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martin_skandik_ki_se/Documents/Skrivbordet/2023 Natue Aging/supplementary data/"/>
    </mc:Choice>
  </mc:AlternateContent>
  <xr:revisionPtr revIDLastSave="8" documentId="13_ncr:1_{768FB543-F0ED-4DFF-A124-71FB3FA334E6}" xr6:coauthVersionLast="47" xr6:coauthVersionMax="47" xr10:uidLastSave="{6885DC7F-6B47-4193-8964-1C907020F943}"/>
  <bookViews>
    <workbookView xWindow="-120" yWindow="-120" windowWidth="29040" windowHeight="17640" firstSheet="1" activeTab="4" xr2:uid="{00000000-000D-0000-FFFF-FFFF00000000}"/>
  </bookViews>
  <sheets>
    <sheet name="CTRL vs CTRL_LPS BV-2" sheetId="2" r:id="rId1"/>
    <sheet name="Aged vs Aged_LPS BV-2" sheetId="1" r:id="rId2"/>
    <sheet name="LPS treatment response in BV-2" sheetId="3" r:id="rId3"/>
    <sheet name="GO BP UP LPS treatmen AvsC" sheetId="4" r:id="rId4"/>
    <sheet name="GO BP DOWN LPS treatmen AvsC" sheetId="5" r:id="rId5"/>
  </sheets>
  <definedNames>
    <definedName name="_xlnm._FilterDatabase" localSheetId="1" hidden="1">'Aged vs Aged_LPS BV-2'!$A$7:$J$7</definedName>
    <definedName name="_xlnm._FilterDatabase" localSheetId="0" hidden="1">'CTRL vs CTRL_LPS BV-2'!$A$7:$J$7</definedName>
    <definedName name="_xlnm._FilterDatabase" localSheetId="4" hidden="1">'GO BP DOWN LPS treatmen AvsC'!$A$1:$H$1</definedName>
    <definedName name="_xlnm._FilterDatabase" localSheetId="3" hidden="1">'GO BP UP LPS treatmen AvsC'!$A$1:$H$1</definedName>
    <definedName name="_xlnm._FilterDatabase" localSheetId="2" hidden="1">'LPS treatment response in BV-2'!$A$7:$J$7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4" i="3" l="1"/>
  <c r="H214" i="3"/>
  <c r="I424" i="3"/>
  <c r="H424" i="3"/>
  <c r="I92" i="3"/>
  <c r="H92" i="3"/>
  <c r="I702" i="3"/>
  <c r="H702" i="3"/>
  <c r="I632" i="3"/>
  <c r="H632" i="3"/>
  <c r="I569" i="3"/>
  <c r="H569" i="3"/>
  <c r="I338" i="3"/>
  <c r="H338" i="3"/>
  <c r="I956" i="3"/>
  <c r="H956" i="3"/>
  <c r="I351" i="3"/>
  <c r="H351" i="3"/>
  <c r="I283" i="3"/>
  <c r="H283" i="3"/>
  <c r="I762" i="3"/>
  <c r="H762" i="3"/>
  <c r="I851" i="3"/>
  <c r="H851" i="3"/>
  <c r="I653" i="3"/>
  <c r="H653" i="3"/>
  <c r="I533" i="3"/>
  <c r="H533" i="3"/>
  <c r="I735" i="3"/>
  <c r="H735" i="3"/>
  <c r="I638" i="3"/>
  <c r="H638" i="3"/>
  <c r="I741" i="3"/>
  <c r="H741" i="3"/>
  <c r="I587" i="3"/>
  <c r="H587" i="3"/>
  <c r="I684" i="3"/>
  <c r="H684" i="3"/>
  <c r="I601" i="3"/>
  <c r="H601" i="3"/>
  <c r="I624" i="3"/>
  <c r="H624" i="3"/>
  <c r="I192" i="3"/>
  <c r="H192" i="3"/>
  <c r="I552" i="3"/>
  <c r="H552" i="3"/>
  <c r="I607" i="3"/>
  <c r="H607" i="3"/>
  <c r="I204" i="3"/>
  <c r="H204" i="3"/>
  <c r="I485" i="3"/>
  <c r="H485" i="3"/>
  <c r="I553" i="3"/>
  <c r="H553" i="3"/>
  <c r="I736" i="3"/>
  <c r="H736" i="3"/>
  <c r="I561" i="3"/>
  <c r="H561" i="3"/>
  <c r="I667" i="3"/>
  <c r="H667" i="3"/>
  <c r="I809" i="3"/>
  <c r="H809" i="3"/>
  <c r="I69" i="3"/>
  <c r="H69" i="3"/>
  <c r="I29" i="3"/>
  <c r="H29" i="3"/>
  <c r="I360" i="3"/>
  <c r="H360" i="3"/>
  <c r="I530" i="3"/>
  <c r="H530" i="3"/>
  <c r="I1006" i="3"/>
  <c r="H1006" i="3"/>
  <c r="I692" i="3"/>
  <c r="H692" i="3"/>
  <c r="I592" i="3"/>
  <c r="H592" i="3"/>
  <c r="I486" i="3"/>
  <c r="H486" i="3"/>
  <c r="I983" i="3"/>
  <c r="H983" i="3"/>
  <c r="I661" i="3"/>
  <c r="H661" i="3"/>
  <c r="I678" i="3"/>
  <c r="H678" i="3"/>
  <c r="I695" i="3"/>
  <c r="H695" i="3"/>
  <c r="I855" i="3"/>
  <c r="H855" i="3"/>
  <c r="I454" i="3"/>
  <c r="H454" i="3"/>
  <c r="I603" i="3"/>
  <c r="H603" i="3"/>
  <c r="I781" i="3"/>
  <c r="H781" i="3"/>
  <c r="I794" i="3"/>
  <c r="H794" i="3"/>
  <c r="I707" i="3"/>
  <c r="H707" i="3"/>
  <c r="I604" i="3"/>
  <c r="H604" i="3"/>
  <c r="I639" i="3"/>
  <c r="H639" i="3"/>
  <c r="I598" i="3"/>
  <c r="H598" i="3"/>
  <c r="I700" i="3"/>
  <c r="H700" i="3"/>
  <c r="I830" i="3"/>
  <c r="H830" i="3"/>
  <c r="I189" i="3"/>
  <c r="H189" i="3"/>
  <c r="I564" i="3"/>
  <c r="H564" i="3"/>
  <c r="I56" i="3"/>
  <c r="H56" i="3"/>
  <c r="I999" i="3"/>
  <c r="H999" i="3"/>
  <c r="I513" i="3"/>
  <c r="H513" i="3"/>
  <c r="I668" i="3"/>
  <c r="H668" i="3"/>
  <c r="I665" i="3"/>
  <c r="H665" i="3"/>
  <c r="I626" i="3"/>
  <c r="H626" i="3"/>
  <c r="I232" i="3"/>
  <c r="H232" i="3"/>
  <c r="I630" i="3"/>
  <c r="H630" i="3"/>
  <c r="I635" i="3"/>
  <c r="H635" i="3"/>
  <c r="I633" i="3"/>
  <c r="H633" i="3"/>
  <c r="I536" i="3"/>
  <c r="H536" i="3"/>
  <c r="I872" i="3"/>
  <c r="H872" i="3"/>
  <c r="I1048" i="3"/>
  <c r="H1048" i="3"/>
  <c r="I1041" i="3"/>
  <c r="H1041" i="3"/>
  <c r="I805" i="3"/>
  <c r="H805" i="3"/>
  <c r="I321" i="3"/>
  <c r="H321" i="3"/>
  <c r="I721" i="3"/>
  <c r="H721" i="3"/>
  <c r="I110" i="3"/>
  <c r="H110" i="3"/>
  <c r="I527" i="3"/>
  <c r="H527" i="3"/>
  <c r="I792" i="3"/>
  <c r="H792" i="3"/>
  <c r="I627" i="3"/>
  <c r="H627" i="3"/>
  <c r="I816" i="3"/>
  <c r="H816" i="3"/>
  <c r="I660" i="3"/>
  <c r="H660" i="3"/>
  <c r="I521" i="3"/>
  <c r="H521" i="3"/>
  <c r="I545" i="3"/>
  <c r="H545" i="3"/>
  <c r="I444" i="3"/>
  <c r="H444" i="3"/>
  <c r="I310" i="3"/>
  <c r="H310" i="3"/>
  <c r="I298" i="3"/>
  <c r="H298" i="3"/>
  <c r="I590" i="3"/>
  <c r="H590" i="3"/>
  <c r="I614" i="3"/>
  <c r="H614" i="3"/>
  <c r="I594" i="3"/>
  <c r="H594" i="3"/>
  <c r="I408" i="3"/>
  <c r="H408" i="3"/>
  <c r="I68" i="3"/>
  <c r="H68" i="3"/>
  <c r="I693" i="3"/>
  <c r="H693" i="3"/>
  <c r="I636" i="3"/>
  <c r="H636" i="3"/>
  <c r="I448" i="3"/>
  <c r="H448" i="3"/>
  <c r="I459" i="3"/>
  <c r="H459" i="3"/>
  <c r="I791" i="3"/>
  <c r="H791" i="3"/>
  <c r="I493" i="3"/>
  <c r="H493" i="3"/>
  <c r="I139" i="3"/>
  <c r="H139" i="3"/>
  <c r="I619" i="3"/>
  <c r="H619" i="3"/>
  <c r="I295" i="3"/>
  <c r="H295" i="3"/>
  <c r="I898" i="3"/>
  <c r="H898" i="3"/>
  <c r="I706" i="3"/>
  <c r="H706" i="3"/>
  <c r="I596" i="3"/>
  <c r="H596" i="3"/>
  <c r="I904" i="3"/>
  <c r="H904" i="3"/>
  <c r="I628" i="3"/>
  <c r="H628" i="3"/>
  <c r="I634" i="3"/>
  <c r="H634" i="3"/>
  <c r="I637" i="3"/>
  <c r="H637" i="3"/>
  <c r="I573" i="3"/>
  <c r="H573" i="3"/>
  <c r="I555" i="3"/>
  <c r="H555" i="3"/>
  <c r="I432" i="3"/>
  <c r="H432" i="3"/>
  <c r="I64" i="3"/>
  <c r="H64" i="3"/>
  <c r="I655" i="3"/>
  <c r="H655" i="3"/>
  <c r="I288" i="3"/>
  <c r="H288" i="3"/>
  <c r="I539" i="3"/>
  <c r="H539" i="3"/>
  <c r="I577" i="3"/>
  <c r="H577" i="3"/>
  <c r="I526" i="3"/>
  <c r="H526" i="3"/>
  <c r="I595" i="3"/>
  <c r="H595" i="3"/>
  <c r="I406" i="3"/>
  <c r="H406" i="3"/>
  <c r="I559" i="3"/>
  <c r="H559" i="3"/>
  <c r="I26" i="3"/>
  <c r="H26" i="3"/>
  <c r="I949" i="3"/>
  <c r="H949" i="3"/>
  <c r="I307" i="3"/>
  <c r="H307" i="3"/>
  <c r="I821" i="3"/>
  <c r="H821" i="3"/>
  <c r="I871" i="3"/>
  <c r="H871" i="3"/>
  <c r="I663" i="3"/>
  <c r="H663" i="3"/>
  <c r="I1034" i="3"/>
  <c r="H1034" i="3"/>
  <c r="I542" i="3"/>
  <c r="H542" i="3"/>
  <c r="I1035" i="3"/>
  <c r="H1035" i="3"/>
  <c r="I315" i="3"/>
  <c r="H315" i="3"/>
  <c r="I623" i="3"/>
  <c r="H623" i="3"/>
  <c r="I718" i="3"/>
  <c r="H718" i="3"/>
  <c r="I941" i="3"/>
  <c r="H941" i="3"/>
  <c r="I749" i="3"/>
  <c r="H749" i="3"/>
  <c r="I221" i="3"/>
  <c r="H221" i="3"/>
  <c r="I251" i="3"/>
  <c r="H251" i="3"/>
  <c r="I262" i="3"/>
  <c r="H262" i="3"/>
  <c r="I664" i="3"/>
  <c r="H664" i="3"/>
  <c r="I450" i="3"/>
  <c r="H450" i="3"/>
  <c r="I175" i="3"/>
  <c r="H175" i="3"/>
  <c r="I581" i="3"/>
  <c r="H581" i="3"/>
  <c r="I747" i="3"/>
  <c r="H747" i="3"/>
  <c r="I798" i="3"/>
  <c r="H798" i="3"/>
  <c r="I629" i="3"/>
  <c r="H629" i="3"/>
  <c r="I965" i="3"/>
  <c r="H965" i="3"/>
  <c r="I372" i="3"/>
  <c r="H372" i="3"/>
  <c r="I710" i="3"/>
  <c r="H710" i="3"/>
  <c r="I611" i="3"/>
  <c r="H611" i="3"/>
  <c r="I795" i="3"/>
  <c r="H795" i="3"/>
  <c r="I827" i="3"/>
  <c r="H827" i="3"/>
  <c r="I566" i="3"/>
  <c r="H566" i="3"/>
  <c r="I726" i="3"/>
  <c r="H726" i="3"/>
  <c r="I613" i="3"/>
  <c r="H613" i="3"/>
  <c r="I1007" i="3"/>
  <c r="H1007" i="3"/>
  <c r="I691" i="3"/>
  <c r="H691" i="3"/>
  <c r="I615" i="3"/>
  <c r="H615" i="3"/>
  <c r="I495" i="3"/>
  <c r="H495" i="3"/>
  <c r="I484" i="3"/>
  <c r="H484" i="3"/>
  <c r="I490" i="3"/>
  <c r="H490" i="3"/>
  <c r="I1044" i="3"/>
  <c r="H1044" i="3"/>
  <c r="I716" i="3"/>
  <c r="H716" i="3"/>
  <c r="I506" i="3"/>
  <c r="H506" i="3"/>
  <c r="I709" i="3"/>
  <c r="H709" i="3"/>
  <c r="I463" i="3"/>
  <c r="H463" i="3"/>
  <c r="I549" i="3"/>
  <c r="H549" i="3"/>
  <c r="I922" i="3"/>
  <c r="H922" i="3"/>
  <c r="I371" i="3"/>
  <c r="H371" i="3"/>
  <c r="I159" i="3"/>
  <c r="H159" i="3"/>
  <c r="I769" i="3"/>
  <c r="H769" i="3"/>
  <c r="I155" i="3"/>
  <c r="H155" i="3"/>
  <c r="I659" i="3"/>
  <c r="H659" i="3"/>
  <c r="I1003" i="3"/>
  <c r="H1003" i="3"/>
  <c r="I751" i="3"/>
  <c r="H751" i="3"/>
  <c r="I727" i="3"/>
  <c r="H727" i="3"/>
  <c r="I640" i="3"/>
  <c r="H640" i="3"/>
  <c r="I296" i="3"/>
  <c r="H296" i="3"/>
  <c r="I711" i="3"/>
  <c r="H711" i="3"/>
  <c r="I244" i="3"/>
  <c r="H244" i="3"/>
  <c r="I991" i="3"/>
  <c r="H991" i="3"/>
  <c r="I389" i="3"/>
  <c r="H389" i="3"/>
  <c r="I984" i="3"/>
  <c r="H984" i="3"/>
  <c r="I583" i="3"/>
  <c r="H583" i="3"/>
  <c r="I738" i="3"/>
  <c r="H738" i="3"/>
  <c r="I602" i="3"/>
  <c r="H602" i="3"/>
  <c r="I616" i="3"/>
  <c r="H616" i="3"/>
  <c r="I681" i="3"/>
  <c r="H681" i="3"/>
  <c r="I275" i="3"/>
  <c r="H275" i="3"/>
  <c r="I670" i="3"/>
  <c r="H670" i="3"/>
  <c r="I578" i="3"/>
  <c r="H578" i="3"/>
  <c r="I77" i="3"/>
  <c r="H77" i="3"/>
  <c r="I479" i="3"/>
  <c r="H479" i="3"/>
  <c r="I53" i="3"/>
  <c r="H53" i="3"/>
  <c r="I504" i="3"/>
  <c r="H504" i="3"/>
  <c r="I610" i="3"/>
  <c r="H610" i="3"/>
  <c r="I517" i="3"/>
  <c r="H517" i="3"/>
  <c r="I246" i="3"/>
  <c r="H246" i="3"/>
  <c r="I874" i="3"/>
  <c r="H874" i="3"/>
  <c r="I715" i="3"/>
  <c r="H715" i="3"/>
  <c r="I574" i="3"/>
  <c r="H574" i="3"/>
  <c r="I666" i="3"/>
  <c r="H666" i="3"/>
  <c r="I414" i="3"/>
  <c r="H414" i="3"/>
  <c r="I1026" i="3"/>
  <c r="H1026" i="3"/>
  <c r="I47" i="3"/>
  <c r="H47" i="3"/>
  <c r="I570" i="3"/>
  <c r="H570" i="3"/>
  <c r="I510" i="3"/>
  <c r="H510" i="3"/>
  <c r="I12" i="3"/>
  <c r="H12" i="3"/>
  <c r="I1010" i="3"/>
  <c r="H1010" i="3"/>
  <c r="I937" i="3"/>
  <c r="H937" i="3"/>
  <c r="I650" i="3"/>
  <c r="H650" i="3"/>
  <c r="I865" i="3"/>
  <c r="H865" i="3"/>
  <c r="I396" i="3"/>
  <c r="H396" i="3"/>
  <c r="I546" i="3"/>
  <c r="H546" i="3"/>
  <c r="I622" i="3"/>
  <c r="H622" i="3"/>
  <c r="I970" i="3"/>
  <c r="H970" i="3"/>
  <c r="I455" i="3"/>
  <c r="H455" i="3"/>
  <c r="I431" i="3"/>
  <c r="H431" i="3"/>
  <c r="I567" i="3"/>
  <c r="H567" i="3"/>
  <c r="I800" i="3"/>
  <c r="H800" i="3"/>
  <c r="I554" i="3"/>
  <c r="H554" i="3"/>
  <c r="I336" i="3"/>
  <c r="H336" i="3"/>
  <c r="I452" i="3"/>
  <c r="H452" i="3"/>
  <c r="I586" i="3"/>
  <c r="H586" i="3"/>
  <c r="I537" i="3"/>
  <c r="H537" i="3"/>
  <c r="I988" i="3"/>
  <c r="H988" i="3"/>
  <c r="I652" i="3"/>
  <c r="H652" i="3"/>
  <c r="I873" i="3"/>
  <c r="H873" i="3"/>
  <c r="I599" i="3"/>
  <c r="H599" i="3"/>
  <c r="I776" i="3"/>
  <c r="H776" i="3"/>
  <c r="I290" i="3"/>
  <c r="H290" i="3"/>
  <c r="I541" i="3"/>
  <c r="H541" i="3"/>
  <c r="I525" i="3"/>
  <c r="H525" i="3"/>
  <c r="I593" i="3"/>
  <c r="H593" i="3"/>
  <c r="I743" i="3"/>
  <c r="H743" i="3"/>
  <c r="I229" i="3"/>
  <c r="H229" i="3"/>
  <c r="I378" i="3"/>
  <c r="H378" i="3"/>
  <c r="I519" i="3"/>
  <c r="H519" i="3"/>
  <c r="I744" i="3"/>
  <c r="H744" i="3"/>
  <c r="I332" i="3"/>
  <c r="H332" i="3"/>
  <c r="I620" i="3"/>
  <c r="H620" i="3"/>
  <c r="I451" i="3"/>
  <c r="H451" i="3"/>
  <c r="I701" i="3"/>
  <c r="H701" i="3"/>
  <c r="I16" i="3"/>
  <c r="H16" i="3"/>
  <c r="I364" i="3"/>
  <c r="H364" i="3"/>
  <c r="I575" i="3"/>
  <c r="H575" i="3"/>
  <c r="I464" i="3"/>
  <c r="H464" i="3"/>
  <c r="I562" i="3"/>
  <c r="H562" i="3"/>
  <c r="I568" i="3"/>
  <c r="H568" i="3"/>
  <c r="I803" i="3"/>
  <c r="H803" i="3"/>
  <c r="I534" i="3"/>
  <c r="H534" i="3"/>
  <c r="I750" i="3"/>
  <c r="H750" i="3"/>
  <c r="I374" i="3"/>
  <c r="H374" i="3"/>
  <c r="I422" i="3"/>
  <c r="H422" i="3"/>
  <c r="I1020" i="3"/>
  <c r="H1020" i="3"/>
  <c r="I119" i="3"/>
  <c r="H119" i="3"/>
  <c r="I966" i="3"/>
  <c r="H966" i="3"/>
  <c r="I381" i="3"/>
  <c r="H381" i="3"/>
  <c r="I323" i="3"/>
  <c r="H323" i="3"/>
  <c r="I770" i="3"/>
  <c r="H770" i="3"/>
  <c r="I326" i="3"/>
  <c r="H326" i="3"/>
  <c r="I180" i="3"/>
  <c r="H180" i="3"/>
  <c r="I316" i="3"/>
  <c r="H316" i="3"/>
  <c r="I850" i="3"/>
  <c r="H850" i="3"/>
  <c r="I884" i="3"/>
  <c r="H884" i="3"/>
  <c r="I722" i="3"/>
  <c r="H722" i="3"/>
  <c r="I282" i="3"/>
  <c r="H282" i="3"/>
  <c r="I720" i="3"/>
  <c r="H720" i="3"/>
  <c r="I514" i="3"/>
  <c r="H514" i="3"/>
  <c r="I355" i="3"/>
  <c r="H355" i="3"/>
  <c r="I429" i="3"/>
  <c r="H429" i="3"/>
  <c r="I597" i="3"/>
  <c r="H597" i="3"/>
  <c r="I789" i="3"/>
  <c r="H789" i="3"/>
  <c r="I277" i="3"/>
  <c r="H277" i="3"/>
  <c r="I540" i="3"/>
  <c r="H540" i="3"/>
  <c r="I361" i="3"/>
  <c r="H361" i="3"/>
  <c r="I220" i="3"/>
  <c r="H220" i="3"/>
  <c r="I932" i="3"/>
  <c r="H932" i="3"/>
  <c r="I173" i="3"/>
  <c r="H173" i="3"/>
  <c r="I342" i="3"/>
  <c r="H342" i="3"/>
  <c r="I775" i="3"/>
  <c r="H775" i="3"/>
  <c r="I421" i="3"/>
  <c r="H421" i="3"/>
  <c r="I382" i="3"/>
  <c r="H382" i="3"/>
  <c r="I301" i="3"/>
  <c r="H301" i="3"/>
  <c r="I339" i="3"/>
  <c r="H339" i="3"/>
  <c r="I1025" i="3"/>
  <c r="H1025" i="3"/>
  <c r="I689" i="3"/>
  <c r="H689" i="3"/>
  <c r="I563" i="3"/>
  <c r="H563" i="3"/>
  <c r="I755" i="3"/>
  <c r="H755" i="3"/>
  <c r="I274" i="3"/>
  <c r="H274" i="3"/>
  <c r="I618" i="3"/>
  <c r="H618" i="3"/>
  <c r="I501" i="3"/>
  <c r="H501" i="3"/>
  <c r="I609" i="3"/>
  <c r="H609" i="3"/>
  <c r="I731" i="3"/>
  <c r="H731" i="3"/>
  <c r="I445" i="3"/>
  <c r="H445" i="3"/>
  <c r="I140" i="3"/>
  <c r="H140" i="3"/>
  <c r="I600" i="3"/>
  <c r="H600" i="3"/>
  <c r="I940" i="3"/>
  <c r="H940" i="3"/>
  <c r="I209" i="3"/>
  <c r="H209" i="3"/>
  <c r="I419" i="3"/>
  <c r="H419" i="3"/>
  <c r="I1024" i="3"/>
  <c r="H1024" i="3"/>
  <c r="I446" i="3"/>
  <c r="H446" i="3"/>
  <c r="I405" i="3"/>
  <c r="H405" i="3"/>
  <c r="I285" i="3"/>
  <c r="H285" i="3"/>
  <c r="I489" i="3"/>
  <c r="H489" i="3"/>
  <c r="I950" i="3"/>
  <c r="H950" i="3"/>
  <c r="I758" i="3"/>
  <c r="H758" i="3"/>
  <c r="I745" i="3"/>
  <c r="H745" i="3"/>
  <c r="I631" i="3"/>
  <c r="H631" i="3"/>
  <c r="I842" i="3"/>
  <c r="H842" i="3"/>
  <c r="I443" i="3"/>
  <c r="H443" i="3"/>
  <c r="I919" i="3"/>
  <c r="H919" i="3"/>
  <c r="I72" i="3"/>
  <c r="H72" i="3"/>
  <c r="I388" i="3"/>
  <c r="H388" i="3"/>
  <c r="I981" i="3"/>
  <c r="H981" i="3"/>
  <c r="I543" i="3"/>
  <c r="H543" i="3"/>
  <c r="I115" i="3"/>
  <c r="H115" i="3"/>
  <c r="I605" i="3"/>
  <c r="H605" i="3"/>
  <c r="I353" i="3"/>
  <c r="H353" i="3"/>
  <c r="I756" i="3"/>
  <c r="H756" i="3"/>
  <c r="I696" i="3"/>
  <c r="H696" i="3"/>
  <c r="I93" i="3"/>
  <c r="H93" i="3"/>
  <c r="I417" i="3"/>
  <c r="H417" i="3"/>
  <c r="I222" i="3"/>
  <c r="H222" i="3"/>
  <c r="I344" i="3"/>
  <c r="H344" i="3"/>
  <c r="I492" i="3"/>
  <c r="H492" i="3"/>
  <c r="I368" i="3"/>
  <c r="H368" i="3"/>
  <c r="I712" i="3"/>
  <c r="H712" i="3"/>
  <c r="I481" i="3"/>
  <c r="H481" i="3"/>
  <c r="I328" i="3"/>
  <c r="H328" i="3"/>
  <c r="I512" i="3"/>
  <c r="H512" i="3"/>
  <c r="I591" i="3"/>
  <c r="H591" i="3"/>
  <c r="I475" i="3"/>
  <c r="H475" i="3"/>
  <c r="I881" i="3"/>
  <c r="H881" i="3"/>
  <c r="I617" i="3"/>
  <c r="H617" i="3"/>
  <c r="I435" i="3"/>
  <c r="H435" i="3"/>
  <c r="I265" i="3"/>
  <c r="H265" i="3"/>
  <c r="I461" i="3"/>
  <c r="H461" i="3"/>
  <c r="I314" i="3"/>
  <c r="H314" i="3"/>
  <c r="I584" i="3"/>
  <c r="H584" i="3"/>
  <c r="I703" i="3"/>
  <c r="H703" i="3"/>
  <c r="I547" i="3"/>
  <c r="H547" i="3"/>
  <c r="I522" i="3"/>
  <c r="H522" i="3"/>
  <c r="I868" i="3"/>
  <c r="H868" i="3"/>
  <c r="I373" i="3"/>
  <c r="H373" i="3"/>
  <c r="I550" i="3"/>
  <c r="H550" i="3"/>
  <c r="I476" i="3"/>
  <c r="H476" i="3"/>
  <c r="I646" i="3"/>
  <c r="H646" i="3"/>
  <c r="I582" i="3"/>
  <c r="H582" i="3"/>
  <c r="I928" i="3"/>
  <c r="H928" i="3"/>
  <c r="I366" i="3"/>
  <c r="H366" i="3"/>
  <c r="I688" i="3"/>
  <c r="H688" i="3"/>
  <c r="I188" i="3"/>
  <c r="H188" i="3"/>
  <c r="I907" i="3"/>
  <c r="H907" i="3"/>
  <c r="I418" i="3"/>
  <c r="H418" i="3"/>
  <c r="I434" i="3"/>
  <c r="H434" i="3"/>
  <c r="I1045" i="3"/>
  <c r="H1045" i="3"/>
  <c r="I249" i="3"/>
  <c r="H249" i="3"/>
  <c r="I258" i="3"/>
  <c r="H258" i="3"/>
  <c r="I683" i="3"/>
  <c r="H683" i="3"/>
  <c r="I503" i="3"/>
  <c r="H503" i="3"/>
  <c r="I677" i="3"/>
  <c r="H677" i="3"/>
  <c r="I231" i="3"/>
  <c r="H231" i="3"/>
  <c r="I403" i="3"/>
  <c r="H403" i="3"/>
  <c r="I589" i="3"/>
  <c r="H589" i="3"/>
  <c r="I761" i="3"/>
  <c r="H761" i="3"/>
  <c r="I576" i="3"/>
  <c r="H576" i="3"/>
  <c r="I423" i="3"/>
  <c r="H423" i="3"/>
  <c r="I462" i="3"/>
  <c r="H462" i="3"/>
  <c r="I974" i="3"/>
  <c r="H974" i="3"/>
  <c r="I658" i="3"/>
  <c r="H658" i="3"/>
  <c r="I877" i="3"/>
  <c r="H877" i="3"/>
  <c r="I449" i="3"/>
  <c r="H449" i="3"/>
  <c r="I929" i="3"/>
  <c r="H929" i="3"/>
  <c r="I518" i="3"/>
  <c r="H518" i="3"/>
  <c r="I505" i="3"/>
  <c r="H505" i="3"/>
  <c r="I509" i="3"/>
  <c r="H509" i="3"/>
  <c r="I669" i="3"/>
  <c r="H669" i="3"/>
  <c r="I538" i="3"/>
  <c r="H538" i="3"/>
  <c r="I934" i="3"/>
  <c r="H934" i="3"/>
  <c r="I920" i="3"/>
  <c r="H920" i="3"/>
  <c r="I1043" i="3"/>
  <c r="H1043" i="3"/>
  <c r="I551" i="3"/>
  <c r="H551" i="3"/>
  <c r="I644" i="3"/>
  <c r="H644" i="3"/>
  <c r="I1033" i="3"/>
  <c r="H1033" i="3"/>
  <c r="I230" i="3"/>
  <c r="H230" i="3"/>
  <c r="I810" i="3"/>
  <c r="H810" i="3"/>
  <c r="I17" i="3"/>
  <c r="H17" i="3"/>
  <c r="I89" i="3"/>
  <c r="H89" i="3"/>
  <c r="I242" i="3"/>
  <c r="H242" i="3"/>
  <c r="I1029" i="3"/>
  <c r="H1029" i="3"/>
  <c r="I759" i="3"/>
  <c r="H759" i="3"/>
  <c r="I686" i="3"/>
  <c r="H686" i="3"/>
  <c r="I673" i="3"/>
  <c r="H673" i="3"/>
  <c r="I186" i="3"/>
  <c r="H186" i="3"/>
  <c r="I257" i="3"/>
  <c r="H257" i="3"/>
  <c r="I393" i="3"/>
  <c r="H393" i="3"/>
  <c r="I680" i="3"/>
  <c r="H680" i="3"/>
  <c r="I869" i="3"/>
  <c r="H869" i="3"/>
  <c r="I172" i="3"/>
  <c r="H172" i="3"/>
  <c r="I528" i="3"/>
  <c r="H528" i="3"/>
  <c r="I407" i="3"/>
  <c r="H407" i="3"/>
  <c r="I916" i="3"/>
  <c r="H916" i="3"/>
  <c r="I921" i="3"/>
  <c r="H921" i="3"/>
  <c r="I608" i="3"/>
  <c r="H608" i="3"/>
  <c r="I729" i="3"/>
  <c r="H729" i="3"/>
  <c r="I330" i="3"/>
  <c r="H330" i="3"/>
  <c r="I11" i="3"/>
  <c r="H11" i="3"/>
  <c r="I1047" i="3"/>
  <c r="H1047" i="3"/>
  <c r="I1008" i="3"/>
  <c r="H1008" i="3"/>
  <c r="I548" i="3"/>
  <c r="H548" i="3"/>
  <c r="I886" i="3"/>
  <c r="H886" i="3"/>
  <c r="I651" i="3"/>
  <c r="H651" i="3"/>
  <c r="I470" i="3"/>
  <c r="H470" i="3"/>
  <c r="I35" i="3"/>
  <c r="H35" i="3"/>
  <c r="I145" i="3"/>
  <c r="H145" i="3"/>
  <c r="I347" i="3"/>
  <c r="H347" i="3"/>
  <c r="I790" i="3"/>
  <c r="H790" i="3"/>
  <c r="I705" i="3"/>
  <c r="H705" i="3"/>
  <c r="I939" i="3"/>
  <c r="H939" i="3"/>
  <c r="I764" i="3"/>
  <c r="H764" i="3"/>
  <c r="I1016" i="3"/>
  <c r="H1016" i="3"/>
  <c r="I717" i="3"/>
  <c r="H717" i="3"/>
  <c r="I299" i="3"/>
  <c r="H299" i="3"/>
  <c r="I826" i="3"/>
  <c r="H826" i="3"/>
  <c r="I340" i="3"/>
  <c r="H340" i="3"/>
  <c r="I87" i="3"/>
  <c r="H87" i="3"/>
  <c r="I897" i="3"/>
  <c r="H897" i="3"/>
  <c r="I880" i="3"/>
  <c r="H880" i="3"/>
  <c r="I757" i="3"/>
  <c r="H757" i="3"/>
  <c r="I480" i="3"/>
  <c r="H480" i="3"/>
  <c r="I291" i="3"/>
  <c r="H291" i="3"/>
  <c r="I22" i="3"/>
  <c r="H22" i="3"/>
  <c r="I682" i="3"/>
  <c r="H682" i="3"/>
  <c r="I535" i="3"/>
  <c r="H535" i="3"/>
  <c r="I645" i="3"/>
  <c r="H645" i="3"/>
  <c r="I780" i="3"/>
  <c r="H780" i="3"/>
  <c r="I437" i="3"/>
  <c r="H437" i="3"/>
  <c r="I468" i="3"/>
  <c r="H468" i="3"/>
  <c r="I469" i="3"/>
  <c r="H469" i="3"/>
  <c r="I723" i="3"/>
  <c r="H723" i="3"/>
  <c r="I1027" i="3"/>
  <c r="H1027" i="3"/>
  <c r="I227" i="3"/>
  <c r="H227" i="3"/>
  <c r="I523" i="3"/>
  <c r="H523" i="3"/>
  <c r="I856" i="3"/>
  <c r="H856" i="3"/>
  <c r="I728" i="3"/>
  <c r="H728" i="3"/>
  <c r="I1046" i="3"/>
  <c r="H1046" i="3"/>
  <c r="I215" i="3"/>
  <c r="H215" i="3"/>
  <c r="I572" i="3"/>
  <c r="H572" i="3"/>
  <c r="I201" i="3"/>
  <c r="H201" i="3"/>
  <c r="I112" i="3"/>
  <c r="H112" i="3"/>
  <c r="I21" i="3"/>
  <c r="H21" i="3"/>
  <c r="I15" i="3"/>
  <c r="H15" i="3"/>
  <c r="I782" i="3"/>
  <c r="H782" i="3"/>
  <c r="I219" i="3"/>
  <c r="H219" i="3"/>
  <c r="I243" i="3"/>
  <c r="H243" i="3"/>
  <c r="I675" i="3"/>
  <c r="H675" i="3"/>
  <c r="I194" i="3"/>
  <c r="H194" i="3"/>
  <c r="I862" i="3"/>
  <c r="H862" i="3"/>
  <c r="I767" i="3"/>
  <c r="H767" i="3"/>
  <c r="I796" i="3"/>
  <c r="H796" i="3"/>
  <c r="I866" i="3"/>
  <c r="H866" i="3"/>
  <c r="I425" i="3"/>
  <c r="H425" i="3"/>
  <c r="I585" i="3"/>
  <c r="H585" i="3"/>
  <c r="I266" i="3"/>
  <c r="H266" i="3"/>
  <c r="I367" i="3"/>
  <c r="H367" i="3"/>
  <c r="I39" i="3"/>
  <c r="H39" i="3"/>
  <c r="I171" i="3"/>
  <c r="H171" i="3"/>
  <c r="I473" i="3"/>
  <c r="H473" i="3"/>
  <c r="I708" i="3"/>
  <c r="H708" i="3"/>
  <c r="I698" i="3"/>
  <c r="H698" i="3"/>
  <c r="I734" i="3"/>
  <c r="H734" i="3"/>
  <c r="I426" i="3"/>
  <c r="H426" i="3"/>
  <c r="I491" i="3"/>
  <c r="H491" i="3"/>
  <c r="I621" i="3"/>
  <c r="H621" i="3"/>
  <c r="I828" i="3"/>
  <c r="H828" i="3"/>
  <c r="I318" i="3"/>
  <c r="H318" i="3"/>
  <c r="I1037" i="3"/>
  <c r="H1037" i="3"/>
  <c r="I558" i="3"/>
  <c r="H558" i="3"/>
  <c r="I99" i="3"/>
  <c r="H99" i="3"/>
  <c r="I207" i="3"/>
  <c r="H207" i="3"/>
  <c r="I654" i="3"/>
  <c r="H654" i="3"/>
  <c r="I303" i="3"/>
  <c r="H303" i="3"/>
  <c r="I498" i="3"/>
  <c r="H498" i="3"/>
  <c r="I840" i="3"/>
  <c r="H840" i="3"/>
  <c r="I556" i="3"/>
  <c r="H556" i="3"/>
  <c r="I908" i="3"/>
  <c r="H908" i="3"/>
  <c r="I642" i="3"/>
  <c r="H642" i="3"/>
  <c r="I963" i="3"/>
  <c r="H963" i="3"/>
  <c r="I860" i="3"/>
  <c r="H860" i="3"/>
  <c r="I714" i="3"/>
  <c r="H714" i="3"/>
  <c r="I60" i="3"/>
  <c r="H60" i="3"/>
  <c r="I824" i="3"/>
  <c r="H824" i="3"/>
  <c r="I924" i="3"/>
  <c r="H924" i="3"/>
  <c r="I951" i="3"/>
  <c r="H951" i="3"/>
  <c r="I766" i="3"/>
  <c r="H766" i="3"/>
  <c r="I252" i="3"/>
  <c r="H252" i="3"/>
  <c r="I306" i="3"/>
  <c r="H306" i="3"/>
  <c r="I697" i="3"/>
  <c r="H697" i="3"/>
  <c r="I674" i="3"/>
  <c r="H674" i="3"/>
  <c r="I685" i="3"/>
  <c r="H685" i="3"/>
  <c r="I483" i="3"/>
  <c r="H483" i="3"/>
  <c r="I875" i="3"/>
  <c r="H875" i="3"/>
  <c r="I719" i="3"/>
  <c r="H719" i="3"/>
  <c r="I124" i="3"/>
  <c r="H124" i="3"/>
  <c r="I524" i="3"/>
  <c r="H524" i="3"/>
  <c r="I571" i="3"/>
  <c r="H571" i="3"/>
  <c r="I788" i="3"/>
  <c r="H788" i="3"/>
  <c r="I261" i="3"/>
  <c r="H261" i="3"/>
  <c r="I837" i="3"/>
  <c r="H837" i="3"/>
  <c r="I494" i="3"/>
  <c r="H494" i="3"/>
  <c r="I62" i="3"/>
  <c r="H62" i="3"/>
  <c r="I383" i="3"/>
  <c r="H383" i="3"/>
  <c r="I146" i="3"/>
  <c r="H146" i="3"/>
  <c r="I515" i="3"/>
  <c r="H515" i="3"/>
  <c r="I369" i="3"/>
  <c r="H369" i="3"/>
  <c r="I13" i="3"/>
  <c r="H13" i="3"/>
  <c r="I45" i="3"/>
  <c r="H45" i="3"/>
  <c r="I471" i="3"/>
  <c r="H471" i="3"/>
  <c r="I213" i="3"/>
  <c r="H213" i="3"/>
  <c r="I960" i="3"/>
  <c r="H960" i="3"/>
  <c r="I148" i="3"/>
  <c r="H148" i="3"/>
  <c r="I184" i="3"/>
  <c r="H184" i="3"/>
  <c r="I544" i="3"/>
  <c r="H544" i="3"/>
  <c r="I833" i="3"/>
  <c r="H833" i="3"/>
  <c r="I807" i="3"/>
  <c r="H807" i="3"/>
  <c r="I409" i="3"/>
  <c r="H409" i="3"/>
  <c r="I786" i="3"/>
  <c r="H786" i="3"/>
  <c r="I83" i="3"/>
  <c r="H83" i="3"/>
  <c r="I379" i="3"/>
  <c r="H379" i="3"/>
  <c r="I294" i="3"/>
  <c r="H294" i="3"/>
  <c r="I867" i="3"/>
  <c r="H867" i="3"/>
  <c r="I245" i="3"/>
  <c r="H245" i="3"/>
  <c r="I948" i="3"/>
  <c r="H948" i="3"/>
  <c r="I849" i="3"/>
  <c r="H849" i="3"/>
  <c r="I971" i="3"/>
  <c r="H971" i="3"/>
  <c r="I430" i="3"/>
  <c r="H430" i="3"/>
  <c r="I1032" i="3"/>
  <c r="H1032" i="3"/>
  <c r="I224" i="3"/>
  <c r="H224" i="3"/>
  <c r="I835" i="3"/>
  <c r="H835" i="3"/>
  <c r="I1019" i="3"/>
  <c r="H1019" i="3"/>
  <c r="I774" i="3"/>
  <c r="H774" i="3"/>
  <c r="I84" i="3"/>
  <c r="H84" i="3"/>
  <c r="I1018" i="3"/>
  <c r="H1018" i="3"/>
  <c r="I1002" i="3"/>
  <c r="H1002" i="3"/>
  <c r="I763" i="3"/>
  <c r="H763" i="3"/>
  <c r="I1042" i="3"/>
  <c r="H1042" i="3"/>
  <c r="I817" i="3"/>
  <c r="H817" i="3"/>
  <c r="I398" i="3"/>
  <c r="H398" i="3"/>
  <c r="I612" i="3"/>
  <c r="H612" i="3"/>
  <c r="I671" i="3"/>
  <c r="H671" i="3"/>
  <c r="I346" i="3"/>
  <c r="H346" i="3"/>
  <c r="I152" i="3"/>
  <c r="H152" i="3"/>
  <c r="I852" i="3"/>
  <c r="H852" i="3"/>
  <c r="I746" i="3"/>
  <c r="H746" i="3"/>
  <c r="I925" i="3"/>
  <c r="H925" i="3"/>
  <c r="I76" i="3"/>
  <c r="H76" i="3"/>
  <c r="I724" i="3"/>
  <c r="H724" i="3"/>
  <c r="I1021" i="3"/>
  <c r="H1021" i="3"/>
  <c r="I579" i="3"/>
  <c r="H579" i="3"/>
  <c r="I1036" i="3"/>
  <c r="H1036" i="3"/>
  <c r="I161" i="3"/>
  <c r="H161" i="3"/>
  <c r="I996" i="3"/>
  <c r="H996" i="3"/>
  <c r="I947" i="3"/>
  <c r="H947" i="3"/>
  <c r="I531" i="3"/>
  <c r="H531" i="3"/>
  <c r="I36" i="3"/>
  <c r="H36" i="3"/>
  <c r="I672" i="3"/>
  <c r="H672" i="3"/>
  <c r="I241" i="3"/>
  <c r="H241" i="3"/>
  <c r="I375" i="3"/>
  <c r="H375" i="3"/>
  <c r="I410" i="3"/>
  <c r="H410" i="3"/>
  <c r="I815" i="3"/>
  <c r="H815" i="3"/>
  <c r="I785" i="3"/>
  <c r="H785" i="3"/>
  <c r="I662" i="3"/>
  <c r="H662" i="3"/>
  <c r="I802" i="3"/>
  <c r="H802" i="3"/>
  <c r="I363" i="3"/>
  <c r="H363" i="3"/>
  <c r="I440" i="3"/>
  <c r="H440" i="3"/>
  <c r="I507" i="3"/>
  <c r="H507" i="3"/>
  <c r="I606" i="3"/>
  <c r="H606" i="3"/>
  <c r="I236" i="3"/>
  <c r="H236" i="3"/>
  <c r="I532" i="3"/>
  <c r="H532" i="3"/>
  <c r="I411" i="3"/>
  <c r="H411" i="3"/>
  <c r="I341" i="3"/>
  <c r="H341" i="3"/>
  <c r="I441" i="3"/>
  <c r="H441" i="3"/>
  <c r="I250" i="3"/>
  <c r="H250" i="3"/>
  <c r="I687" i="3"/>
  <c r="H687" i="3"/>
  <c r="I580" i="3"/>
  <c r="H580" i="3"/>
  <c r="I694" i="3"/>
  <c r="H694" i="3"/>
  <c r="I149" i="3"/>
  <c r="H149" i="3"/>
  <c r="I901" i="3"/>
  <c r="H901" i="3"/>
  <c r="I730" i="3"/>
  <c r="H730" i="3"/>
  <c r="I902" i="3"/>
  <c r="H902" i="3"/>
  <c r="I210" i="3"/>
  <c r="H210" i="3"/>
  <c r="I944" i="3"/>
  <c r="H944" i="3"/>
  <c r="I690" i="3"/>
  <c r="H690" i="3"/>
  <c r="I164" i="3"/>
  <c r="H164" i="3"/>
  <c r="I557" i="3"/>
  <c r="H557" i="3"/>
  <c r="I1030" i="3"/>
  <c r="H1030" i="3"/>
  <c r="I497" i="3"/>
  <c r="H497" i="3"/>
  <c r="I66" i="3"/>
  <c r="H66" i="3"/>
  <c r="I27" i="3"/>
  <c r="H27" i="3"/>
  <c r="I787" i="3"/>
  <c r="H787" i="3"/>
  <c r="I977" i="3"/>
  <c r="H977" i="3"/>
  <c r="I958" i="3"/>
  <c r="H958" i="3"/>
  <c r="I477" i="3"/>
  <c r="H477" i="3"/>
  <c r="I436" i="3"/>
  <c r="H436" i="3"/>
  <c r="I356" i="3"/>
  <c r="H356" i="3"/>
  <c r="I643" i="3"/>
  <c r="H643" i="3"/>
  <c r="I834" i="3"/>
  <c r="H834" i="3"/>
  <c r="I699" i="3"/>
  <c r="H699" i="3"/>
  <c r="I1009" i="3"/>
  <c r="H1009" i="3"/>
  <c r="I1022" i="3"/>
  <c r="H1022" i="3"/>
  <c r="I63" i="3"/>
  <c r="H63" i="3"/>
  <c r="I103" i="3"/>
  <c r="H103" i="3"/>
  <c r="I843" i="3"/>
  <c r="H843" i="3"/>
  <c r="I499" i="3"/>
  <c r="H499" i="3"/>
  <c r="I466" i="3"/>
  <c r="H466" i="3"/>
  <c r="I647" i="3"/>
  <c r="H647" i="3"/>
  <c r="I400" i="3"/>
  <c r="H400" i="3"/>
  <c r="I37" i="3"/>
  <c r="H37" i="3"/>
  <c r="I233" i="3"/>
  <c r="H233" i="3"/>
  <c r="I959" i="3"/>
  <c r="H959" i="3"/>
  <c r="I814" i="3"/>
  <c r="H814" i="3"/>
  <c r="I982" i="3"/>
  <c r="H982" i="3"/>
  <c r="I170" i="3"/>
  <c r="H170" i="3"/>
  <c r="I399" i="3"/>
  <c r="H399" i="3"/>
  <c r="I73" i="3"/>
  <c r="H73" i="3"/>
  <c r="I500" i="3"/>
  <c r="H500" i="3"/>
  <c r="I182" i="3"/>
  <c r="H182" i="3"/>
  <c r="I811" i="3"/>
  <c r="H811" i="3"/>
  <c r="I228" i="3"/>
  <c r="H228" i="3"/>
  <c r="I28" i="3"/>
  <c r="H28" i="3"/>
  <c r="I143" i="3"/>
  <c r="H143" i="3"/>
  <c r="I404" i="3"/>
  <c r="H404" i="3"/>
  <c r="I945" i="3"/>
  <c r="H945" i="3"/>
  <c r="I823" i="3"/>
  <c r="H823" i="3"/>
  <c r="I319" i="3"/>
  <c r="H319" i="3"/>
  <c r="I529" i="3"/>
  <c r="H529" i="3"/>
  <c r="I742" i="3"/>
  <c r="H742" i="3"/>
  <c r="I183" i="3"/>
  <c r="H183" i="3"/>
  <c r="I415" i="3"/>
  <c r="H415" i="3"/>
  <c r="I271" i="3"/>
  <c r="H271" i="3"/>
  <c r="I442" i="3"/>
  <c r="H442" i="3"/>
  <c r="I752" i="3"/>
  <c r="H752" i="3"/>
  <c r="I211" i="3"/>
  <c r="H211" i="3"/>
  <c r="I270" i="3"/>
  <c r="H270" i="3"/>
  <c r="I895" i="3"/>
  <c r="H895" i="3"/>
  <c r="I854" i="3"/>
  <c r="H854" i="3"/>
  <c r="I733" i="3"/>
  <c r="H733" i="3"/>
  <c r="I520" i="3"/>
  <c r="H520" i="3"/>
  <c r="I166" i="3"/>
  <c r="H166" i="3"/>
  <c r="I955" i="3"/>
  <c r="H955" i="3"/>
  <c r="I657" i="3"/>
  <c r="H657" i="3"/>
  <c r="I268" i="3"/>
  <c r="H268" i="3"/>
  <c r="I354" i="3"/>
  <c r="H354" i="3"/>
  <c r="I845" i="3"/>
  <c r="H845" i="3"/>
  <c r="I357" i="3"/>
  <c r="H357" i="3"/>
  <c r="I649" i="3"/>
  <c r="H649" i="3"/>
  <c r="I94" i="3"/>
  <c r="H94" i="3"/>
  <c r="I392" i="3"/>
  <c r="H392" i="3"/>
  <c r="I801" i="3"/>
  <c r="H801" i="3"/>
  <c r="I739" i="3"/>
  <c r="H739" i="3"/>
  <c r="I20" i="3"/>
  <c r="H20" i="3"/>
  <c r="I912" i="3"/>
  <c r="H912" i="3"/>
  <c r="I829" i="3"/>
  <c r="H829" i="3"/>
  <c r="I656" i="3"/>
  <c r="H656" i="3"/>
  <c r="I358" i="3"/>
  <c r="H358" i="3"/>
  <c r="I1031" i="3"/>
  <c r="H1031" i="3"/>
  <c r="I848" i="3"/>
  <c r="H848" i="3"/>
  <c r="I889" i="3"/>
  <c r="H889" i="3"/>
  <c r="I964" i="3"/>
  <c r="H964" i="3"/>
  <c r="I199" i="3"/>
  <c r="H199" i="3"/>
  <c r="I386" i="3"/>
  <c r="H386" i="3"/>
  <c r="I953" i="3"/>
  <c r="H953" i="3"/>
  <c r="I287" i="3"/>
  <c r="H287" i="3"/>
  <c r="I416" i="3"/>
  <c r="H416" i="3"/>
  <c r="I846" i="3"/>
  <c r="H846" i="3"/>
  <c r="I560" i="3"/>
  <c r="H560" i="3"/>
  <c r="I625" i="3"/>
  <c r="H625" i="3"/>
  <c r="I478" i="3"/>
  <c r="H478" i="3"/>
  <c r="I844" i="3"/>
  <c r="H844" i="3"/>
  <c r="I467" i="3"/>
  <c r="H467" i="3"/>
  <c r="I263" i="3"/>
  <c r="H263" i="3"/>
  <c r="I325" i="3"/>
  <c r="H325" i="3"/>
  <c r="I588" i="3"/>
  <c r="H588" i="3"/>
  <c r="I235" i="3"/>
  <c r="H235" i="3"/>
  <c r="I773" i="3"/>
  <c r="H773" i="3"/>
  <c r="I313" i="3"/>
  <c r="H313" i="3"/>
  <c r="I969" i="3"/>
  <c r="H969" i="3"/>
  <c r="I472" i="3"/>
  <c r="H472" i="3"/>
  <c r="I772" i="3"/>
  <c r="H772" i="3"/>
  <c r="I397" i="3"/>
  <c r="H397" i="3"/>
  <c r="I818" i="3"/>
  <c r="H818" i="3"/>
  <c r="I979" i="3"/>
  <c r="H979" i="3"/>
  <c r="I679" i="3"/>
  <c r="H679" i="3"/>
  <c r="I985" i="3"/>
  <c r="H985" i="3"/>
  <c r="I847" i="3"/>
  <c r="H847" i="3"/>
  <c r="I882" i="3"/>
  <c r="H882" i="3"/>
  <c r="I496" i="3"/>
  <c r="H496" i="3"/>
  <c r="I311" i="3"/>
  <c r="H311" i="3"/>
  <c r="I804" i="3"/>
  <c r="H804" i="3"/>
  <c r="I808" i="3"/>
  <c r="H808" i="3"/>
  <c r="I331" i="3"/>
  <c r="H331" i="3"/>
  <c r="I334" i="3"/>
  <c r="H334" i="3"/>
  <c r="I289" i="3"/>
  <c r="H289" i="3"/>
  <c r="I185" i="3"/>
  <c r="H185" i="3"/>
  <c r="I474" i="3"/>
  <c r="H474" i="3"/>
  <c r="I838" i="3"/>
  <c r="H838" i="3"/>
  <c r="I900" i="3"/>
  <c r="H900" i="3"/>
  <c r="I102" i="3"/>
  <c r="H102" i="3"/>
  <c r="I460" i="3"/>
  <c r="H460" i="3"/>
  <c r="I121" i="3"/>
  <c r="H121" i="3"/>
  <c r="I281" i="3"/>
  <c r="H281" i="3"/>
  <c r="I799" i="3"/>
  <c r="H799" i="3"/>
  <c r="I995" i="3"/>
  <c r="H995" i="3"/>
  <c r="I952" i="3"/>
  <c r="H952" i="3"/>
  <c r="I976" i="3"/>
  <c r="H976" i="3"/>
  <c r="I975" i="3"/>
  <c r="H975" i="3"/>
  <c r="I777" i="3"/>
  <c r="H777" i="3"/>
  <c r="I936" i="3"/>
  <c r="H936" i="3"/>
  <c r="I387" i="3"/>
  <c r="H387" i="3"/>
  <c r="I980" i="3"/>
  <c r="H980" i="3"/>
  <c r="I990" i="3"/>
  <c r="H990" i="3"/>
  <c r="I349" i="3"/>
  <c r="H349" i="3"/>
  <c r="I284" i="3"/>
  <c r="H284" i="3"/>
  <c r="I878" i="3"/>
  <c r="H878" i="3"/>
  <c r="I998" i="3"/>
  <c r="H998" i="3"/>
  <c r="I910" i="3"/>
  <c r="H910" i="3"/>
  <c r="I1004" i="3"/>
  <c r="H1004" i="3"/>
  <c r="I279" i="3"/>
  <c r="H279" i="3"/>
  <c r="I1005" i="3"/>
  <c r="H1005" i="3"/>
  <c r="I488" i="3"/>
  <c r="H488" i="3"/>
  <c r="I82" i="3"/>
  <c r="H82" i="3"/>
  <c r="I732" i="3"/>
  <c r="H732" i="3"/>
  <c r="I176" i="3"/>
  <c r="H176" i="3"/>
  <c r="I359" i="3"/>
  <c r="H359" i="3"/>
  <c r="I260" i="3"/>
  <c r="H260" i="3"/>
  <c r="I812" i="3"/>
  <c r="H812" i="3"/>
  <c r="I9" i="3"/>
  <c r="H9" i="3"/>
  <c r="I754" i="3"/>
  <c r="H754" i="3"/>
  <c r="I178" i="3"/>
  <c r="H178" i="3"/>
  <c r="I1015" i="3"/>
  <c r="H1015" i="3"/>
  <c r="I1013" i="3"/>
  <c r="H1013" i="3"/>
  <c r="I482" i="3"/>
  <c r="H482" i="3"/>
  <c r="I1039" i="3"/>
  <c r="H1039" i="3"/>
  <c r="I193" i="3"/>
  <c r="H193" i="3"/>
  <c r="I1028" i="3"/>
  <c r="H1028" i="3"/>
  <c r="I81" i="3"/>
  <c r="H81" i="3"/>
  <c r="I760" i="3"/>
  <c r="H760" i="3"/>
  <c r="I864" i="3"/>
  <c r="H864" i="3"/>
  <c r="I487" i="3"/>
  <c r="H487" i="3"/>
  <c r="I254" i="3"/>
  <c r="H254" i="3"/>
  <c r="I994" i="3"/>
  <c r="H994" i="3"/>
  <c r="I337" i="3"/>
  <c r="H337" i="3"/>
  <c r="I938" i="3"/>
  <c r="H938" i="3"/>
  <c r="I793" i="3"/>
  <c r="H793" i="3"/>
  <c r="I200" i="3"/>
  <c r="H200" i="3"/>
  <c r="I896" i="3"/>
  <c r="H896" i="3"/>
  <c r="I120" i="3"/>
  <c r="H120" i="3"/>
  <c r="I385" i="3"/>
  <c r="H385" i="3"/>
  <c r="I305" i="3"/>
  <c r="H305" i="3"/>
  <c r="I909" i="3"/>
  <c r="H909" i="3"/>
  <c r="I713" i="3"/>
  <c r="H713" i="3"/>
  <c r="I1000" i="3"/>
  <c r="H1000" i="3"/>
  <c r="I917" i="3"/>
  <c r="H917" i="3"/>
  <c r="I333" i="3"/>
  <c r="H333" i="3"/>
  <c r="I150" i="3"/>
  <c r="H150" i="3"/>
  <c r="I946" i="3"/>
  <c r="H946" i="3"/>
  <c r="I59" i="3"/>
  <c r="H59" i="3"/>
  <c r="I312" i="3"/>
  <c r="H312" i="3"/>
  <c r="I391" i="3"/>
  <c r="H391" i="3"/>
  <c r="I278" i="3"/>
  <c r="H278" i="3"/>
  <c r="I771" i="3"/>
  <c r="H771" i="3"/>
  <c r="I131" i="3"/>
  <c r="H131" i="3"/>
  <c r="I915" i="3"/>
  <c r="H915" i="3"/>
  <c r="I128" i="3"/>
  <c r="H128" i="3"/>
  <c r="I51" i="3"/>
  <c r="H51" i="3"/>
  <c r="I861" i="3"/>
  <c r="H861" i="3"/>
  <c r="I105" i="3"/>
  <c r="H105" i="3"/>
  <c r="I377" i="3"/>
  <c r="H377" i="3"/>
  <c r="I127" i="3"/>
  <c r="H127" i="3"/>
  <c r="I253" i="3"/>
  <c r="H253" i="3"/>
  <c r="I286" i="3"/>
  <c r="H286" i="3"/>
  <c r="I343" i="3"/>
  <c r="H343" i="3"/>
  <c r="I1012" i="3"/>
  <c r="H1012" i="3"/>
  <c r="I269" i="3"/>
  <c r="H269" i="3"/>
  <c r="I97" i="3"/>
  <c r="H97" i="3"/>
  <c r="I986" i="3"/>
  <c r="H986" i="3"/>
  <c r="I931" i="3"/>
  <c r="H931" i="3"/>
  <c r="I167" i="3"/>
  <c r="H167" i="3"/>
  <c r="I894" i="3"/>
  <c r="H894" i="3"/>
  <c r="I502" i="3"/>
  <c r="H502" i="3"/>
  <c r="I191" i="3"/>
  <c r="H191" i="3"/>
  <c r="I888" i="3"/>
  <c r="H888" i="3"/>
  <c r="I883" i="3"/>
  <c r="H883" i="3"/>
  <c r="I836" i="3"/>
  <c r="H836" i="3"/>
  <c r="I768" i="3"/>
  <c r="H768" i="3"/>
  <c r="I240" i="3"/>
  <c r="H240" i="3"/>
  <c r="I511" i="3"/>
  <c r="H511" i="3"/>
  <c r="I942" i="3"/>
  <c r="H942" i="3"/>
  <c r="I109" i="3"/>
  <c r="H109" i="3"/>
  <c r="I648" i="3"/>
  <c r="H648" i="3"/>
  <c r="I329" i="3"/>
  <c r="H329" i="3"/>
  <c r="I304" i="3"/>
  <c r="H304" i="3"/>
  <c r="I891" i="3"/>
  <c r="H891" i="3"/>
  <c r="I899" i="3"/>
  <c r="H899" i="3"/>
  <c r="I457" i="3"/>
  <c r="H457" i="3"/>
  <c r="I906" i="3"/>
  <c r="H906" i="3"/>
  <c r="I447" i="3"/>
  <c r="H447" i="3"/>
  <c r="I137" i="3"/>
  <c r="H137" i="3"/>
  <c r="I401" i="3"/>
  <c r="H401" i="3"/>
  <c r="I348" i="3"/>
  <c r="H348" i="3"/>
  <c r="I91" i="3"/>
  <c r="H91" i="3"/>
  <c r="I111" i="3"/>
  <c r="H111" i="3"/>
  <c r="I1040" i="3"/>
  <c r="H1040" i="3"/>
  <c r="I465" i="3"/>
  <c r="H465" i="3"/>
  <c r="I704" i="3"/>
  <c r="H704" i="3"/>
  <c r="I179" i="3"/>
  <c r="H179" i="3"/>
  <c r="I428" i="3"/>
  <c r="H428" i="3"/>
  <c r="I18" i="3"/>
  <c r="H18" i="3"/>
  <c r="I206" i="3"/>
  <c r="H206" i="3"/>
  <c r="I75" i="3"/>
  <c r="H75" i="3"/>
  <c r="I133" i="3"/>
  <c r="H133" i="3"/>
  <c r="I177" i="3"/>
  <c r="H177" i="3"/>
  <c r="I972" i="3"/>
  <c r="H972" i="3"/>
  <c r="I439" i="3"/>
  <c r="H439" i="3"/>
  <c r="I88" i="3"/>
  <c r="H88" i="3"/>
  <c r="I198" i="3"/>
  <c r="H198" i="3"/>
  <c r="I676" i="3"/>
  <c r="H676" i="3"/>
  <c r="I154" i="3"/>
  <c r="H154" i="3"/>
  <c r="I831" i="3"/>
  <c r="H831" i="3"/>
  <c r="I390" i="3"/>
  <c r="H390" i="3"/>
  <c r="I197" i="3"/>
  <c r="H197" i="3"/>
  <c r="I911" i="3"/>
  <c r="H911" i="3"/>
  <c r="I216" i="3"/>
  <c r="H216" i="3"/>
  <c r="I822" i="3"/>
  <c r="H822" i="3"/>
  <c r="I641" i="3"/>
  <c r="H641" i="3"/>
  <c r="I165" i="3"/>
  <c r="H165" i="3"/>
  <c r="I309" i="3"/>
  <c r="H309" i="3"/>
  <c r="I725" i="3"/>
  <c r="H725" i="3"/>
  <c r="I458" i="3"/>
  <c r="H458" i="3"/>
  <c r="I394" i="3"/>
  <c r="H394" i="3"/>
  <c r="I190" i="3"/>
  <c r="H190" i="3"/>
  <c r="I226" i="3"/>
  <c r="H226" i="3"/>
  <c r="I765" i="3"/>
  <c r="H765" i="3"/>
  <c r="I10" i="3"/>
  <c r="H10" i="3"/>
  <c r="I892" i="3"/>
  <c r="H892" i="3"/>
  <c r="I962" i="3"/>
  <c r="H962" i="3"/>
  <c r="I806" i="3"/>
  <c r="H806" i="3"/>
  <c r="I317" i="3"/>
  <c r="H317" i="3"/>
  <c r="I300" i="3"/>
  <c r="H300" i="3"/>
  <c r="I160" i="3"/>
  <c r="H160" i="3"/>
  <c r="I122" i="3"/>
  <c r="H122" i="3"/>
  <c r="I327" i="3"/>
  <c r="H327" i="3"/>
  <c r="I973" i="3"/>
  <c r="H973" i="3"/>
  <c r="I825" i="3"/>
  <c r="H825" i="3"/>
  <c r="I863" i="3"/>
  <c r="H863" i="3"/>
  <c r="I989" i="3"/>
  <c r="H989" i="3"/>
  <c r="I565" i="3"/>
  <c r="H565" i="3"/>
  <c r="I80" i="3"/>
  <c r="H80" i="3"/>
  <c r="I181" i="3"/>
  <c r="H181" i="3"/>
  <c r="I819" i="3"/>
  <c r="H819" i="3"/>
  <c r="I187" i="3"/>
  <c r="H187" i="3"/>
  <c r="I42" i="3"/>
  <c r="H42" i="3"/>
  <c r="I839" i="3"/>
  <c r="H839" i="3"/>
  <c r="I1014" i="3"/>
  <c r="H1014" i="3"/>
  <c r="I292" i="3"/>
  <c r="H292" i="3"/>
  <c r="I438" i="3"/>
  <c r="H438" i="3"/>
  <c r="I376" i="3"/>
  <c r="H376" i="3"/>
  <c r="I1038" i="3"/>
  <c r="H1038" i="3"/>
  <c r="I395" i="3"/>
  <c r="H395" i="3"/>
  <c r="I101" i="3"/>
  <c r="H101" i="3"/>
  <c r="I961" i="3"/>
  <c r="H961" i="3"/>
  <c r="I737" i="3"/>
  <c r="H737" i="3"/>
  <c r="I141" i="3"/>
  <c r="H141" i="3"/>
  <c r="I933" i="3"/>
  <c r="H933" i="3"/>
  <c r="I320" i="3"/>
  <c r="H320" i="3"/>
  <c r="I248" i="3"/>
  <c r="H248" i="3"/>
  <c r="I157" i="3"/>
  <c r="H157" i="3"/>
  <c r="I433" i="3"/>
  <c r="H433" i="3"/>
  <c r="I34" i="3"/>
  <c r="H34" i="3"/>
  <c r="I453" i="3"/>
  <c r="H453" i="3"/>
  <c r="I31" i="3"/>
  <c r="H31" i="3"/>
  <c r="I70" i="3"/>
  <c r="H70" i="3"/>
  <c r="I55" i="3"/>
  <c r="H55" i="3"/>
  <c r="I797" i="3"/>
  <c r="H797" i="3"/>
  <c r="I114" i="3"/>
  <c r="H114" i="3"/>
  <c r="I335" i="3"/>
  <c r="H335" i="3"/>
  <c r="I748" i="3"/>
  <c r="H748" i="3"/>
  <c r="I297" i="3"/>
  <c r="H297" i="3"/>
  <c r="I212" i="3"/>
  <c r="H212" i="3"/>
  <c r="I14" i="3"/>
  <c r="H14" i="3"/>
  <c r="I384" i="3"/>
  <c r="H384" i="3"/>
  <c r="I345" i="3"/>
  <c r="H345" i="3"/>
  <c r="I516" i="3"/>
  <c r="H516" i="3"/>
  <c r="I853" i="3"/>
  <c r="H853" i="3"/>
  <c r="I205" i="3"/>
  <c r="H205" i="3"/>
  <c r="I879" i="3"/>
  <c r="H879" i="3"/>
  <c r="I256" i="3"/>
  <c r="H256" i="3"/>
  <c r="I740" i="3"/>
  <c r="H740" i="3"/>
  <c r="I954" i="3"/>
  <c r="H954" i="3"/>
  <c r="I876" i="3"/>
  <c r="H876" i="3"/>
  <c r="I107" i="3"/>
  <c r="H107" i="3"/>
  <c r="I352" i="3"/>
  <c r="H352" i="3"/>
  <c r="I130" i="3"/>
  <c r="H130" i="3"/>
  <c r="I935" i="3"/>
  <c r="H935" i="3"/>
  <c r="I903" i="3"/>
  <c r="H903" i="3"/>
  <c r="I293" i="3"/>
  <c r="H293" i="3"/>
  <c r="I1001" i="3"/>
  <c r="H1001" i="3"/>
  <c r="I322" i="3"/>
  <c r="H322" i="3"/>
  <c r="I968" i="3"/>
  <c r="H968" i="3"/>
  <c r="I957" i="3"/>
  <c r="H957" i="3"/>
  <c r="I887" i="3"/>
  <c r="H887" i="3"/>
  <c r="I779" i="3"/>
  <c r="H779" i="3"/>
  <c r="I905" i="3"/>
  <c r="H905" i="3"/>
  <c r="I96" i="3"/>
  <c r="H96" i="3"/>
  <c r="I247" i="3"/>
  <c r="H247" i="3"/>
  <c r="I993" i="3"/>
  <c r="H993" i="3"/>
  <c r="I380" i="3"/>
  <c r="H380" i="3"/>
  <c r="I427" i="3"/>
  <c r="H427" i="3"/>
  <c r="I918" i="3"/>
  <c r="H918" i="3"/>
  <c r="I195" i="3"/>
  <c r="H195" i="3"/>
  <c r="I138" i="3"/>
  <c r="H138" i="3"/>
  <c r="I135" i="3"/>
  <c r="H135" i="3"/>
  <c r="I370" i="3"/>
  <c r="H370" i="3"/>
  <c r="I820" i="3"/>
  <c r="H820" i="3"/>
  <c r="I78" i="3"/>
  <c r="H78" i="3"/>
  <c r="I255" i="3"/>
  <c r="H255" i="3"/>
  <c r="I302" i="3"/>
  <c r="H302" i="3"/>
  <c r="I857" i="3"/>
  <c r="H857" i="3"/>
  <c r="I927" i="3"/>
  <c r="H927" i="3"/>
  <c r="I234" i="3"/>
  <c r="H234" i="3"/>
  <c r="I885" i="3"/>
  <c r="H885" i="3"/>
  <c r="I153" i="3"/>
  <c r="H153" i="3"/>
  <c r="I350" i="3"/>
  <c r="H350" i="3"/>
  <c r="I753" i="3"/>
  <c r="H753" i="3"/>
  <c r="I943" i="3"/>
  <c r="H943" i="3"/>
  <c r="I413" i="3"/>
  <c r="H413" i="3"/>
  <c r="I23" i="3"/>
  <c r="H23" i="3"/>
  <c r="I33" i="3"/>
  <c r="H33" i="3"/>
  <c r="I362" i="3"/>
  <c r="H362" i="3"/>
  <c r="I890" i="3"/>
  <c r="H890" i="3"/>
  <c r="I168" i="3"/>
  <c r="H168" i="3"/>
  <c r="I783" i="3"/>
  <c r="H783" i="3"/>
  <c r="I978" i="3"/>
  <c r="H978" i="3"/>
  <c r="I217" i="3"/>
  <c r="H217" i="3"/>
  <c r="I144" i="3"/>
  <c r="H144" i="3"/>
  <c r="I24" i="3"/>
  <c r="H24" i="3"/>
  <c r="I52" i="3"/>
  <c r="H52" i="3"/>
  <c r="I104" i="3"/>
  <c r="H104" i="3"/>
  <c r="I508" i="3"/>
  <c r="H508" i="3"/>
  <c r="I129" i="3"/>
  <c r="H129" i="3"/>
  <c r="I125" i="3"/>
  <c r="H125" i="3"/>
  <c r="I156" i="3"/>
  <c r="H156" i="3"/>
  <c r="I308" i="3"/>
  <c r="H308" i="3"/>
  <c r="I967" i="3"/>
  <c r="H967" i="3"/>
  <c r="I134" i="3"/>
  <c r="H134" i="3"/>
  <c r="I163" i="3"/>
  <c r="H163" i="3"/>
  <c r="I90" i="3"/>
  <c r="H90" i="3"/>
  <c r="I778" i="3"/>
  <c r="H778" i="3"/>
  <c r="I273" i="3"/>
  <c r="H273" i="3"/>
  <c r="I50" i="3"/>
  <c r="H50" i="3"/>
  <c r="I402" i="3"/>
  <c r="H402" i="3"/>
  <c r="I238" i="3"/>
  <c r="H238" i="3"/>
  <c r="I992" i="3"/>
  <c r="H992" i="3"/>
  <c r="I832" i="3"/>
  <c r="H832" i="3"/>
  <c r="I30" i="3"/>
  <c r="H30" i="3"/>
  <c r="I412" i="3"/>
  <c r="H412" i="3"/>
  <c r="I126" i="3"/>
  <c r="H126" i="3"/>
  <c r="I276" i="3"/>
  <c r="H276" i="3"/>
  <c r="I870" i="3"/>
  <c r="H870" i="3"/>
  <c r="I841" i="3"/>
  <c r="H841" i="3"/>
  <c r="I893" i="3"/>
  <c r="H893" i="3"/>
  <c r="I208" i="3"/>
  <c r="H208" i="3"/>
  <c r="I147" i="3"/>
  <c r="H147" i="3"/>
  <c r="I923" i="3"/>
  <c r="H923" i="3"/>
  <c r="I324" i="3"/>
  <c r="H324" i="3"/>
  <c r="I456" i="3"/>
  <c r="H456" i="3"/>
  <c r="I365" i="3"/>
  <c r="H365" i="3"/>
  <c r="I43" i="3"/>
  <c r="H43" i="3"/>
  <c r="I169" i="3"/>
  <c r="H169" i="3"/>
  <c r="I259" i="3"/>
  <c r="H259" i="3"/>
  <c r="I41" i="3"/>
  <c r="H41" i="3"/>
  <c r="I71" i="3"/>
  <c r="H71" i="3"/>
  <c r="I218" i="3"/>
  <c r="H218" i="3"/>
  <c r="I158" i="3"/>
  <c r="H158" i="3"/>
  <c r="I95" i="3"/>
  <c r="H95" i="3"/>
  <c r="I223" i="3"/>
  <c r="H223" i="3"/>
  <c r="I86" i="3"/>
  <c r="H86" i="3"/>
  <c r="I8" i="3"/>
  <c r="H8" i="3"/>
  <c r="I25" i="3"/>
  <c r="H25" i="3"/>
  <c r="I49" i="3"/>
  <c r="H49" i="3"/>
  <c r="I813" i="3"/>
  <c r="H813" i="3"/>
  <c r="I859" i="3"/>
  <c r="H859" i="3"/>
  <c r="I914" i="3"/>
  <c r="H914" i="3"/>
  <c r="I272" i="3"/>
  <c r="H272" i="3"/>
  <c r="I1011" i="3"/>
  <c r="H1011" i="3"/>
  <c r="I913" i="3"/>
  <c r="H913" i="3"/>
  <c r="I203" i="3"/>
  <c r="H203" i="3"/>
  <c r="I67" i="3"/>
  <c r="H67" i="3"/>
  <c r="I118" i="3"/>
  <c r="H118" i="3"/>
  <c r="I132" i="3"/>
  <c r="H132" i="3"/>
  <c r="I113" i="3"/>
  <c r="H113" i="3"/>
  <c r="I58" i="3"/>
  <c r="H58" i="3"/>
  <c r="I38" i="3"/>
  <c r="H38" i="3"/>
  <c r="I136" i="3"/>
  <c r="H136" i="3"/>
  <c r="I997" i="3"/>
  <c r="H997" i="3"/>
  <c r="I225" i="3"/>
  <c r="H225" i="3"/>
  <c r="I1017" i="3"/>
  <c r="H1017" i="3"/>
  <c r="I61" i="3"/>
  <c r="H61" i="3"/>
  <c r="I142" i="3"/>
  <c r="H142" i="3"/>
  <c r="I420" i="3"/>
  <c r="H420" i="3"/>
  <c r="I267" i="3"/>
  <c r="H267" i="3"/>
  <c r="I108" i="3"/>
  <c r="H108" i="3"/>
  <c r="I280" i="3"/>
  <c r="H280" i="3"/>
  <c r="I264" i="3"/>
  <c r="H264" i="3"/>
  <c r="I123" i="3"/>
  <c r="H123" i="3"/>
  <c r="I237" i="3"/>
  <c r="H237" i="3"/>
  <c r="I40" i="3"/>
  <c r="H40" i="3"/>
  <c r="I784" i="3"/>
  <c r="H784" i="3"/>
  <c r="I74" i="3"/>
  <c r="H74" i="3"/>
  <c r="I1023" i="3"/>
  <c r="H1023" i="3"/>
  <c r="I202" i="3"/>
  <c r="H202" i="3"/>
  <c r="I46" i="3"/>
  <c r="H46" i="3"/>
  <c r="I987" i="3"/>
  <c r="H987" i="3"/>
  <c r="I98" i="3"/>
  <c r="H98" i="3"/>
  <c r="I858" i="3"/>
  <c r="H858" i="3"/>
  <c r="I151" i="3"/>
  <c r="H151" i="3"/>
  <c r="I174" i="3"/>
  <c r="H174" i="3"/>
  <c r="I926" i="3"/>
  <c r="H926" i="3"/>
  <c r="I106" i="3"/>
  <c r="H106" i="3"/>
  <c r="I54" i="3"/>
  <c r="H54" i="3"/>
  <c r="I162" i="3"/>
  <c r="H162" i="3"/>
  <c r="I117" i="3"/>
  <c r="H117" i="3"/>
  <c r="I65" i="3"/>
  <c r="H65" i="3"/>
  <c r="I239" i="3"/>
  <c r="H239" i="3"/>
  <c r="I930" i="3"/>
  <c r="H930" i="3"/>
  <c r="I85" i="3"/>
  <c r="H85" i="3"/>
  <c r="I32" i="3"/>
  <c r="H32" i="3"/>
  <c r="I79" i="3"/>
  <c r="H79" i="3"/>
  <c r="I116" i="3"/>
  <c r="H116" i="3"/>
  <c r="I196" i="3"/>
  <c r="H196" i="3"/>
  <c r="I19" i="3"/>
  <c r="H19" i="3"/>
  <c r="I44" i="3"/>
  <c r="H44" i="3"/>
  <c r="I100" i="3"/>
  <c r="H100" i="3"/>
  <c r="I57" i="3"/>
  <c r="H57" i="3"/>
  <c r="I48" i="3"/>
  <c r="H48" i="3"/>
  <c r="I4018" i="2"/>
  <c r="H4018" i="2"/>
  <c r="I4688" i="2"/>
  <c r="H4688" i="2"/>
  <c r="I3794" i="2"/>
  <c r="H3794" i="2"/>
  <c r="I2685" i="2"/>
  <c r="H2685" i="2"/>
  <c r="I7322" i="2"/>
  <c r="H7322" i="2"/>
  <c r="I4320" i="2"/>
  <c r="H4320" i="2"/>
  <c r="I3857" i="2"/>
  <c r="H3857" i="2"/>
  <c r="I5011" i="2"/>
  <c r="H5011" i="2"/>
  <c r="I4172" i="2"/>
  <c r="H4172" i="2"/>
  <c r="I2427" i="2"/>
  <c r="H2427" i="2"/>
  <c r="I5240" i="2"/>
  <c r="H5240" i="2"/>
  <c r="I4896" i="2"/>
  <c r="H4896" i="2"/>
  <c r="I1407" i="2"/>
  <c r="H1407" i="2"/>
  <c r="I4316" i="2"/>
  <c r="H4316" i="2"/>
  <c r="I6532" i="2"/>
  <c r="H6532" i="2"/>
  <c r="I4109" i="2"/>
  <c r="H4109" i="2"/>
  <c r="I4152" i="2"/>
  <c r="H4152" i="2"/>
  <c r="I7247" i="2"/>
  <c r="H7247" i="2"/>
  <c r="I4186" i="2"/>
  <c r="H4186" i="2"/>
  <c r="I3939" i="2"/>
  <c r="H3939" i="2"/>
  <c r="I4275" i="2"/>
  <c r="H4275" i="2"/>
  <c r="I7123" i="2"/>
  <c r="H7123" i="2"/>
  <c r="I4488" i="2"/>
  <c r="H4488" i="2"/>
  <c r="I4681" i="2"/>
  <c r="H4681" i="2"/>
  <c r="I2713" i="2"/>
  <c r="H2713" i="2"/>
  <c r="I7449" i="2"/>
  <c r="H7449" i="2"/>
  <c r="I2798" i="2"/>
  <c r="H2798" i="2"/>
  <c r="I4549" i="2"/>
  <c r="H4549" i="2"/>
  <c r="I2178" i="2"/>
  <c r="H2178" i="2"/>
  <c r="I4123" i="2"/>
  <c r="H4123" i="2"/>
  <c r="I2989" i="2"/>
  <c r="H2989" i="2"/>
  <c r="I6042" i="2"/>
  <c r="H6042" i="2"/>
  <c r="I6751" i="2"/>
  <c r="H6751" i="2"/>
  <c r="I7580" i="2"/>
  <c r="H7580" i="2"/>
  <c r="I4276" i="2"/>
  <c r="H4276" i="2"/>
  <c r="I2231" i="2"/>
  <c r="H2231" i="2"/>
  <c r="I5723" i="2"/>
  <c r="H5723" i="2"/>
  <c r="I4734" i="2"/>
  <c r="H4734" i="2"/>
  <c r="I4497" i="2"/>
  <c r="H4497" i="2"/>
  <c r="I4245" i="2"/>
  <c r="H4245" i="2"/>
  <c r="I1491" i="2"/>
  <c r="H1491" i="2"/>
  <c r="I4693" i="2"/>
  <c r="H4693" i="2"/>
  <c r="I4306" i="2"/>
  <c r="H4306" i="2"/>
  <c r="I4656" i="2"/>
  <c r="H4656" i="2"/>
  <c r="I2711" i="2"/>
  <c r="H2711" i="2"/>
  <c r="I3863" i="2"/>
  <c r="H3863" i="2"/>
  <c r="I4246" i="2"/>
  <c r="H4246" i="2"/>
  <c r="I1347" i="2"/>
  <c r="H1347" i="2"/>
  <c r="I1378" i="2"/>
  <c r="H1378" i="2"/>
  <c r="I4588" i="2"/>
  <c r="H4588" i="2"/>
  <c r="I7542" i="2"/>
  <c r="H7542" i="2"/>
  <c r="I4299" i="2"/>
  <c r="H4299" i="2"/>
  <c r="I2521" i="2"/>
  <c r="H2521" i="2"/>
  <c r="I4575" i="2"/>
  <c r="H4575" i="2"/>
  <c r="I1514" i="2"/>
  <c r="H1514" i="2"/>
  <c r="I4648" i="2"/>
  <c r="H4648" i="2"/>
  <c r="I3114" i="2"/>
  <c r="H3114" i="2"/>
  <c r="I4376" i="2"/>
  <c r="H4376" i="2"/>
  <c r="I1363" i="2"/>
  <c r="H1363" i="2"/>
  <c r="I4718" i="2"/>
  <c r="H4718" i="2"/>
  <c r="I4093" i="2"/>
  <c r="H4093" i="2"/>
  <c r="I3217" i="2"/>
  <c r="H3217" i="2"/>
  <c r="I4231" i="2"/>
  <c r="H4231" i="2"/>
  <c r="I5438" i="2"/>
  <c r="H5438" i="2"/>
  <c r="I1806" i="2"/>
  <c r="H1806" i="2"/>
  <c r="I7471" i="2"/>
  <c r="H7471" i="2"/>
  <c r="I7230" i="2"/>
  <c r="H7230" i="2"/>
  <c r="I4959" i="2"/>
  <c r="H4959" i="2"/>
  <c r="I4425" i="2"/>
  <c r="H4425" i="2"/>
  <c r="I4377" i="2"/>
  <c r="H4377" i="2"/>
  <c r="I4945" i="2"/>
  <c r="H4945" i="2"/>
  <c r="I1944" i="2"/>
  <c r="H1944" i="2"/>
  <c r="I4309" i="2"/>
  <c r="H4309" i="2"/>
  <c r="I4252" i="2"/>
  <c r="H4252" i="2"/>
  <c r="I4201" i="2"/>
  <c r="H4201" i="2"/>
  <c r="I1393" i="2"/>
  <c r="H1393" i="2"/>
  <c r="I5337" i="2"/>
  <c r="H5337" i="2"/>
  <c r="I4227" i="2"/>
  <c r="H4227" i="2"/>
  <c r="I6670" i="2"/>
  <c r="H6670" i="2"/>
  <c r="I2123" i="2"/>
  <c r="H2123" i="2"/>
  <c r="I4561" i="2"/>
  <c r="H4561" i="2"/>
  <c r="I6019" i="2"/>
  <c r="H6019" i="2"/>
  <c r="I4120" i="2"/>
  <c r="H4120" i="2"/>
  <c r="I2679" i="2"/>
  <c r="H2679" i="2"/>
  <c r="I5026" i="2"/>
  <c r="H5026" i="2"/>
  <c r="I1603" i="2"/>
  <c r="H1603" i="2"/>
  <c r="I4621" i="2"/>
  <c r="H4621" i="2"/>
  <c r="I1320" i="2"/>
  <c r="H1320" i="2"/>
  <c r="I1665" i="2"/>
  <c r="H1665" i="2"/>
  <c r="I5667" i="2"/>
  <c r="H5667" i="2"/>
  <c r="I1481" i="2"/>
  <c r="H1481" i="2"/>
  <c r="I4353" i="2"/>
  <c r="H4353" i="2"/>
  <c r="I6668" i="2"/>
  <c r="H6668" i="2"/>
  <c r="I4485" i="2"/>
  <c r="H4485" i="2"/>
  <c r="I6711" i="2"/>
  <c r="H6711" i="2"/>
  <c r="I2681" i="2"/>
  <c r="H2681" i="2"/>
  <c r="I4814" i="2"/>
  <c r="H4814" i="2"/>
  <c r="I4347" i="2"/>
  <c r="H4347" i="2"/>
  <c r="I3884" i="2"/>
  <c r="H3884" i="2"/>
  <c r="I1628" i="2"/>
  <c r="H1628" i="2"/>
  <c r="I7599" i="2"/>
  <c r="H7599" i="2"/>
  <c r="I5728" i="2"/>
  <c r="H5728" i="2"/>
  <c r="I3019" i="2"/>
  <c r="H3019" i="2"/>
  <c r="I1315" i="2"/>
  <c r="H1315" i="2"/>
  <c r="I2350" i="2"/>
  <c r="H2350" i="2"/>
  <c r="I4577" i="2"/>
  <c r="H4577" i="2"/>
  <c r="I4984" i="2"/>
  <c r="H4984" i="2"/>
  <c r="I2204" i="2"/>
  <c r="H2204" i="2"/>
  <c r="I4756" i="2"/>
  <c r="H4756" i="2"/>
  <c r="I4504" i="2"/>
  <c r="H4504" i="2"/>
  <c r="I4274" i="2"/>
  <c r="H4274" i="2"/>
  <c r="I6847" i="2"/>
  <c r="H6847" i="2"/>
  <c r="I4448" i="2"/>
  <c r="H4448" i="2"/>
  <c r="I4160" i="2"/>
  <c r="H4160" i="2"/>
  <c r="I1349" i="2"/>
  <c r="H1349" i="2"/>
  <c r="I4290" i="2"/>
  <c r="H4290" i="2"/>
  <c r="I4536" i="2"/>
  <c r="H4536" i="2"/>
  <c r="I3971" i="2"/>
  <c r="H3971" i="2"/>
  <c r="I1958" i="2"/>
  <c r="H1958" i="2"/>
  <c r="I5751" i="2"/>
  <c r="H5751" i="2"/>
  <c r="I7605" i="2"/>
  <c r="H7605" i="2"/>
  <c r="I4633" i="2"/>
  <c r="H4633" i="2"/>
  <c r="I7359" i="2"/>
  <c r="H7359" i="2"/>
  <c r="I4415" i="2"/>
  <c r="H4415" i="2"/>
  <c r="I5370" i="2"/>
  <c r="H5370" i="2"/>
  <c r="I1672" i="2"/>
  <c r="H1672" i="2"/>
  <c r="I4954" i="2"/>
  <c r="H4954" i="2"/>
  <c r="I1605" i="2"/>
  <c r="H1605" i="2"/>
  <c r="I4267" i="2"/>
  <c r="H4267" i="2"/>
  <c r="I3459" i="2"/>
  <c r="H3459" i="2"/>
  <c r="I4342" i="2"/>
  <c r="H4342" i="2"/>
  <c r="I3555" i="2"/>
  <c r="H3555" i="2"/>
  <c r="I4708" i="2"/>
  <c r="H4708" i="2"/>
  <c r="I4490" i="2"/>
  <c r="H4490" i="2"/>
  <c r="I1589" i="2"/>
  <c r="H1589" i="2"/>
  <c r="I4523" i="2"/>
  <c r="H4523" i="2"/>
  <c r="I1735" i="2"/>
  <c r="H1735" i="2"/>
  <c r="I1333" i="2"/>
  <c r="H1333" i="2"/>
  <c r="I7436" i="2"/>
  <c r="H7436" i="2"/>
  <c r="I4110" i="2"/>
  <c r="H4110" i="2"/>
  <c r="I4052" i="2"/>
  <c r="H4052" i="2"/>
  <c r="I4341" i="2"/>
  <c r="H4341" i="2"/>
  <c r="I4030" i="2"/>
  <c r="H4030" i="2"/>
  <c r="I4396" i="2"/>
  <c r="H4396" i="2"/>
  <c r="I4224" i="2"/>
  <c r="H4224" i="2"/>
  <c r="I5939" i="2"/>
  <c r="H5939" i="2"/>
  <c r="I6836" i="2"/>
  <c r="H6836" i="2"/>
  <c r="I4325" i="2"/>
  <c r="H4325" i="2"/>
  <c r="I1860" i="2"/>
  <c r="H1860" i="2"/>
  <c r="I5455" i="2"/>
  <c r="H5455" i="2"/>
  <c r="I4641" i="2"/>
  <c r="H4641" i="2"/>
  <c r="I5092" i="2"/>
  <c r="H5092" i="2"/>
  <c r="I4426" i="2"/>
  <c r="H4426" i="2"/>
  <c r="I4354" i="2"/>
  <c r="H4354" i="2"/>
  <c r="I7575" i="2"/>
  <c r="H7575" i="2"/>
  <c r="I2857" i="2"/>
  <c r="H2857" i="2"/>
  <c r="I6353" i="2"/>
  <c r="H6353" i="2"/>
  <c r="I1401" i="2"/>
  <c r="H1401" i="2"/>
  <c r="I5193" i="2"/>
  <c r="H5193" i="2"/>
  <c r="I1489" i="2"/>
  <c r="H1489" i="2"/>
  <c r="I4538" i="2"/>
  <c r="H4538" i="2"/>
  <c r="I1437" i="2"/>
  <c r="H1437" i="2"/>
  <c r="I7512" i="2"/>
  <c r="H7512" i="2"/>
  <c r="I7291" i="2"/>
  <c r="H7291" i="2"/>
  <c r="I4512" i="2"/>
  <c r="H4512" i="2"/>
  <c r="I7121" i="2"/>
  <c r="H7121" i="2"/>
  <c r="I7008" i="2"/>
  <c r="H7008" i="2"/>
  <c r="I3976" i="2"/>
  <c r="H3976" i="2"/>
  <c r="I6053" i="2"/>
  <c r="H6053" i="2"/>
  <c r="I4988" i="2"/>
  <c r="H4988" i="2"/>
  <c r="I4713" i="2"/>
  <c r="H4713" i="2"/>
  <c r="I4165" i="2"/>
  <c r="H4165" i="2"/>
  <c r="I6108" i="2"/>
  <c r="H6108" i="2"/>
  <c r="I1305" i="2"/>
  <c r="H1305" i="2"/>
  <c r="I7482" i="2"/>
  <c r="H7482" i="2"/>
  <c r="I2888" i="2"/>
  <c r="H2888" i="2"/>
  <c r="I4265" i="2"/>
  <c r="H4265" i="2"/>
  <c r="I4388" i="2"/>
  <c r="H4388" i="2"/>
  <c r="I4259" i="2"/>
  <c r="H4259" i="2"/>
  <c r="I1471" i="2"/>
  <c r="H1471" i="2"/>
  <c r="I6797" i="2"/>
  <c r="H6797" i="2"/>
  <c r="I4369" i="2"/>
  <c r="H4369" i="2"/>
  <c r="I1395" i="2"/>
  <c r="H1395" i="2"/>
  <c r="I4387" i="2"/>
  <c r="H4387" i="2"/>
  <c r="I4086" i="2"/>
  <c r="H4086" i="2"/>
  <c r="I4613" i="2"/>
  <c r="H4613" i="2"/>
  <c r="I7456" i="2"/>
  <c r="H7456" i="2"/>
  <c r="I1537" i="2"/>
  <c r="H1537" i="2"/>
  <c r="I7604" i="2"/>
  <c r="H7604" i="2"/>
  <c r="I4192" i="2"/>
  <c r="H4192" i="2"/>
  <c r="I6075" i="2"/>
  <c r="H6075" i="2"/>
  <c r="I5649" i="2"/>
  <c r="H5649" i="2"/>
  <c r="I3309" i="2"/>
  <c r="H3309" i="2"/>
  <c r="I7252" i="2"/>
  <c r="H7252" i="2"/>
  <c r="I4398" i="2"/>
  <c r="H4398" i="2"/>
  <c r="I4386" i="2"/>
  <c r="H4386" i="2"/>
  <c r="I3544" i="2"/>
  <c r="H3544" i="2"/>
  <c r="I7635" i="2"/>
  <c r="H7635" i="2"/>
  <c r="I2177" i="2"/>
  <c r="H2177" i="2"/>
  <c r="I3999" i="2"/>
  <c r="H3999" i="2"/>
  <c r="I4121" i="2"/>
  <c r="H4121" i="2"/>
  <c r="I7589" i="2"/>
  <c r="H7589" i="2"/>
  <c r="I2432" i="2"/>
  <c r="H2432" i="2"/>
  <c r="I1623" i="2"/>
  <c r="H1623" i="2"/>
  <c r="I4434" i="2"/>
  <c r="H4434" i="2"/>
  <c r="I7526" i="2"/>
  <c r="H7526" i="2"/>
  <c r="I1507" i="2"/>
  <c r="H1507" i="2"/>
  <c r="I4586" i="2"/>
  <c r="H4586" i="2"/>
  <c r="I3670" i="2"/>
  <c r="H3670" i="2"/>
  <c r="H1288" i="2"/>
  <c r="I2867" i="2"/>
  <c r="H2867" i="2"/>
  <c r="I4496" i="2"/>
  <c r="H4496" i="2"/>
  <c r="I1432" i="2"/>
  <c r="H1432" i="2"/>
  <c r="I1477" i="2"/>
  <c r="H1477" i="2"/>
  <c r="I4262" i="2"/>
  <c r="H4262" i="2"/>
  <c r="I4867" i="2"/>
  <c r="H4867" i="2"/>
  <c r="I1752" i="2"/>
  <c r="H1752" i="2"/>
  <c r="I1321" i="2"/>
  <c r="H1321" i="2"/>
  <c r="I4330" i="2"/>
  <c r="H4330" i="2"/>
  <c r="I4346" i="2"/>
  <c r="H4346" i="2"/>
  <c r="I4138" i="2"/>
  <c r="H4138" i="2"/>
  <c r="I7577" i="2"/>
  <c r="H7577" i="2"/>
  <c r="I4249" i="2"/>
  <c r="H4249" i="2"/>
  <c r="I2393" i="2"/>
  <c r="H2393" i="2"/>
  <c r="I3641" i="2"/>
  <c r="H3641" i="2"/>
  <c r="I4372" i="2"/>
  <c r="H4372" i="2"/>
  <c r="I6737" i="2"/>
  <c r="H6737" i="2"/>
  <c r="I4431" i="2"/>
  <c r="H4431" i="2"/>
  <c r="I7447" i="2"/>
  <c r="H7447" i="2"/>
  <c r="I4385" i="2"/>
  <c r="H4385" i="2"/>
  <c r="I7643" i="2"/>
  <c r="H7643" i="2"/>
  <c r="I4335" i="2"/>
  <c r="H4335" i="2"/>
  <c r="I1553" i="2"/>
  <c r="H1553" i="2"/>
  <c r="I5045" i="2"/>
  <c r="H5045" i="2"/>
  <c r="I4361" i="2"/>
  <c r="H4361" i="2"/>
  <c r="I4424" i="2"/>
  <c r="H4424" i="2"/>
  <c r="I4381" i="2"/>
  <c r="H4381" i="2"/>
  <c r="I3483" i="2"/>
  <c r="H3483" i="2"/>
  <c r="I7660" i="2"/>
  <c r="H7660" i="2"/>
  <c r="I7560" i="2"/>
  <c r="H7560" i="2"/>
  <c r="I5207" i="2"/>
  <c r="H5207" i="2"/>
  <c r="I7341" i="2"/>
  <c r="H7341" i="2"/>
  <c r="I3564" i="2"/>
  <c r="H3564" i="2"/>
  <c r="I6370" i="2"/>
  <c r="H6370" i="2"/>
  <c r="I1974" i="2"/>
  <c r="H1974" i="2"/>
  <c r="I5257" i="2"/>
  <c r="H5257" i="2"/>
  <c r="I3368" i="2"/>
  <c r="H3368" i="2"/>
  <c r="I4219" i="2"/>
  <c r="H4219" i="2"/>
  <c r="I4327" i="2"/>
  <c r="H4327" i="2"/>
  <c r="I5668" i="2"/>
  <c r="H5668" i="2"/>
  <c r="I6784" i="2"/>
  <c r="H6784" i="2"/>
  <c r="I5435" i="2"/>
  <c r="H5435" i="2"/>
  <c r="I1289" i="2"/>
  <c r="H1289" i="2"/>
  <c r="I1693" i="2"/>
  <c r="H1693" i="2"/>
  <c r="I5178" i="2"/>
  <c r="H5178" i="2"/>
  <c r="I4627" i="2"/>
  <c r="H4627" i="2"/>
  <c r="I3314" i="2"/>
  <c r="H3314" i="2"/>
  <c r="I3656" i="2"/>
  <c r="H3656" i="2"/>
  <c r="I3637" i="2"/>
  <c r="H3637" i="2"/>
  <c r="I1287" i="2"/>
  <c r="H1287" i="2"/>
  <c r="I3961" i="2"/>
  <c r="H3961" i="2"/>
  <c r="I5721" i="2"/>
  <c r="H5721" i="2"/>
  <c r="I3905" i="2"/>
  <c r="H3905" i="2"/>
  <c r="I4289" i="2"/>
  <c r="H4289" i="2"/>
  <c r="I5333" i="2"/>
  <c r="H5333" i="2"/>
  <c r="I7552" i="2"/>
  <c r="H7552" i="2"/>
  <c r="I4729" i="2"/>
  <c r="H4729" i="2"/>
  <c r="I4578" i="2"/>
  <c r="H4578" i="2"/>
  <c r="I3630" i="2"/>
  <c r="H3630" i="2"/>
  <c r="I4452" i="2"/>
  <c r="H4452" i="2"/>
  <c r="I4411" i="2"/>
  <c r="H4411" i="2"/>
  <c r="I7543" i="2"/>
  <c r="H7543" i="2"/>
  <c r="I3922" i="2"/>
  <c r="H3922" i="2"/>
  <c r="I6107" i="2"/>
  <c r="H6107" i="2"/>
  <c r="I4266" i="2"/>
  <c r="H4266" i="2"/>
  <c r="I7270" i="2"/>
  <c r="H7270" i="2"/>
  <c r="I1274" i="2"/>
  <c r="H1274" i="2"/>
  <c r="I5189" i="2"/>
  <c r="H5189" i="2"/>
  <c r="I3763" i="2"/>
  <c r="H3763" i="2"/>
  <c r="I5105" i="2"/>
  <c r="H5105" i="2"/>
  <c r="I4939" i="2"/>
  <c r="H4939" i="2"/>
  <c r="I4149" i="2"/>
  <c r="H4149" i="2"/>
  <c r="I6673" i="2"/>
  <c r="H6673" i="2"/>
  <c r="I7540" i="2"/>
  <c r="H7540" i="2"/>
  <c r="I1889" i="2"/>
  <c r="H1889" i="2"/>
  <c r="I6754" i="2"/>
  <c r="H6754" i="2"/>
  <c r="I5697" i="2"/>
  <c r="H5697" i="2"/>
  <c r="I4573" i="2"/>
  <c r="H4573" i="2"/>
  <c r="I5739" i="2"/>
  <c r="H5739" i="2"/>
  <c r="I4661" i="2"/>
  <c r="H4661" i="2"/>
  <c r="I2912" i="2"/>
  <c r="H2912" i="2"/>
  <c r="I4292" i="2"/>
  <c r="H4292" i="2"/>
  <c r="I7510" i="2"/>
  <c r="H7510" i="2"/>
  <c r="I4232" i="2"/>
  <c r="H4232" i="2"/>
  <c r="I3773" i="2"/>
  <c r="H3773" i="2"/>
  <c r="I1409" i="2"/>
  <c r="H1409" i="2"/>
  <c r="I2721" i="2"/>
  <c r="H2721" i="2"/>
  <c r="I4328" i="2"/>
  <c r="H4328" i="2"/>
  <c r="I1446" i="2"/>
  <c r="H1446" i="2"/>
  <c r="I1265" i="2"/>
  <c r="H1265" i="2"/>
  <c r="I1696" i="2"/>
  <c r="H1696" i="2"/>
  <c r="I4355" i="2"/>
  <c r="H4355" i="2"/>
  <c r="I2339" i="2"/>
  <c r="H2339" i="2"/>
  <c r="I4510" i="2"/>
  <c r="H4510" i="2"/>
  <c r="I1963" i="2"/>
  <c r="H1963" i="2"/>
  <c r="I4230" i="2"/>
  <c r="H4230" i="2"/>
  <c r="I7621" i="2"/>
  <c r="H7621" i="2"/>
  <c r="I5075" i="2"/>
  <c r="H5075" i="2"/>
  <c r="I4798" i="2"/>
  <c r="H4798" i="2"/>
  <c r="I4781" i="2"/>
  <c r="H4781" i="2"/>
  <c r="I4837" i="2"/>
  <c r="H4837" i="2"/>
  <c r="I4356" i="2"/>
  <c r="H4356" i="2"/>
  <c r="I1257" i="2"/>
  <c r="H1257" i="2"/>
  <c r="I5458" i="2"/>
  <c r="H5458" i="2"/>
  <c r="I2188" i="2"/>
  <c r="H2188" i="2"/>
  <c r="I2936" i="2"/>
  <c r="H2936" i="2"/>
  <c r="I4911" i="2"/>
  <c r="H4911" i="2"/>
  <c r="I6528" i="2"/>
  <c r="H6528" i="2"/>
  <c r="I2523" i="2"/>
  <c r="H2523" i="2"/>
  <c r="I4432" i="2"/>
  <c r="H4432" i="2"/>
  <c r="I4169" i="2"/>
  <c r="H4169" i="2"/>
  <c r="I3321" i="2"/>
  <c r="H3321" i="2"/>
  <c r="I5631" i="2"/>
  <c r="H5631" i="2"/>
  <c r="I3878" i="2"/>
  <c r="H3878" i="2"/>
  <c r="I4383" i="2"/>
  <c r="H4383" i="2"/>
  <c r="I1641" i="2"/>
  <c r="H1641" i="2"/>
  <c r="I1286" i="2"/>
  <c r="H1286" i="2"/>
  <c r="I4816" i="2"/>
  <c r="H4816" i="2"/>
  <c r="I4699" i="2"/>
  <c r="H4699" i="2"/>
  <c r="I1384" i="2"/>
  <c r="H1384" i="2"/>
  <c r="I7150" i="2"/>
  <c r="H7150" i="2"/>
  <c r="I4214" i="2"/>
  <c r="H4214" i="2"/>
  <c r="I4293" i="2"/>
  <c r="H4293" i="2"/>
  <c r="I1397" i="2"/>
  <c r="H1397" i="2"/>
  <c r="I4223" i="2"/>
  <c r="H4223" i="2"/>
  <c r="I7662" i="2"/>
  <c r="H7662" i="2"/>
  <c r="I5168" i="2"/>
  <c r="H5168" i="2"/>
  <c r="I1296" i="2"/>
  <c r="H1296" i="2"/>
  <c r="I3974" i="2"/>
  <c r="H3974" i="2"/>
  <c r="I4270" i="2"/>
  <c r="H4270" i="2"/>
  <c r="I1421" i="2"/>
  <c r="H1421" i="2"/>
  <c r="I5290" i="2"/>
  <c r="H5290" i="2"/>
  <c r="I4921" i="2"/>
  <c r="H4921" i="2"/>
  <c r="I1255" i="2"/>
  <c r="H1255" i="2"/>
  <c r="I4148" i="2"/>
  <c r="H4148" i="2"/>
  <c r="I7173" i="2"/>
  <c r="H7173" i="2"/>
  <c r="I5326" i="2"/>
  <c r="H5326" i="2"/>
  <c r="I1318" i="2"/>
  <c r="H1318" i="2"/>
  <c r="I5311" i="2"/>
  <c r="H5311" i="2"/>
  <c r="I1538" i="2"/>
  <c r="H1538" i="2"/>
  <c r="I4339" i="2"/>
  <c r="H4339" i="2"/>
  <c r="I7551" i="2"/>
  <c r="H7551" i="2"/>
  <c r="I4268" i="2"/>
  <c r="H4268" i="2"/>
  <c r="I1247" i="2"/>
  <c r="H1247" i="2"/>
  <c r="I7525" i="2"/>
  <c r="H7525" i="2"/>
  <c r="I3311" i="2"/>
  <c r="H3311" i="2"/>
  <c r="I5612" i="2"/>
  <c r="H5612" i="2"/>
  <c r="I6630" i="2"/>
  <c r="H6630" i="2"/>
  <c r="I1371" i="2"/>
  <c r="H1371" i="2"/>
  <c r="I7023" i="2"/>
  <c r="H7023" i="2"/>
  <c r="I4542" i="2"/>
  <c r="H4542" i="2"/>
  <c r="I4643" i="2"/>
  <c r="H4643" i="2"/>
  <c r="I5484" i="2"/>
  <c r="H5484" i="2"/>
  <c r="I3888" i="2"/>
  <c r="H3888" i="2"/>
  <c r="I4364" i="2"/>
  <c r="H4364" i="2"/>
  <c r="I7083" i="2"/>
  <c r="H7083" i="2"/>
  <c r="I5446" i="2"/>
  <c r="H5446" i="2"/>
  <c r="I1651" i="2"/>
  <c r="H1651" i="2"/>
  <c r="I4061" i="2"/>
  <c r="H4061" i="2"/>
  <c r="I3812" i="2"/>
  <c r="H3812" i="2"/>
  <c r="I5062" i="2"/>
  <c r="H5062" i="2"/>
  <c r="I4420" i="2"/>
  <c r="H4420" i="2"/>
  <c r="I6209" i="2"/>
  <c r="H6209" i="2"/>
  <c r="I7686" i="2"/>
  <c r="H7686" i="2"/>
  <c r="I4028" i="2"/>
  <c r="H4028" i="2"/>
  <c r="I2089" i="2"/>
  <c r="H2089" i="2"/>
  <c r="I3362" i="2"/>
  <c r="H3362" i="2"/>
  <c r="I7488" i="2"/>
  <c r="H7488" i="2"/>
  <c r="I1406" i="2"/>
  <c r="H1406" i="2"/>
  <c r="I5251" i="2"/>
  <c r="H5251" i="2"/>
  <c r="I1351" i="2"/>
  <c r="H1351" i="2"/>
  <c r="I4695" i="2"/>
  <c r="H4695" i="2"/>
  <c r="I4849" i="2"/>
  <c r="H4849" i="2"/>
  <c r="I1298" i="2"/>
  <c r="H1298" i="2"/>
  <c r="I4107" i="2"/>
  <c r="H4107" i="2"/>
  <c r="I3239" i="2"/>
  <c r="H3239" i="2"/>
  <c r="I6592" i="2"/>
  <c r="H6592" i="2"/>
  <c r="I4340" i="2"/>
  <c r="H4340" i="2"/>
  <c r="I2962" i="2"/>
  <c r="H2962" i="2"/>
  <c r="I4389" i="2"/>
  <c r="H4389" i="2"/>
  <c r="I4777" i="2"/>
  <c r="H4777" i="2"/>
  <c r="I5111" i="2"/>
  <c r="H5111" i="2"/>
  <c r="I4256" i="2"/>
  <c r="H4256" i="2"/>
  <c r="I4066" i="2"/>
  <c r="H4066" i="2"/>
  <c r="I1916" i="2"/>
  <c r="H1916" i="2"/>
  <c r="I4198" i="2"/>
  <c r="H4198" i="2"/>
  <c r="I5246" i="2"/>
  <c r="H5246" i="2"/>
  <c r="I4413" i="2"/>
  <c r="H4413" i="2"/>
  <c r="I4374" i="2"/>
  <c r="H4374" i="2"/>
  <c r="I5277" i="2"/>
  <c r="H5277" i="2"/>
  <c r="I3405" i="2"/>
  <c r="H3405" i="2"/>
  <c r="I4717" i="2"/>
  <c r="H4717" i="2"/>
  <c r="I2638" i="2"/>
  <c r="H2638" i="2"/>
  <c r="I3182" i="2"/>
  <c r="H3182" i="2"/>
  <c r="I4408" i="2"/>
  <c r="H4408" i="2"/>
  <c r="I5140" i="2"/>
  <c r="H5140" i="2"/>
  <c r="I3718" i="2"/>
  <c r="H3718" i="2"/>
  <c r="I6080" i="2"/>
  <c r="H6080" i="2"/>
  <c r="I3926" i="2"/>
  <c r="H3926" i="2"/>
  <c r="I4505" i="2"/>
  <c r="H4505" i="2"/>
  <c r="I6044" i="2"/>
  <c r="H6044" i="2"/>
  <c r="I4006" i="2"/>
  <c r="H4006" i="2"/>
  <c r="I1312" i="2"/>
  <c r="H1312" i="2"/>
  <c r="I4329" i="2"/>
  <c r="H4329" i="2"/>
  <c r="I3972" i="2"/>
  <c r="H3972" i="2"/>
  <c r="I7419" i="2"/>
  <c r="H7419" i="2"/>
  <c r="I1219" i="2"/>
  <c r="H1219" i="2"/>
  <c r="I1484" i="2"/>
  <c r="H1484" i="2"/>
  <c r="I4606" i="2"/>
  <c r="H4606" i="2"/>
  <c r="I3308" i="2"/>
  <c r="H3308" i="2"/>
  <c r="I4242" i="2"/>
  <c r="H4242" i="2"/>
  <c r="I4492" i="2"/>
  <c r="H4492" i="2"/>
  <c r="I7616" i="2"/>
  <c r="H7616" i="2"/>
  <c r="I7699" i="2"/>
  <c r="H7699" i="2"/>
  <c r="I3994" i="2"/>
  <c r="H3994" i="2"/>
  <c r="I4317" i="2"/>
  <c r="H4317" i="2"/>
  <c r="I5985" i="2"/>
  <c r="H5985" i="2"/>
  <c r="I1216" i="2"/>
  <c r="H1216" i="2"/>
  <c r="I7144" i="2"/>
  <c r="H7144" i="2"/>
  <c r="I3310" i="2"/>
  <c r="H3310" i="2"/>
  <c r="I4053" i="2"/>
  <c r="H4053" i="2"/>
  <c r="I4216" i="2"/>
  <c r="H4216" i="2"/>
  <c r="I5270" i="2"/>
  <c r="H5270" i="2"/>
  <c r="I4508" i="2"/>
  <c r="H4508" i="2"/>
  <c r="I6348" i="2"/>
  <c r="H6348" i="2"/>
  <c r="I4502" i="2"/>
  <c r="H4502" i="2"/>
  <c r="I4133" i="2"/>
  <c r="H4133" i="2"/>
  <c r="I4371" i="2"/>
  <c r="H4371" i="2"/>
  <c r="I4020" i="2"/>
  <c r="H4020" i="2"/>
  <c r="I1835" i="2"/>
  <c r="H1835" i="2"/>
  <c r="I4465" i="2"/>
  <c r="H4465" i="2"/>
  <c r="I4336" i="2"/>
  <c r="H4336" i="2"/>
  <c r="I4131" i="2"/>
  <c r="H4131" i="2"/>
  <c r="I4302" i="2"/>
  <c r="H4302" i="2"/>
  <c r="I5287" i="2"/>
  <c r="H5287" i="2"/>
  <c r="I3830" i="2"/>
  <c r="H3830" i="2"/>
  <c r="I5547" i="2"/>
  <c r="H5547" i="2"/>
  <c r="I5167" i="2"/>
  <c r="H5167" i="2"/>
  <c r="I1907" i="2"/>
  <c r="H1907" i="2"/>
  <c r="I3781" i="2"/>
  <c r="H3781" i="2"/>
  <c r="I4166" i="2"/>
  <c r="H4166" i="2"/>
  <c r="I4322" i="2"/>
  <c r="H4322" i="2"/>
  <c r="I5275" i="2"/>
  <c r="H5275" i="2"/>
  <c r="I6222" i="2"/>
  <c r="H6222" i="2"/>
  <c r="I1454" i="2"/>
  <c r="H1454" i="2"/>
  <c r="I4810" i="2"/>
  <c r="H4810" i="2"/>
  <c r="I3685" i="2"/>
  <c r="H3685" i="2"/>
  <c r="I2902" i="2"/>
  <c r="H2902" i="2"/>
  <c r="I4202" i="2"/>
  <c r="H4202" i="2"/>
  <c r="I7658" i="2"/>
  <c r="H7658" i="2"/>
  <c r="I4880" i="2"/>
  <c r="H4880" i="2"/>
  <c r="I5224" i="2"/>
  <c r="H5224" i="2"/>
  <c r="I4345" i="2"/>
  <c r="H4345" i="2"/>
  <c r="I2539" i="2"/>
  <c r="H2539" i="2"/>
  <c r="I7726" i="2"/>
  <c r="H7726" i="2"/>
  <c r="I1883" i="2"/>
  <c r="H1883" i="2"/>
  <c r="I5938" i="2"/>
  <c r="H5938" i="2"/>
  <c r="I6926" i="2"/>
  <c r="H6926" i="2"/>
  <c r="I4487" i="2"/>
  <c r="H4487" i="2"/>
  <c r="I4217" i="2"/>
  <c r="H4217" i="2"/>
  <c r="I7518" i="2"/>
  <c r="H7518" i="2"/>
  <c r="I4457" i="2"/>
  <c r="H4457" i="2"/>
  <c r="I5288" i="2"/>
  <c r="H5288" i="2"/>
  <c r="I1945" i="2"/>
  <c r="H1945" i="2"/>
  <c r="I5373" i="2"/>
  <c r="H5373" i="2"/>
  <c r="I3391" i="2"/>
  <c r="H3391" i="2"/>
  <c r="I2295" i="2"/>
  <c r="H2295" i="2"/>
  <c r="I6126" i="2"/>
  <c r="H6126" i="2"/>
  <c r="I4235" i="2"/>
  <c r="H4235" i="2"/>
  <c r="I4305" i="2"/>
  <c r="H4305" i="2"/>
  <c r="I5269" i="2"/>
  <c r="H5269" i="2"/>
  <c r="I4384" i="2"/>
  <c r="H4384" i="2"/>
  <c r="I2822" i="2"/>
  <c r="H2822" i="2"/>
  <c r="I3271" i="2"/>
  <c r="H3271" i="2"/>
  <c r="I4739" i="2"/>
  <c r="H4739" i="2"/>
  <c r="I4221" i="2"/>
  <c r="H4221" i="2"/>
  <c r="I3623" i="2"/>
  <c r="H3623" i="2"/>
  <c r="I7714" i="2"/>
  <c r="H7714" i="2"/>
  <c r="I1544" i="2"/>
  <c r="H1544" i="2"/>
  <c r="I1340" i="2"/>
  <c r="H1340" i="2"/>
  <c r="I1195" i="2"/>
  <c r="H1195" i="2"/>
  <c r="I3804" i="2"/>
  <c r="H3804" i="2"/>
  <c r="I5309" i="2"/>
  <c r="H5309" i="2"/>
  <c r="I1281" i="2"/>
  <c r="H1281" i="2"/>
  <c r="I4397" i="2"/>
  <c r="H4397" i="2"/>
  <c r="I5310" i="2"/>
  <c r="H5310" i="2"/>
  <c r="I4731" i="2"/>
  <c r="H4731" i="2"/>
  <c r="I4760" i="2"/>
  <c r="H4760" i="2"/>
  <c r="I4112" i="2"/>
  <c r="H4112" i="2"/>
  <c r="I6570" i="2"/>
  <c r="H6570" i="2"/>
  <c r="I7511" i="2"/>
  <c r="H7511" i="2"/>
  <c r="I4141" i="2"/>
  <c r="H4141" i="2"/>
  <c r="I4382" i="2"/>
  <c r="H4382" i="2"/>
  <c r="I1183" i="2"/>
  <c r="H1183" i="2"/>
  <c r="I1669" i="2"/>
  <c r="H1669" i="2"/>
  <c r="I1495" i="2"/>
  <c r="H1495" i="2"/>
  <c r="I1304" i="2"/>
  <c r="H1304" i="2"/>
  <c r="I1268" i="2"/>
  <c r="H1268" i="2"/>
  <c r="I2185" i="2"/>
  <c r="H2185" i="2"/>
  <c r="I5094" i="2"/>
  <c r="H5094" i="2"/>
  <c r="I5308" i="2"/>
  <c r="H5308" i="2"/>
  <c r="I5336" i="2"/>
  <c r="H5336" i="2"/>
  <c r="I2466" i="2"/>
  <c r="H2466" i="2"/>
  <c r="I1182" i="2"/>
  <c r="H1182" i="2"/>
  <c r="I4337" i="2"/>
  <c r="H4337" i="2"/>
  <c r="I3755" i="2"/>
  <c r="H3755" i="2"/>
  <c r="I4215" i="2"/>
  <c r="H4215" i="2"/>
  <c r="I1475" i="2"/>
  <c r="H1475" i="2"/>
  <c r="I1204" i="2"/>
  <c r="H1204" i="2"/>
  <c r="I5462" i="2"/>
  <c r="H5462" i="2"/>
  <c r="I2730" i="2"/>
  <c r="H2730" i="2"/>
  <c r="I5301" i="2"/>
  <c r="H5301" i="2"/>
  <c r="I5300" i="2"/>
  <c r="H5300" i="2"/>
  <c r="I4491" i="2"/>
  <c r="H4491" i="2"/>
  <c r="I4194" i="2"/>
  <c r="H4194" i="2"/>
  <c r="I1217" i="2"/>
  <c r="H1217" i="2"/>
  <c r="I6253" i="2"/>
  <c r="H6253" i="2"/>
  <c r="I1449" i="2"/>
  <c r="H1449" i="2"/>
  <c r="I5304" i="2"/>
  <c r="H5304" i="2"/>
  <c r="I4706" i="2"/>
  <c r="H4706" i="2"/>
  <c r="I3650" i="2"/>
  <c r="H3650" i="2"/>
  <c r="I4326" i="2"/>
  <c r="H4326" i="2"/>
  <c r="I3444" i="2"/>
  <c r="H3444" i="2"/>
  <c r="I5335" i="2"/>
  <c r="H5335" i="2"/>
  <c r="I4349" i="2"/>
  <c r="H4349" i="2"/>
  <c r="I3507" i="2"/>
  <c r="H3507" i="2"/>
  <c r="I1194" i="2"/>
  <c r="H1194" i="2"/>
  <c r="I5342" i="2"/>
  <c r="H5342" i="2"/>
  <c r="I5380" i="2"/>
  <c r="H5380" i="2"/>
  <c r="I2127" i="2"/>
  <c r="H2127" i="2"/>
  <c r="I4469" i="2"/>
  <c r="H4469" i="2"/>
  <c r="I6943" i="2"/>
  <c r="H6943" i="2"/>
  <c r="I4960" i="2"/>
  <c r="H4960" i="2"/>
  <c r="I1232" i="2"/>
  <c r="H1232" i="2"/>
  <c r="I7480" i="2"/>
  <c r="H7480" i="2"/>
  <c r="I5329" i="2"/>
  <c r="H5329" i="2"/>
  <c r="I5328" i="2"/>
  <c r="H5328" i="2"/>
  <c r="I5327" i="2"/>
  <c r="H5327" i="2"/>
  <c r="I1175" i="2"/>
  <c r="H1175" i="2"/>
  <c r="I1535" i="2"/>
  <c r="H1535" i="2"/>
  <c r="I7668" i="2"/>
  <c r="H7668" i="2"/>
  <c r="I4254" i="2"/>
  <c r="H4254" i="2"/>
  <c r="I4761" i="2"/>
  <c r="H4761" i="2"/>
  <c r="I7550" i="2"/>
  <c r="H7550" i="2"/>
  <c r="I4841" i="2"/>
  <c r="H4841" i="2"/>
  <c r="I3128" i="2"/>
  <c r="H3128" i="2"/>
  <c r="I5348" i="2"/>
  <c r="H5348" i="2"/>
  <c r="I4394" i="2"/>
  <c r="H4394" i="2"/>
  <c r="I1776" i="2"/>
  <c r="H1776" i="2"/>
  <c r="I2907" i="2"/>
  <c r="H2907" i="2"/>
  <c r="I5330" i="2"/>
  <c r="H5330" i="2"/>
  <c r="I4677" i="2"/>
  <c r="H4677" i="2"/>
  <c r="I2617" i="2"/>
  <c r="H2617" i="2"/>
  <c r="I4060" i="2"/>
  <c r="H4060" i="2"/>
  <c r="I1244" i="2"/>
  <c r="H1244" i="2"/>
  <c r="I4480" i="2"/>
  <c r="H4480" i="2"/>
  <c r="I1167" i="2"/>
  <c r="H1167" i="2"/>
  <c r="I2218" i="2"/>
  <c r="H2218" i="2"/>
  <c r="I1338" i="2"/>
  <c r="H1338" i="2"/>
  <c r="I4125" i="2"/>
  <c r="H4125" i="2"/>
  <c r="I4906" i="2"/>
  <c r="H4906" i="2"/>
  <c r="I4972" i="2"/>
  <c r="H4972" i="2"/>
  <c r="I4611" i="2"/>
  <c r="H4611" i="2"/>
  <c r="I4234" i="2"/>
  <c r="H4234" i="2"/>
  <c r="I7657" i="2"/>
  <c r="H7657" i="2"/>
  <c r="I1947" i="2"/>
  <c r="H1947" i="2"/>
  <c r="I1348" i="2"/>
  <c r="H1348" i="2"/>
  <c r="I7763" i="2"/>
  <c r="H7763" i="2"/>
  <c r="I5268" i="2"/>
  <c r="H5268" i="2"/>
  <c r="I4343" i="2"/>
  <c r="H4343" i="2"/>
  <c r="I4182" i="2"/>
  <c r="H4182" i="2"/>
  <c r="I7766" i="2"/>
  <c r="H7766" i="2"/>
  <c r="I1170" i="2"/>
  <c r="H1170" i="2"/>
  <c r="I4458" i="2"/>
  <c r="H4458" i="2"/>
  <c r="I4507" i="2"/>
  <c r="H4507" i="2"/>
  <c r="I2043" i="2"/>
  <c r="H2043" i="2"/>
  <c r="I4360" i="2"/>
  <c r="H4360" i="2"/>
  <c r="I7391" i="2"/>
  <c r="H7391" i="2"/>
  <c r="I4117" i="2"/>
  <c r="H4117" i="2"/>
  <c r="I1390" i="2"/>
  <c r="H1390" i="2"/>
  <c r="I7733" i="2"/>
  <c r="H7733" i="2"/>
  <c r="I3908" i="2"/>
  <c r="H3908" i="2"/>
  <c r="I4617" i="2"/>
  <c r="H4617" i="2"/>
  <c r="I3648" i="2"/>
  <c r="H3648" i="2"/>
  <c r="I4333" i="2"/>
  <c r="H4333" i="2"/>
  <c r="I6649" i="2"/>
  <c r="H6649" i="2"/>
  <c r="I7347" i="2"/>
  <c r="H7347" i="2"/>
  <c r="I1161" i="2"/>
  <c r="H1161" i="2"/>
  <c r="I4782" i="2"/>
  <c r="H4782" i="2"/>
  <c r="I4352" i="2"/>
  <c r="H4352" i="2"/>
  <c r="I4687" i="2"/>
  <c r="H4687" i="2"/>
  <c r="I3952" i="2"/>
  <c r="H3952" i="2"/>
  <c r="I7171" i="2"/>
  <c r="H7171" i="2"/>
  <c r="I4296" i="2"/>
  <c r="H4296" i="2"/>
  <c r="I4455" i="2"/>
  <c r="H4455" i="2"/>
  <c r="I4096" i="2"/>
  <c r="H4096" i="2"/>
  <c r="I4771" i="2"/>
  <c r="H4771" i="2"/>
  <c r="I7276" i="2"/>
  <c r="H7276" i="2"/>
  <c r="I5053" i="2"/>
  <c r="H5053" i="2"/>
  <c r="I1343" i="2"/>
  <c r="H1343" i="2"/>
  <c r="I4351" i="2"/>
  <c r="H4351" i="2"/>
  <c r="I4451" i="2"/>
  <c r="H4451" i="2"/>
  <c r="I4310" i="2"/>
  <c r="H4310" i="2"/>
  <c r="I5760" i="2"/>
  <c r="H5760" i="2"/>
  <c r="I7776" i="2"/>
  <c r="H7776" i="2"/>
  <c r="I7362" i="2"/>
  <c r="H7362" i="2"/>
  <c r="I4205" i="2"/>
  <c r="H4205" i="2"/>
  <c r="I4888" i="2"/>
  <c r="H4888" i="2"/>
  <c r="I3425" i="2"/>
  <c r="H3425" i="2"/>
  <c r="I1152" i="2"/>
  <c r="H1152" i="2"/>
  <c r="I2307" i="2"/>
  <c r="H2307" i="2"/>
  <c r="I1163" i="2"/>
  <c r="H1163" i="2"/>
  <c r="I7751" i="2"/>
  <c r="H7751" i="2"/>
  <c r="I7573" i="2"/>
  <c r="H7573" i="2"/>
  <c r="I5363" i="2"/>
  <c r="H5363" i="2"/>
  <c r="I4596" i="2"/>
  <c r="H4596" i="2"/>
  <c r="I2119" i="2"/>
  <c r="H2119" i="2"/>
  <c r="I3854" i="2"/>
  <c r="H3854" i="2"/>
  <c r="I1528" i="2"/>
  <c r="H1528" i="2"/>
  <c r="I4423" i="2"/>
  <c r="H4423" i="2"/>
  <c r="I4481" i="2"/>
  <c r="H4481" i="2"/>
  <c r="I7758" i="2"/>
  <c r="H7758" i="2"/>
  <c r="I4978" i="2"/>
  <c r="H4978" i="2"/>
  <c r="I4375" i="2"/>
  <c r="H4375" i="2"/>
  <c r="I4244" i="2"/>
  <c r="H4244" i="2"/>
  <c r="I3776" i="2"/>
  <c r="H3776" i="2"/>
  <c r="I1234" i="2"/>
  <c r="H1234" i="2"/>
  <c r="I7746" i="2"/>
  <c r="H7746" i="2"/>
  <c r="I4541" i="2"/>
  <c r="H4541" i="2"/>
  <c r="I5403" i="2"/>
  <c r="H5403" i="2"/>
  <c r="I4790" i="2"/>
  <c r="H4790" i="2"/>
  <c r="I1386" i="2"/>
  <c r="H1386" i="2"/>
  <c r="I4015" i="2"/>
  <c r="H4015" i="2"/>
  <c r="I5508" i="2"/>
  <c r="H5508" i="2"/>
  <c r="I6977" i="2"/>
  <c r="H6977" i="2"/>
  <c r="I1236" i="2"/>
  <c r="H1236" i="2"/>
  <c r="I5259" i="2"/>
  <c r="H5259" i="2"/>
  <c r="I3073" i="2"/>
  <c r="H3073" i="2"/>
  <c r="I4090" i="2"/>
  <c r="H4090" i="2"/>
  <c r="I4663" i="2"/>
  <c r="H4663" i="2"/>
  <c r="I7673" i="2"/>
  <c r="H7673" i="2"/>
  <c r="I4940" i="2"/>
  <c r="H4940" i="2"/>
  <c r="I4773" i="2"/>
  <c r="H4773" i="2"/>
  <c r="I4501" i="2"/>
  <c r="H4501" i="2"/>
  <c r="I4089" i="2"/>
  <c r="H4089" i="2"/>
  <c r="I4514" i="2"/>
  <c r="H4514" i="2"/>
  <c r="I4955" i="2"/>
  <c r="H4955" i="2"/>
  <c r="I3111" i="2"/>
  <c r="H3111" i="2"/>
  <c r="I4915" i="2"/>
  <c r="H4915" i="2"/>
  <c r="I3828" i="2"/>
  <c r="H3828" i="2"/>
  <c r="I7235" i="2"/>
  <c r="H7235" i="2"/>
  <c r="I3167" i="2"/>
  <c r="H3167" i="2"/>
  <c r="I4642" i="2"/>
  <c r="H4642" i="2"/>
  <c r="I3987" i="2"/>
  <c r="H3987" i="2"/>
  <c r="I3931" i="2"/>
  <c r="H3931" i="2"/>
  <c r="I4597" i="2"/>
  <c r="H4597" i="2"/>
  <c r="I4572" i="2"/>
  <c r="H4572" i="2"/>
  <c r="I4486" i="2"/>
  <c r="H4486" i="2"/>
  <c r="I1206" i="2"/>
  <c r="H1206" i="2"/>
  <c r="I5049" i="2"/>
  <c r="H5049" i="2"/>
  <c r="I7289" i="2"/>
  <c r="H7289" i="2"/>
  <c r="I4759" i="2"/>
  <c r="H4759" i="2"/>
  <c r="I4974" i="2"/>
  <c r="H4974" i="2"/>
  <c r="I4210" i="2"/>
  <c r="H4210" i="2"/>
  <c r="I4610" i="2"/>
  <c r="H4610" i="2"/>
  <c r="I5031" i="2"/>
  <c r="H5031" i="2"/>
  <c r="I6609" i="2"/>
  <c r="H6609" i="2"/>
  <c r="I4392" i="2"/>
  <c r="H4392" i="2"/>
  <c r="I4406" i="2"/>
  <c r="H4406" i="2"/>
  <c r="I7547" i="2"/>
  <c r="H7547" i="2"/>
  <c r="I1114" i="2"/>
  <c r="H1114" i="2"/>
  <c r="I1172" i="2"/>
  <c r="H1172" i="2"/>
  <c r="I7222" i="2"/>
  <c r="H7222" i="2"/>
  <c r="I4114" i="2"/>
  <c r="H4114" i="2"/>
  <c r="I2213" i="2"/>
  <c r="H2213" i="2"/>
  <c r="I4735" i="2"/>
  <c r="H4735" i="2"/>
  <c r="I5074" i="2"/>
  <c r="H5074" i="2"/>
  <c r="I4445" i="2"/>
  <c r="H4445" i="2"/>
  <c r="I1306" i="2"/>
  <c r="H1306" i="2"/>
  <c r="I3985" i="2"/>
  <c r="H3985" i="2"/>
  <c r="I1112" i="2"/>
  <c r="H1112" i="2"/>
  <c r="I3726" i="2"/>
  <c r="H3726" i="2"/>
  <c r="I3784" i="2"/>
  <c r="H3784" i="2"/>
  <c r="I5272" i="2"/>
  <c r="H5272" i="2"/>
  <c r="I2197" i="2"/>
  <c r="H2197" i="2"/>
  <c r="I3626" i="2"/>
  <c r="H3626" i="2"/>
  <c r="I4318" i="2"/>
  <c r="H4318" i="2"/>
  <c r="I4519" i="2"/>
  <c r="H4519" i="2"/>
  <c r="I3936" i="2"/>
  <c r="H3936" i="2"/>
  <c r="I6254" i="2"/>
  <c r="H6254" i="2"/>
  <c r="I7795" i="2"/>
  <c r="H7795" i="2"/>
  <c r="I4003" i="2"/>
  <c r="H4003" i="2"/>
  <c r="I4634" i="2"/>
  <c r="H4634" i="2"/>
  <c r="I7272" i="2"/>
  <c r="H7272" i="2"/>
  <c r="I4987" i="2"/>
  <c r="H4987" i="2"/>
  <c r="I4601" i="2"/>
  <c r="H4601" i="2"/>
  <c r="I5201" i="2"/>
  <c r="H5201" i="2"/>
  <c r="I4562" i="2"/>
  <c r="H4562" i="2"/>
  <c r="I3497" i="2"/>
  <c r="H3497" i="2"/>
  <c r="I4338" i="2"/>
  <c r="H4338" i="2"/>
  <c r="I4357" i="2"/>
  <c r="H4357" i="2"/>
  <c r="I4474" i="2"/>
  <c r="H4474" i="2"/>
  <c r="I4359" i="2"/>
  <c r="H4359" i="2"/>
  <c r="I5586" i="2"/>
  <c r="H5586" i="2"/>
  <c r="I4494" i="2"/>
  <c r="H4494" i="2"/>
  <c r="I4539" i="2"/>
  <c r="H4539" i="2"/>
  <c r="I5824" i="2"/>
  <c r="H5824" i="2"/>
  <c r="I1414" i="2"/>
  <c r="H1414" i="2"/>
  <c r="I7802" i="2"/>
  <c r="H7802" i="2"/>
  <c r="I6194" i="2"/>
  <c r="H6194" i="2"/>
  <c r="I4942" i="2"/>
  <c r="H4942" i="2"/>
  <c r="I5344" i="2"/>
  <c r="H5344" i="2"/>
  <c r="I3151" i="2"/>
  <c r="H3151" i="2"/>
  <c r="I7810" i="2"/>
  <c r="H7810" i="2"/>
  <c r="I4143" i="2"/>
  <c r="H4143" i="2"/>
  <c r="I4055" i="2"/>
  <c r="H4055" i="2"/>
  <c r="I4701" i="2"/>
  <c r="H4701" i="2"/>
  <c r="I7727" i="2"/>
  <c r="H7727" i="2"/>
  <c r="I4872" i="2"/>
  <c r="H4872" i="2"/>
  <c r="I7785" i="2"/>
  <c r="H7785" i="2"/>
  <c r="I5059" i="2"/>
  <c r="H5059" i="2"/>
  <c r="I5770" i="2"/>
  <c r="H5770" i="2"/>
  <c r="I6868" i="2"/>
  <c r="H6868" i="2"/>
  <c r="I4370" i="2"/>
  <c r="H4370" i="2"/>
  <c r="I4199" i="2"/>
  <c r="H4199" i="2"/>
  <c r="I4686" i="2"/>
  <c r="H4686" i="2"/>
  <c r="I1205" i="2"/>
  <c r="H1205" i="2"/>
  <c r="I1259" i="2"/>
  <c r="H1259" i="2"/>
  <c r="I3796" i="2"/>
  <c r="H3796" i="2"/>
  <c r="I4358" i="2"/>
  <c r="H4358" i="2"/>
  <c r="I3258" i="2"/>
  <c r="H3258" i="2"/>
  <c r="I4304" i="2"/>
  <c r="H4304" i="2"/>
  <c r="I3686" i="2"/>
  <c r="H3686" i="2"/>
  <c r="I7233" i="2"/>
  <c r="H7233" i="2"/>
  <c r="I4732" i="2"/>
  <c r="H4732" i="2"/>
  <c r="I1280" i="2"/>
  <c r="H1280" i="2"/>
  <c r="I4829" i="2"/>
  <c r="H4829" i="2"/>
  <c r="I4203" i="2"/>
  <c r="H4203" i="2"/>
  <c r="I4250" i="2"/>
  <c r="H4250" i="2"/>
  <c r="I4409" i="2"/>
  <c r="H4409" i="2"/>
  <c r="I4624" i="2"/>
  <c r="H4624" i="2"/>
  <c r="I2406" i="2"/>
  <c r="H2406" i="2"/>
  <c r="I1224" i="2"/>
  <c r="H1224" i="2"/>
  <c r="I1811" i="2"/>
  <c r="H1811" i="2"/>
  <c r="I5080" i="2"/>
  <c r="H5080" i="2"/>
  <c r="I4188" i="2"/>
  <c r="H4188" i="2"/>
  <c r="I3335" i="2"/>
  <c r="H3335" i="2"/>
  <c r="I3260" i="2"/>
  <c r="H3260" i="2"/>
  <c r="I1273" i="2"/>
  <c r="H1273" i="2"/>
  <c r="I4319" i="2"/>
  <c r="H4319" i="2"/>
  <c r="I3937" i="2"/>
  <c r="H3937" i="2"/>
  <c r="I4631" i="2"/>
  <c r="H4631" i="2"/>
  <c r="I1486" i="2"/>
  <c r="H1486" i="2"/>
  <c r="I1085" i="2"/>
  <c r="H1085" i="2"/>
  <c r="I4442" i="2"/>
  <c r="H4442" i="2"/>
  <c r="I4207" i="2"/>
  <c r="H4207" i="2"/>
  <c r="I4122" i="2"/>
  <c r="H4122" i="2"/>
  <c r="I5005" i="2"/>
  <c r="H5005" i="2"/>
  <c r="I4558" i="2"/>
  <c r="H4558" i="2"/>
  <c r="I1088" i="2"/>
  <c r="H1088" i="2"/>
  <c r="I7195" i="2"/>
  <c r="H7195" i="2"/>
  <c r="I3378" i="2"/>
  <c r="H3378" i="2"/>
  <c r="I4272" i="2"/>
  <c r="H4272" i="2"/>
  <c r="I2017" i="2"/>
  <c r="H2017" i="2"/>
  <c r="I2144" i="2"/>
  <c r="H2144" i="2"/>
  <c r="I5188" i="2"/>
  <c r="H5188" i="2"/>
  <c r="I3702" i="2"/>
  <c r="H3702" i="2"/>
  <c r="I7319" i="2"/>
  <c r="H7319" i="2"/>
  <c r="I3806" i="2"/>
  <c r="H3806" i="2"/>
  <c r="I6358" i="2"/>
  <c r="H6358" i="2"/>
  <c r="I4738" i="2"/>
  <c r="H4738" i="2"/>
  <c r="I3947" i="2"/>
  <c r="H3947" i="2"/>
  <c r="I5845" i="2"/>
  <c r="H5845" i="2"/>
  <c r="I6220" i="2"/>
  <c r="H6220" i="2"/>
  <c r="I1086" i="2"/>
  <c r="H1086" i="2"/>
  <c r="I4454" i="2"/>
  <c r="H4454" i="2"/>
  <c r="I1358" i="2"/>
  <c r="H1358" i="2"/>
  <c r="I2925" i="2"/>
  <c r="H2925" i="2"/>
  <c r="I5880" i="2"/>
  <c r="H5880" i="2"/>
  <c r="I1168" i="2"/>
  <c r="H1168" i="2"/>
  <c r="I5214" i="2"/>
  <c r="H5214" i="2"/>
  <c r="I7650" i="2"/>
  <c r="H7650" i="2"/>
  <c r="I3559" i="2"/>
  <c r="H3559" i="2"/>
  <c r="I5818" i="2"/>
  <c r="H5818" i="2"/>
  <c r="I7472" i="2"/>
  <c r="H7472" i="2"/>
  <c r="I4498" i="2"/>
  <c r="H4498" i="2"/>
  <c r="I1128" i="2"/>
  <c r="H1128" i="2"/>
  <c r="I2293" i="2"/>
  <c r="H2293" i="2"/>
  <c r="I4147" i="2"/>
  <c r="H4147" i="2"/>
  <c r="I4546" i="2"/>
  <c r="H4546" i="2"/>
  <c r="I4063" i="2"/>
  <c r="H4063" i="2"/>
  <c r="I1231" i="2"/>
  <c r="H1231" i="2"/>
  <c r="I4220" i="2"/>
  <c r="H4220" i="2"/>
  <c r="I3292" i="2"/>
  <c r="H3292" i="2"/>
  <c r="I7789" i="2"/>
  <c r="H7789" i="2"/>
  <c r="I7587" i="2"/>
  <c r="H7587" i="2"/>
  <c r="I6987" i="2"/>
  <c r="H6987" i="2"/>
  <c r="I6050" i="2"/>
  <c r="H6050" i="2"/>
  <c r="I3900" i="2"/>
  <c r="H3900" i="2"/>
  <c r="I6879" i="2"/>
  <c r="H6879" i="2"/>
  <c r="I4435" i="2"/>
  <c r="H4435" i="2"/>
  <c r="I3717" i="2"/>
  <c r="H3717" i="2"/>
  <c r="I7595" i="2"/>
  <c r="H7595" i="2"/>
  <c r="I6387" i="2"/>
  <c r="H6387" i="2"/>
  <c r="I4479" i="2"/>
  <c r="H4479" i="2"/>
  <c r="I1126" i="2"/>
  <c r="H1126" i="2"/>
  <c r="I4226" i="2"/>
  <c r="H4226" i="2"/>
  <c r="I1469" i="2"/>
  <c r="H1469" i="2"/>
  <c r="I4241" i="2"/>
  <c r="H4241" i="2"/>
  <c r="I7843" i="2"/>
  <c r="H7843" i="2"/>
  <c r="I1092" i="2"/>
  <c r="H1092" i="2"/>
  <c r="I4116" i="2"/>
  <c r="H4116" i="2"/>
  <c r="I7735" i="2"/>
  <c r="H7735" i="2"/>
  <c r="I5522" i="2"/>
  <c r="H5522" i="2"/>
  <c r="I2918" i="2"/>
  <c r="H2918" i="2"/>
  <c r="I1121" i="2"/>
  <c r="H1121" i="2"/>
  <c r="I1266" i="2"/>
  <c r="H1266" i="2"/>
  <c r="I1577" i="2"/>
  <c r="H1577" i="2"/>
  <c r="I1480" i="2"/>
  <c r="H1480" i="2"/>
  <c r="I4257" i="2"/>
  <c r="H4257" i="2"/>
  <c r="I6000" i="2"/>
  <c r="H6000" i="2"/>
  <c r="I4533" i="2"/>
  <c r="H4533" i="2"/>
  <c r="I4099" i="2"/>
  <c r="H4099" i="2"/>
  <c r="I1071" i="2"/>
  <c r="H1071" i="2"/>
  <c r="I5401" i="2"/>
  <c r="H5401" i="2"/>
  <c r="I7162" i="2"/>
  <c r="H7162" i="2"/>
  <c r="I3617" i="2"/>
  <c r="H3617" i="2"/>
  <c r="I4443" i="2"/>
  <c r="H4443" i="2"/>
  <c r="I1187" i="2"/>
  <c r="H1187" i="2"/>
  <c r="I4775" i="2"/>
  <c r="H4775" i="2"/>
  <c r="I5604" i="2"/>
  <c r="H5604" i="2"/>
  <c r="I3350" i="2"/>
  <c r="H3350" i="2"/>
  <c r="I7753" i="2"/>
  <c r="H7753" i="2"/>
  <c r="I4743" i="2"/>
  <c r="H4743" i="2"/>
  <c r="I7385" i="2"/>
  <c r="H7385" i="2"/>
  <c r="I3402" i="2"/>
  <c r="H3402" i="2"/>
  <c r="I4013" i="2"/>
  <c r="H4013" i="2"/>
  <c r="I6032" i="2"/>
  <c r="H6032" i="2"/>
  <c r="I5175" i="2"/>
  <c r="H5175" i="2"/>
  <c r="I4350" i="2"/>
  <c r="H4350" i="2"/>
  <c r="I4334" i="2"/>
  <c r="H4334" i="2"/>
  <c r="I7370" i="2"/>
  <c r="H7370" i="2"/>
  <c r="I3983" i="2"/>
  <c r="H3983" i="2"/>
  <c r="I1415" i="2"/>
  <c r="H1415" i="2"/>
  <c r="I7852" i="2"/>
  <c r="H7852" i="2"/>
  <c r="I4137" i="2"/>
  <c r="H4137" i="2"/>
  <c r="I1301" i="2"/>
  <c r="H1301" i="2"/>
  <c r="I6442" i="2"/>
  <c r="H6442" i="2"/>
  <c r="I1285" i="2"/>
  <c r="H1285" i="2"/>
  <c r="I3798" i="2"/>
  <c r="H3798" i="2"/>
  <c r="I4506" i="2"/>
  <c r="H4506" i="2"/>
  <c r="I7854" i="2"/>
  <c r="H7854" i="2"/>
  <c r="I4660" i="2"/>
  <c r="H4660" i="2"/>
  <c r="I4977" i="2"/>
  <c r="H4977" i="2"/>
  <c r="I4151" i="2"/>
  <c r="H4151" i="2"/>
  <c r="I4197" i="2"/>
  <c r="H4197" i="2"/>
  <c r="I2580" i="2"/>
  <c r="H2580" i="2"/>
  <c r="I4438" i="2"/>
  <c r="H4438" i="2"/>
  <c r="I4248" i="2"/>
  <c r="H4248" i="2"/>
  <c r="I4563" i="2"/>
  <c r="H4563" i="2"/>
  <c r="I4281" i="2"/>
  <c r="H4281" i="2"/>
  <c r="I4303" i="2"/>
  <c r="H4303" i="2"/>
  <c r="I7798" i="2"/>
  <c r="H7798" i="2"/>
  <c r="I4183" i="2"/>
  <c r="H4183" i="2"/>
  <c r="I2961" i="2"/>
  <c r="H2961" i="2"/>
  <c r="I1191" i="2"/>
  <c r="H1191" i="2"/>
  <c r="I7808" i="2"/>
  <c r="H7808" i="2"/>
  <c r="I3371" i="2"/>
  <c r="H3371" i="2"/>
  <c r="I7770" i="2"/>
  <c r="H7770" i="2"/>
  <c r="I4476" i="2"/>
  <c r="H4476" i="2"/>
  <c r="I1256" i="2"/>
  <c r="H1256" i="2"/>
  <c r="I3606" i="2"/>
  <c r="H3606" i="2"/>
  <c r="I4016" i="2"/>
  <c r="H4016" i="2"/>
  <c r="I5295" i="2"/>
  <c r="H5295" i="2"/>
  <c r="I3628" i="2"/>
  <c r="H3628" i="2"/>
  <c r="I3715" i="2"/>
  <c r="H3715" i="2"/>
  <c r="I6575" i="2"/>
  <c r="H6575" i="2"/>
  <c r="I6719" i="2"/>
  <c r="H6719" i="2"/>
  <c r="I7860" i="2"/>
  <c r="H7860" i="2"/>
  <c r="I7706" i="2"/>
  <c r="H7706" i="2"/>
  <c r="I3587" i="2"/>
  <c r="H3587" i="2"/>
  <c r="I3550" i="2"/>
  <c r="H3550" i="2"/>
  <c r="I7258" i="2"/>
  <c r="H7258" i="2"/>
  <c r="I1127" i="2"/>
  <c r="H1127" i="2"/>
  <c r="I4283" i="2"/>
  <c r="H4283" i="2"/>
  <c r="I5816" i="2"/>
  <c r="H5816" i="2"/>
  <c r="I4674" i="2"/>
  <c r="H4674" i="2"/>
  <c r="I4170" i="2"/>
  <c r="H4170" i="2"/>
  <c r="I4638" i="2"/>
  <c r="H4638" i="2"/>
  <c r="I4658" i="2"/>
  <c r="H4658" i="2"/>
  <c r="I4189" i="2"/>
  <c r="H4189" i="2"/>
  <c r="I4976" i="2"/>
  <c r="H4976" i="2"/>
  <c r="I3881" i="2"/>
  <c r="H3881" i="2"/>
  <c r="I1049" i="2"/>
  <c r="H1049" i="2"/>
  <c r="I3816" i="2"/>
  <c r="H3816" i="2"/>
  <c r="I4891" i="2"/>
  <c r="H4891" i="2"/>
  <c r="I3962" i="2"/>
  <c r="H3962" i="2"/>
  <c r="I4236" i="2"/>
  <c r="H4236" i="2"/>
  <c r="I5464" i="2"/>
  <c r="H5464" i="2"/>
  <c r="I4436" i="2"/>
  <c r="H4436" i="2"/>
  <c r="I4802" i="2"/>
  <c r="H4802" i="2"/>
  <c r="I7698" i="2"/>
  <c r="H7698" i="2"/>
  <c r="I3594" i="2"/>
  <c r="H3594" i="2"/>
  <c r="I4895" i="2"/>
  <c r="H4895" i="2"/>
  <c r="I4225" i="2"/>
  <c r="H4225" i="2"/>
  <c r="I4667" i="2"/>
  <c r="H4667" i="2"/>
  <c r="I3659" i="2"/>
  <c r="H3659" i="2"/>
  <c r="I7848" i="2"/>
  <c r="H7848" i="2"/>
  <c r="I1987" i="2"/>
  <c r="H1987" i="2"/>
  <c r="I1075" i="2"/>
  <c r="H1075" i="2"/>
  <c r="I4460" i="2"/>
  <c r="H4460" i="2"/>
  <c r="I5494" i="2"/>
  <c r="H5494" i="2"/>
  <c r="I7084" i="2"/>
  <c r="H7084" i="2"/>
  <c r="I1960" i="2"/>
  <c r="H1960" i="2"/>
  <c r="I6786" i="2"/>
  <c r="H6786" i="2"/>
  <c r="I7407" i="2"/>
  <c r="H7407" i="2"/>
  <c r="I6300" i="2"/>
  <c r="H6300" i="2"/>
  <c r="I7869" i="2"/>
  <c r="H7869" i="2"/>
  <c r="I1062" i="2"/>
  <c r="H1062" i="2"/>
  <c r="I4418" i="2"/>
  <c r="H4418" i="2"/>
  <c r="I1040" i="2"/>
  <c r="H1040" i="2"/>
  <c r="I4373" i="2"/>
  <c r="H4373" i="2"/>
  <c r="I4726" i="2"/>
  <c r="H4726" i="2"/>
  <c r="I2787" i="2"/>
  <c r="H2787" i="2"/>
  <c r="I4833" i="2"/>
  <c r="H4833" i="2"/>
  <c r="I7532" i="2"/>
  <c r="H7532" i="2"/>
  <c r="I1353" i="2"/>
  <c r="H1353" i="2"/>
  <c r="I2094" i="2"/>
  <c r="H2094" i="2"/>
  <c r="I4854" i="2"/>
  <c r="H4854" i="2"/>
  <c r="I4778" i="2"/>
  <c r="H4778" i="2"/>
  <c r="I6598" i="2"/>
  <c r="H6598" i="2"/>
  <c r="I1346" i="2"/>
  <c r="H1346" i="2"/>
  <c r="I3810" i="2"/>
  <c r="H3810" i="2"/>
  <c r="I3183" i="2"/>
  <c r="H3183" i="2"/>
  <c r="I6243" i="2"/>
  <c r="H6243" i="2"/>
  <c r="I7894" i="2"/>
  <c r="H7894" i="2"/>
  <c r="I4831" i="2"/>
  <c r="H4831" i="2"/>
  <c r="I7583" i="2"/>
  <c r="H7583" i="2"/>
  <c r="I4868" i="2"/>
  <c r="H4868" i="2"/>
  <c r="I7857" i="2"/>
  <c r="H7857" i="2"/>
  <c r="I3541" i="2"/>
  <c r="H3541" i="2"/>
  <c r="I5006" i="2"/>
  <c r="H5006" i="2"/>
  <c r="I4920" i="2"/>
  <c r="H4920" i="2"/>
  <c r="I3695" i="2"/>
  <c r="H3695" i="2"/>
  <c r="I4874" i="2"/>
  <c r="H4874" i="2"/>
  <c r="I6508" i="2"/>
  <c r="H6508" i="2"/>
  <c r="I7264" i="2"/>
  <c r="H7264" i="2"/>
  <c r="I1098" i="2"/>
  <c r="H1098" i="2"/>
  <c r="I6468" i="2"/>
  <c r="H6468" i="2"/>
  <c r="I7376" i="2"/>
  <c r="H7376" i="2"/>
  <c r="I1330" i="2"/>
  <c r="H1330" i="2"/>
  <c r="I4067" i="2"/>
  <c r="H4067" i="2"/>
  <c r="I1429" i="2"/>
  <c r="H1429" i="2"/>
  <c r="I4064" i="2"/>
  <c r="H4064" i="2"/>
  <c r="I1074" i="2"/>
  <c r="H1074" i="2"/>
  <c r="I4287" i="2"/>
  <c r="H4287" i="2"/>
  <c r="I4614" i="2"/>
  <c r="H4614" i="2"/>
  <c r="I1102" i="2"/>
  <c r="H1102" i="2"/>
  <c r="I5120" i="2"/>
  <c r="H5120" i="2"/>
  <c r="I4263" i="2"/>
  <c r="H4263" i="2"/>
  <c r="I1067" i="2"/>
  <c r="H1067" i="2"/>
  <c r="I3612" i="2"/>
  <c r="H3612" i="2"/>
  <c r="I4600" i="2"/>
  <c r="H4600" i="2"/>
  <c r="I4821" i="2"/>
  <c r="H4821" i="2"/>
  <c r="I5513" i="2"/>
  <c r="H5513" i="2"/>
  <c r="I5117" i="2"/>
  <c r="H5117" i="2"/>
  <c r="I4930" i="2"/>
  <c r="H4930" i="2"/>
  <c r="I1202" i="2"/>
  <c r="H1202" i="2"/>
  <c r="I4564" i="2"/>
  <c r="H4564" i="2"/>
  <c r="I4113" i="2"/>
  <c r="H4113" i="2"/>
  <c r="I7866" i="2"/>
  <c r="H7866" i="2"/>
  <c r="I4758" i="2"/>
  <c r="H4758" i="2"/>
  <c r="I4518" i="2"/>
  <c r="H4518" i="2"/>
  <c r="I3958" i="2"/>
  <c r="H3958" i="2"/>
  <c r="I1201" i="2"/>
  <c r="H1201" i="2"/>
  <c r="I7856" i="2"/>
  <c r="H7856" i="2"/>
  <c r="I4273" i="2"/>
  <c r="H4273" i="2"/>
  <c r="I3548" i="2"/>
  <c r="H3548" i="2"/>
  <c r="I7896" i="2"/>
  <c r="H7896" i="2"/>
  <c r="I4609" i="2"/>
  <c r="H4609" i="2"/>
  <c r="I3516" i="2"/>
  <c r="H3516" i="2"/>
  <c r="I6942" i="2"/>
  <c r="H6942" i="2"/>
  <c r="I7682" i="2"/>
  <c r="H7682" i="2"/>
  <c r="I2732" i="2"/>
  <c r="H2732" i="2"/>
  <c r="I1199" i="2"/>
  <c r="H1199" i="2"/>
  <c r="I4459" i="2"/>
  <c r="H4459" i="2"/>
  <c r="I5984" i="2"/>
  <c r="H5984" i="2"/>
  <c r="I3882" i="2"/>
  <c r="H3882" i="2"/>
  <c r="I4155" i="2"/>
  <c r="H4155" i="2"/>
  <c r="I5593" i="2"/>
  <c r="H5593" i="2"/>
  <c r="I7718" i="2"/>
  <c r="H7718" i="2"/>
  <c r="I4793" i="2"/>
  <c r="H4793" i="2"/>
  <c r="I7250" i="2"/>
  <c r="H7250" i="2"/>
  <c r="I5924" i="2"/>
  <c r="H5924" i="2"/>
  <c r="I4788" i="2"/>
  <c r="H4788" i="2"/>
  <c r="I4307" i="2"/>
  <c r="H4307" i="2"/>
  <c r="I3352" i="2"/>
  <c r="H3352" i="2"/>
  <c r="I4427" i="2"/>
  <c r="H4427" i="2"/>
  <c r="I1039" i="2"/>
  <c r="H1039" i="2"/>
  <c r="I1119" i="2"/>
  <c r="H1119" i="2"/>
  <c r="I3608" i="2"/>
  <c r="H3608" i="2"/>
  <c r="I4740" i="2"/>
  <c r="H4740" i="2"/>
  <c r="I7809" i="2"/>
  <c r="H7809" i="2"/>
  <c r="I6413" i="2"/>
  <c r="H6413" i="2"/>
  <c r="I7898" i="2"/>
  <c r="H7898" i="2"/>
  <c r="I3365" i="2"/>
  <c r="H3365" i="2"/>
  <c r="I4193" i="2"/>
  <c r="H4193" i="2"/>
  <c r="I1076" i="2"/>
  <c r="H1076" i="2"/>
  <c r="I3730" i="2"/>
  <c r="H3730" i="2"/>
  <c r="I4787" i="2"/>
  <c r="H4787" i="2"/>
  <c r="I4672" i="2"/>
  <c r="H4672" i="2"/>
  <c r="I5624" i="2"/>
  <c r="H5624" i="2"/>
  <c r="I7460" i="2"/>
  <c r="H7460" i="2"/>
  <c r="I7902" i="2"/>
  <c r="H7902" i="2"/>
  <c r="I4378" i="2"/>
  <c r="H4378" i="2"/>
  <c r="I3552" i="2"/>
  <c r="H3552" i="2"/>
  <c r="I1156" i="2"/>
  <c r="H1156" i="2"/>
  <c r="I2063" i="2"/>
  <c r="H2063" i="2"/>
  <c r="I3509" i="2"/>
  <c r="H3509" i="2"/>
  <c r="I4537" i="2"/>
  <c r="H4537" i="2"/>
  <c r="I3819" i="2"/>
  <c r="H3819" i="2"/>
  <c r="I4904" i="2"/>
  <c r="H4904" i="2"/>
  <c r="I6518" i="2"/>
  <c r="H6518" i="2"/>
  <c r="I7610" i="2"/>
  <c r="H7610" i="2"/>
  <c r="I6538" i="2"/>
  <c r="H6538" i="2"/>
  <c r="I5231" i="2"/>
  <c r="H5231" i="2"/>
  <c r="I4876" i="2"/>
  <c r="H4876" i="2"/>
  <c r="I5396" i="2"/>
  <c r="H5396" i="2"/>
  <c r="I4428" i="2"/>
  <c r="H4428" i="2"/>
  <c r="I4871" i="2"/>
  <c r="H4871" i="2"/>
  <c r="I6355" i="2"/>
  <c r="H6355" i="2"/>
  <c r="I2535" i="2"/>
  <c r="H2535" i="2"/>
  <c r="I4629" i="2"/>
  <c r="H4629" i="2"/>
  <c r="I3590" i="2"/>
  <c r="H3590" i="2"/>
  <c r="I7901" i="2"/>
  <c r="H7901" i="2"/>
  <c r="I6303" i="2"/>
  <c r="H6303" i="2"/>
  <c r="I7773" i="2"/>
  <c r="H7773" i="2"/>
  <c r="I4331" i="2"/>
  <c r="H4331" i="2"/>
  <c r="I4042" i="2"/>
  <c r="H4042" i="2"/>
  <c r="I1157" i="2"/>
  <c r="H1157" i="2"/>
  <c r="I4139" i="2"/>
  <c r="H4139" i="2"/>
  <c r="I4158" i="2"/>
  <c r="H4158" i="2"/>
  <c r="I4774" i="2"/>
  <c r="H4774" i="2"/>
  <c r="I5261" i="2"/>
  <c r="H5261" i="2"/>
  <c r="I1331" i="2"/>
  <c r="H1331" i="2"/>
  <c r="I4499" i="2"/>
  <c r="H4499" i="2"/>
  <c r="I4104" i="2"/>
  <c r="H4104" i="2"/>
  <c r="I1209" i="2"/>
  <c r="H1209" i="2"/>
  <c r="I7875" i="2"/>
  <c r="H7875" i="2"/>
  <c r="I4094" i="2"/>
  <c r="H4094" i="2"/>
  <c r="I6186" i="2"/>
  <c r="H6186" i="2"/>
  <c r="I4315" i="2"/>
  <c r="H4315" i="2"/>
  <c r="I2833" i="2"/>
  <c r="H2833" i="2"/>
  <c r="I7613" i="2"/>
  <c r="H7613" i="2"/>
  <c r="I1045" i="2"/>
  <c r="H1045" i="2"/>
  <c r="I6958" i="2"/>
  <c r="H6958" i="2"/>
  <c r="I7806" i="2"/>
  <c r="H7806" i="2"/>
  <c r="I1022" i="2"/>
  <c r="H1022" i="2"/>
  <c r="I1014" i="2"/>
  <c r="H1014" i="2"/>
  <c r="I3928" i="2"/>
  <c r="H3928" i="2"/>
  <c r="I1339" i="2"/>
  <c r="H1339" i="2"/>
  <c r="I4456" i="2"/>
  <c r="H4456" i="2"/>
  <c r="I3558" i="2"/>
  <c r="H3558" i="2"/>
  <c r="I4191" i="2"/>
  <c r="H4191" i="2"/>
  <c r="I3988" i="2"/>
  <c r="H3988" i="2"/>
  <c r="I4311" i="2"/>
  <c r="H4311" i="2"/>
  <c r="I6216" i="2"/>
  <c r="H6216" i="2"/>
  <c r="I4264" i="2"/>
  <c r="H4264" i="2"/>
  <c r="I4130" i="2"/>
  <c r="H4130" i="2"/>
  <c r="I3959" i="2"/>
  <c r="H3959" i="2"/>
  <c r="I6701" i="2"/>
  <c r="H6701" i="2"/>
  <c r="I4314" i="2"/>
  <c r="H4314" i="2"/>
  <c r="I4433" i="2"/>
  <c r="H4433" i="2"/>
  <c r="I7038" i="2"/>
  <c r="H7038" i="2"/>
  <c r="I4524" i="2"/>
  <c r="H4524" i="2"/>
  <c r="I4159" i="2"/>
  <c r="H4159" i="2"/>
  <c r="I5156" i="2"/>
  <c r="H5156" i="2"/>
  <c r="I4444" i="2"/>
  <c r="H4444" i="2"/>
  <c r="I7620" i="2"/>
  <c r="H7620" i="2"/>
  <c r="I7916" i="2"/>
  <c r="H7916" i="2"/>
  <c r="I3766" i="2"/>
  <c r="H3766" i="2"/>
  <c r="I4640" i="2"/>
  <c r="H4640" i="2"/>
  <c r="I3611" i="2"/>
  <c r="H3611" i="2"/>
  <c r="I1081" i="2"/>
  <c r="H1081" i="2"/>
  <c r="I5684" i="2"/>
  <c r="H5684" i="2"/>
  <c r="I4291" i="2"/>
  <c r="H4291" i="2"/>
  <c r="I4300" i="2"/>
  <c r="H4300" i="2"/>
  <c r="I4585" i="2"/>
  <c r="H4585" i="2"/>
  <c r="I5033" i="2"/>
  <c r="H5033" i="2"/>
  <c r="I5699" i="2"/>
  <c r="H5699" i="2"/>
  <c r="I3844" i="2"/>
  <c r="H3844" i="2"/>
  <c r="I3778" i="2"/>
  <c r="H3778" i="2"/>
  <c r="I2055" i="2"/>
  <c r="H2055" i="2"/>
  <c r="I4471" i="2"/>
  <c r="H4471" i="2"/>
  <c r="I2577" i="2"/>
  <c r="H2577" i="2"/>
  <c r="I5254" i="2"/>
  <c r="H5254" i="2"/>
  <c r="I3964" i="2"/>
  <c r="H3964" i="2"/>
  <c r="I6499" i="2"/>
  <c r="H6499" i="2"/>
  <c r="I3466" i="2"/>
  <c r="H3466" i="2"/>
  <c r="I4247" i="2"/>
  <c r="H4247" i="2"/>
  <c r="I5132" i="2"/>
  <c r="H5132" i="2"/>
  <c r="I6994" i="2"/>
  <c r="H6994" i="2"/>
  <c r="I3898" i="2"/>
  <c r="H3898" i="2"/>
  <c r="I3632" i="2"/>
  <c r="H3632" i="2"/>
  <c r="I4176" i="2"/>
  <c r="H4176" i="2"/>
  <c r="I5645" i="2"/>
  <c r="H5645" i="2"/>
  <c r="I1169" i="2"/>
  <c r="H1169" i="2"/>
  <c r="I4450" i="2"/>
  <c r="H4450" i="2"/>
  <c r="I2826" i="2"/>
  <c r="H2826" i="2"/>
  <c r="I3147" i="2"/>
  <c r="H3147" i="2"/>
  <c r="I3536" i="2"/>
  <c r="H3536" i="2"/>
  <c r="I1011" i="2"/>
  <c r="H1011" i="2"/>
  <c r="I4526" i="2"/>
  <c r="H4526" i="2"/>
  <c r="I3892" i="2"/>
  <c r="H3892" i="2"/>
  <c r="I7747" i="2"/>
  <c r="H7747" i="2"/>
  <c r="I3915" i="2"/>
  <c r="H3915" i="2"/>
  <c r="I4769" i="2"/>
  <c r="H4769" i="2"/>
  <c r="I3752" i="2"/>
  <c r="H3752" i="2"/>
  <c r="I5157" i="2"/>
  <c r="H5157" i="2"/>
  <c r="I4278" i="2"/>
  <c r="H4278" i="2"/>
  <c r="I4466" i="2"/>
  <c r="H4466" i="2"/>
  <c r="I1120" i="2"/>
  <c r="H1120" i="2"/>
  <c r="I5417" i="2"/>
  <c r="H5417" i="2"/>
  <c r="I5199" i="2"/>
  <c r="H5199" i="2"/>
  <c r="I7744" i="2"/>
  <c r="H7744" i="2"/>
  <c r="I1002" i="2"/>
  <c r="H1002" i="2"/>
  <c r="I3708" i="2"/>
  <c r="H3708" i="2"/>
  <c r="I2928" i="2"/>
  <c r="H2928" i="2"/>
  <c r="I4323" i="2"/>
  <c r="H4323" i="2"/>
  <c r="I6176" i="2"/>
  <c r="H6176" i="2"/>
  <c r="I1367" i="2"/>
  <c r="H1367" i="2"/>
  <c r="I3602" i="2"/>
  <c r="H3602" i="2"/>
  <c r="I1220" i="2"/>
  <c r="H1220" i="2"/>
  <c r="I4269" i="2"/>
  <c r="H4269" i="2"/>
  <c r="I2900" i="2"/>
  <c r="H2900" i="2"/>
  <c r="I5318" i="2"/>
  <c r="H5318" i="2"/>
  <c r="I4912" i="2"/>
  <c r="H4912" i="2"/>
  <c r="I3517" i="2"/>
  <c r="H3517" i="2"/>
  <c r="I1055" i="2"/>
  <c r="H1055" i="2"/>
  <c r="I5067" i="2"/>
  <c r="H5067" i="2"/>
  <c r="I3986" i="2"/>
  <c r="H3986" i="2"/>
  <c r="I4892" i="2"/>
  <c r="H4892" i="2"/>
  <c r="I4602" i="2"/>
  <c r="H4602" i="2"/>
  <c r="I3106" i="2"/>
  <c r="H3106" i="2"/>
  <c r="I5576" i="2"/>
  <c r="H5576" i="2"/>
  <c r="I4416" i="2"/>
  <c r="H4416" i="2"/>
  <c r="I4838" i="2"/>
  <c r="H4838" i="2"/>
  <c r="I2356" i="2"/>
  <c r="H2356" i="2"/>
  <c r="H3842" i="2"/>
  <c r="I5040" i="2"/>
  <c r="H5040" i="2"/>
  <c r="I4856" i="2"/>
  <c r="H4856" i="2"/>
  <c r="I1857" i="2"/>
  <c r="H1857" i="2"/>
  <c r="I4102" i="2"/>
  <c r="H4102" i="2"/>
  <c r="I7382" i="2"/>
  <c r="H7382" i="2"/>
  <c r="I4626" i="2"/>
  <c r="H4626" i="2"/>
  <c r="I1994" i="2"/>
  <c r="H1994" i="2"/>
  <c r="I4181" i="2"/>
  <c r="H4181" i="2"/>
  <c r="I1064" i="2"/>
  <c r="H1064" i="2"/>
  <c r="I1218" i="2"/>
  <c r="H1218" i="2"/>
  <c r="I5035" i="2"/>
  <c r="H5035" i="2"/>
  <c r="I6371" i="2"/>
  <c r="H6371" i="2"/>
  <c r="I1129" i="2"/>
  <c r="H1129" i="2"/>
  <c r="I6505" i="2"/>
  <c r="H6505" i="2"/>
  <c r="I1073" i="2"/>
  <c r="H1073" i="2"/>
  <c r="I7951" i="2"/>
  <c r="H7951" i="2"/>
  <c r="I1065" i="2"/>
  <c r="H1065" i="2"/>
  <c r="I4447" i="2"/>
  <c r="H4447" i="2"/>
  <c r="I4261" i="2"/>
  <c r="H4261" i="2"/>
  <c r="I5850" i="2"/>
  <c r="H5850" i="2"/>
  <c r="I7165" i="2"/>
  <c r="H7165" i="2"/>
  <c r="I6671" i="2"/>
  <c r="H6671" i="2"/>
  <c r="I4157" i="2"/>
  <c r="H4157" i="2"/>
  <c r="I2788" i="2"/>
  <c r="H2788" i="2"/>
  <c r="I4156" i="2"/>
  <c r="H4156" i="2"/>
  <c r="I2047" i="2"/>
  <c r="H2047" i="2"/>
  <c r="I3714" i="2"/>
  <c r="H3714" i="2"/>
  <c r="I3746" i="2"/>
  <c r="H3746" i="2"/>
  <c r="I6660" i="2"/>
  <c r="H6660" i="2"/>
  <c r="I3669" i="2"/>
  <c r="H3669" i="2"/>
  <c r="I4008" i="2"/>
  <c r="H4008" i="2"/>
  <c r="I2265" i="2"/>
  <c r="H2265" i="2"/>
  <c r="I4711" i="2"/>
  <c r="H4711" i="2"/>
  <c r="I4402" i="2"/>
  <c r="H4402" i="2"/>
  <c r="I4153" i="2"/>
  <c r="H4153" i="2"/>
  <c r="I3030" i="2"/>
  <c r="H3030" i="2"/>
  <c r="I1094" i="2"/>
  <c r="H1094" i="2"/>
  <c r="I4792" i="2"/>
  <c r="H4792" i="2"/>
  <c r="I2065" i="2"/>
  <c r="H2065" i="2"/>
  <c r="I4899" i="2"/>
  <c r="H4899" i="2"/>
  <c r="I3216" i="2"/>
  <c r="H3216" i="2"/>
  <c r="I2956" i="2"/>
  <c r="H2956" i="2"/>
  <c r="I4308" i="2"/>
  <c r="H4308" i="2"/>
  <c r="I4834" i="2"/>
  <c r="H4834" i="2"/>
  <c r="I6957" i="2"/>
  <c r="H6957" i="2"/>
  <c r="I7804" i="2"/>
  <c r="H7804" i="2"/>
  <c r="I4014" i="2"/>
  <c r="H4014" i="2"/>
  <c r="I7119" i="2"/>
  <c r="H7119" i="2"/>
  <c r="I1814" i="2"/>
  <c r="H1814" i="2"/>
  <c r="I4051" i="2"/>
  <c r="H4051" i="2"/>
  <c r="I4744" i="2"/>
  <c r="H4744" i="2"/>
  <c r="I3543" i="2"/>
  <c r="H3543" i="2"/>
  <c r="I4211" i="2"/>
  <c r="H4211" i="2"/>
  <c r="I4407" i="2"/>
  <c r="H4407" i="2"/>
  <c r="I3849" i="2"/>
  <c r="H3849" i="2"/>
  <c r="I975" i="2"/>
  <c r="H975" i="2"/>
  <c r="I1035" i="2"/>
  <c r="H1035" i="2"/>
  <c r="I5490" i="2"/>
  <c r="H5490" i="2"/>
  <c r="I4998" i="2"/>
  <c r="H4998" i="2"/>
  <c r="I4344" i="2"/>
  <c r="H4344" i="2"/>
  <c r="I4404" i="2"/>
  <c r="H4404" i="2"/>
  <c r="I7659" i="2"/>
  <c r="H7659" i="2"/>
  <c r="I1749" i="2"/>
  <c r="H1749" i="2"/>
  <c r="I1523" i="2"/>
  <c r="H1523" i="2"/>
  <c r="I1004" i="2"/>
  <c r="H1004" i="2"/>
  <c r="I4842" i="2"/>
  <c r="H4842" i="2"/>
  <c r="I1759" i="2"/>
  <c r="H1759" i="2"/>
  <c r="I3141" i="2"/>
  <c r="H3141" i="2"/>
  <c r="I4555" i="2"/>
  <c r="H4555" i="2"/>
  <c r="I4007" i="2"/>
  <c r="H4007" i="2"/>
  <c r="I6854" i="2"/>
  <c r="H6854" i="2"/>
  <c r="I2479" i="2"/>
  <c r="H2479" i="2"/>
  <c r="I4140" i="2"/>
  <c r="H4140" i="2"/>
  <c r="I2720" i="2"/>
  <c r="H2720" i="2"/>
  <c r="I3102" i="2"/>
  <c r="H3102" i="2"/>
  <c r="I7059" i="2"/>
  <c r="H7059" i="2"/>
  <c r="I5054" i="2"/>
  <c r="H5054" i="2"/>
  <c r="I4965" i="2"/>
  <c r="H4965" i="2"/>
  <c r="I2914" i="2"/>
  <c r="H2914" i="2"/>
  <c r="I4083" i="2"/>
  <c r="H4083" i="2"/>
  <c r="I6141" i="2"/>
  <c r="H6141" i="2"/>
  <c r="I7266" i="2"/>
  <c r="H7266" i="2"/>
  <c r="I6020" i="2"/>
  <c r="H6020" i="2"/>
  <c r="I3691" i="2"/>
  <c r="H3691" i="2"/>
  <c r="I7948" i="2"/>
  <c r="H7948" i="2"/>
  <c r="I4639" i="2"/>
  <c r="H4639" i="2"/>
  <c r="I4390" i="2"/>
  <c r="H4390" i="2"/>
  <c r="I4178" i="2"/>
  <c r="H4178" i="2"/>
  <c r="I4286" i="2"/>
  <c r="H4286" i="2"/>
  <c r="I6184" i="2"/>
  <c r="H6184" i="2"/>
  <c r="I3929" i="2"/>
  <c r="H3929" i="2"/>
  <c r="I4212" i="2"/>
  <c r="H4212" i="2"/>
  <c r="I4772" i="2"/>
  <c r="H4772" i="2"/>
  <c r="I2903" i="2"/>
  <c r="H2903" i="2"/>
  <c r="I1141" i="2"/>
  <c r="H1141" i="2"/>
  <c r="I5118" i="2"/>
  <c r="H5118" i="2"/>
  <c r="I6078" i="2"/>
  <c r="H6078" i="2"/>
  <c r="I7003" i="2"/>
  <c r="H7003" i="2"/>
  <c r="I1113" i="2"/>
  <c r="H1113" i="2"/>
  <c r="I3424" i="2"/>
  <c r="H3424" i="2"/>
  <c r="I7846" i="2"/>
  <c r="H7846" i="2"/>
  <c r="I963" i="2"/>
  <c r="H963" i="2"/>
  <c r="I4569" i="2"/>
  <c r="H4569" i="2"/>
  <c r="I4082" i="2"/>
  <c r="H4082" i="2"/>
  <c r="I959" i="2"/>
  <c r="H959" i="2"/>
  <c r="I6332" i="2"/>
  <c r="H6332" i="2"/>
  <c r="I991" i="2"/>
  <c r="H991" i="2"/>
  <c r="I6523" i="2"/>
  <c r="H6523" i="2"/>
  <c r="I3097" i="2"/>
  <c r="H3097" i="2"/>
  <c r="I5561" i="2"/>
  <c r="H5561" i="2"/>
  <c r="I2943" i="2"/>
  <c r="H2943" i="2"/>
  <c r="I4049" i="2"/>
  <c r="H4049" i="2"/>
  <c r="I7919" i="2"/>
  <c r="H7919" i="2"/>
  <c r="I3843" i="2"/>
  <c r="H3843" i="2"/>
  <c r="I4461" i="2"/>
  <c r="H4461" i="2"/>
  <c r="I3901" i="2"/>
  <c r="H3901" i="2"/>
  <c r="I5248" i="2"/>
  <c r="H5248" i="2"/>
  <c r="I951" i="2"/>
  <c r="H951" i="2"/>
  <c r="I3163" i="2"/>
  <c r="H3163" i="2"/>
  <c r="I4185" i="2"/>
  <c r="H4185" i="2"/>
  <c r="I5296" i="2"/>
  <c r="H5296" i="2"/>
  <c r="I4612" i="2"/>
  <c r="H4612" i="2"/>
  <c r="I6647" i="2"/>
  <c r="H6647" i="2"/>
  <c r="I3754" i="2"/>
  <c r="H3754" i="2"/>
  <c r="I3010" i="2"/>
  <c r="H3010" i="2"/>
  <c r="I4184" i="2"/>
  <c r="H4184" i="2"/>
  <c r="I4362" i="2"/>
  <c r="H4362" i="2"/>
  <c r="I2255" i="2"/>
  <c r="H2255" i="2"/>
  <c r="I4689" i="2"/>
  <c r="H4689" i="2"/>
  <c r="I4075" i="2"/>
  <c r="H4075" i="2"/>
  <c r="I4111" i="2"/>
  <c r="H4111" i="2"/>
  <c r="I7807" i="2"/>
  <c r="H7807" i="2"/>
  <c r="I1148" i="2"/>
  <c r="H1148" i="2"/>
  <c r="I4985" i="2"/>
  <c r="H4985" i="2"/>
  <c r="I4647" i="2"/>
  <c r="H4647" i="2"/>
  <c r="I4632" i="2"/>
  <c r="H4632" i="2"/>
  <c r="I7241" i="2"/>
  <c r="H7241" i="2"/>
  <c r="I5737" i="2"/>
  <c r="H5737" i="2"/>
  <c r="I960" i="2"/>
  <c r="H960" i="2"/>
  <c r="I4195" i="2"/>
  <c r="H4195" i="2"/>
  <c r="I4935" i="2"/>
  <c r="H4935" i="2"/>
  <c r="I3930" i="2"/>
  <c r="H3930" i="2"/>
  <c r="I4091" i="2"/>
  <c r="H4091" i="2"/>
  <c r="I1030" i="2"/>
  <c r="H1030" i="2"/>
  <c r="I1184" i="2"/>
  <c r="H1184" i="2"/>
  <c r="I6127" i="2"/>
  <c r="H6127" i="2"/>
  <c r="I4422" i="2"/>
  <c r="H4422" i="2"/>
  <c r="I1025" i="2"/>
  <c r="H1025" i="2"/>
  <c r="I4076" i="2"/>
  <c r="H4076" i="2"/>
  <c r="I4174" i="2"/>
  <c r="H4174" i="2"/>
  <c r="I4560" i="2"/>
  <c r="H4560" i="2"/>
  <c r="I3006" i="2"/>
  <c r="H3006" i="2"/>
  <c r="I5319" i="2"/>
  <c r="H5319" i="2"/>
  <c r="I7323" i="2"/>
  <c r="H7323" i="2"/>
  <c r="I955" i="2"/>
  <c r="H955" i="2"/>
  <c r="I4839" i="2"/>
  <c r="H4839" i="2"/>
  <c r="I6430" i="2"/>
  <c r="H6430" i="2"/>
  <c r="I1428" i="2"/>
  <c r="H1428" i="2"/>
  <c r="I2329" i="2"/>
  <c r="H2329" i="2"/>
  <c r="I5871" i="2"/>
  <c r="H5871" i="2"/>
  <c r="I2875" i="2"/>
  <c r="H2875" i="2"/>
  <c r="I3955" i="2"/>
  <c r="H3955" i="2"/>
  <c r="I7306" i="2"/>
  <c r="H7306" i="2"/>
  <c r="I4412" i="2"/>
  <c r="H4412" i="2"/>
  <c r="I4604" i="2"/>
  <c r="H4604" i="2"/>
  <c r="I3998" i="2"/>
  <c r="H3998" i="2"/>
  <c r="I4531" i="2"/>
  <c r="H4531" i="2"/>
  <c r="I3904" i="2"/>
  <c r="H3904" i="2"/>
  <c r="I4796" i="2"/>
  <c r="H4796" i="2"/>
  <c r="I4655" i="2"/>
  <c r="H4655" i="2"/>
  <c r="I7964" i="2"/>
  <c r="H7964" i="2"/>
  <c r="I4019" i="2"/>
  <c r="H4019" i="2"/>
  <c r="I4885" i="2"/>
  <c r="H4885" i="2"/>
  <c r="I4366" i="2"/>
  <c r="H4366" i="2"/>
  <c r="I5641" i="2"/>
  <c r="H5641" i="2"/>
  <c r="I4819" i="2"/>
  <c r="H4819" i="2"/>
  <c r="I7163" i="2"/>
  <c r="H7163" i="2"/>
  <c r="I3662" i="2"/>
  <c r="H3662" i="2"/>
  <c r="I3951" i="2"/>
  <c r="H3951" i="2"/>
  <c r="I2923" i="2"/>
  <c r="H2923" i="2"/>
  <c r="I3195" i="2"/>
  <c r="H3195" i="2"/>
  <c r="I1223" i="2"/>
  <c r="H1223" i="2"/>
  <c r="I1903" i="2"/>
  <c r="H1903" i="2"/>
  <c r="I4763" i="2"/>
  <c r="H4763" i="2"/>
  <c r="I2751" i="2"/>
  <c r="H2751" i="2"/>
  <c r="I4119" i="2"/>
  <c r="H4119" i="2"/>
  <c r="I4285" i="2"/>
  <c r="H4285" i="2"/>
  <c r="I7995" i="2"/>
  <c r="H7995" i="2"/>
  <c r="I4101" i="2"/>
  <c r="H4101" i="2"/>
  <c r="I2120" i="2"/>
  <c r="H2120" i="2"/>
  <c r="I5424" i="2"/>
  <c r="H5424" i="2"/>
  <c r="I4062" i="2"/>
  <c r="H4062" i="2"/>
  <c r="I1828" i="2"/>
  <c r="H1828" i="2"/>
  <c r="I1213" i="2"/>
  <c r="H1213" i="2"/>
  <c r="I4196" i="2"/>
  <c r="H4196" i="2"/>
  <c r="I4475" i="2"/>
  <c r="H4475" i="2"/>
  <c r="I1294" i="2"/>
  <c r="H1294" i="2"/>
  <c r="I5307" i="2"/>
  <c r="H5307" i="2"/>
  <c r="I4393" i="2"/>
  <c r="H4393" i="2"/>
  <c r="I4324" i="2"/>
  <c r="H4324" i="2"/>
  <c r="I4468" i="2"/>
  <c r="H4468" i="2"/>
  <c r="I1512" i="2"/>
  <c r="H1512" i="2"/>
  <c r="I7881" i="2"/>
  <c r="H7881" i="2"/>
  <c r="I983" i="2"/>
  <c r="H983" i="2"/>
  <c r="I1652" i="2"/>
  <c r="H1652" i="2"/>
  <c r="I7326" i="2"/>
  <c r="H7326" i="2"/>
  <c r="I6409" i="2"/>
  <c r="H6409" i="2"/>
  <c r="I4441" i="2"/>
  <c r="H4441" i="2"/>
  <c r="I4057" i="2"/>
  <c r="H4057" i="2"/>
  <c r="I7316" i="2"/>
  <c r="H7316" i="2"/>
  <c r="I7372" i="2"/>
  <c r="H7372" i="2"/>
  <c r="I2874" i="2"/>
  <c r="H2874" i="2"/>
  <c r="I3225" i="2"/>
  <c r="H3225" i="2"/>
  <c r="I3992" i="2"/>
  <c r="H3992" i="2"/>
  <c r="I4794" i="2"/>
  <c r="H4794" i="2"/>
  <c r="I927" i="2"/>
  <c r="H927" i="2"/>
  <c r="I3738" i="2"/>
  <c r="H3738" i="2"/>
  <c r="I4011" i="2"/>
  <c r="H4011" i="2"/>
  <c r="I7994" i="2"/>
  <c r="H7994" i="2"/>
  <c r="I4379" i="2"/>
  <c r="H4379" i="2"/>
  <c r="I917" i="2"/>
  <c r="H917" i="2"/>
  <c r="I1047" i="2"/>
  <c r="H1047" i="2"/>
  <c r="I1307" i="2"/>
  <c r="H1307" i="2"/>
  <c r="I4439" i="2"/>
  <c r="H4439" i="2"/>
  <c r="I6828" i="2"/>
  <c r="H6828" i="2"/>
  <c r="I5400" i="2"/>
  <c r="H5400" i="2"/>
  <c r="I6905" i="2"/>
  <c r="H6905" i="2"/>
  <c r="I1051" i="2"/>
  <c r="H1051" i="2"/>
  <c r="I3946" i="2"/>
  <c r="H3946" i="2"/>
  <c r="I7032" i="2"/>
  <c r="H7032" i="2"/>
  <c r="I1057" i="2"/>
  <c r="H1057" i="2"/>
  <c r="I1733" i="2"/>
  <c r="H1733" i="2"/>
  <c r="I7559" i="2"/>
  <c r="H7559" i="2"/>
  <c r="I2469" i="2"/>
  <c r="H2469" i="2"/>
  <c r="I1653" i="2"/>
  <c r="H1653" i="2"/>
  <c r="I5020" i="2"/>
  <c r="H5020" i="2"/>
  <c r="I4683" i="2"/>
  <c r="H4683" i="2"/>
  <c r="I4553" i="2"/>
  <c r="H4553" i="2"/>
  <c r="I3956" i="2"/>
  <c r="H3956" i="2"/>
  <c r="I6352" i="2"/>
  <c r="H6352" i="2"/>
  <c r="I6029" i="2"/>
  <c r="H6029" i="2"/>
  <c r="I973" i="2"/>
  <c r="H973" i="2"/>
  <c r="I4482" i="2"/>
  <c r="H4482" i="2"/>
  <c r="I5884" i="2"/>
  <c r="H5884" i="2"/>
  <c r="I7500" i="2"/>
  <c r="H7500" i="2"/>
  <c r="I3861" i="2"/>
  <c r="H3861" i="2"/>
  <c r="I912" i="2"/>
  <c r="H912" i="2"/>
  <c r="I4720" i="2"/>
  <c r="H4720" i="2"/>
  <c r="I3478" i="2"/>
  <c r="H3478" i="2"/>
  <c r="I7816" i="2"/>
  <c r="H7816" i="2"/>
  <c r="I6916" i="2"/>
  <c r="H6916" i="2"/>
  <c r="I4702" i="2"/>
  <c r="H4702" i="2"/>
  <c r="I3465" i="2"/>
  <c r="H3465" i="2"/>
  <c r="I3645" i="2"/>
  <c r="H3645" i="2"/>
  <c r="I6463" i="2"/>
  <c r="H6463" i="2"/>
  <c r="I4029" i="2"/>
  <c r="H4029" i="2"/>
  <c r="I4430" i="2"/>
  <c r="H4430" i="2"/>
  <c r="I4571" i="2"/>
  <c r="H4571" i="2"/>
  <c r="I3838" i="2"/>
  <c r="H3838" i="2"/>
  <c r="I4835" i="2"/>
  <c r="H4835" i="2"/>
  <c r="I4009" i="2"/>
  <c r="H4009" i="2"/>
  <c r="I4399" i="2"/>
  <c r="H4399" i="2"/>
  <c r="I5241" i="2"/>
  <c r="H5241" i="2"/>
  <c r="I6720" i="2"/>
  <c r="H6720" i="2"/>
  <c r="I6438" i="2"/>
  <c r="H6438" i="2"/>
  <c r="I3737" i="2"/>
  <c r="H3737" i="2"/>
  <c r="I5314" i="2"/>
  <c r="H5314" i="2"/>
  <c r="I4493" i="2"/>
  <c r="H4493" i="2"/>
  <c r="I7980" i="2"/>
  <c r="H7980" i="2"/>
  <c r="I928" i="2"/>
  <c r="H928" i="2"/>
  <c r="I6187" i="2"/>
  <c r="H6187" i="2"/>
  <c r="I1031" i="2"/>
  <c r="H1031" i="2"/>
  <c r="I4997" i="2"/>
  <c r="H4997" i="2"/>
  <c r="I5032" i="2"/>
  <c r="H5032" i="2"/>
  <c r="I5002" i="2"/>
  <c r="H5002" i="2"/>
  <c r="I3573" i="2"/>
  <c r="H3573" i="2"/>
  <c r="I4258" i="2"/>
  <c r="H4258" i="2"/>
  <c r="I7762" i="2"/>
  <c r="H7762" i="2"/>
  <c r="I2294" i="2"/>
  <c r="H2294" i="2"/>
  <c r="I5430" i="2"/>
  <c r="H5430" i="2"/>
  <c r="I2645" i="2"/>
  <c r="H2645" i="2"/>
  <c r="I4766" i="2"/>
  <c r="H4766" i="2"/>
  <c r="I2310" i="2"/>
  <c r="H2310" i="2"/>
  <c r="I4812" i="2"/>
  <c r="H4812" i="2"/>
  <c r="I3960" i="2"/>
  <c r="H3960" i="2"/>
  <c r="I4757" i="2"/>
  <c r="H4757" i="2"/>
  <c r="I3780" i="2"/>
  <c r="H3780" i="2"/>
  <c r="I3369" i="2"/>
  <c r="H3369" i="2"/>
  <c r="I4576" i="2"/>
  <c r="H4576" i="2"/>
  <c r="I3514" i="2"/>
  <c r="H3514" i="2"/>
  <c r="I4534" i="2"/>
  <c r="H4534" i="2"/>
  <c r="I3294" i="2"/>
  <c r="H3294" i="2"/>
  <c r="I7639" i="2"/>
  <c r="H7639" i="2"/>
  <c r="I2224" i="2"/>
  <c r="H2224" i="2"/>
  <c r="I4503" i="2"/>
  <c r="H4503" i="2"/>
  <c r="I3613" i="2"/>
  <c r="H3613" i="2"/>
  <c r="I5325" i="2"/>
  <c r="H5325" i="2"/>
  <c r="I5014" i="2"/>
  <c r="H5014" i="2"/>
  <c r="I4077" i="2"/>
  <c r="H4077" i="2"/>
  <c r="I4367" i="2"/>
  <c r="H4367" i="2"/>
  <c r="I7912" i="2"/>
  <c r="H7912" i="2"/>
  <c r="I4495" i="2"/>
  <c r="H4495" i="2"/>
  <c r="I911" i="2"/>
  <c r="H911" i="2"/>
  <c r="I4645" i="2"/>
  <c r="H4645" i="2"/>
  <c r="I5756" i="2"/>
  <c r="H5756" i="2"/>
  <c r="I4233" i="2"/>
  <c r="H4233" i="2"/>
  <c r="I3808" i="2"/>
  <c r="H3808" i="2"/>
  <c r="I6789" i="2"/>
  <c r="H6789" i="2"/>
  <c r="I3330" i="2"/>
  <c r="H3330" i="2"/>
  <c r="I4795" i="2"/>
  <c r="H4795" i="2"/>
  <c r="I5799" i="2"/>
  <c r="H5799" i="2"/>
  <c r="I4971" i="2"/>
  <c r="H4971" i="2"/>
  <c r="I4804" i="2"/>
  <c r="H4804" i="2"/>
  <c r="I994" i="2"/>
  <c r="H994" i="2"/>
  <c r="I5485" i="2"/>
  <c r="H5485" i="2"/>
  <c r="I4500" i="2"/>
  <c r="H4500" i="2"/>
  <c r="I4400" i="2"/>
  <c r="H4400" i="2"/>
  <c r="I4557" i="2"/>
  <c r="H4557" i="2"/>
  <c r="I4543" i="2"/>
  <c r="H4543" i="2"/>
  <c r="I6565" i="2"/>
  <c r="H6565" i="2"/>
  <c r="I4405" i="2"/>
  <c r="H4405" i="2"/>
  <c r="I4068" i="2"/>
  <c r="H4068" i="2"/>
  <c r="I4240" i="2"/>
  <c r="H4240" i="2"/>
  <c r="I3043" i="2"/>
  <c r="H3043" i="2"/>
  <c r="I4237" i="2"/>
  <c r="H4237" i="2"/>
  <c r="I4865" i="2"/>
  <c r="H4865" i="2"/>
  <c r="I8053" i="2"/>
  <c r="H8053" i="2"/>
  <c r="I5456" i="2"/>
  <c r="H5456" i="2"/>
  <c r="I2715" i="2"/>
  <c r="H2715" i="2"/>
  <c r="I4446" i="2"/>
  <c r="H4446" i="2"/>
  <c r="I5693" i="2"/>
  <c r="H5693" i="2"/>
  <c r="I3693" i="2"/>
  <c r="H3693" i="2"/>
  <c r="I5209" i="2"/>
  <c r="H5209" i="2"/>
  <c r="I4728" i="2"/>
  <c r="H4728" i="2"/>
  <c r="I4754" i="2"/>
  <c r="H4754" i="2"/>
  <c r="I1177" i="2"/>
  <c r="H1177" i="2"/>
  <c r="I5023" i="2"/>
  <c r="H5023" i="2"/>
  <c r="I4980" i="2"/>
  <c r="H4980" i="2"/>
  <c r="I900" i="2"/>
  <c r="H900" i="2"/>
  <c r="I892" i="2"/>
  <c r="H892" i="2"/>
  <c r="I4295" i="2"/>
  <c r="H4295" i="2"/>
  <c r="I3790" i="2"/>
  <c r="H3790" i="2"/>
  <c r="I8046" i="2"/>
  <c r="H8046" i="2"/>
  <c r="I4010" i="2"/>
  <c r="H4010" i="2"/>
  <c r="I3222" i="2"/>
  <c r="H3222" i="2"/>
  <c r="I4135" i="2"/>
  <c r="H4135" i="2"/>
  <c r="I5700" i="2"/>
  <c r="H5700" i="2"/>
  <c r="I4017" i="2"/>
  <c r="H4017" i="2"/>
  <c r="I5079" i="2"/>
  <c r="H5079" i="2"/>
  <c r="I3131" i="2"/>
  <c r="H3131" i="2"/>
  <c r="I2044" i="2"/>
  <c r="H2044" i="2"/>
  <c r="I3553" i="2"/>
  <c r="H3553" i="2"/>
  <c r="I6845" i="2"/>
  <c r="H6845" i="2"/>
  <c r="I5302" i="2"/>
  <c r="H5302" i="2"/>
  <c r="I1625" i="2"/>
  <c r="H1625" i="2"/>
  <c r="I4401" i="2"/>
  <c r="H4401" i="2"/>
  <c r="I3706" i="2"/>
  <c r="H3706" i="2"/>
  <c r="I6728" i="2"/>
  <c r="H6728" i="2"/>
  <c r="I3563" i="2"/>
  <c r="H3563" i="2"/>
  <c r="I3065" i="2"/>
  <c r="H3065" i="2"/>
  <c r="I4636" i="2"/>
  <c r="H4636" i="2"/>
  <c r="I4095" i="2"/>
  <c r="H4095" i="2"/>
  <c r="I1531" i="2"/>
  <c r="H1531" i="2"/>
  <c r="I4243" i="2"/>
  <c r="H4243" i="2"/>
  <c r="I4673" i="2"/>
  <c r="H4673" i="2"/>
  <c r="I5467" i="2"/>
  <c r="H5467" i="2"/>
  <c r="I5043" i="2"/>
  <c r="H5043" i="2"/>
  <c r="I6564" i="2"/>
  <c r="H6564" i="2"/>
  <c r="I4046" i="2"/>
  <c r="H4046" i="2"/>
  <c r="I3865" i="2"/>
  <c r="H3865" i="2"/>
  <c r="I5124" i="2"/>
  <c r="H5124" i="2"/>
  <c r="I945" i="2"/>
  <c r="H945" i="2"/>
  <c r="I7946" i="2"/>
  <c r="H7946" i="2"/>
  <c r="I7487" i="2"/>
  <c r="H7487" i="2"/>
  <c r="I4547" i="2"/>
  <c r="H4547" i="2"/>
  <c r="I3965" i="2"/>
  <c r="H3965" i="2"/>
  <c r="I4070" i="2"/>
  <c r="H4070" i="2"/>
  <c r="I4280" i="2"/>
  <c r="H4280" i="2"/>
  <c r="I4024" i="2"/>
  <c r="H4024" i="2"/>
  <c r="I4587" i="2"/>
  <c r="H4587" i="2"/>
  <c r="I6812" i="2"/>
  <c r="H6812" i="2"/>
  <c r="I8063" i="2"/>
  <c r="H8063" i="2"/>
  <c r="I4163" i="2"/>
  <c r="H4163" i="2"/>
  <c r="I5733" i="2"/>
  <c r="H5733" i="2"/>
  <c r="I7146" i="2"/>
  <c r="H7146" i="2"/>
  <c r="I4890" i="2"/>
  <c r="H4890" i="2"/>
  <c r="I5862" i="2"/>
  <c r="H5862" i="2"/>
  <c r="I5587" i="2"/>
  <c r="H5587" i="2"/>
  <c r="I8062" i="2"/>
  <c r="H8062" i="2"/>
  <c r="I3727" i="2"/>
  <c r="H3727" i="2"/>
  <c r="I3885" i="2"/>
  <c r="H3885" i="2"/>
  <c r="I5101" i="2"/>
  <c r="H5101" i="2"/>
  <c r="I4271" i="2"/>
  <c r="H4271" i="2"/>
  <c r="I8066" i="2"/>
  <c r="H8066" i="2"/>
  <c r="I4780" i="2"/>
  <c r="H4780" i="2"/>
  <c r="I1012" i="2"/>
  <c r="H1012" i="2"/>
  <c r="I4844" i="2"/>
  <c r="H4844" i="2"/>
  <c r="I4986" i="2"/>
  <c r="H4986" i="2"/>
  <c r="I3436" i="2"/>
  <c r="H3436" i="2"/>
  <c r="I7499" i="2"/>
  <c r="H7499" i="2"/>
  <c r="I1254" i="2"/>
  <c r="H1254" i="2"/>
  <c r="I3733" i="2"/>
  <c r="H3733" i="2"/>
  <c r="I7953" i="2"/>
  <c r="H7953" i="2"/>
  <c r="I3815" i="2"/>
  <c r="H3815" i="2"/>
  <c r="I4919" i="2"/>
  <c r="H4919" i="2"/>
  <c r="I3120" i="2"/>
  <c r="H3120" i="2"/>
  <c r="I4012" i="2"/>
  <c r="H4012" i="2"/>
  <c r="I3164" i="2"/>
  <c r="H3164" i="2"/>
  <c r="I7454" i="2"/>
  <c r="H7454" i="2"/>
  <c r="I4719" i="2"/>
  <c r="H4719" i="2"/>
  <c r="I7365" i="2"/>
  <c r="H7365" i="2"/>
  <c r="I4045" i="2"/>
  <c r="H4045" i="2"/>
  <c r="I1564" i="2"/>
  <c r="H1564" i="2"/>
  <c r="I1108" i="2"/>
  <c r="H1108" i="2"/>
  <c r="I1805" i="2"/>
  <c r="H1805" i="2"/>
  <c r="I4222" i="2"/>
  <c r="H4222" i="2"/>
  <c r="I1574" i="2"/>
  <c r="H1574" i="2"/>
  <c r="I5113" i="2"/>
  <c r="H5113" i="2"/>
  <c r="I5242" i="2"/>
  <c r="H5242" i="2"/>
  <c r="I4027" i="2"/>
  <c r="H4027" i="2"/>
  <c r="I6114" i="2"/>
  <c r="H6114" i="2"/>
  <c r="I2287" i="2"/>
  <c r="H2287" i="2"/>
  <c r="I4662" i="2"/>
  <c r="H4662" i="2"/>
  <c r="I4200" i="2"/>
  <c r="H4200" i="2"/>
  <c r="I1372" i="2"/>
  <c r="H1372" i="2"/>
  <c r="I2496" i="2"/>
  <c r="H2496" i="2"/>
  <c r="I4843" i="2"/>
  <c r="H4843" i="2"/>
  <c r="I7446" i="2"/>
  <c r="H7446" i="2"/>
  <c r="I4957" i="2"/>
  <c r="H4957" i="2"/>
  <c r="I7186" i="2"/>
  <c r="H7186" i="2"/>
  <c r="I1370" i="2"/>
  <c r="H1370" i="2"/>
  <c r="I5743" i="2"/>
  <c r="H5743" i="2"/>
  <c r="I3948" i="2"/>
  <c r="H3948" i="2"/>
  <c r="I4301" i="2"/>
  <c r="H4301" i="2"/>
  <c r="I3591" i="2"/>
  <c r="H3591" i="2"/>
  <c r="I4801" i="2"/>
  <c r="H4801" i="2"/>
  <c r="I4883" i="2"/>
  <c r="H4883" i="2"/>
  <c r="I1476" i="2"/>
  <c r="H1476" i="2"/>
  <c r="I4785" i="2"/>
  <c r="H4785" i="2"/>
  <c r="I4129" i="2"/>
  <c r="H4129" i="2"/>
  <c r="I5607" i="2"/>
  <c r="H5607" i="2"/>
  <c r="I5029" i="2"/>
  <c r="H5029" i="2"/>
  <c r="I4284" i="2"/>
  <c r="H4284" i="2"/>
  <c r="I6306" i="2"/>
  <c r="H6306" i="2"/>
  <c r="I3833" i="2"/>
  <c r="H3833" i="2"/>
  <c r="I5791" i="2"/>
  <c r="H5791" i="2"/>
  <c r="I2018" i="2"/>
  <c r="H2018" i="2"/>
  <c r="I4696" i="2"/>
  <c r="H4696" i="2"/>
  <c r="I2035" i="2"/>
  <c r="H2035" i="2"/>
  <c r="I1585" i="2"/>
  <c r="H1585" i="2"/>
  <c r="I3877" i="2"/>
  <c r="H3877" i="2"/>
  <c r="I5546" i="2"/>
  <c r="H5546" i="2"/>
  <c r="I4043" i="2"/>
  <c r="H4043" i="2"/>
  <c r="I3303" i="2"/>
  <c r="H3303" i="2"/>
  <c r="I4056" i="2"/>
  <c r="H4056" i="2"/>
  <c r="I4467" i="2"/>
  <c r="H4467" i="2"/>
  <c r="I932" i="2"/>
  <c r="H932" i="2"/>
  <c r="I4607" i="2"/>
  <c r="H4607" i="2"/>
  <c r="I3744" i="2"/>
  <c r="H3744" i="2"/>
  <c r="I6064" i="2"/>
  <c r="H6064" i="2"/>
  <c r="I2984" i="2"/>
  <c r="H2984" i="2"/>
  <c r="I4108" i="2"/>
  <c r="H4108" i="2"/>
  <c r="I5628" i="2"/>
  <c r="H5628" i="2"/>
  <c r="I2921" i="2"/>
  <c r="H2921" i="2"/>
  <c r="I3704" i="2"/>
  <c r="H3704" i="2"/>
  <c r="I4005" i="2"/>
  <c r="H4005" i="2"/>
  <c r="I4540" i="2"/>
  <c r="H4540" i="2"/>
  <c r="I4395" i="2"/>
  <c r="H4395" i="2"/>
  <c r="I3894" i="2"/>
  <c r="H3894" i="2"/>
  <c r="I5829" i="2"/>
  <c r="H5829" i="2"/>
  <c r="I5085" i="2"/>
  <c r="H5085" i="2"/>
  <c r="I7042" i="2"/>
  <c r="H7042" i="2"/>
  <c r="I4079" i="2"/>
  <c r="H4079" i="2"/>
  <c r="I4277" i="2"/>
  <c r="H4277" i="2"/>
  <c r="I5303" i="2"/>
  <c r="H5303" i="2"/>
  <c r="I4669" i="2"/>
  <c r="H4669" i="2"/>
  <c r="I3455" i="2"/>
  <c r="H3455" i="2"/>
  <c r="I3057" i="2"/>
  <c r="H3057" i="2"/>
  <c r="I6582" i="2"/>
  <c r="H6582" i="2"/>
  <c r="I873" i="2"/>
  <c r="H873" i="2"/>
  <c r="I4850" i="2"/>
  <c r="H4850" i="2"/>
  <c r="I2837" i="2"/>
  <c r="H2837" i="2"/>
  <c r="I7413" i="2"/>
  <c r="H7413" i="2"/>
  <c r="I4678" i="2"/>
  <c r="H4678" i="2"/>
  <c r="I3487" i="2"/>
  <c r="H3487" i="2"/>
  <c r="I4730" i="2"/>
  <c r="H4730" i="2"/>
  <c r="I2991" i="2"/>
  <c r="H2991" i="2"/>
  <c r="I4464" i="2"/>
  <c r="H4464" i="2"/>
  <c r="I2428" i="2"/>
  <c r="H2428" i="2"/>
  <c r="I4765" i="2"/>
  <c r="H4765" i="2"/>
  <c r="I3907" i="2"/>
  <c r="H3907" i="2"/>
  <c r="I4085" i="2"/>
  <c r="H4085" i="2"/>
  <c r="I7968" i="2"/>
  <c r="H7968" i="2"/>
  <c r="I857" i="2"/>
  <c r="H857" i="2"/>
  <c r="I3635" i="2"/>
  <c r="H3635" i="2"/>
  <c r="I5447" i="2"/>
  <c r="H5447" i="2"/>
  <c r="I7760" i="2"/>
  <c r="H7760" i="2"/>
  <c r="I3367" i="2"/>
  <c r="H3367" i="2"/>
  <c r="I4206" i="2"/>
  <c r="H4206" i="2"/>
  <c r="I4981" i="2"/>
  <c r="H4981" i="2"/>
  <c r="I3312" i="2"/>
  <c r="H3312" i="2"/>
  <c r="I4463" i="2"/>
  <c r="H4463" i="2"/>
  <c r="I4948" i="2"/>
  <c r="H4948" i="2"/>
  <c r="I4522" i="2"/>
  <c r="H4522" i="2"/>
  <c r="I3758" i="2"/>
  <c r="H3758" i="2"/>
  <c r="I4579" i="2"/>
  <c r="H4579" i="2"/>
  <c r="I4348" i="2"/>
  <c r="H4348" i="2"/>
  <c r="I3919" i="2"/>
  <c r="H3919" i="2"/>
  <c r="I5030" i="2"/>
  <c r="H5030" i="2"/>
  <c r="I4368" i="2"/>
  <c r="H4368" i="2"/>
  <c r="I920" i="2"/>
  <c r="H920" i="2"/>
  <c r="I5274" i="2"/>
  <c r="H5274" i="2"/>
  <c r="I7107" i="2"/>
  <c r="H7107" i="2"/>
  <c r="I4074" i="2"/>
  <c r="H4074" i="2"/>
  <c r="I4092" i="2"/>
  <c r="H4092" i="2"/>
  <c r="I6066" i="2"/>
  <c r="H6066" i="2"/>
  <c r="I4958" i="2"/>
  <c r="H4958" i="2"/>
  <c r="I3462" i="2"/>
  <c r="H3462" i="2"/>
  <c r="I2820" i="2"/>
  <c r="H2820" i="2"/>
  <c r="I3132" i="2"/>
  <c r="H3132" i="2"/>
  <c r="I3957" i="2"/>
  <c r="H3957" i="2"/>
  <c r="I7693" i="2"/>
  <c r="H7693" i="2"/>
  <c r="I1783" i="2"/>
  <c r="H1783" i="2"/>
  <c r="I6757" i="2"/>
  <c r="H6757" i="2"/>
  <c r="I4544" i="2"/>
  <c r="H4544" i="2"/>
  <c r="I7908" i="2"/>
  <c r="H7908" i="2"/>
  <c r="I3759" i="2"/>
  <c r="H3759" i="2"/>
  <c r="I5121" i="2"/>
  <c r="H5121" i="2"/>
  <c r="I4472" i="2"/>
  <c r="H4472" i="2"/>
  <c r="I4312" i="2"/>
  <c r="H4312" i="2"/>
  <c r="I3433" i="2"/>
  <c r="H3433" i="2"/>
  <c r="I4288" i="2"/>
  <c r="H4288" i="2"/>
  <c r="I4996" i="2"/>
  <c r="H4996" i="2"/>
  <c r="I4776" i="2"/>
  <c r="H4776" i="2"/>
  <c r="I3539" i="2"/>
  <c r="H3539" i="2"/>
  <c r="I5091" i="2"/>
  <c r="H5091" i="2"/>
  <c r="I4807" i="2"/>
  <c r="H4807" i="2"/>
  <c r="I5725" i="2"/>
  <c r="H5725" i="2"/>
  <c r="I2618" i="2"/>
  <c r="H2618" i="2"/>
  <c r="I1473" i="2"/>
  <c r="H1473" i="2"/>
  <c r="I5603" i="2"/>
  <c r="H5603" i="2"/>
  <c r="I1695" i="2"/>
  <c r="H1695" i="2"/>
  <c r="I2814" i="2"/>
  <c r="H2814" i="2"/>
  <c r="I3186" i="2"/>
  <c r="H3186" i="2"/>
  <c r="I1726" i="2"/>
  <c r="H1726" i="2"/>
  <c r="I4421" i="2"/>
  <c r="H4421" i="2"/>
  <c r="I4922" i="2"/>
  <c r="H4922" i="2"/>
  <c r="I3813" i="2"/>
  <c r="H3813" i="2"/>
  <c r="I4097" i="2"/>
  <c r="H4097" i="2"/>
  <c r="I3146" i="2"/>
  <c r="H3146" i="2"/>
  <c r="I3850" i="2"/>
  <c r="H3850" i="2"/>
  <c r="I3739" i="2"/>
  <c r="H3739" i="2"/>
  <c r="I2995" i="2"/>
  <c r="H2995" i="2"/>
  <c r="I8061" i="2"/>
  <c r="H8061" i="2"/>
  <c r="I1027" i="2"/>
  <c r="H1027" i="2"/>
  <c r="I7972" i="2"/>
  <c r="H7972" i="2"/>
  <c r="I5504" i="2"/>
  <c r="H5504" i="2"/>
  <c r="I1413" i="2"/>
  <c r="H1413" i="2"/>
  <c r="I3551" i="2"/>
  <c r="H3551" i="2"/>
  <c r="I3809" i="2"/>
  <c r="H3809" i="2"/>
  <c r="I6481" i="2"/>
  <c r="H6481" i="2"/>
  <c r="I860" i="2"/>
  <c r="H860" i="2"/>
  <c r="I1023" i="2"/>
  <c r="H1023" i="2"/>
  <c r="I4022" i="2"/>
  <c r="H4022" i="2"/>
  <c r="I1107" i="2"/>
  <c r="H1107" i="2"/>
  <c r="I2633" i="2"/>
  <c r="H2633" i="2"/>
  <c r="I4620" i="2"/>
  <c r="H4620" i="2"/>
  <c r="I1359" i="2"/>
  <c r="H1359" i="2"/>
  <c r="I5738" i="2"/>
  <c r="H5738" i="2"/>
  <c r="I4517" i="2"/>
  <c r="H4517" i="2"/>
  <c r="I4698" i="2"/>
  <c r="H4698" i="2"/>
  <c r="I996" i="2"/>
  <c r="H996" i="2"/>
  <c r="I3654" i="2"/>
  <c r="H3654" i="2"/>
  <c r="I901" i="2"/>
  <c r="H901" i="2"/>
  <c r="I7984" i="2"/>
  <c r="H7984" i="2"/>
  <c r="I5542" i="2"/>
  <c r="H5542" i="2"/>
  <c r="I6071" i="2"/>
  <c r="H6071" i="2"/>
  <c r="I8013" i="2"/>
  <c r="H8013" i="2"/>
  <c r="I4218" i="2"/>
  <c r="H4218" i="2"/>
  <c r="I5271" i="2"/>
  <c r="H5271" i="2"/>
  <c r="I3625" i="2"/>
  <c r="H3625" i="2"/>
  <c r="I4044" i="2"/>
  <c r="H4044" i="2"/>
  <c r="I5589" i="2"/>
  <c r="H5589" i="2"/>
  <c r="I971" i="2"/>
  <c r="H971" i="2"/>
  <c r="I4484" i="2"/>
  <c r="H4484" i="2"/>
  <c r="I6292" i="2"/>
  <c r="H6292" i="2"/>
  <c r="I4952" i="2"/>
  <c r="H4952" i="2"/>
  <c r="I5876" i="2"/>
  <c r="H5876" i="2"/>
  <c r="I5501" i="2"/>
  <c r="H5501" i="2"/>
  <c r="I4229" i="2"/>
  <c r="H4229" i="2"/>
  <c r="I4866" i="2"/>
  <c r="H4866" i="2"/>
  <c r="I3072" i="2"/>
  <c r="H3072" i="2"/>
  <c r="I4594" i="2"/>
  <c r="H4594" i="2"/>
  <c r="I6248" i="2"/>
  <c r="H6248" i="2"/>
  <c r="I5567" i="2"/>
  <c r="H5567" i="2"/>
  <c r="I7108" i="2"/>
  <c r="H7108" i="2"/>
  <c r="I4177" i="2"/>
  <c r="H4177" i="2"/>
  <c r="I3267" i="2"/>
  <c r="H3267" i="2"/>
  <c r="I2927" i="2"/>
  <c r="H2927" i="2"/>
  <c r="I1215" i="2"/>
  <c r="H1215" i="2"/>
  <c r="I7374" i="2"/>
  <c r="H7374" i="2"/>
  <c r="I1838" i="2"/>
  <c r="H1838" i="2"/>
  <c r="I1010" i="2"/>
  <c r="H1010" i="2"/>
  <c r="I8109" i="2"/>
  <c r="H8109" i="2"/>
  <c r="I3295" i="2"/>
  <c r="H3295" i="2"/>
  <c r="I3037" i="2"/>
  <c r="H3037" i="2"/>
  <c r="I842" i="2"/>
  <c r="H842" i="2"/>
  <c r="I6968" i="2"/>
  <c r="H6968" i="2"/>
  <c r="I5492" i="2"/>
  <c r="H5492" i="2"/>
  <c r="I4879" i="2"/>
  <c r="H4879" i="2"/>
  <c r="I5849" i="2"/>
  <c r="H5849" i="2"/>
  <c r="I5627" i="2"/>
  <c r="H5627" i="2"/>
  <c r="I6333" i="2"/>
  <c r="H6333" i="2"/>
  <c r="I862" i="2"/>
  <c r="H862" i="2"/>
  <c r="I1887" i="2"/>
  <c r="H1887" i="2"/>
  <c r="I7148" i="2"/>
  <c r="H7148" i="2"/>
  <c r="I4440" i="2"/>
  <c r="H4440" i="2"/>
  <c r="I3649" i="2"/>
  <c r="H3649" i="2"/>
  <c r="I4473" i="2"/>
  <c r="H4473" i="2"/>
  <c r="I8055" i="2"/>
  <c r="H8055" i="2"/>
  <c r="I5785" i="2"/>
  <c r="H5785" i="2"/>
  <c r="I8016" i="2"/>
  <c r="H8016" i="2"/>
  <c r="I4239" i="2"/>
  <c r="H4239" i="2"/>
  <c r="I4664" i="2"/>
  <c r="H4664" i="2"/>
  <c r="I5109" i="2"/>
  <c r="H5109" i="2"/>
  <c r="I4532" i="2"/>
  <c r="H4532" i="2"/>
  <c r="I3990" i="2"/>
  <c r="H3990" i="2"/>
  <c r="I2125" i="2"/>
  <c r="H2125" i="2"/>
  <c r="I2385" i="2"/>
  <c r="H2385" i="2"/>
  <c r="I845" i="2"/>
  <c r="H845" i="2"/>
  <c r="I3204" i="2"/>
  <c r="H3204" i="2"/>
  <c r="I3230" i="2"/>
  <c r="H3230" i="2"/>
  <c r="I4180" i="2"/>
  <c r="H4180" i="2"/>
  <c r="I6573" i="2"/>
  <c r="H6573" i="2"/>
  <c r="I3705" i="2"/>
  <c r="H3705" i="2"/>
  <c r="I1879" i="2"/>
  <c r="H1879" i="2"/>
  <c r="I8070" i="2"/>
  <c r="H8070" i="2"/>
  <c r="I5250" i="2"/>
  <c r="H5250" i="2"/>
  <c r="I4552" i="2"/>
  <c r="H4552" i="2"/>
  <c r="I4615" i="2"/>
  <c r="H4615" i="2"/>
  <c r="I4453" i="2"/>
  <c r="H4453" i="2"/>
  <c r="I3574" i="2"/>
  <c r="H3574" i="2"/>
  <c r="I3479" i="2"/>
  <c r="H3479" i="2"/>
  <c r="I3406" i="2"/>
  <c r="H3406" i="2"/>
  <c r="I5298" i="2"/>
  <c r="H5298" i="2"/>
  <c r="I4168" i="2"/>
  <c r="H4168" i="2"/>
  <c r="I1180" i="2"/>
  <c r="H1180" i="2"/>
  <c r="I1196" i="2"/>
  <c r="H1196" i="2"/>
  <c r="I4132" i="2"/>
  <c r="H4132" i="2"/>
  <c r="I8049" i="2"/>
  <c r="H8049" i="2"/>
  <c r="I6177" i="2"/>
  <c r="H6177" i="2"/>
  <c r="I7100" i="2"/>
  <c r="H7100" i="2"/>
  <c r="I5605" i="2"/>
  <c r="H5605" i="2"/>
  <c r="I4665" i="2"/>
  <c r="H4665" i="2"/>
  <c r="I5507" i="2"/>
  <c r="H5507" i="2"/>
  <c r="I6612" i="2"/>
  <c r="H6612" i="2"/>
  <c r="I2454" i="2"/>
  <c r="H2454" i="2"/>
  <c r="I4380" i="2"/>
  <c r="H4380" i="2"/>
  <c r="I7288" i="2"/>
  <c r="H7288" i="2"/>
  <c r="I3981" i="2"/>
  <c r="H3981" i="2"/>
  <c r="I1037" i="2"/>
  <c r="H1037" i="2"/>
  <c r="I4551" i="2"/>
  <c r="H4551" i="2"/>
  <c r="I3083" i="2"/>
  <c r="H3083" i="2"/>
  <c r="I3749" i="2"/>
  <c r="H3749" i="2"/>
  <c r="I7426" i="2"/>
  <c r="H7426" i="2"/>
  <c r="I4565" i="2"/>
  <c r="H4565" i="2"/>
  <c r="I5050" i="2"/>
  <c r="H5050" i="2"/>
  <c r="I2893" i="2"/>
  <c r="H2893" i="2"/>
  <c r="I3036" i="2"/>
  <c r="H3036" i="2"/>
  <c r="I4692" i="2"/>
  <c r="H4692" i="2"/>
  <c r="I2101" i="2"/>
  <c r="H2101" i="2"/>
  <c r="I5531" i="2"/>
  <c r="H5531" i="2"/>
  <c r="I7749" i="2"/>
  <c r="H7749" i="2"/>
  <c r="I3581" i="2"/>
  <c r="H3581" i="2"/>
  <c r="I832" i="2"/>
  <c r="H832" i="2"/>
  <c r="I5486" i="2"/>
  <c r="H5486" i="2"/>
  <c r="I849" i="2"/>
  <c r="H849" i="2"/>
  <c r="I3647" i="2"/>
  <c r="H3647" i="2"/>
  <c r="I4900" i="2"/>
  <c r="H4900" i="2"/>
  <c r="I7858" i="2"/>
  <c r="H7858" i="2"/>
  <c r="I3492" i="2"/>
  <c r="H3492" i="2"/>
  <c r="I866" i="2"/>
  <c r="H866" i="2"/>
  <c r="I1634" i="2"/>
  <c r="H1634" i="2"/>
  <c r="I2458" i="2"/>
  <c r="H2458" i="2"/>
  <c r="I4084" i="2"/>
  <c r="H4084" i="2"/>
  <c r="I814" i="2"/>
  <c r="H814" i="2"/>
  <c r="I7630" i="2"/>
  <c r="H7630" i="2"/>
  <c r="I4403" i="2"/>
  <c r="H4403" i="2"/>
  <c r="I4966" i="2"/>
  <c r="H4966" i="2"/>
  <c r="I4806" i="2"/>
  <c r="H4806" i="2"/>
  <c r="I3639" i="2"/>
  <c r="H3639" i="2"/>
  <c r="I3682" i="2"/>
  <c r="H3682" i="2"/>
  <c r="I4811" i="2"/>
  <c r="H4811" i="2"/>
  <c r="I4924" i="2"/>
  <c r="H4924" i="2"/>
  <c r="I5597" i="2"/>
  <c r="H5597" i="2"/>
  <c r="I3257" i="2"/>
  <c r="H3257" i="2"/>
  <c r="I3569" i="2"/>
  <c r="H3569" i="2"/>
  <c r="I811" i="2"/>
  <c r="H811" i="2"/>
  <c r="I6062" i="2"/>
  <c r="H6062" i="2"/>
  <c r="I3897" i="2"/>
  <c r="H3897" i="2"/>
  <c r="I4736" i="2"/>
  <c r="H4736" i="2"/>
  <c r="I2512" i="2"/>
  <c r="H2512" i="2"/>
  <c r="I4619" i="2"/>
  <c r="H4619" i="2"/>
  <c r="I3797" i="2"/>
  <c r="H3797" i="2"/>
  <c r="I5293" i="2"/>
  <c r="H5293" i="2"/>
  <c r="I4004" i="2"/>
  <c r="H4004" i="2"/>
  <c r="I3775" i="2"/>
  <c r="H3775" i="2"/>
  <c r="I3710" i="2"/>
  <c r="H3710" i="2"/>
  <c r="I1203" i="2"/>
  <c r="H1203" i="2"/>
  <c r="I2342" i="2"/>
  <c r="H2342" i="2"/>
  <c r="I5552" i="2"/>
  <c r="H5552" i="2"/>
  <c r="I3243" i="2"/>
  <c r="H3243" i="2"/>
  <c r="I4847" i="2"/>
  <c r="H4847" i="2"/>
  <c r="H2408" i="2"/>
  <c r="I5830" i="2"/>
  <c r="H5830" i="2"/>
  <c r="I5016" i="2"/>
  <c r="H5016" i="2"/>
  <c r="I4115" i="2"/>
  <c r="H4115" i="2"/>
  <c r="I828" i="2"/>
  <c r="H828" i="2"/>
  <c r="I6455" i="2"/>
  <c r="H6455" i="2"/>
  <c r="I3978" i="2"/>
  <c r="H3978" i="2"/>
  <c r="I3831" i="2"/>
  <c r="H3831" i="2"/>
  <c r="I4712" i="2"/>
  <c r="H4712" i="2"/>
  <c r="I5661" i="2"/>
  <c r="H5661" i="2"/>
  <c r="I5278" i="2"/>
  <c r="H5278" i="2"/>
  <c r="I1917" i="2"/>
  <c r="H1917" i="2"/>
  <c r="I7280" i="2"/>
  <c r="H7280" i="2"/>
  <c r="H1875" i="2"/>
  <c r="I3615" i="2"/>
  <c r="H3615" i="2"/>
  <c r="I3005" i="2"/>
  <c r="H3005" i="2"/>
  <c r="I4209" i="2"/>
  <c r="H4209" i="2"/>
  <c r="I5606" i="2"/>
  <c r="H5606" i="2"/>
  <c r="I4072" i="2"/>
  <c r="H4072" i="2"/>
  <c r="I3921" i="2"/>
  <c r="H3921" i="2"/>
  <c r="I4567" i="2"/>
  <c r="H4567" i="2"/>
  <c r="I2922" i="2"/>
  <c r="H2922" i="2"/>
  <c r="I3634" i="2"/>
  <c r="H3634" i="2"/>
  <c r="I6023" i="2"/>
  <c r="H6023" i="2"/>
  <c r="I5264" i="2"/>
  <c r="H5264" i="2"/>
  <c r="I3678" i="2"/>
  <c r="H3678" i="2"/>
  <c r="I3980" i="2"/>
  <c r="H3980" i="2"/>
  <c r="I4723" i="2"/>
  <c r="H4723" i="2"/>
  <c r="I5408" i="2"/>
  <c r="H5408" i="2"/>
  <c r="I4037" i="2"/>
  <c r="H4037" i="2"/>
  <c r="I5226" i="2"/>
  <c r="H5226" i="2"/>
  <c r="I5263" i="2"/>
  <c r="H5263" i="2"/>
  <c r="I1264" i="2"/>
  <c r="H1264" i="2"/>
  <c r="I2968" i="2"/>
  <c r="H2968" i="2"/>
  <c r="I3728" i="2"/>
  <c r="H3728" i="2"/>
  <c r="I7800" i="2"/>
  <c r="H7800" i="2"/>
  <c r="I2478" i="2"/>
  <c r="H2478" i="2"/>
  <c r="I4680" i="2"/>
  <c r="H4680" i="2"/>
  <c r="I4363" i="2"/>
  <c r="H4363" i="2"/>
  <c r="I4050" i="2"/>
  <c r="H4050" i="2"/>
  <c r="I3801" i="2"/>
  <c r="H3801" i="2"/>
  <c r="I7565" i="2"/>
  <c r="H7565" i="2"/>
  <c r="I3823" i="2"/>
  <c r="H3823" i="2"/>
  <c r="I1441" i="2"/>
  <c r="H1441" i="2"/>
  <c r="I6041" i="2"/>
  <c r="H6041" i="2"/>
  <c r="I3651" i="2"/>
  <c r="H3651" i="2"/>
  <c r="I4187" i="2"/>
  <c r="H4187" i="2"/>
  <c r="I968" i="2"/>
  <c r="H968" i="2"/>
  <c r="I2239" i="2"/>
  <c r="H2239" i="2"/>
  <c r="I3826" i="2"/>
  <c r="H3826" i="2"/>
  <c r="I4391" i="2"/>
  <c r="H4391" i="2"/>
  <c r="I3518" i="2"/>
  <c r="H3518" i="2"/>
  <c r="I815" i="2"/>
  <c r="H815" i="2"/>
  <c r="I6196" i="2"/>
  <c r="H6196" i="2"/>
  <c r="I937" i="2"/>
  <c r="H937" i="2"/>
  <c r="I6153" i="2"/>
  <c r="H6153" i="2"/>
  <c r="I5798" i="2"/>
  <c r="H5798" i="2"/>
  <c r="I8100" i="2"/>
  <c r="H8100" i="2"/>
  <c r="I8037" i="2"/>
  <c r="H8037" i="2"/>
  <c r="I4907" i="2"/>
  <c r="H4907" i="2"/>
  <c r="I3935" i="2"/>
  <c r="H3935" i="2"/>
  <c r="I5136" i="2"/>
  <c r="H5136" i="2"/>
  <c r="I3970" i="2"/>
  <c r="H3970" i="2"/>
  <c r="I4251" i="2"/>
  <c r="H4251" i="2"/>
  <c r="I5158" i="2"/>
  <c r="H5158" i="2"/>
  <c r="I4171" i="2"/>
  <c r="H4171" i="2"/>
  <c r="I5527" i="2"/>
  <c r="H5527" i="2"/>
  <c r="I792" i="2"/>
  <c r="H792" i="2"/>
  <c r="I3963" i="2"/>
  <c r="H3963" i="2"/>
  <c r="I8102" i="2"/>
  <c r="H8102" i="2"/>
  <c r="I3502" i="2"/>
  <c r="H3502" i="2"/>
  <c r="I5592" i="2"/>
  <c r="H5592" i="2"/>
  <c r="I5358" i="2"/>
  <c r="H5358" i="2"/>
  <c r="I5379" i="2"/>
  <c r="H5379" i="2"/>
  <c r="I7408" i="2"/>
  <c r="H7408" i="2"/>
  <c r="I5065" i="2"/>
  <c r="H5065" i="2"/>
  <c r="I5150" i="2"/>
  <c r="H5150" i="2"/>
  <c r="I3325" i="2"/>
  <c r="H3325" i="2"/>
  <c r="I4994" i="2"/>
  <c r="H4994" i="2"/>
  <c r="I5141" i="2"/>
  <c r="H5141" i="2"/>
  <c r="I2550" i="2"/>
  <c r="H2550" i="2"/>
  <c r="I6330" i="2"/>
  <c r="H6330" i="2"/>
  <c r="I1425" i="2"/>
  <c r="H1425" i="2"/>
  <c r="I4625" i="2"/>
  <c r="H4625" i="2"/>
  <c r="I3342" i="2"/>
  <c r="H3342" i="2"/>
  <c r="I8058" i="2"/>
  <c r="H8058" i="2"/>
  <c r="I1869" i="2"/>
  <c r="H1869" i="2"/>
  <c r="I4584" i="2"/>
  <c r="H4584" i="2"/>
  <c r="I6778" i="2"/>
  <c r="H6778" i="2"/>
  <c r="I5618" i="2"/>
  <c r="H5618" i="2"/>
  <c r="I7176" i="2"/>
  <c r="H7176" i="2"/>
  <c r="I3866" i="2"/>
  <c r="H3866" i="2"/>
  <c r="I4535" i="2"/>
  <c r="H4535" i="2"/>
  <c r="I813" i="2"/>
  <c r="H813" i="2"/>
  <c r="I4676" i="2"/>
  <c r="H4676" i="2"/>
  <c r="I5648" i="2"/>
  <c r="H5648" i="2"/>
  <c r="I5123" i="2"/>
  <c r="H5123" i="2"/>
  <c r="I778" i="2"/>
  <c r="H778" i="2"/>
  <c r="I5882" i="2"/>
  <c r="H5882" i="2"/>
  <c r="I5493" i="2"/>
  <c r="H5493" i="2"/>
  <c r="I1492" i="2"/>
  <c r="H1492" i="2"/>
  <c r="I4582" i="2"/>
  <c r="H4582" i="2"/>
  <c r="I4146" i="2"/>
  <c r="H4146" i="2"/>
  <c r="I4437" i="2"/>
  <c r="H4437" i="2"/>
  <c r="I4208" i="2"/>
  <c r="H4208" i="2"/>
  <c r="I3716" i="2"/>
  <c r="H3716" i="2"/>
  <c r="I3357" i="2"/>
  <c r="H3357" i="2"/>
  <c r="I786" i="2"/>
  <c r="H786" i="2"/>
  <c r="I1043" i="2"/>
  <c r="H1043" i="2"/>
  <c r="I6449" i="2"/>
  <c r="H6449" i="2"/>
  <c r="I3867" i="2"/>
  <c r="H3867" i="2"/>
  <c r="I5730" i="2"/>
  <c r="H5730" i="2"/>
  <c r="I6229" i="2"/>
  <c r="H6229" i="2"/>
  <c r="I3416" i="2"/>
  <c r="H3416" i="2"/>
  <c r="I5206" i="2"/>
  <c r="H5206" i="2"/>
  <c r="I7841" i="2"/>
  <c r="H7841" i="2"/>
  <c r="I3793" i="2"/>
  <c r="H3793" i="2"/>
  <c r="I8167" i="2"/>
  <c r="H8167" i="2"/>
  <c r="I3869" i="2"/>
  <c r="H3869" i="2"/>
  <c r="I7523" i="2"/>
  <c r="H7523" i="2"/>
  <c r="I2908" i="2"/>
  <c r="H2908" i="2"/>
  <c r="I5232" i="2"/>
  <c r="H5232" i="2"/>
  <c r="I3887" i="2"/>
  <c r="H3887" i="2"/>
  <c r="I5752" i="2"/>
  <c r="H5752" i="2"/>
  <c r="I5899" i="2"/>
  <c r="H5899" i="2"/>
  <c r="I7114" i="2"/>
  <c r="H7114" i="2"/>
  <c r="I3404" i="2"/>
  <c r="H3404" i="2"/>
  <c r="I6135" i="2"/>
  <c r="H6135" i="2"/>
  <c r="I1613" i="2"/>
  <c r="H1613" i="2"/>
  <c r="I4332" i="2"/>
  <c r="H4332" i="2"/>
  <c r="I3566" i="2"/>
  <c r="H3566" i="2"/>
  <c r="I4783" i="2"/>
  <c r="H4783" i="2"/>
  <c r="I2091" i="2"/>
  <c r="H2091" i="2"/>
  <c r="I3896" i="2"/>
  <c r="H3896" i="2"/>
  <c r="I809" i="2"/>
  <c r="H809" i="2"/>
  <c r="I2955" i="2"/>
  <c r="H2955" i="2"/>
  <c r="I770" i="2"/>
  <c r="H770" i="2"/>
  <c r="I4238" i="2"/>
  <c r="H4238" i="2"/>
  <c r="I4032" i="2"/>
  <c r="H4032" i="2"/>
  <c r="I3582" i="2"/>
  <c r="H3582" i="2"/>
  <c r="I5203" i="2"/>
  <c r="H5203" i="2"/>
  <c r="I6947" i="2"/>
  <c r="H6947" i="2"/>
  <c r="I7303" i="2"/>
  <c r="H7303" i="2"/>
  <c r="I3679" i="2"/>
  <c r="H3679" i="2"/>
  <c r="I5579" i="2"/>
  <c r="H5579" i="2"/>
  <c r="I4714" i="2"/>
  <c r="H4714" i="2"/>
  <c r="I5321" i="2"/>
  <c r="H5321" i="2"/>
  <c r="I2953" i="2"/>
  <c r="H2953" i="2"/>
  <c r="I7027" i="2"/>
  <c r="H7027" i="2"/>
  <c r="I3943" i="2"/>
  <c r="H3943" i="2"/>
  <c r="I5046" i="2"/>
  <c r="H5046" i="2"/>
  <c r="I4162" i="2"/>
  <c r="H4162" i="2"/>
  <c r="I4694" i="2"/>
  <c r="H4694" i="2"/>
  <c r="I7077" i="2"/>
  <c r="H7077" i="2"/>
  <c r="I3533" i="2"/>
  <c r="H3533" i="2"/>
  <c r="I8136" i="2"/>
  <c r="H8136" i="2"/>
  <c r="I5917" i="2"/>
  <c r="H5917" i="2"/>
  <c r="I4618" i="2"/>
  <c r="H4618" i="2"/>
  <c r="I5516" i="2"/>
  <c r="H5516" i="2"/>
  <c r="I4820" i="2"/>
  <c r="H4820" i="2"/>
  <c r="I796" i="2"/>
  <c r="H796" i="2"/>
  <c r="I3624" i="2"/>
  <c r="H3624" i="2"/>
  <c r="I5560" i="2"/>
  <c r="H5560" i="2"/>
  <c r="I1521" i="2"/>
  <c r="H1521" i="2"/>
  <c r="I8166" i="2"/>
  <c r="H8166" i="2"/>
  <c r="I5107" i="2"/>
  <c r="H5107" i="2"/>
  <c r="I3847" i="2"/>
  <c r="H3847" i="2"/>
  <c r="I6065" i="2"/>
  <c r="H6065" i="2"/>
  <c r="I4916" i="2"/>
  <c r="H4916" i="2"/>
  <c r="I7957" i="2"/>
  <c r="H7957" i="2"/>
  <c r="I3906" i="2"/>
  <c r="H3906" i="2"/>
  <c r="I4000" i="2"/>
  <c r="H4000" i="2"/>
  <c r="I791" i="2"/>
  <c r="H791" i="2"/>
  <c r="I4429" i="2"/>
  <c r="H4429" i="2"/>
  <c r="I5713" i="2"/>
  <c r="H5713" i="2"/>
  <c r="I7585" i="2"/>
  <c r="H7585" i="2"/>
  <c r="I810" i="2"/>
  <c r="H810" i="2"/>
  <c r="I6351" i="2"/>
  <c r="H6351" i="2"/>
  <c r="I6025" i="2"/>
  <c r="H6025" i="2"/>
  <c r="I4313" i="2"/>
  <c r="H4313" i="2"/>
  <c r="I6835" i="2"/>
  <c r="H6835" i="2"/>
  <c r="I4566" i="2"/>
  <c r="H4566" i="2"/>
  <c r="I2541" i="2"/>
  <c r="H2541" i="2"/>
  <c r="I2883" i="2"/>
  <c r="H2883" i="2"/>
  <c r="I4511" i="2"/>
  <c r="H4511" i="2"/>
  <c r="I2716" i="2"/>
  <c r="H2716" i="2"/>
  <c r="I7955" i="2"/>
  <c r="H7955" i="2"/>
  <c r="I8115" i="2"/>
  <c r="H8115" i="2"/>
  <c r="I4914" i="2"/>
  <c r="H4914" i="2"/>
  <c r="I4164" i="2"/>
  <c r="H4164" i="2"/>
  <c r="I2481" i="2"/>
  <c r="H2481" i="2"/>
  <c r="I4764" i="2"/>
  <c r="H4764" i="2"/>
  <c r="I5621" i="2"/>
  <c r="H5621" i="2"/>
  <c r="I4035" i="2"/>
  <c r="H4035" i="2"/>
  <c r="I5416" i="2"/>
  <c r="H5416" i="2"/>
  <c r="I4449" i="2"/>
  <c r="H4449" i="2"/>
  <c r="I7036" i="2"/>
  <c r="H7036" i="2"/>
  <c r="I5042" i="2"/>
  <c r="H5042" i="2"/>
  <c r="I1542" i="2"/>
  <c r="H1542" i="2"/>
  <c r="I4750" i="2"/>
  <c r="H4750" i="2"/>
  <c r="I835" i="2"/>
  <c r="H835" i="2"/>
  <c r="I1192" i="2"/>
  <c r="H1192" i="2"/>
  <c r="I4592" i="2"/>
  <c r="H4592" i="2"/>
  <c r="I2586" i="2"/>
  <c r="H2586" i="2"/>
  <c r="I5347" i="2"/>
  <c r="H5347" i="2"/>
  <c r="I5204" i="2"/>
  <c r="H5204" i="2"/>
  <c r="I5004" i="2"/>
  <c r="H5004" i="2"/>
  <c r="I3969" i="2"/>
  <c r="H3969" i="2"/>
  <c r="I6030" i="2"/>
  <c r="H6030" i="2"/>
  <c r="I5436" i="2"/>
  <c r="H5436" i="2"/>
  <c r="I3855" i="2"/>
  <c r="H3855" i="2"/>
  <c r="I6971" i="2"/>
  <c r="H6971" i="2"/>
  <c r="I847" i="2"/>
  <c r="H847" i="2"/>
  <c r="I5354" i="2"/>
  <c r="H5354" i="2"/>
  <c r="I4897" i="2"/>
  <c r="H4897" i="2"/>
  <c r="I1178" i="2"/>
  <c r="H1178" i="2"/>
  <c r="I6123" i="2"/>
  <c r="H6123" i="2"/>
  <c r="I4513" i="2"/>
  <c r="H4513" i="2"/>
  <c r="I3851" i="2"/>
  <c r="H3851" i="2"/>
  <c r="I5564" i="2"/>
  <c r="H5564" i="2"/>
  <c r="I3453" i="2"/>
  <c r="H3453" i="2"/>
  <c r="I4525" i="2"/>
  <c r="H4525" i="2"/>
  <c r="I747" i="2"/>
  <c r="H747" i="2"/>
  <c r="I3761" i="2"/>
  <c r="H3761" i="2"/>
  <c r="I6867" i="2"/>
  <c r="H6867" i="2"/>
  <c r="I3631" i="2"/>
  <c r="H3631" i="2"/>
  <c r="I4489" i="2"/>
  <c r="H4489" i="2"/>
  <c r="I1536" i="2"/>
  <c r="H1536" i="2"/>
  <c r="I3372" i="2"/>
  <c r="H3372" i="2"/>
  <c r="I3240" i="2"/>
  <c r="H3240" i="2"/>
  <c r="I3723" i="2"/>
  <c r="H3723" i="2"/>
  <c r="I3899" i="2"/>
  <c r="H3899" i="2"/>
  <c r="I2565" i="2"/>
  <c r="H2565" i="2"/>
  <c r="I4855" i="2"/>
  <c r="H4855" i="2"/>
  <c r="I3081" i="2"/>
  <c r="H3081" i="2"/>
  <c r="I8089" i="2"/>
  <c r="H8089" i="2"/>
  <c r="I5162" i="2"/>
  <c r="H5162" i="2"/>
  <c r="I852" i="2"/>
  <c r="H852" i="2"/>
  <c r="I8179" i="2"/>
  <c r="H8179" i="2"/>
  <c r="I5891" i="2"/>
  <c r="H5891" i="2"/>
  <c r="I746" i="2"/>
  <c r="H746" i="2"/>
  <c r="I4668" i="2"/>
  <c r="H4668" i="2"/>
  <c r="I1689" i="2"/>
  <c r="H1689" i="2"/>
  <c r="I5176" i="2"/>
  <c r="H5176" i="2"/>
  <c r="I4282" i="2"/>
  <c r="H4282" i="2"/>
  <c r="I5412" i="2"/>
  <c r="H5412" i="2"/>
  <c r="I3875" i="2"/>
  <c r="H3875" i="2"/>
  <c r="I4550" i="2"/>
  <c r="H4550" i="2"/>
  <c r="I5266" i="2"/>
  <c r="H5266" i="2"/>
  <c r="I5896" i="2"/>
  <c r="H5896" i="2"/>
  <c r="I1722" i="2"/>
  <c r="H1722" i="2"/>
  <c r="I4154" i="2"/>
  <c r="H4154" i="2"/>
  <c r="I1556" i="2"/>
  <c r="H1556" i="2"/>
  <c r="I3734" i="2"/>
  <c r="H3734" i="2"/>
  <c r="I824" i="2"/>
  <c r="H824" i="2"/>
  <c r="I3464" i="2"/>
  <c r="H3464" i="2"/>
  <c r="I6240" i="2"/>
  <c r="H6240" i="2"/>
  <c r="I5172" i="2"/>
  <c r="H5172" i="2"/>
  <c r="I4545" i="2"/>
  <c r="H4545" i="2"/>
  <c r="I2196" i="2"/>
  <c r="H2196" i="2"/>
  <c r="I3862" i="2"/>
  <c r="H3862" i="2"/>
  <c r="I3914" i="2"/>
  <c r="H3914" i="2"/>
  <c r="I5324" i="2"/>
  <c r="H5324" i="2"/>
  <c r="I4365" i="2"/>
  <c r="H4365" i="2"/>
  <c r="I3016" i="2"/>
  <c r="H3016" i="2"/>
  <c r="I4574" i="2"/>
  <c r="H4574" i="2"/>
  <c r="I4001" i="2"/>
  <c r="H4001" i="2"/>
  <c r="I4737" i="2"/>
  <c r="H4737" i="2"/>
  <c r="I738" i="2"/>
  <c r="H738" i="2"/>
  <c r="I7624" i="2"/>
  <c r="H7624" i="2"/>
  <c r="I4697" i="2"/>
  <c r="H4697" i="2"/>
  <c r="I5608" i="2"/>
  <c r="H5608" i="2"/>
  <c r="I6419" i="2"/>
  <c r="H6419" i="2"/>
  <c r="I6511" i="2"/>
  <c r="H6511" i="2"/>
  <c r="I4040" i="2"/>
  <c r="H4040" i="2"/>
  <c r="I3938" i="2"/>
  <c r="H3938" i="2"/>
  <c r="I5489" i="2"/>
  <c r="H5489" i="2"/>
  <c r="I2434" i="2"/>
  <c r="H2434" i="2"/>
  <c r="I4071" i="2"/>
  <c r="H4071" i="2"/>
  <c r="I5488" i="2"/>
  <c r="H5488" i="2"/>
  <c r="I1626" i="2"/>
  <c r="H1626" i="2"/>
  <c r="I3811" i="2"/>
  <c r="H3811" i="2"/>
  <c r="I5716" i="2"/>
  <c r="H5716" i="2"/>
  <c r="I3841" i="2"/>
  <c r="H3841" i="2"/>
  <c r="I3013" i="2"/>
  <c r="H3013" i="2"/>
  <c r="I5058" i="2"/>
  <c r="H5058" i="2"/>
  <c r="I3171" i="2"/>
  <c r="H3171" i="2"/>
  <c r="I5703" i="2"/>
  <c r="H5703" i="2"/>
  <c r="I8204" i="2"/>
  <c r="H8204" i="2"/>
  <c r="I7320" i="2"/>
  <c r="H7320" i="2"/>
  <c r="I5027" i="2"/>
  <c r="H5027" i="2"/>
  <c r="I822" i="2"/>
  <c r="H822" i="2"/>
  <c r="I2348" i="2"/>
  <c r="H2348" i="2"/>
  <c r="I1900" i="2"/>
  <c r="H1900" i="2"/>
  <c r="I5383" i="2"/>
  <c r="H5383" i="2"/>
  <c r="I2980" i="2"/>
  <c r="H2980" i="2"/>
  <c r="I7453" i="2"/>
  <c r="H7453" i="2"/>
  <c r="I762" i="2"/>
  <c r="H762" i="2"/>
  <c r="I4419" i="2"/>
  <c r="H4419" i="2"/>
  <c r="I5185" i="2"/>
  <c r="H5185" i="2"/>
  <c r="I5533" i="2"/>
  <c r="H5533" i="2"/>
  <c r="I3941" i="2"/>
  <c r="H3941" i="2"/>
  <c r="I745" i="2"/>
  <c r="H745" i="2"/>
  <c r="I7977" i="2"/>
  <c r="H7977" i="2"/>
  <c r="I7646" i="2"/>
  <c r="H7646" i="2"/>
  <c r="I3108" i="2"/>
  <c r="H3108" i="2"/>
  <c r="I7926" i="2"/>
  <c r="H7926" i="2"/>
  <c r="I5554" i="2"/>
  <c r="H5554" i="2"/>
  <c r="I6244" i="2"/>
  <c r="H6244" i="2"/>
  <c r="I6337" i="2"/>
  <c r="H6337" i="2"/>
  <c r="I2151" i="2"/>
  <c r="H2151" i="2"/>
  <c r="I2827" i="2"/>
  <c r="H2827" i="2"/>
  <c r="I4715" i="2"/>
  <c r="H4715" i="2"/>
  <c r="I3721" i="2"/>
  <c r="H3721" i="2"/>
  <c r="I4417" i="2"/>
  <c r="H4417" i="2"/>
  <c r="I4483" i="2"/>
  <c r="H4483" i="2"/>
  <c r="I3545" i="2"/>
  <c r="H3545" i="2"/>
  <c r="I3741" i="2"/>
  <c r="H3741" i="2"/>
  <c r="I2341" i="2"/>
  <c r="H2341" i="2"/>
  <c r="I3807" i="2"/>
  <c r="H3807" i="2"/>
  <c r="I4741" i="2"/>
  <c r="H4741" i="2"/>
  <c r="I8117" i="2"/>
  <c r="H8117" i="2"/>
  <c r="I5357" i="2"/>
  <c r="H5357" i="2"/>
  <c r="I4926" i="2"/>
  <c r="H4926" i="2"/>
  <c r="I2752" i="2"/>
  <c r="H2752" i="2"/>
  <c r="I1786" i="2"/>
  <c r="H1786" i="2"/>
  <c r="I4809" i="2"/>
  <c r="H4809" i="2"/>
  <c r="I6526" i="2"/>
  <c r="H6526" i="2"/>
  <c r="I6131" i="2"/>
  <c r="H6131" i="2"/>
  <c r="I1420" i="2"/>
  <c r="H1420" i="2"/>
  <c r="I1506" i="2"/>
  <c r="H1506" i="2"/>
  <c r="I7160" i="2"/>
  <c r="H7160" i="2"/>
  <c r="I6139" i="2"/>
  <c r="H6139" i="2"/>
  <c r="I5291" i="2"/>
  <c r="H5291" i="2"/>
  <c r="I8141" i="2"/>
  <c r="H8141" i="2"/>
  <c r="I4882" i="2"/>
  <c r="H4882" i="2"/>
  <c r="I4703" i="2"/>
  <c r="H4703" i="2"/>
  <c r="I2568" i="2"/>
  <c r="H2568" i="2"/>
  <c r="I5165" i="2"/>
  <c r="H5165" i="2"/>
  <c r="I3284" i="2"/>
  <c r="H3284" i="2"/>
  <c r="I5414" i="2"/>
  <c r="H5414" i="2"/>
  <c r="I5088" i="2"/>
  <c r="H5088" i="2"/>
  <c r="I8148" i="2"/>
  <c r="H8148" i="2"/>
  <c r="I1089" i="2"/>
  <c r="H1089" i="2"/>
  <c r="I4690" i="2"/>
  <c r="H4690" i="2"/>
  <c r="I5081" i="2"/>
  <c r="H5081" i="2"/>
  <c r="I4078" i="2"/>
  <c r="H4078" i="2"/>
  <c r="I5928" i="2"/>
  <c r="H5928" i="2"/>
  <c r="I3384" i="2"/>
  <c r="H3384" i="2"/>
  <c r="I5022" i="2"/>
  <c r="H5022" i="2"/>
  <c r="I3589" i="2"/>
  <c r="H3589" i="2"/>
  <c r="I4321" i="2"/>
  <c r="H4321" i="2"/>
  <c r="I7708" i="2"/>
  <c r="H7708" i="2"/>
  <c r="I3871" i="2"/>
  <c r="H3871" i="2"/>
  <c r="I5556" i="2"/>
  <c r="H5556" i="2"/>
  <c r="I2599" i="2"/>
  <c r="H2599" i="2"/>
  <c r="I4670" i="2"/>
  <c r="H4670" i="2"/>
  <c r="I5523" i="2"/>
  <c r="H5523" i="2"/>
  <c r="I3174" i="2"/>
  <c r="H3174" i="2"/>
  <c r="I8129" i="2"/>
  <c r="H8129" i="2"/>
  <c r="I3082" i="2"/>
  <c r="H3082" i="2"/>
  <c r="I1713" i="2"/>
  <c r="H1713" i="2"/>
  <c r="I1197" i="2"/>
  <c r="H1197" i="2"/>
  <c r="I3731" i="2"/>
  <c r="H3731" i="2"/>
  <c r="I3584" i="2"/>
  <c r="H3584" i="2"/>
  <c r="I4136" i="2"/>
  <c r="H4136" i="2"/>
  <c r="I4124" i="2"/>
  <c r="H4124" i="2"/>
  <c r="I4671" i="2"/>
  <c r="H4671" i="2"/>
  <c r="I5828" i="2"/>
  <c r="H5828" i="2"/>
  <c r="I1525" i="2"/>
  <c r="H1525" i="2"/>
  <c r="I8042" i="2"/>
  <c r="H8042" i="2"/>
  <c r="I7884" i="2"/>
  <c r="H7884" i="2"/>
  <c r="I4934" i="2"/>
  <c r="H4934" i="2"/>
  <c r="I5475" i="2"/>
  <c r="H5475" i="2"/>
  <c r="I3729" i="2"/>
  <c r="H3729" i="2"/>
  <c r="I2477" i="2"/>
  <c r="H2477" i="2"/>
  <c r="I6887" i="2"/>
  <c r="H6887" i="2"/>
  <c r="I5753" i="2"/>
  <c r="H5753" i="2"/>
  <c r="I3700" i="2"/>
  <c r="H3700" i="2"/>
  <c r="I1007" i="2"/>
  <c r="H1007" i="2"/>
  <c r="I4947" i="2"/>
  <c r="H4947" i="2"/>
  <c r="I6608" i="2"/>
  <c r="H6608" i="2"/>
  <c r="I4845" i="2"/>
  <c r="H4845" i="2"/>
  <c r="I5100" i="2"/>
  <c r="H5100" i="2"/>
  <c r="I4623" i="2"/>
  <c r="H4623" i="2"/>
  <c r="I4134" i="2"/>
  <c r="H4134" i="2"/>
  <c r="I3534" i="2"/>
  <c r="H3534" i="2"/>
  <c r="I7267" i="2"/>
  <c r="H7267" i="2"/>
  <c r="I4038" i="2"/>
  <c r="H4038" i="2"/>
  <c r="I2277" i="2"/>
  <c r="H2277" i="2"/>
  <c r="I2266" i="2"/>
  <c r="H2266" i="2"/>
  <c r="I4745" i="2"/>
  <c r="H4745" i="2"/>
  <c r="I6060" i="2"/>
  <c r="H6060" i="2"/>
  <c r="I725" i="2"/>
  <c r="H725" i="2"/>
  <c r="I4724" i="2"/>
  <c r="H4724" i="2"/>
  <c r="I3213" i="2"/>
  <c r="H3213" i="2"/>
  <c r="I711" i="2"/>
  <c r="H711" i="2"/>
  <c r="I3513" i="2"/>
  <c r="H3513" i="2"/>
  <c r="I4608" i="2"/>
  <c r="H4608" i="2"/>
  <c r="I4298" i="2"/>
  <c r="H4298" i="2"/>
  <c r="I4770" i="2"/>
  <c r="H4770" i="2"/>
  <c r="I2426" i="2"/>
  <c r="H2426" i="2"/>
  <c r="I7677" i="2"/>
  <c r="H7677" i="2"/>
  <c r="I5210" i="2"/>
  <c r="H5210" i="2"/>
  <c r="I4933" i="2"/>
  <c r="H4933" i="2"/>
  <c r="I1068" i="2"/>
  <c r="H1068" i="2"/>
  <c r="I4827" i="2"/>
  <c r="H4827" i="2"/>
  <c r="I1583" i="2"/>
  <c r="H1583" i="2"/>
  <c r="I1785" i="2"/>
  <c r="H1785" i="2"/>
  <c r="I4213" i="2"/>
  <c r="H4213" i="2"/>
  <c r="I5243" i="2"/>
  <c r="H5243" i="2"/>
  <c r="I2464" i="2"/>
  <c r="H2464" i="2"/>
  <c r="I5814" i="2"/>
  <c r="H5814" i="2"/>
  <c r="I4886" i="2"/>
  <c r="H4886" i="2"/>
  <c r="I3817" i="2"/>
  <c r="H3817" i="2"/>
  <c r="I5811" i="2"/>
  <c r="H5811" i="2"/>
  <c r="I5629" i="2"/>
  <c r="H5629" i="2"/>
  <c r="I755" i="2"/>
  <c r="H755" i="2"/>
  <c r="I4127" i="2"/>
  <c r="H4127" i="2"/>
  <c r="I3872" i="2"/>
  <c r="H3872" i="2"/>
  <c r="I4755" i="2"/>
  <c r="H4755" i="2"/>
  <c r="I8160" i="2"/>
  <c r="H8160" i="2"/>
  <c r="I4650" i="2"/>
  <c r="H4650" i="2"/>
  <c r="I3546" i="2"/>
  <c r="H3546" i="2"/>
  <c r="I5252" i="2"/>
  <c r="H5252" i="2"/>
  <c r="I3427" i="2"/>
  <c r="H3427" i="2"/>
  <c r="I8131" i="2"/>
  <c r="H8131" i="2"/>
  <c r="I3210" i="2"/>
  <c r="H3210" i="2"/>
  <c r="I2480" i="2"/>
  <c r="H2480" i="2"/>
  <c r="I3664" i="2"/>
  <c r="H3664" i="2"/>
  <c r="I825" i="2"/>
  <c r="H825" i="2"/>
  <c r="I6182" i="2"/>
  <c r="H6182" i="2"/>
  <c r="I4652" i="2"/>
  <c r="H4652" i="2"/>
  <c r="I4635" i="2"/>
  <c r="H4635" i="2"/>
  <c r="I5235" i="2"/>
  <c r="H5235" i="2"/>
  <c r="I5642" i="2"/>
  <c r="H5642" i="2"/>
  <c r="I6841" i="2"/>
  <c r="H6841" i="2"/>
  <c r="I1692" i="2"/>
  <c r="H1692" i="2"/>
  <c r="I2940" i="2"/>
  <c r="H2940" i="2"/>
  <c r="I3995" i="2"/>
  <c r="H3995" i="2"/>
  <c r="I3408" i="2"/>
  <c r="H3408" i="2"/>
  <c r="I6276" i="2"/>
  <c r="H6276" i="2"/>
  <c r="I6374" i="2"/>
  <c r="H6374" i="2"/>
  <c r="I6472" i="2"/>
  <c r="H6472" i="2"/>
  <c r="I3673" i="2"/>
  <c r="H3673" i="2"/>
  <c r="I1445" i="2"/>
  <c r="H1445" i="2"/>
  <c r="I3666" i="2"/>
  <c r="H3666" i="2"/>
  <c r="I4554" i="2"/>
  <c r="H4554" i="2"/>
  <c r="I3774" i="2"/>
  <c r="H3774" i="2"/>
  <c r="I4917" i="2"/>
  <c r="H4917" i="2"/>
  <c r="I5479" i="2"/>
  <c r="H5479" i="2"/>
  <c r="I3870" i="2"/>
  <c r="H3870" i="2"/>
  <c r="I6072" i="2"/>
  <c r="H6072" i="2"/>
  <c r="I4477" i="2"/>
  <c r="H4477" i="2"/>
  <c r="I4654" i="2"/>
  <c r="H4654" i="2"/>
  <c r="I2088" i="2"/>
  <c r="H2088" i="2"/>
  <c r="I4098" i="2"/>
  <c r="H4098" i="2"/>
  <c r="I3053" i="2"/>
  <c r="H3053" i="2"/>
  <c r="I3432" i="2"/>
  <c r="H3432" i="2"/>
  <c r="I5787" i="2"/>
  <c r="H5787" i="2"/>
  <c r="I5119" i="2"/>
  <c r="H5119" i="2"/>
  <c r="I6024" i="2"/>
  <c r="H6024" i="2"/>
  <c r="I5562" i="2"/>
  <c r="H5562" i="2"/>
  <c r="I2040" i="2"/>
  <c r="H2040" i="2"/>
  <c r="I5582" i="2"/>
  <c r="H5582" i="2"/>
  <c r="I6428" i="2"/>
  <c r="H6428" i="2"/>
  <c r="I4923" i="2"/>
  <c r="H4923" i="2"/>
  <c r="I3094" i="2"/>
  <c r="H3094" i="2"/>
  <c r="H716" i="2"/>
  <c r="I3219" i="2"/>
  <c r="H3219" i="2"/>
  <c r="I5146" i="2"/>
  <c r="H5146" i="2"/>
  <c r="I7414" i="2"/>
  <c r="H7414" i="2"/>
  <c r="I3227" i="2"/>
  <c r="H3227" i="2"/>
  <c r="I4863" i="2"/>
  <c r="H4863" i="2"/>
  <c r="I4605" i="2"/>
  <c r="H4605" i="2"/>
  <c r="I3212" i="2"/>
  <c r="H3212" i="2"/>
  <c r="I4593" i="2"/>
  <c r="H4593" i="2"/>
  <c r="I4657" i="2"/>
  <c r="H4657" i="2"/>
  <c r="I7745" i="2"/>
  <c r="H7745" i="2"/>
  <c r="I7965" i="2"/>
  <c r="H7965" i="2"/>
  <c r="I946" i="2"/>
  <c r="H946" i="2"/>
  <c r="I8250" i="2"/>
  <c r="H8250" i="2"/>
  <c r="I718" i="2"/>
  <c r="H718" i="2"/>
  <c r="I4653" i="2"/>
  <c r="H4653" i="2"/>
  <c r="I5195" i="2"/>
  <c r="H5195" i="2"/>
  <c r="I4515" i="2"/>
  <c r="H4515" i="2"/>
  <c r="I5227" i="2"/>
  <c r="H5227" i="2"/>
  <c r="I3253" i="2"/>
  <c r="H3253" i="2"/>
  <c r="I5015" i="2"/>
  <c r="H5015" i="2"/>
  <c r="I2608" i="2"/>
  <c r="H2608" i="2"/>
  <c r="I7700" i="2"/>
  <c r="H7700" i="2"/>
  <c r="I5082" i="2"/>
  <c r="H5082" i="2"/>
  <c r="I2877" i="2"/>
  <c r="H2877" i="2"/>
  <c r="I5558" i="2"/>
  <c r="H5558" i="2"/>
  <c r="H3620" i="2"/>
  <c r="I5428" i="2"/>
  <c r="H5428" i="2"/>
  <c r="I2059" i="2"/>
  <c r="H2059" i="2"/>
  <c r="I5532" i="2"/>
  <c r="H5532" i="2"/>
  <c r="I3672" i="2"/>
  <c r="H3672" i="2"/>
  <c r="I2930" i="2"/>
  <c r="H2930" i="2"/>
  <c r="I4583" i="2"/>
  <c r="H4583" i="2"/>
  <c r="I7342" i="2"/>
  <c r="H7342" i="2"/>
  <c r="I3832" i="2"/>
  <c r="H3832" i="2"/>
  <c r="I5061" i="2"/>
  <c r="H5061" i="2"/>
  <c r="I3604" i="2"/>
  <c r="H3604" i="2"/>
  <c r="I4410" i="2"/>
  <c r="H4410" i="2"/>
  <c r="I5451" i="2"/>
  <c r="H5451" i="2"/>
  <c r="I6083" i="2"/>
  <c r="H6083" i="2"/>
  <c r="I8142" i="2"/>
  <c r="H8142" i="2"/>
  <c r="I4622" i="2"/>
  <c r="H4622" i="2"/>
  <c r="I4570" i="2"/>
  <c r="H4570" i="2"/>
  <c r="I3255" i="2"/>
  <c r="H3255" i="2"/>
  <c r="I698" i="2"/>
  <c r="H698" i="2"/>
  <c r="I5391" i="2"/>
  <c r="H5391" i="2"/>
  <c r="I5565" i="2"/>
  <c r="H5565" i="2"/>
  <c r="I3909" i="2"/>
  <c r="H3909" i="2"/>
  <c r="I5858" i="2"/>
  <c r="H5858" i="2"/>
  <c r="I1959" i="2"/>
  <c r="H1959" i="2"/>
  <c r="I5529" i="2"/>
  <c r="H5529" i="2"/>
  <c r="I4039" i="2"/>
  <c r="H4039" i="2"/>
  <c r="I2770" i="2"/>
  <c r="H2770" i="2"/>
  <c r="I5550" i="2"/>
  <c r="H5550" i="2"/>
  <c r="I3618" i="2"/>
  <c r="H3618" i="2"/>
  <c r="I5768" i="2"/>
  <c r="H5768" i="2"/>
  <c r="I3768" i="2"/>
  <c r="H3768" i="2"/>
  <c r="I5197" i="2"/>
  <c r="H5197" i="2"/>
  <c r="I5317" i="2"/>
  <c r="H5317" i="2"/>
  <c r="I5677" i="2"/>
  <c r="H5677" i="2"/>
  <c r="I5196" i="2"/>
  <c r="H5196" i="2"/>
  <c r="I6291" i="2"/>
  <c r="H6291" i="2"/>
  <c r="I5910" i="2"/>
  <c r="H5910" i="2"/>
  <c r="I4946" i="2"/>
  <c r="H4946" i="2"/>
  <c r="I5134" i="2"/>
  <c r="H5134" i="2"/>
  <c r="I690" i="2"/>
  <c r="H690" i="2"/>
  <c r="I4520" i="2"/>
  <c r="H4520" i="2"/>
  <c r="I3493" i="2"/>
  <c r="H3493" i="2"/>
  <c r="I1309" i="2"/>
  <c r="H1309" i="2"/>
  <c r="I1334" i="2"/>
  <c r="H1334" i="2"/>
  <c r="I5868" i="2"/>
  <c r="H5868" i="2"/>
  <c r="I5611" i="2"/>
  <c r="H5611" i="2"/>
  <c r="I3476" i="2"/>
  <c r="H3476" i="2"/>
  <c r="I4651" i="2"/>
  <c r="H4651" i="2"/>
  <c r="I3203" i="2"/>
  <c r="H3203" i="2"/>
  <c r="I6635" i="2"/>
  <c r="H6635" i="2"/>
  <c r="I3698" i="2"/>
  <c r="H3698" i="2"/>
  <c r="I7688" i="2"/>
  <c r="H7688" i="2"/>
  <c r="I1562" i="2"/>
  <c r="H1562" i="2"/>
  <c r="I1376" i="2"/>
  <c r="H1376" i="2"/>
  <c r="I3966" i="2"/>
  <c r="H3966" i="2"/>
  <c r="I2834" i="2"/>
  <c r="H2834" i="2"/>
  <c r="I4002" i="2"/>
  <c r="H4002" i="2"/>
  <c r="I5672" i="2"/>
  <c r="H5672" i="2"/>
  <c r="I5443" i="2"/>
  <c r="H5443" i="2"/>
  <c r="I6159" i="2"/>
  <c r="H6159" i="2"/>
  <c r="I4953" i="2"/>
  <c r="H4953" i="2"/>
  <c r="I3170" i="2"/>
  <c r="H3170" i="2"/>
  <c r="I2181" i="2"/>
  <c r="H2181" i="2"/>
  <c r="I4059" i="2"/>
  <c r="H4059" i="2"/>
  <c r="I4869" i="2"/>
  <c r="H4869" i="2"/>
  <c r="I5200" i="2"/>
  <c r="H5200" i="2"/>
  <c r="I1991" i="2"/>
  <c r="H1991" i="2"/>
  <c r="I4294" i="2"/>
  <c r="H4294" i="2"/>
  <c r="I3232" i="2"/>
  <c r="H3232" i="2"/>
  <c r="I8116" i="2"/>
  <c r="H8116" i="2"/>
  <c r="I4628" i="2"/>
  <c r="H4628" i="2"/>
  <c r="I802" i="2"/>
  <c r="H802" i="2"/>
  <c r="I4949" i="2"/>
  <c r="H4949" i="2"/>
  <c r="I740" i="2"/>
  <c r="H740" i="2"/>
  <c r="I5425" i="2"/>
  <c r="H5425" i="2"/>
  <c r="I5747" i="2"/>
  <c r="H5747" i="2"/>
  <c r="I3423" i="2"/>
  <c r="H3423" i="2"/>
  <c r="I6721" i="2"/>
  <c r="H6721" i="2"/>
  <c r="I7973" i="2"/>
  <c r="H7973" i="2"/>
  <c r="I3786" i="2"/>
  <c r="H3786" i="2"/>
  <c r="I739" i="2"/>
  <c r="H739" i="2"/>
  <c r="I5362" i="2"/>
  <c r="H5362" i="2"/>
  <c r="I4828" i="2"/>
  <c r="H4828" i="2"/>
  <c r="I6401" i="2"/>
  <c r="H6401" i="2"/>
  <c r="I3060" i="2"/>
  <c r="H3060" i="2"/>
  <c r="I5110" i="2"/>
  <c r="H5110" i="2"/>
  <c r="I3820" i="2"/>
  <c r="H3820" i="2"/>
  <c r="I3116" i="2"/>
  <c r="H3116" i="2"/>
  <c r="I4786" i="2"/>
  <c r="H4786" i="2"/>
  <c r="I6763" i="2"/>
  <c r="H6763" i="2"/>
  <c r="I5792" i="2"/>
  <c r="H5792" i="2"/>
  <c r="I6606" i="2"/>
  <c r="H6606" i="2"/>
  <c r="I3765" i="2"/>
  <c r="H3765" i="2"/>
  <c r="I1748" i="2"/>
  <c r="H1748" i="2"/>
  <c r="I8234" i="2"/>
  <c r="H8234" i="2"/>
  <c r="I8068" i="2"/>
  <c r="H8068" i="2"/>
  <c r="I6247" i="2"/>
  <c r="H6247" i="2"/>
  <c r="I3419" i="2"/>
  <c r="H3419" i="2"/>
  <c r="I3600" i="2"/>
  <c r="H3600" i="2"/>
  <c r="I4956" i="2"/>
  <c r="H4956" i="2"/>
  <c r="I4591" i="2"/>
  <c r="H4591" i="2"/>
  <c r="I7317" i="2"/>
  <c r="H7317" i="2"/>
  <c r="I2046" i="2"/>
  <c r="H2046" i="2"/>
  <c r="I3643" i="2"/>
  <c r="H3643" i="2"/>
  <c r="I8223" i="2"/>
  <c r="H8223" i="2"/>
  <c r="I805" i="2"/>
  <c r="H805" i="2"/>
  <c r="I7400" i="2"/>
  <c r="H7400" i="2"/>
  <c r="I761" i="2"/>
  <c r="H761" i="2"/>
  <c r="I4848" i="2"/>
  <c r="H4848" i="2"/>
  <c r="I1850" i="2"/>
  <c r="H1850" i="2"/>
  <c r="I732" i="2"/>
  <c r="H732" i="2"/>
  <c r="I3777" i="2"/>
  <c r="H3777" i="2"/>
  <c r="I5229" i="2"/>
  <c r="H5229" i="2"/>
  <c r="I6027" i="2"/>
  <c r="H6027" i="2"/>
  <c r="I7141" i="2"/>
  <c r="H7141" i="2"/>
  <c r="I5281" i="2"/>
  <c r="H5281" i="2"/>
  <c r="I1736" i="2"/>
  <c r="H1736" i="2"/>
  <c r="I4646" i="2"/>
  <c r="H4646" i="2"/>
  <c r="I5614" i="2"/>
  <c r="H5614" i="2"/>
  <c r="I3661" i="2"/>
  <c r="H3661" i="2"/>
  <c r="I894" i="2"/>
  <c r="H894" i="2"/>
  <c r="I5663" i="2"/>
  <c r="H5663" i="2"/>
  <c r="I4746" i="2"/>
  <c r="H4746" i="2"/>
  <c r="I8277" i="2"/>
  <c r="H8277" i="2"/>
  <c r="I5859" i="2"/>
  <c r="H5859" i="2"/>
  <c r="I6077" i="2"/>
  <c r="H6077" i="2"/>
  <c r="I4081" i="2"/>
  <c r="H4081" i="2"/>
  <c r="I5922" i="2"/>
  <c r="H5922" i="2"/>
  <c r="I4817" i="2"/>
  <c r="H4817" i="2"/>
  <c r="I5420" i="2"/>
  <c r="H5420" i="2"/>
  <c r="I8275" i="2"/>
  <c r="H8275" i="2"/>
  <c r="I4297" i="2"/>
  <c r="H4297" i="2"/>
  <c r="I3640" i="2"/>
  <c r="H3640" i="2"/>
  <c r="I5340" i="2"/>
  <c r="H5340" i="2"/>
  <c r="I3176" i="2"/>
  <c r="H3176" i="2"/>
  <c r="I3446" i="2"/>
  <c r="H3446" i="2"/>
  <c r="I3968" i="2"/>
  <c r="H3968" i="2"/>
  <c r="I5112" i="2"/>
  <c r="H5112" i="2"/>
  <c r="I1849" i="2"/>
  <c r="H1849" i="2"/>
  <c r="I8056" i="2"/>
  <c r="H8056" i="2"/>
  <c r="I4175" i="2"/>
  <c r="H4175" i="2"/>
  <c r="I7541" i="2"/>
  <c r="H7541" i="2"/>
  <c r="I6744" i="2"/>
  <c r="H6744" i="2"/>
  <c r="I1549" i="2"/>
  <c r="H1549" i="2"/>
  <c r="I682" i="2"/>
  <c r="H682" i="2"/>
  <c r="I4279" i="2"/>
  <c r="H4279" i="2"/>
  <c r="I797" i="2"/>
  <c r="H797" i="2"/>
  <c r="I4414" i="2"/>
  <c r="H4414" i="2"/>
  <c r="I3500" i="2"/>
  <c r="H3500" i="2"/>
  <c r="I8210" i="2"/>
  <c r="H8210" i="2"/>
  <c r="I3665" i="2"/>
  <c r="H3665" i="2"/>
  <c r="I2773" i="2"/>
  <c r="H2773" i="2"/>
  <c r="I3440" i="2"/>
  <c r="H3440" i="2"/>
  <c r="I5071" i="2"/>
  <c r="H5071" i="2"/>
  <c r="I3115" i="2"/>
  <c r="H3115" i="2"/>
  <c r="I2920" i="2"/>
  <c r="H2920" i="2"/>
  <c r="I5138" i="2"/>
  <c r="H5138" i="2"/>
  <c r="I5457" i="2"/>
  <c r="H5457" i="2"/>
  <c r="I3982" i="2"/>
  <c r="H3982" i="2"/>
  <c r="I2581" i="2"/>
  <c r="H2581" i="2"/>
  <c r="I6589" i="2"/>
  <c r="H6589" i="2"/>
  <c r="I4528" i="2"/>
  <c r="H4528" i="2"/>
  <c r="I6549" i="2"/>
  <c r="H6549" i="2"/>
  <c r="I6415" i="2"/>
  <c r="H6415" i="2"/>
  <c r="I4529" i="2"/>
  <c r="H4529" i="2"/>
  <c r="I4938" i="2"/>
  <c r="H4938" i="2"/>
  <c r="I6268" i="2"/>
  <c r="H6268" i="2"/>
  <c r="I2290" i="2"/>
  <c r="H2290" i="2"/>
  <c r="I7793" i="2"/>
  <c r="H7793" i="2"/>
  <c r="I4684" i="2"/>
  <c r="H4684" i="2"/>
  <c r="I3918" i="2"/>
  <c r="H3918" i="2"/>
  <c r="I675" i="2"/>
  <c r="H675" i="2"/>
  <c r="I4903" i="2"/>
  <c r="H4903" i="2"/>
  <c r="I6356" i="2"/>
  <c r="H6356" i="2"/>
  <c r="I694" i="2"/>
  <c r="H694" i="2"/>
  <c r="I3524" i="2"/>
  <c r="H3524" i="2"/>
  <c r="I6888" i="2"/>
  <c r="H6888" i="2"/>
  <c r="I2819" i="2"/>
  <c r="H2819" i="2"/>
  <c r="I3949" i="2"/>
  <c r="H3949" i="2"/>
  <c r="I7978" i="2"/>
  <c r="H7978" i="2"/>
  <c r="I4752" i="2"/>
  <c r="H4752" i="2"/>
  <c r="I4106" i="2"/>
  <c r="H4106" i="2"/>
  <c r="I5982" i="2"/>
  <c r="H5982" i="2"/>
  <c r="I3619" i="2"/>
  <c r="H3619" i="2"/>
  <c r="I7225" i="2"/>
  <c r="H7225" i="2"/>
  <c r="I3886" i="2"/>
  <c r="H3886" i="2"/>
  <c r="I3607" i="2"/>
  <c r="H3607" i="2"/>
  <c r="I2257" i="2"/>
  <c r="H2257" i="2"/>
  <c r="I5147" i="2"/>
  <c r="H5147" i="2"/>
  <c r="I2687" i="2"/>
  <c r="H2687" i="2"/>
  <c r="I1618" i="2"/>
  <c r="H1618" i="2"/>
  <c r="I4530" i="2"/>
  <c r="H4530" i="2"/>
  <c r="I6823" i="2"/>
  <c r="H6823" i="2"/>
  <c r="I8157" i="2"/>
  <c r="H8157" i="2"/>
  <c r="I8181" i="2"/>
  <c r="H8181" i="2"/>
  <c r="I4733" i="2"/>
  <c r="H4733" i="2"/>
  <c r="I5127" i="2"/>
  <c r="H5127" i="2"/>
  <c r="I4054" i="2"/>
  <c r="H4054" i="2"/>
  <c r="I6880" i="2"/>
  <c r="H6880" i="2"/>
  <c r="I8265" i="2"/>
  <c r="H8265" i="2"/>
  <c r="I5069" i="2"/>
  <c r="H5069" i="2"/>
  <c r="I2761" i="2"/>
  <c r="H2761" i="2"/>
  <c r="I3024" i="2"/>
  <c r="H3024" i="2"/>
  <c r="I1162" i="2"/>
  <c r="H1162" i="2"/>
  <c r="I5979" i="2"/>
  <c r="H5979" i="2"/>
  <c r="I3840" i="2"/>
  <c r="H3840" i="2"/>
  <c r="I6091" i="2"/>
  <c r="H6091" i="2"/>
  <c r="I651" i="2"/>
  <c r="H651" i="2"/>
  <c r="I3979" i="2"/>
  <c r="H3979" i="2"/>
  <c r="I3488" i="2"/>
  <c r="H3488" i="2"/>
  <c r="I6427" i="2"/>
  <c r="H6427" i="2"/>
  <c r="I5521" i="2"/>
  <c r="H5521" i="2"/>
  <c r="I5108" i="2"/>
  <c r="H5108" i="2"/>
  <c r="I5712" i="2"/>
  <c r="H5712" i="2"/>
  <c r="I650" i="2"/>
  <c r="H650" i="2"/>
  <c r="I2262" i="2"/>
  <c r="H2262" i="2"/>
  <c r="I4069" i="2"/>
  <c r="H4069" i="2"/>
  <c r="I4026" i="2"/>
  <c r="H4026" i="2"/>
  <c r="I3202" i="2"/>
  <c r="H3202" i="2"/>
  <c r="I3736" i="2"/>
  <c r="H3736" i="2"/>
  <c r="I3061" i="2"/>
  <c r="H3061" i="2"/>
  <c r="I6870" i="2"/>
  <c r="H6870" i="2"/>
  <c r="I3792" i="2"/>
  <c r="H3792" i="2"/>
  <c r="I689" i="2"/>
  <c r="H689" i="2"/>
  <c r="I7135" i="2"/>
  <c r="H7135" i="2"/>
  <c r="I5445" i="2"/>
  <c r="H5445" i="2"/>
  <c r="I4516" i="2"/>
  <c r="H4516" i="2"/>
  <c r="I5159" i="2"/>
  <c r="H5159" i="2"/>
  <c r="I3910" i="2"/>
  <c r="H3910" i="2"/>
  <c r="I6335" i="2"/>
  <c r="H6335" i="2"/>
  <c r="I2161" i="2"/>
  <c r="H2161" i="2"/>
  <c r="I7120" i="2"/>
  <c r="H7120" i="2"/>
  <c r="I1511" i="2"/>
  <c r="H1511" i="2"/>
  <c r="I6605" i="2"/>
  <c r="H6605" i="2"/>
  <c r="I6485" i="2"/>
  <c r="H6485" i="2"/>
  <c r="I2403" i="2"/>
  <c r="H2403" i="2"/>
  <c r="I4144" i="2"/>
  <c r="H4144" i="2"/>
  <c r="I4721" i="2"/>
  <c r="H4721" i="2"/>
  <c r="I4167" i="2"/>
  <c r="H4167" i="2"/>
  <c r="I5548" i="2"/>
  <c r="H5548" i="2"/>
  <c r="I924" i="2"/>
  <c r="H924" i="2"/>
  <c r="I3482" i="2"/>
  <c r="H3482" i="2"/>
  <c r="I3273" i="2"/>
  <c r="H3273" i="2"/>
  <c r="I1356" i="2"/>
  <c r="H1356" i="2"/>
  <c r="I4599" i="2"/>
  <c r="H4599" i="2"/>
  <c r="I4595" i="2"/>
  <c r="H4595" i="2"/>
  <c r="I5540" i="2"/>
  <c r="H5540" i="2"/>
  <c r="I2898" i="2"/>
  <c r="H2898" i="2"/>
  <c r="I709" i="2"/>
  <c r="H709" i="2"/>
  <c r="I1573" i="2"/>
  <c r="H1573" i="2"/>
  <c r="I1545" i="2"/>
  <c r="H1545" i="2"/>
  <c r="I3845" i="2"/>
  <c r="H3845" i="2"/>
  <c r="I5951" i="2"/>
  <c r="H5951" i="2"/>
  <c r="I5888" i="2"/>
  <c r="H5888" i="2"/>
  <c r="I2726" i="2"/>
  <c r="H2726" i="2"/>
  <c r="I4962" i="2"/>
  <c r="H4962" i="2"/>
  <c r="I5694" i="2"/>
  <c r="H5694" i="2"/>
  <c r="I6811" i="2"/>
  <c r="H6811" i="2"/>
  <c r="I6394" i="2"/>
  <c r="H6394" i="2"/>
  <c r="I3535" i="2"/>
  <c r="H3535" i="2"/>
  <c r="I3346" i="2"/>
  <c r="H3346" i="2"/>
  <c r="I703" i="2"/>
  <c r="H703" i="2"/>
  <c r="I4509" i="2"/>
  <c r="H4509" i="2"/>
  <c r="I3764" i="2"/>
  <c r="H3764" i="2"/>
  <c r="I7910" i="2"/>
  <c r="H7910" i="2"/>
  <c r="I3263" i="2"/>
  <c r="H3263" i="2"/>
  <c r="I3305" i="2"/>
  <c r="H3305" i="2"/>
  <c r="I5755" i="2"/>
  <c r="H5755" i="2"/>
  <c r="I3126" i="2"/>
  <c r="H3126" i="2"/>
  <c r="I4204" i="2"/>
  <c r="H4204" i="2"/>
  <c r="I7814" i="2"/>
  <c r="H7814" i="2"/>
  <c r="I5960" i="2"/>
  <c r="H5960" i="2"/>
  <c r="I742" i="2"/>
  <c r="H742" i="2"/>
  <c r="I7236" i="2"/>
  <c r="H7236" i="2"/>
  <c r="I4887" i="2"/>
  <c r="H4887" i="2"/>
  <c r="I8043" i="2"/>
  <c r="H8043" i="2"/>
  <c r="I3565" i="2"/>
  <c r="H3565" i="2"/>
  <c r="I3063" i="2"/>
  <c r="H3063" i="2"/>
  <c r="I2700" i="2"/>
  <c r="H2700" i="2"/>
  <c r="I3701" i="2"/>
  <c r="H3701" i="2"/>
  <c r="I7134" i="2"/>
  <c r="H7134" i="2"/>
  <c r="I7761" i="2"/>
  <c r="H7761" i="2"/>
  <c r="I7590" i="2"/>
  <c r="H7590" i="2"/>
  <c r="I684" i="2"/>
  <c r="H684" i="2"/>
  <c r="I5007" i="2"/>
  <c r="H5007" i="2"/>
  <c r="I2084" i="2"/>
  <c r="H2084" i="2"/>
  <c r="I4548" i="2"/>
  <c r="H4548" i="2"/>
  <c r="I6188" i="2"/>
  <c r="H6188" i="2"/>
  <c r="I8203" i="2"/>
  <c r="H8203" i="2"/>
  <c r="I5096" i="2"/>
  <c r="H5096" i="2"/>
  <c r="I5638" i="2"/>
  <c r="H5638" i="2"/>
  <c r="I3644" i="2"/>
  <c r="H3644" i="2"/>
  <c r="I2536" i="2"/>
  <c r="H2536" i="2"/>
  <c r="I3316" i="2"/>
  <c r="H3316" i="2"/>
  <c r="I5854" i="2"/>
  <c r="H5854" i="2"/>
  <c r="I5099" i="2"/>
  <c r="H5099" i="2"/>
  <c r="I4862" i="2"/>
  <c r="H4862" i="2"/>
  <c r="I631" i="2"/>
  <c r="H631" i="2"/>
  <c r="I5815" i="2"/>
  <c r="H5815" i="2"/>
  <c r="I2011" i="2"/>
  <c r="H2011" i="2"/>
  <c r="I5654" i="2"/>
  <c r="H5654" i="2"/>
  <c r="I4161" i="2"/>
  <c r="H4161" i="2"/>
  <c r="I3735" i="2"/>
  <c r="H3735" i="2"/>
  <c r="I4767" i="2"/>
  <c r="H4767" i="2"/>
  <c r="I4048" i="2"/>
  <c r="H4048" i="2"/>
  <c r="I3118" i="2"/>
  <c r="H3118" i="2"/>
  <c r="I1935" i="2"/>
  <c r="H1935" i="2"/>
  <c r="I627" i="2"/>
  <c r="H627" i="2"/>
  <c r="I3876" i="2"/>
  <c r="H3876" i="2"/>
  <c r="I2797" i="2"/>
  <c r="H2797" i="2"/>
  <c r="I6258" i="2"/>
  <c r="H6258" i="2"/>
  <c r="I2945" i="2"/>
  <c r="H2945" i="2"/>
  <c r="I8093" i="2"/>
  <c r="H8093" i="2"/>
  <c r="I3561" i="2"/>
  <c r="H3561" i="2"/>
  <c r="I8172" i="2"/>
  <c r="H8172" i="2"/>
  <c r="I4190" i="2"/>
  <c r="H4190" i="2"/>
  <c r="I830" i="2"/>
  <c r="H830" i="2"/>
  <c r="I3873" i="2"/>
  <c r="H3873" i="2"/>
  <c r="I3713" i="2"/>
  <c r="H3713" i="2"/>
  <c r="I3912" i="2"/>
  <c r="H3912" i="2"/>
  <c r="I6908" i="2"/>
  <c r="H6908" i="2"/>
  <c r="I3825" i="2"/>
  <c r="H3825" i="2"/>
  <c r="I5289" i="2"/>
  <c r="H5289" i="2"/>
  <c r="I1522" i="2"/>
  <c r="H1522" i="2"/>
  <c r="I3560" i="2"/>
  <c r="H3560" i="2"/>
  <c r="I5222" i="2"/>
  <c r="H5222" i="2"/>
  <c r="I693" i="2"/>
  <c r="H693" i="2"/>
  <c r="I623" i="2"/>
  <c r="H623" i="2"/>
  <c r="I6043" i="2"/>
  <c r="H6043" i="2"/>
  <c r="I3055" i="2"/>
  <c r="H3055" i="2"/>
  <c r="I621" i="2"/>
  <c r="H621" i="2"/>
  <c r="I2842" i="2"/>
  <c r="H2842" i="2"/>
  <c r="I6309" i="2"/>
  <c r="H6309" i="2"/>
  <c r="I634" i="2"/>
  <c r="H634" i="2"/>
  <c r="I3064" i="2"/>
  <c r="H3064" i="2"/>
  <c r="I7344" i="2"/>
  <c r="H7344" i="2"/>
  <c r="I5174" i="2"/>
  <c r="H5174" i="2"/>
  <c r="I5129" i="2"/>
  <c r="H5129" i="2"/>
  <c r="I5943" i="2"/>
  <c r="H5943" i="2"/>
  <c r="I643" i="2"/>
  <c r="H643" i="2"/>
  <c r="I640" i="2"/>
  <c r="H640" i="2"/>
  <c r="I1580" i="2"/>
  <c r="H1580" i="2"/>
  <c r="I6097" i="2"/>
  <c r="H6097" i="2"/>
  <c r="I4704" i="2"/>
  <c r="H4704" i="2"/>
  <c r="I3159" i="2"/>
  <c r="H3159" i="2"/>
  <c r="I3041" i="2"/>
  <c r="H3041" i="2"/>
  <c r="I645" i="2"/>
  <c r="H645" i="2"/>
  <c r="I6756" i="2"/>
  <c r="H6756" i="2"/>
  <c r="I5549" i="2"/>
  <c r="H5549" i="2"/>
  <c r="I4707" i="2"/>
  <c r="H4707" i="2"/>
  <c r="I7591" i="2"/>
  <c r="H7591" i="2"/>
  <c r="I5191" i="2"/>
  <c r="H5191" i="2"/>
  <c r="I5208" i="2"/>
  <c r="H5208" i="2"/>
  <c r="I5525" i="2"/>
  <c r="H5525" i="2"/>
  <c r="I5212" i="2"/>
  <c r="H5212" i="2"/>
  <c r="I6686" i="2"/>
  <c r="H6686" i="2"/>
  <c r="I4961" i="2"/>
  <c r="H4961" i="2"/>
  <c r="I4260" i="2"/>
  <c r="H4260" i="2"/>
  <c r="I2982" i="2"/>
  <c r="H2982" i="2"/>
  <c r="I3927" i="2"/>
  <c r="H3927" i="2"/>
  <c r="I5239" i="2"/>
  <c r="H5239" i="2"/>
  <c r="I4675" i="2"/>
  <c r="H4675" i="2"/>
  <c r="I3332" i="2"/>
  <c r="H3332" i="2"/>
  <c r="I6676" i="2"/>
  <c r="H6676" i="2"/>
  <c r="I3135" i="2"/>
  <c r="H3135" i="2"/>
  <c r="I4747" i="2"/>
  <c r="H4747" i="2"/>
  <c r="I6767" i="2"/>
  <c r="H6767" i="2"/>
  <c r="I3048" i="2"/>
  <c r="H3048" i="2"/>
  <c r="I7634" i="2"/>
  <c r="H7634" i="2"/>
  <c r="I4598" i="2"/>
  <c r="H4598" i="2"/>
  <c r="I8206" i="2"/>
  <c r="H8206" i="2"/>
  <c r="I614" i="2"/>
  <c r="H614" i="2"/>
  <c r="I6311" i="2"/>
  <c r="H6311" i="2"/>
  <c r="I5722" i="2"/>
  <c r="H5722" i="2"/>
  <c r="I6681" i="2"/>
  <c r="H6681" i="2"/>
  <c r="I6669" i="2"/>
  <c r="H6669" i="2"/>
  <c r="I4556" i="2"/>
  <c r="H4556" i="2"/>
  <c r="I4527" i="2"/>
  <c r="H4527" i="2"/>
  <c r="I4822" i="2"/>
  <c r="H4822" i="2"/>
  <c r="I3852" i="2"/>
  <c r="H3852" i="2"/>
  <c r="I7819" i="2"/>
  <c r="H7819" i="2"/>
  <c r="I3692" i="2"/>
  <c r="H3692" i="2"/>
  <c r="I4644" i="2"/>
  <c r="H4644" i="2"/>
  <c r="I3379" i="2"/>
  <c r="H3379" i="2"/>
  <c r="I6086" i="2"/>
  <c r="H6086" i="2"/>
  <c r="I7548" i="2"/>
  <c r="H7548" i="2"/>
  <c r="I5170" i="2"/>
  <c r="H5170" i="2"/>
  <c r="I6624" i="2"/>
  <c r="H6624" i="2"/>
  <c r="I5378" i="2"/>
  <c r="H5378" i="2"/>
  <c r="I2585" i="2"/>
  <c r="H2585" i="2"/>
  <c r="I1145" i="2"/>
  <c r="H1145" i="2"/>
  <c r="I788" i="2"/>
  <c r="H788" i="2"/>
  <c r="I5114" i="2"/>
  <c r="H5114" i="2"/>
  <c r="I6168" i="2"/>
  <c r="H6168" i="2"/>
  <c r="I1210" i="2"/>
  <c r="H1210" i="2"/>
  <c r="I4808" i="2"/>
  <c r="H4808" i="2"/>
  <c r="I2749" i="2"/>
  <c r="H2749" i="2"/>
  <c r="I7862" i="2"/>
  <c r="H7862" i="2"/>
  <c r="I5745" i="2"/>
  <c r="H5745" i="2"/>
  <c r="I1391" i="2"/>
  <c r="H1391" i="2"/>
  <c r="I5925" i="2"/>
  <c r="H5925" i="2"/>
  <c r="I3218" i="2"/>
  <c r="H3218" i="2"/>
  <c r="I4630" i="2"/>
  <c r="H4630" i="2"/>
  <c r="I3837" i="2"/>
  <c r="H3837" i="2"/>
  <c r="I6782" i="2"/>
  <c r="H6782" i="2"/>
  <c r="I3137" i="2"/>
  <c r="H3137" i="2"/>
  <c r="I2758" i="2"/>
  <c r="H2758" i="2"/>
  <c r="I5018" i="2"/>
  <c r="H5018" i="2"/>
  <c r="I8085" i="2"/>
  <c r="H8085" i="2"/>
  <c r="I3767" i="2"/>
  <c r="H3767" i="2"/>
  <c r="I922" i="2"/>
  <c r="H922" i="2"/>
  <c r="I639" i="2"/>
  <c r="H639" i="2"/>
  <c r="I1101" i="2"/>
  <c r="H1101" i="2"/>
  <c r="I604" i="2"/>
  <c r="H604" i="2"/>
  <c r="I5555" i="2"/>
  <c r="H5555" i="2"/>
  <c r="I664" i="2"/>
  <c r="H664" i="2"/>
  <c r="I785" i="2"/>
  <c r="H785" i="2"/>
  <c r="I5635" i="2"/>
  <c r="H5635" i="2"/>
  <c r="I5024" i="2"/>
  <c r="H5024" i="2"/>
  <c r="I3751" i="2"/>
  <c r="H3751" i="2"/>
  <c r="I7496" i="2"/>
  <c r="H7496" i="2"/>
  <c r="I7561" i="2"/>
  <c r="H7561" i="2"/>
  <c r="I2911" i="2"/>
  <c r="H2911" i="2"/>
  <c r="I5179" i="2"/>
  <c r="H5179" i="2"/>
  <c r="I4799" i="2"/>
  <c r="H4799" i="2"/>
  <c r="I5041" i="2"/>
  <c r="H5041" i="2"/>
  <c r="I5406" i="2"/>
  <c r="H5406" i="2"/>
  <c r="I6777" i="2"/>
  <c r="H6777" i="2"/>
  <c r="I3745" i="2"/>
  <c r="H3745" i="2"/>
  <c r="I7125" i="2"/>
  <c r="H7125" i="2"/>
  <c r="I691" i="2"/>
  <c r="H691" i="2"/>
  <c r="I3750" i="2"/>
  <c r="H3750" i="2"/>
  <c r="I622" i="2"/>
  <c r="H622" i="2"/>
  <c r="I4666" i="2"/>
  <c r="H4666" i="2"/>
  <c r="I3415" i="2"/>
  <c r="H3415" i="2"/>
  <c r="I5116" i="2"/>
  <c r="H5116" i="2"/>
  <c r="I3782" i="2"/>
  <c r="H3782" i="2"/>
  <c r="I5520" i="2"/>
  <c r="H5520" i="2"/>
  <c r="I2245" i="2"/>
  <c r="H2245" i="2"/>
  <c r="I2764" i="2"/>
  <c r="H2764" i="2"/>
  <c r="I2649" i="2"/>
  <c r="H2649" i="2"/>
  <c r="I3688" i="2"/>
  <c r="H3688" i="2"/>
  <c r="I3547" i="2"/>
  <c r="H3547" i="2"/>
  <c r="I6273" i="2"/>
  <c r="H6273" i="2"/>
  <c r="I3528" i="2"/>
  <c r="H3528" i="2"/>
  <c r="I4025" i="2"/>
  <c r="H4025" i="2"/>
  <c r="I4478" i="2"/>
  <c r="H4478" i="2"/>
  <c r="I6962" i="2"/>
  <c r="H6962" i="2"/>
  <c r="I3220" i="2"/>
  <c r="H3220" i="2"/>
  <c r="I4705" i="2"/>
  <c r="H4705" i="2"/>
  <c r="I5732" i="2"/>
  <c r="H5732" i="2"/>
  <c r="I5889" i="2"/>
  <c r="H5889" i="2"/>
  <c r="I6175" i="2"/>
  <c r="H6175" i="2"/>
  <c r="I2759" i="2"/>
  <c r="H2759" i="2"/>
  <c r="I1034" i="2"/>
  <c r="H1034" i="2"/>
  <c r="I6396" i="2"/>
  <c r="H6396" i="2"/>
  <c r="I4179" i="2"/>
  <c r="H4179" i="2"/>
  <c r="I629" i="2"/>
  <c r="H629" i="2"/>
  <c r="I5349" i="2"/>
  <c r="H5349" i="2"/>
  <c r="I3967" i="2"/>
  <c r="H3967" i="2"/>
  <c r="I730" i="2"/>
  <c r="H730" i="2"/>
  <c r="I6839" i="2"/>
  <c r="H6839" i="2"/>
  <c r="I5419" i="2"/>
  <c r="H5419" i="2"/>
  <c r="I3196" i="2"/>
  <c r="H3196" i="2"/>
  <c r="I6972" i="2"/>
  <c r="H6972" i="2"/>
  <c r="I5037" i="2"/>
  <c r="H5037" i="2"/>
  <c r="I3345" i="2"/>
  <c r="H3345" i="2"/>
  <c r="I3614" i="2"/>
  <c r="H3614" i="2"/>
  <c r="I3783" i="2"/>
  <c r="H3783" i="2"/>
  <c r="I611" i="2"/>
  <c r="H611" i="2"/>
  <c r="I5392" i="2"/>
  <c r="H5392" i="2"/>
  <c r="I3588" i="2"/>
  <c r="H3588" i="2"/>
  <c r="I2806" i="2"/>
  <c r="H2806" i="2"/>
  <c r="I4065" i="2"/>
  <c r="H4065" i="2"/>
  <c r="I5775" i="2"/>
  <c r="H5775" i="2"/>
  <c r="I5634" i="2"/>
  <c r="H5634" i="2"/>
  <c r="I5144" i="2"/>
  <c r="H5144" i="2"/>
  <c r="I1853" i="2"/>
  <c r="H1853" i="2"/>
  <c r="I5038" i="2"/>
  <c r="H5038" i="2"/>
  <c r="I5477" i="2"/>
  <c r="H5477" i="2"/>
  <c r="I3586" i="2"/>
  <c r="H3586" i="2"/>
  <c r="I4462" i="2"/>
  <c r="H4462" i="2"/>
  <c r="I4751" i="2"/>
  <c r="H4751" i="2"/>
  <c r="I4753" i="2"/>
  <c r="H4753" i="2"/>
  <c r="I600" i="2"/>
  <c r="H600" i="2"/>
  <c r="I2821" i="2"/>
  <c r="H2821" i="2"/>
  <c r="I3297" i="2"/>
  <c r="H3297" i="2"/>
  <c r="I6129" i="2"/>
  <c r="H6129" i="2"/>
  <c r="I5927" i="2"/>
  <c r="H5927" i="2"/>
  <c r="I4649" i="2"/>
  <c r="H4649" i="2"/>
  <c r="I8086" i="2"/>
  <c r="H8086" i="2"/>
  <c r="I6594" i="2"/>
  <c r="H6594" i="2"/>
  <c r="I2669" i="2"/>
  <c r="H2669" i="2"/>
  <c r="I3431" i="2"/>
  <c r="H3431" i="2"/>
  <c r="I4659" i="2"/>
  <c r="H4659" i="2"/>
  <c r="I4126" i="2"/>
  <c r="H4126" i="2"/>
  <c r="I3304" i="2"/>
  <c r="H3304" i="2"/>
  <c r="I4036" i="2"/>
  <c r="H4036" i="2"/>
  <c r="I3471" i="2"/>
  <c r="H3471" i="2"/>
  <c r="I6070" i="2"/>
  <c r="H6070" i="2"/>
  <c r="I7914" i="2"/>
  <c r="H7914" i="2"/>
  <c r="I5267" i="2"/>
  <c r="H5267" i="2"/>
  <c r="I5729" i="2"/>
  <c r="H5729" i="2"/>
  <c r="I4950" i="2"/>
  <c r="H4950" i="2"/>
  <c r="I6305" i="2"/>
  <c r="H6305" i="2"/>
  <c r="I610" i="2"/>
  <c r="H610" i="2"/>
  <c r="I3272" i="2"/>
  <c r="H3272" i="2"/>
  <c r="I3529" i="2"/>
  <c r="H3529" i="2"/>
  <c r="I5151" i="2"/>
  <c r="H5151" i="2"/>
  <c r="I3119" i="2"/>
  <c r="H3119" i="2"/>
  <c r="I6804" i="2"/>
  <c r="H6804" i="2"/>
  <c r="I763" i="2"/>
  <c r="H763" i="2"/>
  <c r="I2400" i="2"/>
  <c r="H2400" i="2"/>
  <c r="I5051" i="2"/>
  <c r="H5051" i="2"/>
  <c r="I2964" i="2"/>
  <c r="H2964" i="2"/>
  <c r="I3242" i="2"/>
  <c r="H3242" i="2"/>
  <c r="I1660" i="2"/>
  <c r="H1660" i="2"/>
  <c r="I4589" i="2"/>
  <c r="H4589" i="2"/>
  <c r="I5384" i="2"/>
  <c r="H5384" i="2"/>
  <c r="I3732" i="2"/>
  <c r="H3732" i="2"/>
  <c r="I8305" i="2"/>
  <c r="H8305" i="2"/>
  <c r="I5510" i="2"/>
  <c r="H5510" i="2"/>
  <c r="I4105" i="2"/>
  <c r="H4105" i="2"/>
  <c r="I3554" i="2"/>
  <c r="H3554" i="2"/>
  <c r="I7159" i="2"/>
  <c r="H7159" i="2"/>
  <c r="I588" i="2"/>
  <c r="H588" i="2"/>
  <c r="I4722" i="2"/>
  <c r="H4722" i="2"/>
  <c r="I628" i="2"/>
  <c r="H628" i="2"/>
  <c r="I5902" i="2"/>
  <c r="H5902" i="2"/>
  <c r="I2946" i="2"/>
  <c r="H2946" i="2"/>
  <c r="I925" i="2"/>
  <c r="H925" i="2"/>
  <c r="I596" i="2"/>
  <c r="H596" i="2"/>
  <c r="I8291" i="2"/>
  <c r="H8291" i="2"/>
  <c r="I3571" i="2"/>
  <c r="H3571" i="2"/>
  <c r="I3148" i="2"/>
  <c r="H3148" i="2"/>
  <c r="I4894" i="2"/>
  <c r="H4894" i="2"/>
  <c r="I5894" i="2"/>
  <c r="H5894" i="2"/>
  <c r="I8313" i="2"/>
  <c r="H8313" i="2"/>
  <c r="I2298" i="2"/>
  <c r="H2298" i="2"/>
  <c r="I5769" i="2"/>
  <c r="H5769" i="2"/>
  <c r="I2745" i="2"/>
  <c r="H2745" i="2"/>
  <c r="I3326" i="2"/>
  <c r="H3326" i="2"/>
  <c r="I3668" i="2"/>
  <c r="H3668" i="2"/>
  <c r="I3950" i="2"/>
  <c r="H3950" i="2"/>
  <c r="I5772" i="2"/>
  <c r="H5772" i="2"/>
  <c r="I4725" i="2"/>
  <c r="H4725" i="2"/>
  <c r="I7295" i="2"/>
  <c r="H7295" i="2"/>
  <c r="I680" i="2"/>
  <c r="H680" i="2"/>
  <c r="I2083" i="2"/>
  <c r="H2083" i="2"/>
  <c r="I728" i="2"/>
  <c r="H728" i="2"/>
  <c r="I4568" i="2"/>
  <c r="H4568" i="2"/>
  <c r="I2095" i="2"/>
  <c r="H2095" i="2"/>
  <c r="I2641" i="2"/>
  <c r="H2641" i="2"/>
  <c r="I6395" i="2"/>
  <c r="H6395" i="2"/>
  <c r="I6033" i="2"/>
  <c r="H6033" i="2"/>
  <c r="I1834" i="2"/>
  <c r="H1834" i="2"/>
  <c r="I4581" i="2"/>
  <c r="H4581" i="2"/>
  <c r="I2268" i="2"/>
  <c r="H2268" i="2"/>
  <c r="I7200" i="2"/>
  <c r="H7200" i="2"/>
  <c r="I6689" i="2"/>
  <c r="H6689" i="2"/>
  <c r="I3583" i="2"/>
  <c r="H3583" i="2"/>
  <c r="I3835" i="2"/>
  <c r="H3835" i="2"/>
  <c r="I5008" i="2"/>
  <c r="H5008" i="2"/>
  <c r="I1700" i="2"/>
  <c r="H1700" i="2"/>
  <c r="I7104" i="2"/>
  <c r="H7104" i="2"/>
  <c r="I2476" i="2"/>
  <c r="H2476" i="2"/>
  <c r="I3856" i="2"/>
  <c r="H3856" i="2"/>
  <c r="I3839" i="2"/>
  <c r="H3839" i="2"/>
  <c r="I5827" i="2"/>
  <c r="H5827" i="2"/>
  <c r="I3697" i="2"/>
  <c r="H3697" i="2"/>
  <c r="I5152" i="2"/>
  <c r="H5152" i="2"/>
  <c r="I5819" i="2"/>
  <c r="H5819" i="2"/>
  <c r="I625" i="2"/>
  <c r="H625" i="2"/>
  <c r="I1262" i="2"/>
  <c r="H1262" i="2"/>
  <c r="I5044" i="2"/>
  <c r="H5044" i="2"/>
  <c r="I4928" i="2"/>
  <c r="H4928" i="2"/>
  <c r="I3993" i="2"/>
  <c r="H3993" i="2"/>
  <c r="I3609" i="2"/>
  <c r="H3609" i="2"/>
  <c r="I4995" i="2"/>
  <c r="H4995" i="2"/>
  <c r="I3818" i="2"/>
  <c r="H3818" i="2"/>
  <c r="I5897" i="2"/>
  <c r="H5897" i="2"/>
  <c r="I8294" i="2"/>
  <c r="H8294" i="2"/>
  <c r="I5332" i="2"/>
  <c r="H5332" i="2"/>
  <c r="I2731" i="2"/>
  <c r="H2731" i="2"/>
  <c r="I662" i="2"/>
  <c r="H662" i="2"/>
  <c r="I3903" i="2"/>
  <c r="H3903" i="2"/>
  <c r="I4983" i="2"/>
  <c r="H4983" i="2"/>
  <c r="I3143" i="2"/>
  <c r="H3143" i="2"/>
  <c r="I3720" i="2"/>
  <c r="H3720" i="2"/>
  <c r="I4902" i="2"/>
  <c r="H4902" i="2"/>
  <c r="I5182" i="2"/>
  <c r="H5182" i="2"/>
  <c r="I5509" i="2"/>
  <c r="H5509" i="2"/>
  <c r="I7622" i="2"/>
  <c r="H7622" i="2"/>
  <c r="I4803" i="2"/>
  <c r="H4803" i="2"/>
  <c r="I4944" i="2"/>
  <c r="H4944" i="2"/>
  <c r="I3853" i="2"/>
  <c r="H3853" i="2"/>
  <c r="I3596" i="2"/>
  <c r="H3596" i="2"/>
  <c r="I687" i="2"/>
  <c r="H687" i="2"/>
  <c r="I572" i="2"/>
  <c r="H572" i="2"/>
  <c r="I5285" i="2"/>
  <c r="H5285" i="2"/>
  <c r="I5500" i="2"/>
  <c r="H5500" i="2"/>
  <c r="I7609" i="2"/>
  <c r="H7609" i="2"/>
  <c r="I1679" i="2"/>
  <c r="H1679" i="2"/>
  <c r="I592" i="2"/>
  <c r="H592" i="2"/>
  <c r="I5219" i="2"/>
  <c r="H5219" i="2"/>
  <c r="I5017" i="2"/>
  <c r="H5017" i="2"/>
  <c r="I3523" i="2"/>
  <c r="H3523" i="2"/>
  <c r="I7101" i="2"/>
  <c r="H7101" i="2"/>
  <c r="I6362" i="2"/>
  <c r="H6362" i="2"/>
  <c r="I601" i="2"/>
  <c r="H601" i="2"/>
  <c r="I3934" i="2"/>
  <c r="H3934" i="2"/>
  <c r="I6475" i="2"/>
  <c r="H6475" i="2"/>
  <c r="I1142" i="2"/>
  <c r="H1142" i="2"/>
  <c r="I2967" i="2"/>
  <c r="H2967" i="2"/>
  <c r="I577" i="2"/>
  <c r="H577" i="2"/>
  <c r="I4031" i="2"/>
  <c r="H4031" i="2"/>
  <c r="I585" i="2"/>
  <c r="H585" i="2"/>
  <c r="I6018" i="2"/>
  <c r="H6018" i="2"/>
  <c r="I6378" i="2"/>
  <c r="H6378" i="2"/>
  <c r="I3694" i="2"/>
  <c r="H3694" i="2"/>
  <c r="I1795" i="2"/>
  <c r="H1795" i="2"/>
  <c r="I4253" i="2"/>
  <c r="H4253" i="2"/>
  <c r="I5087" i="2"/>
  <c r="H5087" i="2"/>
  <c r="I7261" i="2"/>
  <c r="H7261" i="2"/>
  <c r="I4931" i="2"/>
  <c r="H4931" i="2"/>
  <c r="I3562" i="2"/>
  <c r="H3562" i="2"/>
  <c r="I3247" i="2"/>
  <c r="H3247" i="2"/>
  <c r="I4637" i="2"/>
  <c r="H4637" i="2"/>
  <c r="I3302" i="2"/>
  <c r="H3302" i="2"/>
  <c r="I3235" i="2"/>
  <c r="H3235" i="2"/>
  <c r="I1000" i="2"/>
  <c r="H1000" i="2"/>
  <c r="I5422" i="2"/>
  <c r="H5422" i="2"/>
  <c r="I5926" i="2"/>
  <c r="H5926" i="2"/>
  <c r="I2958" i="2"/>
  <c r="H2958" i="2"/>
  <c r="I2754" i="2"/>
  <c r="H2754" i="2"/>
  <c r="I3636" i="2"/>
  <c r="H3636" i="2"/>
  <c r="I1612" i="2"/>
  <c r="H1612" i="2"/>
  <c r="I5070" i="2"/>
  <c r="H5070" i="2"/>
  <c r="I3924" i="2"/>
  <c r="H3924" i="2"/>
  <c r="I3329" i="2"/>
  <c r="H3329" i="2"/>
  <c r="I8337" i="2"/>
  <c r="H8337" i="2"/>
  <c r="I576" i="2"/>
  <c r="H576" i="2"/>
  <c r="I3945" i="2"/>
  <c r="H3945" i="2"/>
  <c r="I8255" i="2"/>
  <c r="H8255" i="2"/>
  <c r="I3803" i="2"/>
  <c r="H3803" i="2"/>
  <c r="I4682" i="2"/>
  <c r="H4682" i="2"/>
  <c r="I5320" i="2"/>
  <c r="H5320" i="2"/>
  <c r="I6738" i="2"/>
  <c r="H6738" i="2"/>
  <c r="I6822" i="2"/>
  <c r="H6822" i="2"/>
  <c r="I2130" i="2"/>
  <c r="H2130" i="2"/>
  <c r="I4716" i="2"/>
  <c r="H4716" i="2"/>
  <c r="I2717" i="2"/>
  <c r="H2717" i="2"/>
  <c r="I8143" i="2"/>
  <c r="H8143" i="2"/>
  <c r="I3122" i="2"/>
  <c r="H3122" i="2"/>
  <c r="I5574" i="2"/>
  <c r="H5574" i="2"/>
  <c r="I8282" i="2"/>
  <c r="H8282" i="2"/>
  <c r="I1581" i="2"/>
  <c r="H1581" i="2"/>
  <c r="I2317" i="2"/>
  <c r="H2317" i="2"/>
  <c r="I3175" i="2"/>
  <c r="H3175" i="2"/>
  <c r="I4727" i="2"/>
  <c r="H4727" i="2"/>
  <c r="I4818" i="2"/>
  <c r="H4818" i="2"/>
  <c r="I3407" i="2"/>
  <c r="H3407" i="2"/>
  <c r="I3788" i="2"/>
  <c r="H3788" i="2"/>
  <c r="I8299" i="2"/>
  <c r="H8299" i="2"/>
  <c r="I7781" i="2"/>
  <c r="H7781" i="2"/>
  <c r="I4128" i="2"/>
  <c r="H4128" i="2"/>
  <c r="I3121" i="2"/>
  <c r="H3121" i="2"/>
  <c r="I6281" i="2"/>
  <c r="H6281" i="2"/>
  <c r="I5312" i="2"/>
  <c r="H5312" i="2"/>
  <c r="I2916" i="2"/>
  <c r="H2916" i="2"/>
  <c r="I5991" i="2"/>
  <c r="H5991" i="2"/>
  <c r="I734" i="2"/>
  <c r="H734" i="2"/>
  <c r="I3570" i="2"/>
  <c r="H3570" i="2"/>
  <c r="I1125" i="2"/>
  <c r="H1125" i="2"/>
  <c r="I5538" i="2"/>
  <c r="H5538" i="2"/>
  <c r="I2073" i="2"/>
  <c r="H2073" i="2"/>
  <c r="I5717" i="2"/>
  <c r="H5717" i="2"/>
  <c r="I3044" i="2"/>
  <c r="H3044" i="2"/>
  <c r="I6269" i="2"/>
  <c r="H6269" i="2"/>
  <c r="I2951" i="2"/>
  <c r="H2951" i="2"/>
  <c r="I5010" i="2"/>
  <c r="H5010" i="2"/>
  <c r="I564" i="2"/>
  <c r="H564" i="2"/>
  <c r="I970" i="2"/>
  <c r="H970" i="2"/>
  <c r="I4710" i="2"/>
  <c r="H4710" i="2"/>
  <c r="I3846" i="2"/>
  <c r="H3846" i="2"/>
  <c r="I4145" i="2"/>
  <c r="H4145" i="2"/>
  <c r="I5478" i="2"/>
  <c r="H5478" i="2"/>
  <c r="I5679" i="2"/>
  <c r="H5679" i="2"/>
  <c r="I2429" i="2"/>
  <c r="H2429" i="2"/>
  <c r="I8290" i="2"/>
  <c r="H8290" i="2"/>
  <c r="I566" i="2"/>
  <c r="H566" i="2"/>
  <c r="I3519" i="2"/>
  <c r="H3519" i="2"/>
  <c r="I5762" i="2"/>
  <c r="H5762" i="2"/>
  <c r="I5444" i="2"/>
  <c r="H5444" i="2"/>
  <c r="I7448" i="2"/>
  <c r="H7448" i="2"/>
  <c r="I1482" i="2"/>
  <c r="H1482" i="2"/>
  <c r="I4023" i="2"/>
  <c r="H4023" i="2"/>
  <c r="I568" i="2"/>
  <c r="H568" i="2"/>
  <c r="I590" i="2"/>
  <c r="H590" i="2"/>
  <c r="I7656" i="2"/>
  <c r="H7656" i="2"/>
  <c r="I3134" i="2"/>
  <c r="H3134" i="2"/>
  <c r="I5374" i="2"/>
  <c r="H5374" i="2"/>
  <c r="I8320" i="2"/>
  <c r="H8320" i="2"/>
  <c r="I6988" i="2"/>
  <c r="H6988" i="2"/>
  <c r="I6585" i="2"/>
  <c r="H6585" i="2"/>
  <c r="I6232" i="2"/>
  <c r="H6232" i="2"/>
  <c r="I840" i="2"/>
  <c r="H840" i="2"/>
  <c r="I2542" i="2"/>
  <c r="H2542" i="2"/>
  <c r="I6012" i="2"/>
  <c r="H6012" i="2"/>
  <c r="I3652" i="2"/>
  <c r="H3652" i="2"/>
  <c r="I5410" i="2"/>
  <c r="H5410" i="2"/>
  <c r="I7333" i="2"/>
  <c r="H7333" i="2"/>
  <c r="I3973" i="2"/>
  <c r="H3973" i="2"/>
  <c r="I5599" i="2"/>
  <c r="H5599" i="2"/>
  <c r="I5472" i="2"/>
  <c r="H5472" i="2"/>
  <c r="I4762" i="2"/>
  <c r="H4762" i="2"/>
  <c r="I1277" i="2"/>
  <c r="H1277" i="2"/>
  <c r="I6026" i="2"/>
  <c r="H6026" i="2"/>
  <c r="I1295" i="2"/>
  <c r="H1295" i="2"/>
  <c r="I3991" i="2"/>
  <c r="H3991" i="2"/>
  <c r="I696" i="2"/>
  <c r="H696" i="2"/>
  <c r="I2775" i="2"/>
  <c r="H2775" i="2"/>
  <c r="I583" i="2"/>
  <c r="H583" i="2"/>
  <c r="I7058" i="2"/>
  <c r="H7058" i="2"/>
  <c r="I3681" i="2"/>
  <c r="H3681" i="2"/>
  <c r="I4929" i="2"/>
  <c r="H4929" i="2"/>
  <c r="I6607" i="2"/>
  <c r="H6607" i="2"/>
  <c r="I2994" i="2"/>
  <c r="H2994" i="2"/>
  <c r="I6118" i="2"/>
  <c r="H6118" i="2"/>
  <c r="I5145" i="2"/>
  <c r="H5145" i="2"/>
  <c r="I3572" i="2"/>
  <c r="H3572" i="2"/>
  <c r="I5600" i="2"/>
  <c r="H5600" i="2"/>
  <c r="I5623" i="2"/>
  <c r="H5623" i="2"/>
  <c r="I6266" i="2"/>
  <c r="H6266" i="2"/>
  <c r="I5708" i="2"/>
  <c r="H5708" i="2"/>
  <c r="I565" i="2"/>
  <c r="H565" i="2"/>
  <c r="I2906" i="2"/>
  <c r="H2906" i="2"/>
  <c r="I2503" i="2"/>
  <c r="H2503" i="2"/>
  <c r="I1332" i="2"/>
  <c r="H1332" i="2"/>
  <c r="I3740" i="2"/>
  <c r="H3740" i="2"/>
  <c r="I8226" i="2"/>
  <c r="H8226" i="2"/>
  <c r="I4603" i="2"/>
  <c r="H4603" i="2"/>
  <c r="I3236" i="2"/>
  <c r="H3236" i="2"/>
  <c r="I7332" i="2"/>
  <c r="H7332" i="2"/>
  <c r="I5388" i="2"/>
  <c r="H5388" i="2"/>
  <c r="I3743" i="2"/>
  <c r="H3743" i="2"/>
  <c r="I1387" i="2"/>
  <c r="H1387" i="2"/>
  <c r="I6006" i="2"/>
  <c r="H6006" i="2"/>
  <c r="I3917" i="2"/>
  <c r="H3917" i="2"/>
  <c r="I2559" i="2"/>
  <c r="H2559" i="2"/>
  <c r="I1642" i="2"/>
  <c r="H1642" i="2"/>
  <c r="I5125" i="2"/>
  <c r="H5125" i="2"/>
  <c r="I2657" i="2"/>
  <c r="H2657" i="2"/>
  <c r="I5350" i="2"/>
  <c r="H5350" i="2"/>
  <c r="I654" i="2"/>
  <c r="H654" i="2"/>
  <c r="I3822" i="2"/>
  <c r="H3822" i="2"/>
  <c r="I2019" i="2"/>
  <c r="H2019" i="2"/>
  <c r="I5933" i="2"/>
  <c r="H5933" i="2"/>
  <c r="I949" i="2"/>
  <c r="H949" i="2"/>
  <c r="I6473" i="2"/>
  <c r="H6473" i="2"/>
  <c r="I3762" i="2"/>
  <c r="H3762" i="2"/>
  <c r="I4173" i="2"/>
  <c r="H4173" i="2"/>
  <c r="I2100" i="2"/>
  <c r="H2100" i="2"/>
  <c r="I3689" i="2"/>
  <c r="H3689" i="2"/>
  <c r="I767" i="2"/>
  <c r="H767" i="2"/>
  <c r="I3920" i="2"/>
  <c r="H3920" i="2"/>
  <c r="I3194" i="2"/>
  <c r="H3194" i="2"/>
  <c r="I774" i="2"/>
  <c r="H774" i="2"/>
  <c r="I5234" i="2"/>
  <c r="H5234" i="2"/>
  <c r="I3319" i="2"/>
  <c r="H3319" i="2"/>
  <c r="I7045" i="2"/>
  <c r="H7045" i="2"/>
  <c r="I5369" i="2"/>
  <c r="H5369" i="2"/>
  <c r="I941" i="2"/>
  <c r="H941" i="2"/>
  <c r="I7712" i="2"/>
  <c r="H7712" i="2"/>
  <c r="I5724" i="2"/>
  <c r="H5724" i="2"/>
  <c r="I8318" i="2"/>
  <c r="H8318" i="2"/>
  <c r="I4824" i="2"/>
  <c r="H4824" i="2"/>
  <c r="I5474" i="2"/>
  <c r="H5474" i="2"/>
  <c r="I4860" i="2"/>
  <c r="H4860" i="2"/>
  <c r="I2866" i="2"/>
  <c r="H2866" i="2"/>
  <c r="I540" i="2"/>
  <c r="H540" i="2"/>
  <c r="I6432" i="2"/>
  <c r="H6432" i="2"/>
  <c r="I3160" i="2"/>
  <c r="H3160" i="2"/>
  <c r="I6178" i="2"/>
  <c r="H6178" i="2"/>
  <c r="I2913" i="2"/>
  <c r="H2913" i="2"/>
  <c r="I3380" i="2"/>
  <c r="H3380" i="2"/>
  <c r="I2186" i="2"/>
  <c r="H2186" i="2"/>
  <c r="I3616" i="2"/>
  <c r="H3616" i="2"/>
  <c r="I4559" i="2"/>
  <c r="H4559" i="2"/>
  <c r="I1979" i="2"/>
  <c r="H1979" i="2"/>
  <c r="I5720" i="2"/>
  <c r="H5720" i="2"/>
  <c r="I6389" i="2"/>
  <c r="H6389" i="2"/>
  <c r="I3748" i="2"/>
  <c r="H3748" i="2"/>
  <c r="I3333" i="2"/>
  <c r="H3333" i="2"/>
  <c r="I4836" i="2"/>
  <c r="H4836" i="2"/>
  <c r="I4080" i="2"/>
  <c r="H4080" i="2"/>
  <c r="I5343" i="2"/>
  <c r="H5343" i="2"/>
  <c r="I5256" i="2"/>
  <c r="H5256" i="2"/>
  <c r="I2343" i="2"/>
  <c r="H2343" i="2"/>
  <c r="I653" i="2"/>
  <c r="H653" i="2"/>
  <c r="I6421" i="2"/>
  <c r="H6421" i="2"/>
  <c r="I2420" i="2"/>
  <c r="H2420" i="2"/>
  <c r="I5238" i="2"/>
  <c r="H5238" i="2"/>
  <c r="I8201" i="2"/>
  <c r="H8201" i="2"/>
  <c r="I3890" i="2"/>
  <c r="H3890" i="2"/>
  <c r="I5643" i="2"/>
  <c r="H5643" i="2"/>
  <c r="I6307" i="2"/>
  <c r="H6307" i="2"/>
  <c r="I5230" i="2"/>
  <c r="H5230" i="2"/>
  <c r="I7076" i="2"/>
  <c r="H7076" i="2"/>
  <c r="I2375" i="2"/>
  <c r="H2375" i="2"/>
  <c r="I2671" i="2"/>
  <c r="H2671" i="2"/>
  <c r="I6211" i="2"/>
  <c r="H6211" i="2"/>
  <c r="I3599" i="2"/>
  <c r="H3599" i="2"/>
  <c r="I6535" i="2"/>
  <c r="H6535" i="2"/>
  <c r="I7861" i="2"/>
  <c r="H7861" i="2"/>
  <c r="I2646" i="2"/>
  <c r="H2646" i="2"/>
  <c r="I1416" i="2"/>
  <c r="H1416" i="2"/>
  <c r="I5948" i="2"/>
  <c r="H5948" i="2"/>
  <c r="I829" i="2"/>
  <c r="H829" i="2"/>
  <c r="I4150" i="2"/>
  <c r="H4150" i="2"/>
  <c r="I4918" i="2"/>
  <c r="H4918" i="2"/>
  <c r="I547" i="2"/>
  <c r="H547" i="2"/>
  <c r="I3527" i="2"/>
  <c r="H3527" i="2"/>
  <c r="I3360" i="2"/>
  <c r="H3360" i="2"/>
  <c r="I7705" i="2"/>
  <c r="H7705" i="2"/>
  <c r="I8292" i="2"/>
  <c r="H8292" i="2"/>
  <c r="I4857" i="2"/>
  <c r="H4857" i="2"/>
  <c r="I3025" i="2"/>
  <c r="H3025" i="2"/>
  <c r="I5765" i="2"/>
  <c r="H5765" i="2"/>
  <c r="I4041" i="2"/>
  <c r="H4041" i="2"/>
  <c r="I6924" i="2"/>
  <c r="H6924" i="2"/>
  <c r="I6548" i="2"/>
  <c r="H6548" i="2"/>
  <c r="I6567" i="2"/>
  <c r="H6567" i="2"/>
  <c r="I1221" i="2"/>
  <c r="H1221" i="2"/>
  <c r="I3578" i="2"/>
  <c r="H3578" i="2"/>
  <c r="I7198" i="2"/>
  <c r="H7198" i="2"/>
  <c r="I1555" i="2"/>
  <c r="H1555" i="2"/>
  <c r="I5154" i="2"/>
  <c r="H5154" i="2"/>
  <c r="H677" i="2"/>
  <c r="I6613" i="2"/>
  <c r="H6613" i="2"/>
  <c r="I5394" i="2"/>
  <c r="H5394" i="2"/>
  <c r="I1607" i="2"/>
  <c r="H1607" i="2"/>
  <c r="I5198" i="2"/>
  <c r="H5198" i="2"/>
  <c r="I3585" i="2"/>
  <c r="H3585" i="2"/>
  <c r="I3610" i="2"/>
  <c r="H3610" i="2"/>
  <c r="I5086" i="2"/>
  <c r="H5086" i="2"/>
  <c r="I4889" i="2"/>
  <c r="H4889" i="2"/>
  <c r="I2847" i="2"/>
  <c r="H2847" i="2"/>
  <c r="I1124" i="2"/>
  <c r="H1124" i="2"/>
  <c r="I4823" i="2"/>
  <c r="H4823" i="2"/>
  <c r="I2598" i="2"/>
  <c r="H2598" i="2"/>
  <c r="I4700" i="2"/>
  <c r="H4700" i="2"/>
  <c r="I5395" i="2"/>
  <c r="H5395" i="2"/>
  <c r="I538" i="2"/>
  <c r="H538" i="2"/>
  <c r="I7617" i="2"/>
  <c r="H7617" i="2"/>
  <c r="I3252" i="2"/>
  <c r="H3252" i="2"/>
  <c r="I5905" i="2"/>
  <c r="H5905" i="2"/>
  <c r="I3290" i="2"/>
  <c r="H3290" i="2"/>
  <c r="I526" i="2"/>
  <c r="H526" i="2"/>
  <c r="I3287" i="2"/>
  <c r="H3287" i="2"/>
  <c r="I5171" i="2"/>
  <c r="H5171" i="2"/>
  <c r="I3009" i="2"/>
  <c r="H3009" i="2"/>
  <c r="I5440" i="2"/>
  <c r="H5440" i="2"/>
  <c r="I578" i="2"/>
  <c r="H578" i="2"/>
  <c r="I1419" i="2"/>
  <c r="H1419" i="2"/>
  <c r="I8080" i="2"/>
  <c r="H8080" i="2"/>
  <c r="I1233" i="2"/>
  <c r="H1233" i="2"/>
  <c r="I8352" i="2"/>
  <c r="H8352" i="2"/>
  <c r="I3032" i="2"/>
  <c r="H3032" i="2"/>
  <c r="I6092" i="2"/>
  <c r="H6092" i="2"/>
  <c r="I7213" i="2"/>
  <c r="H7213" i="2"/>
  <c r="I528" i="2"/>
  <c r="H528" i="2"/>
  <c r="I6366" i="2"/>
  <c r="H6366" i="2"/>
  <c r="I7283" i="2"/>
  <c r="H7283" i="2"/>
  <c r="I5352" i="2"/>
  <c r="H5352" i="2"/>
  <c r="I5892" i="2"/>
  <c r="H5892" i="2"/>
  <c r="H8140" i="2"/>
  <c r="I517" i="2"/>
  <c r="H517" i="2"/>
  <c r="I6166" i="2"/>
  <c r="H6166" i="2"/>
  <c r="I3827" i="2"/>
  <c r="H3827" i="2"/>
  <c r="I7420" i="2"/>
  <c r="H7420" i="2"/>
  <c r="I5142" i="2"/>
  <c r="H5142" i="2"/>
  <c r="I7478" i="2"/>
  <c r="H7478" i="2"/>
  <c r="I3598" i="2"/>
  <c r="H3598" i="2"/>
  <c r="I5534" i="2"/>
  <c r="H5534" i="2"/>
  <c r="I1017" i="2"/>
  <c r="H1017" i="2"/>
  <c r="I8303" i="2"/>
  <c r="H8303" i="2"/>
  <c r="I3595" i="2"/>
  <c r="H3595" i="2"/>
  <c r="I4521" i="2"/>
  <c r="H4521" i="2"/>
  <c r="I8191" i="2"/>
  <c r="H8191" i="2"/>
  <c r="I3470" i="2"/>
  <c r="H3470" i="2"/>
  <c r="I5524" i="2"/>
  <c r="H5524" i="2"/>
  <c r="I6798" i="2"/>
  <c r="H6798" i="2"/>
  <c r="I3770" i="2"/>
  <c r="H3770" i="2"/>
  <c r="I3028" i="2"/>
  <c r="H3028" i="2"/>
  <c r="I6096" i="2"/>
  <c r="H6096" i="2"/>
  <c r="I7277" i="2"/>
  <c r="H7277" i="2"/>
  <c r="I4679" i="2"/>
  <c r="H4679" i="2"/>
  <c r="I1955" i="2"/>
  <c r="H1955" i="2"/>
  <c r="I2845" i="2"/>
  <c r="H2845" i="2"/>
  <c r="I2604" i="2"/>
  <c r="H2604" i="2"/>
  <c r="I2981" i="2"/>
  <c r="H2981" i="2"/>
  <c r="I7458" i="2"/>
  <c r="H7458" i="2"/>
  <c r="I7779" i="2"/>
  <c r="H7779" i="2"/>
  <c r="I6521" i="2"/>
  <c r="H6521" i="2"/>
  <c r="I5535" i="2"/>
  <c r="H5535" i="2"/>
  <c r="I5286" i="2"/>
  <c r="H5286" i="2"/>
  <c r="I1789" i="2"/>
  <c r="H1789" i="2"/>
  <c r="I3385" i="2"/>
  <c r="H3385" i="2"/>
  <c r="I8169" i="2"/>
  <c r="H8169" i="2"/>
  <c r="I7217" i="2"/>
  <c r="H7217" i="2"/>
  <c r="I5851" i="2"/>
  <c r="H5851" i="2"/>
  <c r="I3388" i="2"/>
  <c r="H3388" i="2"/>
  <c r="I3975" i="2"/>
  <c r="H3975" i="2"/>
  <c r="I5640" i="2"/>
  <c r="H5640" i="2"/>
  <c r="I2699" i="2"/>
  <c r="H2699" i="2"/>
  <c r="I7888" i="2"/>
  <c r="H7888" i="2"/>
  <c r="I3331" i="2"/>
  <c r="H3331" i="2"/>
  <c r="I5689" i="2"/>
  <c r="H5689" i="2"/>
  <c r="I1941" i="2"/>
  <c r="H1941" i="2"/>
  <c r="I4118" i="2"/>
  <c r="H4118" i="2"/>
  <c r="I6156" i="2"/>
  <c r="H6156" i="2"/>
  <c r="I7429" i="2"/>
  <c r="H7429" i="2"/>
  <c r="I1207" i="2"/>
  <c r="H1207" i="2"/>
  <c r="I5452" i="2"/>
  <c r="H5452" i="2"/>
  <c r="I2463" i="2"/>
  <c r="H2463" i="2"/>
  <c r="I3542" i="2"/>
  <c r="H3542" i="2"/>
  <c r="I4982" i="2"/>
  <c r="H4982" i="2"/>
  <c r="I3409" i="2"/>
  <c r="H3409" i="2"/>
  <c r="I5306" i="2"/>
  <c r="H5306" i="2"/>
  <c r="I5788" i="2"/>
  <c r="H5788" i="2"/>
  <c r="I3101" i="2"/>
  <c r="H3101" i="2"/>
  <c r="I6618" i="2"/>
  <c r="H6618" i="2"/>
  <c r="I2404" i="2"/>
  <c r="H2404" i="2"/>
  <c r="I3859" i="2"/>
  <c r="H3859" i="2"/>
  <c r="I2677" i="2"/>
  <c r="H2677" i="2"/>
  <c r="I6850" i="2"/>
  <c r="H6850" i="2"/>
  <c r="I5057" i="2"/>
  <c r="H5057" i="2"/>
  <c r="I4826" i="2"/>
  <c r="H4826" i="2"/>
  <c r="I3742" i="2"/>
  <c r="H3742" i="2"/>
  <c r="I4590" i="2"/>
  <c r="H4590" i="2"/>
  <c r="I5068" i="2"/>
  <c r="H5068" i="2"/>
  <c r="I8075" i="2"/>
  <c r="H8075" i="2"/>
  <c r="I4255" i="2"/>
  <c r="H4255" i="2"/>
  <c r="I3400" i="2"/>
  <c r="H3400" i="2"/>
  <c r="I3722" i="2"/>
  <c r="H3722" i="2"/>
  <c r="I6423" i="2"/>
  <c r="H6423" i="2"/>
  <c r="I521" i="2"/>
  <c r="H521" i="2"/>
  <c r="I3428" i="2"/>
  <c r="H3428" i="2"/>
  <c r="I5003" i="2"/>
  <c r="H5003" i="2"/>
  <c r="I5566" i="2"/>
  <c r="H5566" i="2"/>
  <c r="I5915" i="2"/>
  <c r="H5915" i="2"/>
  <c r="I3501" i="2"/>
  <c r="H3501" i="2"/>
  <c r="I3401" i="2"/>
  <c r="H3401" i="2"/>
  <c r="I5233" i="2"/>
  <c r="H5233" i="2"/>
  <c r="I4021" i="2"/>
  <c r="H4021" i="2"/>
  <c r="I518" i="2"/>
  <c r="H518" i="2"/>
  <c r="I612" i="2"/>
  <c r="H612" i="2"/>
  <c r="I1208" i="2"/>
  <c r="H1208" i="2"/>
  <c r="I3747" i="2"/>
  <c r="H3747" i="2"/>
  <c r="I5345" i="2"/>
  <c r="H5345" i="2"/>
  <c r="I4058" i="2"/>
  <c r="H4058" i="2"/>
  <c r="I5719" i="2"/>
  <c r="H5719" i="2"/>
  <c r="I6440" i="2"/>
  <c r="H6440" i="2"/>
  <c r="I1398" i="2"/>
  <c r="H1398" i="2"/>
  <c r="I5409" i="2"/>
  <c r="H5409" i="2"/>
  <c r="I2792" i="2"/>
  <c r="H2792" i="2"/>
  <c r="I5658" i="2"/>
  <c r="H5658" i="2"/>
  <c r="I5580" i="2"/>
  <c r="H5580" i="2"/>
  <c r="I5774" i="2"/>
  <c r="H5774" i="2"/>
  <c r="I3124" i="2"/>
  <c r="H3124" i="2"/>
  <c r="I513" i="2"/>
  <c r="H513" i="2"/>
  <c r="I7567" i="2"/>
  <c r="H7567" i="2"/>
  <c r="I5644" i="2"/>
  <c r="H5644" i="2"/>
  <c r="I5407" i="2"/>
  <c r="H5407" i="2"/>
  <c r="I6146" i="2"/>
  <c r="H6146" i="2"/>
  <c r="I7931" i="2"/>
  <c r="H7931" i="2"/>
  <c r="I3911" i="2"/>
  <c r="H3911" i="2"/>
  <c r="I7102" i="2"/>
  <c r="H7102" i="2"/>
  <c r="I507" i="2"/>
  <c r="H507" i="2"/>
  <c r="I2118" i="2"/>
  <c r="H2118" i="2"/>
  <c r="I3382" i="2"/>
  <c r="H3382" i="2"/>
  <c r="I8213" i="2"/>
  <c r="H8213" i="2"/>
  <c r="I8382" i="2"/>
  <c r="H8382" i="2"/>
  <c r="I7623" i="2"/>
  <c r="H7623" i="2"/>
  <c r="I3129" i="2"/>
  <c r="H3129" i="2"/>
  <c r="I8389" i="2"/>
  <c r="H8389" i="2"/>
  <c r="I4470" i="2"/>
  <c r="H4470" i="2"/>
  <c r="I5012" i="2"/>
  <c r="H5012" i="2"/>
  <c r="I510" i="2"/>
  <c r="H510" i="2"/>
  <c r="I6860" i="2"/>
  <c r="H6860" i="2"/>
  <c r="I2722" i="2"/>
  <c r="H2722" i="2"/>
  <c r="I5421" i="2"/>
  <c r="H5421" i="2"/>
  <c r="I5647" i="2"/>
  <c r="H5647" i="2"/>
  <c r="I5526" i="2"/>
  <c r="H5526" i="2"/>
  <c r="I8392" i="2"/>
  <c r="H8392" i="2"/>
  <c r="I1366" i="2"/>
  <c r="H1366" i="2"/>
  <c r="I3439" i="2"/>
  <c r="H3439" i="2"/>
  <c r="I5334" i="2"/>
  <c r="H5334" i="2"/>
  <c r="I1898" i="2"/>
  <c r="H1898" i="2"/>
  <c r="I3045" i="2"/>
  <c r="H3045" i="2"/>
  <c r="I2269" i="2"/>
  <c r="H2269" i="2"/>
  <c r="I2390" i="2"/>
  <c r="H2390" i="2"/>
  <c r="I5389" i="2"/>
  <c r="H5389" i="2"/>
  <c r="I2260" i="2"/>
  <c r="H2260" i="2"/>
  <c r="I7183" i="2"/>
  <c r="H7183" i="2"/>
  <c r="I5698" i="2"/>
  <c r="H5698" i="2"/>
  <c r="I5977" i="2"/>
  <c r="H5977" i="2"/>
  <c r="I7582" i="2"/>
  <c r="H7582" i="2"/>
  <c r="I6161" i="2"/>
  <c r="H6161" i="2"/>
  <c r="I7483" i="2"/>
  <c r="H7483" i="2"/>
  <c r="I3214" i="2"/>
  <c r="H3214" i="2"/>
  <c r="I523" i="2"/>
  <c r="H523" i="2"/>
  <c r="I5028" i="2"/>
  <c r="H5028" i="2"/>
  <c r="I3447" i="2"/>
  <c r="H3447" i="2"/>
  <c r="I5680" i="2"/>
  <c r="H5680" i="2"/>
  <c r="I8340" i="2"/>
  <c r="H8340" i="2"/>
  <c r="I895" i="2"/>
  <c r="H895" i="2"/>
  <c r="I6645" i="2"/>
  <c r="H6645" i="2"/>
  <c r="I6119" i="2"/>
  <c r="H6119" i="2"/>
  <c r="I7331" i="2"/>
  <c r="H7331" i="2"/>
  <c r="I4073" i="2"/>
  <c r="H4073" i="2"/>
  <c r="I735" i="2"/>
  <c r="H735" i="2"/>
  <c r="I6296" i="2"/>
  <c r="H6296" i="2"/>
  <c r="I2249" i="2"/>
  <c r="H2249" i="2"/>
  <c r="I2183" i="2"/>
  <c r="H2183" i="2"/>
  <c r="I4779" i="2"/>
  <c r="H4779" i="2"/>
  <c r="I1911" i="2"/>
  <c r="H1911" i="2"/>
  <c r="I1104" i="2"/>
  <c r="H1104" i="2"/>
  <c r="I5465" i="2"/>
  <c r="H5465" i="2"/>
  <c r="I8302" i="2"/>
  <c r="H8302" i="2"/>
  <c r="I3933" i="2"/>
  <c r="H3933" i="2"/>
  <c r="I5055" i="2"/>
  <c r="H5055" i="2"/>
  <c r="I3789" i="2"/>
  <c r="H3789" i="2"/>
  <c r="I1054" i="2"/>
  <c r="H1054" i="2"/>
  <c r="I7647" i="2"/>
  <c r="H7647" i="2"/>
  <c r="I6851" i="2"/>
  <c r="H6851" i="2"/>
  <c r="I6516" i="2"/>
  <c r="H6516" i="2"/>
  <c r="I500" i="2"/>
  <c r="H500" i="2"/>
  <c r="I3233" i="2"/>
  <c r="H3233" i="2"/>
  <c r="I3187" i="2"/>
  <c r="H3187" i="2"/>
  <c r="I3680" i="2"/>
  <c r="H3680" i="2"/>
  <c r="I2600" i="2"/>
  <c r="H2600" i="2"/>
  <c r="I7923" i="2"/>
  <c r="H7923" i="2"/>
  <c r="I499" i="2"/>
  <c r="H499" i="2"/>
  <c r="I4884" i="2"/>
  <c r="H4884" i="2"/>
  <c r="I2449" i="2"/>
  <c r="H2449" i="2"/>
  <c r="I2490" i="2"/>
  <c r="H2490" i="2"/>
  <c r="I496" i="2"/>
  <c r="H496" i="2"/>
  <c r="I6117" i="2"/>
  <c r="H6117" i="2"/>
  <c r="I4881" i="2"/>
  <c r="H4881" i="2"/>
  <c r="I5879" i="2"/>
  <c r="H5879" i="2"/>
  <c r="I5280" i="2"/>
  <c r="H5280" i="2"/>
  <c r="I4875" i="2"/>
  <c r="H4875" i="2"/>
  <c r="I5372" i="2"/>
  <c r="H5372" i="2"/>
  <c r="I3505" i="2"/>
  <c r="H3505" i="2"/>
  <c r="I606" i="2"/>
  <c r="H606" i="2"/>
  <c r="I3341" i="2"/>
  <c r="H3341" i="2"/>
  <c r="I6381" i="2"/>
  <c r="H6381" i="2"/>
  <c r="I4853" i="2"/>
  <c r="H4853" i="2"/>
  <c r="I3769" i="2"/>
  <c r="H3769" i="2"/>
  <c r="I6143" i="2"/>
  <c r="H6143" i="2"/>
  <c r="I5411" i="2"/>
  <c r="H5411" i="2"/>
  <c r="I3157" i="2"/>
  <c r="H3157" i="2"/>
  <c r="I5740" i="2"/>
  <c r="H5740" i="2"/>
  <c r="I5093" i="2"/>
  <c r="H5093" i="2"/>
  <c r="I3814" i="2"/>
  <c r="H3814" i="2"/>
  <c r="I3238" i="2"/>
  <c r="H3238" i="2"/>
  <c r="I5130" i="2"/>
  <c r="H5130" i="2"/>
  <c r="I5471" i="2"/>
  <c r="H5471" i="2"/>
  <c r="I3953" i="2"/>
  <c r="H3953" i="2"/>
  <c r="I7497" i="2"/>
  <c r="H7497" i="2"/>
  <c r="I4852" i="2"/>
  <c r="H4852" i="2"/>
  <c r="I758" i="2"/>
  <c r="H758" i="2"/>
  <c r="I3996" i="2"/>
  <c r="H3996" i="2"/>
  <c r="I2942" i="2"/>
  <c r="H2942" i="2"/>
  <c r="I4832" i="2"/>
  <c r="H4832" i="2"/>
  <c r="I6704" i="2"/>
  <c r="H6704" i="2"/>
  <c r="I5482" i="2"/>
  <c r="H5482" i="2"/>
  <c r="I2926" i="2"/>
  <c r="H2926" i="2"/>
  <c r="I7375" i="2"/>
  <c r="H7375" i="2"/>
  <c r="I4789" i="2"/>
  <c r="H4789" i="2"/>
  <c r="I6577" i="2"/>
  <c r="H6577" i="2"/>
  <c r="I5180" i="2"/>
  <c r="H5180" i="2"/>
  <c r="I6242" i="2"/>
  <c r="H6242" i="2"/>
  <c r="I2597" i="2"/>
  <c r="H2597" i="2"/>
  <c r="I5217" i="2"/>
  <c r="H5217" i="2"/>
  <c r="I5382" i="2"/>
  <c r="H5382" i="2"/>
  <c r="I6724" i="2"/>
  <c r="H6724" i="2"/>
  <c r="I6336" i="2"/>
  <c r="H6336" i="2"/>
  <c r="I5404" i="2"/>
  <c r="H5404" i="2"/>
  <c r="I488" i="2"/>
  <c r="H488" i="2"/>
  <c r="I5973" i="2"/>
  <c r="H5973" i="2"/>
  <c r="I3033" i="2"/>
  <c r="H3033" i="2"/>
  <c r="I6377" i="2"/>
  <c r="H6377" i="2"/>
  <c r="I5656" i="2"/>
  <c r="H5656" i="2"/>
  <c r="I1433" i="2"/>
  <c r="H1433" i="2"/>
  <c r="I3223" i="2"/>
  <c r="H3223" i="2"/>
  <c r="I5184" i="2"/>
  <c r="H5184" i="2"/>
  <c r="I4047" i="2"/>
  <c r="H4047" i="2"/>
  <c r="I3374" i="2"/>
  <c r="H3374" i="2"/>
  <c r="I5194" i="2"/>
  <c r="H5194" i="2"/>
  <c r="I4709" i="2"/>
  <c r="H4709" i="2"/>
  <c r="I7578" i="2"/>
  <c r="H7578" i="2"/>
  <c r="I2357" i="2"/>
  <c r="H2357" i="2"/>
  <c r="I485" i="2"/>
  <c r="H485" i="2"/>
  <c r="I8009" i="2"/>
  <c r="H8009" i="2"/>
  <c r="I8185" i="2"/>
  <c r="H8185" i="2"/>
  <c r="I3249" i="2"/>
  <c r="H3249" i="2"/>
  <c r="I5090" i="2"/>
  <c r="H5090" i="2"/>
  <c r="I8244" i="2"/>
  <c r="H8244" i="2"/>
  <c r="I4088" i="2"/>
  <c r="H4088" i="2"/>
  <c r="I7127" i="2"/>
  <c r="H7127" i="2"/>
  <c r="I4784" i="2"/>
  <c r="H4784" i="2"/>
  <c r="I3880" i="2"/>
  <c r="H3880" i="2"/>
  <c r="I685" i="2"/>
  <c r="H685" i="2"/>
  <c r="I4813" i="2"/>
  <c r="H4813" i="2"/>
  <c r="I3568" i="2"/>
  <c r="H3568" i="2"/>
  <c r="I6157" i="2"/>
  <c r="H6157" i="2"/>
  <c r="I6100" i="2"/>
  <c r="H6100" i="2"/>
  <c r="I3864" i="2"/>
  <c r="H3864" i="2"/>
  <c r="I5711" i="2"/>
  <c r="H5711" i="2"/>
  <c r="I1246" i="2"/>
  <c r="H1246" i="2"/>
  <c r="I5000" i="2"/>
  <c r="H5000" i="2"/>
  <c r="I6098" i="2"/>
  <c r="H6098" i="2"/>
  <c r="I3034" i="2"/>
  <c r="H3034" i="2"/>
  <c r="I484" i="2"/>
  <c r="H484" i="2"/>
  <c r="I6008" i="2"/>
  <c r="H6008" i="2"/>
  <c r="I3556" i="2"/>
  <c r="H3556" i="2"/>
  <c r="I6560" i="2"/>
  <c r="H6560" i="2"/>
  <c r="I6633" i="2"/>
  <c r="H6633" i="2"/>
  <c r="I3441" i="2"/>
  <c r="H3441" i="2"/>
  <c r="I5034" i="2"/>
  <c r="H5034" i="2"/>
  <c r="I5013" i="2"/>
  <c r="H5013" i="2"/>
  <c r="I6237" i="2"/>
  <c r="H6237" i="2"/>
  <c r="I695" i="2"/>
  <c r="H695" i="2"/>
  <c r="I6732" i="2"/>
  <c r="H6732" i="2"/>
  <c r="I7167" i="2"/>
  <c r="H7167" i="2"/>
  <c r="I1269" i="2"/>
  <c r="H1269" i="2"/>
  <c r="I3286" i="2"/>
  <c r="H3286" i="2"/>
  <c r="I5265" i="2"/>
  <c r="H5265" i="2"/>
  <c r="I1345" i="2"/>
  <c r="H1345" i="2"/>
  <c r="I3450" i="2"/>
  <c r="H3450" i="2"/>
  <c r="I5572" i="2"/>
  <c r="H5572" i="2"/>
  <c r="I2444" i="2"/>
  <c r="H2444" i="2"/>
  <c r="I3392" i="2"/>
  <c r="H3392" i="2"/>
  <c r="I3237" i="2"/>
  <c r="H3237" i="2"/>
  <c r="I4851" i="2"/>
  <c r="H4851" i="2"/>
  <c r="I6718" i="2"/>
  <c r="H6718" i="2"/>
  <c r="I6347" i="2"/>
  <c r="H6347" i="2"/>
  <c r="I5935" i="2"/>
  <c r="H5935" i="2"/>
  <c r="I5098" i="2"/>
  <c r="H5098" i="2"/>
  <c r="I5021" i="2"/>
  <c r="H5021" i="2"/>
  <c r="I3684" i="2"/>
  <c r="H3684" i="2"/>
  <c r="I480" i="2"/>
  <c r="H480" i="2"/>
  <c r="I6640" i="2"/>
  <c r="H6640" i="2"/>
  <c r="I529" i="2"/>
  <c r="H529" i="2"/>
  <c r="I2658" i="2"/>
  <c r="H2658" i="2"/>
  <c r="I3361" i="2"/>
  <c r="H3361" i="2"/>
  <c r="I6210" i="2"/>
  <c r="H6210" i="2"/>
  <c r="I3868" i="2"/>
  <c r="H3868" i="2"/>
  <c r="I2869" i="2"/>
  <c r="H2869" i="2"/>
  <c r="I4927" i="2"/>
  <c r="H4927" i="2"/>
  <c r="I2187" i="2"/>
  <c r="H2187" i="2"/>
  <c r="I2122" i="2"/>
  <c r="H2122" i="2"/>
  <c r="I3396" i="2"/>
  <c r="H3396" i="2"/>
  <c r="I7618" i="2"/>
  <c r="H7618" i="2"/>
  <c r="I3088" i="2"/>
  <c r="H3088" i="2"/>
  <c r="I1723" i="2"/>
  <c r="H1723" i="2"/>
  <c r="I5297" i="2"/>
  <c r="H5297" i="2"/>
  <c r="I986" i="2"/>
  <c r="H986" i="2"/>
  <c r="I5498" i="2"/>
  <c r="H5498" i="2"/>
  <c r="I3772" i="2"/>
  <c r="H3772" i="2"/>
  <c r="I1072" i="2"/>
  <c r="H1072" i="2"/>
  <c r="I905" i="2"/>
  <c r="H905" i="2"/>
  <c r="I7539" i="2"/>
  <c r="H7539" i="2"/>
  <c r="I504" i="2"/>
  <c r="H504" i="2"/>
  <c r="I833" i="2"/>
  <c r="H833" i="2"/>
  <c r="I2217" i="2"/>
  <c r="H2217" i="2"/>
  <c r="I2540" i="2"/>
  <c r="H2540" i="2"/>
  <c r="I8021" i="2"/>
  <c r="H8021" i="2"/>
  <c r="I2947" i="2"/>
  <c r="H2947" i="2"/>
  <c r="I5632" i="2"/>
  <c r="H5632" i="2"/>
  <c r="I6979" i="2"/>
  <c r="H6979" i="2"/>
  <c r="I2817" i="2"/>
  <c r="H2817" i="2"/>
  <c r="I3879" i="2"/>
  <c r="H3879" i="2"/>
  <c r="I7976" i="2"/>
  <c r="H7976" i="2"/>
  <c r="I6007" i="2"/>
  <c r="H6007" i="2"/>
  <c r="I7205" i="2"/>
  <c r="H7205" i="2"/>
  <c r="I491" i="2"/>
  <c r="H491" i="2"/>
  <c r="I2957" i="2"/>
  <c r="H2957" i="2"/>
  <c r="I3356" i="2"/>
  <c r="H3356" i="2"/>
  <c r="I5707" i="2"/>
  <c r="H5707" i="2"/>
  <c r="I5962" i="2"/>
  <c r="H5962" i="2"/>
  <c r="I5056" i="2"/>
  <c r="H5056" i="2"/>
  <c r="I3699" i="2"/>
  <c r="H3699" i="2"/>
  <c r="I7723" i="2"/>
  <c r="H7723" i="2"/>
  <c r="I6130" i="2"/>
  <c r="H6130" i="2"/>
  <c r="I5316" i="2"/>
  <c r="H5316" i="2"/>
  <c r="I3180" i="2"/>
  <c r="H3180" i="2"/>
  <c r="I3753" i="2"/>
  <c r="H3753" i="2"/>
  <c r="I3891" i="2"/>
  <c r="H3891" i="2"/>
  <c r="I5449" i="2"/>
  <c r="H5449" i="2"/>
  <c r="I5674" i="2"/>
  <c r="H5674" i="2"/>
  <c r="I3491" i="2"/>
  <c r="H3491" i="2"/>
  <c r="I6331" i="2"/>
  <c r="H6331" i="2"/>
  <c r="I3799" i="2"/>
  <c r="H3799" i="2"/>
  <c r="I1087" i="2"/>
  <c r="H1087" i="2"/>
  <c r="I5450" i="2"/>
  <c r="H5450" i="2"/>
  <c r="I7310" i="2"/>
  <c r="H7310" i="2"/>
  <c r="I3438" i="2"/>
  <c r="H3438" i="2"/>
  <c r="I5715" i="2"/>
  <c r="H5715" i="2"/>
  <c r="I7402" i="2"/>
  <c r="H7402" i="2"/>
  <c r="I6363" i="2"/>
  <c r="H6363" i="2"/>
  <c r="I530" i="2"/>
  <c r="H530" i="2"/>
  <c r="I6998" i="2"/>
  <c r="H6998" i="2"/>
  <c r="I5228" i="2"/>
  <c r="H5228" i="2"/>
  <c r="I6048" i="2"/>
  <c r="H6048" i="2"/>
  <c r="I4830" i="2"/>
  <c r="H4830" i="2"/>
  <c r="I579" i="2"/>
  <c r="H579" i="2"/>
  <c r="I3923" i="2"/>
  <c r="H3923" i="2"/>
  <c r="I1601" i="2"/>
  <c r="H1601" i="2"/>
  <c r="I3377" i="2"/>
  <c r="H3377" i="2"/>
  <c r="I5966" i="2"/>
  <c r="H5966" i="2"/>
  <c r="I3201" i="2"/>
  <c r="H3201" i="2"/>
  <c r="I2793" i="2"/>
  <c r="H2793" i="2"/>
  <c r="I5148" i="2"/>
  <c r="H5148" i="2"/>
  <c r="I3021" i="2"/>
  <c r="H3021" i="2"/>
  <c r="I3344" i="2"/>
  <c r="H3344" i="2"/>
  <c r="I3605" i="2"/>
  <c r="H3605" i="2"/>
  <c r="I2369" i="2"/>
  <c r="H2369" i="2"/>
  <c r="I2513" i="2"/>
  <c r="H2513" i="2"/>
  <c r="I3158" i="2"/>
  <c r="H3158" i="2"/>
  <c r="I8060" i="2"/>
  <c r="H8060" i="2"/>
  <c r="I3075" i="2"/>
  <c r="H3075" i="2"/>
  <c r="I3984" i="2"/>
  <c r="H3984" i="2"/>
  <c r="I3925" i="2"/>
  <c r="H3925" i="2"/>
  <c r="I474" i="2"/>
  <c r="H474" i="2"/>
  <c r="I4580" i="2"/>
  <c r="H4580" i="2"/>
  <c r="I8336" i="2"/>
  <c r="H8336" i="2"/>
  <c r="I8132" i="2"/>
  <c r="H8132" i="2"/>
  <c r="I1845" i="2"/>
  <c r="H1845" i="2"/>
  <c r="I5766" i="2"/>
  <c r="H5766" i="2"/>
  <c r="I6045" i="2"/>
  <c r="H6045" i="2"/>
  <c r="I6488" i="2"/>
  <c r="H6488" i="2"/>
  <c r="I7208" i="2"/>
  <c r="H7208" i="2"/>
  <c r="I2578" i="2"/>
  <c r="H2578" i="2"/>
  <c r="I6471" i="2"/>
  <c r="H6471" i="2"/>
  <c r="I3621" i="2"/>
  <c r="H3621" i="2"/>
  <c r="I2607" i="2"/>
  <c r="H2607" i="2"/>
  <c r="I6052" i="2"/>
  <c r="H6052" i="2"/>
  <c r="I8077" i="2"/>
  <c r="H8077" i="2"/>
  <c r="I2924" i="2"/>
  <c r="H2924" i="2"/>
  <c r="I5776" i="2"/>
  <c r="H5776" i="2"/>
  <c r="I2109" i="2"/>
  <c r="H2109" i="2"/>
  <c r="I6597" i="2"/>
  <c r="H6597" i="2"/>
  <c r="I3653" i="2"/>
  <c r="H3653" i="2"/>
  <c r="I5415" i="2"/>
  <c r="H5415" i="2"/>
  <c r="I2639" i="2"/>
  <c r="H2639" i="2"/>
  <c r="I6088" i="2"/>
  <c r="H6088" i="2"/>
  <c r="I3703" i="2"/>
  <c r="H3703" i="2"/>
  <c r="I5173" i="2"/>
  <c r="H5173" i="2"/>
  <c r="I464" i="2"/>
  <c r="H464" i="2"/>
  <c r="I3977" i="2"/>
  <c r="H3977" i="2"/>
  <c r="I7193" i="2"/>
  <c r="H7193" i="2"/>
  <c r="I1336" i="2"/>
  <c r="H1336" i="2"/>
  <c r="I6992" i="2"/>
  <c r="H6992" i="2"/>
  <c r="I3422" i="2"/>
  <c r="H3422" i="2"/>
  <c r="I5225" i="2"/>
  <c r="H5225" i="2"/>
  <c r="I5367" i="2"/>
  <c r="H5367" i="2"/>
  <c r="I7827" i="2"/>
  <c r="H7827" i="2"/>
  <c r="I3080" i="2"/>
  <c r="H3080" i="2"/>
  <c r="I5847" i="2"/>
  <c r="H5847" i="2"/>
  <c r="I7545" i="2"/>
  <c r="H7545" i="2"/>
  <c r="I5237" i="2"/>
  <c r="H5237" i="2"/>
  <c r="I1529" i="2"/>
  <c r="H1529" i="2"/>
  <c r="I1251" i="2"/>
  <c r="H1251" i="2"/>
  <c r="I1901" i="2"/>
  <c r="H1901" i="2"/>
  <c r="I2394" i="2"/>
  <c r="H2394" i="2"/>
  <c r="I5832" i="2"/>
  <c r="H5832" i="2"/>
  <c r="I4999" i="2"/>
  <c r="H4999" i="2"/>
  <c r="I4100" i="2"/>
  <c r="H4100" i="2"/>
  <c r="I5594" i="2"/>
  <c r="H5594" i="2"/>
  <c r="I5253" i="2"/>
  <c r="H5253" i="2"/>
  <c r="I3506" i="2"/>
  <c r="H3506" i="2"/>
  <c r="I5778" i="2"/>
  <c r="H5778" i="2"/>
  <c r="I5431" i="2"/>
  <c r="H5431" i="2"/>
  <c r="I8144" i="2"/>
  <c r="H8144" i="2"/>
  <c r="I6239" i="2"/>
  <c r="H6239" i="2"/>
  <c r="I7054" i="2"/>
  <c r="H7054" i="2"/>
  <c r="I2889" i="2"/>
  <c r="H2889" i="2"/>
  <c r="I3848" i="2"/>
  <c r="H3848" i="2"/>
  <c r="I5916" i="2"/>
  <c r="H5916" i="2"/>
  <c r="I2456" i="2"/>
  <c r="H2456" i="2"/>
  <c r="I5218" i="2"/>
  <c r="H5218" i="2"/>
  <c r="I700" i="2"/>
  <c r="H700" i="2"/>
  <c r="I3084" i="2"/>
  <c r="H3084" i="2"/>
  <c r="I2407" i="2"/>
  <c r="H2407" i="2"/>
  <c r="I5710" i="2"/>
  <c r="H5710" i="2"/>
  <c r="I2398" i="2"/>
  <c r="H2398" i="2"/>
  <c r="I5497" i="2"/>
  <c r="H5497" i="2"/>
  <c r="I3477" i="2"/>
  <c r="H3477" i="2"/>
  <c r="I3136" i="2"/>
  <c r="H3136" i="2"/>
  <c r="I6343" i="2"/>
  <c r="H6343" i="2"/>
  <c r="I2171" i="2"/>
  <c r="H2171" i="2"/>
  <c r="I6648" i="2"/>
  <c r="H6648" i="2"/>
  <c r="I3421" i="2"/>
  <c r="H3421" i="2"/>
  <c r="I6245" i="2"/>
  <c r="H6245" i="2"/>
  <c r="I3418" i="2"/>
  <c r="H3418" i="2"/>
  <c r="I5914" i="2"/>
  <c r="H5914" i="2"/>
  <c r="I6539" i="2"/>
  <c r="H6539" i="2"/>
  <c r="I2238" i="2"/>
  <c r="H2238" i="2"/>
  <c r="I3095" i="2"/>
  <c r="H3095" i="2"/>
  <c r="I3522" i="2"/>
  <c r="H3522" i="2"/>
  <c r="I7792" i="2"/>
  <c r="H7792" i="2"/>
  <c r="I5418" i="2"/>
  <c r="H5418" i="2"/>
  <c r="I4825" i="2"/>
  <c r="H4825" i="2"/>
  <c r="I1080" i="2"/>
  <c r="H1080" i="2"/>
  <c r="I6364" i="2"/>
  <c r="H6364" i="2"/>
  <c r="I5857" i="2"/>
  <c r="H5857" i="2"/>
  <c r="I5255" i="2"/>
  <c r="H5255" i="2"/>
  <c r="I6246" i="2"/>
  <c r="H6246" i="2"/>
  <c r="I7671" i="2"/>
  <c r="H7671" i="2"/>
  <c r="I454" i="2"/>
  <c r="H454" i="2"/>
  <c r="I5139" i="2"/>
  <c r="H5139" i="2"/>
  <c r="I990" i="2"/>
  <c r="H990" i="2"/>
  <c r="I8123" i="2"/>
  <c r="H8123" i="2"/>
  <c r="I3389" i="2"/>
  <c r="H3389" i="2"/>
  <c r="I5299" i="2"/>
  <c r="H5299" i="2"/>
  <c r="I3172" i="2"/>
  <c r="H3172" i="2"/>
  <c r="I3205" i="2"/>
  <c r="H3205" i="2"/>
  <c r="I3306" i="2"/>
  <c r="H3306" i="2"/>
  <c r="I6241" i="2"/>
  <c r="H6241" i="2"/>
  <c r="I5339" i="2"/>
  <c r="H5339" i="2"/>
  <c r="I7206" i="2"/>
  <c r="H7206" i="2"/>
  <c r="I7791" i="2"/>
  <c r="H7791" i="2"/>
  <c r="I3412" i="2"/>
  <c r="H3412" i="2"/>
  <c r="I3997" i="2"/>
  <c r="H3997" i="2"/>
  <c r="I5052" i="2"/>
  <c r="H5052" i="2"/>
  <c r="I6190" i="2"/>
  <c r="H6190" i="2"/>
  <c r="I5808" i="2"/>
  <c r="H5808" i="2"/>
  <c r="I5077" i="2"/>
  <c r="H5077" i="2"/>
  <c r="I1804" i="2"/>
  <c r="H1804" i="2"/>
  <c r="I5900" i="2"/>
  <c r="H5900" i="2"/>
  <c r="I466" i="2"/>
  <c r="H466" i="2"/>
  <c r="I580" i="2"/>
  <c r="H580" i="2"/>
  <c r="I5009" i="2"/>
  <c r="H5009" i="2"/>
  <c r="I2748" i="2"/>
  <c r="H2748" i="2"/>
  <c r="I6936" i="2"/>
  <c r="H6936" i="2"/>
  <c r="I5260" i="2"/>
  <c r="H5260" i="2"/>
  <c r="I1934" i="2"/>
  <c r="H1934" i="2"/>
  <c r="I3467" i="2"/>
  <c r="H3467" i="2"/>
  <c r="I5616" i="2"/>
  <c r="H5616" i="2"/>
  <c r="I3328" i="2"/>
  <c r="H3328" i="2"/>
  <c r="I6897" i="2"/>
  <c r="H6897" i="2"/>
  <c r="I3532" i="2"/>
  <c r="H3532" i="2"/>
  <c r="I8364" i="2"/>
  <c r="H8364" i="2"/>
  <c r="I8369" i="2"/>
  <c r="H8369" i="2"/>
  <c r="I3567" i="2"/>
  <c r="H3567" i="2"/>
  <c r="I2465" i="2"/>
  <c r="H2465" i="2"/>
  <c r="I5577" i="2"/>
  <c r="H5577" i="2"/>
  <c r="I5323" i="2"/>
  <c r="H5323" i="2"/>
  <c r="I7249" i="2"/>
  <c r="H7249" i="2"/>
  <c r="I5387" i="2"/>
  <c r="H5387" i="2"/>
  <c r="I586" i="2"/>
  <c r="H586" i="2"/>
  <c r="I5060" i="2"/>
  <c r="H5060" i="2"/>
  <c r="I3078" i="2"/>
  <c r="H3078" i="2"/>
  <c r="I3079" i="2"/>
  <c r="H3079" i="2"/>
  <c r="I1373" i="2"/>
  <c r="H1373" i="2"/>
  <c r="I2026" i="2"/>
  <c r="H2026" i="2"/>
  <c r="I4228" i="2"/>
  <c r="H4228" i="2"/>
  <c r="I1865" i="2"/>
  <c r="H1865" i="2"/>
  <c r="I5351" i="2"/>
  <c r="H5351" i="2"/>
  <c r="I2742" i="2"/>
  <c r="H2742" i="2"/>
  <c r="I6510" i="2"/>
  <c r="H6510" i="2"/>
  <c r="I3420" i="2"/>
  <c r="H3420" i="2"/>
  <c r="I7479" i="2"/>
  <c r="H7479" i="2"/>
  <c r="I3052" i="2"/>
  <c r="H3052" i="2"/>
  <c r="I3674" i="2"/>
  <c r="H3674" i="2"/>
  <c r="I5802" i="2"/>
  <c r="H5802" i="2"/>
  <c r="I3189" i="2"/>
  <c r="H3189" i="2"/>
  <c r="I5670" i="2"/>
  <c r="H5670" i="2"/>
  <c r="I5361" i="2"/>
  <c r="H5361" i="2"/>
  <c r="I7215" i="2"/>
  <c r="H7215" i="2"/>
  <c r="I3110" i="2"/>
  <c r="H3110" i="2"/>
  <c r="I6469" i="2"/>
  <c r="H6469" i="2"/>
  <c r="I4975" i="2"/>
  <c r="H4975" i="2"/>
  <c r="I1009" i="2"/>
  <c r="H1009" i="2"/>
  <c r="I2561" i="2"/>
  <c r="H2561" i="2"/>
  <c r="I5826" i="2"/>
  <c r="H5826" i="2"/>
  <c r="I3824" i="2"/>
  <c r="H3824" i="2"/>
  <c r="I4913" i="2"/>
  <c r="H4913" i="2"/>
  <c r="I3338" i="2"/>
  <c r="H3338" i="2"/>
  <c r="I6727" i="2"/>
  <c r="H6727" i="2"/>
  <c r="I2308" i="2"/>
  <c r="H2308" i="2"/>
  <c r="I5789" i="2"/>
  <c r="H5789" i="2"/>
  <c r="I1460" i="2"/>
  <c r="H1460" i="2"/>
  <c r="I5216" i="2"/>
  <c r="H5216" i="2"/>
  <c r="I5931" i="2"/>
  <c r="H5931" i="2"/>
  <c r="I6884" i="2"/>
  <c r="H6884" i="2"/>
  <c r="I4878" i="2"/>
  <c r="H4878" i="2"/>
  <c r="I3771" i="2"/>
  <c r="H3771" i="2"/>
  <c r="I5177" i="2"/>
  <c r="H5177" i="2"/>
  <c r="I4103" i="2"/>
  <c r="H4103" i="2"/>
  <c r="I3454" i="2"/>
  <c r="H3454" i="2"/>
  <c r="I3050" i="2"/>
  <c r="H3050" i="2"/>
  <c r="I5133" i="2"/>
  <c r="H5133" i="2"/>
  <c r="I6074" i="2"/>
  <c r="H6074" i="2"/>
  <c r="I1666" i="2"/>
  <c r="H1666" i="2"/>
  <c r="I3490" i="2"/>
  <c r="H3490" i="2"/>
  <c r="I3152" i="2"/>
  <c r="H3152" i="2"/>
  <c r="I5163" i="2"/>
  <c r="H5163" i="2"/>
  <c r="I3893" i="2"/>
  <c r="H3893" i="2"/>
  <c r="I5895" i="2"/>
  <c r="H5895" i="2"/>
  <c r="I5097" i="2"/>
  <c r="H5097" i="2"/>
  <c r="I2861" i="2"/>
  <c r="H2861" i="2"/>
  <c r="I4873" i="2"/>
  <c r="H4873" i="2"/>
  <c r="I3251" i="2"/>
  <c r="H3251" i="2"/>
  <c r="I7879" i="2"/>
  <c r="H7879" i="2"/>
  <c r="I5161" i="2"/>
  <c r="H5161" i="2"/>
  <c r="I3633" i="2"/>
  <c r="H3633" i="2"/>
  <c r="I8064" i="2"/>
  <c r="H8064" i="2"/>
  <c r="I3323" i="2"/>
  <c r="H3323" i="2"/>
  <c r="I603" i="2"/>
  <c r="H603" i="2"/>
  <c r="I3696" i="2"/>
  <c r="H3696" i="2"/>
  <c r="I2829" i="2"/>
  <c r="H2829" i="2"/>
  <c r="I3883" i="2"/>
  <c r="H3883" i="2"/>
  <c r="I3199" i="2"/>
  <c r="H3199" i="2"/>
  <c r="I5786" i="2"/>
  <c r="H5786" i="2"/>
  <c r="I2673" i="2"/>
  <c r="H2673" i="2"/>
  <c r="I5763" i="2"/>
  <c r="H5763" i="2"/>
  <c r="I6047" i="2"/>
  <c r="H6047" i="2"/>
  <c r="I3411" i="2"/>
  <c r="H3411" i="2"/>
  <c r="I4908" i="2"/>
  <c r="H4908" i="2"/>
  <c r="I2667" i="2"/>
  <c r="H2667" i="2"/>
  <c r="I3315" i="2"/>
  <c r="H3315" i="2"/>
  <c r="I3657" i="2"/>
  <c r="H3657" i="2"/>
  <c r="I436" i="2"/>
  <c r="H436" i="2"/>
  <c r="I2389" i="2"/>
  <c r="H2389" i="2"/>
  <c r="I5782" i="2"/>
  <c r="H5782" i="2"/>
  <c r="I5912" i="2"/>
  <c r="H5912" i="2"/>
  <c r="I8253" i="2"/>
  <c r="H8253" i="2"/>
  <c r="I2508" i="2"/>
  <c r="H2508" i="2"/>
  <c r="I5794" i="2"/>
  <c r="H5794" i="2"/>
  <c r="I2747" i="2"/>
  <c r="H2747" i="2"/>
  <c r="I6461" i="2"/>
  <c r="H6461" i="2"/>
  <c r="I6791" i="2"/>
  <c r="H6791" i="2"/>
  <c r="I437" i="2"/>
  <c r="H437" i="2"/>
  <c r="I3989" i="2"/>
  <c r="H3989" i="2"/>
  <c r="I5073" i="2"/>
  <c r="H5073" i="2"/>
  <c r="I8312" i="2"/>
  <c r="H8312" i="2"/>
  <c r="I7612" i="2"/>
  <c r="H7612" i="2"/>
  <c r="I4616" i="2"/>
  <c r="H4616" i="2"/>
  <c r="I5591" i="2"/>
  <c r="H5591" i="2"/>
  <c r="I2552" i="2"/>
  <c r="H2552" i="2"/>
  <c r="I5047" i="2"/>
  <c r="H5047" i="2"/>
  <c r="I6643" i="2"/>
  <c r="H6643" i="2"/>
  <c r="I1151" i="2"/>
  <c r="H1151" i="2"/>
  <c r="I2533" i="2"/>
  <c r="H2533" i="2"/>
  <c r="I6217" i="2"/>
  <c r="H6217" i="2"/>
  <c r="I2878" i="2"/>
  <c r="H2878" i="2"/>
  <c r="I4861" i="2"/>
  <c r="H4861" i="2"/>
  <c r="I7099" i="2"/>
  <c r="H7099" i="2"/>
  <c r="I6999" i="2"/>
  <c r="H6999" i="2"/>
  <c r="I3821" i="2"/>
  <c r="H3821" i="2"/>
  <c r="I2142" i="2"/>
  <c r="H2142" i="2"/>
  <c r="I7063" i="2"/>
  <c r="H7063" i="2"/>
  <c r="I5064" i="2"/>
  <c r="H5064" i="2"/>
  <c r="I1543" i="2"/>
  <c r="H1543" i="2"/>
  <c r="I7089" i="2"/>
  <c r="H7089" i="2"/>
  <c r="I4685" i="2"/>
  <c r="H4685" i="2"/>
  <c r="I8110" i="2"/>
  <c r="H8110" i="2"/>
  <c r="I6641" i="2"/>
  <c r="H6641" i="2"/>
  <c r="I3954" i="2"/>
  <c r="H3954" i="2"/>
  <c r="I5202" i="2"/>
  <c r="H5202" i="2"/>
  <c r="I3145" i="2"/>
  <c r="H3145" i="2"/>
  <c r="I2719" i="2"/>
  <c r="H2719" i="2"/>
  <c r="I3805" i="2"/>
  <c r="H3805" i="2"/>
  <c r="I5893" i="2"/>
  <c r="H5893" i="2"/>
  <c r="I6990" i="2"/>
  <c r="H6990" i="2"/>
  <c r="I428" i="2"/>
  <c r="H428" i="2"/>
  <c r="I487" i="2"/>
  <c r="H487" i="2"/>
  <c r="I2575" i="2"/>
  <c r="H2575" i="2"/>
  <c r="I6657" i="2"/>
  <c r="H6657" i="2"/>
  <c r="I6099" i="2"/>
  <c r="H6099" i="2"/>
  <c r="I2386" i="2"/>
  <c r="H2386" i="2"/>
  <c r="I3707" i="2"/>
  <c r="H3707" i="2"/>
  <c r="I6623" i="2"/>
  <c r="H6623" i="2"/>
  <c r="I6637" i="2"/>
  <c r="H6637" i="2"/>
  <c r="I5063" i="2"/>
  <c r="H5063" i="2"/>
  <c r="I6414" i="2"/>
  <c r="H6414" i="2"/>
  <c r="I2707" i="2"/>
  <c r="H2707" i="2"/>
  <c r="I2001" i="2"/>
  <c r="H2001" i="2"/>
  <c r="I2452" i="2"/>
  <c r="H2452" i="2"/>
  <c r="I3472" i="2"/>
  <c r="H3472" i="2"/>
  <c r="I1892" i="2"/>
  <c r="H1892" i="2"/>
  <c r="I5870" i="2"/>
  <c r="H5870" i="2"/>
  <c r="I5571" i="2"/>
  <c r="H5571" i="2"/>
  <c r="I5341" i="2"/>
  <c r="H5341" i="2"/>
  <c r="I5115" i="2"/>
  <c r="H5115" i="2"/>
  <c r="I6031" i="2"/>
  <c r="H6031" i="2"/>
  <c r="I980" i="2"/>
  <c r="H980" i="2"/>
  <c r="I5865" i="2"/>
  <c r="H5865" i="2"/>
  <c r="I3676" i="2"/>
  <c r="H3676" i="2"/>
  <c r="I5809" i="2"/>
  <c r="H5809" i="2"/>
  <c r="I781" i="2"/>
  <c r="H781" i="2"/>
  <c r="I5773" i="2"/>
  <c r="H5773" i="2"/>
  <c r="I6425" i="2"/>
  <c r="H6425" i="2"/>
  <c r="I5687" i="2"/>
  <c r="H5687" i="2"/>
  <c r="I4858" i="2"/>
  <c r="H4858" i="2"/>
  <c r="I3413" i="2"/>
  <c r="H3413" i="2"/>
  <c r="I6058" i="2"/>
  <c r="H6058" i="2"/>
  <c r="I5950" i="2"/>
  <c r="H5950" i="2"/>
  <c r="I546" i="2"/>
  <c r="H546" i="2"/>
  <c r="I5995" i="2"/>
  <c r="H5995" i="2"/>
  <c r="I6016" i="2"/>
  <c r="H6016" i="2"/>
  <c r="I5377" i="2"/>
  <c r="H5377" i="2"/>
  <c r="I5244" i="2"/>
  <c r="H5244" i="2"/>
  <c r="I5727" i="2"/>
  <c r="H5727" i="2"/>
  <c r="I2965" i="2"/>
  <c r="H2965" i="2"/>
  <c r="I4034" i="2"/>
  <c r="H4034" i="2"/>
  <c r="I7750" i="2"/>
  <c r="H7750" i="2"/>
  <c r="I4964" i="2"/>
  <c r="H4964" i="2"/>
  <c r="I3448" i="2"/>
  <c r="H3448" i="2"/>
  <c r="I3031" i="2"/>
  <c r="H3031" i="2"/>
  <c r="I3712" i="2"/>
  <c r="H3712" i="2"/>
  <c r="I6464" i="2"/>
  <c r="H6464" i="2"/>
  <c r="I3463" i="2"/>
  <c r="H3463" i="2"/>
  <c r="I5211" i="2"/>
  <c r="H5211" i="2"/>
  <c r="I4805" i="2"/>
  <c r="H4805" i="2"/>
  <c r="I3161" i="2"/>
  <c r="H3161" i="2"/>
  <c r="I2285" i="2"/>
  <c r="H2285" i="2"/>
  <c r="I7817" i="2"/>
  <c r="H7817" i="2"/>
  <c r="I2072" i="2"/>
  <c r="H2072" i="2"/>
  <c r="I5822" i="2"/>
  <c r="H5822" i="2"/>
  <c r="I1136" i="2"/>
  <c r="H1136" i="2"/>
  <c r="I3070" i="2"/>
  <c r="H3070" i="2"/>
  <c r="I2495" i="2"/>
  <c r="H2495" i="2"/>
  <c r="I3317" i="2"/>
  <c r="H3317" i="2"/>
  <c r="I3299" i="2"/>
  <c r="H3299" i="2"/>
  <c r="I5461" i="2"/>
  <c r="H5461" i="2"/>
  <c r="I3324" i="2"/>
  <c r="H3324" i="2"/>
  <c r="I6416" i="2"/>
  <c r="H6416" i="2"/>
  <c r="I3627" i="2"/>
  <c r="H3627" i="2"/>
  <c r="I2569" i="2"/>
  <c r="H2569" i="2"/>
  <c r="I6465" i="2"/>
  <c r="H6465" i="2"/>
  <c r="I1993" i="2"/>
  <c r="H1993" i="2"/>
  <c r="I3015" i="2"/>
  <c r="H3015" i="2"/>
  <c r="I5405" i="2"/>
  <c r="H5405" i="2"/>
  <c r="I6113" i="2"/>
  <c r="H6113" i="2"/>
  <c r="I425" i="2"/>
  <c r="H425" i="2"/>
  <c r="I2146" i="2"/>
  <c r="H2146" i="2"/>
  <c r="I8103" i="2"/>
  <c r="H8103" i="2"/>
  <c r="I3902" i="2"/>
  <c r="H3902" i="2"/>
  <c r="I6408" i="2"/>
  <c r="H6408" i="2"/>
  <c r="I5315" i="2"/>
  <c r="H5315" i="2"/>
  <c r="I1662" i="2"/>
  <c r="H1662" i="2"/>
  <c r="I2876" i="2"/>
  <c r="H2876" i="2"/>
  <c r="I1100" i="2"/>
  <c r="H1100" i="2"/>
  <c r="I3434" i="2"/>
  <c r="H3434" i="2"/>
  <c r="I8324" i="2"/>
  <c r="H8324" i="2"/>
  <c r="I6093" i="2"/>
  <c r="H6093" i="2"/>
  <c r="I3250" i="2"/>
  <c r="H3250" i="2"/>
  <c r="I3540" i="2"/>
  <c r="H3540" i="2"/>
  <c r="I3913" i="2"/>
  <c r="H3913" i="2"/>
  <c r="I3724" i="2"/>
  <c r="H3724" i="2"/>
  <c r="I6792" i="2"/>
  <c r="H6792" i="2"/>
  <c r="I6981" i="2"/>
  <c r="H6981" i="2"/>
  <c r="I7254" i="2"/>
  <c r="H7254" i="2"/>
  <c r="I8069" i="2"/>
  <c r="H8069" i="2"/>
  <c r="I3059" i="2"/>
  <c r="H3059" i="2"/>
  <c r="I4864" i="2"/>
  <c r="H4864" i="2"/>
  <c r="I2355" i="2"/>
  <c r="H2355" i="2"/>
  <c r="I2983" i="2"/>
  <c r="H2983" i="2"/>
  <c r="I8097" i="2"/>
  <c r="H8097" i="2"/>
  <c r="I4910" i="2"/>
  <c r="H4910" i="2"/>
  <c r="I2697" i="2"/>
  <c r="H2697" i="2"/>
  <c r="I3469" i="2"/>
  <c r="H3469" i="2"/>
  <c r="I997" i="2"/>
  <c r="H997" i="2"/>
  <c r="I5143" i="2"/>
  <c r="H5143" i="2"/>
  <c r="I8156" i="2"/>
  <c r="H8156" i="2"/>
  <c r="I8218" i="2"/>
  <c r="H8218" i="2"/>
  <c r="I543" i="2"/>
  <c r="H543" i="2"/>
  <c r="I5223" i="2"/>
  <c r="H5223" i="2"/>
  <c r="I5153" i="2"/>
  <c r="H5153" i="2"/>
  <c r="I5869" i="2"/>
  <c r="H5869" i="2"/>
  <c r="I2871" i="2"/>
  <c r="H2871" i="2"/>
  <c r="I5432" i="2"/>
  <c r="H5432" i="2"/>
  <c r="I5709" i="2"/>
  <c r="H5709" i="2"/>
  <c r="I2080" i="2"/>
  <c r="H2080" i="2"/>
  <c r="I6729" i="2"/>
  <c r="H6729" i="2"/>
  <c r="I6393" i="2"/>
  <c r="H6393" i="2"/>
  <c r="I2844" i="2"/>
  <c r="H2844" i="2"/>
  <c r="I420" i="2"/>
  <c r="H420" i="2"/>
  <c r="I2977" i="2"/>
  <c r="H2977" i="2"/>
  <c r="I2471" i="2"/>
  <c r="H2471" i="2"/>
  <c r="I874" i="2"/>
  <c r="H874" i="2"/>
  <c r="I511" i="2"/>
  <c r="H511" i="2"/>
  <c r="I1111" i="2"/>
  <c r="H1111" i="2"/>
  <c r="I3417" i="2"/>
  <c r="H3417" i="2"/>
  <c r="I5864" i="2"/>
  <c r="H5864" i="2"/>
  <c r="I6181" i="2"/>
  <c r="H6181" i="2"/>
  <c r="I3268" i="2"/>
  <c r="H3268" i="2"/>
  <c r="I3638" i="2"/>
  <c r="H3638" i="2"/>
  <c r="I8341" i="2"/>
  <c r="H8341" i="2"/>
  <c r="I7815" i="2"/>
  <c r="H7815" i="2"/>
  <c r="I5690" i="2"/>
  <c r="H5690" i="2"/>
  <c r="I6294" i="2"/>
  <c r="H6294" i="2"/>
  <c r="I2803" i="2"/>
  <c r="H2803" i="2"/>
  <c r="I6085" i="2"/>
  <c r="H6085" i="2"/>
  <c r="I3197" i="2"/>
  <c r="H3197" i="2"/>
  <c r="I2029" i="2"/>
  <c r="H2029" i="2"/>
  <c r="I4742" i="2"/>
  <c r="H4742" i="2"/>
  <c r="I7421" i="2"/>
  <c r="H7421" i="2"/>
  <c r="I3353" i="2"/>
  <c r="H3353" i="2"/>
  <c r="I2777" i="2"/>
  <c r="H2777" i="2"/>
  <c r="I5463" i="2"/>
  <c r="H5463" i="2"/>
  <c r="I2321" i="2"/>
  <c r="H2321" i="2"/>
  <c r="I6340" i="2"/>
  <c r="H6340" i="2"/>
  <c r="I5735" i="2"/>
  <c r="H5735" i="2"/>
  <c r="I5585" i="2"/>
  <c r="H5585" i="2"/>
  <c r="I859" i="2"/>
  <c r="H859" i="2"/>
  <c r="I2486" i="2"/>
  <c r="H2486" i="2"/>
  <c r="I2380" i="2"/>
  <c r="H2380" i="2"/>
  <c r="I2247" i="2"/>
  <c r="H2247" i="2"/>
  <c r="I3690" i="2"/>
  <c r="H3690" i="2"/>
  <c r="I6435" i="2"/>
  <c r="H6435" i="2"/>
  <c r="I1731" i="2"/>
  <c r="H1731" i="2"/>
  <c r="I4901" i="2"/>
  <c r="H4901" i="2"/>
  <c r="I416" i="2"/>
  <c r="H416" i="2"/>
  <c r="I6234" i="2"/>
  <c r="H6234" i="2"/>
  <c r="I8164" i="2"/>
  <c r="H8164" i="2"/>
  <c r="I1706" i="2"/>
  <c r="H1706" i="2"/>
  <c r="I6138" i="2"/>
  <c r="H6138" i="2"/>
  <c r="I5686" i="2"/>
  <c r="H5686" i="2"/>
  <c r="I1942" i="2"/>
  <c r="H1942" i="2"/>
  <c r="I5518" i="2"/>
  <c r="H5518" i="2"/>
  <c r="I3125" i="2"/>
  <c r="H3125" i="2"/>
  <c r="I6506" i="2"/>
  <c r="H6506" i="2"/>
  <c r="I2439" i="2"/>
  <c r="H2439" i="2"/>
  <c r="I6090" i="2"/>
  <c r="H6090" i="2"/>
  <c r="I1519" i="2"/>
  <c r="H1519" i="2"/>
  <c r="I7696" i="2"/>
  <c r="H7696" i="2"/>
  <c r="I6260" i="2"/>
  <c r="H6260" i="2"/>
  <c r="I3889" i="2"/>
  <c r="H3889" i="2"/>
  <c r="I2567" i="2"/>
  <c r="H2567" i="2"/>
  <c r="I5245" i="2"/>
  <c r="H5245" i="2"/>
  <c r="I5655" i="2"/>
  <c r="H5655" i="2"/>
  <c r="I6037" i="2"/>
  <c r="H6037" i="2"/>
  <c r="I7281" i="2"/>
  <c r="H7281" i="2"/>
  <c r="I5860" i="2"/>
  <c r="H5860" i="2"/>
  <c r="I432" i="2"/>
  <c r="H432" i="2"/>
  <c r="I3504" i="2"/>
  <c r="H3504" i="2"/>
  <c r="I6283" i="2"/>
  <c r="H6283" i="2"/>
  <c r="I7074" i="2"/>
  <c r="H7074" i="2"/>
  <c r="I5192" i="2"/>
  <c r="H5192" i="2"/>
  <c r="I8385" i="2"/>
  <c r="H8385" i="2"/>
  <c r="I6636" i="2"/>
  <c r="H6636" i="2"/>
  <c r="I410" i="2"/>
  <c r="H410" i="2"/>
  <c r="I3576" i="2"/>
  <c r="H3576" i="2"/>
  <c r="I4905" i="2"/>
  <c r="H4905" i="2"/>
  <c r="I7989" i="2"/>
  <c r="H7989" i="2"/>
  <c r="I3597" i="2"/>
  <c r="H3597" i="2"/>
  <c r="I2447" i="2"/>
  <c r="H2447" i="2"/>
  <c r="I1688" i="2"/>
  <c r="H1688" i="2"/>
  <c r="I3671" i="2"/>
  <c r="H3671" i="2"/>
  <c r="I2744" i="2"/>
  <c r="H2744" i="2"/>
  <c r="I408" i="2"/>
  <c r="H408" i="2"/>
  <c r="I5992" i="2"/>
  <c r="H5992" i="2"/>
  <c r="I6171" i="2"/>
  <c r="H6171" i="2"/>
  <c r="I5466" i="2"/>
  <c r="H5466" i="2"/>
  <c r="I3399" i="2"/>
  <c r="H3399" i="2"/>
  <c r="I8416" i="2"/>
  <c r="H8416" i="2"/>
  <c r="I5842" i="2"/>
  <c r="H5842" i="2"/>
  <c r="I3090" i="2"/>
  <c r="H3090" i="2"/>
  <c r="I5942" i="2"/>
  <c r="H5942" i="2"/>
  <c r="I3683" i="2"/>
  <c r="H3683" i="2"/>
  <c r="I6452" i="2"/>
  <c r="H6452" i="2"/>
  <c r="I3549" i="2"/>
  <c r="H3549" i="2"/>
  <c r="I3520" i="2"/>
  <c r="H3520" i="2"/>
  <c r="I404" i="2"/>
  <c r="H404" i="2"/>
  <c r="I7594" i="2"/>
  <c r="H7594" i="2"/>
  <c r="I8338" i="2"/>
  <c r="H8338" i="2"/>
  <c r="I531" i="2"/>
  <c r="H531" i="2"/>
  <c r="I6611" i="2"/>
  <c r="H6611" i="2"/>
  <c r="I5563" i="2"/>
  <c r="H5563" i="2"/>
  <c r="I5536" i="2"/>
  <c r="H5536" i="2"/>
  <c r="I453" i="2"/>
  <c r="H453" i="2"/>
  <c r="I5517" i="2"/>
  <c r="H5517" i="2"/>
  <c r="I3498" i="2"/>
  <c r="H3498" i="2"/>
  <c r="I7172" i="2"/>
  <c r="H7172" i="2"/>
  <c r="I6282" i="2"/>
  <c r="H6282" i="2"/>
  <c r="I3020" i="2"/>
  <c r="H3020" i="2"/>
  <c r="I6278" i="2"/>
  <c r="H6278" i="2"/>
  <c r="I8220" i="2"/>
  <c r="H8220" i="2"/>
  <c r="I3515" i="2"/>
  <c r="H3515" i="2"/>
  <c r="I3149" i="2"/>
  <c r="H3149" i="2"/>
  <c r="I4893" i="2"/>
  <c r="H4893" i="2"/>
  <c r="I4033" i="2"/>
  <c r="H4033" i="2"/>
  <c r="I5089" i="2"/>
  <c r="H5089" i="2"/>
  <c r="I1084" i="2"/>
  <c r="H1084" i="2"/>
  <c r="I1016" i="2"/>
  <c r="H1016" i="2"/>
  <c r="I5258" i="2"/>
  <c r="H5258" i="2"/>
  <c r="I8339" i="2"/>
  <c r="H8339" i="2"/>
  <c r="I3339" i="2"/>
  <c r="H3339" i="2"/>
  <c r="I3508" i="2"/>
  <c r="H3508" i="2"/>
  <c r="I3269" i="2"/>
  <c r="H3269" i="2"/>
  <c r="I2890" i="2"/>
  <c r="H2890" i="2"/>
  <c r="I1882" i="2"/>
  <c r="H1882" i="2"/>
  <c r="I801" i="2"/>
  <c r="H801" i="2"/>
  <c r="I5952" i="2"/>
  <c r="H5952" i="2"/>
  <c r="I3663" i="2"/>
  <c r="H3663" i="2"/>
  <c r="I6002" i="2"/>
  <c r="H6002" i="2"/>
  <c r="I6068" i="2"/>
  <c r="H6068" i="2"/>
  <c r="I417" i="2"/>
  <c r="H417" i="2"/>
  <c r="I3429" i="2"/>
  <c r="H3429" i="2"/>
  <c r="I3358" i="2"/>
  <c r="H3358" i="2"/>
  <c r="I4797" i="2"/>
  <c r="H4797" i="2"/>
  <c r="I3675" i="2"/>
  <c r="H3675" i="2"/>
  <c r="I7519" i="2"/>
  <c r="H7519" i="2"/>
  <c r="I2543" i="2"/>
  <c r="H2543" i="2"/>
  <c r="I5653" i="2"/>
  <c r="H5653" i="2"/>
  <c r="I4870" i="2"/>
  <c r="H4870" i="2"/>
  <c r="I3241" i="2"/>
  <c r="H3241" i="2"/>
  <c r="I1479" i="2"/>
  <c r="H1479" i="2"/>
  <c r="I497" i="2"/>
  <c r="H497" i="2"/>
  <c r="I5515" i="2"/>
  <c r="H5515" i="2"/>
  <c r="I5519" i="2"/>
  <c r="H5519" i="2"/>
  <c r="I7237" i="2"/>
  <c r="H7237" i="2"/>
  <c r="I3038" i="2"/>
  <c r="H3038" i="2"/>
  <c r="I3785" i="2"/>
  <c r="H3785" i="2"/>
  <c r="I5615" i="2"/>
  <c r="H5615" i="2"/>
  <c r="I5613" i="2"/>
  <c r="H5613" i="2"/>
  <c r="I3484" i="2"/>
  <c r="H3484" i="2"/>
  <c r="I6889" i="2"/>
  <c r="H6889" i="2"/>
  <c r="I5019" i="2"/>
  <c r="H5019" i="2"/>
  <c r="I6530" i="2"/>
  <c r="H6530" i="2"/>
  <c r="I3178" i="2"/>
  <c r="H3178" i="2"/>
  <c r="I6252" i="2"/>
  <c r="H6252" i="2"/>
  <c r="I6310" i="2"/>
  <c r="H6310" i="2"/>
  <c r="I5742" i="2"/>
  <c r="H5742" i="2"/>
  <c r="I7911" i="2"/>
  <c r="H7911" i="2"/>
  <c r="I1982" i="2"/>
  <c r="H1982" i="2"/>
  <c r="I6467" i="2"/>
  <c r="H6467" i="2"/>
  <c r="I2117" i="2"/>
  <c r="H2117" i="2"/>
  <c r="I430" i="2"/>
  <c r="H430" i="2"/>
  <c r="I8050" i="2"/>
  <c r="H8050" i="2"/>
  <c r="I3056" i="2"/>
  <c r="H3056" i="2"/>
  <c r="I1078" i="2"/>
  <c r="H1078" i="2"/>
  <c r="I2895" i="2"/>
  <c r="H2895" i="2"/>
  <c r="I5160" i="2"/>
  <c r="H5160" i="2"/>
  <c r="I3008" i="2"/>
  <c r="H3008" i="2"/>
  <c r="I3336" i="2"/>
  <c r="H3336" i="2"/>
  <c r="I7913" i="2"/>
  <c r="H7913" i="2"/>
  <c r="I5279" i="2"/>
  <c r="H5279" i="2"/>
  <c r="I3829" i="2"/>
  <c r="H3829" i="2"/>
  <c r="I915" i="2"/>
  <c r="H915" i="2"/>
  <c r="I2974" i="2"/>
  <c r="H2974" i="2"/>
  <c r="I6685" i="2"/>
  <c r="H6685" i="2"/>
  <c r="I5186" i="2"/>
  <c r="H5186" i="2"/>
  <c r="I6542" i="2"/>
  <c r="H6542" i="2"/>
  <c r="I1807" i="2"/>
  <c r="H1807" i="2"/>
  <c r="I6628" i="2"/>
  <c r="H6628" i="2"/>
  <c r="I6698" i="2"/>
  <c r="H6698" i="2"/>
  <c r="I3397" i="2"/>
  <c r="H3397" i="2"/>
  <c r="I8278" i="2"/>
  <c r="H8278" i="2"/>
  <c r="I3756" i="2"/>
  <c r="H3756" i="2"/>
  <c r="I6536" i="2"/>
  <c r="H6536" i="2"/>
  <c r="I5835" i="2"/>
  <c r="H5835" i="2"/>
  <c r="I2933" i="2"/>
  <c r="H2933" i="2"/>
  <c r="I3711" i="2"/>
  <c r="H3711" i="2"/>
  <c r="I4800" i="2"/>
  <c r="H4800" i="2"/>
  <c r="I5972" i="2"/>
  <c r="H5972" i="2"/>
  <c r="I6021" i="2"/>
  <c r="H6021" i="2"/>
  <c r="I4815" i="2"/>
  <c r="H4815" i="2"/>
  <c r="I3435" i="2"/>
  <c r="H3435" i="2"/>
  <c r="I2430" i="2"/>
  <c r="H2430" i="2"/>
  <c r="I885" i="2"/>
  <c r="H885" i="2"/>
  <c r="H383" i="2"/>
  <c r="I3000" i="2"/>
  <c r="H3000" i="2"/>
  <c r="I5426" i="2"/>
  <c r="H5426" i="2"/>
  <c r="I2498" i="2"/>
  <c r="H2498" i="2"/>
  <c r="I3414" i="2"/>
  <c r="H3414" i="2"/>
  <c r="I5990" i="2"/>
  <c r="H5990" i="2"/>
  <c r="I2760" i="2"/>
  <c r="H2760" i="2"/>
  <c r="I6133" i="2"/>
  <c r="H6133" i="2"/>
  <c r="I386" i="2"/>
  <c r="H386" i="2"/>
  <c r="I5746" i="2"/>
  <c r="H5746" i="2"/>
  <c r="I5855" i="2"/>
  <c r="H5855" i="2"/>
  <c r="I6405" i="2"/>
  <c r="H6405" i="2"/>
  <c r="I2411" i="2"/>
  <c r="H2411" i="2"/>
  <c r="I3154" i="2"/>
  <c r="H3154" i="2"/>
  <c r="I6067" i="2"/>
  <c r="H6067" i="2"/>
  <c r="I5570" i="2"/>
  <c r="H5570" i="2"/>
  <c r="I2838" i="2"/>
  <c r="H2838" i="2"/>
  <c r="I5588" i="2"/>
  <c r="H5588" i="2"/>
  <c r="I5807" i="2"/>
  <c r="H5807" i="2"/>
  <c r="I4859" i="2"/>
  <c r="H4859" i="2"/>
  <c r="I377" i="2"/>
  <c r="H377" i="2"/>
  <c r="I2529" i="2"/>
  <c r="H2529" i="2"/>
  <c r="I1965" i="2"/>
  <c r="H1965" i="2"/>
  <c r="I7950" i="2"/>
  <c r="H7950" i="2"/>
  <c r="I374" i="2"/>
  <c r="H374" i="2"/>
  <c r="I3932" i="2"/>
  <c r="H3932" i="2"/>
  <c r="I4993" i="2"/>
  <c r="H4993" i="2"/>
  <c r="I5205" i="2"/>
  <c r="H5205" i="2"/>
  <c r="I2489" i="2"/>
  <c r="H2489" i="2"/>
  <c r="I6277" i="2"/>
  <c r="H6277" i="2"/>
  <c r="I2795" i="2"/>
  <c r="H2795" i="2"/>
  <c r="I1986" i="2"/>
  <c r="H1986" i="2"/>
  <c r="I2660" i="2"/>
  <c r="H2660" i="2"/>
  <c r="I7166" i="2"/>
  <c r="H7166" i="2"/>
  <c r="I5506" i="2"/>
  <c r="H5506" i="2"/>
  <c r="I401" i="2"/>
  <c r="H401" i="2"/>
  <c r="I8331" i="2"/>
  <c r="H8331" i="2"/>
  <c r="I5360" i="2"/>
  <c r="H5360" i="2"/>
  <c r="I5793" i="2"/>
  <c r="H5793" i="2"/>
  <c r="I3386" i="2"/>
  <c r="H3386" i="2"/>
  <c r="I7790" i="2"/>
  <c r="H7790" i="2"/>
  <c r="I5986" i="2"/>
  <c r="H5986" i="2"/>
  <c r="I3795" i="2"/>
  <c r="H3795" i="2"/>
  <c r="I3760" i="2"/>
  <c r="H3760" i="2"/>
  <c r="I2929" i="2"/>
  <c r="H2929" i="2"/>
  <c r="I3791" i="2"/>
  <c r="H3791" i="2"/>
  <c r="I5181" i="2"/>
  <c r="H5181" i="2"/>
  <c r="I3086" i="2"/>
  <c r="H3086" i="2"/>
  <c r="I5103" i="2"/>
  <c r="H5103" i="2"/>
  <c r="I2271" i="2"/>
  <c r="H2271" i="2"/>
  <c r="I8400" i="2"/>
  <c r="H8400" i="2"/>
  <c r="I5877" i="2"/>
  <c r="H5877" i="2"/>
  <c r="I6160" i="2"/>
  <c r="H6160" i="2"/>
  <c r="I1557" i="2"/>
  <c r="H1557" i="2"/>
  <c r="I2998" i="2"/>
  <c r="H2998" i="2"/>
  <c r="I5890" i="2"/>
  <c r="H5890" i="2"/>
  <c r="I5881" i="2"/>
  <c r="H5881" i="2"/>
  <c r="I6429" i="2"/>
  <c r="H6429" i="2"/>
  <c r="I2582" i="2"/>
  <c r="H2582" i="2"/>
  <c r="H2587" i="2"/>
  <c r="I2497" i="2"/>
  <c r="H2497" i="2"/>
  <c r="I2771" i="2"/>
  <c r="H2771" i="2"/>
  <c r="I6055" i="2"/>
  <c r="H6055" i="2"/>
  <c r="I4898" i="2"/>
  <c r="H4898" i="2"/>
  <c r="I5102" i="2"/>
  <c r="H5102" i="2"/>
  <c r="I6158" i="2"/>
  <c r="H6158" i="2"/>
  <c r="I4142" i="2"/>
  <c r="H4142" i="2"/>
  <c r="I411" i="2"/>
  <c r="H411" i="2"/>
  <c r="I3719" i="2"/>
  <c r="H3719" i="2"/>
  <c r="I7830" i="2"/>
  <c r="H7830" i="2"/>
  <c r="I2374" i="2"/>
  <c r="H2374" i="2"/>
  <c r="I7021" i="2"/>
  <c r="H7021" i="2"/>
  <c r="I2382" i="2"/>
  <c r="H2382" i="2"/>
  <c r="I5541" i="2"/>
  <c r="H5541" i="2"/>
  <c r="I2789" i="2"/>
  <c r="H2789" i="2"/>
  <c r="I3288" i="2"/>
  <c r="H3288" i="2"/>
  <c r="I6877" i="2"/>
  <c r="H6877" i="2"/>
  <c r="I2694" i="2"/>
  <c r="H2694" i="2"/>
  <c r="I1775" i="2"/>
  <c r="H1775" i="2"/>
  <c r="I2090" i="2"/>
  <c r="H2090" i="2"/>
  <c r="I903" i="2"/>
  <c r="H903" i="2"/>
  <c r="I441" i="2"/>
  <c r="H441" i="2"/>
  <c r="I3192" i="2"/>
  <c r="H3192" i="2"/>
  <c r="I5704" i="2"/>
  <c r="H5704" i="2"/>
  <c r="I6658" i="2"/>
  <c r="H6658" i="2"/>
  <c r="I626" i="2"/>
  <c r="H626" i="2"/>
  <c r="I1670" i="2"/>
  <c r="H1670" i="2"/>
  <c r="I3105" i="2"/>
  <c r="H3105" i="2"/>
  <c r="I633" i="2"/>
  <c r="H633" i="2"/>
  <c r="I5817" i="2"/>
  <c r="H5817" i="2"/>
  <c r="I3437" i="2"/>
  <c r="H3437" i="2"/>
  <c r="I5480" i="2"/>
  <c r="H5480" i="2"/>
  <c r="I6017" i="2"/>
  <c r="H6017" i="2"/>
  <c r="I2322" i="2"/>
  <c r="H2322" i="2"/>
  <c r="I1820" i="2"/>
  <c r="H1820" i="2"/>
  <c r="I6402" i="2"/>
  <c r="H6402" i="2"/>
  <c r="I3279" i="2"/>
  <c r="H3279" i="2"/>
  <c r="I1350" i="2"/>
  <c r="H1350" i="2"/>
  <c r="I6705" i="2"/>
  <c r="H6705" i="2"/>
  <c r="I7338" i="2"/>
  <c r="H7338" i="2"/>
  <c r="I1099" i="2"/>
  <c r="H1099" i="2"/>
  <c r="I1924" i="2"/>
  <c r="H1924" i="2"/>
  <c r="I6420" i="2"/>
  <c r="H6420" i="2"/>
  <c r="I1360" i="2"/>
  <c r="H1360" i="2"/>
  <c r="I8449" i="2"/>
  <c r="H8449" i="2"/>
  <c r="I373" i="2"/>
  <c r="H373" i="2"/>
  <c r="I5427" i="2"/>
  <c r="H5427" i="2"/>
  <c r="I3642" i="2"/>
  <c r="H3642" i="2"/>
  <c r="I1973" i="2"/>
  <c r="H1973" i="2"/>
  <c r="I2949" i="2"/>
  <c r="H2949" i="2"/>
  <c r="I2487" i="2"/>
  <c r="H2487" i="2"/>
  <c r="I5434" i="2"/>
  <c r="H5434" i="2"/>
  <c r="I556" i="2"/>
  <c r="H556" i="2"/>
  <c r="I368" i="2"/>
  <c r="H368" i="2"/>
  <c r="I5128" i="2"/>
  <c r="H5128" i="2"/>
  <c r="I3355" i="2"/>
  <c r="H3355" i="2"/>
  <c r="I1803" i="2"/>
  <c r="H1803" i="2"/>
  <c r="I2133" i="2"/>
  <c r="H2133" i="2"/>
  <c r="I6379" i="2"/>
  <c r="H6379" i="2"/>
  <c r="I8417" i="2"/>
  <c r="H8417" i="2"/>
  <c r="I5964" i="2"/>
  <c r="H5964" i="2"/>
  <c r="I3254" i="2"/>
  <c r="H3254" i="2"/>
  <c r="I5001" i="2"/>
  <c r="H5001" i="2"/>
  <c r="I4768" i="2"/>
  <c r="H4768" i="2"/>
  <c r="I7637" i="2"/>
  <c r="H7637" i="2"/>
  <c r="I5844" i="2"/>
  <c r="H5844" i="2"/>
  <c r="I6723" i="2"/>
  <c r="H6723" i="2"/>
  <c r="I5511" i="2"/>
  <c r="H5511" i="2"/>
  <c r="I6620" i="2"/>
  <c r="H6620" i="2"/>
  <c r="I1290" i="2"/>
  <c r="H1290" i="2"/>
  <c r="I8436" i="2"/>
  <c r="H8436" i="2"/>
  <c r="I720" i="2"/>
  <c r="H720" i="2"/>
  <c r="I7401" i="2"/>
  <c r="H7401" i="2"/>
  <c r="I6576" i="2"/>
  <c r="H6576" i="2"/>
  <c r="I1567" i="2"/>
  <c r="H1567" i="2"/>
  <c r="I5736" i="2"/>
  <c r="H5736" i="2"/>
  <c r="I476" i="2"/>
  <c r="H476" i="2"/>
  <c r="I8316" i="2"/>
  <c r="H8316" i="2"/>
  <c r="I5873" i="2"/>
  <c r="H5873" i="2"/>
  <c r="I6368" i="2"/>
  <c r="H6368" i="2"/>
  <c r="I3677" i="2"/>
  <c r="H3677" i="2"/>
  <c r="I3103" i="2"/>
  <c r="H3103" i="2"/>
  <c r="I7369" i="2"/>
  <c r="H7369" i="2"/>
  <c r="I6631" i="2"/>
  <c r="H6631" i="2"/>
  <c r="I5831" i="2"/>
  <c r="H5831" i="2"/>
  <c r="I5104" i="2"/>
  <c r="H5104" i="2"/>
  <c r="I6537" i="2"/>
  <c r="H6537" i="2"/>
  <c r="I3538" i="2"/>
  <c r="H3538" i="2"/>
  <c r="I5402" i="2"/>
  <c r="H5402" i="2"/>
  <c r="I8158" i="2"/>
  <c r="H8158" i="2"/>
  <c r="I2853" i="2"/>
  <c r="H2853" i="2"/>
  <c r="I5839" i="2"/>
  <c r="H5839" i="2"/>
  <c r="I5837" i="2"/>
  <c r="H5837" i="2"/>
  <c r="I3410" i="2"/>
  <c r="H3410" i="2"/>
  <c r="I5083" i="2"/>
  <c r="H5083" i="2"/>
  <c r="I6341" i="2"/>
  <c r="H6341" i="2"/>
  <c r="I3460" i="2"/>
  <c r="H3460" i="2"/>
  <c r="I3017" i="2"/>
  <c r="H3017" i="2"/>
  <c r="I6885" i="2"/>
  <c r="H6885" i="2"/>
  <c r="I3940" i="2"/>
  <c r="H3940" i="2"/>
  <c r="I5078" i="2"/>
  <c r="H5078" i="2"/>
  <c r="I3510" i="2"/>
  <c r="H3510" i="2"/>
  <c r="I2696" i="2"/>
  <c r="H2696" i="2"/>
  <c r="I5840" i="2"/>
  <c r="H5840" i="2"/>
  <c r="I7128" i="2"/>
  <c r="H7128" i="2"/>
  <c r="I3334" i="2"/>
  <c r="H3334" i="2"/>
  <c r="I5441" i="2"/>
  <c r="H5441" i="2"/>
  <c r="I361" i="2"/>
  <c r="H361" i="2"/>
  <c r="I6861" i="2"/>
  <c r="H6861" i="2"/>
  <c r="I5695" i="2"/>
  <c r="H5695" i="2"/>
  <c r="I3526" i="2"/>
  <c r="H3526" i="2"/>
  <c r="I5573" i="2"/>
  <c r="H5573" i="2"/>
  <c r="I6361" i="2"/>
  <c r="H6361" i="2"/>
  <c r="I3004" i="2"/>
  <c r="H3004" i="2"/>
  <c r="I6056" i="2"/>
  <c r="H6056" i="2"/>
  <c r="I6398" i="2"/>
  <c r="H6398" i="2"/>
  <c r="I4963" i="2"/>
  <c r="H4963" i="2"/>
  <c r="I5481" i="2"/>
  <c r="H5481" i="2"/>
  <c r="I6106" i="2"/>
  <c r="H6106" i="2"/>
  <c r="I7823" i="2"/>
  <c r="H7823" i="2"/>
  <c r="I365" i="2"/>
  <c r="H365" i="2"/>
  <c r="I5557" i="2"/>
  <c r="H5557" i="2"/>
  <c r="I6674" i="2"/>
  <c r="H6674" i="2"/>
  <c r="I2850" i="2"/>
  <c r="H2850" i="2"/>
  <c r="I6250" i="2"/>
  <c r="H6250" i="2"/>
  <c r="I1018" i="2"/>
  <c r="H1018" i="2"/>
  <c r="I3858" i="2"/>
  <c r="H3858" i="2"/>
  <c r="I3012" i="2"/>
  <c r="H3012" i="2"/>
  <c r="I5957" i="2"/>
  <c r="H5957" i="2"/>
  <c r="I5169" i="2"/>
  <c r="H5169" i="2"/>
  <c r="I5781" i="2"/>
  <c r="H5781" i="2"/>
  <c r="I5983" i="2"/>
  <c r="H5983" i="2"/>
  <c r="I5499" i="2"/>
  <c r="H5499" i="2"/>
  <c r="I1770" i="2"/>
  <c r="H1770" i="2"/>
  <c r="I977" i="2"/>
  <c r="H977" i="2"/>
  <c r="I423" i="2"/>
  <c r="H423" i="2"/>
  <c r="I8424" i="2"/>
  <c r="H8424" i="2"/>
  <c r="I6945" i="2"/>
  <c r="H6945" i="2"/>
  <c r="I624" i="2"/>
  <c r="H624" i="2"/>
  <c r="I3916" i="2"/>
  <c r="H3916" i="2"/>
  <c r="I7024" i="2"/>
  <c r="H7024" i="2"/>
  <c r="I5583" i="2"/>
  <c r="H5583" i="2"/>
  <c r="I7529" i="2"/>
  <c r="H7529" i="2"/>
  <c r="I2790" i="2"/>
  <c r="H2790" i="2"/>
  <c r="I6650" i="2"/>
  <c r="H6650" i="2"/>
  <c r="I6265" i="2"/>
  <c r="H6265" i="2"/>
  <c r="I7062" i="2"/>
  <c r="H7062" i="2"/>
  <c r="I2468" i="2"/>
  <c r="H2468" i="2"/>
  <c r="I7493" i="2"/>
  <c r="H7493" i="2"/>
  <c r="I7432" i="2"/>
  <c r="H7432" i="2"/>
  <c r="I8434" i="2"/>
  <c r="H8434" i="2"/>
  <c r="I3475" i="2"/>
  <c r="H3475" i="2"/>
  <c r="I6005" i="2"/>
  <c r="H6005" i="2"/>
  <c r="I5048" i="2"/>
  <c r="H5048" i="2"/>
  <c r="I5559" i="2"/>
  <c r="H5559" i="2"/>
  <c r="I6773" i="2"/>
  <c r="H6773" i="2"/>
  <c r="I3530" i="2"/>
  <c r="H3530" i="2"/>
  <c r="I5283" i="2"/>
  <c r="H5283" i="2"/>
  <c r="I7492" i="2"/>
  <c r="H7492" i="2"/>
  <c r="I6651" i="2"/>
  <c r="H6651" i="2"/>
  <c r="I6858" i="2"/>
  <c r="H6858" i="2"/>
  <c r="I3282" i="2"/>
  <c r="H3282" i="2"/>
  <c r="I6262" i="2"/>
  <c r="H6262" i="2"/>
  <c r="I7040" i="2"/>
  <c r="H7040" i="2"/>
  <c r="I1741" i="2"/>
  <c r="H1741" i="2"/>
  <c r="I1533" i="2"/>
  <c r="H1533" i="2"/>
  <c r="I3291" i="2"/>
  <c r="H3291" i="2"/>
  <c r="I6946" i="2"/>
  <c r="H6946" i="2"/>
  <c r="I7489" i="2"/>
  <c r="H7489" i="2"/>
  <c r="I3393" i="2"/>
  <c r="H3393" i="2"/>
  <c r="I2652" i="2"/>
  <c r="H2652" i="2"/>
  <c r="I5353" i="2"/>
  <c r="H5353" i="2"/>
  <c r="I7640" i="2"/>
  <c r="H7640" i="2"/>
  <c r="I2261" i="2"/>
  <c r="H2261" i="2"/>
  <c r="I6690" i="2"/>
  <c r="H6690" i="2"/>
  <c r="I5569" i="2"/>
  <c r="H5569" i="2"/>
  <c r="I5929" i="2"/>
  <c r="H5929" i="2"/>
  <c r="I6191" i="2"/>
  <c r="H6191" i="2"/>
  <c r="I3481" i="2"/>
  <c r="H3481" i="2"/>
  <c r="I3512" i="2"/>
  <c r="H3512" i="2"/>
  <c r="I5853" i="2"/>
  <c r="H5853" i="2"/>
  <c r="I2038" i="2"/>
  <c r="H2038" i="2"/>
  <c r="I7863" i="2"/>
  <c r="H7863" i="2"/>
  <c r="I4791" i="2"/>
  <c r="H4791" i="2"/>
  <c r="I3575" i="2"/>
  <c r="H3575" i="2"/>
  <c r="I3449" i="2"/>
  <c r="H3449" i="2"/>
  <c r="I6275" i="2"/>
  <c r="H6275" i="2"/>
  <c r="I6218" i="2"/>
  <c r="H6218" i="2"/>
  <c r="I2960" i="2"/>
  <c r="H2960" i="2"/>
  <c r="I5602" i="2"/>
  <c r="H5602" i="2"/>
  <c r="I5346" i="2"/>
  <c r="H5346" i="2"/>
  <c r="I7043" i="2"/>
  <c r="H7043" i="2"/>
  <c r="I3646" i="2"/>
  <c r="H3646" i="2"/>
  <c r="I2070" i="2"/>
  <c r="H2070" i="2"/>
  <c r="I6257" i="2"/>
  <c r="H6257" i="2"/>
  <c r="I2784" i="2"/>
  <c r="H2784" i="2"/>
  <c r="I6459" i="2"/>
  <c r="H6459" i="2"/>
  <c r="I6731" i="2"/>
  <c r="H6731" i="2"/>
  <c r="I5963" i="2"/>
  <c r="H5963" i="2"/>
  <c r="I8262" i="2"/>
  <c r="H8262" i="2"/>
  <c r="I2518" i="2"/>
  <c r="H2518" i="2"/>
  <c r="I362" i="2"/>
  <c r="H362" i="2"/>
  <c r="I2491" i="2"/>
  <c r="H2491" i="2"/>
  <c r="I5164" i="2"/>
  <c r="H5164" i="2"/>
  <c r="I6320" i="2"/>
  <c r="H6320" i="2"/>
  <c r="I6799" i="2"/>
  <c r="H6799" i="2"/>
  <c r="I2868" i="2"/>
  <c r="H2868" i="2"/>
  <c r="I1919" i="2"/>
  <c r="H1919" i="2"/>
  <c r="I5364" i="2"/>
  <c r="H5364" i="2"/>
  <c r="I6434" i="2"/>
  <c r="H6434" i="2"/>
  <c r="I5610" i="2"/>
  <c r="H5610" i="2"/>
  <c r="I8227" i="2"/>
  <c r="H8227" i="2"/>
  <c r="I8222" i="2"/>
  <c r="H8222" i="2"/>
  <c r="I759" i="2"/>
  <c r="H759" i="2"/>
  <c r="I7055" i="2"/>
  <c r="H7055" i="2"/>
  <c r="I7954" i="2"/>
  <c r="H7954" i="2"/>
  <c r="I6004" i="2"/>
  <c r="H6004" i="2"/>
  <c r="I8330" i="2"/>
  <c r="H8330" i="2"/>
  <c r="I5660" i="2"/>
  <c r="H5660" i="2"/>
  <c r="I3373" i="2"/>
  <c r="H3373" i="2"/>
  <c r="I6446" i="2"/>
  <c r="H6446" i="2"/>
  <c r="I2863" i="2"/>
  <c r="H2863" i="2"/>
  <c r="I2516" i="2"/>
  <c r="H2516" i="2"/>
  <c r="I6967" i="2"/>
  <c r="H6967" i="2"/>
  <c r="I3185" i="2"/>
  <c r="H3185" i="2"/>
  <c r="I2791" i="2"/>
  <c r="H2791" i="2"/>
  <c r="I7729" i="2"/>
  <c r="H7729" i="2"/>
  <c r="I3622" i="2"/>
  <c r="H3622" i="2"/>
  <c r="I1079" i="2"/>
  <c r="H1079" i="2"/>
  <c r="I348" i="2"/>
  <c r="H348" i="2"/>
  <c r="I501" i="2"/>
  <c r="H501" i="2"/>
  <c r="I7190" i="2"/>
  <c r="H7190" i="2"/>
  <c r="I6601" i="2"/>
  <c r="H6601" i="2"/>
  <c r="I5930" i="2"/>
  <c r="H5930" i="2"/>
  <c r="I6036" i="2"/>
  <c r="H6036" i="2"/>
  <c r="I6369" i="2"/>
  <c r="H6369" i="2"/>
  <c r="I3531" i="2"/>
  <c r="H3531" i="2"/>
  <c r="I6500" i="2"/>
  <c r="H6500" i="2"/>
  <c r="I5366" i="2"/>
  <c r="H5366" i="2"/>
  <c r="H2135" i="2"/>
  <c r="I3011" i="2"/>
  <c r="H3011" i="2"/>
  <c r="I3259" i="2"/>
  <c r="H3259" i="2"/>
  <c r="I5476" i="2"/>
  <c r="H5476" i="2"/>
  <c r="I2743" i="2"/>
  <c r="H2743" i="2"/>
  <c r="I5149" i="2"/>
  <c r="H5149" i="2"/>
  <c r="I4877" i="2"/>
  <c r="H4877" i="2"/>
  <c r="I2823" i="2"/>
  <c r="H2823" i="2"/>
  <c r="I5539" i="2"/>
  <c r="H5539" i="2"/>
  <c r="I587" i="2"/>
  <c r="H587" i="2"/>
  <c r="I2284" i="2"/>
  <c r="H2284" i="2"/>
  <c r="I5666" i="2"/>
  <c r="H5666" i="2"/>
  <c r="I2684" i="2"/>
  <c r="H2684" i="2"/>
  <c r="I3270" i="2"/>
  <c r="H3270" i="2"/>
  <c r="I3860" i="2"/>
  <c r="H3860" i="2"/>
  <c r="I2243" i="2"/>
  <c r="H2243" i="2"/>
  <c r="I3264" i="2"/>
  <c r="H3264" i="2"/>
  <c r="I2365" i="2"/>
  <c r="H2365" i="2"/>
  <c r="I5545" i="2"/>
  <c r="H5545" i="2"/>
  <c r="I719" i="2"/>
  <c r="H719" i="2"/>
  <c r="I3278" i="2"/>
  <c r="H3278" i="2"/>
  <c r="I6764" i="2"/>
  <c r="H6764" i="2"/>
  <c r="I2858" i="2"/>
  <c r="H2858" i="2"/>
  <c r="I2519" i="2"/>
  <c r="H2519" i="2"/>
  <c r="I5955" i="2"/>
  <c r="H5955" i="2"/>
  <c r="I2969" i="2"/>
  <c r="H2969" i="2"/>
  <c r="I1646" i="2"/>
  <c r="H1646" i="2"/>
  <c r="I2272" i="2"/>
  <c r="H2272" i="2"/>
  <c r="I2442" i="2"/>
  <c r="H2442" i="2"/>
  <c r="I1029" i="2"/>
  <c r="H1029" i="2"/>
  <c r="I3442" i="2"/>
  <c r="H3442" i="2"/>
  <c r="I1604" i="2"/>
  <c r="H1604" i="2"/>
  <c r="I5665" i="2"/>
  <c r="H5665" i="2"/>
  <c r="I2402" i="2"/>
  <c r="H2402" i="2"/>
  <c r="I6527" i="2"/>
  <c r="H6527" i="2"/>
  <c r="I5413" i="2"/>
  <c r="H5413" i="2"/>
  <c r="I5166" i="2"/>
  <c r="H5166" i="2"/>
  <c r="I7324" i="2"/>
  <c r="H7324" i="2"/>
  <c r="I5375" i="2"/>
  <c r="H5375" i="2"/>
  <c r="I355" i="2"/>
  <c r="H355" i="2"/>
  <c r="I6039" i="2"/>
  <c r="H6039" i="2"/>
  <c r="I1915" i="2"/>
  <c r="H1915" i="2"/>
  <c r="I5483" i="2"/>
  <c r="H5483" i="2"/>
  <c r="I2328" i="2"/>
  <c r="H2328" i="2"/>
  <c r="I3601" i="2"/>
  <c r="H3601" i="2"/>
  <c r="I2097" i="2"/>
  <c r="H2097" i="2"/>
  <c r="I3281" i="2"/>
  <c r="H3281" i="2"/>
  <c r="I1766" i="2"/>
  <c r="H1766" i="2"/>
  <c r="I2931" i="2"/>
  <c r="H2931" i="2"/>
  <c r="I2005" i="2"/>
  <c r="H2005" i="2"/>
  <c r="I3040" i="2"/>
  <c r="H3040" i="2"/>
  <c r="I535" i="2"/>
  <c r="H535" i="2"/>
  <c r="I3802" i="2"/>
  <c r="H3802" i="2"/>
  <c r="I2919" i="2"/>
  <c r="H2919" i="2"/>
  <c r="I6533" i="2"/>
  <c r="H6533" i="2"/>
  <c r="I351" i="2"/>
  <c r="H351" i="2"/>
  <c r="I5543" i="2"/>
  <c r="H5543" i="2"/>
  <c r="I8311" i="2"/>
  <c r="H8311" i="2"/>
  <c r="I8368" i="2"/>
  <c r="H8368" i="2"/>
  <c r="I363" i="2"/>
  <c r="H363" i="2"/>
  <c r="I6087" i="2"/>
  <c r="H6087" i="2"/>
  <c r="I2841" i="2"/>
  <c r="H2841" i="2"/>
  <c r="I5941" i="2"/>
  <c r="H5941" i="2"/>
  <c r="I5581" i="2"/>
  <c r="H5581" i="2"/>
  <c r="I3266" i="2"/>
  <c r="H3266" i="2"/>
  <c r="I7801" i="2"/>
  <c r="H7801" i="2"/>
  <c r="I819" i="2"/>
  <c r="H819" i="2"/>
  <c r="I3262" i="2"/>
  <c r="H3262" i="2"/>
  <c r="I6561" i="2"/>
  <c r="H6561" i="2"/>
  <c r="I6319" i="2"/>
  <c r="H6319" i="2"/>
  <c r="I8082" i="2"/>
  <c r="H8082" i="2"/>
  <c r="I6948" i="2"/>
  <c r="H6948" i="2"/>
  <c r="I6197" i="2"/>
  <c r="H6197" i="2"/>
  <c r="I4990" i="2"/>
  <c r="H4990" i="2"/>
  <c r="I843" i="2"/>
  <c r="H843" i="2"/>
  <c r="I5025" i="2"/>
  <c r="H5025" i="2"/>
  <c r="I2280" i="2"/>
  <c r="H2280" i="2"/>
  <c r="I3298" i="2"/>
  <c r="H3298" i="2"/>
  <c r="I779" i="2"/>
  <c r="H779" i="2"/>
  <c r="I595" i="2"/>
  <c r="H595" i="2"/>
  <c r="I2078" i="2"/>
  <c r="H2078" i="2"/>
  <c r="I5801" i="2"/>
  <c r="H5801" i="2"/>
  <c r="I353" i="2"/>
  <c r="H353" i="2"/>
  <c r="I6919" i="2"/>
  <c r="H6919" i="2"/>
  <c r="I5833" i="2"/>
  <c r="H5833" i="2"/>
  <c r="I2527" i="2"/>
  <c r="H2527" i="2"/>
  <c r="I7014" i="2"/>
  <c r="H7014" i="2"/>
  <c r="I7143" i="2"/>
  <c r="H7143" i="2"/>
  <c r="I6462" i="2"/>
  <c r="H6462" i="2"/>
  <c r="I3667" i="2"/>
  <c r="H3667" i="2"/>
  <c r="I2668" i="2"/>
  <c r="H2668" i="2"/>
  <c r="I2111" i="2"/>
  <c r="H2111" i="2"/>
  <c r="I5619" i="2"/>
  <c r="H5619" i="2"/>
  <c r="I6865" i="2"/>
  <c r="H6865" i="2"/>
  <c r="I5795" i="2"/>
  <c r="H5795" i="2"/>
  <c r="I2366" i="2"/>
  <c r="H2366" i="2"/>
  <c r="I1866" i="2"/>
  <c r="H1866" i="2"/>
  <c r="I7486" i="2"/>
  <c r="H7486" i="2"/>
  <c r="I3069" i="2"/>
  <c r="H3069" i="2"/>
  <c r="I1912" i="2"/>
  <c r="H1912" i="2"/>
  <c r="I4969" i="2"/>
  <c r="H4969" i="2"/>
  <c r="I8447" i="2"/>
  <c r="H8447" i="2"/>
  <c r="I4967" i="2"/>
  <c r="H4967" i="2"/>
  <c r="I7087" i="2"/>
  <c r="H7087" i="2"/>
  <c r="I769" i="2"/>
  <c r="H769" i="2"/>
  <c r="I1036" i="2"/>
  <c r="H1036" i="2"/>
  <c r="I3166" i="2"/>
  <c r="H3166" i="2"/>
  <c r="I3274" i="2"/>
  <c r="H3274" i="2"/>
  <c r="I1976" i="2"/>
  <c r="H1976" i="2"/>
  <c r="I3003" i="2"/>
  <c r="H3003" i="2"/>
  <c r="I527" i="2"/>
  <c r="H527" i="2"/>
  <c r="I2662" i="2"/>
  <c r="H2662" i="2"/>
  <c r="I5568" i="2"/>
  <c r="H5568" i="2"/>
  <c r="I5675" i="2"/>
  <c r="H5675" i="2"/>
  <c r="I1694" i="2"/>
  <c r="H1694" i="2"/>
  <c r="I6604" i="2"/>
  <c r="H6604" i="2"/>
  <c r="I5947" i="2"/>
  <c r="H5947" i="2"/>
  <c r="I4749" i="2"/>
  <c r="H4749" i="2"/>
  <c r="I3107" i="2"/>
  <c r="H3107" i="2"/>
  <c r="I7455" i="2"/>
  <c r="H7455" i="2"/>
  <c r="I3364" i="2"/>
  <c r="H3364" i="2"/>
  <c r="I2910" i="2"/>
  <c r="H2910" i="2"/>
  <c r="I2631" i="2"/>
  <c r="H2631" i="2"/>
  <c r="I3226" i="2"/>
  <c r="H3226" i="2"/>
  <c r="I3206" i="2"/>
  <c r="H3206" i="2"/>
  <c r="I2511" i="2"/>
  <c r="H2511" i="2"/>
  <c r="I7053" i="2"/>
  <c r="H7053" i="2"/>
  <c r="I333" i="2"/>
  <c r="H333" i="2"/>
  <c r="I2782" i="2"/>
  <c r="H2782" i="2"/>
  <c r="I5284" i="2"/>
  <c r="H5284" i="2"/>
  <c r="I2952" i="2"/>
  <c r="H2952" i="2"/>
  <c r="I2901" i="2"/>
  <c r="H2901" i="2"/>
  <c r="I2234" i="2"/>
  <c r="H2234" i="2"/>
  <c r="I7491" i="2"/>
  <c r="H7491" i="2"/>
  <c r="I509" i="2"/>
  <c r="H509" i="2"/>
  <c r="I5734" i="2"/>
  <c r="H5734" i="2"/>
  <c r="I7855" i="2"/>
  <c r="H7855" i="2"/>
  <c r="I3489" i="2"/>
  <c r="H3489" i="2"/>
  <c r="I8004" i="2"/>
  <c r="H8004" i="2"/>
  <c r="I402" i="2"/>
  <c r="H402" i="2"/>
  <c r="I6323" i="2"/>
  <c r="H6323" i="2"/>
  <c r="I2635" i="2"/>
  <c r="H2635" i="2"/>
  <c r="I6848" i="2"/>
  <c r="H6848" i="2"/>
  <c r="I8399" i="2"/>
  <c r="H8399" i="2"/>
  <c r="I6249" i="2"/>
  <c r="H6249" i="2"/>
  <c r="I5155" i="2"/>
  <c r="H5155" i="2"/>
  <c r="I5399" i="2"/>
  <c r="H5399" i="2"/>
  <c r="I335" i="2"/>
  <c r="H335" i="2"/>
  <c r="I367" i="2"/>
  <c r="H367" i="2"/>
  <c r="I3944" i="2"/>
  <c r="H3944" i="2"/>
  <c r="I8225" i="2"/>
  <c r="H8225" i="2"/>
  <c r="I6164" i="2"/>
  <c r="H6164" i="2"/>
  <c r="I5276" i="2"/>
  <c r="H5276" i="2"/>
  <c r="I6147" i="2"/>
  <c r="H6147" i="2"/>
  <c r="I5934" i="2"/>
  <c r="H5934" i="2"/>
  <c r="I429" i="2"/>
  <c r="H429" i="2"/>
  <c r="I2506" i="2"/>
  <c r="H2506" i="2"/>
  <c r="I6820" i="2"/>
  <c r="H6820" i="2"/>
  <c r="I7690" i="2"/>
  <c r="H7690" i="2"/>
  <c r="I6759" i="2"/>
  <c r="H6759" i="2"/>
  <c r="I7377" i="2"/>
  <c r="H7377" i="2"/>
  <c r="I3658" i="2"/>
  <c r="H3658" i="2"/>
  <c r="I4840" i="2"/>
  <c r="H4840" i="2"/>
  <c r="I6653" i="2"/>
  <c r="H6653" i="2"/>
  <c r="I7095" i="2"/>
  <c r="H7095" i="2"/>
  <c r="I6150" i="2"/>
  <c r="H6150" i="2"/>
  <c r="I2621" i="2"/>
  <c r="H2621" i="2"/>
  <c r="I3313" i="2"/>
  <c r="H3313" i="2"/>
  <c r="I6081" i="2"/>
  <c r="H6081" i="2"/>
  <c r="I1896" i="2"/>
  <c r="H1896" i="2"/>
  <c r="I5131" i="2"/>
  <c r="H5131" i="2"/>
  <c r="I1408" i="2"/>
  <c r="H1408" i="2"/>
  <c r="I726" i="2"/>
  <c r="H726" i="2"/>
  <c r="I3800" i="2"/>
  <c r="H3800" i="2"/>
  <c r="I6316" i="2"/>
  <c r="H6316" i="2"/>
  <c r="I3023" i="2"/>
  <c r="H3023" i="2"/>
  <c r="I7877" i="2"/>
  <c r="H7877" i="2"/>
  <c r="I2392" i="2"/>
  <c r="H2392" i="2"/>
  <c r="I8199" i="2"/>
  <c r="H8199" i="2"/>
  <c r="I3049" i="2"/>
  <c r="H3049" i="2"/>
  <c r="I5810" i="2"/>
  <c r="H5810" i="2"/>
  <c r="I582" i="2"/>
  <c r="H582" i="2"/>
  <c r="I5652" i="2"/>
  <c r="H5652" i="2"/>
  <c r="I8347" i="2"/>
  <c r="H8347" i="2"/>
  <c r="I2530" i="2"/>
  <c r="H2530" i="2"/>
  <c r="I5381" i="2"/>
  <c r="H5381" i="2"/>
  <c r="I724" i="2"/>
  <c r="H724" i="2"/>
  <c r="I3181" i="2"/>
  <c r="H3181" i="2"/>
  <c r="I7614" i="2"/>
  <c r="H7614" i="2"/>
  <c r="I5961" i="2"/>
  <c r="H5961" i="2"/>
  <c r="I3138" i="2"/>
  <c r="H3138" i="2"/>
  <c r="I435" i="2"/>
  <c r="H435" i="2"/>
  <c r="I3577" i="2"/>
  <c r="H3577" i="2"/>
  <c r="I2627" i="2"/>
  <c r="H2627" i="2"/>
  <c r="I5221" i="2"/>
  <c r="H5221" i="2"/>
  <c r="I3248" i="2"/>
  <c r="H3248" i="2"/>
  <c r="I6264" i="2"/>
  <c r="H6264" i="2"/>
  <c r="I2650" i="2"/>
  <c r="H2650" i="2"/>
  <c r="I3895" i="2"/>
  <c r="H3895" i="2"/>
  <c r="I2584" i="2"/>
  <c r="H2584" i="2"/>
  <c r="I6051" i="2"/>
  <c r="H6051" i="2"/>
  <c r="I5039" i="2"/>
  <c r="H5039" i="2"/>
  <c r="I6233" i="2"/>
  <c r="H6233" i="2"/>
  <c r="I3366" i="2"/>
  <c r="H3366" i="2"/>
  <c r="I326" i="2"/>
  <c r="H326" i="2"/>
  <c r="I3381" i="2"/>
  <c r="H3381" i="2"/>
  <c r="I2509" i="2"/>
  <c r="H2509" i="2"/>
  <c r="I3359" i="2"/>
  <c r="H3359" i="2"/>
  <c r="I5282" i="2"/>
  <c r="H5282" i="2"/>
  <c r="I6741" i="2"/>
  <c r="H6741" i="2"/>
  <c r="I807" i="2"/>
  <c r="H807" i="2"/>
  <c r="I2855" i="2"/>
  <c r="H2855" i="2"/>
  <c r="I8419" i="2"/>
  <c r="H8419" i="2"/>
  <c r="I3265" i="2"/>
  <c r="H3265" i="2"/>
  <c r="I7701" i="2"/>
  <c r="H7701" i="2"/>
  <c r="I6725" i="2"/>
  <c r="H6725" i="2"/>
  <c r="I322" i="2"/>
  <c r="H322" i="2"/>
  <c r="I5625" i="2"/>
  <c r="H5625" i="2"/>
  <c r="I6615" i="2"/>
  <c r="H6615" i="2"/>
  <c r="I5459" i="2"/>
  <c r="H5459" i="2"/>
  <c r="I2862" i="2"/>
  <c r="H2862" i="2"/>
  <c r="I2799" i="2"/>
  <c r="H2799" i="2"/>
  <c r="I6445" i="2"/>
  <c r="H6445" i="2"/>
  <c r="I1468" i="2"/>
  <c r="H1468" i="2"/>
  <c r="I7226" i="2"/>
  <c r="H7226" i="2"/>
  <c r="I6980" i="2"/>
  <c r="H6980" i="2"/>
  <c r="I8425" i="2"/>
  <c r="H8425" i="2"/>
  <c r="I5453" i="2"/>
  <c r="H5453" i="2"/>
  <c r="I4943" i="2"/>
  <c r="H4943" i="2"/>
  <c r="I1657" i="2"/>
  <c r="H1657" i="2"/>
  <c r="I4979" i="2"/>
  <c r="H4979" i="2"/>
  <c r="I2849" i="2"/>
  <c r="H2849" i="2"/>
  <c r="I2987" i="2"/>
  <c r="H2987" i="2"/>
  <c r="I1791" i="2"/>
  <c r="H1791" i="2"/>
  <c r="I6224" i="2"/>
  <c r="H6224" i="2"/>
  <c r="I5503" i="2"/>
  <c r="H5503" i="2"/>
  <c r="I3468" i="2"/>
  <c r="H3468" i="2"/>
  <c r="I3100" i="2"/>
  <c r="H3100" i="2"/>
  <c r="I6350" i="2"/>
  <c r="H6350" i="2"/>
  <c r="I2873" i="2"/>
  <c r="H2873" i="2"/>
  <c r="I6688" i="2"/>
  <c r="H6688" i="2"/>
  <c r="I4951" i="2"/>
  <c r="H4951" i="2"/>
  <c r="I3193" i="2"/>
  <c r="H3193" i="2"/>
  <c r="I731" i="2"/>
  <c r="H731" i="2"/>
  <c r="I3051" i="2"/>
  <c r="H3051" i="2"/>
  <c r="I3461" i="2"/>
  <c r="H3461" i="2"/>
  <c r="I2474" i="2"/>
  <c r="H2474" i="2"/>
  <c r="I3725" i="2"/>
  <c r="H3725" i="2"/>
  <c r="I2594" i="2"/>
  <c r="H2594" i="2"/>
  <c r="I6082" i="2"/>
  <c r="H6082" i="2"/>
  <c r="I7435" i="2"/>
  <c r="H7435" i="2"/>
  <c r="I6666" i="2"/>
  <c r="H6666" i="2"/>
  <c r="I2739" i="2"/>
  <c r="H2739" i="2"/>
  <c r="I7355" i="2"/>
  <c r="H7355" i="2"/>
  <c r="I2659" i="2"/>
  <c r="H2659" i="2"/>
  <c r="I3077" i="2"/>
  <c r="H3077" i="2"/>
  <c r="I2824" i="2"/>
  <c r="H2824" i="2"/>
  <c r="I2733" i="2"/>
  <c r="H2733" i="2"/>
  <c r="I5875" i="2"/>
  <c r="H5875" i="2"/>
  <c r="I1374" i="2"/>
  <c r="H1374" i="2"/>
  <c r="I3169" i="2"/>
  <c r="H3169" i="2"/>
  <c r="I6101" i="2"/>
  <c r="H6101" i="2"/>
  <c r="I5505" i="2"/>
  <c r="H5505" i="2"/>
  <c r="I317" i="2"/>
  <c r="H317" i="2"/>
  <c r="I6921" i="2"/>
  <c r="H6921" i="2"/>
  <c r="I8335" i="2"/>
  <c r="H8335" i="2"/>
  <c r="I7145" i="2"/>
  <c r="H7145" i="2"/>
  <c r="I8177" i="2"/>
  <c r="H8177" i="2"/>
  <c r="I2682" i="2"/>
  <c r="H2682" i="2"/>
  <c r="I5852" i="2"/>
  <c r="H5852" i="2"/>
  <c r="I6208" i="2"/>
  <c r="H6208" i="2"/>
  <c r="I343" i="2"/>
  <c r="H343" i="2"/>
  <c r="I3155" i="2"/>
  <c r="H3155" i="2"/>
  <c r="I4970" i="2"/>
  <c r="H4970" i="2"/>
  <c r="I5633" i="2"/>
  <c r="H5633" i="2"/>
  <c r="I2103" i="2"/>
  <c r="H2103" i="2"/>
  <c r="I3874" i="2"/>
  <c r="H3874" i="2"/>
  <c r="I3349" i="2"/>
  <c r="H3349" i="2"/>
  <c r="I8410" i="2"/>
  <c r="H8410" i="2"/>
  <c r="I3071" i="2"/>
  <c r="H3071" i="2"/>
  <c r="I2198" i="2"/>
  <c r="H2198" i="2"/>
  <c r="I3496" i="2"/>
  <c r="H3496" i="2"/>
  <c r="I3537" i="2"/>
  <c r="H3537" i="2"/>
  <c r="I744" i="2"/>
  <c r="H744" i="2"/>
  <c r="I6477" i="2"/>
  <c r="H6477" i="2"/>
  <c r="I2772" i="2"/>
  <c r="H2772" i="2"/>
  <c r="I5487" i="2"/>
  <c r="H5487" i="2"/>
  <c r="I2415" i="2"/>
  <c r="H2415" i="2"/>
  <c r="I2592" i="2"/>
  <c r="H2592" i="2"/>
  <c r="I5639" i="2"/>
  <c r="H5639" i="2"/>
  <c r="I1715" i="2"/>
  <c r="H1715" i="2"/>
  <c r="I4968" i="2"/>
  <c r="H4968" i="2"/>
  <c r="I3211" i="2"/>
  <c r="H3211" i="2"/>
  <c r="I8026" i="2"/>
  <c r="H8026" i="2"/>
  <c r="I3234" i="2"/>
  <c r="H3234" i="2"/>
  <c r="I2008" i="2"/>
  <c r="H2008" i="2"/>
  <c r="I5368" i="2"/>
  <c r="H5368" i="2"/>
  <c r="I6132" i="2"/>
  <c r="H6132" i="2"/>
  <c r="I7533" i="2"/>
  <c r="H7533" i="2"/>
  <c r="I2387" i="2"/>
  <c r="H2387" i="2"/>
  <c r="I3452" i="2"/>
  <c r="H3452" i="2"/>
  <c r="I2934" i="2"/>
  <c r="H2934" i="2"/>
  <c r="I7824" i="2"/>
  <c r="H7824" i="2"/>
  <c r="I403" i="2"/>
  <c r="H403" i="2"/>
  <c r="I2778" i="2"/>
  <c r="H2778" i="2"/>
  <c r="I2997" i="2"/>
  <c r="H2997" i="2"/>
  <c r="I2810" i="2"/>
  <c r="H2810" i="2"/>
  <c r="I8372" i="2"/>
  <c r="H8372" i="2"/>
  <c r="I8073" i="2"/>
  <c r="H8073" i="2"/>
  <c r="I6293" i="2"/>
  <c r="H6293" i="2"/>
  <c r="I310" i="2"/>
  <c r="H310" i="2"/>
  <c r="I6684" i="2"/>
  <c r="H6684" i="2"/>
  <c r="I6286" i="2"/>
  <c r="H6286" i="2"/>
  <c r="I2971" i="2"/>
  <c r="H2971" i="2"/>
  <c r="I308" i="2"/>
  <c r="H308" i="2"/>
  <c r="I6494" i="2"/>
  <c r="H6494" i="2"/>
  <c r="I6891" i="2"/>
  <c r="H6891" i="2"/>
  <c r="I3099" i="2"/>
  <c r="H3099" i="2"/>
  <c r="I7692" i="2"/>
  <c r="H7692" i="2"/>
  <c r="I5530" i="2"/>
  <c r="H5530" i="2"/>
  <c r="I8427" i="2"/>
  <c r="H8427" i="2"/>
  <c r="I3144" i="2"/>
  <c r="H3144" i="2"/>
  <c r="I6709" i="2"/>
  <c r="H6709" i="2"/>
  <c r="I7724" i="2"/>
  <c r="H7724" i="2"/>
  <c r="I5236" i="2"/>
  <c r="H5236" i="2"/>
  <c r="I2562" i="2"/>
  <c r="H2562" i="2"/>
  <c r="I2314" i="2"/>
  <c r="H2314" i="2"/>
  <c r="I7459" i="2"/>
  <c r="H7459" i="2"/>
  <c r="I5135" i="2"/>
  <c r="H5135" i="2"/>
  <c r="I7462" i="2"/>
  <c r="H7462" i="2"/>
  <c r="I7091" i="2"/>
  <c r="H7091" i="2"/>
  <c r="I5692" i="2"/>
  <c r="H5692" i="2"/>
  <c r="I5758" i="2"/>
  <c r="H5758" i="2"/>
  <c r="I5584" i="2"/>
  <c r="H5584" i="2"/>
  <c r="I2860" i="2"/>
  <c r="H2860" i="2"/>
  <c r="I7631" i="2"/>
  <c r="H7631" i="2"/>
  <c r="I5470" i="2"/>
  <c r="H5470" i="2"/>
  <c r="I313" i="2"/>
  <c r="H313" i="2"/>
  <c r="I7181" i="2"/>
  <c r="H7181" i="2"/>
  <c r="I7842" i="2"/>
  <c r="H7842" i="2"/>
  <c r="I5886" i="2"/>
  <c r="H5886" i="2"/>
  <c r="I4909" i="2"/>
  <c r="H4909" i="2"/>
  <c r="I3327" i="2"/>
  <c r="H3327" i="2"/>
  <c r="I6391" i="2"/>
  <c r="H6391" i="2"/>
  <c r="I5923" i="2"/>
  <c r="H5923" i="2"/>
  <c r="I8440" i="2"/>
  <c r="H8440" i="2"/>
  <c r="I6569" i="2"/>
  <c r="H6569" i="2"/>
  <c r="I7409" i="2"/>
  <c r="H7409" i="2"/>
  <c r="I6297" i="2"/>
  <c r="H6297" i="2"/>
  <c r="I3480" i="2"/>
  <c r="H3480" i="2"/>
  <c r="I5454" i="2"/>
  <c r="H5454" i="2"/>
  <c r="I3047" i="2"/>
  <c r="H3047" i="2"/>
  <c r="I8298" i="2"/>
  <c r="H8298" i="2"/>
  <c r="I3177" i="2"/>
  <c r="H3177" i="2"/>
  <c r="I2963" i="2"/>
  <c r="H2963" i="2"/>
  <c r="I3340" i="2"/>
  <c r="H3340" i="2"/>
  <c r="I5659" i="2"/>
  <c r="H5659" i="2"/>
  <c r="I2737" i="2"/>
  <c r="H2737" i="2"/>
  <c r="I8448" i="2"/>
  <c r="H8448" i="2"/>
  <c r="I7066" i="2"/>
  <c r="H7066" i="2"/>
  <c r="I6739" i="2"/>
  <c r="H6739" i="2"/>
  <c r="I594" i="2"/>
  <c r="H594" i="2"/>
  <c r="I6284" i="2"/>
  <c r="H6284" i="2"/>
  <c r="I6596" i="2"/>
  <c r="H6596" i="2"/>
  <c r="I6173" i="2"/>
  <c r="H6173" i="2"/>
  <c r="I5390" i="2"/>
  <c r="H5390" i="2"/>
  <c r="I2179" i="2"/>
  <c r="H2179" i="2"/>
  <c r="I3836" i="2"/>
  <c r="H3836" i="2"/>
  <c r="I2944" i="2"/>
  <c r="H2944" i="2"/>
  <c r="I5940" i="2"/>
  <c r="H5940" i="2"/>
  <c r="I2461" i="2"/>
  <c r="H2461" i="2"/>
  <c r="I5978" i="2"/>
  <c r="H5978" i="2"/>
  <c r="I7652" i="2"/>
  <c r="H7652" i="2"/>
  <c r="I2034" i="2"/>
  <c r="H2034" i="2"/>
  <c r="I7197" i="2"/>
  <c r="H7197" i="2"/>
  <c r="I2278" i="2"/>
  <c r="H2278" i="2"/>
  <c r="I8431" i="2"/>
  <c r="H8431" i="2"/>
  <c r="I5784" i="2"/>
  <c r="H5784" i="2"/>
  <c r="I1978" i="2"/>
  <c r="H1978" i="2"/>
  <c r="I7067" i="2"/>
  <c r="H7067" i="2"/>
  <c r="I5696" i="2"/>
  <c r="H5696" i="2"/>
  <c r="I5706" i="2"/>
  <c r="H5706" i="2"/>
  <c r="I346" i="2"/>
  <c r="H346" i="2"/>
  <c r="I6626" i="2"/>
  <c r="H6626" i="2"/>
  <c r="I2226" i="2"/>
  <c r="H2226" i="2"/>
  <c r="I5796" i="2"/>
  <c r="H5796" i="2"/>
  <c r="I8295" i="2"/>
  <c r="H8295" i="2"/>
  <c r="I7597" i="2"/>
  <c r="H7597" i="2"/>
  <c r="I7556" i="2"/>
  <c r="H7556" i="2"/>
  <c r="I6212" i="2"/>
  <c r="H6212" i="2"/>
  <c r="I3085" i="2"/>
  <c r="H3085" i="2"/>
  <c r="I6407" i="2"/>
  <c r="H6407" i="2"/>
  <c r="I978" i="2"/>
  <c r="H978" i="2"/>
  <c r="I2689" i="2"/>
  <c r="H2689" i="2"/>
  <c r="I6881" i="2"/>
  <c r="H6881" i="2"/>
  <c r="I5590" i="2"/>
  <c r="H5590" i="2"/>
  <c r="I6593" i="2"/>
  <c r="H6593" i="2"/>
  <c r="I5662" i="2"/>
  <c r="H5662" i="2"/>
  <c r="I5937" i="2"/>
  <c r="H5937" i="2"/>
  <c r="I5502" i="2"/>
  <c r="H5502" i="2"/>
  <c r="I5771" i="2"/>
  <c r="H5771" i="2"/>
  <c r="I3398" i="2"/>
  <c r="H3398" i="2"/>
  <c r="I5220" i="2"/>
  <c r="H5220" i="2"/>
  <c r="I6766" i="2"/>
  <c r="H6766" i="2"/>
  <c r="I6627" i="2"/>
  <c r="H6627" i="2"/>
  <c r="I2780" i="2"/>
  <c r="H2780" i="2"/>
  <c r="I6489" i="2"/>
  <c r="H6489" i="2"/>
  <c r="I532" i="2"/>
  <c r="H532" i="2"/>
  <c r="I7642" i="2"/>
  <c r="H7642" i="2"/>
  <c r="I2371" i="2"/>
  <c r="H2371" i="2"/>
  <c r="I2333" i="2"/>
  <c r="H2333" i="2"/>
  <c r="I3390" i="2"/>
  <c r="H3390" i="2"/>
  <c r="I6165" i="2"/>
  <c r="H6165" i="2"/>
  <c r="I1844" i="2"/>
  <c r="H1844" i="2"/>
  <c r="I6785" i="2"/>
  <c r="H6785" i="2"/>
  <c r="I5596" i="2"/>
  <c r="H5596" i="2"/>
  <c r="I2816" i="2"/>
  <c r="H2816" i="2"/>
  <c r="I7340" i="2"/>
  <c r="H7340" i="2"/>
  <c r="I7833" i="2"/>
  <c r="H7833" i="2"/>
  <c r="I6918" i="2"/>
  <c r="H6918" i="2"/>
  <c r="I8412" i="2"/>
  <c r="H8412" i="2"/>
  <c r="I8084" i="2"/>
  <c r="H8084" i="2"/>
  <c r="I2538" i="2"/>
  <c r="H2538" i="2"/>
  <c r="I6810" i="2"/>
  <c r="H6810" i="2"/>
  <c r="I1932" i="2"/>
  <c r="H1932" i="2"/>
  <c r="I4846" i="2"/>
  <c r="H4846" i="2"/>
  <c r="I3245" i="2"/>
  <c r="H3245" i="2"/>
  <c r="I2258" i="2"/>
  <c r="H2258" i="2"/>
  <c r="I2959" i="2"/>
  <c r="H2959" i="2"/>
  <c r="I2514" i="2"/>
  <c r="H2514" i="2"/>
  <c r="I6189" i="2"/>
  <c r="H6189" i="2"/>
  <c r="I6094" i="2"/>
  <c r="H6094" i="2"/>
  <c r="I2505" i="2"/>
  <c r="H2505" i="2"/>
  <c r="I5965" i="2"/>
  <c r="H5965" i="2"/>
  <c r="I6566" i="2"/>
  <c r="H6566" i="2"/>
  <c r="I6454" i="2"/>
  <c r="H6454" i="2"/>
  <c r="I5980" i="2"/>
  <c r="H5980" i="2"/>
  <c r="I2813" i="2"/>
  <c r="H2813" i="2"/>
  <c r="I6299" i="2"/>
  <c r="H6299" i="2"/>
  <c r="I334" i="2"/>
  <c r="H334" i="2"/>
  <c r="I3394" i="2"/>
  <c r="H3394" i="2"/>
  <c r="I2482" i="2"/>
  <c r="H2482" i="2"/>
  <c r="I5969" i="2"/>
  <c r="H5969" i="2"/>
  <c r="I1494" i="2"/>
  <c r="H1494" i="2"/>
  <c r="I3058" i="2"/>
  <c r="H3058" i="2"/>
  <c r="I2379" i="2"/>
  <c r="H2379" i="2"/>
  <c r="I1957" i="2"/>
  <c r="H1957" i="2"/>
  <c r="I3246" i="2"/>
  <c r="H3246" i="2"/>
  <c r="I6795" i="2"/>
  <c r="H6795" i="2"/>
  <c r="I6201" i="2"/>
  <c r="H6201" i="2"/>
  <c r="I2769" i="2"/>
  <c r="H2769" i="2"/>
  <c r="I8370" i="2"/>
  <c r="H8370" i="2"/>
  <c r="I2653" i="2"/>
  <c r="H2653" i="2"/>
  <c r="I3363" i="2"/>
  <c r="H3363" i="2"/>
  <c r="I8293" i="2"/>
  <c r="H8293" i="2"/>
  <c r="I5998" i="2"/>
  <c r="H5998" i="2"/>
  <c r="I7287" i="2"/>
  <c r="H7287" i="2"/>
  <c r="I3451" i="2"/>
  <c r="H3451" i="2"/>
  <c r="I6431" i="2"/>
  <c r="H6431" i="2"/>
  <c r="I5190" i="2"/>
  <c r="H5190" i="2"/>
  <c r="I6205" i="2"/>
  <c r="H6205" i="2"/>
  <c r="I6049" i="2"/>
  <c r="H6049" i="2"/>
  <c r="I6152" i="2"/>
  <c r="H6152" i="2"/>
  <c r="I7663" i="2"/>
  <c r="H7663" i="2"/>
  <c r="I3834" i="2"/>
  <c r="H3834" i="2"/>
  <c r="I6479" i="2"/>
  <c r="H6479" i="2"/>
  <c r="I2134" i="2"/>
  <c r="H2134" i="2"/>
  <c r="I7715" i="2"/>
  <c r="H7715" i="2"/>
  <c r="I2698" i="2"/>
  <c r="H2698" i="2"/>
  <c r="I1861" i="2"/>
  <c r="H1861" i="2"/>
  <c r="I2763" i="2"/>
  <c r="H2763" i="2"/>
  <c r="I708" i="2"/>
  <c r="H708" i="2"/>
  <c r="I6137" i="2"/>
  <c r="H6137" i="2"/>
  <c r="I2831" i="2"/>
  <c r="H2831" i="2"/>
  <c r="I6009" i="2"/>
  <c r="H6009" i="2"/>
  <c r="I6793" i="2"/>
  <c r="H6793" i="2"/>
  <c r="I6199" i="2"/>
  <c r="H6199" i="2"/>
  <c r="I1859" i="2"/>
  <c r="H1859" i="2"/>
  <c r="I7997" i="2"/>
  <c r="H7997" i="2"/>
  <c r="I5468" i="2"/>
  <c r="H5468" i="2"/>
  <c r="I2605" i="2"/>
  <c r="H2605" i="2"/>
  <c r="I7088" i="2"/>
  <c r="H7088" i="2"/>
  <c r="I5681" i="2"/>
  <c r="H5681" i="2"/>
  <c r="I5187" i="2"/>
  <c r="H5187" i="2"/>
  <c r="I5872" i="2"/>
  <c r="H5872" i="2"/>
  <c r="I5514" i="2"/>
  <c r="H5514" i="2"/>
  <c r="I3231" i="2"/>
  <c r="H3231" i="2"/>
  <c r="I2665" i="2"/>
  <c r="H2665" i="2"/>
  <c r="I6862" i="2"/>
  <c r="H6862" i="2"/>
  <c r="I7936" i="2"/>
  <c r="H7936" i="2"/>
  <c r="I2642" i="2"/>
  <c r="H2642" i="2"/>
  <c r="I5437" i="2"/>
  <c r="H5437" i="2"/>
  <c r="I7012" i="2"/>
  <c r="H7012" i="2"/>
  <c r="I620" i="2"/>
  <c r="H620" i="2"/>
  <c r="I7939" i="2"/>
  <c r="H7939" i="2"/>
  <c r="I3426" i="2"/>
  <c r="H3426" i="2"/>
  <c r="I8267" i="2"/>
  <c r="H8267" i="2"/>
  <c r="I3162" i="2"/>
  <c r="H3162" i="2"/>
  <c r="I6380" i="2"/>
  <c r="H6380" i="2"/>
  <c r="I8274" i="2"/>
  <c r="H8274" i="2"/>
  <c r="I5759" i="2"/>
  <c r="H5759" i="2"/>
  <c r="I5294" i="2"/>
  <c r="H5294" i="2"/>
  <c r="I3779" i="2"/>
  <c r="H3779" i="2"/>
  <c r="I2896" i="2"/>
  <c r="H2896" i="2"/>
  <c r="I2367" i="2"/>
  <c r="H2367" i="2"/>
  <c r="I2603" i="2"/>
  <c r="H2603" i="2"/>
  <c r="I7157" i="2"/>
  <c r="H7157" i="2"/>
  <c r="I6238" i="2"/>
  <c r="H6238" i="2"/>
  <c r="I7273" i="2"/>
  <c r="H7273" i="2"/>
  <c r="I2589" i="2"/>
  <c r="H2589" i="2"/>
  <c r="I3142" i="2"/>
  <c r="H3142" i="2"/>
  <c r="I6174" i="2"/>
  <c r="H6174" i="2"/>
  <c r="I1622" i="2"/>
  <c r="H1622" i="2"/>
  <c r="I1981" i="2"/>
  <c r="H1981" i="2"/>
  <c r="I6290" i="2"/>
  <c r="H6290" i="2"/>
  <c r="I4991" i="2"/>
  <c r="H4991" i="2"/>
  <c r="I6714" i="2"/>
  <c r="H6714" i="2"/>
  <c r="I2616" i="2"/>
  <c r="H2616" i="2"/>
  <c r="I5636" i="2"/>
  <c r="H5636" i="2"/>
  <c r="I8200" i="2"/>
  <c r="H8200" i="2"/>
  <c r="I291" i="2"/>
  <c r="H291" i="2"/>
  <c r="I5386" i="2"/>
  <c r="H5386" i="2"/>
  <c r="I823" i="2"/>
  <c r="H823" i="2"/>
  <c r="I7056" i="2"/>
  <c r="H7056" i="2"/>
  <c r="I2832" i="2"/>
  <c r="H2832" i="2"/>
  <c r="I5993" i="2"/>
  <c r="H5993" i="2"/>
  <c r="I4748" i="2"/>
  <c r="H4748" i="2"/>
  <c r="I3289" i="2"/>
  <c r="H3289" i="2"/>
  <c r="I298" i="2"/>
  <c r="H298" i="2"/>
  <c r="I2809" i="2"/>
  <c r="H2809" i="2"/>
  <c r="I6154" i="2"/>
  <c r="H6154" i="2"/>
  <c r="I2872" i="2"/>
  <c r="H2872" i="2"/>
  <c r="I3337" i="2"/>
  <c r="H3337" i="2"/>
  <c r="I7305" i="2"/>
  <c r="H7305" i="2"/>
  <c r="I6800" i="2"/>
  <c r="H6800" i="2"/>
  <c r="I309" i="2"/>
  <c r="H309" i="2"/>
  <c r="I2786" i="2"/>
  <c r="H2786" i="2"/>
  <c r="I5601" i="2"/>
  <c r="H5601" i="2"/>
  <c r="I6279" i="2"/>
  <c r="H6279" i="2"/>
  <c r="I649" i="2"/>
  <c r="H649" i="2"/>
  <c r="I3494" i="2"/>
  <c r="H3494" i="2"/>
  <c r="I6794" i="2"/>
  <c r="H6794" i="2"/>
  <c r="I3150" i="2"/>
  <c r="H3150" i="2"/>
  <c r="I2215" i="2"/>
  <c r="H2215" i="2"/>
  <c r="I3354" i="2"/>
  <c r="H3354" i="2"/>
  <c r="I2692" i="2"/>
  <c r="H2692" i="2"/>
  <c r="I5797" i="2"/>
  <c r="H5797" i="2"/>
  <c r="I5908" i="2"/>
  <c r="H5908" i="2"/>
  <c r="I7050" i="2"/>
  <c r="H7050" i="2"/>
  <c r="I8374" i="2"/>
  <c r="H8374" i="2"/>
  <c r="I5996" i="2"/>
  <c r="H5996" i="2"/>
  <c r="I6775" i="2"/>
  <c r="H6775" i="2"/>
  <c r="I2986" i="2"/>
  <c r="H2986" i="2"/>
  <c r="I7917" i="2"/>
  <c r="H7917" i="2"/>
  <c r="I5750" i="2"/>
  <c r="H5750" i="2"/>
  <c r="I757" i="2"/>
  <c r="H757" i="2"/>
  <c r="I5544" i="2"/>
  <c r="H5544" i="2"/>
  <c r="I290" i="2"/>
  <c r="H290" i="2"/>
  <c r="I347" i="2"/>
  <c r="H347" i="2"/>
  <c r="I3022" i="2"/>
  <c r="H3022" i="2"/>
  <c r="I6702" i="2"/>
  <c r="H6702" i="2"/>
  <c r="I305" i="2"/>
  <c r="H305" i="2"/>
  <c r="I3293" i="2"/>
  <c r="H3293" i="2"/>
  <c r="I2413" i="2"/>
  <c r="H2413" i="2"/>
  <c r="I6909" i="2"/>
  <c r="H6909" i="2"/>
  <c r="I6703" i="2"/>
  <c r="H6703" i="2"/>
  <c r="I2966" i="2"/>
  <c r="H2966" i="2"/>
  <c r="I3486" i="2"/>
  <c r="H3486" i="2"/>
  <c r="I3123" i="2"/>
  <c r="H3123" i="2"/>
  <c r="I5575" i="2"/>
  <c r="H5575" i="2"/>
  <c r="I8387" i="2"/>
  <c r="H8387" i="2"/>
  <c r="I5095" i="2"/>
  <c r="H5095" i="2"/>
  <c r="I7373" i="2"/>
  <c r="H7373" i="2"/>
  <c r="I2954" i="2"/>
  <c r="H2954" i="2"/>
  <c r="I5997" i="2"/>
  <c r="H5997" i="2"/>
  <c r="I2052" i="2"/>
  <c r="H2052" i="2"/>
  <c r="I438" i="2"/>
  <c r="H438" i="2"/>
  <c r="I6580" i="2"/>
  <c r="H6580" i="2"/>
  <c r="I6376" i="2"/>
  <c r="H6376" i="2"/>
  <c r="I7485" i="2"/>
  <c r="H7485" i="2"/>
  <c r="I6814" i="2"/>
  <c r="H6814" i="2"/>
  <c r="I2917" i="2"/>
  <c r="H2917" i="2"/>
  <c r="I3942" i="2"/>
  <c r="H3942" i="2"/>
  <c r="I5898" i="2"/>
  <c r="H5898" i="2"/>
  <c r="I6183" i="2"/>
  <c r="H6183" i="2"/>
  <c r="I1635" i="2"/>
  <c r="H1635" i="2"/>
  <c r="I4087" i="2"/>
  <c r="H4087" i="2"/>
  <c r="I5836" i="2"/>
  <c r="H5836" i="2"/>
  <c r="I5553" i="2"/>
  <c r="H5553" i="2"/>
  <c r="I2825" i="2"/>
  <c r="H2825" i="2"/>
  <c r="I6644" i="2"/>
  <c r="H6644" i="2"/>
  <c r="I3629" i="2"/>
  <c r="H3629" i="2"/>
  <c r="I2031" i="2"/>
  <c r="H2031" i="2"/>
  <c r="I6790" i="2"/>
  <c r="H6790" i="2"/>
  <c r="I5664" i="2"/>
  <c r="H5664" i="2"/>
  <c r="I5685" i="2"/>
  <c r="H5685" i="2"/>
  <c r="I5036" i="2"/>
  <c r="H5036" i="2"/>
  <c r="I5376" i="2"/>
  <c r="H5376" i="2"/>
  <c r="I6295" i="2"/>
  <c r="H6295" i="2"/>
  <c r="I293" i="2"/>
  <c r="H293" i="2"/>
  <c r="I2500" i="2"/>
  <c r="H2500" i="2"/>
  <c r="I1455" i="2"/>
  <c r="H1455" i="2"/>
  <c r="I6842" i="2"/>
  <c r="H6842" i="2"/>
  <c r="I2970" i="2"/>
  <c r="H2970" i="2"/>
  <c r="I282" i="2"/>
  <c r="H282" i="2"/>
  <c r="I5726" i="2"/>
  <c r="H5726" i="2"/>
  <c r="I492" i="2"/>
  <c r="H492" i="2"/>
  <c r="I2709" i="2"/>
  <c r="H2709" i="2"/>
  <c r="I3228" i="2"/>
  <c r="H3228" i="2"/>
  <c r="I6646" i="2"/>
  <c r="H6646" i="2"/>
  <c r="I1905" i="2"/>
  <c r="H1905" i="2"/>
  <c r="I6667" i="2"/>
  <c r="H6667" i="2"/>
  <c r="I2704" i="2"/>
  <c r="H2704" i="2"/>
  <c r="I3093" i="2"/>
  <c r="H3093" i="2"/>
  <c r="I6015" i="2"/>
  <c r="H6015" i="2"/>
  <c r="I4941" i="2"/>
  <c r="H4941" i="2"/>
  <c r="I7358" i="2"/>
  <c r="H7358" i="2"/>
  <c r="I3209" i="2"/>
  <c r="H3209" i="2"/>
  <c r="I2670" i="2"/>
  <c r="H2670" i="2"/>
  <c r="I5813" i="2"/>
  <c r="H5813" i="2"/>
  <c r="I7731" i="2"/>
  <c r="H7731" i="2"/>
  <c r="I6219" i="2"/>
  <c r="H6219" i="2"/>
  <c r="I274" i="2"/>
  <c r="H274" i="2"/>
  <c r="I7113" i="2"/>
  <c r="H7113" i="2"/>
  <c r="I6959" i="2"/>
  <c r="H6959" i="2"/>
  <c r="I2384" i="2"/>
  <c r="H2384" i="2"/>
  <c r="I3130" i="2"/>
  <c r="H3130" i="2"/>
  <c r="I2595" i="2"/>
  <c r="H2595" i="2"/>
  <c r="I1188" i="2"/>
  <c r="H1188" i="2"/>
  <c r="I8012" i="2"/>
  <c r="H8012" i="2"/>
  <c r="I6495" i="2"/>
  <c r="H6495" i="2"/>
  <c r="I5215" i="2"/>
  <c r="H5215" i="2"/>
  <c r="I7415" i="2"/>
  <c r="H7415" i="2"/>
  <c r="I314" i="2"/>
  <c r="H314" i="2"/>
  <c r="I7018" i="2"/>
  <c r="H7018" i="2"/>
  <c r="I5397" i="2"/>
  <c r="H5397" i="2"/>
  <c r="I5106" i="2"/>
  <c r="H5106" i="2"/>
  <c r="I2651" i="2"/>
  <c r="H2651" i="2"/>
  <c r="I965" i="2"/>
  <c r="H965" i="2"/>
  <c r="I701" i="2"/>
  <c r="H701" i="2"/>
  <c r="I8245" i="2"/>
  <c r="H8245" i="2"/>
  <c r="I2501" i="2"/>
  <c r="H2501" i="2"/>
  <c r="I3375" i="2"/>
  <c r="H3375" i="2"/>
  <c r="I1897" i="2"/>
  <c r="H1897" i="2"/>
  <c r="I8178" i="2"/>
  <c r="H8178" i="2"/>
  <c r="I886" i="2"/>
  <c r="H886" i="2"/>
  <c r="I7242" i="2"/>
  <c r="H7242" i="2"/>
  <c r="I3200" i="2"/>
  <c r="H3200" i="2"/>
  <c r="I8239" i="2"/>
  <c r="H8239" i="2"/>
  <c r="I7514" i="2"/>
  <c r="H7514" i="2"/>
  <c r="I4932" i="2"/>
  <c r="H4932" i="2"/>
  <c r="I5989" i="2"/>
  <c r="H5989" i="2"/>
  <c r="I820" i="2"/>
  <c r="H820" i="2"/>
  <c r="I644" i="2"/>
  <c r="H644" i="2"/>
  <c r="I6578" i="2"/>
  <c r="H6578" i="2"/>
  <c r="I316" i="2"/>
  <c r="H316" i="2"/>
  <c r="I6192" i="2"/>
  <c r="H6192" i="2"/>
  <c r="I2504" i="2"/>
  <c r="H2504" i="2"/>
  <c r="I6726" i="2"/>
  <c r="H6726" i="2"/>
  <c r="I609" i="2"/>
  <c r="H609" i="2"/>
  <c r="I4691" i="2"/>
  <c r="H4691" i="2"/>
  <c r="I6144" i="2"/>
  <c r="H6144" i="2"/>
  <c r="I6115" i="2"/>
  <c r="H6115" i="2"/>
  <c r="I3383" i="2"/>
  <c r="H3383" i="2"/>
  <c r="I7490" i="2"/>
  <c r="H7490" i="2"/>
  <c r="I2435" i="2"/>
  <c r="H2435" i="2"/>
  <c r="I5072" i="2"/>
  <c r="H5072" i="2"/>
  <c r="I5371" i="2"/>
  <c r="H5371" i="2"/>
  <c r="I3066" i="2"/>
  <c r="H3066" i="2"/>
  <c r="I3191" i="2"/>
  <c r="H3191" i="2"/>
  <c r="I7880" i="2"/>
  <c r="H7880" i="2"/>
  <c r="I2767" i="2"/>
  <c r="H2767" i="2"/>
  <c r="I1847" i="2"/>
  <c r="H1847" i="2"/>
  <c r="I2602" i="2"/>
  <c r="H2602" i="2"/>
  <c r="I2077" i="2"/>
  <c r="H2077" i="2"/>
  <c r="I3221" i="2"/>
  <c r="H3221" i="2"/>
  <c r="I3098" i="2"/>
  <c r="H3098" i="2"/>
  <c r="I3029" i="2"/>
  <c r="H3029" i="2"/>
  <c r="I7530" i="2"/>
  <c r="H7530" i="2"/>
  <c r="I7717" i="2"/>
  <c r="H7717" i="2"/>
  <c r="I7064" i="2"/>
  <c r="H7064" i="2"/>
  <c r="I4989" i="2"/>
  <c r="H4989" i="2"/>
  <c r="I2275" i="2"/>
  <c r="H2275" i="2"/>
  <c r="I7004" i="2"/>
  <c r="H7004" i="2"/>
  <c r="I8035" i="2"/>
  <c r="H8035" i="2"/>
  <c r="I2116" i="2"/>
  <c r="H2116" i="2"/>
  <c r="I6697" i="2"/>
  <c r="H6697" i="2"/>
  <c r="I6412" i="2"/>
  <c r="H6412" i="2"/>
  <c r="I6287" i="2"/>
  <c r="H6287" i="2"/>
  <c r="I8415" i="2"/>
  <c r="H8415" i="2"/>
  <c r="I6059" i="2"/>
  <c r="H6059" i="2"/>
  <c r="I5981" i="2"/>
  <c r="H5981" i="2"/>
  <c r="I6439" i="2"/>
  <c r="H6439" i="2"/>
  <c r="I6447" i="2"/>
  <c r="H6447" i="2"/>
  <c r="I6483" i="2"/>
  <c r="H6483" i="2"/>
  <c r="I6354" i="2"/>
  <c r="H6354" i="2"/>
  <c r="I269" i="2"/>
  <c r="H269" i="2"/>
  <c r="I7191" i="2"/>
  <c r="H7191" i="2"/>
  <c r="I7210" i="2"/>
  <c r="H7210" i="2"/>
  <c r="I7851" i="2"/>
  <c r="H7851" i="2"/>
  <c r="I5974" i="2"/>
  <c r="H5974" i="2"/>
  <c r="I3054" i="2"/>
  <c r="H3054" i="2"/>
  <c r="I1989" i="2"/>
  <c r="H1989" i="2"/>
  <c r="I6556" i="2"/>
  <c r="H6556" i="2"/>
  <c r="I7299" i="2"/>
  <c r="H7299" i="2"/>
  <c r="I3179" i="2"/>
  <c r="H3179" i="2"/>
  <c r="I2812" i="2"/>
  <c r="H2812" i="2"/>
  <c r="I2332" i="2"/>
  <c r="H2332" i="2"/>
  <c r="I6982" i="2"/>
  <c r="H6982" i="2"/>
  <c r="I5247" i="2"/>
  <c r="H5247" i="2"/>
  <c r="I5705" i="2"/>
  <c r="H5705" i="2"/>
  <c r="I2807" i="2"/>
  <c r="H2807" i="2"/>
  <c r="I5495" i="2"/>
  <c r="H5495" i="2"/>
  <c r="I5122" i="2"/>
  <c r="H5122" i="2"/>
  <c r="I7019" i="2"/>
  <c r="H7019" i="2"/>
  <c r="I366" i="2"/>
  <c r="H366" i="2"/>
  <c r="I7356" i="2"/>
  <c r="H7356" i="2"/>
  <c r="I273" i="2"/>
  <c r="H273" i="2"/>
  <c r="I2859" i="2"/>
  <c r="H2859" i="2"/>
  <c r="I5313" i="2"/>
  <c r="H5313" i="2"/>
  <c r="I3096" i="2"/>
  <c r="H3096" i="2"/>
  <c r="I2220" i="2"/>
  <c r="H2220" i="2"/>
  <c r="I5838" i="2"/>
  <c r="H5838" i="2"/>
  <c r="I6522" i="2"/>
  <c r="H6522" i="2"/>
  <c r="I5999" i="2"/>
  <c r="H5999" i="2"/>
  <c r="I1921" i="2"/>
  <c r="H1921" i="2"/>
  <c r="I7571" i="2"/>
  <c r="H7571" i="2"/>
  <c r="I5913" i="2"/>
  <c r="H5913" i="2"/>
  <c r="I6750" i="2"/>
  <c r="H6750" i="2"/>
  <c r="I2993" i="2"/>
  <c r="H2993" i="2"/>
  <c r="I2899" i="2"/>
  <c r="H2899" i="2"/>
  <c r="I3687" i="2"/>
  <c r="H3687" i="2"/>
  <c r="I3593" i="2"/>
  <c r="H3593" i="2"/>
  <c r="I3276" i="2"/>
  <c r="H3276" i="2"/>
  <c r="I3343" i="2"/>
  <c r="H3343" i="2"/>
  <c r="I6803" i="2"/>
  <c r="H6803" i="2"/>
  <c r="I5907" i="2"/>
  <c r="H5907" i="2"/>
  <c r="I519" i="2"/>
  <c r="H519" i="2"/>
  <c r="I6013" i="2"/>
  <c r="H6013" i="2"/>
  <c r="I3261" i="2"/>
  <c r="H3261" i="2"/>
  <c r="I5433" i="2"/>
  <c r="H5433" i="2"/>
  <c r="I5084" i="2"/>
  <c r="H5084" i="2"/>
  <c r="I6213" i="2"/>
  <c r="H6213" i="2"/>
  <c r="I5273" i="2"/>
  <c r="H5273" i="2"/>
  <c r="I2634" i="2"/>
  <c r="H2634" i="2"/>
  <c r="I8147" i="2"/>
  <c r="H8147" i="2"/>
  <c r="I6663" i="2"/>
  <c r="H6663" i="2"/>
  <c r="I7669" i="2"/>
  <c r="H7669" i="2"/>
  <c r="I6550" i="2"/>
  <c r="H6550" i="2"/>
  <c r="I5213" i="2"/>
  <c r="H5213" i="2"/>
  <c r="I2286" i="2"/>
  <c r="H2286" i="2"/>
  <c r="I3074" i="2"/>
  <c r="H3074" i="2"/>
  <c r="I6787" i="2"/>
  <c r="H6787" i="2"/>
  <c r="I7311" i="2"/>
  <c r="H7311" i="2"/>
  <c r="I5423" i="2"/>
  <c r="H5423" i="2"/>
  <c r="I8032" i="2"/>
  <c r="H8032" i="2"/>
  <c r="I2189" i="2"/>
  <c r="H2189" i="2"/>
  <c r="I2735" i="2"/>
  <c r="H2735" i="2"/>
  <c r="I5918" i="2"/>
  <c r="H5918" i="2"/>
  <c r="I2395" i="2"/>
  <c r="H2395" i="2"/>
  <c r="I562" i="2"/>
  <c r="H562" i="2"/>
  <c r="I6760" i="2"/>
  <c r="H6760" i="2"/>
  <c r="I7220" i="2"/>
  <c r="H7220" i="2"/>
  <c r="I358" i="2"/>
  <c r="H358" i="2"/>
  <c r="I3067" i="2"/>
  <c r="H3067" i="2"/>
  <c r="I6558" i="2"/>
  <c r="H6558" i="2"/>
  <c r="I7151" i="2"/>
  <c r="H7151" i="2"/>
  <c r="I3139" i="2"/>
  <c r="H3139" i="2"/>
  <c r="I6816" i="2"/>
  <c r="H6816" i="2"/>
  <c r="I3104" i="2"/>
  <c r="H3104" i="2"/>
  <c r="I6308" i="2"/>
  <c r="H6308" i="2"/>
  <c r="I2988" i="2"/>
  <c r="H2988" i="2"/>
  <c r="I3351" i="2"/>
  <c r="H3351" i="2"/>
  <c r="I2852" i="2"/>
  <c r="H2852" i="2"/>
  <c r="I1558" i="2"/>
  <c r="H1558" i="2"/>
  <c r="I1953" i="2"/>
  <c r="H1953" i="2"/>
  <c r="I5551" i="2"/>
  <c r="H5551" i="2"/>
  <c r="I5137" i="2"/>
  <c r="H5137" i="2"/>
  <c r="I3395" i="2"/>
  <c r="H3395" i="2"/>
  <c r="I3018" i="2"/>
  <c r="H3018" i="2"/>
  <c r="I3525" i="2"/>
  <c r="H3525" i="2"/>
  <c r="I2555" i="2"/>
  <c r="H2555" i="2"/>
  <c r="I1769" i="2"/>
  <c r="H1769" i="2"/>
  <c r="I7522" i="2"/>
  <c r="H7522" i="2"/>
  <c r="I7466" i="2"/>
  <c r="H7466" i="2"/>
  <c r="I1782" i="2"/>
  <c r="H1782" i="2"/>
  <c r="I2494" i="2"/>
  <c r="H2494" i="2"/>
  <c r="I6325" i="2"/>
  <c r="H6325" i="2"/>
  <c r="I7524" i="2"/>
  <c r="H7524" i="2"/>
  <c r="I5820" i="2"/>
  <c r="H5820" i="2"/>
  <c r="I6470" i="2"/>
  <c r="H6470" i="2"/>
  <c r="I6280" i="2"/>
  <c r="H6280" i="2"/>
  <c r="I7633" i="2"/>
  <c r="H7633" i="2"/>
  <c r="I5305" i="2"/>
  <c r="H5305" i="2"/>
  <c r="I482" i="2"/>
  <c r="H482" i="2"/>
  <c r="I1864" i="2"/>
  <c r="H1864" i="2"/>
  <c r="I7952" i="2"/>
  <c r="H7952" i="2"/>
  <c r="I3511" i="2"/>
  <c r="H3511" i="2"/>
  <c r="I7516" i="2"/>
  <c r="H7516" i="2"/>
  <c r="I6193" i="2"/>
  <c r="H6193" i="2"/>
  <c r="I6665" i="2"/>
  <c r="H6665" i="2"/>
  <c r="I6920" i="2"/>
  <c r="H6920" i="2"/>
  <c r="I7822" i="2"/>
  <c r="H7822" i="2"/>
  <c r="I2551" i="2"/>
  <c r="H2551" i="2"/>
  <c r="I3229" i="2"/>
  <c r="H3229" i="2"/>
  <c r="I5691" i="2"/>
  <c r="H5691" i="2"/>
  <c r="I1594" i="2"/>
  <c r="H1594" i="2"/>
  <c r="I6779" i="2"/>
  <c r="H6779" i="2"/>
  <c r="I1836" i="2"/>
  <c r="H1836" i="2"/>
  <c r="I6543" i="2"/>
  <c r="H6543" i="2"/>
  <c r="I2156" i="2"/>
  <c r="H2156" i="2"/>
  <c r="I8237" i="2"/>
  <c r="H8237" i="2"/>
  <c r="I7874" i="2"/>
  <c r="H7874" i="2"/>
  <c r="I330" i="2"/>
  <c r="H330" i="2"/>
  <c r="I2892" i="2"/>
  <c r="H2892" i="2"/>
  <c r="I754" i="2"/>
  <c r="H754" i="2"/>
  <c r="I766" i="2"/>
  <c r="H766" i="2"/>
  <c r="I2601" i="2"/>
  <c r="H2601" i="2"/>
  <c r="I2879" i="2"/>
  <c r="H2879" i="2"/>
  <c r="I2708" i="2"/>
  <c r="H2708" i="2"/>
  <c r="I3458" i="2"/>
  <c r="H3458" i="2"/>
  <c r="I2154" i="2"/>
  <c r="H2154" i="2"/>
  <c r="I7361" i="2"/>
  <c r="H7361" i="2"/>
  <c r="I1971" i="2"/>
  <c r="H1971" i="2"/>
  <c r="I6583" i="2"/>
  <c r="H6583" i="2"/>
  <c r="I8039" i="2"/>
  <c r="H8039" i="2"/>
  <c r="I5676" i="2"/>
  <c r="H5676" i="2"/>
  <c r="I1140" i="2"/>
  <c r="H1140" i="2"/>
  <c r="I2828" i="2"/>
  <c r="H2828" i="2"/>
  <c r="I3153" i="2"/>
  <c r="H3153" i="2"/>
  <c r="I2362" i="2"/>
  <c r="H2362" i="2"/>
  <c r="I3283" i="2"/>
  <c r="H3283" i="2"/>
  <c r="I6375" i="2"/>
  <c r="H6375" i="2"/>
  <c r="I2358" i="2"/>
  <c r="H2358" i="2"/>
  <c r="I6826" i="2"/>
  <c r="H6826" i="2"/>
  <c r="I658" i="2"/>
  <c r="H658" i="2"/>
  <c r="I1186" i="2"/>
  <c r="H1186" i="2"/>
  <c r="I5874" i="2"/>
  <c r="H5874" i="2"/>
  <c r="I2839" i="2"/>
  <c r="H2839" i="2"/>
  <c r="I2938" i="2"/>
  <c r="H2938" i="2"/>
  <c r="I6460" i="2"/>
  <c r="H6460" i="2"/>
  <c r="I2182" i="2"/>
  <c r="H2182" i="2"/>
  <c r="I5442" i="2"/>
  <c r="H5442" i="2"/>
  <c r="I3757" i="2"/>
  <c r="H3757" i="2"/>
  <c r="I3133" i="2"/>
  <c r="H3133" i="2"/>
  <c r="I7211" i="2"/>
  <c r="H7211" i="2"/>
  <c r="I551" i="2"/>
  <c r="H551" i="2"/>
  <c r="I1508" i="2"/>
  <c r="H1508" i="2"/>
  <c r="I243" i="2"/>
  <c r="H243" i="2"/>
  <c r="I5920" i="2"/>
  <c r="H5920" i="2"/>
  <c r="I2345" i="2"/>
  <c r="H2345" i="2"/>
  <c r="I5988" i="2"/>
  <c r="H5988" i="2"/>
  <c r="I7615" i="2"/>
  <c r="H7615" i="2"/>
  <c r="I2159" i="2"/>
  <c r="H2159" i="2"/>
  <c r="I619" i="2"/>
  <c r="H619" i="2"/>
  <c r="I7231" i="2"/>
  <c r="H7231" i="2"/>
  <c r="I2740" i="2"/>
  <c r="H2740" i="2"/>
  <c r="I6599" i="2"/>
  <c r="H6599" i="2"/>
  <c r="I6162" i="2"/>
  <c r="H6162" i="2"/>
  <c r="I7312" i="2"/>
  <c r="H7312" i="2"/>
  <c r="I1426" i="2"/>
  <c r="H1426" i="2"/>
  <c r="I2611" i="2"/>
  <c r="H2611" i="2"/>
  <c r="I2242" i="2"/>
  <c r="H2242" i="2"/>
  <c r="I6458" i="2"/>
  <c r="H6458" i="2"/>
  <c r="I3503" i="2"/>
  <c r="H3503" i="2"/>
  <c r="I5356" i="2"/>
  <c r="H5356" i="2"/>
  <c r="I8395" i="2"/>
  <c r="H8395" i="2"/>
  <c r="I5904" i="2"/>
  <c r="H5904" i="2"/>
  <c r="I5473" i="2"/>
  <c r="H5473" i="2"/>
  <c r="I6271" i="2"/>
  <c r="H6271" i="2"/>
  <c r="I630" i="2"/>
  <c r="H630" i="2"/>
  <c r="I2013" i="2"/>
  <c r="H2013" i="2"/>
  <c r="I8072" i="2"/>
  <c r="H8072" i="2"/>
  <c r="I7293" i="2"/>
  <c r="H7293" i="2"/>
  <c r="I8461" i="2"/>
  <c r="H8461" i="2"/>
  <c r="I2453" i="2"/>
  <c r="H2453" i="2"/>
  <c r="I2714" i="2"/>
  <c r="H2714" i="2"/>
  <c r="I2762" i="2"/>
  <c r="H2762" i="2"/>
  <c r="I6554" i="2"/>
  <c r="H6554" i="2"/>
  <c r="I2835" i="2"/>
  <c r="H2835" i="2"/>
  <c r="I6788" i="2"/>
  <c r="H6788" i="2"/>
  <c r="I3224" i="2"/>
  <c r="H3224" i="2"/>
  <c r="I6677" i="2"/>
  <c r="H6677" i="2"/>
  <c r="I7022" i="2"/>
  <c r="H7022" i="2"/>
  <c r="I7934" i="2"/>
  <c r="H7934" i="2"/>
  <c r="I8459" i="2"/>
  <c r="H8459" i="2"/>
  <c r="I7033" i="2"/>
  <c r="H7033" i="2"/>
  <c r="I6338" i="2"/>
  <c r="H6338" i="2"/>
  <c r="I2755" i="2"/>
  <c r="H2755" i="2"/>
  <c r="I3403" i="2"/>
  <c r="H3403" i="2"/>
  <c r="I1174" i="2"/>
  <c r="H1174" i="2"/>
  <c r="I2302" i="2"/>
  <c r="H2302" i="2"/>
  <c r="I2992" i="2"/>
  <c r="H2992" i="2"/>
  <c r="I864" i="2"/>
  <c r="H864" i="2"/>
  <c r="I861" i="2"/>
  <c r="H861" i="2"/>
  <c r="I6486" i="2"/>
  <c r="H6486" i="2"/>
  <c r="I3208" i="2"/>
  <c r="H3208" i="2"/>
  <c r="I2554" i="2"/>
  <c r="H2554" i="2"/>
  <c r="I7564" i="2"/>
  <c r="H7564" i="2"/>
  <c r="I7679" i="2"/>
  <c r="H7679" i="2"/>
  <c r="I7527" i="2"/>
  <c r="H7527" i="2"/>
  <c r="I5841" i="2"/>
  <c r="H5841" i="2"/>
  <c r="I6203" i="2"/>
  <c r="H6203" i="2"/>
  <c r="I1862" i="2"/>
  <c r="H1862" i="2"/>
  <c r="I2990" i="2"/>
  <c r="H2990" i="2"/>
  <c r="I808" i="2"/>
  <c r="H808" i="2"/>
  <c r="I7774" i="2"/>
  <c r="H7774" i="2"/>
  <c r="I6259" i="2"/>
  <c r="H6259" i="2"/>
  <c r="I1498" i="2"/>
  <c r="H1498" i="2"/>
  <c r="I3165" i="2"/>
  <c r="H3165" i="2"/>
  <c r="I7469" i="2"/>
  <c r="H7469" i="2"/>
  <c r="I6912" i="2"/>
  <c r="H6912" i="2"/>
  <c r="I5646" i="2"/>
  <c r="H5646" i="2"/>
  <c r="I7837" i="2"/>
  <c r="H7837" i="2"/>
  <c r="I8127" i="2"/>
  <c r="H8127" i="2"/>
  <c r="I2323" i="2"/>
  <c r="H2323" i="2"/>
  <c r="I1798" i="2"/>
  <c r="H1798" i="2"/>
  <c r="I2418" i="2"/>
  <c r="H2418" i="2"/>
  <c r="I1745" i="2"/>
  <c r="H1745" i="2"/>
  <c r="I3112" i="2"/>
  <c r="H3112" i="2"/>
  <c r="I6906" i="2"/>
  <c r="H6906" i="2"/>
  <c r="I3300" i="2"/>
  <c r="H3300" i="2"/>
  <c r="I6531" i="2"/>
  <c r="H6531" i="2"/>
  <c r="I467" i="2"/>
  <c r="H467" i="2"/>
  <c r="I2661" i="2"/>
  <c r="H2661" i="2"/>
  <c r="I3277" i="2"/>
  <c r="H3277" i="2"/>
  <c r="I3244" i="2"/>
  <c r="H3244" i="2"/>
  <c r="I8098" i="2"/>
  <c r="H8098" i="2"/>
  <c r="I6102" i="2"/>
  <c r="H6102" i="2"/>
  <c r="I8473" i="2"/>
  <c r="H8473" i="2"/>
  <c r="I2248" i="2"/>
  <c r="H2248" i="2"/>
  <c r="I7360" i="2"/>
  <c r="H7360" i="2"/>
  <c r="I5528" i="2"/>
  <c r="H5528" i="2"/>
  <c r="I2060" i="2"/>
  <c r="H2060" i="2"/>
  <c r="I2254" i="2"/>
  <c r="H2254" i="2"/>
  <c r="I3456" i="2"/>
  <c r="H3456" i="2"/>
  <c r="I8388" i="2"/>
  <c r="H8388" i="2"/>
  <c r="I3307" i="2"/>
  <c r="H3307" i="2"/>
  <c r="I7572" i="2"/>
  <c r="H7572" i="2"/>
  <c r="I2071" i="2"/>
  <c r="H2071" i="2"/>
  <c r="I3592" i="2"/>
  <c r="H3592" i="2"/>
  <c r="I3301" i="2"/>
  <c r="H3301" i="2"/>
  <c r="I3457" i="2"/>
  <c r="H3457" i="2"/>
  <c r="I5671" i="2"/>
  <c r="H5671" i="2"/>
  <c r="I6046" i="2"/>
  <c r="H6046" i="2"/>
  <c r="I6896" i="2"/>
  <c r="H6896" i="2"/>
  <c r="I7691" i="2"/>
  <c r="H7691" i="2"/>
  <c r="I776" i="2"/>
  <c r="H776" i="2"/>
  <c r="I2252" i="2"/>
  <c r="H2252" i="2"/>
  <c r="I2884" i="2"/>
  <c r="H2884" i="2"/>
  <c r="I6808" i="2"/>
  <c r="H6808" i="2"/>
  <c r="I5595" i="2"/>
  <c r="H5595" i="2"/>
  <c r="I5066" i="2"/>
  <c r="H5066" i="2"/>
  <c r="I3579" i="2"/>
  <c r="H3579" i="2"/>
  <c r="I7132" i="2"/>
  <c r="H7132" i="2"/>
  <c r="I2176" i="2"/>
  <c r="H2176" i="2"/>
  <c r="I2610" i="2"/>
  <c r="H2610" i="2"/>
  <c r="I1478" i="2"/>
  <c r="H1478" i="2"/>
  <c r="I6586" i="2"/>
  <c r="H6586" i="2"/>
  <c r="I5398" i="2"/>
  <c r="H5398" i="2"/>
  <c r="I6342" i="2"/>
  <c r="H6342" i="2"/>
  <c r="I5866" i="2"/>
  <c r="H5866" i="2"/>
  <c r="I1872" i="2"/>
  <c r="H1872" i="2"/>
  <c r="I7202" i="2"/>
  <c r="H7202" i="2"/>
  <c r="I5338" i="2"/>
  <c r="H5338" i="2"/>
  <c r="I1590" i="2"/>
  <c r="H1590" i="2"/>
  <c r="I8456" i="2"/>
  <c r="H8456" i="2"/>
  <c r="I7174" i="2"/>
  <c r="H7174" i="2"/>
  <c r="I6742" i="2"/>
  <c r="H6742" i="2"/>
  <c r="I5683" i="2"/>
  <c r="H5683" i="2"/>
  <c r="I2664" i="2"/>
  <c r="H2664" i="2"/>
  <c r="I2625" i="2"/>
  <c r="H2625" i="2"/>
  <c r="I2870" i="2"/>
  <c r="H2870" i="2"/>
  <c r="I1193" i="2"/>
  <c r="H1193" i="2"/>
  <c r="I1138" i="2"/>
  <c r="H1138" i="2"/>
  <c r="I5885" i="2"/>
  <c r="H5885" i="2"/>
  <c r="I2537" i="2"/>
  <c r="H2537" i="2"/>
  <c r="I7412" i="2"/>
  <c r="H7412" i="2"/>
  <c r="I7006" i="2"/>
  <c r="H7006" i="2"/>
  <c r="I6104" i="2"/>
  <c r="H6104" i="2"/>
  <c r="I8017" i="2"/>
  <c r="H8017" i="2"/>
  <c r="I5861" i="2"/>
  <c r="H5861" i="2"/>
  <c r="I5718" i="2"/>
  <c r="H5718" i="2"/>
  <c r="I880" i="2"/>
  <c r="H880" i="2"/>
  <c r="I2363" i="2"/>
  <c r="H2363" i="2"/>
  <c r="I5821" i="2"/>
  <c r="H5821" i="2"/>
  <c r="I5688" i="2"/>
  <c r="H5688" i="2"/>
  <c r="I251" i="2"/>
  <c r="H251" i="2"/>
  <c r="I6073" i="2"/>
  <c r="H6073" i="2"/>
  <c r="I7680" i="2"/>
  <c r="H7680" i="2"/>
  <c r="I5741" i="2"/>
  <c r="H5741" i="2"/>
  <c r="I2376" i="2"/>
  <c r="H2376" i="2"/>
  <c r="I6079" i="2"/>
  <c r="H6079" i="2"/>
  <c r="I3370" i="2"/>
  <c r="H3370" i="2"/>
  <c r="I6385" i="2"/>
  <c r="H6385" i="2"/>
  <c r="I5856" i="2"/>
  <c r="H5856" i="2"/>
  <c r="I2783" i="2"/>
  <c r="H2783" i="2"/>
  <c r="I1711" i="2"/>
  <c r="H1711" i="2"/>
  <c r="I3280" i="2"/>
  <c r="H3280" i="2"/>
  <c r="I3190" i="2"/>
  <c r="H3190" i="2"/>
  <c r="I6950" i="2"/>
  <c r="H6950" i="2"/>
  <c r="I793" i="2"/>
  <c r="H793" i="2"/>
  <c r="I2145" i="2"/>
  <c r="H2145" i="2"/>
  <c r="I6317" i="2"/>
  <c r="H6317" i="2"/>
  <c r="I6712" i="2"/>
  <c r="H6712" i="2"/>
  <c r="I7796" i="2"/>
  <c r="H7796" i="2"/>
  <c r="I8390" i="2"/>
  <c r="H8390" i="2"/>
  <c r="I5620" i="2"/>
  <c r="H5620" i="2"/>
  <c r="I7777" i="2"/>
  <c r="H7777" i="2"/>
  <c r="I7216" i="2"/>
  <c r="H7216" i="2"/>
  <c r="I6707" i="2"/>
  <c r="H6707" i="2"/>
  <c r="I7553" i="2"/>
  <c r="H7553" i="2"/>
  <c r="I2361" i="2"/>
  <c r="H2361" i="2"/>
  <c r="I3387" i="2"/>
  <c r="H3387" i="2"/>
  <c r="I2334" i="2"/>
  <c r="H2334" i="2"/>
  <c r="I3348" i="2"/>
  <c r="H3348" i="2"/>
  <c r="I7882" i="2"/>
  <c r="H7882" i="2"/>
  <c r="I7182" i="2"/>
  <c r="H7182" i="2"/>
  <c r="I6267" i="2"/>
  <c r="H6267" i="2"/>
  <c r="I5987" i="2"/>
  <c r="H5987" i="2"/>
  <c r="I5909" i="2"/>
  <c r="H5909" i="2"/>
  <c r="I5780" i="2"/>
  <c r="H5780" i="2"/>
  <c r="I7430" i="2"/>
  <c r="H7430" i="2"/>
  <c r="I570" i="2"/>
  <c r="H570" i="2"/>
  <c r="I6762" i="2"/>
  <c r="H6762" i="2"/>
  <c r="I780" i="2"/>
  <c r="H780" i="2"/>
  <c r="I3285" i="2"/>
  <c r="H3285" i="2"/>
  <c r="I6843" i="2"/>
  <c r="H6843" i="2"/>
  <c r="I8455" i="2"/>
  <c r="H8455" i="2"/>
  <c r="I6507" i="2"/>
  <c r="H6507" i="2"/>
  <c r="I323" i="2"/>
  <c r="H323" i="2"/>
  <c r="I7586" i="2"/>
  <c r="H7586" i="2"/>
  <c r="I2472" i="2"/>
  <c r="H2472" i="2"/>
  <c r="I2937" i="2"/>
  <c r="H2937" i="2"/>
  <c r="I6551" i="2"/>
  <c r="H6551" i="2"/>
  <c r="I6825" i="2"/>
  <c r="H6825" i="2"/>
  <c r="I6221" i="2"/>
  <c r="H6221" i="2"/>
  <c r="I450" i="2"/>
  <c r="H450" i="2"/>
  <c r="I5761" i="2"/>
  <c r="H5761" i="2"/>
  <c r="I8296" i="2"/>
  <c r="H8296" i="2"/>
  <c r="I6169" i="2"/>
  <c r="H6169" i="2"/>
  <c r="I6680" i="2"/>
  <c r="H6680" i="2"/>
  <c r="I3376" i="2"/>
  <c r="H3376" i="2"/>
  <c r="I4992" i="2"/>
  <c r="H4992" i="2"/>
  <c r="I1649" i="2"/>
  <c r="H1649" i="2"/>
  <c r="I5385" i="2"/>
  <c r="H5385" i="2"/>
  <c r="I5651" i="2"/>
  <c r="H5651" i="2"/>
  <c r="I1863" i="2"/>
  <c r="H1863" i="2"/>
  <c r="I2470" i="2"/>
  <c r="H2470" i="2"/>
  <c r="I8384" i="2"/>
  <c r="H8384" i="2"/>
  <c r="I5901" i="2"/>
  <c r="H5901" i="2"/>
  <c r="I1738" i="2"/>
  <c r="H1738" i="2"/>
  <c r="I7282" i="2"/>
  <c r="H7282" i="2"/>
  <c r="I1874" i="2"/>
  <c r="H1874" i="2"/>
  <c r="I8365" i="2"/>
  <c r="H8365" i="2"/>
  <c r="I1272" i="2"/>
  <c r="H1272" i="2"/>
  <c r="I1355" i="2"/>
  <c r="H1355" i="2"/>
  <c r="I2096" i="2"/>
  <c r="H2096" i="2"/>
  <c r="I6695" i="2"/>
  <c r="H6695" i="2"/>
  <c r="I2624" i="2"/>
  <c r="H2624" i="2"/>
  <c r="I7570" i="2"/>
  <c r="H7570" i="2"/>
  <c r="I6422" i="2"/>
  <c r="H6422" i="2"/>
  <c r="I232" i="2"/>
  <c r="H232" i="2"/>
  <c r="I3347" i="2"/>
  <c r="H3347" i="2"/>
  <c r="I7177" i="2"/>
  <c r="H7177" i="2"/>
  <c r="I3207" i="2"/>
  <c r="H3207" i="2"/>
  <c r="I6386" i="2"/>
  <c r="H6386" i="2"/>
  <c r="H722" i="2"/>
  <c r="I3485" i="2"/>
  <c r="H3485" i="2"/>
  <c r="I7828" i="2"/>
  <c r="H7828" i="2"/>
  <c r="I1682" i="2"/>
  <c r="H1682" i="2"/>
  <c r="I6011" i="2"/>
  <c r="H6011" i="2"/>
  <c r="I2437" i="2"/>
  <c r="H2437" i="2"/>
  <c r="I5578" i="2"/>
  <c r="H5578" i="2"/>
  <c r="I5968" i="2"/>
  <c r="H5968" i="2"/>
  <c r="I7154" i="2"/>
  <c r="H7154" i="2"/>
  <c r="I6010" i="2"/>
  <c r="H6010" i="2"/>
  <c r="I6326" i="2"/>
  <c r="H6326" i="2"/>
  <c r="I5919" i="2"/>
  <c r="H5919" i="2"/>
  <c r="I3127" i="2"/>
  <c r="H3127" i="2"/>
  <c r="I2283" i="2"/>
  <c r="H2283" i="2"/>
  <c r="I1948" i="2"/>
  <c r="H1948" i="2"/>
  <c r="I6314" i="2"/>
  <c r="H6314" i="2"/>
  <c r="I2397" i="2"/>
  <c r="H2397" i="2"/>
  <c r="I297" i="2"/>
  <c r="H297" i="2"/>
  <c r="I4925" i="2"/>
  <c r="H4925" i="2"/>
  <c r="I5076" i="2"/>
  <c r="H5076" i="2"/>
  <c r="I5883" i="2"/>
  <c r="H5883" i="2"/>
  <c r="I6003" i="2"/>
  <c r="H6003" i="2"/>
  <c r="I7403" i="2"/>
  <c r="H7403" i="2"/>
  <c r="I2897" i="2"/>
  <c r="H2897" i="2"/>
  <c r="I1755" i="2"/>
  <c r="H1755" i="2"/>
  <c r="I1962" i="2"/>
  <c r="H1962" i="2"/>
  <c r="I3113" i="2"/>
  <c r="H3113" i="2"/>
  <c r="I2766" i="2"/>
  <c r="H2766" i="2"/>
  <c r="I212" i="2"/>
  <c r="H212" i="2"/>
  <c r="I5637" i="2"/>
  <c r="H5637" i="2"/>
  <c r="I6914" i="2"/>
  <c r="H6914" i="2"/>
  <c r="I2436" i="2"/>
  <c r="H2436" i="2"/>
  <c r="I3092" i="2"/>
  <c r="H3092" i="2"/>
  <c r="I5496" i="2"/>
  <c r="H5496" i="2"/>
  <c r="I6084" i="2"/>
  <c r="H6084" i="2"/>
  <c r="I2033" i="2"/>
  <c r="H2033" i="2"/>
  <c r="I6857" i="2"/>
  <c r="H6857" i="2"/>
  <c r="I5804" i="2"/>
  <c r="H5804" i="2"/>
  <c r="I7219" i="2"/>
  <c r="H7219" i="2"/>
  <c r="I6424" i="2"/>
  <c r="H6424" i="2"/>
  <c r="I8363" i="2"/>
  <c r="H8363" i="2"/>
  <c r="I2702" i="2"/>
  <c r="H2702" i="2"/>
  <c r="I6849" i="2"/>
  <c r="H6849" i="2"/>
  <c r="I2032" i="2"/>
  <c r="H2032" i="2"/>
  <c r="I1925" i="2"/>
  <c r="H1925" i="2"/>
  <c r="I8401" i="2"/>
  <c r="H8401" i="2"/>
  <c r="I2573" i="2"/>
  <c r="H2573" i="2"/>
  <c r="I1854" i="2"/>
  <c r="H1854" i="2"/>
  <c r="I2622" i="2"/>
  <c r="H2622" i="2"/>
  <c r="I1026" i="2"/>
  <c r="H1026" i="2"/>
  <c r="I2606" i="2"/>
  <c r="H2606" i="2"/>
  <c r="I6397" i="2"/>
  <c r="H6397" i="2"/>
  <c r="I6770" i="2"/>
  <c r="H6770" i="2"/>
  <c r="I8236" i="2"/>
  <c r="H8236" i="2"/>
  <c r="I2887" i="2"/>
  <c r="H2887" i="2"/>
  <c r="I229" i="2"/>
  <c r="H229" i="2"/>
  <c r="I3603" i="2"/>
  <c r="H3603" i="2"/>
  <c r="I8125" i="2"/>
  <c r="H8125" i="2"/>
  <c r="I3709" i="2"/>
  <c r="H3709" i="2"/>
  <c r="I215" i="2"/>
  <c r="H215" i="2"/>
  <c r="I5322" i="2"/>
  <c r="H5322" i="2"/>
  <c r="I2781" i="2"/>
  <c r="H2781" i="2"/>
  <c r="I1799" i="2"/>
  <c r="H1799" i="2"/>
  <c r="I7574" i="2"/>
  <c r="H7574" i="2"/>
  <c r="I1920" i="2"/>
  <c r="H1920" i="2"/>
  <c r="I6740" i="2"/>
  <c r="H6740" i="2"/>
  <c r="I7891" i="2"/>
  <c r="H7891" i="2"/>
  <c r="I2950" i="2"/>
  <c r="H2950" i="2"/>
  <c r="I6996" i="2"/>
  <c r="H6996" i="2"/>
  <c r="I1909" i="2"/>
  <c r="H1909" i="2"/>
  <c r="I7060" i="2"/>
  <c r="H7060" i="2"/>
  <c r="I7011" i="2"/>
  <c r="H7011" i="2"/>
  <c r="I3787" i="2"/>
  <c r="H3787" i="2"/>
  <c r="I1929" i="2"/>
  <c r="H1929" i="2"/>
  <c r="I2315" i="2"/>
  <c r="H2315" i="2"/>
  <c r="I397" i="2"/>
  <c r="H397" i="2"/>
  <c r="I7395" i="2"/>
  <c r="H7395" i="2"/>
  <c r="I8396" i="2"/>
  <c r="H8396" i="2"/>
  <c r="I7892" i="2"/>
  <c r="H7892" i="2"/>
  <c r="I2846" i="2"/>
  <c r="H2846" i="2"/>
  <c r="I8263" i="2"/>
  <c r="H8263" i="2"/>
  <c r="I6691" i="2"/>
  <c r="H6691" i="2"/>
  <c r="I6151" i="2"/>
  <c r="H6151" i="2"/>
  <c r="I8015" i="2"/>
  <c r="H8015" i="2"/>
  <c r="I1621" i="2"/>
  <c r="H1621" i="2"/>
  <c r="I2015" i="2"/>
  <c r="H2015" i="2"/>
  <c r="I3091" i="2"/>
  <c r="H3091" i="2"/>
  <c r="I6304" i="2"/>
  <c r="H6304" i="2"/>
  <c r="I3580" i="2"/>
  <c r="H3580" i="2"/>
  <c r="I7137" i="2"/>
  <c r="H7137" i="2"/>
  <c r="I6590" i="2"/>
  <c r="H6590" i="2"/>
  <c r="I6339" i="2"/>
  <c r="H6339" i="2"/>
  <c r="I1122" i="2"/>
  <c r="H1122" i="2"/>
  <c r="I1753" i="2"/>
  <c r="H1753" i="2"/>
  <c r="I3198" i="2"/>
  <c r="H3198" i="2"/>
  <c r="I2808" i="2"/>
  <c r="H2808" i="2"/>
  <c r="I7970" i="2"/>
  <c r="H7970" i="2"/>
  <c r="I205" i="2"/>
  <c r="H205" i="2"/>
  <c r="I2750" i="2"/>
  <c r="H2750" i="2"/>
  <c r="I2524" i="2"/>
  <c r="H2524" i="2"/>
  <c r="I8188" i="2"/>
  <c r="H8188" i="2"/>
  <c r="I6329" i="2"/>
  <c r="H6329" i="2"/>
  <c r="I1313" i="2"/>
  <c r="H1313" i="2"/>
  <c r="I5946" i="2"/>
  <c r="H5946" i="2"/>
  <c r="I1303" i="2"/>
  <c r="H1303" i="2"/>
  <c r="I2493" i="2"/>
  <c r="H2493" i="2"/>
  <c r="I6595" i="2"/>
  <c r="H6595" i="2"/>
  <c r="I8155" i="2"/>
  <c r="H8155" i="2"/>
  <c r="I6678" i="2"/>
  <c r="H6678" i="2"/>
  <c r="I2724" i="2"/>
  <c r="H2724" i="2"/>
  <c r="I5867" i="2"/>
  <c r="H5867" i="2"/>
  <c r="I6502" i="2"/>
  <c r="H6502" i="2"/>
  <c r="I3035" i="2"/>
  <c r="H3035" i="2"/>
  <c r="I5617" i="2"/>
  <c r="H5617" i="2"/>
  <c r="I6105" i="2"/>
  <c r="H6105" i="2"/>
  <c r="I2028" i="2"/>
  <c r="H2028" i="2"/>
  <c r="I899" i="2"/>
  <c r="H899" i="2"/>
  <c r="I5598" i="2"/>
  <c r="H5598" i="2"/>
  <c r="I5365" i="2"/>
  <c r="H5365" i="2"/>
  <c r="I6124" i="2"/>
  <c r="H6124" i="2"/>
  <c r="I2802" i="2"/>
  <c r="H2802" i="2"/>
  <c r="I7279" i="2"/>
  <c r="H7279" i="2"/>
  <c r="I7352" i="2"/>
  <c r="H7352" i="2"/>
  <c r="I5622" i="2"/>
  <c r="H5622" i="2"/>
  <c r="I6933" i="2"/>
  <c r="H6933" i="2"/>
  <c r="I8134" i="2"/>
  <c r="H8134" i="2"/>
  <c r="I5749" i="2"/>
  <c r="H5749" i="2"/>
  <c r="I6022" i="2"/>
  <c r="H6022" i="2"/>
  <c r="I364" i="2"/>
  <c r="H364" i="2"/>
  <c r="I2836" i="2"/>
  <c r="H2836" i="2"/>
  <c r="I5657" i="2"/>
  <c r="H5657" i="2"/>
  <c r="I5702" i="2"/>
  <c r="H5702" i="2"/>
  <c r="I2422" i="2"/>
  <c r="H2422" i="2"/>
  <c r="I5359" i="2"/>
  <c r="H5359" i="2"/>
  <c r="I8460" i="2"/>
  <c r="H8460" i="2"/>
  <c r="I8196" i="2"/>
  <c r="H8196" i="2"/>
  <c r="I6591" i="2"/>
  <c r="H6591" i="2"/>
  <c r="I2723" i="2"/>
  <c r="H2723" i="2"/>
  <c r="I6392" i="2"/>
  <c r="H6392" i="2"/>
  <c r="I2854" i="2"/>
  <c r="H2854" i="2"/>
  <c r="I7831" i="2"/>
  <c r="H7831" i="2"/>
  <c r="I7915" i="2"/>
  <c r="H7915" i="2"/>
  <c r="I6498" i="2"/>
  <c r="H6498" i="2"/>
  <c r="I826" i="2"/>
  <c r="H826" i="2"/>
  <c r="I7476" i="2"/>
  <c r="H7476" i="2"/>
  <c r="I5863" i="2"/>
  <c r="H5863" i="2"/>
  <c r="I201" i="2"/>
  <c r="H201" i="2"/>
  <c r="I6930" i="2"/>
  <c r="H6930" i="2"/>
  <c r="I6014" i="2"/>
  <c r="H6014" i="2"/>
  <c r="I7840" i="2"/>
  <c r="H7840" i="2"/>
  <c r="I7982" i="2"/>
  <c r="H7982" i="2"/>
  <c r="I6734" i="2"/>
  <c r="H6734" i="2"/>
  <c r="H7112" i="2"/>
  <c r="I5944" i="2"/>
  <c r="H5944" i="2"/>
  <c r="I2274" i="2"/>
  <c r="H2274" i="2"/>
  <c r="I2305" i="2"/>
  <c r="H2305" i="2"/>
  <c r="I6457" i="2"/>
  <c r="H6457" i="2"/>
  <c r="I1046" i="2"/>
  <c r="H1046" i="2"/>
  <c r="I6116" i="2"/>
  <c r="H6116" i="2"/>
  <c r="I6167" i="2"/>
  <c r="H6167" i="2"/>
  <c r="I6872" i="2"/>
  <c r="H6872" i="2"/>
  <c r="I6765" i="2"/>
  <c r="H6765" i="2"/>
  <c r="I5460" i="2"/>
  <c r="H5460" i="2"/>
  <c r="I5537" i="2"/>
  <c r="H5537" i="2"/>
  <c r="I6360" i="2"/>
  <c r="H6360" i="2"/>
  <c r="I7579" i="2"/>
  <c r="H7579" i="2"/>
  <c r="I2881" i="2"/>
  <c r="H2881" i="2"/>
  <c r="I6960" i="2"/>
  <c r="H6960" i="2"/>
  <c r="I5609" i="2"/>
  <c r="H5609" i="2"/>
  <c r="I6121" i="2"/>
  <c r="H6121" i="2"/>
  <c r="I940" i="2"/>
  <c r="H940" i="2"/>
  <c r="I6344" i="2"/>
  <c r="H6344" i="2"/>
  <c r="I6441" i="2"/>
  <c r="H6441" i="2"/>
  <c r="I2939" i="2"/>
  <c r="H2939" i="2"/>
  <c r="I936" i="2"/>
  <c r="H936" i="2"/>
  <c r="I1241" i="2"/>
  <c r="H1241" i="2"/>
  <c r="I7098" i="2"/>
  <c r="H7098" i="2"/>
  <c r="I1867" i="2"/>
  <c r="H1867" i="2"/>
  <c r="I1793" i="2"/>
  <c r="H1793" i="2"/>
  <c r="I1988" i="2"/>
  <c r="H1988" i="2"/>
  <c r="I6895" i="2"/>
  <c r="H6895" i="2"/>
  <c r="I2160" i="2"/>
  <c r="H2160" i="2"/>
  <c r="I7029" i="2"/>
  <c r="H7029" i="2"/>
  <c r="I389" i="2"/>
  <c r="H389" i="2"/>
  <c r="I2851" i="2"/>
  <c r="H2851" i="2"/>
  <c r="I2566" i="2"/>
  <c r="H2566" i="2"/>
  <c r="I1796" i="2"/>
  <c r="H1796" i="2"/>
  <c r="I6771" i="2"/>
  <c r="H6771" i="2"/>
  <c r="I7257" i="2"/>
  <c r="H7257" i="2"/>
  <c r="I2676" i="2"/>
  <c r="H2676" i="2"/>
  <c r="I6001" i="2"/>
  <c r="H6001" i="2"/>
  <c r="I7730" i="2"/>
  <c r="H7730" i="2"/>
  <c r="I1691" i="2"/>
  <c r="H1691" i="2"/>
  <c r="I6986" i="2"/>
  <c r="H6986" i="2"/>
  <c r="I5183" i="2"/>
  <c r="H5183" i="2"/>
  <c r="I7971" i="2"/>
  <c r="H7971" i="2"/>
  <c r="I6198" i="2"/>
  <c r="H6198" i="2"/>
  <c r="I8205" i="2"/>
  <c r="H8205" i="2"/>
  <c r="I6318" i="2"/>
  <c r="H6318" i="2"/>
  <c r="I2619" i="2"/>
  <c r="H2619" i="2"/>
  <c r="I1739" i="2"/>
  <c r="H1739" i="2"/>
  <c r="I8154" i="2"/>
  <c r="H8154" i="2"/>
  <c r="I5903" i="2"/>
  <c r="H5903" i="2"/>
  <c r="I6302" i="2"/>
  <c r="H6302" i="2"/>
  <c r="I7228" i="2"/>
  <c r="H7228" i="2"/>
  <c r="I5650" i="2"/>
  <c r="H5650" i="2"/>
  <c r="I5448" i="2"/>
  <c r="H5448" i="2"/>
  <c r="I194" i="2"/>
  <c r="H194" i="2"/>
  <c r="I6417" i="2"/>
  <c r="H6417" i="2"/>
  <c r="I2932" i="2"/>
  <c r="H2932" i="2"/>
  <c r="I1829" i="2"/>
  <c r="H1829" i="2"/>
  <c r="I751" i="2"/>
  <c r="H751" i="2"/>
  <c r="I5331" i="2"/>
  <c r="H5331" i="2"/>
  <c r="I340" i="2"/>
  <c r="H340" i="2"/>
  <c r="I2230" i="2"/>
  <c r="H2230" i="2"/>
  <c r="I6225" i="2"/>
  <c r="H6225" i="2"/>
  <c r="I6829" i="2"/>
  <c r="H6829" i="2"/>
  <c r="I2583" i="2"/>
  <c r="H2583" i="2"/>
  <c r="I8383" i="2"/>
  <c r="H8383" i="2"/>
  <c r="I231" i="2"/>
  <c r="H231" i="2"/>
  <c r="I2112" i="2"/>
  <c r="H2112" i="2"/>
  <c r="I6758" i="2"/>
  <c r="H6758" i="2"/>
  <c r="I8359" i="2"/>
  <c r="H8359" i="2"/>
  <c r="I5805" i="2"/>
  <c r="H5805" i="2"/>
  <c r="I1166" i="2"/>
  <c r="H1166" i="2"/>
  <c r="I1639" i="2"/>
  <c r="H1639" i="2"/>
  <c r="I6840" i="2"/>
  <c r="H6840" i="2"/>
  <c r="I7366" i="2"/>
  <c r="H7366" i="2"/>
  <c r="I2484" i="2"/>
  <c r="H2484" i="2"/>
  <c r="I6581" i="2"/>
  <c r="H6581" i="2"/>
  <c r="I2904" i="2"/>
  <c r="H2904" i="2"/>
  <c r="I6163" i="2"/>
  <c r="H6163" i="2"/>
  <c r="I5975" i="2"/>
  <c r="H5975" i="2"/>
  <c r="I7549" i="2"/>
  <c r="H7549" i="2"/>
  <c r="I3215" i="2"/>
  <c r="H3215" i="2"/>
  <c r="I3076" i="2"/>
  <c r="H3076" i="2"/>
  <c r="I6772" i="2"/>
  <c r="H6772" i="2"/>
  <c r="I490" i="2"/>
  <c r="H490" i="2"/>
  <c r="I5714" i="2"/>
  <c r="H5714" i="2"/>
  <c r="I3655" i="2"/>
  <c r="H3655" i="2"/>
  <c r="I2647" i="2"/>
  <c r="H2647" i="2"/>
  <c r="I790" i="2"/>
  <c r="H790" i="2"/>
  <c r="I6235" i="2"/>
  <c r="H6235" i="2"/>
  <c r="I7218" i="2"/>
  <c r="H7218" i="2"/>
  <c r="I5249" i="2"/>
  <c r="H5249" i="2"/>
  <c r="I2915" i="2"/>
  <c r="H2915" i="2"/>
  <c r="I7538" i="2"/>
  <c r="H7538" i="2"/>
  <c r="I3320" i="2"/>
  <c r="H3320" i="2"/>
  <c r="I3140" i="2"/>
  <c r="H3140" i="2"/>
  <c r="I3014" i="2"/>
  <c r="H3014" i="2"/>
  <c r="I5921" i="2"/>
  <c r="H5921" i="2"/>
  <c r="I236" i="2"/>
  <c r="H236" i="2"/>
  <c r="I2640" i="2"/>
  <c r="H2640" i="2"/>
  <c r="I7728" i="2"/>
  <c r="H7728" i="2"/>
  <c r="I7136" i="2"/>
  <c r="H7136" i="2"/>
  <c r="I2935" i="2"/>
  <c r="H2935" i="2"/>
  <c r="I3495" i="2"/>
  <c r="H3495" i="2"/>
  <c r="I896" i="2"/>
  <c r="H896" i="2"/>
  <c r="I5779" i="2"/>
  <c r="H5779" i="2"/>
  <c r="I7041" i="2"/>
  <c r="H7041" i="2"/>
  <c r="I6557" i="2"/>
  <c r="H6557" i="2"/>
  <c r="I2205" i="2"/>
  <c r="H2205" i="2"/>
  <c r="I5731" i="2"/>
  <c r="H5731" i="2"/>
  <c r="I5834" i="2"/>
  <c r="H5834" i="2"/>
  <c r="I2811" i="2"/>
  <c r="H2811" i="2"/>
  <c r="I8241" i="2"/>
  <c r="H8241" i="2"/>
  <c r="I8403" i="2"/>
  <c r="H8403" i="2"/>
  <c r="I6733" i="2"/>
  <c r="H6733" i="2"/>
  <c r="I7513" i="2"/>
  <c r="H7513" i="2"/>
  <c r="I6662" i="2"/>
  <c r="H6662" i="2"/>
  <c r="I267" i="2"/>
  <c r="H267" i="2"/>
  <c r="I3499" i="2"/>
  <c r="H3499" i="2"/>
  <c r="I6448" i="2"/>
  <c r="H6448" i="2"/>
  <c r="I2455" i="2"/>
  <c r="H2455" i="2"/>
  <c r="I8422" i="2"/>
  <c r="H8422" i="2"/>
  <c r="I3430" i="2"/>
  <c r="H3430" i="2"/>
  <c r="I6931" i="2"/>
  <c r="H6931" i="2"/>
  <c r="I1659" i="2"/>
  <c r="H1659" i="2"/>
  <c r="I3046" i="2"/>
  <c r="H3046" i="2"/>
  <c r="I2776" i="2"/>
  <c r="H2776" i="2"/>
  <c r="I2467" i="2"/>
  <c r="H2467" i="2"/>
  <c r="I5800" i="2"/>
  <c r="H5800" i="2"/>
  <c r="I5701" i="2"/>
  <c r="H5701" i="2"/>
  <c r="I6856" i="2"/>
  <c r="H6856" i="2"/>
  <c r="I2886" i="2"/>
  <c r="H2886" i="2"/>
  <c r="I3275" i="2"/>
  <c r="H3275" i="2"/>
  <c r="I7212" i="2"/>
  <c r="H7212" i="2"/>
  <c r="I6140" i="2"/>
  <c r="H6140" i="2"/>
  <c r="I8078" i="2"/>
  <c r="H8078" i="2"/>
  <c r="I2882" i="2"/>
  <c r="H2882" i="2"/>
  <c r="I7474" i="2"/>
  <c r="H7474" i="2"/>
  <c r="I2736" i="2"/>
  <c r="H2736" i="2"/>
  <c r="I2085" i="2"/>
  <c r="H2085" i="2"/>
  <c r="I3474" i="2"/>
  <c r="H3474" i="2"/>
  <c r="I5439" i="2"/>
  <c r="H5439" i="2"/>
  <c r="I2263" i="2"/>
  <c r="H2263" i="2"/>
  <c r="I5971" i="2"/>
  <c r="H5971" i="2"/>
  <c r="I1780" i="2"/>
  <c r="H1780" i="2"/>
  <c r="I5887" i="2"/>
  <c r="H5887" i="2"/>
  <c r="I6142" i="2"/>
  <c r="H6142" i="2"/>
  <c r="I7297" i="2"/>
  <c r="H7297" i="2"/>
  <c r="I8366" i="2"/>
  <c r="H8366" i="2"/>
  <c r="I2462" i="2"/>
  <c r="H2462" i="2"/>
  <c r="I5126" i="2"/>
  <c r="H5126" i="2"/>
  <c r="I1954" i="2"/>
  <c r="H1954" i="2"/>
  <c r="I7867" i="2"/>
  <c r="H7867" i="2"/>
  <c r="I5292" i="2"/>
  <c r="H5292" i="2"/>
  <c r="I2056" i="2"/>
  <c r="H2056" i="2"/>
  <c r="I7396" i="2"/>
  <c r="H7396" i="2"/>
  <c r="I3557" i="2"/>
  <c r="H3557" i="2"/>
  <c r="I2629" i="2"/>
  <c r="H2629" i="2"/>
  <c r="I2547" i="2"/>
  <c r="H2547" i="2"/>
  <c r="I6869" i="2"/>
  <c r="H6869" i="2"/>
  <c r="I6390" i="2"/>
  <c r="H6390" i="2"/>
  <c r="I6285" i="2"/>
  <c r="H6285" i="2"/>
  <c r="I6513" i="2"/>
  <c r="H6513" i="2"/>
  <c r="I3322" i="2"/>
  <c r="H3322" i="2"/>
  <c r="I6574" i="2"/>
  <c r="H6574" i="2"/>
  <c r="I6388" i="2"/>
  <c r="H6388" i="2"/>
  <c r="I7473" i="2"/>
  <c r="H7473" i="2"/>
  <c r="I2007" i="2"/>
  <c r="H2007" i="2"/>
  <c r="I3089" i="2"/>
  <c r="H3089" i="2"/>
  <c r="I2041" i="2"/>
  <c r="H2041" i="2"/>
  <c r="I6545" i="2"/>
  <c r="H6545" i="2"/>
  <c r="I1950" i="2"/>
  <c r="H1950" i="2"/>
  <c r="I2206" i="2"/>
  <c r="H2206" i="2"/>
  <c r="I5393" i="2"/>
  <c r="H5393" i="2"/>
  <c r="I8108" i="2"/>
  <c r="H8108" i="2"/>
  <c r="I6807" i="2"/>
  <c r="H6807" i="2"/>
  <c r="I6503" i="2"/>
  <c r="H6503" i="2"/>
  <c r="I7117" i="2"/>
  <c r="H7117" i="2"/>
  <c r="I3296" i="2"/>
  <c r="H3296" i="2"/>
  <c r="I8195" i="2"/>
  <c r="H8195" i="2"/>
  <c r="I2746" i="2"/>
  <c r="H2746" i="2"/>
  <c r="I1830" i="2"/>
  <c r="H1830" i="2"/>
  <c r="I6476" i="2"/>
  <c r="H6476" i="2"/>
  <c r="I2528" i="2"/>
  <c r="H2528" i="2"/>
  <c r="I7392" i="2"/>
  <c r="H7392" i="2"/>
  <c r="I7924" i="2"/>
  <c r="H7924" i="2"/>
  <c r="I6120" i="2"/>
  <c r="H6120" i="2"/>
  <c r="I2378" i="2"/>
  <c r="H2378" i="2"/>
  <c r="I2175" i="2"/>
  <c r="H2175" i="2"/>
  <c r="I8111" i="2"/>
  <c r="H8111" i="2"/>
  <c r="I7465" i="2"/>
  <c r="H7465" i="2"/>
  <c r="I2148" i="2"/>
  <c r="H2148" i="2"/>
  <c r="I7082" i="2"/>
  <c r="H7082" i="2"/>
  <c r="I2691" i="2"/>
  <c r="H2691" i="2"/>
  <c r="I6966" i="2"/>
  <c r="H6966" i="2"/>
  <c r="I6313" i="2"/>
  <c r="H6313" i="2"/>
  <c r="I6563" i="2"/>
  <c r="H6563" i="2"/>
  <c r="I7178" i="2"/>
  <c r="H7178" i="2"/>
  <c r="I1572" i="2"/>
  <c r="H1572" i="2"/>
  <c r="I6783" i="2"/>
  <c r="H6783" i="2"/>
  <c r="I2663" i="2"/>
  <c r="H2663" i="2"/>
  <c r="I2794" i="2"/>
  <c r="H2794" i="2"/>
  <c r="I2727" i="2"/>
  <c r="H2727" i="2"/>
  <c r="I6200" i="2"/>
  <c r="H6200" i="2"/>
  <c r="I2765" i="2"/>
  <c r="H2765" i="2"/>
  <c r="I1422" i="2"/>
  <c r="H1422" i="2"/>
  <c r="I5949" i="2"/>
  <c r="H5949" i="2"/>
  <c r="I916" i="2"/>
  <c r="H916" i="2"/>
  <c r="I5825" i="2"/>
  <c r="H5825" i="2"/>
  <c r="I206" i="2"/>
  <c r="H206" i="2"/>
  <c r="I902" i="2"/>
  <c r="H902" i="2"/>
  <c r="I3087" i="2"/>
  <c r="H3087" i="2"/>
  <c r="I2894" i="2"/>
  <c r="H2894" i="2"/>
  <c r="I6384" i="2"/>
  <c r="H6384" i="2"/>
  <c r="I4937" i="2"/>
  <c r="H4937" i="2"/>
  <c r="I2591" i="2"/>
  <c r="H2591" i="2"/>
  <c r="I2352" i="2"/>
  <c r="H2352" i="2"/>
  <c r="I6922" i="2"/>
  <c r="H6922" i="2"/>
  <c r="I2079" i="2"/>
  <c r="H2079" i="2"/>
  <c r="I8030" i="2"/>
  <c r="H8030" i="2"/>
  <c r="I6832" i="2"/>
  <c r="H6832" i="2"/>
  <c r="I2909" i="2"/>
  <c r="H2909" i="2"/>
  <c r="I8288" i="2"/>
  <c r="H8288" i="2"/>
  <c r="I8358" i="2"/>
  <c r="H8358" i="2"/>
  <c r="I2785" i="2"/>
  <c r="H2785" i="2"/>
  <c r="I6230" i="2"/>
  <c r="H6230" i="2"/>
  <c r="I6403" i="2"/>
  <c r="H6403" i="2"/>
  <c r="I2885" i="2"/>
  <c r="H2885" i="2"/>
  <c r="I7110" i="2"/>
  <c r="H7110" i="2"/>
  <c r="I5469" i="2"/>
  <c r="H5469" i="2"/>
  <c r="I6061" i="2"/>
  <c r="H6061" i="2"/>
  <c r="I197" i="2"/>
  <c r="H197" i="2"/>
  <c r="I1884" i="2"/>
  <c r="H1884" i="2"/>
  <c r="I1841" i="2"/>
  <c r="H1841" i="2"/>
  <c r="I1461" i="2"/>
  <c r="H1461" i="2"/>
  <c r="I7139" i="2"/>
  <c r="H7139" i="2"/>
  <c r="I5846" i="2"/>
  <c r="H5846" i="2"/>
  <c r="I2443" i="2"/>
  <c r="H2443" i="2"/>
  <c r="I2416" i="2"/>
  <c r="H2416" i="2"/>
  <c r="I2222" i="2"/>
  <c r="H2222" i="2"/>
  <c r="I183" i="2"/>
  <c r="H183" i="2"/>
  <c r="I7424" i="2"/>
  <c r="H7424" i="2"/>
  <c r="I1758" i="2"/>
  <c r="H1758" i="2"/>
  <c r="I7756" i="2"/>
  <c r="H7756" i="2"/>
  <c r="I6818" i="2"/>
  <c r="H6818" i="2"/>
  <c r="I2108" i="2"/>
  <c r="H2108" i="2"/>
  <c r="I1730" i="2"/>
  <c r="H1730" i="2"/>
  <c r="I2774" i="2"/>
  <c r="H2774" i="2"/>
  <c r="I2818" i="2"/>
  <c r="H2818" i="2"/>
  <c r="I2473" i="2"/>
  <c r="H2473" i="2"/>
  <c r="I8334" i="2"/>
  <c r="H8334" i="2"/>
  <c r="I6504" i="2"/>
  <c r="H6504" i="2"/>
  <c r="I6149" i="2"/>
  <c r="H6149" i="2"/>
  <c r="I794" i="2"/>
  <c r="H794" i="2"/>
  <c r="I2756" i="2"/>
  <c r="H2756" i="2"/>
  <c r="I1977" i="2"/>
  <c r="H1977" i="2"/>
  <c r="I8394" i="2"/>
  <c r="H8394" i="2"/>
  <c r="I2973" i="2"/>
  <c r="H2973" i="2"/>
  <c r="I6752" i="2"/>
  <c r="H6752" i="2"/>
  <c r="I1462" i="2"/>
  <c r="H1462" i="2"/>
  <c r="I2022" i="2"/>
  <c r="H2022" i="2"/>
  <c r="I2560" i="2"/>
  <c r="H2560" i="2"/>
  <c r="I1848" i="2"/>
  <c r="H1848" i="2"/>
  <c r="I2313" i="2"/>
  <c r="H2313" i="2"/>
  <c r="I6882" i="2"/>
  <c r="H6882" i="2"/>
  <c r="I5911" i="2"/>
  <c r="H5911" i="2"/>
  <c r="I6953" i="2"/>
  <c r="H6953" i="2"/>
  <c r="I5956" i="2"/>
  <c r="H5956" i="2"/>
  <c r="I7504" i="2"/>
  <c r="H7504" i="2"/>
  <c r="I5783" i="2"/>
  <c r="H5783" i="2"/>
  <c r="I5355" i="2"/>
  <c r="H5355" i="2"/>
  <c r="I7034" i="2"/>
  <c r="H7034" i="2"/>
  <c r="I6512" i="2"/>
  <c r="H6512" i="2"/>
  <c r="I2686" i="2"/>
  <c r="H2686" i="2"/>
  <c r="I1402" i="2"/>
  <c r="H1402" i="2"/>
  <c r="I1595" i="2"/>
  <c r="H1595" i="2"/>
  <c r="I3168" i="2"/>
  <c r="H3168" i="2"/>
  <c r="I2076" i="2"/>
  <c r="H2076" i="2"/>
  <c r="I7445" i="2"/>
  <c r="H7445" i="2"/>
  <c r="I388" i="2"/>
  <c r="H388" i="2"/>
  <c r="I5958" i="2"/>
  <c r="H5958" i="2"/>
  <c r="I370" i="2"/>
  <c r="H370" i="2"/>
  <c r="I1677" i="2"/>
  <c r="H1677" i="2"/>
  <c r="I6289" i="2"/>
  <c r="H6289" i="2"/>
  <c r="I7427" i="2"/>
  <c r="H7427" i="2"/>
  <c r="I265" i="2"/>
  <c r="H265" i="2"/>
  <c r="I6148" i="2"/>
  <c r="H6148" i="2"/>
  <c r="I7153" i="2"/>
  <c r="H7153" i="2"/>
  <c r="I7321" i="2"/>
  <c r="H7321" i="2"/>
  <c r="I6639" i="2"/>
  <c r="H6639" i="2"/>
  <c r="I8487" i="2"/>
  <c r="H8487" i="2"/>
  <c r="I7057" i="2"/>
  <c r="H7057" i="2"/>
  <c r="I2048" i="2"/>
  <c r="H2048" i="2"/>
  <c r="I8371" i="2"/>
  <c r="H8371" i="2"/>
  <c r="I6406" i="2"/>
  <c r="H6406" i="2"/>
  <c r="I2757" i="2"/>
  <c r="H2757" i="2"/>
  <c r="I2368" i="2"/>
  <c r="H2368" i="2"/>
  <c r="I6802" i="2"/>
  <c r="H6802" i="2"/>
  <c r="I6202" i="2"/>
  <c r="H6202" i="2"/>
  <c r="I7381" i="2"/>
  <c r="H7381" i="2"/>
  <c r="I6399" i="2"/>
  <c r="H6399" i="2"/>
  <c r="I2596" i="2"/>
  <c r="H2596" i="2"/>
  <c r="I7180" i="2"/>
  <c r="H7180" i="2"/>
  <c r="I660" i="2"/>
  <c r="H660" i="2"/>
  <c r="I7097" i="2"/>
  <c r="H7097" i="2"/>
  <c r="I6588" i="2"/>
  <c r="H6588" i="2"/>
  <c r="I1235" i="2"/>
  <c r="H1235" i="2"/>
  <c r="I6270" i="2"/>
  <c r="H6270" i="2"/>
  <c r="I7227" i="2"/>
  <c r="H7227" i="2"/>
  <c r="I2865" i="2"/>
  <c r="H2865" i="2"/>
  <c r="I1984" i="2"/>
  <c r="H1984" i="2"/>
  <c r="I8232" i="2"/>
  <c r="H8232" i="2"/>
  <c r="I2163" i="2"/>
  <c r="H2163" i="2"/>
  <c r="I2373" i="2"/>
  <c r="H2373" i="2"/>
  <c r="I5945" i="2"/>
  <c r="H5945" i="2"/>
  <c r="I5790" i="2"/>
  <c r="H5790" i="2"/>
  <c r="I8150" i="2"/>
  <c r="H8150" i="2"/>
  <c r="I8271" i="2"/>
  <c r="H8271" i="2"/>
  <c r="I6544" i="2"/>
  <c r="H6544" i="2"/>
  <c r="I7944" i="2"/>
  <c r="H7944" i="2"/>
  <c r="I7628" i="2"/>
  <c r="H7628" i="2"/>
  <c r="I6185" i="2"/>
  <c r="H6185" i="2"/>
  <c r="I2180" i="2"/>
  <c r="H2180" i="2"/>
  <c r="I263" i="2"/>
  <c r="H263" i="2"/>
  <c r="I1190" i="2"/>
  <c r="H1190" i="2"/>
  <c r="I5626" i="2"/>
  <c r="H5626" i="2"/>
  <c r="I6519" i="2"/>
  <c r="H6519" i="2"/>
  <c r="I247" i="2"/>
  <c r="H247" i="2"/>
  <c r="I993" i="2"/>
  <c r="H993" i="2"/>
  <c r="I2338" i="2"/>
  <c r="H2338" i="2"/>
  <c r="I5682" i="2"/>
  <c r="H5682" i="2"/>
  <c r="I6155" i="2"/>
  <c r="H6155" i="2"/>
  <c r="I2576" i="2"/>
  <c r="H2576" i="2"/>
  <c r="I7452" i="2"/>
  <c r="H7452" i="2"/>
  <c r="I2690" i="2"/>
  <c r="H2690" i="2"/>
  <c r="I6579" i="2"/>
  <c r="H6579" i="2"/>
  <c r="I1956" i="2"/>
  <c r="H1956" i="2"/>
  <c r="I3068" i="2"/>
  <c r="H3068" i="2"/>
  <c r="I7664" i="2"/>
  <c r="H7664" i="2"/>
  <c r="I2864" i="2"/>
  <c r="H2864" i="2"/>
  <c r="I7334" i="2"/>
  <c r="H7334" i="2"/>
  <c r="I2273" i="2"/>
  <c r="H2273" i="2"/>
  <c r="I1317" i="2"/>
  <c r="H1317" i="2"/>
  <c r="I806" i="2"/>
  <c r="H806" i="2"/>
  <c r="I6796" i="2"/>
  <c r="H6796" i="2"/>
  <c r="I6683" i="2"/>
  <c r="H6683" i="2"/>
  <c r="I1985" i="2"/>
  <c r="H1985" i="2"/>
  <c r="I7007" i="2"/>
  <c r="H7007" i="2"/>
  <c r="I7425" i="2"/>
  <c r="H7425" i="2"/>
  <c r="I2712" i="2"/>
  <c r="H2712" i="2"/>
  <c r="I1418" i="2"/>
  <c r="H1418" i="2"/>
  <c r="I6112" i="2"/>
  <c r="H6112" i="2"/>
  <c r="I7721" i="2"/>
  <c r="H7721" i="2"/>
  <c r="I8231" i="2"/>
  <c r="H8231" i="2"/>
  <c r="I6111" i="2"/>
  <c r="H6111" i="2"/>
  <c r="I2149" i="2"/>
  <c r="H2149" i="2"/>
  <c r="I2856" i="2"/>
  <c r="H2856" i="2"/>
  <c r="I6699" i="2"/>
  <c r="H6699" i="2"/>
  <c r="I7005" i="2"/>
  <c r="H7005" i="2"/>
  <c r="I821" i="2"/>
  <c r="H821" i="2"/>
  <c r="I7442" i="2"/>
  <c r="H7442" i="2"/>
  <c r="I477" i="2"/>
  <c r="H477" i="2"/>
  <c r="I2158" i="2"/>
  <c r="H2158" i="2"/>
  <c r="I5806" i="2"/>
  <c r="H5806" i="2"/>
  <c r="I2225" i="2"/>
  <c r="H2225" i="2"/>
  <c r="I2250" i="2"/>
  <c r="H2250" i="2"/>
  <c r="I2326" i="2"/>
  <c r="H2326" i="2"/>
  <c r="I8212" i="2"/>
  <c r="H8212" i="2"/>
  <c r="I8355" i="2"/>
  <c r="H8355" i="2"/>
  <c r="I2023" i="2"/>
  <c r="H2023" i="2"/>
  <c r="I2451" i="2"/>
  <c r="H2451" i="2"/>
  <c r="I5823" i="2"/>
  <c r="H5823" i="2"/>
  <c r="I8228" i="2"/>
  <c r="H8228" i="2"/>
  <c r="I5673" i="2"/>
  <c r="H5673" i="2"/>
  <c r="I6883" i="2"/>
  <c r="H6883" i="2"/>
  <c r="I5906" i="2"/>
  <c r="H5906" i="2"/>
  <c r="I1823" i="2"/>
  <c r="H1823" i="2"/>
  <c r="I2049" i="2"/>
  <c r="H2049" i="2"/>
  <c r="I2457" i="2"/>
  <c r="H2457" i="2"/>
  <c r="I6228" i="2"/>
  <c r="H6228" i="2"/>
  <c r="I7871" i="2"/>
  <c r="H7871" i="2"/>
  <c r="I7676" i="2"/>
  <c r="H7676" i="2"/>
  <c r="I534" i="2"/>
  <c r="H534" i="2"/>
  <c r="I391" i="2"/>
  <c r="H391" i="2"/>
  <c r="I2706" i="2"/>
  <c r="H2706" i="2"/>
  <c r="I7941" i="2"/>
  <c r="H7941" i="2"/>
  <c r="I7562" i="2"/>
  <c r="H7562" i="2"/>
  <c r="I6629" i="2"/>
  <c r="H6629" i="2"/>
  <c r="I1851" i="2"/>
  <c r="H1851" i="2"/>
  <c r="I7463" i="2"/>
  <c r="H7463" i="2"/>
  <c r="I6809" i="2"/>
  <c r="H6809" i="2"/>
  <c r="I2312" i="2"/>
  <c r="H2312" i="2"/>
  <c r="I1456" i="2"/>
  <c r="H1456" i="2"/>
  <c r="I5848" i="2"/>
  <c r="H5848" i="2"/>
  <c r="I891" i="2"/>
  <c r="H891" i="2"/>
  <c r="I6206" i="2"/>
  <c r="H6206" i="2"/>
  <c r="I2450" i="2"/>
  <c r="H2450" i="2"/>
  <c r="I6736" i="2"/>
  <c r="H6736" i="2"/>
  <c r="I7025" i="2"/>
  <c r="H7025" i="2"/>
  <c r="I2515" i="2"/>
  <c r="H2515" i="2"/>
  <c r="I6954" i="2"/>
  <c r="H6954" i="2"/>
  <c r="I6223" i="2"/>
  <c r="H6223" i="2"/>
  <c r="I1450" i="2"/>
  <c r="H1450" i="2"/>
  <c r="I6652" i="2"/>
  <c r="H6652" i="2"/>
  <c r="I7357" i="2"/>
  <c r="H7357" i="2"/>
  <c r="I5812" i="2"/>
  <c r="H5812" i="2"/>
  <c r="I6063" i="2"/>
  <c r="H6063" i="2"/>
  <c r="I2941" i="2"/>
  <c r="H2941" i="2"/>
  <c r="I7189" i="2"/>
  <c r="H7189" i="2"/>
  <c r="I2221" i="2"/>
  <c r="H2221" i="2"/>
  <c r="I6866" i="2"/>
  <c r="H6866" i="2"/>
  <c r="I7738" i="2"/>
  <c r="H7738" i="2"/>
  <c r="I7734" i="2"/>
  <c r="H7734" i="2"/>
  <c r="I1683" i="2"/>
  <c r="H1683" i="2"/>
  <c r="I6694" i="2"/>
  <c r="H6694" i="2"/>
  <c r="I7555" i="2"/>
  <c r="H7555" i="2"/>
  <c r="I281" i="2"/>
  <c r="H281" i="2"/>
  <c r="I6899" i="2"/>
  <c r="H6899" i="2"/>
  <c r="I1996" i="2"/>
  <c r="H1996" i="2"/>
  <c r="I1800" i="2"/>
  <c r="H1800" i="2"/>
  <c r="I1541" i="2"/>
  <c r="H1541" i="2"/>
  <c r="I7081" i="2"/>
  <c r="H7081" i="2"/>
  <c r="I8217" i="2"/>
  <c r="H8217" i="2"/>
  <c r="I2531" i="2"/>
  <c r="H2531" i="2"/>
  <c r="I2695" i="2"/>
  <c r="H2695" i="2"/>
  <c r="I2710" i="2"/>
  <c r="H2710" i="2"/>
  <c r="I1833" i="2"/>
  <c r="H1833" i="2"/>
  <c r="I6136" i="2"/>
  <c r="H6136" i="2"/>
  <c r="I278" i="2"/>
  <c r="H278" i="2"/>
  <c r="I185" i="2"/>
  <c r="H185" i="2"/>
  <c r="I405" i="2"/>
  <c r="H405" i="2"/>
  <c r="I7531" i="2"/>
  <c r="H7531" i="2"/>
  <c r="I2164" i="2"/>
  <c r="H2164" i="2"/>
  <c r="I666" i="2"/>
  <c r="H666" i="2"/>
  <c r="I6928" i="2"/>
  <c r="H6928" i="2"/>
  <c r="I2138" i="2"/>
  <c r="H2138" i="2"/>
  <c r="I6315" i="2"/>
  <c r="H6315" i="2"/>
  <c r="I6426" i="2"/>
  <c r="H6426" i="2"/>
  <c r="I2009" i="2"/>
  <c r="H2009" i="2"/>
  <c r="I2572" i="2"/>
  <c r="H2572" i="2"/>
  <c r="I1685" i="2"/>
  <c r="H1685" i="2"/>
  <c r="I5429" i="2"/>
  <c r="H5429" i="2"/>
  <c r="I8248" i="2"/>
  <c r="H8248" i="2"/>
  <c r="I2211" i="2"/>
  <c r="H2211" i="2"/>
  <c r="I5512" i="2"/>
  <c r="H5512" i="2"/>
  <c r="I2364" i="2"/>
  <c r="H2364" i="2"/>
  <c r="I7661" i="2"/>
  <c r="H7661" i="2"/>
  <c r="I1176" i="2"/>
  <c r="H1176" i="2"/>
  <c r="I2520" i="2"/>
  <c r="H2520" i="2"/>
  <c r="I869" i="2"/>
  <c r="H869" i="2"/>
  <c r="I7196" i="2"/>
  <c r="H7196" i="2"/>
  <c r="I6963" i="2"/>
  <c r="H6963" i="2"/>
  <c r="I5777" i="2"/>
  <c r="H5777" i="2"/>
  <c r="I597" i="2"/>
  <c r="H597" i="2"/>
  <c r="I8501" i="2"/>
  <c r="H8501" i="2"/>
  <c r="I8182" i="2"/>
  <c r="H8182" i="2"/>
  <c r="I6619" i="2"/>
  <c r="H6619" i="2"/>
  <c r="I6634" i="2"/>
  <c r="H6634" i="2"/>
  <c r="I3027" i="2"/>
  <c r="H3027" i="2"/>
  <c r="I923" i="2"/>
  <c r="H923" i="2"/>
  <c r="I7389" i="2"/>
  <c r="H7389" i="2"/>
  <c r="I2066" i="2"/>
  <c r="H2066" i="2"/>
  <c r="I1464" i="2"/>
  <c r="H1464" i="2"/>
  <c r="I7675" i="2"/>
  <c r="H7675" i="2"/>
  <c r="I2412" i="2"/>
  <c r="H2412" i="2"/>
  <c r="I458" i="2"/>
  <c r="H458" i="2"/>
  <c r="I6925" i="2"/>
  <c r="H6925" i="2"/>
  <c r="I2666" i="2"/>
  <c r="H2666" i="2"/>
  <c r="I2304" i="2"/>
  <c r="H2304" i="2"/>
  <c r="I953" i="2"/>
  <c r="H953" i="2"/>
  <c r="I989" i="2"/>
  <c r="H989" i="2"/>
  <c r="I8045" i="2"/>
  <c r="H8045" i="2"/>
  <c r="I156" i="2"/>
  <c r="H156" i="2"/>
  <c r="I8090" i="2"/>
  <c r="H8090" i="2"/>
  <c r="I6444" i="2"/>
  <c r="H6444" i="2"/>
  <c r="I395" i="2"/>
  <c r="H395" i="2"/>
  <c r="I2579" i="2"/>
  <c r="H2579" i="2"/>
  <c r="I2545" i="2"/>
  <c r="H2545" i="2"/>
  <c r="I6179" i="2"/>
  <c r="H6179" i="2"/>
  <c r="I2549" i="2"/>
  <c r="H2549" i="2"/>
  <c r="I7239" i="2"/>
  <c r="H7239" i="2"/>
  <c r="I7071" i="2"/>
  <c r="H7071" i="2"/>
  <c r="I2656" i="2"/>
  <c r="H2656" i="2"/>
  <c r="I6035" i="2"/>
  <c r="H6035" i="2"/>
  <c r="I7778" i="2"/>
  <c r="H7778" i="2"/>
  <c r="I6520" i="2"/>
  <c r="H6520" i="2"/>
  <c r="I7164" i="2"/>
  <c r="H7164" i="2"/>
  <c r="I7245" i="2"/>
  <c r="H7245" i="2"/>
  <c r="I6400" i="2"/>
  <c r="H6400" i="2"/>
  <c r="I8280" i="2"/>
  <c r="H8280" i="2"/>
  <c r="I7367" i="2"/>
  <c r="H7367" i="2"/>
  <c r="I1417" i="2"/>
  <c r="H1417" i="2"/>
  <c r="I6622" i="2"/>
  <c r="H6622" i="2"/>
  <c r="I7304" i="2"/>
  <c r="H7304" i="2"/>
  <c r="I184" i="2"/>
  <c r="H184" i="2"/>
  <c r="I7451" i="2"/>
  <c r="H7451" i="2"/>
  <c r="I7209" i="2"/>
  <c r="H7209" i="2"/>
  <c r="I193" i="2"/>
  <c r="H193" i="2"/>
  <c r="I6180" i="2"/>
  <c r="H6180" i="2"/>
  <c r="I8197" i="2"/>
  <c r="H8197" i="2"/>
  <c r="I1927" i="2"/>
  <c r="H1927" i="2"/>
  <c r="I7940" i="2"/>
  <c r="H7940" i="2"/>
  <c r="I2021" i="2"/>
  <c r="H2021" i="2"/>
  <c r="I6231" i="2"/>
  <c r="H6231" i="2"/>
  <c r="I6753" i="2"/>
  <c r="H6753" i="2"/>
  <c r="I6997" i="2"/>
  <c r="H6997" i="2"/>
  <c r="I6478" i="2"/>
  <c r="H6478" i="2"/>
  <c r="I6904" i="2"/>
  <c r="H6904" i="2"/>
  <c r="I2199" i="2"/>
  <c r="H2199" i="2"/>
  <c r="I7786" i="2"/>
  <c r="H7786" i="2"/>
  <c r="I2728" i="2"/>
  <c r="H2728" i="2"/>
  <c r="I7963" i="2"/>
  <c r="H7963" i="2"/>
  <c r="I7849" i="2"/>
  <c r="H7849" i="2"/>
  <c r="I5803" i="2"/>
  <c r="H5803" i="2"/>
  <c r="I2344" i="2"/>
  <c r="H2344" i="2"/>
  <c r="I7431" i="2"/>
  <c r="H7431" i="2"/>
  <c r="I338" i="2"/>
  <c r="H338" i="2"/>
  <c r="I6838" i="2"/>
  <c r="H6838" i="2"/>
  <c r="I6617" i="2"/>
  <c r="H6617" i="2"/>
  <c r="I1961" i="2"/>
  <c r="H1961" i="2"/>
  <c r="I6487" i="2"/>
  <c r="H6487" i="2"/>
  <c r="I1891" i="2"/>
  <c r="H1891" i="2"/>
  <c r="I3445" i="2"/>
  <c r="H3445" i="2"/>
  <c r="I7296" i="2"/>
  <c r="H7296" i="2"/>
  <c r="I6028" i="2"/>
  <c r="H6028" i="2"/>
  <c r="I6466" i="2"/>
  <c r="H6466" i="2"/>
  <c r="I6830" i="2"/>
  <c r="H6830" i="2"/>
  <c r="I1972" i="2"/>
  <c r="H1972" i="2"/>
  <c r="I2311" i="2"/>
  <c r="H2311" i="2"/>
  <c r="I6692" i="2"/>
  <c r="H6692" i="2"/>
  <c r="I856" i="2"/>
  <c r="H856" i="2"/>
  <c r="I6625" i="2"/>
  <c r="H6625" i="2"/>
  <c r="I7930" i="2"/>
  <c r="H7930" i="2"/>
  <c r="I2801" i="2"/>
  <c r="H2801" i="2"/>
  <c r="I6349" i="2"/>
  <c r="H6349" i="2"/>
  <c r="I6436" i="2"/>
  <c r="H6436" i="2"/>
  <c r="I7169" i="2"/>
  <c r="H7169" i="2"/>
  <c r="I5967" i="2"/>
  <c r="H5967" i="2"/>
  <c r="I6717" i="2"/>
  <c r="H6717" i="2"/>
  <c r="I2240" i="2"/>
  <c r="H2240" i="2"/>
  <c r="I2405" i="2"/>
  <c r="H2405" i="2"/>
  <c r="I2203" i="2"/>
  <c r="H2203" i="2"/>
  <c r="I2169" i="2"/>
  <c r="H2169" i="2"/>
  <c r="I2705" i="2"/>
  <c r="H2705" i="2"/>
  <c r="I8104" i="2"/>
  <c r="H8104" i="2"/>
  <c r="I1185" i="2"/>
  <c r="H1185" i="2"/>
  <c r="I8126" i="2"/>
  <c r="H8126" i="2"/>
  <c r="I2654" i="2"/>
  <c r="H2654" i="2"/>
  <c r="I6054" i="2"/>
  <c r="H6054" i="2"/>
  <c r="I6443" i="2"/>
  <c r="H6443" i="2"/>
  <c r="I1895" i="2"/>
  <c r="H1895" i="2"/>
  <c r="I6365" i="2"/>
  <c r="H6365" i="2"/>
  <c r="I7689" i="2"/>
  <c r="H7689" i="2"/>
  <c r="I2563" i="2"/>
  <c r="H2563" i="2"/>
  <c r="I875" i="2"/>
  <c r="H875" i="2"/>
  <c r="I6382" i="2"/>
  <c r="H6382" i="2"/>
  <c r="I1797" i="2"/>
  <c r="H1797" i="2"/>
  <c r="I2975" i="2"/>
  <c r="H2975" i="2"/>
  <c r="I7124" i="2"/>
  <c r="H7124" i="2"/>
  <c r="I6939" i="2"/>
  <c r="H6939" i="2"/>
  <c r="I6827" i="2"/>
  <c r="H6827" i="2"/>
  <c r="I1856" i="2"/>
  <c r="H1856" i="2"/>
  <c r="I2525" i="2"/>
  <c r="H2525" i="2"/>
  <c r="I7737" i="2"/>
  <c r="H7737" i="2"/>
  <c r="I5669" i="2"/>
  <c r="H5669" i="2"/>
  <c r="I2235" i="2"/>
  <c r="H2235" i="2"/>
  <c r="I3002" i="2"/>
  <c r="H3002" i="2"/>
  <c r="I6491" i="2"/>
  <c r="H6491" i="2"/>
  <c r="I1940" i="2"/>
  <c r="H1940" i="2"/>
  <c r="I6776" i="2"/>
  <c r="H6776" i="2"/>
  <c r="I8405" i="2"/>
  <c r="H8405" i="2"/>
  <c r="I7379" i="2"/>
  <c r="H7379" i="2"/>
  <c r="I6069" i="2"/>
  <c r="H6069" i="2"/>
  <c r="I6057" i="2"/>
  <c r="H6057" i="2"/>
  <c r="I2556" i="2"/>
  <c r="H2556" i="2"/>
  <c r="I2296" i="2"/>
  <c r="H2296" i="2"/>
  <c r="I3256" i="2"/>
  <c r="H3256" i="2"/>
  <c r="I7768" i="2"/>
  <c r="H7768" i="2"/>
  <c r="I3521" i="2"/>
  <c r="H3521" i="2"/>
  <c r="I6965" i="2"/>
  <c r="H6965" i="2"/>
  <c r="I6272" i="2"/>
  <c r="H6272" i="2"/>
  <c r="I8207" i="2"/>
  <c r="H8207" i="2"/>
  <c r="I264" i="2"/>
  <c r="H264" i="2"/>
  <c r="I2972" i="2"/>
  <c r="H2972" i="2"/>
  <c r="I1936" i="2"/>
  <c r="H1936" i="2"/>
  <c r="I8193" i="2"/>
  <c r="H8193" i="2"/>
  <c r="I2796" i="2"/>
  <c r="H2796" i="2"/>
  <c r="I697" i="2"/>
  <c r="H697" i="2"/>
  <c r="I1647" i="2"/>
  <c r="H1647" i="2"/>
  <c r="I7608" i="2"/>
  <c r="H7608" i="2"/>
  <c r="I2132" i="2"/>
  <c r="H2132" i="2"/>
  <c r="I6372" i="2"/>
  <c r="H6372" i="2"/>
  <c r="I444" i="2"/>
  <c r="H444" i="2"/>
  <c r="I8469" i="2"/>
  <c r="H8469" i="2"/>
  <c r="I2815" i="2"/>
  <c r="H2815" i="2"/>
  <c r="I6587" i="2"/>
  <c r="H6587" i="2"/>
  <c r="I6474" i="2"/>
  <c r="H6474" i="2"/>
  <c r="I7606" i="2"/>
  <c r="H7606" i="2"/>
  <c r="I1908" i="2"/>
  <c r="H1908" i="2"/>
  <c r="I1263" i="2"/>
  <c r="H1263" i="2"/>
  <c r="I6730" i="2"/>
  <c r="H6730" i="2"/>
  <c r="I7343" i="2"/>
  <c r="H7343" i="2"/>
  <c r="I6514" i="2"/>
  <c r="H6514" i="2"/>
  <c r="I6755" i="2"/>
  <c r="H6755" i="2"/>
  <c r="I6571" i="2"/>
  <c r="H6571" i="2"/>
  <c r="I7103" i="2"/>
  <c r="H7103" i="2"/>
  <c r="I7093" i="2"/>
  <c r="H7093" i="2"/>
  <c r="I6256" i="2"/>
  <c r="H6256" i="2"/>
  <c r="I7240" i="2"/>
  <c r="H7240" i="2"/>
  <c r="I6456" i="2"/>
  <c r="H6456" i="2"/>
  <c r="I1411" i="2"/>
  <c r="H1411" i="2"/>
  <c r="I7890" i="2"/>
  <c r="H7890" i="2"/>
  <c r="I6806" i="2"/>
  <c r="H6806" i="2"/>
  <c r="I6490" i="2"/>
  <c r="H6490" i="2"/>
  <c r="I6621" i="2"/>
  <c r="H6621" i="2"/>
  <c r="I6985" i="2"/>
  <c r="H6985" i="2"/>
  <c r="I947" i="2"/>
  <c r="H947" i="2"/>
  <c r="I727" i="2"/>
  <c r="H727" i="2"/>
  <c r="I3109" i="2"/>
  <c r="H3109" i="2"/>
  <c r="I7535" i="2"/>
  <c r="H7535" i="2"/>
  <c r="I2024" i="2"/>
  <c r="H2024" i="2"/>
  <c r="I157" i="2"/>
  <c r="H157" i="2"/>
  <c r="I1423" i="2"/>
  <c r="H1423" i="2"/>
  <c r="I2548" i="2"/>
  <c r="H2548" i="2"/>
  <c r="I707" i="2"/>
  <c r="H707" i="2"/>
  <c r="I2574" i="2"/>
  <c r="H2574" i="2"/>
  <c r="I2105" i="2"/>
  <c r="H2105" i="2"/>
  <c r="I598" i="2"/>
  <c r="H598" i="2"/>
  <c r="I5262" i="2"/>
  <c r="H5262" i="2"/>
  <c r="I6991" i="2"/>
  <c r="H6991" i="2"/>
  <c r="I2107" i="2"/>
  <c r="H2107" i="2"/>
  <c r="I1938" i="2"/>
  <c r="H1938" i="2"/>
  <c r="I2880" i="2"/>
  <c r="H2880" i="2"/>
  <c r="I4973" i="2"/>
  <c r="H4973" i="2"/>
  <c r="I7985" i="2"/>
  <c r="H7985" i="2"/>
  <c r="I6134" i="2"/>
  <c r="H6134" i="2"/>
  <c r="I2131" i="2"/>
  <c r="H2131" i="2"/>
  <c r="I3117" i="2"/>
  <c r="H3117" i="2"/>
  <c r="I7349" i="2"/>
  <c r="H7349" i="2"/>
  <c r="I7886" i="2"/>
  <c r="H7886" i="2"/>
  <c r="I2643" i="2"/>
  <c r="H2643" i="2"/>
  <c r="I7515" i="2"/>
  <c r="H7515" i="2"/>
  <c r="I6038" i="2"/>
  <c r="H6038" i="2"/>
  <c r="I1975" i="2"/>
  <c r="H1975" i="2"/>
  <c r="I6821" i="2"/>
  <c r="H6821" i="2"/>
  <c r="I1868" i="2"/>
  <c r="H1868" i="2"/>
  <c r="I2399" i="2"/>
  <c r="H2399" i="2"/>
  <c r="I372" i="2"/>
  <c r="H372" i="2"/>
  <c r="I2507" i="2"/>
  <c r="H2507" i="2"/>
  <c r="I6172" i="2"/>
  <c r="H6172" i="2"/>
  <c r="I6525" i="2"/>
  <c r="H6525" i="2"/>
  <c r="I7243" i="2"/>
  <c r="H7243" i="2"/>
  <c r="I2227" i="2"/>
  <c r="H2227" i="2"/>
  <c r="I1899" i="2"/>
  <c r="H1899" i="2"/>
  <c r="I2433" i="2"/>
  <c r="H2433" i="2"/>
  <c r="I6145" i="2"/>
  <c r="H6145" i="2"/>
  <c r="I7974" i="2"/>
  <c r="H7974" i="2"/>
  <c r="I6907" i="2"/>
  <c r="H6907" i="2"/>
  <c r="I1650" i="2"/>
  <c r="H1650" i="2"/>
  <c r="I2354" i="2"/>
  <c r="H2354" i="2"/>
  <c r="I7494" i="2"/>
  <c r="H7494" i="2"/>
  <c r="I7741" i="2"/>
  <c r="H7741" i="2"/>
  <c r="I3156" i="2"/>
  <c r="H3156" i="2"/>
  <c r="I7484" i="2"/>
  <c r="H7484" i="2"/>
  <c r="I1154" i="2"/>
  <c r="H1154" i="2"/>
  <c r="I6418" i="2"/>
  <c r="H6418" i="2"/>
  <c r="I7961" i="2"/>
  <c r="H7961" i="2"/>
  <c r="I2421" i="2"/>
  <c r="H2421" i="2"/>
  <c r="I870" i="2"/>
  <c r="H870" i="2"/>
  <c r="I1744" i="2"/>
  <c r="H1744" i="2"/>
  <c r="I6937" i="2"/>
  <c r="H6937" i="2"/>
  <c r="I1324" i="2"/>
  <c r="H1324" i="2"/>
  <c r="I5976" i="2"/>
  <c r="H5976" i="2"/>
  <c r="I2655" i="2"/>
  <c r="H2655" i="2"/>
  <c r="I2006" i="2"/>
  <c r="H2006" i="2"/>
  <c r="I7001" i="2"/>
  <c r="H7001" i="2"/>
  <c r="I1720" i="2"/>
  <c r="H1720" i="2"/>
  <c r="I2229" i="2"/>
  <c r="H2229" i="2"/>
  <c r="I6383" i="2"/>
  <c r="H6383" i="2"/>
  <c r="I8247" i="2"/>
  <c r="H8247" i="2"/>
  <c r="I2701" i="2"/>
  <c r="H2701" i="2"/>
  <c r="I5491" i="2"/>
  <c r="H5491" i="2"/>
  <c r="I1602" i="2"/>
  <c r="H1602" i="2"/>
  <c r="I6214" i="2"/>
  <c r="H6214" i="2"/>
  <c r="I969" i="2"/>
  <c r="H969" i="2"/>
  <c r="I1870" i="2"/>
  <c r="H1870" i="2"/>
  <c r="I7743" i="2"/>
  <c r="H7743" i="2"/>
  <c r="I548" i="2"/>
  <c r="H548" i="2"/>
  <c r="I1810" i="2"/>
  <c r="H1810" i="2"/>
  <c r="I8450" i="2"/>
  <c r="H8450" i="2"/>
  <c r="I159" i="2"/>
  <c r="H159" i="2"/>
  <c r="I7109" i="2"/>
  <c r="H7109" i="2"/>
  <c r="I6204" i="2"/>
  <c r="H6204" i="2"/>
  <c r="I6761" i="2"/>
  <c r="H6761" i="2"/>
  <c r="I6226" i="2"/>
  <c r="H6226" i="2"/>
  <c r="I773" i="2"/>
  <c r="H773" i="2"/>
  <c r="I6664" i="2"/>
  <c r="H6664" i="2"/>
  <c r="I6805" i="2"/>
  <c r="H6805" i="2"/>
  <c r="I300" i="2"/>
  <c r="H300" i="2"/>
  <c r="I279" i="2"/>
  <c r="H279" i="2"/>
  <c r="I1548" i="2"/>
  <c r="H1548" i="2"/>
  <c r="I7094" i="2"/>
  <c r="H7094" i="2"/>
  <c r="I1801" i="2"/>
  <c r="H1801" i="2"/>
  <c r="I4936" i="2"/>
  <c r="H4936" i="2"/>
  <c r="I6886" i="2"/>
  <c r="H6886" i="2"/>
  <c r="I7921" i="2"/>
  <c r="H7921" i="2"/>
  <c r="I6915" i="2"/>
  <c r="H6915" i="2"/>
  <c r="I2614" i="2"/>
  <c r="H2614" i="2"/>
  <c r="I1465" i="2"/>
  <c r="H1465" i="2"/>
  <c r="I8071" i="2"/>
  <c r="H8071" i="2"/>
  <c r="I6541" i="2"/>
  <c r="H6541" i="2"/>
  <c r="I7933" i="2"/>
  <c r="H7933" i="2"/>
  <c r="I5953" i="2"/>
  <c r="H5953" i="2"/>
  <c r="I6602" i="2"/>
  <c r="H6602" i="2"/>
  <c r="I2830" i="2"/>
  <c r="H2830" i="2"/>
  <c r="I2276" i="2"/>
  <c r="H2276" i="2"/>
  <c r="I7026" i="2"/>
  <c r="H7026" i="2"/>
  <c r="I6334" i="2"/>
  <c r="H6334" i="2"/>
  <c r="I7889" i="2"/>
  <c r="H7889" i="2"/>
  <c r="I257" i="2"/>
  <c r="H257" i="2"/>
  <c r="I1910" i="2"/>
  <c r="H1910" i="2"/>
  <c r="I2414" i="2"/>
  <c r="H2414" i="2"/>
  <c r="I1825" i="2"/>
  <c r="H1825" i="2"/>
  <c r="I2978" i="2"/>
  <c r="H2978" i="2"/>
  <c r="I6890" i="2"/>
  <c r="H6890" i="2"/>
  <c r="I7188" i="2"/>
  <c r="H7188" i="2"/>
  <c r="I2800" i="2"/>
  <c r="H2800" i="2"/>
  <c r="I234" i="2"/>
  <c r="H234" i="2"/>
  <c r="I2729" i="2"/>
  <c r="H2729" i="2"/>
  <c r="I7262" i="2"/>
  <c r="H7262" i="2"/>
  <c r="I2336" i="2"/>
  <c r="H2336" i="2"/>
  <c r="I954" i="2"/>
  <c r="H954" i="2"/>
  <c r="I2410" i="2"/>
  <c r="H2410" i="2"/>
  <c r="I8283" i="2"/>
  <c r="H8283" i="2"/>
  <c r="I7947" i="2"/>
  <c r="H7947" i="2"/>
  <c r="I8036" i="2"/>
  <c r="H8036" i="2"/>
  <c r="I6215" i="2"/>
  <c r="H6215" i="2"/>
  <c r="I1840" i="2"/>
  <c r="H1840" i="2"/>
  <c r="I1890" i="2"/>
  <c r="H1890" i="2"/>
  <c r="I7015" i="2"/>
  <c r="H7015" i="2"/>
  <c r="I8411" i="2"/>
  <c r="H8411" i="2"/>
  <c r="I6654" i="2"/>
  <c r="H6654" i="2"/>
  <c r="I7920" i="2"/>
  <c r="H7920" i="2"/>
  <c r="I3039" i="2"/>
  <c r="H3039" i="2"/>
  <c r="I6327" i="2"/>
  <c r="H6327" i="2"/>
  <c r="I2042" i="2"/>
  <c r="H2042" i="2"/>
  <c r="I1496" i="2"/>
  <c r="H1496" i="2"/>
  <c r="I6831" i="2"/>
  <c r="H6831" i="2"/>
  <c r="I1894" i="2"/>
  <c r="H1894" i="2"/>
  <c r="I7155" i="2"/>
  <c r="H7155" i="2"/>
  <c r="I950" i="2"/>
  <c r="H950" i="2"/>
  <c r="I881" i="2"/>
  <c r="H881" i="2"/>
  <c r="I952" i="2"/>
  <c r="H952" i="2"/>
  <c r="I299" i="2"/>
  <c r="H299" i="2"/>
  <c r="I2510" i="2"/>
  <c r="H2510" i="2"/>
  <c r="I7410" i="2"/>
  <c r="H7410" i="2"/>
  <c r="I1822" i="2"/>
  <c r="H1822" i="2"/>
  <c r="I8006" i="2"/>
  <c r="H8006" i="2"/>
  <c r="I2236" i="2"/>
  <c r="H2236" i="2"/>
  <c r="I7625" i="2"/>
  <c r="H7625" i="2"/>
  <c r="I7118" i="2"/>
  <c r="H7118" i="2"/>
  <c r="I7214" i="2"/>
  <c r="H7214" i="2"/>
  <c r="I3188" i="2"/>
  <c r="H3188" i="2"/>
  <c r="I2753" i="2"/>
  <c r="H2753" i="2"/>
  <c r="I7328" i="2"/>
  <c r="H7328" i="2"/>
  <c r="I8087" i="2"/>
  <c r="H8087" i="2"/>
  <c r="I178" i="2"/>
  <c r="H178" i="2"/>
  <c r="I6555" i="2"/>
  <c r="H6555" i="2"/>
  <c r="I8242" i="2"/>
  <c r="H8242" i="2"/>
  <c r="I5936" i="2"/>
  <c r="H5936" i="2"/>
  <c r="I789" i="2"/>
  <c r="H789" i="2"/>
  <c r="I2191" i="2"/>
  <c r="H2191" i="2"/>
  <c r="I2359" i="2"/>
  <c r="H2359" i="2"/>
  <c r="I2675" i="2"/>
  <c r="H2675" i="2"/>
  <c r="I1747" i="2"/>
  <c r="H1747" i="2"/>
  <c r="I5970" i="2"/>
  <c r="H5970" i="2"/>
  <c r="I6453" i="2"/>
  <c r="H6453" i="2"/>
  <c r="I2346" i="2"/>
  <c r="H2346" i="2"/>
  <c r="I7309" i="2"/>
  <c r="H7309" i="2"/>
  <c r="I2683" i="2"/>
  <c r="H2683" i="2"/>
  <c r="I7411" i="2"/>
  <c r="H7411" i="2"/>
  <c r="I6874" i="2"/>
  <c r="H6874" i="2"/>
  <c r="I6546" i="2"/>
  <c r="H6546" i="2"/>
  <c r="I7126" i="2"/>
  <c r="H7126" i="2"/>
  <c r="I831" i="2"/>
  <c r="H831" i="2"/>
  <c r="I124" i="2"/>
  <c r="H124" i="2"/>
  <c r="I2522" i="2"/>
  <c r="H2522" i="2"/>
  <c r="I3062" i="2"/>
  <c r="H3062" i="2"/>
  <c r="I3660" i="2"/>
  <c r="H3660" i="2"/>
  <c r="I6095" i="2"/>
  <c r="H6095" i="2"/>
  <c r="I5932" i="2"/>
  <c r="H5932" i="2"/>
  <c r="I253" i="2"/>
  <c r="H253" i="2"/>
  <c r="I5678" i="2"/>
  <c r="H5678" i="2"/>
  <c r="I2999" i="2"/>
  <c r="H2999" i="2"/>
  <c r="I6534" i="2"/>
  <c r="H6534" i="2"/>
  <c r="I2233" i="2"/>
  <c r="H2233" i="2"/>
  <c r="I7509" i="2"/>
  <c r="H7509" i="2"/>
  <c r="I1513" i="2"/>
  <c r="H1513" i="2"/>
  <c r="I1661" i="2"/>
  <c r="H1661" i="2"/>
  <c r="I203" i="2"/>
  <c r="H203" i="2"/>
  <c r="I1826" i="2"/>
  <c r="H1826" i="2"/>
  <c r="I1771" i="2"/>
  <c r="H1771" i="2"/>
  <c r="I2534" i="2"/>
  <c r="H2534" i="2"/>
  <c r="I259" i="2"/>
  <c r="H259" i="2"/>
  <c r="I7307" i="2"/>
  <c r="H7307" i="2"/>
  <c r="I1717" i="2"/>
  <c r="H1717" i="2"/>
  <c r="I5744" i="2"/>
  <c r="H5744" i="2"/>
  <c r="I7508" i="2"/>
  <c r="H7508" i="2"/>
  <c r="I7078" i="2"/>
  <c r="H7078" i="2"/>
  <c r="I2996" i="2"/>
  <c r="H2996" i="2"/>
  <c r="I7092" i="2"/>
  <c r="H7092" i="2"/>
  <c r="I1571" i="2"/>
  <c r="H1571" i="2"/>
  <c r="I6076" i="2"/>
  <c r="H6076" i="2"/>
  <c r="I6410" i="2"/>
  <c r="H6410" i="2"/>
  <c r="I2128" i="2"/>
  <c r="H2128" i="2"/>
  <c r="I1918" i="2"/>
  <c r="H1918" i="2"/>
  <c r="I163" i="2"/>
  <c r="H163" i="2"/>
  <c r="I1091" i="2"/>
  <c r="H1091" i="2"/>
  <c r="I2320" i="2"/>
  <c r="H2320" i="2"/>
  <c r="I1526" i="2"/>
  <c r="H1526" i="2"/>
  <c r="I7450" i="2"/>
  <c r="H7450" i="2"/>
  <c r="I2544" i="2"/>
  <c r="H2544" i="2"/>
  <c r="I2351" i="2"/>
  <c r="H2351" i="2"/>
  <c r="I2219" i="2"/>
  <c r="H2219" i="2"/>
  <c r="I6103" i="2"/>
  <c r="H6103" i="2"/>
  <c r="I7722" i="2"/>
  <c r="H7722" i="2"/>
  <c r="I2674" i="2"/>
  <c r="H2674" i="2"/>
  <c r="I6983" i="2"/>
  <c r="H6983" i="2"/>
  <c r="I5630" i="2"/>
  <c r="H5630" i="2"/>
  <c r="I5843" i="2"/>
  <c r="H5843" i="2"/>
  <c r="I2325" i="2"/>
  <c r="H2325" i="2"/>
  <c r="I6655" i="2"/>
  <c r="H6655" i="2"/>
  <c r="I2848" i="2"/>
  <c r="H2848" i="2"/>
  <c r="I8377" i="2"/>
  <c r="H8377" i="2"/>
  <c r="I1968" i="2"/>
  <c r="H1968" i="2"/>
  <c r="I1663" i="2"/>
  <c r="H1663" i="2"/>
  <c r="I7072" i="2"/>
  <c r="H7072" i="2"/>
  <c r="I6819" i="2"/>
  <c r="H6819" i="2"/>
  <c r="I6322" i="2"/>
  <c r="H6322" i="2"/>
  <c r="I717" i="2"/>
  <c r="H717" i="2"/>
  <c r="I8259" i="2"/>
  <c r="H8259" i="2"/>
  <c r="I665" i="2"/>
  <c r="H665" i="2"/>
  <c r="I6768" i="2"/>
  <c r="H6768" i="2"/>
  <c r="I7031" i="2"/>
  <c r="H7031" i="2"/>
  <c r="I2680" i="2"/>
  <c r="H2680" i="2"/>
  <c r="I7416" i="2"/>
  <c r="H7416" i="2"/>
  <c r="I2360" i="2"/>
  <c r="H2360" i="2"/>
  <c r="I7156" i="2"/>
  <c r="H7156" i="2"/>
  <c r="I2570" i="2"/>
  <c r="H2570" i="2"/>
  <c r="I1383" i="2"/>
  <c r="H1383" i="2"/>
  <c r="I6255" i="2"/>
  <c r="H6255" i="2"/>
  <c r="I2155" i="2"/>
  <c r="H2155" i="2"/>
  <c r="I2208" i="2"/>
  <c r="H2208" i="2"/>
  <c r="I5757" i="2"/>
  <c r="H5757" i="2"/>
  <c r="I8003" i="2"/>
  <c r="H8003" i="2"/>
  <c r="I390" i="2"/>
  <c r="H390" i="2"/>
  <c r="I7184" i="2"/>
  <c r="H7184" i="2"/>
  <c r="I6824" i="2"/>
  <c r="H6824" i="2"/>
  <c r="I6109" i="2"/>
  <c r="H6109" i="2"/>
  <c r="I2251" i="2"/>
  <c r="H2251" i="2"/>
  <c r="I7434" i="2"/>
  <c r="H7434" i="2"/>
  <c r="I5994" i="2"/>
  <c r="H5994" i="2"/>
  <c r="I8176" i="2"/>
  <c r="H8176" i="2"/>
  <c r="I6813" i="2"/>
  <c r="H6813" i="2"/>
  <c r="I1591" i="2"/>
  <c r="H1591" i="2"/>
  <c r="I8402" i="2"/>
  <c r="H8402" i="2"/>
  <c r="I2628" i="2"/>
  <c r="H2628" i="2"/>
  <c r="I6616" i="2"/>
  <c r="H6616" i="2"/>
  <c r="I8467" i="2"/>
  <c r="H8467" i="2"/>
  <c r="I2136" i="2"/>
  <c r="H2136" i="2"/>
  <c r="I5754" i="2"/>
  <c r="H5754" i="2"/>
  <c r="I7503" i="2"/>
  <c r="H7503" i="2"/>
  <c r="I2804" i="2"/>
  <c r="H2804" i="2"/>
  <c r="I2301" i="2"/>
  <c r="H2301" i="2"/>
  <c r="I1497" i="2"/>
  <c r="H1497" i="2"/>
  <c r="I1362" i="2"/>
  <c r="H1362" i="2"/>
  <c r="I6642" i="2"/>
  <c r="H6642" i="2"/>
  <c r="I3001" i="2"/>
  <c r="H3001" i="2"/>
  <c r="I6089" i="2"/>
  <c r="H6089" i="2"/>
  <c r="I2190" i="2"/>
  <c r="H2190" i="2"/>
  <c r="I1824" i="2"/>
  <c r="H1824" i="2"/>
  <c r="I3007" i="2"/>
  <c r="H3007" i="2"/>
  <c r="I1637" i="2"/>
  <c r="H1637" i="2"/>
  <c r="I6661" i="2"/>
  <c r="H6661" i="2"/>
  <c r="I7887" i="2"/>
  <c r="H7887" i="2"/>
  <c r="I6603" i="2"/>
  <c r="H6603" i="2"/>
  <c r="I2253" i="2"/>
  <c r="H2253" i="2"/>
  <c r="I6552" i="2"/>
  <c r="H6552" i="2"/>
  <c r="I8018" i="2"/>
  <c r="H8018" i="2"/>
  <c r="I2114" i="2"/>
  <c r="H2114" i="2"/>
  <c r="I7329" i="2"/>
  <c r="H7329" i="2"/>
  <c r="I2288" i="2"/>
  <c r="H2288" i="2"/>
  <c r="I190" i="2"/>
  <c r="H190" i="2"/>
  <c r="I254" i="2"/>
  <c r="H254" i="2"/>
  <c r="I6207" i="2"/>
  <c r="H6207" i="2"/>
  <c r="I2162" i="2"/>
  <c r="H2162" i="2"/>
  <c r="I6863" i="2"/>
  <c r="H6863" i="2"/>
  <c r="I7142" i="2"/>
  <c r="H7142" i="2"/>
  <c r="I7739" i="2"/>
  <c r="H7739" i="2"/>
  <c r="I8332" i="2"/>
  <c r="H8332" i="2"/>
  <c r="I1517" i="2"/>
  <c r="H1517" i="2"/>
  <c r="I2588" i="2"/>
  <c r="H2588" i="2"/>
  <c r="I2324" i="2"/>
  <c r="H2324" i="2"/>
  <c r="I2000" i="2"/>
  <c r="H2000" i="2"/>
  <c r="I1181" i="2"/>
  <c r="H1181" i="2"/>
  <c r="I8398" i="2"/>
  <c r="H8398" i="2"/>
  <c r="I2121" i="2"/>
  <c r="H2121" i="2"/>
  <c r="I7271" i="2"/>
  <c r="H7271" i="2"/>
  <c r="I2051" i="2"/>
  <c r="H2051" i="2"/>
  <c r="I7956" i="2"/>
  <c r="H7956" i="2"/>
  <c r="I1842" i="2"/>
  <c r="H1842" i="2"/>
  <c r="I7536" i="2"/>
  <c r="H7536" i="2"/>
  <c r="I6540" i="2"/>
  <c r="H6540" i="2"/>
  <c r="I2264" i="2"/>
  <c r="H2264" i="2"/>
  <c r="I6572" i="2"/>
  <c r="H6572" i="2"/>
  <c r="I2678" i="2"/>
  <c r="H2678" i="2"/>
  <c r="I1430" i="2"/>
  <c r="H1430" i="2"/>
  <c r="I7755" i="2"/>
  <c r="H7755" i="2"/>
  <c r="I2327" i="2"/>
  <c r="H2327" i="2"/>
  <c r="I2137" i="2"/>
  <c r="H2137" i="2"/>
  <c r="I7122" i="2"/>
  <c r="H7122" i="2"/>
  <c r="I7443" i="2"/>
  <c r="H7443" i="2"/>
  <c r="I7274" i="2"/>
  <c r="H7274" i="2"/>
  <c r="I7872" i="2"/>
  <c r="H7872" i="2"/>
  <c r="I2165" i="2"/>
  <c r="H2165" i="2"/>
  <c r="I6781" i="2"/>
  <c r="H6781" i="2"/>
  <c r="I1701" i="2"/>
  <c r="H1701" i="2"/>
  <c r="I8354" i="2"/>
  <c r="H8354" i="2"/>
  <c r="I6910" i="2"/>
  <c r="H6910" i="2"/>
  <c r="I6610" i="2"/>
  <c r="H6610" i="2"/>
  <c r="I2353" i="2"/>
  <c r="H2353" i="2"/>
  <c r="I6901" i="2"/>
  <c r="H6901" i="2"/>
  <c r="I2976" i="2"/>
  <c r="H2976" i="2"/>
  <c r="I186" i="2"/>
  <c r="H186" i="2"/>
  <c r="I5767" i="2"/>
  <c r="H5767" i="2"/>
  <c r="I2440" i="2"/>
  <c r="H2440" i="2"/>
  <c r="I6404" i="2"/>
  <c r="H6404" i="2"/>
  <c r="I5878" i="2"/>
  <c r="H5878" i="2"/>
  <c r="I6170" i="2"/>
  <c r="H6170" i="2"/>
  <c r="I8028" i="2"/>
  <c r="H8028" i="2"/>
  <c r="I6894" i="2"/>
  <c r="H6894" i="2"/>
  <c r="I1490" i="2"/>
  <c r="H1490" i="2"/>
  <c r="I1777" i="2"/>
  <c r="H1777" i="2"/>
  <c r="I7251" i="2"/>
  <c r="H7251" i="2"/>
  <c r="I1930" i="2"/>
  <c r="H1930" i="2"/>
  <c r="I3473" i="2"/>
  <c r="H3473" i="2"/>
  <c r="I1794" i="2"/>
  <c r="H1794" i="2"/>
  <c r="I2289" i="2"/>
  <c r="H2289" i="2"/>
  <c r="I6357" i="2"/>
  <c r="H6357" i="2"/>
  <c r="I2779" i="2"/>
  <c r="H2779" i="2"/>
  <c r="I301" i="2"/>
  <c r="H301" i="2"/>
  <c r="I2425" i="2"/>
  <c r="H2425" i="2"/>
  <c r="I1737" i="2"/>
  <c r="H1737" i="2"/>
  <c r="I7873" i="2"/>
  <c r="H7873" i="2"/>
  <c r="I2558" i="2"/>
  <c r="H2558" i="2"/>
  <c r="I6288" i="2"/>
  <c r="H6288" i="2"/>
  <c r="I1598" i="2"/>
  <c r="H1598" i="2"/>
  <c r="I2292" i="2"/>
  <c r="H2292" i="2"/>
  <c r="I8054" i="2"/>
  <c r="H8054" i="2"/>
  <c r="I2300" i="2"/>
  <c r="H2300" i="2"/>
  <c r="I8020" i="2"/>
  <c r="H8020" i="2"/>
  <c r="I918" i="2"/>
  <c r="H918" i="2"/>
  <c r="I7501" i="2"/>
  <c r="H7501" i="2"/>
  <c r="I6672" i="2"/>
  <c r="H6672" i="2"/>
  <c r="I8002" i="2"/>
  <c r="H8002" i="2"/>
  <c r="I1524" i="2"/>
  <c r="H1524" i="2"/>
  <c r="I6195" i="2"/>
  <c r="H6195" i="2"/>
  <c r="I7765" i="2"/>
  <c r="H7765" i="2"/>
  <c r="I1400" i="2"/>
  <c r="H1400" i="2"/>
  <c r="I2124" i="2"/>
  <c r="H2124" i="2"/>
  <c r="I1877" i="2"/>
  <c r="H1877" i="2"/>
  <c r="I7644" i="2"/>
  <c r="H7644" i="2"/>
  <c r="I2256" i="2"/>
  <c r="H2256" i="2"/>
  <c r="I1855" i="2"/>
  <c r="H1855" i="2"/>
  <c r="I6562" i="2"/>
  <c r="H6562" i="2"/>
  <c r="I371" i="2"/>
  <c r="H371" i="2"/>
  <c r="I6871" i="2"/>
  <c r="H6871" i="2"/>
  <c r="I1674" i="2"/>
  <c r="H1674" i="2"/>
  <c r="I1740" i="2"/>
  <c r="H1740" i="2"/>
  <c r="I1946" i="2"/>
  <c r="H1946" i="2"/>
  <c r="I2167" i="2"/>
  <c r="H2167" i="2"/>
  <c r="I958" i="2"/>
  <c r="H958" i="2"/>
  <c r="I7325" i="2"/>
  <c r="H7325" i="2"/>
  <c r="I1546" i="2"/>
  <c r="H1546" i="2"/>
  <c r="I1212" i="2"/>
  <c r="H1212" i="2"/>
  <c r="I7286" i="2"/>
  <c r="H7286" i="2"/>
  <c r="I7998" i="2"/>
  <c r="H7998" i="2"/>
  <c r="I6961" i="2"/>
  <c r="H6961" i="2"/>
  <c r="I2488" i="2"/>
  <c r="H2488" i="2"/>
  <c r="I2526" i="2"/>
  <c r="H2526" i="2"/>
  <c r="I1470" i="2"/>
  <c r="H1470" i="2"/>
  <c r="I1487" i="2"/>
  <c r="H1487" i="2"/>
  <c r="I2499" i="2"/>
  <c r="H2499" i="2"/>
  <c r="I8202" i="2"/>
  <c r="H8202" i="2"/>
  <c r="I6451" i="2"/>
  <c r="H6451" i="2"/>
  <c r="I2282" i="2"/>
  <c r="H2282" i="2"/>
  <c r="I6553" i="2"/>
  <c r="H6553" i="2"/>
  <c r="I2037" i="2"/>
  <c r="H2037" i="2"/>
  <c r="I7085" i="2"/>
  <c r="H7085" i="2"/>
  <c r="I7129" i="2"/>
  <c r="H7129" i="2"/>
  <c r="I2216" i="2"/>
  <c r="H2216" i="2"/>
  <c r="I2532" i="2"/>
  <c r="H2532" i="2"/>
  <c r="I7048" i="2"/>
  <c r="H7048" i="2"/>
  <c r="I7649" i="2"/>
  <c r="H7649" i="2"/>
  <c r="I574" i="2"/>
  <c r="H574" i="2"/>
  <c r="I181" i="2"/>
  <c r="H181" i="2"/>
  <c r="I7028" i="2"/>
  <c r="H7028" i="2"/>
  <c r="I2445" i="2"/>
  <c r="H2445" i="2"/>
  <c r="I2075" i="2"/>
  <c r="H2075" i="2"/>
  <c r="I2087" i="2"/>
  <c r="H2087" i="2"/>
  <c r="I2194" i="2"/>
  <c r="H2194" i="2"/>
  <c r="I1914" i="2"/>
  <c r="H1914" i="2"/>
  <c r="I7065" i="2"/>
  <c r="H7065" i="2"/>
  <c r="I2106" i="2"/>
  <c r="H2106" i="2"/>
  <c r="I7900" i="2"/>
  <c r="H7900" i="2"/>
  <c r="I2609" i="2"/>
  <c r="H2609" i="2"/>
  <c r="I3026" i="2"/>
  <c r="H3026" i="2"/>
  <c r="I1943" i="2"/>
  <c r="H1943" i="2"/>
  <c r="I6710" i="2"/>
  <c r="H6710" i="2"/>
  <c r="I8326" i="2"/>
  <c r="H8326" i="2"/>
  <c r="I6989" i="2"/>
  <c r="H6989" i="2"/>
  <c r="I1928" i="2"/>
  <c r="H1928" i="2"/>
  <c r="I1967" i="2"/>
  <c r="H1967" i="2"/>
  <c r="I6675" i="2"/>
  <c r="H6675" i="2"/>
  <c r="I7016" i="2"/>
  <c r="H7016" i="2"/>
  <c r="I1448" i="2"/>
  <c r="H1448" i="2"/>
  <c r="I7051" i="2"/>
  <c r="H7051" i="2"/>
  <c r="I1697" i="2"/>
  <c r="H1697" i="2"/>
  <c r="I6345" i="2"/>
  <c r="H6345" i="2"/>
  <c r="I7784" i="2"/>
  <c r="H7784" i="2"/>
  <c r="I198" i="2"/>
  <c r="H198" i="2"/>
  <c r="I7285" i="2"/>
  <c r="H7285" i="2"/>
  <c r="I1588" i="2"/>
  <c r="H1588" i="2"/>
  <c r="I1146" i="2"/>
  <c r="H1146" i="2"/>
  <c r="I2098" i="2"/>
  <c r="H2098" i="2"/>
  <c r="I8498" i="2"/>
  <c r="H8498" i="2"/>
  <c r="I8470" i="2"/>
  <c r="H8470" i="2"/>
  <c r="I7534" i="2"/>
  <c r="H7534" i="2"/>
  <c r="I6746" i="2"/>
  <c r="H6746" i="2"/>
  <c r="I7417" i="2"/>
  <c r="H7417" i="2"/>
  <c r="I354" i="2"/>
  <c r="H354" i="2"/>
  <c r="I2319" i="2"/>
  <c r="H2319" i="2"/>
  <c r="I7423" i="2"/>
  <c r="H7423" i="2"/>
  <c r="I8486" i="2"/>
  <c r="H8486" i="2"/>
  <c r="I187" i="2"/>
  <c r="H187" i="2"/>
  <c r="I1083" i="2"/>
  <c r="H1083" i="2"/>
  <c r="I2330" i="2"/>
  <c r="H2330" i="2"/>
  <c r="I2349" i="2"/>
  <c r="H2349" i="2"/>
  <c r="I2069" i="2"/>
  <c r="H2069" i="2"/>
  <c r="I1667" i="2"/>
  <c r="H1667" i="2"/>
  <c r="I7568" i="2"/>
  <c r="H7568" i="2"/>
  <c r="I6934" i="2"/>
  <c r="H6934" i="2"/>
  <c r="I294" i="2"/>
  <c r="H294" i="2"/>
  <c r="I8101" i="2"/>
  <c r="H8101" i="2"/>
  <c r="I1754" i="2"/>
  <c r="H1754" i="2"/>
  <c r="I2553" i="2"/>
  <c r="H2553" i="2"/>
  <c r="I7158" i="2"/>
  <c r="H7158" i="2"/>
  <c r="I8067" i="2"/>
  <c r="H8067" i="2"/>
  <c r="I7384" i="2"/>
  <c r="H7384" i="2"/>
  <c r="I8105" i="2"/>
  <c r="H8105" i="2"/>
  <c r="I8507" i="2"/>
  <c r="H8507" i="2"/>
  <c r="I2173" i="2"/>
  <c r="H2173" i="2"/>
  <c r="I1600" i="2"/>
  <c r="H1600" i="2"/>
  <c r="I7313" i="2"/>
  <c r="H7313" i="2"/>
  <c r="I1364" i="2"/>
  <c r="H1364" i="2"/>
  <c r="I2152" i="2"/>
  <c r="H2152" i="2"/>
  <c r="I964" i="2"/>
  <c r="H964" i="2"/>
  <c r="I114" i="2"/>
  <c r="H114" i="2"/>
  <c r="I7345" i="2"/>
  <c r="H7345" i="2"/>
  <c r="I6411" i="2"/>
  <c r="H6411" i="2"/>
  <c r="I143" i="2"/>
  <c r="H143" i="2"/>
  <c r="I683" i="2"/>
  <c r="H683" i="2"/>
  <c r="I7106" i="2"/>
  <c r="H7106" i="2"/>
  <c r="I8360" i="2"/>
  <c r="H8360" i="2"/>
  <c r="I1619" i="2"/>
  <c r="H1619" i="2"/>
  <c r="I6515" i="2"/>
  <c r="H6515" i="2"/>
  <c r="I1768" i="2"/>
  <c r="H1768" i="2"/>
  <c r="I7812" i="2"/>
  <c r="H7812" i="2"/>
  <c r="I6110" i="2"/>
  <c r="H6110" i="2"/>
  <c r="I7958" i="2"/>
  <c r="H7958" i="2"/>
  <c r="I7878" i="2"/>
  <c r="H7878" i="2"/>
  <c r="I6122" i="2"/>
  <c r="H6122" i="2"/>
  <c r="I1382" i="2"/>
  <c r="H1382" i="2"/>
  <c r="I2612" i="2"/>
  <c r="H2612" i="2"/>
  <c r="I2590" i="2"/>
  <c r="H2590" i="2"/>
  <c r="I8113" i="2"/>
  <c r="H8113" i="2"/>
  <c r="I2244" i="2"/>
  <c r="H2244" i="2"/>
  <c r="I127" i="2"/>
  <c r="H127" i="2"/>
  <c r="I1438" i="2"/>
  <c r="H1438" i="2"/>
  <c r="I6497" i="2"/>
  <c r="H6497" i="2"/>
  <c r="I1698" i="2"/>
  <c r="H1698" i="2"/>
  <c r="I109" i="2"/>
  <c r="H109" i="2"/>
  <c r="I6679" i="2"/>
  <c r="H6679" i="2"/>
  <c r="I1200" i="2"/>
  <c r="H1200" i="2"/>
  <c r="I1381" i="2"/>
  <c r="H1381" i="2"/>
  <c r="I7300" i="2"/>
  <c r="H7300" i="2"/>
  <c r="I8279" i="2"/>
  <c r="H8279" i="2"/>
  <c r="I1690" i="2"/>
  <c r="H1690" i="2"/>
  <c r="I7422" i="2"/>
  <c r="H7422" i="2"/>
  <c r="I7967" i="2"/>
  <c r="H7967" i="2"/>
  <c r="I8065" i="2"/>
  <c r="H8065" i="2"/>
  <c r="I7674" i="2"/>
  <c r="H7674" i="2"/>
  <c r="I6298" i="2"/>
  <c r="H6298" i="2"/>
  <c r="I888" i="2"/>
  <c r="H888" i="2"/>
  <c r="I2409" i="2"/>
  <c r="H2409" i="2"/>
  <c r="I1050" i="2"/>
  <c r="H1050" i="2"/>
  <c r="I162" i="2"/>
  <c r="H162" i="2"/>
  <c r="I6632" i="2"/>
  <c r="H6632" i="2"/>
  <c r="I7170" i="2"/>
  <c r="H7170" i="2"/>
  <c r="I7507" i="2"/>
  <c r="H7507" i="2"/>
  <c r="I1878" i="2"/>
  <c r="H1878" i="2"/>
  <c r="I7380" i="2"/>
  <c r="H7380" i="2"/>
  <c r="I6274" i="2"/>
  <c r="H6274" i="2"/>
  <c r="I7346" i="2"/>
  <c r="H7346" i="2"/>
  <c r="I1757" i="2"/>
  <c r="H1757" i="2"/>
  <c r="I419" i="2"/>
  <c r="H419" i="2"/>
  <c r="I992" i="2"/>
  <c r="H992" i="2"/>
  <c r="I7390" i="2"/>
  <c r="H7390" i="2"/>
  <c r="I1995" i="2"/>
  <c r="H1995" i="2"/>
  <c r="I2086" i="2"/>
  <c r="H2086" i="2"/>
  <c r="I1488" i="2"/>
  <c r="H1488" i="2"/>
  <c r="I7707" i="2"/>
  <c r="H7707" i="2"/>
  <c r="I1913" i="2"/>
  <c r="H1913" i="2"/>
  <c r="I7115" i="2"/>
  <c r="H7115" i="2"/>
  <c r="I2446" i="2"/>
  <c r="H2446" i="2"/>
  <c r="I6951" i="2"/>
  <c r="H6951" i="2"/>
  <c r="I2693" i="2"/>
  <c r="H2693" i="2"/>
  <c r="I2270" i="2"/>
  <c r="H2270" i="2"/>
  <c r="I1592" i="2"/>
  <c r="H1592" i="2"/>
  <c r="I525" i="2"/>
  <c r="H525" i="2"/>
  <c r="I2168" i="2"/>
  <c r="H2168" i="2"/>
  <c r="I2948" i="2"/>
  <c r="H2948" i="2"/>
  <c r="I7068" i="2"/>
  <c r="H7068" i="2"/>
  <c r="I7256" i="2"/>
  <c r="H7256" i="2"/>
  <c r="I2979" i="2"/>
  <c r="H2979" i="2"/>
  <c r="I772" i="2"/>
  <c r="H772" i="2"/>
  <c r="I6852" i="2"/>
  <c r="H6852" i="2"/>
  <c r="I1466" i="2"/>
  <c r="H1466" i="2"/>
  <c r="I209" i="2"/>
  <c r="H209" i="2"/>
  <c r="I6875" i="2"/>
  <c r="H6875" i="2"/>
  <c r="I2093" i="2"/>
  <c r="H2093" i="2"/>
  <c r="I1809" i="2"/>
  <c r="H1809" i="2"/>
  <c r="I1983" i="2"/>
  <c r="H1983" i="2"/>
  <c r="I7234" i="2"/>
  <c r="H7234" i="2"/>
  <c r="I2424" i="2"/>
  <c r="H2424" i="2"/>
  <c r="I7853" i="2"/>
  <c r="H7853" i="2"/>
  <c r="I2891" i="2"/>
  <c r="H2891" i="2"/>
  <c r="I1725" i="2"/>
  <c r="H1725" i="2"/>
  <c r="I1964" i="2"/>
  <c r="H1964" i="2"/>
  <c r="I7318" i="2"/>
  <c r="H7318" i="2"/>
  <c r="I7710" i="2"/>
  <c r="H7710" i="2"/>
  <c r="I7835" i="2"/>
  <c r="H7835" i="2"/>
  <c r="I2241" i="2"/>
  <c r="H2241" i="2"/>
  <c r="I7799" i="2"/>
  <c r="H7799" i="2"/>
  <c r="I1819" i="2"/>
  <c r="H1819" i="2"/>
  <c r="I956" i="2"/>
  <c r="H956" i="2"/>
  <c r="I6700" i="2"/>
  <c r="H6700" i="2"/>
  <c r="I1949" i="2"/>
  <c r="H1949" i="2"/>
  <c r="I6749" i="2"/>
  <c r="H6749" i="2"/>
  <c r="I272" i="2"/>
  <c r="H272" i="2"/>
  <c r="I1322" i="2"/>
  <c r="H1322" i="2"/>
  <c r="I1352" i="2"/>
  <c r="H1352" i="2"/>
  <c r="I1751" i="2"/>
  <c r="H1751" i="2"/>
  <c r="I7999" i="2"/>
  <c r="H7999" i="2"/>
  <c r="I7626" i="2"/>
  <c r="H7626" i="2"/>
  <c r="I7601" i="2"/>
  <c r="H7601" i="2"/>
  <c r="I311" i="2"/>
  <c r="H311" i="2"/>
  <c r="I1966" i="2"/>
  <c r="H1966" i="2"/>
  <c r="I6482" i="2"/>
  <c r="H6482" i="2"/>
  <c r="I2734" i="2"/>
  <c r="H2734" i="2"/>
  <c r="I2688" i="2"/>
  <c r="H2688" i="2"/>
  <c r="I2557" i="2"/>
  <c r="H2557" i="2"/>
  <c r="I6227" i="2"/>
  <c r="H6227" i="2"/>
  <c r="I8024" i="2"/>
  <c r="H8024" i="2"/>
  <c r="I2840" i="2"/>
  <c r="H2840" i="2"/>
  <c r="I7713" i="2"/>
  <c r="H7713" i="2"/>
  <c r="I1297" i="2"/>
  <c r="H1297" i="2"/>
  <c r="I1404" i="2"/>
  <c r="H1404" i="2"/>
  <c r="I8138" i="2"/>
  <c r="H8138" i="2"/>
  <c r="I196" i="2"/>
  <c r="H196" i="2"/>
  <c r="I312" i="2"/>
  <c r="H312" i="2"/>
  <c r="I6864" i="2"/>
  <c r="H6864" i="2"/>
  <c r="I6501" i="2"/>
  <c r="H6501" i="2"/>
  <c r="I7992" i="2"/>
  <c r="H7992" i="2"/>
  <c r="I7566" i="2"/>
  <c r="H7566" i="2"/>
  <c r="I5954" i="2"/>
  <c r="H5954" i="2"/>
  <c r="I1060" i="2"/>
  <c r="H1060" i="2"/>
  <c r="I344" i="2"/>
  <c r="H344" i="2"/>
  <c r="I6236" i="2"/>
  <c r="H6236" i="2"/>
  <c r="I3042" i="2"/>
  <c r="H3042" i="2"/>
  <c r="I7302" i="2"/>
  <c r="H7302" i="2"/>
  <c r="I223" i="2"/>
  <c r="H223" i="2"/>
  <c r="I7339" i="2"/>
  <c r="H7339" i="2"/>
  <c r="I2370" i="2"/>
  <c r="H2370" i="2"/>
  <c r="I121" i="2"/>
  <c r="H121" i="2"/>
  <c r="I6034" i="2"/>
  <c r="H6034" i="2"/>
  <c r="I6876" i="2"/>
  <c r="H6876" i="2"/>
  <c r="I6844" i="2"/>
  <c r="H6844" i="2"/>
  <c r="I1110" i="2"/>
  <c r="H1110" i="2"/>
  <c r="I2475" i="2"/>
  <c r="H2475" i="2"/>
  <c r="I686" i="2"/>
  <c r="H686" i="2"/>
  <c r="I8251" i="2"/>
  <c r="H8251" i="2"/>
  <c r="I7678" i="2"/>
  <c r="H7678" i="2"/>
  <c r="I2460" i="2"/>
  <c r="H2460" i="2"/>
  <c r="I6955" i="2"/>
  <c r="H6955" i="2"/>
  <c r="I6324" i="2"/>
  <c r="H6324" i="2"/>
  <c r="I6493" i="2"/>
  <c r="H6493" i="2"/>
  <c r="I6893" i="2"/>
  <c r="H6893" i="2"/>
  <c r="I6509" i="2"/>
  <c r="H6509" i="2"/>
  <c r="I6312" i="2"/>
  <c r="H6312" i="2"/>
  <c r="I1559" i="2"/>
  <c r="H1559" i="2"/>
  <c r="I3443" i="2"/>
  <c r="H3443" i="2"/>
  <c r="I1249" i="2"/>
  <c r="H1249" i="2"/>
  <c r="I1664" i="2"/>
  <c r="H1664" i="2"/>
  <c r="I8025" i="2"/>
  <c r="H8025" i="2"/>
  <c r="I1760" i="2"/>
  <c r="H1760" i="2"/>
  <c r="I6873" i="2"/>
  <c r="H6873" i="2"/>
  <c r="I7428" i="2"/>
  <c r="H7428" i="2"/>
  <c r="I515" i="2"/>
  <c r="H515" i="2"/>
  <c r="I7441" i="2"/>
  <c r="H7441" i="2"/>
  <c r="I6524" i="2"/>
  <c r="H6524" i="2"/>
  <c r="I255" i="2"/>
  <c r="H255" i="2"/>
  <c r="I1871" i="2"/>
  <c r="H1871" i="2"/>
  <c r="I1774" i="2"/>
  <c r="H1774" i="2"/>
  <c r="I6040" i="2"/>
  <c r="H6040" i="2"/>
  <c r="I112" i="2"/>
  <c r="H112" i="2"/>
  <c r="I7962" i="2"/>
  <c r="H7962" i="2"/>
  <c r="I7398" i="2"/>
  <c r="H7398" i="2"/>
  <c r="I1812" i="2"/>
  <c r="H1812" i="2"/>
  <c r="I2648" i="2"/>
  <c r="H2648" i="2"/>
  <c r="I1211" i="2"/>
  <c r="H1211" i="2"/>
  <c r="I904" i="2"/>
  <c r="H904" i="2"/>
  <c r="I8362" i="2"/>
  <c r="H8362" i="2"/>
  <c r="I7259" i="2"/>
  <c r="H7259" i="2"/>
  <c r="I418" i="2"/>
  <c r="H418" i="2"/>
  <c r="I2172" i="2"/>
  <c r="H2172" i="2"/>
  <c r="I8458" i="2"/>
  <c r="H8458" i="2"/>
  <c r="I2150" i="2"/>
  <c r="H2150" i="2"/>
  <c r="I1816" i="2"/>
  <c r="H1816" i="2"/>
  <c r="I1048" i="2"/>
  <c r="H1048" i="2"/>
  <c r="I2036" i="2"/>
  <c r="H2036" i="2"/>
  <c r="I2423" i="2"/>
  <c r="H2423" i="2"/>
  <c r="I7754" i="2"/>
  <c r="H7754" i="2"/>
  <c r="I2030" i="2"/>
  <c r="H2030" i="2"/>
  <c r="I2174" i="2"/>
  <c r="H2174" i="2"/>
  <c r="I7348" i="2"/>
  <c r="H7348" i="2"/>
  <c r="I2768" i="2"/>
  <c r="H2768" i="2"/>
  <c r="I1077" i="2"/>
  <c r="H1077" i="2"/>
  <c r="I7232" i="2"/>
  <c r="H7232" i="2"/>
  <c r="I7521" i="2"/>
  <c r="H7521" i="2"/>
  <c r="I6450" i="2"/>
  <c r="H6450" i="2"/>
  <c r="I6917" i="2"/>
  <c r="H6917" i="2"/>
  <c r="I741" i="2"/>
  <c r="H741" i="2"/>
  <c r="I1922" i="2"/>
  <c r="H1922" i="2"/>
  <c r="I1787" i="2"/>
  <c r="H1787" i="2"/>
  <c r="I434" i="2"/>
  <c r="H434" i="2"/>
  <c r="I2630" i="2"/>
  <c r="H2630" i="2"/>
  <c r="I2202" i="2"/>
  <c r="H2202" i="2"/>
  <c r="I7969" i="2"/>
  <c r="H7969" i="2"/>
  <c r="I6517" i="2"/>
  <c r="H6517" i="2"/>
  <c r="I307" i="2"/>
  <c r="H307" i="2"/>
  <c r="I8133" i="2"/>
  <c r="H8133" i="2"/>
  <c r="I1248" i="2"/>
  <c r="H1248" i="2"/>
  <c r="I6713" i="2"/>
  <c r="H6713" i="2"/>
  <c r="I126" i="2"/>
  <c r="H126" i="2"/>
  <c r="I7363" i="2"/>
  <c r="H7363" i="2"/>
  <c r="I2492" i="2"/>
  <c r="H2492" i="2"/>
  <c r="I6929" i="2"/>
  <c r="H6929" i="2"/>
  <c r="I1790" i="2"/>
  <c r="H1790" i="2"/>
  <c r="I6941" i="2"/>
  <c r="H6941" i="2"/>
  <c r="I6964" i="2"/>
  <c r="H6964" i="2"/>
  <c r="I1724" i="2"/>
  <c r="H1724" i="2"/>
  <c r="I7600" i="2"/>
  <c r="H7600" i="2"/>
  <c r="I8189" i="2"/>
  <c r="H8189" i="2"/>
  <c r="I6614" i="2"/>
  <c r="H6614" i="2"/>
  <c r="I7152" i="2"/>
  <c r="H7152" i="2"/>
  <c r="I910" i="2"/>
  <c r="H910" i="2"/>
  <c r="I1020" i="2"/>
  <c r="H1020" i="2"/>
  <c r="I7838" i="2"/>
  <c r="H7838" i="2"/>
  <c r="I7265" i="2"/>
  <c r="H7265" i="2"/>
  <c r="I175" i="2"/>
  <c r="H175" i="2"/>
  <c r="I1684" i="2"/>
  <c r="H1684" i="2"/>
  <c r="I6359" i="2"/>
  <c r="H6359" i="2"/>
  <c r="I3318" i="2"/>
  <c r="H3318" i="2"/>
  <c r="I7221" i="2"/>
  <c r="H7221" i="2"/>
  <c r="I2082" i="2"/>
  <c r="H2082" i="2"/>
  <c r="I2546" i="2"/>
  <c r="H2546" i="2"/>
  <c r="I7111" i="2"/>
  <c r="H7111" i="2"/>
  <c r="I2002" i="2"/>
  <c r="H2002" i="2"/>
  <c r="I1893" i="2"/>
  <c r="H1893" i="2"/>
  <c r="I5748" i="2"/>
  <c r="H5748" i="2"/>
  <c r="I7175" i="2"/>
  <c r="H7175" i="2"/>
  <c r="I2057" i="2"/>
  <c r="H2057" i="2"/>
  <c r="I7844" i="2"/>
  <c r="H7844" i="2"/>
  <c r="I6743" i="2"/>
  <c r="H6743" i="2"/>
  <c r="I2147" i="2"/>
  <c r="H2147" i="2"/>
  <c r="I1467" i="2"/>
  <c r="H1467" i="2"/>
  <c r="I7481" i="2"/>
  <c r="H7481" i="2"/>
  <c r="I2102" i="2"/>
  <c r="H2102" i="2"/>
  <c r="I6855" i="2"/>
  <c r="H6855" i="2"/>
  <c r="I1923" i="2"/>
  <c r="H1923" i="2"/>
  <c r="I2279" i="2"/>
  <c r="H2279" i="2"/>
  <c r="I6748" i="2"/>
  <c r="H6748" i="2"/>
  <c r="I7687" i="2"/>
  <c r="H7687" i="2"/>
  <c r="I2331" i="2"/>
  <c r="H2331" i="2"/>
  <c r="I6944" i="2"/>
  <c r="H6944" i="2"/>
  <c r="I7070" i="2"/>
  <c r="H7070" i="2"/>
  <c r="I376" i="2"/>
  <c r="H376" i="2"/>
  <c r="I1444" i="2"/>
  <c r="H1444" i="2"/>
  <c r="I2985" i="2"/>
  <c r="H2985" i="2"/>
  <c r="I1052" i="2"/>
  <c r="H1052" i="2"/>
  <c r="I7047" i="2"/>
  <c r="H7047" i="2"/>
  <c r="I602" i="2"/>
  <c r="H602" i="2"/>
  <c r="I7268" i="2"/>
  <c r="H7268" i="2"/>
  <c r="I211" i="2"/>
  <c r="H211" i="2"/>
  <c r="I2613" i="2"/>
  <c r="H2613" i="2"/>
  <c r="I6975" i="2"/>
  <c r="H6975" i="2"/>
  <c r="I2193" i="2"/>
  <c r="H2193" i="2"/>
  <c r="I7666" i="2"/>
  <c r="H7666" i="2"/>
  <c r="I1969" i="2"/>
  <c r="H1969" i="2"/>
  <c r="I2383" i="2"/>
  <c r="H2383" i="2"/>
  <c r="I421" i="2"/>
  <c r="H421" i="2"/>
  <c r="I1554" i="2"/>
  <c r="H1554" i="2"/>
  <c r="I6878" i="2"/>
  <c r="H6878" i="2"/>
  <c r="I7667" i="2"/>
  <c r="H7667" i="2"/>
  <c r="I399" i="2"/>
  <c r="H399" i="2"/>
  <c r="I285" i="2"/>
  <c r="H285" i="2"/>
  <c r="I1314" i="2"/>
  <c r="H1314" i="2"/>
  <c r="I7096" i="2"/>
  <c r="H7096" i="2"/>
  <c r="I1005" i="2"/>
  <c r="H1005" i="2"/>
  <c r="I7203" i="2"/>
  <c r="H7203" i="2"/>
  <c r="I6568" i="2"/>
  <c r="H6568" i="2"/>
  <c r="I2448" i="2"/>
  <c r="H2448" i="2"/>
  <c r="I6706" i="2"/>
  <c r="H6706" i="2"/>
  <c r="I1906" i="2"/>
  <c r="H1906" i="2"/>
  <c r="I1772" i="2"/>
  <c r="H1772" i="2"/>
  <c r="I7049" i="2"/>
  <c r="H7049" i="2"/>
  <c r="I1792" i="2"/>
  <c r="H1792" i="2"/>
  <c r="I1821" i="2"/>
  <c r="H1821" i="2"/>
  <c r="I7598" i="2"/>
  <c r="H7598" i="2"/>
  <c r="I2335" i="2"/>
  <c r="H2335" i="2"/>
  <c r="I1457" i="2"/>
  <c r="H1457" i="2"/>
  <c r="I7292" i="2"/>
  <c r="H7292" i="2"/>
  <c r="I6923" i="2"/>
  <c r="H6923" i="2"/>
  <c r="I7653" i="2"/>
  <c r="H7653" i="2"/>
  <c r="I2483" i="2"/>
  <c r="H2483" i="2"/>
  <c r="I2725" i="2"/>
  <c r="H2725" i="2"/>
  <c r="I6496" i="2"/>
  <c r="H6496" i="2"/>
  <c r="I6911" i="2"/>
  <c r="H6911" i="2"/>
  <c r="I2053" i="2"/>
  <c r="H2053" i="2"/>
  <c r="I7702" i="2"/>
  <c r="H7702" i="2"/>
  <c r="I302" i="2"/>
  <c r="H302" i="2"/>
  <c r="I7927" i="2"/>
  <c r="H7927" i="2"/>
  <c r="I2615" i="2"/>
  <c r="H2615" i="2"/>
  <c r="I8034" i="2"/>
  <c r="H8034" i="2"/>
  <c r="I942" i="2"/>
  <c r="H942" i="2"/>
  <c r="I2232" i="2"/>
  <c r="H2232" i="2"/>
  <c r="I863" i="2"/>
  <c r="H863" i="2"/>
  <c r="I7464" i="2"/>
  <c r="H7464" i="2"/>
  <c r="I6682" i="2"/>
  <c r="H6682" i="2"/>
  <c r="I1214" i="2"/>
  <c r="H1214" i="2"/>
  <c r="I2027" i="2"/>
  <c r="H2027" i="2"/>
  <c r="I446" i="2"/>
  <c r="H446" i="2"/>
  <c r="I7263" i="2"/>
  <c r="H7263" i="2"/>
  <c r="I7670" i="2"/>
  <c r="H7670" i="2"/>
  <c r="I3184" i="2"/>
  <c r="H3184" i="2"/>
  <c r="I7330" i="2"/>
  <c r="H7330" i="2"/>
  <c r="I2110" i="2"/>
  <c r="H2110" i="2"/>
  <c r="I2016" i="2"/>
  <c r="H2016" i="2"/>
  <c r="I7904" i="2"/>
  <c r="H7904" i="2"/>
  <c r="I957" i="2"/>
  <c r="H957" i="2"/>
  <c r="I8139" i="2"/>
  <c r="H8139" i="2"/>
  <c r="I6659" i="2"/>
  <c r="H6659" i="2"/>
  <c r="I522" i="2"/>
  <c r="H522" i="2"/>
  <c r="I516" i="2"/>
  <c r="H516" i="2"/>
  <c r="I7393" i="2"/>
  <c r="H7393" i="2"/>
  <c r="I1534" i="2"/>
  <c r="H1534" i="2"/>
  <c r="I7002" i="2"/>
  <c r="H7002" i="2"/>
  <c r="I6769" i="2"/>
  <c r="H6769" i="2"/>
  <c r="I160" i="2"/>
  <c r="H160" i="2"/>
  <c r="I7194" i="2"/>
  <c r="H7194" i="2"/>
  <c r="I750" i="2"/>
  <c r="H750" i="2"/>
  <c r="I8485" i="2"/>
  <c r="H8485" i="2"/>
  <c r="I2401" i="2"/>
  <c r="H2401" i="2"/>
  <c r="I6433" i="2"/>
  <c r="H6433" i="2"/>
  <c r="I2623" i="2"/>
  <c r="H2623" i="2"/>
  <c r="I1846" i="2"/>
  <c r="H1846" i="2"/>
  <c r="I123" i="2"/>
  <c r="H123" i="2"/>
  <c r="I2212" i="2"/>
  <c r="H2212" i="2"/>
  <c r="I1699" i="2"/>
  <c r="H1699" i="2"/>
  <c r="I8038" i="2"/>
  <c r="H8038" i="2"/>
  <c r="I2140" i="2"/>
  <c r="H2140" i="2"/>
  <c r="I1970" i="2"/>
  <c r="H1970" i="2"/>
  <c r="I2626" i="2"/>
  <c r="H2626" i="2"/>
  <c r="I7009" i="2"/>
  <c r="H7009" i="2"/>
  <c r="I7546" i="2"/>
  <c r="H7546" i="2"/>
  <c r="I8107" i="2"/>
  <c r="H8107" i="2"/>
  <c r="I7903" i="2"/>
  <c r="H7903" i="2"/>
  <c r="I1024" i="2"/>
  <c r="H1024" i="2"/>
  <c r="I2388" i="2"/>
  <c r="H2388" i="2"/>
  <c r="I1624" i="2"/>
  <c r="H1624" i="2"/>
  <c r="I2419" i="2"/>
  <c r="H2419" i="2"/>
  <c r="I7794" i="2"/>
  <c r="H7794" i="2"/>
  <c r="I6437" i="2"/>
  <c r="H6437" i="2"/>
  <c r="I5764" i="2"/>
  <c r="H5764" i="2"/>
  <c r="I7979" i="2"/>
  <c r="H7979" i="2"/>
  <c r="I140" i="2"/>
  <c r="H140" i="2"/>
  <c r="I2081" i="2"/>
  <c r="H2081" i="2"/>
  <c r="I7017" i="2"/>
  <c r="H7017" i="2"/>
  <c r="I7399" i="2"/>
  <c r="H7399" i="2"/>
  <c r="I106" i="2"/>
  <c r="H106" i="2"/>
  <c r="I7636" i="2"/>
  <c r="H7636" i="2"/>
  <c r="I1764" i="2"/>
  <c r="H1764" i="2"/>
  <c r="I2237" i="2"/>
  <c r="H2237" i="2"/>
  <c r="I6898" i="2"/>
  <c r="H6898" i="2"/>
  <c r="I537" i="2"/>
  <c r="H537" i="2"/>
  <c r="I7147" i="2"/>
  <c r="H7147" i="2"/>
  <c r="I8266" i="2"/>
  <c r="H8266" i="2"/>
  <c r="I1396" i="2"/>
  <c r="H1396" i="2"/>
  <c r="I219" i="2"/>
  <c r="H219" i="2"/>
  <c r="I7909" i="2"/>
  <c r="H7909" i="2"/>
  <c r="I2113" i="2"/>
  <c r="H2113" i="2"/>
  <c r="I174" i="2"/>
  <c r="H174" i="2"/>
  <c r="I378" i="2"/>
  <c r="H378" i="2"/>
  <c r="I729" i="2"/>
  <c r="H729" i="2"/>
  <c r="I3173" i="2"/>
  <c r="H3173" i="2"/>
  <c r="I6846" i="2"/>
  <c r="H6846" i="2"/>
  <c r="I288" i="2"/>
  <c r="H288" i="2"/>
  <c r="I6687" i="2"/>
  <c r="H6687" i="2"/>
  <c r="I6952" i="2"/>
  <c r="H6952" i="2"/>
  <c r="I1013" i="2"/>
  <c r="H1013" i="2"/>
  <c r="I1394" i="2"/>
  <c r="H1394" i="2"/>
  <c r="I6529" i="2"/>
  <c r="H6529" i="2"/>
  <c r="I1680" i="2"/>
  <c r="H1680" i="2"/>
  <c r="I6715" i="2"/>
  <c r="H6715" i="2"/>
  <c r="I1106" i="2"/>
  <c r="H1106" i="2"/>
  <c r="I7704" i="2"/>
  <c r="H7704" i="2"/>
  <c r="I7090" i="2"/>
  <c r="H7090" i="2"/>
  <c r="I8023" i="2"/>
  <c r="H8023" i="2"/>
  <c r="I1648" i="2"/>
  <c r="H1648" i="2"/>
  <c r="I1116" i="2"/>
  <c r="H1116" i="2"/>
  <c r="I7260" i="2"/>
  <c r="H7260" i="2"/>
  <c r="I7495" i="2"/>
  <c r="H7495" i="2"/>
  <c r="I2441" i="2"/>
  <c r="H2441" i="2"/>
  <c r="I1827" i="2"/>
  <c r="H1827" i="2"/>
  <c r="I2309" i="2"/>
  <c r="H2309" i="2"/>
  <c r="I2381" i="2"/>
  <c r="H2381" i="2"/>
  <c r="I6978" i="2"/>
  <c r="H6978" i="2"/>
  <c r="I6780" i="2"/>
  <c r="H6780" i="2"/>
  <c r="I2228" i="2"/>
  <c r="H2228" i="2"/>
  <c r="I8096" i="2"/>
  <c r="H8096" i="2"/>
  <c r="I7353" i="2"/>
  <c r="H7353" i="2"/>
  <c r="I1729" i="2"/>
  <c r="H1729" i="2"/>
  <c r="I1773" i="2"/>
  <c r="H1773" i="2"/>
  <c r="I549" i="2"/>
  <c r="H549" i="2"/>
  <c r="I7052" i="2"/>
  <c r="H7052" i="2"/>
  <c r="I1839" i="2"/>
  <c r="H1839" i="2"/>
  <c r="I2306" i="2"/>
  <c r="H2306" i="2"/>
  <c r="I7030" i="2"/>
  <c r="H7030" i="2"/>
  <c r="I2139" i="2"/>
  <c r="H2139" i="2"/>
  <c r="I7130" i="2"/>
  <c r="H7130" i="2"/>
  <c r="I318" i="2"/>
  <c r="H318" i="2"/>
  <c r="I2485" i="2"/>
  <c r="H2485" i="2"/>
  <c r="I1369" i="2"/>
  <c r="H1369" i="2"/>
  <c r="I7335" i="2"/>
  <c r="H7335" i="2"/>
  <c r="I248" i="2"/>
  <c r="H248" i="2"/>
  <c r="I7140" i="2"/>
  <c r="H7140" i="2"/>
  <c r="I1516" i="2"/>
  <c r="H1516" i="2"/>
  <c r="I8343" i="2"/>
  <c r="H8343" i="2"/>
  <c r="I99" i="2"/>
  <c r="H99" i="2"/>
  <c r="I240" i="2"/>
  <c r="H240" i="2"/>
  <c r="I7337" i="2"/>
  <c r="H7337" i="2"/>
  <c r="I1673" i="2"/>
  <c r="H1673" i="2"/>
  <c r="I1499" i="2"/>
  <c r="H1499" i="2"/>
  <c r="I1763" i="2"/>
  <c r="H1763" i="2"/>
  <c r="I1237" i="2"/>
  <c r="H1237" i="2"/>
  <c r="I2741" i="2"/>
  <c r="H2741" i="2"/>
  <c r="I7928" i="2"/>
  <c r="H7928" i="2"/>
  <c r="I85" i="2"/>
  <c r="H85" i="2"/>
  <c r="I906" i="2"/>
  <c r="H906" i="2"/>
  <c r="I2805" i="2"/>
  <c r="H2805" i="2"/>
  <c r="I7035" i="2"/>
  <c r="H7035" i="2"/>
  <c r="I2396" i="2"/>
  <c r="H2396" i="2"/>
  <c r="I1385" i="2"/>
  <c r="H1385" i="2"/>
  <c r="I7224" i="2"/>
  <c r="H7224" i="2"/>
  <c r="I7588" i="2"/>
  <c r="H7588" i="2"/>
  <c r="I1990" i="2"/>
  <c r="H1990" i="2"/>
  <c r="I1761" i="2"/>
  <c r="H1761" i="2"/>
  <c r="I7105" i="2"/>
  <c r="H7105" i="2"/>
  <c r="I7477" i="2"/>
  <c r="H7477" i="2"/>
  <c r="I1173" i="2"/>
  <c r="H1173" i="2"/>
  <c r="I2738" i="2"/>
  <c r="H2738" i="2"/>
  <c r="I8475" i="2"/>
  <c r="H8475" i="2"/>
  <c r="I256" i="2"/>
  <c r="H256" i="2"/>
  <c r="I6328" i="2"/>
  <c r="H6328" i="2"/>
  <c r="I7039" i="2"/>
  <c r="H7039" i="2"/>
  <c r="I2593" i="2"/>
  <c r="H2593" i="2"/>
  <c r="I100" i="2"/>
  <c r="H100" i="2"/>
  <c r="I8010" i="2"/>
  <c r="H8010" i="2"/>
  <c r="I6261" i="2"/>
  <c r="H6261" i="2"/>
  <c r="I158" i="2"/>
  <c r="H158" i="2"/>
  <c r="I1876" i="2"/>
  <c r="H1876" i="2"/>
  <c r="I8307" i="2"/>
  <c r="H8307" i="2"/>
  <c r="I8221" i="2"/>
  <c r="H8221" i="2"/>
  <c r="I6903" i="2"/>
  <c r="H6903" i="2"/>
  <c r="I1721" i="2"/>
  <c r="H1721" i="2"/>
  <c r="I1703" i="2"/>
  <c r="H1703" i="2"/>
  <c r="I7433" i="2"/>
  <c r="H7433" i="2"/>
  <c r="I104" i="2"/>
  <c r="H104" i="2"/>
  <c r="I979" i="2"/>
  <c r="H979" i="2"/>
  <c r="I7651" i="2"/>
  <c r="H7651" i="2"/>
  <c r="H128" i="2"/>
  <c r="I6251" i="2"/>
  <c r="H6251" i="2"/>
  <c r="I1561" i="2"/>
  <c r="H1561" i="2"/>
  <c r="I7576" i="2"/>
  <c r="H7576" i="2"/>
  <c r="I8091" i="2"/>
  <c r="H8091" i="2"/>
  <c r="I1886" i="2"/>
  <c r="H1886" i="2"/>
  <c r="I1410" i="2"/>
  <c r="H1410" i="2"/>
  <c r="I7199" i="2"/>
  <c r="H7199" i="2"/>
  <c r="I848" i="2"/>
  <c r="H848" i="2"/>
  <c r="I6913" i="2"/>
  <c r="H6913" i="2"/>
  <c r="I120" i="2"/>
  <c r="H120" i="2"/>
  <c r="I6834" i="2"/>
  <c r="H6834" i="2"/>
  <c r="I7315" i="2"/>
  <c r="H7315" i="2"/>
  <c r="I7073" i="2"/>
  <c r="H7073" i="2"/>
  <c r="I7386" i="2"/>
  <c r="H7386" i="2"/>
  <c r="I2104" i="2"/>
  <c r="H2104" i="2"/>
  <c r="I2054" i="2"/>
  <c r="H2054" i="2"/>
  <c r="I1597" i="2"/>
  <c r="H1597" i="2"/>
  <c r="I1509" i="2"/>
  <c r="H1509" i="2"/>
  <c r="I6976" i="2"/>
  <c r="H6976" i="2"/>
  <c r="I7394" i="2"/>
  <c r="H7394" i="2"/>
  <c r="I7732" i="2"/>
  <c r="H7732" i="2"/>
  <c r="I2050" i="2"/>
  <c r="H2050" i="2"/>
  <c r="I2564" i="2"/>
  <c r="H2564" i="2"/>
  <c r="I7876" i="2"/>
  <c r="H7876" i="2"/>
  <c r="I7439" i="2"/>
  <c r="H7439" i="2"/>
  <c r="I1133" i="2"/>
  <c r="H1133" i="2"/>
  <c r="I6584" i="2"/>
  <c r="H6584" i="2"/>
  <c r="I6801" i="2"/>
  <c r="H6801" i="2"/>
  <c r="I1952" i="2"/>
  <c r="H1952" i="2"/>
  <c r="I1702" i="2"/>
  <c r="H1702" i="2"/>
  <c r="I7079" i="2"/>
  <c r="H7079" i="2"/>
  <c r="I415" i="2"/>
  <c r="H415" i="2"/>
  <c r="I455" i="2"/>
  <c r="H455" i="2"/>
  <c r="I7388" i="2"/>
  <c r="H7388" i="2"/>
  <c r="I2201" i="2"/>
  <c r="H2201" i="2"/>
  <c r="I6547" i="2"/>
  <c r="H6547" i="2"/>
  <c r="I7378" i="2"/>
  <c r="H7378" i="2"/>
  <c r="I6125" i="2"/>
  <c r="H6125" i="2"/>
  <c r="I6638" i="2"/>
  <c r="H6638" i="2"/>
  <c r="I8183" i="2"/>
  <c r="H8183" i="2"/>
  <c r="I1784" i="2"/>
  <c r="H1784" i="2"/>
  <c r="I1992" i="2"/>
  <c r="H1992" i="2"/>
  <c r="I8145" i="2"/>
  <c r="H8145" i="2"/>
  <c r="I7782" i="2"/>
  <c r="H7782" i="2"/>
  <c r="I8184" i="2"/>
  <c r="H8184" i="2"/>
  <c r="I1227" i="2"/>
  <c r="H1227" i="2"/>
  <c r="I7826" i="2"/>
  <c r="H7826" i="2"/>
  <c r="I1586" i="2"/>
  <c r="H1586" i="2"/>
  <c r="I465" i="2"/>
  <c r="H465" i="2"/>
  <c r="I890" i="2"/>
  <c r="H890" i="2"/>
  <c r="I2010" i="2"/>
  <c r="H2010" i="2"/>
  <c r="I1377" i="2"/>
  <c r="H1377" i="2"/>
  <c r="I6969" i="2"/>
  <c r="H6969" i="2"/>
  <c r="I1134" i="2"/>
  <c r="H1134" i="2"/>
  <c r="I6559" i="2"/>
  <c r="H6559" i="2"/>
  <c r="I1939" i="2"/>
  <c r="H1939" i="2"/>
  <c r="I1270" i="2"/>
  <c r="H1270" i="2"/>
  <c r="I7468" i="2"/>
  <c r="H7468" i="2"/>
  <c r="I6940" i="2"/>
  <c r="H6940" i="2"/>
  <c r="I7938" i="2"/>
  <c r="H7938" i="2"/>
  <c r="I7864" i="2"/>
  <c r="H7864" i="2"/>
  <c r="I1788" i="2"/>
  <c r="H1788" i="2"/>
  <c r="I8233" i="2"/>
  <c r="H8233" i="2"/>
  <c r="I1743" i="2"/>
  <c r="H1743" i="2"/>
  <c r="I6859" i="2"/>
  <c r="H6859" i="2"/>
  <c r="I1599" i="2"/>
  <c r="H1599" i="2"/>
  <c r="I7253" i="2"/>
  <c r="H7253" i="2"/>
  <c r="I2207" i="2"/>
  <c r="H2207" i="2"/>
  <c r="I6902" i="2"/>
  <c r="H6902" i="2"/>
  <c r="I1515" i="2"/>
  <c r="H1515" i="2"/>
  <c r="I7368" i="2"/>
  <c r="H7368" i="2"/>
  <c r="I1873" i="2"/>
  <c r="H1873" i="2"/>
  <c r="I2391" i="2"/>
  <c r="H2391" i="2"/>
  <c r="I8041" i="2"/>
  <c r="H8041" i="2"/>
  <c r="I1881" i="2"/>
  <c r="H1881" i="2"/>
  <c r="I6301" i="2"/>
  <c r="H6301" i="2"/>
  <c r="I561" i="2"/>
  <c r="H561" i="2"/>
  <c r="I224" i="2"/>
  <c r="H224" i="2"/>
  <c r="I2267" i="2"/>
  <c r="H2267" i="2"/>
  <c r="I7528" i="2"/>
  <c r="H7528" i="2"/>
  <c r="I2012" i="2"/>
  <c r="H2012" i="2"/>
  <c r="I605" i="2"/>
  <c r="H605" i="2"/>
  <c r="I7284" i="2"/>
  <c r="H7284" i="2"/>
  <c r="I2129" i="2"/>
  <c r="H2129" i="2"/>
  <c r="I7991" i="2"/>
  <c r="H7991" i="2"/>
  <c r="I7654" i="2"/>
  <c r="H7654" i="2"/>
  <c r="I7000" i="2"/>
  <c r="H7000" i="2"/>
  <c r="I8480" i="2"/>
  <c r="H8480" i="2"/>
  <c r="I70" i="2"/>
  <c r="H70" i="2"/>
  <c r="I2438" i="2"/>
  <c r="H2438" i="2"/>
  <c r="I2318" i="2"/>
  <c r="H2318" i="2"/>
  <c r="I1447" i="2"/>
  <c r="H1447" i="2"/>
  <c r="I6935" i="2"/>
  <c r="H6935" i="2"/>
  <c r="I6656" i="2"/>
  <c r="H6656" i="2"/>
  <c r="I8124" i="2"/>
  <c r="H8124" i="2"/>
  <c r="I1565" i="2"/>
  <c r="H1565" i="2"/>
  <c r="I8502" i="2"/>
  <c r="H8502" i="2"/>
  <c r="I1610" i="2"/>
  <c r="H1610" i="2"/>
  <c r="I266" i="2"/>
  <c r="H266" i="2"/>
  <c r="I1636" i="2"/>
  <c r="H1636" i="2"/>
  <c r="I7883" i="2"/>
  <c r="H7883" i="2"/>
  <c r="I1568" i="2"/>
  <c r="H1568" i="2"/>
  <c r="I6367" i="2"/>
  <c r="H6367" i="2"/>
  <c r="I961" i="2"/>
  <c r="H961" i="2"/>
  <c r="I1518" i="2"/>
  <c r="H1518" i="2"/>
  <c r="I7269" i="2"/>
  <c r="H7269" i="2"/>
  <c r="I2459" i="2"/>
  <c r="H2459" i="2"/>
  <c r="I1676" i="2"/>
  <c r="H1676" i="2"/>
  <c r="I1389" i="2"/>
  <c r="H1389" i="2"/>
  <c r="I7255" i="2"/>
  <c r="H7255" i="2"/>
  <c r="I1033" i="2"/>
  <c r="H1033" i="2"/>
  <c r="I1843" i="2"/>
  <c r="H1843" i="2"/>
  <c r="I8378" i="2"/>
  <c r="H8378" i="2"/>
  <c r="I276" i="2"/>
  <c r="H276" i="2"/>
  <c r="I524" i="2"/>
  <c r="H524" i="2"/>
  <c r="I1137" i="2"/>
  <c r="H1137" i="2"/>
  <c r="I329" i="2"/>
  <c r="H329" i="2"/>
  <c r="I6995" i="2"/>
  <c r="H6995" i="2"/>
  <c r="I1283" i="2"/>
  <c r="H1283" i="2"/>
  <c r="I557" i="2"/>
  <c r="H557" i="2"/>
  <c r="I8418" i="2"/>
  <c r="H8418" i="2"/>
  <c r="I7803" i="2"/>
  <c r="H7803" i="2"/>
  <c r="I8130" i="2"/>
  <c r="H8130" i="2"/>
  <c r="I2571" i="2"/>
  <c r="H2571" i="2"/>
  <c r="I8488" i="2"/>
  <c r="H8488" i="2"/>
  <c r="I699" i="2"/>
  <c r="H699" i="2"/>
  <c r="I1980" i="2"/>
  <c r="H1980" i="2"/>
  <c r="I7797" i="2"/>
  <c r="H7797" i="2"/>
  <c r="I784" i="2"/>
  <c r="H784" i="2"/>
  <c r="I7290" i="2"/>
  <c r="H7290" i="2"/>
  <c r="I7498" i="2"/>
  <c r="H7498" i="2"/>
  <c r="I382" i="2"/>
  <c r="H382" i="2"/>
  <c r="I1250" i="2"/>
  <c r="H1250" i="2"/>
  <c r="I6774" i="2"/>
  <c r="H6774" i="2"/>
  <c r="I2020" i="2"/>
  <c r="H2020" i="2"/>
  <c r="I8171" i="2"/>
  <c r="H8171" i="2"/>
  <c r="I839" i="2"/>
  <c r="H839" i="2"/>
  <c r="I7387" i="2"/>
  <c r="H7387" i="2"/>
  <c r="I79" i="2"/>
  <c r="H79" i="2"/>
  <c r="I74" i="2"/>
  <c r="H74" i="2"/>
  <c r="I7138" i="2"/>
  <c r="H7138" i="2"/>
  <c r="I142" i="2"/>
  <c r="H142" i="2"/>
  <c r="I2200" i="2"/>
  <c r="H2200" i="2"/>
  <c r="I337" i="2"/>
  <c r="H337" i="2"/>
  <c r="I2014" i="2"/>
  <c r="H2014" i="2"/>
  <c r="I2126" i="2"/>
  <c r="H2126" i="2"/>
  <c r="I1606" i="2"/>
  <c r="H1606" i="2"/>
  <c r="I1933" i="2"/>
  <c r="H1933" i="2"/>
  <c r="I1504" i="2"/>
  <c r="H1504" i="2"/>
  <c r="I2003" i="2"/>
  <c r="H2003" i="2"/>
  <c r="I1311" i="2"/>
  <c r="H1311" i="2"/>
  <c r="I8048" i="2"/>
  <c r="H8048" i="2"/>
  <c r="I8289" i="2"/>
  <c r="H8289" i="2"/>
  <c r="I7179" i="2"/>
  <c r="H7179" i="2"/>
  <c r="I7294" i="2"/>
  <c r="H7294" i="2"/>
  <c r="I2259" i="2"/>
  <c r="H2259" i="2"/>
  <c r="I7244" i="2"/>
  <c r="H7244" i="2"/>
  <c r="I6938" i="2"/>
  <c r="H6938" i="2"/>
  <c r="I1225" i="2"/>
  <c r="H1225" i="2"/>
  <c r="I6892" i="2"/>
  <c r="H6892" i="2"/>
  <c r="I413" i="2"/>
  <c r="H413" i="2"/>
  <c r="I7336" i="2"/>
  <c r="H7336" i="2"/>
  <c r="I2058" i="2"/>
  <c r="H2058" i="2"/>
  <c r="I7238" i="2"/>
  <c r="H7238" i="2"/>
  <c r="I2703" i="2"/>
  <c r="H2703" i="2"/>
  <c r="I51" i="2"/>
  <c r="H51" i="2"/>
  <c r="I1608" i="2"/>
  <c r="H1608" i="2"/>
  <c r="I7719" i="2"/>
  <c r="H7719" i="2"/>
  <c r="I1781" i="2"/>
  <c r="H1781" i="2"/>
  <c r="I8445" i="2"/>
  <c r="H8445" i="2"/>
  <c r="I94" i="2"/>
  <c r="H94" i="2"/>
  <c r="I7075" i="2"/>
  <c r="H7075" i="2"/>
  <c r="I6128" i="2"/>
  <c r="H6128" i="2"/>
  <c r="I1474" i="2"/>
  <c r="H1474" i="2"/>
  <c r="I795" i="2"/>
  <c r="H795" i="2"/>
  <c r="I2214" i="2"/>
  <c r="H2214" i="2"/>
  <c r="I7811" i="2"/>
  <c r="H7811" i="2"/>
  <c r="I931" i="2"/>
  <c r="H931" i="2"/>
  <c r="I164" i="2"/>
  <c r="H164" i="2"/>
  <c r="I1999" i="2"/>
  <c r="H1999" i="2"/>
  <c r="I2067" i="2"/>
  <c r="H2067" i="2"/>
  <c r="I171" i="2"/>
  <c r="H171" i="2"/>
  <c r="I7834" i="2"/>
  <c r="H7834" i="2"/>
  <c r="I1728" i="2"/>
  <c r="H1728" i="2"/>
  <c r="I1638" i="2"/>
  <c r="H1638" i="2"/>
  <c r="I706" i="2"/>
  <c r="H706" i="2"/>
  <c r="I7569" i="2"/>
  <c r="H7569" i="2"/>
  <c r="I8079" i="2"/>
  <c r="H8079" i="2"/>
  <c r="I49" i="2"/>
  <c r="H49" i="2"/>
  <c r="I2074" i="2"/>
  <c r="H2074" i="2"/>
  <c r="I1732" i="2"/>
  <c r="H1732" i="2"/>
  <c r="I877" i="2"/>
  <c r="H877" i="2"/>
  <c r="I987" i="2"/>
  <c r="H987" i="2"/>
  <c r="I7161" i="2"/>
  <c r="H7161" i="2"/>
  <c r="I221" i="2"/>
  <c r="H221" i="2"/>
  <c r="I1435" i="2"/>
  <c r="H1435" i="2"/>
  <c r="I1375" i="2"/>
  <c r="H1375" i="2"/>
  <c r="I2340" i="2"/>
  <c r="H2340" i="2"/>
  <c r="I1632" i="2"/>
  <c r="H1632" i="2"/>
  <c r="I7037" i="2"/>
  <c r="H7037" i="2"/>
  <c r="I7010" i="2"/>
  <c r="H7010" i="2"/>
  <c r="I8500" i="2"/>
  <c r="H8500" i="2"/>
  <c r="I2092" i="2"/>
  <c r="H2092" i="2"/>
  <c r="I7906" i="2"/>
  <c r="H7906" i="2"/>
  <c r="I289" i="2"/>
  <c r="H289" i="2"/>
  <c r="I86" i="2"/>
  <c r="H86" i="2"/>
  <c r="I1808" i="2"/>
  <c r="H1808" i="2"/>
  <c r="I1937" i="2"/>
  <c r="H1937" i="2"/>
  <c r="I68" i="2"/>
  <c r="H68" i="2"/>
  <c r="I7959" i="2"/>
  <c r="H7959" i="2"/>
  <c r="I1734" i="2"/>
  <c r="H1734" i="2"/>
  <c r="I2004" i="2"/>
  <c r="H2004" i="2"/>
  <c r="I6956" i="2"/>
  <c r="H6956" i="2"/>
  <c r="I721" i="2"/>
  <c r="H721" i="2"/>
  <c r="I359" i="2"/>
  <c r="H359" i="2"/>
  <c r="I1021" i="2"/>
  <c r="H1021" i="2"/>
  <c r="I393" i="2"/>
  <c r="H393" i="2"/>
  <c r="I6373" i="2"/>
  <c r="H6373" i="2"/>
  <c r="I7207" i="2"/>
  <c r="H7207" i="2"/>
  <c r="I6970" i="2"/>
  <c r="H6970" i="2"/>
  <c r="I8214" i="2"/>
  <c r="H8214" i="2"/>
  <c r="I943" i="2"/>
  <c r="H943" i="2"/>
  <c r="I8351" i="2"/>
  <c r="H8351" i="2"/>
  <c r="I7960" i="2"/>
  <c r="H7960" i="2"/>
  <c r="I7204" i="2"/>
  <c r="H7204" i="2"/>
  <c r="I914" i="2"/>
  <c r="H914" i="2"/>
  <c r="I7759" i="2"/>
  <c r="H7759" i="2"/>
  <c r="I2143" i="2"/>
  <c r="H2143" i="2"/>
  <c r="I2672" i="2"/>
  <c r="H2672" i="2"/>
  <c r="I7935" i="2"/>
  <c r="H7935" i="2"/>
  <c r="I166" i="2"/>
  <c r="H166" i="2"/>
  <c r="I2620" i="2"/>
  <c r="H2620" i="2"/>
  <c r="I7839" i="2"/>
  <c r="H7839" i="2"/>
  <c r="I475" i="2"/>
  <c r="H475" i="2"/>
  <c r="I7986" i="2"/>
  <c r="H7986" i="2"/>
  <c r="I7783" i="2"/>
  <c r="H7783" i="2"/>
  <c r="I88" i="2"/>
  <c r="H88" i="2"/>
  <c r="I1392" i="2"/>
  <c r="H1392" i="2"/>
  <c r="I1527" i="2"/>
  <c r="H1527" i="2"/>
  <c r="I6263" i="2"/>
  <c r="H6263" i="2"/>
  <c r="I7711" i="2"/>
  <c r="H7711" i="2"/>
  <c r="I2636" i="2"/>
  <c r="H2636" i="2"/>
  <c r="I7694" i="2"/>
  <c r="H7694" i="2"/>
  <c r="I7308" i="2"/>
  <c r="H7308" i="2"/>
  <c r="I8019" i="2"/>
  <c r="H8019" i="2"/>
  <c r="I7771" i="2"/>
  <c r="H7771" i="2"/>
  <c r="I7632" i="2"/>
  <c r="H7632" i="2"/>
  <c r="I2632" i="2"/>
  <c r="H2632" i="2"/>
  <c r="I8438" i="2"/>
  <c r="H8438" i="2"/>
  <c r="I668" i="2"/>
  <c r="H668" i="2"/>
  <c r="I2417" i="2"/>
  <c r="H2417" i="2"/>
  <c r="I661" i="2"/>
  <c r="H661" i="2"/>
  <c r="I46" i="2"/>
  <c r="H46" i="2"/>
  <c r="I855" i="2"/>
  <c r="H855" i="2"/>
  <c r="I1902" i="2"/>
  <c r="H1902" i="2"/>
  <c r="I1226" i="2"/>
  <c r="H1226" i="2"/>
  <c r="I7868" i="2"/>
  <c r="H7868" i="2"/>
  <c r="I7475" i="2"/>
  <c r="H7475" i="2"/>
  <c r="I930" i="2"/>
  <c r="H930" i="2"/>
  <c r="I2431" i="2"/>
  <c r="H2431" i="2"/>
  <c r="I144" i="2"/>
  <c r="H144" i="2"/>
  <c r="I7438" i="2"/>
  <c r="H7438" i="2"/>
  <c r="I1750" i="2"/>
  <c r="H1750" i="2"/>
  <c r="I1452" i="2"/>
  <c r="H1452" i="2"/>
  <c r="I8114" i="2"/>
  <c r="H8114" i="2"/>
  <c r="I2644" i="2"/>
  <c r="H2644" i="2"/>
  <c r="I1424" i="2"/>
  <c r="H1424" i="2"/>
  <c r="I8186" i="2"/>
  <c r="H8186" i="2"/>
  <c r="I1712" i="2"/>
  <c r="H1712" i="2"/>
  <c r="I7981" i="2"/>
  <c r="H7981" i="2"/>
  <c r="I2170" i="2"/>
  <c r="H2170" i="2"/>
  <c r="I8052" i="2"/>
  <c r="H8052" i="2"/>
  <c r="I1368" i="2"/>
  <c r="H1368" i="2"/>
  <c r="I7229" i="2"/>
  <c r="H7229" i="2"/>
  <c r="I8504" i="2"/>
  <c r="H8504" i="2"/>
  <c r="I7581" i="2"/>
  <c r="H7581" i="2"/>
  <c r="I8161" i="2"/>
  <c r="H8161" i="2"/>
  <c r="I1686" i="2"/>
  <c r="H1686" i="2"/>
  <c r="I1765" i="2"/>
  <c r="H1765" i="2"/>
  <c r="I82" i="2"/>
  <c r="H82" i="2"/>
  <c r="I8509" i="2"/>
  <c r="H8509" i="2"/>
  <c r="I999" i="2"/>
  <c r="H999" i="2"/>
  <c r="I887" i="2"/>
  <c r="H887" i="2"/>
  <c r="I1532" i="2"/>
  <c r="H1532" i="2"/>
  <c r="I7736" i="2"/>
  <c r="H7736" i="2"/>
  <c r="I1802" i="2"/>
  <c r="H1802" i="2"/>
  <c r="I1143" i="2"/>
  <c r="H1143" i="2"/>
  <c r="I7821" i="2"/>
  <c r="H7821" i="2"/>
  <c r="I283" i="2"/>
  <c r="H283" i="2"/>
  <c r="I7787" i="2"/>
  <c r="H7787" i="2"/>
  <c r="I1540" i="2"/>
  <c r="H1540" i="2"/>
  <c r="I1904" i="2"/>
  <c r="H1904" i="2"/>
  <c r="I7752" i="2"/>
  <c r="H7752" i="2"/>
  <c r="I2843" i="2"/>
  <c r="H2843" i="2"/>
  <c r="I7354" i="2"/>
  <c r="H7354" i="2"/>
  <c r="I1439" i="2"/>
  <c r="H1439" i="2"/>
  <c r="I8209" i="2"/>
  <c r="H8209" i="2"/>
  <c r="I96" i="2"/>
  <c r="H96" i="2"/>
  <c r="I2372" i="2"/>
  <c r="H2372" i="2"/>
  <c r="I8406" i="2"/>
  <c r="H8406" i="2"/>
  <c r="I2157" i="2"/>
  <c r="H2157" i="2"/>
  <c r="I1858" i="2"/>
  <c r="H1858" i="2"/>
  <c r="I827" i="2"/>
  <c r="H827" i="2"/>
  <c r="I8284" i="2"/>
  <c r="H8284" i="2"/>
  <c r="I6747" i="2"/>
  <c r="H6747" i="2"/>
  <c r="I7767" i="2"/>
  <c r="H7767" i="2"/>
  <c r="I87" i="2"/>
  <c r="H87" i="2"/>
  <c r="I2223" i="2"/>
  <c r="H2223" i="2"/>
  <c r="I2291" i="2"/>
  <c r="H2291" i="2"/>
  <c r="I7506" i="2"/>
  <c r="H7506" i="2"/>
  <c r="I1365" i="2"/>
  <c r="H1365" i="2"/>
  <c r="I6735" i="2"/>
  <c r="H6735" i="2"/>
  <c r="I8118" i="2"/>
  <c r="H8118" i="2"/>
  <c r="I2192" i="2"/>
  <c r="H2192" i="2"/>
  <c r="I7061" i="2"/>
  <c r="H7061" i="2"/>
  <c r="I1551" i="2"/>
  <c r="H1551" i="2"/>
  <c r="I1443" i="2"/>
  <c r="H1443" i="2"/>
  <c r="I8309" i="2"/>
  <c r="H8309" i="2"/>
  <c r="I41" i="2"/>
  <c r="H41" i="2"/>
  <c r="I8168" i="2"/>
  <c r="H8168" i="2"/>
  <c r="I7918" i="2"/>
  <c r="H7918" i="2"/>
  <c r="I2025" i="2"/>
  <c r="H2025" i="2"/>
  <c r="I7832" i="2"/>
  <c r="H7832" i="2"/>
  <c r="I1342" i="2"/>
  <c r="H1342" i="2"/>
  <c r="I8491" i="2"/>
  <c r="H8491" i="2"/>
  <c r="I6993" i="2"/>
  <c r="H6993" i="2"/>
  <c r="I6984" i="2"/>
  <c r="H6984" i="2"/>
  <c r="I1633" i="2"/>
  <c r="H1633" i="2"/>
  <c r="I1579" i="2"/>
  <c r="H1579" i="2"/>
  <c r="I2517" i="2"/>
  <c r="H2517" i="2"/>
  <c r="I884" i="2"/>
  <c r="H884" i="2"/>
  <c r="I1316" i="2"/>
  <c r="H1316" i="2"/>
  <c r="I8246" i="2"/>
  <c r="H8246" i="2"/>
  <c r="I2045" i="2"/>
  <c r="H2045" i="2"/>
  <c r="I1502" i="2"/>
  <c r="H1502" i="2"/>
  <c r="I878" i="2"/>
  <c r="H878" i="2"/>
  <c r="I1817" i="2"/>
  <c r="H1817" i="2"/>
  <c r="I1658" i="2"/>
  <c r="H1658" i="2"/>
  <c r="I7638" i="2"/>
  <c r="H7638" i="2"/>
  <c r="I7983" i="2"/>
  <c r="H7983" i="2"/>
  <c r="I242" i="2"/>
  <c r="H242" i="2"/>
  <c r="I1705" i="2"/>
  <c r="H1705" i="2"/>
  <c r="I2281" i="2"/>
  <c r="H2281" i="2"/>
  <c r="I1380" i="2"/>
  <c r="H1380" i="2"/>
  <c r="I8044" i="2"/>
  <c r="H8044" i="2"/>
  <c r="I6974" i="2"/>
  <c r="H6974" i="2"/>
  <c r="I7069" i="2"/>
  <c r="H7069" i="2"/>
  <c r="I8092" i="2"/>
  <c r="H8092" i="2"/>
  <c r="I573" i="2"/>
  <c r="H573" i="2"/>
  <c r="I481" i="2"/>
  <c r="H481" i="2"/>
  <c r="I2210" i="2"/>
  <c r="H2210" i="2"/>
  <c r="I7865" i="2"/>
  <c r="H7865" i="2"/>
  <c r="I798" i="2"/>
  <c r="H798" i="2"/>
  <c r="I2064" i="2"/>
  <c r="H2064" i="2"/>
  <c r="I7775" i="2"/>
  <c r="H7775" i="2"/>
  <c r="I7641" i="2"/>
  <c r="H7641" i="2"/>
  <c r="I8505" i="2"/>
  <c r="H8505" i="2"/>
  <c r="I962" i="2"/>
  <c r="H962" i="2"/>
  <c r="I2347" i="2"/>
  <c r="H2347" i="2"/>
  <c r="I7502" i="2"/>
  <c r="H7502" i="2"/>
  <c r="I6932" i="2"/>
  <c r="H6932" i="2"/>
  <c r="I673" i="2"/>
  <c r="H673" i="2"/>
  <c r="I1643" i="2"/>
  <c r="H1643" i="2"/>
  <c r="I469" i="2"/>
  <c r="H469" i="2"/>
  <c r="I7461" i="2"/>
  <c r="H7461" i="2"/>
  <c r="I1687" i="2"/>
  <c r="H1687" i="2"/>
  <c r="I7987" i="2"/>
  <c r="H7987" i="2"/>
  <c r="I1778" i="2"/>
  <c r="H1778" i="2"/>
  <c r="I8258" i="2"/>
  <c r="H8258" i="2"/>
  <c r="I8005" i="2"/>
  <c r="H8005" i="2"/>
  <c r="I6716" i="2"/>
  <c r="H6716" i="2"/>
  <c r="I486" i="2"/>
  <c r="H486" i="2"/>
  <c r="I7404" i="2"/>
  <c r="H7404" i="2"/>
  <c r="I7820" i="2"/>
  <c r="H7820" i="2"/>
  <c r="I97" i="2"/>
  <c r="H97" i="2"/>
  <c r="I7397" i="2"/>
  <c r="H7397" i="2"/>
  <c r="I1261" i="2"/>
  <c r="H1261" i="2"/>
  <c r="I7592" i="2"/>
  <c r="H7592" i="2"/>
  <c r="I7418" i="2"/>
  <c r="H7418" i="2"/>
  <c r="I2246" i="2"/>
  <c r="H2246" i="2"/>
  <c r="I217" i="2"/>
  <c r="H217" i="2"/>
  <c r="I352" i="2"/>
  <c r="H352" i="2"/>
  <c r="I1240" i="2"/>
  <c r="H1240" i="2"/>
  <c r="I1503" i="2"/>
  <c r="H1503" i="2"/>
  <c r="I1260" i="2"/>
  <c r="H1260" i="2"/>
  <c r="I2039" i="2"/>
  <c r="H2039" i="2"/>
  <c r="I1483" i="2"/>
  <c r="H1483" i="2"/>
  <c r="I1629" i="2"/>
  <c r="H1629" i="2"/>
  <c r="I8119" i="2"/>
  <c r="H8119" i="2"/>
  <c r="I533" i="2"/>
  <c r="H533" i="2"/>
  <c r="I1818" i="2"/>
  <c r="H1818" i="2"/>
  <c r="I6853" i="2"/>
  <c r="H6853" i="2"/>
  <c r="I7517" i="2"/>
  <c r="H7517" i="2"/>
  <c r="I6708" i="2"/>
  <c r="H6708" i="2"/>
  <c r="I2141" i="2"/>
  <c r="H2141" i="2"/>
  <c r="I926" i="2"/>
  <c r="H926" i="2"/>
  <c r="I7788" i="2"/>
  <c r="H7788" i="2"/>
  <c r="I7907" i="2"/>
  <c r="H7907" i="2"/>
  <c r="I7020" i="2"/>
  <c r="H7020" i="2"/>
  <c r="I8297" i="2"/>
  <c r="H8297" i="2"/>
  <c r="I1563" i="2"/>
  <c r="H1563" i="2"/>
  <c r="I2303" i="2"/>
  <c r="H2303" i="2"/>
  <c r="I8254" i="2"/>
  <c r="H8254" i="2"/>
  <c r="I748" i="2"/>
  <c r="H748" i="2"/>
  <c r="I7116" i="2"/>
  <c r="H7116" i="2"/>
  <c r="I1926" i="2"/>
  <c r="H1926" i="2"/>
  <c r="I1155" i="2"/>
  <c r="H1155" i="2"/>
  <c r="I7246" i="2"/>
  <c r="H7246" i="2"/>
  <c r="I8483" i="2"/>
  <c r="H8483" i="2"/>
  <c r="I8478" i="2"/>
  <c r="H8478" i="2"/>
  <c r="I47" i="2"/>
  <c r="H47" i="2"/>
  <c r="I1344" i="2"/>
  <c r="H1344" i="2"/>
  <c r="I7757" i="2"/>
  <c r="H7757" i="2"/>
  <c r="I2099" i="2"/>
  <c r="H2099" i="2"/>
  <c r="I1258" i="2"/>
  <c r="H1258" i="2"/>
  <c r="I6480" i="2"/>
  <c r="H6480" i="2"/>
  <c r="I8074" i="2"/>
  <c r="H8074" i="2"/>
  <c r="I8088" i="2"/>
  <c r="H8088" i="2"/>
  <c r="I1293" i="2"/>
  <c r="H1293" i="2"/>
  <c r="I7899" i="2"/>
  <c r="H7899" i="2"/>
  <c r="I7383" i="2"/>
  <c r="H7383" i="2"/>
  <c r="I1880" i="2"/>
  <c r="H1880" i="2"/>
  <c r="I2316" i="2"/>
  <c r="H2316" i="2"/>
  <c r="I2637" i="2"/>
  <c r="H2637" i="2"/>
  <c r="I1767" i="2"/>
  <c r="H1767" i="2"/>
  <c r="I6346" i="2"/>
  <c r="H6346" i="2"/>
  <c r="I73" i="2"/>
  <c r="H73" i="2"/>
  <c r="I33" i="2"/>
  <c r="H33" i="2"/>
  <c r="I8249" i="2"/>
  <c r="H8249" i="2"/>
  <c r="I7942" i="2"/>
  <c r="H7942" i="2"/>
  <c r="I760" i="2"/>
  <c r="H760" i="2"/>
  <c r="I1082" i="2"/>
  <c r="H1082" i="2"/>
  <c r="I2377" i="2"/>
  <c r="H2377" i="2"/>
  <c r="I350" i="2"/>
  <c r="H350" i="2"/>
  <c r="I554" i="2"/>
  <c r="H554" i="2"/>
  <c r="I1319" i="2"/>
  <c r="H1319" i="2"/>
  <c r="I8135" i="2"/>
  <c r="H8135" i="2"/>
  <c r="I1640" i="2"/>
  <c r="H1640" i="2"/>
  <c r="I8348" i="2"/>
  <c r="H8348" i="2"/>
  <c r="I1440" i="2"/>
  <c r="H1440" i="2"/>
  <c r="I1505" i="2"/>
  <c r="H1505" i="2"/>
  <c r="I1779" i="2"/>
  <c r="H1779" i="2"/>
  <c r="I1539" i="2"/>
  <c r="H1539" i="2"/>
  <c r="I8198" i="2"/>
  <c r="H8198" i="2"/>
  <c r="I1569" i="2"/>
  <c r="H1569" i="2"/>
  <c r="I8272" i="2"/>
  <c r="H8272" i="2"/>
  <c r="I1609" i="2"/>
  <c r="H1609" i="2"/>
  <c r="I117" i="2"/>
  <c r="H117" i="2"/>
  <c r="I8163" i="2"/>
  <c r="H8163" i="2"/>
  <c r="I2905" i="2"/>
  <c r="H2905" i="2"/>
  <c r="I1520" i="2"/>
  <c r="H1520" i="2"/>
  <c r="I1837" i="2"/>
  <c r="H1837" i="2"/>
  <c r="I7044" i="2"/>
  <c r="H7044" i="2"/>
  <c r="I7131" i="2"/>
  <c r="H7131" i="2"/>
  <c r="I539" i="2"/>
  <c r="H539" i="2"/>
  <c r="I67" i="2"/>
  <c r="H67" i="2"/>
  <c r="I7685" i="2"/>
  <c r="H7685" i="2"/>
  <c r="I6321" i="2"/>
  <c r="H6321" i="2"/>
  <c r="I207" i="2"/>
  <c r="H207" i="2"/>
  <c r="I8268" i="2"/>
  <c r="H8268" i="2"/>
  <c r="I7897" i="2"/>
  <c r="H7897" i="2"/>
  <c r="I1278" i="2"/>
  <c r="H1278" i="2"/>
  <c r="I7275" i="2"/>
  <c r="H7275" i="2"/>
  <c r="I192" i="2"/>
  <c r="H192" i="2"/>
  <c r="I2184" i="2"/>
  <c r="H2184" i="2"/>
  <c r="I1566" i="2"/>
  <c r="H1566" i="2"/>
  <c r="I1762" i="2"/>
  <c r="H1762" i="2"/>
  <c r="I6949" i="2"/>
  <c r="H6949" i="2"/>
  <c r="I5959" i="2"/>
  <c r="H5959" i="2"/>
  <c r="I303" i="2"/>
  <c r="H303" i="2"/>
  <c r="I327" i="2"/>
  <c r="H327" i="2"/>
  <c r="I1229" i="2"/>
  <c r="H1229" i="2"/>
  <c r="I8281" i="2"/>
  <c r="H8281" i="2"/>
  <c r="I7520" i="2"/>
  <c r="H7520" i="2"/>
  <c r="I8029" i="2"/>
  <c r="H8029" i="2"/>
  <c r="I7695" i="2"/>
  <c r="H7695" i="2"/>
  <c r="I8192" i="2"/>
  <c r="H8192" i="2"/>
  <c r="I702" i="2"/>
  <c r="H702" i="2"/>
  <c r="I8328" i="2"/>
  <c r="H8328" i="2"/>
  <c r="I652" i="2"/>
  <c r="H652" i="2"/>
  <c r="I81" i="2"/>
  <c r="H81" i="2"/>
  <c r="I638" i="2"/>
  <c r="H638" i="2"/>
  <c r="I1243" i="2"/>
  <c r="H1243" i="2"/>
  <c r="I8441" i="2"/>
  <c r="H8441" i="2"/>
  <c r="I7133" i="2"/>
  <c r="H7133" i="2"/>
  <c r="I244" i="2"/>
  <c r="H244" i="2"/>
  <c r="I7945" i="2"/>
  <c r="H7945" i="2"/>
  <c r="I495" i="2"/>
  <c r="H495" i="2"/>
  <c r="I542" i="2"/>
  <c r="H542" i="2"/>
  <c r="I1164" i="2"/>
  <c r="H1164" i="2"/>
  <c r="I1090" i="2"/>
  <c r="H1090" i="2"/>
  <c r="I8286" i="2"/>
  <c r="H8286" i="2"/>
  <c r="I948" i="2"/>
  <c r="H948" i="2"/>
  <c r="I8264" i="2"/>
  <c r="H8264" i="2"/>
  <c r="I1228" i="2"/>
  <c r="H1228" i="2"/>
  <c r="I8285" i="2"/>
  <c r="H8285" i="2"/>
  <c r="I167" i="2"/>
  <c r="H167" i="2"/>
  <c r="I1997" i="2"/>
  <c r="H1997" i="2"/>
  <c r="I1998" i="2"/>
  <c r="H1998" i="2"/>
  <c r="I55" i="2"/>
  <c r="H55" i="2"/>
  <c r="I7990" i="2"/>
  <c r="H7990" i="2"/>
  <c r="I8031" i="2"/>
  <c r="H8031" i="2"/>
  <c r="I8165" i="2"/>
  <c r="H8165" i="2"/>
  <c r="I66" i="2"/>
  <c r="H66" i="2"/>
  <c r="I1434" i="2"/>
  <c r="H1434" i="2"/>
  <c r="I8120" i="2"/>
  <c r="H8120" i="2"/>
  <c r="I8435" i="2"/>
  <c r="H8435" i="2"/>
  <c r="I1354" i="2"/>
  <c r="H1354" i="2"/>
  <c r="I1813" i="2"/>
  <c r="H1813" i="2"/>
  <c r="I8240" i="2"/>
  <c r="H8240" i="2"/>
  <c r="I8430" i="2"/>
  <c r="H8430" i="2"/>
  <c r="I1576" i="2"/>
  <c r="H1576" i="2"/>
  <c r="I7086" i="2"/>
  <c r="H7086" i="2"/>
  <c r="I345" i="2"/>
  <c r="H345" i="2"/>
  <c r="I736" i="2"/>
  <c r="H736" i="2"/>
  <c r="I7684" i="2"/>
  <c r="H7684" i="2"/>
  <c r="I319" i="2"/>
  <c r="H319" i="2"/>
  <c r="I7013" i="2"/>
  <c r="H7013" i="2"/>
  <c r="I2297" i="2"/>
  <c r="H2297" i="2"/>
  <c r="I550" i="2"/>
  <c r="H550" i="2"/>
  <c r="I1675" i="2"/>
  <c r="H1675" i="2"/>
  <c r="I64" i="2"/>
  <c r="H64" i="2"/>
  <c r="I7406" i="2"/>
  <c r="H7406" i="2"/>
  <c r="I6900" i="2"/>
  <c r="H6900" i="2"/>
  <c r="I8057" i="2"/>
  <c r="H8057" i="2"/>
  <c r="I7046" i="2"/>
  <c r="H7046" i="2"/>
  <c r="I101" i="2"/>
  <c r="H101" i="2"/>
  <c r="I981" i="2"/>
  <c r="H981" i="2"/>
  <c r="I8153" i="2"/>
  <c r="H8153" i="2"/>
  <c r="I7602" i="2"/>
  <c r="H7602" i="2"/>
  <c r="I7742" i="2"/>
  <c r="H7742" i="2"/>
  <c r="I7769" i="2"/>
  <c r="H7769" i="2"/>
  <c r="I838" i="2"/>
  <c r="H838" i="2"/>
  <c r="I7364" i="2"/>
  <c r="H7364" i="2"/>
  <c r="I7893" i="2"/>
  <c r="H7893" i="2"/>
  <c r="I7645" i="2"/>
  <c r="H7645" i="2"/>
  <c r="I23" i="2"/>
  <c r="H23" i="2"/>
  <c r="I2115" i="2"/>
  <c r="H2115" i="2"/>
  <c r="I1578" i="2"/>
  <c r="H1578" i="2"/>
  <c r="I7470" i="2"/>
  <c r="H7470" i="2"/>
  <c r="I7672" i="2"/>
  <c r="H7672" i="2"/>
  <c r="I24" i="2"/>
  <c r="H24" i="2"/>
  <c r="I1427" i="2"/>
  <c r="H1427" i="2"/>
  <c r="I985" i="2"/>
  <c r="H985" i="2"/>
  <c r="I6693" i="2"/>
  <c r="H6693" i="2"/>
  <c r="I7080" i="2"/>
  <c r="H7080" i="2"/>
  <c r="I8099" i="2"/>
  <c r="H8099" i="2"/>
  <c r="I1530" i="2"/>
  <c r="H1530" i="2"/>
  <c r="I195" i="2"/>
  <c r="H195" i="2"/>
  <c r="I749" i="2"/>
  <c r="H749" i="2"/>
  <c r="I7748" i="2"/>
  <c r="H7748" i="2"/>
  <c r="I42" i="2"/>
  <c r="H42" i="2"/>
  <c r="I1458" i="2"/>
  <c r="H1458" i="2"/>
  <c r="I1276" i="2"/>
  <c r="H1276" i="2"/>
  <c r="I618" i="2"/>
  <c r="H618" i="2"/>
  <c r="I7859" i="2"/>
  <c r="H7859" i="2"/>
  <c r="I29" i="2"/>
  <c r="H29" i="2"/>
  <c r="I8476" i="2"/>
  <c r="H8476" i="2"/>
  <c r="I483" i="2"/>
  <c r="H483" i="2"/>
  <c r="I1678" i="2"/>
  <c r="H1678" i="2"/>
  <c r="I1727" i="2"/>
  <c r="H1727" i="2"/>
  <c r="I907" i="2"/>
  <c r="H907" i="2"/>
  <c r="I105" i="2"/>
  <c r="H105" i="2"/>
  <c r="I7192" i="2"/>
  <c r="H7192" i="2"/>
  <c r="I2153" i="2"/>
  <c r="H2153" i="2"/>
  <c r="I176" i="2"/>
  <c r="H176" i="2"/>
  <c r="I2209" i="2"/>
  <c r="H2209" i="2"/>
  <c r="I6927" i="2"/>
  <c r="H6927" i="2"/>
  <c r="I36" i="2"/>
  <c r="H36" i="2"/>
  <c r="I1709" i="2"/>
  <c r="H1709" i="2"/>
  <c r="I43" i="2"/>
  <c r="H43" i="2"/>
  <c r="I1570" i="2"/>
  <c r="H1570" i="2"/>
  <c r="I6600" i="2"/>
  <c r="H6600" i="2"/>
  <c r="I1493" i="2"/>
  <c r="H1493" i="2"/>
  <c r="I2299" i="2"/>
  <c r="H2299" i="2"/>
  <c r="I934" i="2"/>
  <c r="H934" i="2"/>
  <c r="I667" i="2"/>
  <c r="H667" i="2"/>
  <c r="I7584" i="2"/>
  <c r="H7584" i="2"/>
  <c r="I7278" i="2"/>
  <c r="H7278" i="2"/>
  <c r="I1061" i="2"/>
  <c r="H1061" i="2"/>
  <c r="I8443" i="2"/>
  <c r="H8443" i="2"/>
  <c r="I1630" i="2"/>
  <c r="H1630" i="2"/>
  <c r="I1631" i="2"/>
  <c r="H1631" i="2"/>
  <c r="I199" i="2"/>
  <c r="H199" i="2"/>
  <c r="I1144" i="2"/>
  <c r="H1144" i="2"/>
  <c r="I424" i="2"/>
  <c r="H424" i="2"/>
  <c r="I1704" i="2"/>
  <c r="H1704" i="2"/>
  <c r="I65" i="2"/>
  <c r="H65" i="2"/>
  <c r="I1593" i="2"/>
  <c r="H1593" i="2"/>
  <c r="I154" i="2"/>
  <c r="H154" i="2"/>
  <c r="I818" i="2"/>
  <c r="H818" i="2"/>
  <c r="I1300" i="2"/>
  <c r="H1300" i="2"/>
  <c r="I8329" i="2"/>
  <c r="H8329" i="2"/>
  <c r="I7619" i="2"/>
  <c r="H7619" i="2"/>
  <c r="I25" i="2"/>
  <c r="H25" i="2"/>
  <c r="I56" i="2"/>
  <c r="H56" i="2"/>
  <c r="I6745" i="2"/>
  <c r="H6745" i="2"/>
  <c r="I1198" i="2"/>
  <c r="H1198" i="2"/>
  <c r="I1001" i="2"/>
  <c r="H1001" i="2"/>
  <c r="I7829" i="2"/>
  <c r="H7829" i="2"/>
  <c r="I7350" i="2"/>
  <c r="H7350" i="2"/>
  <c r="I8190" i="2"/>
  <c r="H8190" i="2"/>
  <c r="I8081" i="2"/>
  <c r="H8081" i="2"/>
  <c r="I1500" i="2"/>
  <c r="H1500" i="2"/>
  <c r="I2718" i="2"/>
  <c r="H2718" i="2"/>
  <c r="I210" i="2"/>
  <c r="H210" i="2"/>
  <c r="I889" i="2"/>
  <c r="H889" i="2"/>
  <c r="I409" i="2"/>
  <c r="H409" i="2"/>
  <c r="I1056" i="2"/>
  <c r="H1056" i="2"/>
  <c r="I8490" i="2"/>
  <c r="H8490" i="2"/>
  <c r="I1015" i="2"/>
  <c r="H1015" i="2"/>
  <c r="I782" i="2"/>
  <c r="H782" i="2"/>
  <c r="I692" i="2"/>
  <c r="H692" i="2"/>
  <c r="I1644" i="2"/>
  <c r="H1644" i="2"/>
  <c r="I268" i="2"/>
  <c r="H268" i="2"/>
  <c r="I933" i="2"/>
  <c r="H933" i="2"/>
  <c r="I8027" i="2"/>
  <c r="H8027" i="2"/>
  <c r="I939" i="2"/>
  <c r="H939" i="2"/>
  <c r="I1707" i="2"/>
  <c r="H1707" i="2"/>
  <c r="I414" i="2"/>
  <c r="H414" i="2"/>
  <c r="I1147" i="2"/>
  <c r="H1147" i="2"/>
  <c r="I8513" i="2"/>
  <c r="H8513" i="2"/>
  <c r="I674" i="2"/>
  <c r="H674" i="2"/>
  <c r="I1006" i="2"/>
  <c r="H1006" i="2"/>
  <c r="I646" i="2"/>
  <c r="H646" i="2"/>
  <c r="I2337" i="2"/>
  <c r="H2337" i="2"/>
  <c r="I8426" i="2"/>
  <c r="H8426" i="2"/>
  <c r="I1756" i="2"/>
  <c r="H1756" i="2"/>
  <c r="I8243" i="2"/>
  <c r="H8243" i="2"/>
  <c r="I1831" i="2"/>
  <c r="H1831" i="2"/>
  <c r="I6973" i="2"/>
  <c r="H6973" i="2"/>
  <c r="I8452" i="2"/>
  <c r="H8452" i="2"/>
  <c r="I134" i="2"/>
  <c r="H134" i="2"/>
  <c r="I115" i="2"/>
  <c r="H115" i="2"/>
  <c r="I1412" i="2"/>
  <c r="H1412" i="2"/>
  <c r="I1710" i="2"/>
  <c r="H1710" i="2"/>
  <c r="I1510" i="2"/>
  <c r="H1510" i="2"/>
  <c r="I1656" i="2"/>
  <c r="H1656" i="2"/>
  <c r="I7457" i="2"/>
  <c r="H7457" i="2"/>
  <c r="I8477" i="2"/>
  <c r="H8477" i="2"/>
  <c r="I7298" i="2"/>
  <c r="H7298" i="2"/>
  <c r="I8375" i="2"/>
  <c r="H8375" i="2"/>
  <c r="I7467" i="2"/>
  <c r="H7467" i="2"/>
  <c r="I7187" i="2"/>
  <c r="H7187" i="2"/>
  <c r="I1453" i="2"/>
  <c r="H1453" i="2"/>
  <c r="I1003" i="2"/>
  <c r="H1003" i="2"/>
  <c r="I553" i="2"/>
  <c r="H553" i="2"/>
  <c r="I1041" i="2"/>
  <c r="H1041" i="2"/>
  <c r="I1671" i="2"/>
  <c r="H1671" i="2"/>
  <c r="I982" i="2"/>
  <c r="H982" i="2"/>
  <c r="I670" i="2"/>
  <c r="H670" i="2"/>
  <c r="I7554" i="2"/>
  <c r="H7554" i="2"/>
  <c r="I615" i="2"/>
  <c r="H615" i="2"/>
  <c r="I974" i="2"/>
  <c r="H974" i="2"/>
  <c r="I6815" i="2"/>
  <c r="H6815" i="2"/>
  <c r="I7537" i="2"/>
  <c r="H7537" i="2"/>
  <c r="I7720" i="2"/>
  <c r="H7720" i="2"/>
  <c r="I8261" i="2"/>
  <c r="H8261" i="2"/>
  <c r="I8492" i="2"/>
  <c r="H8492" i="2"/>
  <c r="I1058" i="2"/>
  <c r="H1058" i="2"/>
  <c r="I385" i="2"/>
  <c r="H385" i="2"/>
  <c r="I31" i="2"/>
  <c r="H31" i="2"/>
  <c r="I854" i="2"/>
  <c r="H854" i="2"/>
  <c r="I8208" i="2"/>
  <c r="H8208" i="2"/>
  <c r="I8333" i="2"/>
  <c r="H8333" i="2"/>
  <c r="I8300" i="2"/>
  <c r="H8300" i="2"/>
  <c r="I6484" i="2"/>
  <c r="H6484" i="2"/>
  <c r="I648" i="2"/>
  <c r="H648" i="2"/>
  <c r="I45" i="2"/>
  <c r="H45" i="2"/>
  <c r="I8051" i="2"/>
  <c r="H8051" i="2"/>
  <c r="I1165" i="2"/>
  <c r="H1165" i="2"/>
  <c r="I6696" i="2"/>
  <c r="H6696" i="2"/>
  <c r="I7825" i="2"/>
  <c r="H7825" i="2"/>
  <c r="I7558" i="2"/>
  <c r="H7558" i="2"/>
  <c r="I7975" i="2"/>
  <c r="H7975" i="2"/>
  <c r="I1158" i="2"/>
  <c r="H1158" i="2"/>
  <c r="I7168" i="2"/>
  <c r="H7168" i="2"/>
  <c r="I62" i="2"/>
  <c r="H62" i="2"/>
  <c r="I834" i="2"/>
  <c r="H834" i="2"/>
  <c r="I108" i="2"/>
  <c r="H108" i="2"/>
  <c r="I1746" i="2"/>
  <c r="H1746" i="2"/>
  <c r="I1267" i="2"/>
  <c r="H1267" i="2"/>
  <c r="I8033" i="2"/>
  <c r="H8033" i="2"/>
  <c r="I8011" i="2"/>
  <c r="H8011" i="2"/>
  <c r="I641" i="2"/>
  <c r="H641" i="2"/>
  <c r="I7709" i="2"/>
  <c r="H7709" i="2"/>
  <c r="I1552" i="2"/>
  <c r="H1552" i="2"/>
  <c r="I7885" i="2"/>
  <c r="H7885" i="2"/>
  <c r="I8174" i="2"/>
  <c r="H8174" i="2"/>
  <c r="I7544" i="2"/>
  <c r="H7544" i="2"/>
  <c r="I1550" i="2"/>
  <c r="H1550" i="2"/>
  <c r="I7772" i="2"/>
  <c r="H7772" i="2"/>
  <c r="I1323" i="2"/>
  <c r="H1323" i="2"/>
  <c r="I7805" i="2"/>
  <c r="H7805" i="2"/>
  <c r="I1149" i="2"/>
  <c r="H1149" i="2"/>
  <c r="I53" i="2"/>
  <c r="H53" i="2"/>
  <c r="I7764" i="2"/>
  <c r="H7764" i="2"/>
  <c r="I7703" i="2"/>
  <c r="H7703" i="2"/>
  <c r="I19" i="2"/>
  <c r="H19" i="2"/>
  <c r="I8432" i="2"/>
  <c r="H8432" i="2"/>
  <c r="I8454" i="2"/>
  <c r="H8454" i="2"/>
  <c r="I8457" i="2"/>
  <c r="H8457" i="2"/>
  <c r="I1130" i="2"/>
  <c r="H1130" i="2"/>
  <c r="I8353" i="2"/>
  <c r="H8353" i="2"/>
  <c r="I655" i="2"/>
  <c r="H655" i="2"/>
  <c r="I1038" i="2"/>
  <c r="H1038" i="2"/>
  <c r="I61" i="2"/>
  <c r="H61" i="2"/>
  <c r="I7993" i="2"/>
  <c r="H7993" i="2"/>
  <c r="I60" i="2"/>
  <c r="H60" i="2"/>
  <c r="I7780" i="2"/>
  <c r="H7780" i="2"/>
  <c r="I783" i="2"/>
  <c r="H783" i="2"/>
  <c r="I1815" i="2"/>
  <c r="H1815" i="2"/>
  <c r="I8429" i="2"/>
  <c r="H8429" i="2"/>
  <c r="I7314" i="2"/>
  <c r="H7314" i="2"/>
  <c r="I1405" i="2"/>
  <c r="H1405" i="2"/>
  <c r="I169" i="2"/>
  <c r="H169" i="2"/>
  <c r="I296" i="2"/>
  <c r="H296" i="2"/>
  <c r="I1325" i="2"/>
  <c r="H1325" i="2"/>
  <c r="I7248" i="2"/>
  <c r="H7248" i="2"/>
  <c r="I2061" i="2"/>
  <c r="H2061" i="2"/>
  <c r="I2062" i="2"/>
  <c r="H2062" i="2"/>
  <c r="I398" i="2"/>
  <c r="H398" i="2"/>
  <c r="I270" i="2"/>
  <c r="H270" i="2"/>
  <c r="I541" i="2"/>
  <c r="H541" i="2"/>
  <c r="I1611" i="2"/>
  <c r="H1611" i="2"/>
  <c r="I8162" i="2"/>
  <c r="H8162" i="2"/>
  <c r="I27" i="2"/>
  <c r="H27" i="2"/>
  <c r="I787" i="2"/>
  <c r="H787" i="2"/>
  <c r="I92" i="2"/>
  <c r="H92" i="2"/>
  <c r="I8386" i="2"/>
  <c r="H8386" i="2"/>
  <c r="I7988" i="2"/>
  <c r="H7988" i="2"/>
  <c r="I8397" i="2"/>
  <c r="H8397" i="2"/>
  <c r="I26" i="2"/>
  <c r="H26" i="2"/>
  <c r="I1399" i="2"/>
  <c r="H1399" i="2"/>
  <c r="I1361" i="2"/>
  <c r="H1361" i="2"/>
  <c r="I7327" i="2"/>
  <c r="H7327" i="2"/>
  <c r="I7683" i="2"/>
  <c r="H7683" i="2"/>
  <c r="I1252" i="2"/>
  <c r="H1252" i="2"/>
  <c r="I1436" i="2"/>
  <c r="H1436" i="2"/>
  <c r="I48" i="2"/>
  <c r="H48" i="2"/>
  <c r="I8493" i="2"/>
  <c r="H8493" i="2"/>
  <c r="I1547" i="2"/>
  <c r="H1547" i="2"/>
  <c r="I882" i="2"/>
  <c r="H882" i="2"/>
  <c r="I8194" i="2"/>
  <c r="H8194" i="2"/>
  <c r="I8451" i="2"/>
  <c r="H8451" i="2"/>
  <c r="I8000" i="2"/>
  <c r="H8000" i="2"/>
  <c r="I7895" i="2"/>
  <c r="H7895" i="2"/>
  <c r="I498" i="2"/>
  <c r="H498" i="2"/>
  <c r="I1292" i="2"/>
  <c r="H1292" i="2"/>
  <c r="I2195" i="2"/>
  <c r="H2195" i="2"/>
  <c r="I1575" i="2"/>
  <c r="H1575" i="2"/>
  <c r="I472" i="2"/>
  <c r="H472" i="2"/>
  <c r="I836" i="2"/>
  <c r="H836" i="2"/>
  <c r="I7629" i="2"/>
  <c r="H7629" i="2"/>
  <c r="I1245" i="2"/>
  <c r="H1245" i="2"/>
  <c r="I8047" i="2"/>
  <c r="H8047" i="2"/>
  <c r="I7929" i="2"/>
  <c r="H7929" i="2"/>
  <c r="I118" i="2"/>
  <c r="H118" i="2"/>
  <c r="I7405" i="2"/>
  <c r="H7405" i="2"/>
  <c r="I8479" i="2"/>
  <c r="H8479" i="2"/>
  <c r="I8381" i="2"/>
  <c r="H8381" i="2"/>
  <c r="I6817" i="2"/>
  <c r="H6817" i="2"/>
  <c r="I7301" i="2"/>
  <c r="H7301" i="2"/>
  <c r="I461" i="2"/>
  <c r="H461" i="2"/>
  <c r="I756" i="2"/>
  <c r="H756" i="2"/>
  <c r="I6837" i="2"/>
  <c r="H6837" i="2"/>
  <c r="I7845" i="2"/>
  <c r="H7845" i="2"/>
  <c r="I8122" i="2"/>
  <c r="H8122" i="2"/>
  <c r="I17" i="2"/>
  <c r="H17" i="2"/>
  <c r="I200" i="2"/>
  <c r="H200" i="2"/>
  <c r="I1742" i="2"/>
  <c r="H1742" i="2"/>
  <c r="I1096" i="2"/>
  <c r="H1096" i="2"/>
  <c r="I1668" i="2"/>
  <c r="H1668" i="2"/>
  <c r="I7813" i="2"/>
  <c r="H7813" i="2"/>
  <c r="I20" i="2"/>
  <c r="H20" i="2"/>
  <c r="I8040" i="2"/>
  <c r="H8040" i="2"/>
  <c r="I1852" i="2"/>
  <c r="H1852" i="2"/>
  <c r="I1459" i="2"/>
  <c r="H1459" i="2"/>
  <c r="I1095" i="2"/>
  <c r="H1095" i="2"/>
  <c r="I817" i="2"/>
  <c r="H817" i="2"/>
  <c r="I8361" i="2"/>
  <c r="H8361" i="2"/>
  <c r="I57" i="2"/>
  <c r="H57" i="2"/>
  <c r="I7201" i="2"/>
  <c r="H7201" i="2"/>
  <c r="I8270" i="2"/>
  <c r="H8270" i="2"/>
  <c r="I7905" i="2"/>
  <c r="H7905" i="2"/>
  <c r="I569" i="2"/>
  <c r="H569" i="2"/>
  <c r="I1617" i="2"/>
  <c r="H1617" i="2"/>
  <c r="I7870" i="2"/>
  <c r="H7870" i="2"/>
  <c r="I514" i="2"/>
  <c r="H514" i="2"/>
  <c r="I7611" i="2"/>
  <c r="H7611" i="2"/>
  <c r="I50" i="2"/>
  <c r="H50" i="2"/>
  <c r="I1335" i="2"/>
  <c r="H1335" i="2"/>
  <c r="I214" i="2"/>
  <c r="H214" i="2"/>
  <c r="I7223" i="2"/>
  <c r="H7223" i="2"/>
  <c r="I77" i="2"/>
  <c r="H77" i="2"/>
  <c r="I7557" i="2"/>
  <c r="H7557" i="2"/>
  <c r="I8453" i="2"/>
  <c r="H8453" i="2"/>
  <c r="I8301" i="2"/>
  <c r="H8301" i="2"/>
  <c r="I608" i="2"/>
  <c r="H608" i="2"/>
  <c r="I8423" i="2"/>
  <c r="H8423" i="2"/>
  <c r="I148" i="2"/>
  <c r="H148" i="2"/>
  <c r="I7437" i="2"/>
  <c r="H7437" i="2"/>
  <c r="I8095" i="2"/>
  <c r="H8095" i="2"/>
  <c r="I1132" i="2"/>
  <c r="H1132" i="2"/>
  <c r="I8149" i="2"/>
  <c r="H8149" i="2"/>
  <c r="I816" i="2"/>
  <c r="H816" i="2"/>
  <c r="I593" i="2"/>
  <c r="H593" i="2"/>
  <c r="I1931" i="2"/>
  <c r="H1931" i="2"/>
  <c r="I246" i="2"/>
  <c r="H246" i="2"/>
  <c r="I1239" i="2"/>
  <c r="H1239" i="2"/>
  <c r="I8346" i="2"/>
  <c r="H8346" i="2"/>
  <c r="I1614" i="2"/>
  <c r="H1614" i="2"/>
  <c r="I8215" i="2"/>
  <c r="H8215" i="2"/>
  <c r="I7596" i="2"/>
  <c r="H7596" i="2"/>
  <c r="I384" i="2"/>
  <c r="H384" i="2"/>
  <c r="I1627" i="2"/>
  <c r="H1627" i="2"/>
  <c r="I1451" i="2"/>
  <c r="H1451" i="2"/>
  <c r="I1171" i="2"/>
  <c r="H1171" i="2"/>
  <c r="I584" i="2"/>
  <c r="H584" i="2"/>
  <c r="I7444" i="2"/>
  <c r="H7444" i="2"/>
  <c r="I8083" i="2"/>
  <c r="H8083" i="2"/>
  <c r="I984" i="2"/>
  <c r="H984" i="2"/>
  <c r="I8276" i="2"/>
  <c r="H8276" i="2"/>
  <c r="I1560" i="2"/>
  <c r="H1560" i="2"/>
  <c r="I59" i="2"/>
  <c r="H59" i="2"/>
  <c r="I8393" i="2"/>
  <c r="H8393" i="2"/>
  <c r="I1654" i="2"/>
  <c r="H1654" i="2"/>
  <c r="I34" i="2"/>
  <c r="H34" i="2"/>
  <c r="I1885" i="2"/>
  <c r="H1885" i="2"/>
  <c r="I8106" i="2"/>
  <c r="H8106" i="2"/>
  <c r="I168" i="2"/>
  <c r="H168" i="2"/>
  <c r="I1719" i="2"/>
  <c r="H1719" i="2"/>
  <c r="I6492" i="2"/>
  <c r="H6492" i="2"/>
  <c r="I75" i="2"/>
  <c r="H75" i="2"/>
  <c r="I7925" i="2"/>
  <c r="H7925" i="2"/>
  <c r="I669" i="2"/>
  <c r="H669" i="2"/>
  <c r="I7627" i="2"/>
  <c r="H7627" i="2"/>
  <c r="I1275" i="2"/>
  <c r="H1275" i="2"/>
  <c r="I8323" i="2"/>
  <c r="H8323" i="2"/>
  <c r="I1253" i="2"/>
  <c r="H1253" i="2"/>
  <c r="I560" i="2"/>
  <c r="H560" i="2"/>
  <c r="I8356" i="2"/>
  <c r="H8356" i="2"/>
  <c r="I7937" i="2"/>
  <c r="H7937" i="2"/>
  <c r="I893" i="2"/>
  <c r="H893" i="2"/>
  <c r="I1337" i="2"/>
  <c r="H1337" i="2"/>
  <c r="I1042" i="2"/>
  <c r="H1042" i="2"/>
  <c r="I7996" i="2"/>
  <c r="H7996" i="2"/>
  <c r="I7665" i="2"/>
  <c r="H7665" i="2"/>
  <c r="I14" i="2"/>
  <c r="H14" i="2"/>
  <c r="I8229" i="2"/>
  <c r="H8229" i="2"/>
  <c r="I89" i="2"/>
  <c r="H89" i="2"/>
  <c r="I152" i="2"/>
  <c r="H152" i="2"/>
  <c r="I462" i="2"/>
  <c r="H462" i="2"/>
  <c r="I8433" i="2"/>
  <c r="H8433" i="2"/>
  <c r="I412" i="2"/>
  <c r="H412" i="2"/>
  <c r="I506" i="2"/>
  <c r="H506" i="2"/>
  <c r="I616" i="2"/>
  <c r="H616" i="2"/>
  <c r="I8496" i="2"/>
  <c r="H8496" i="2"/>
  <c r="I998" i="2"/>
  <c r="H998" i="2"/>
  <c r="I858" i="2"/>
  <c r="H858" i="2"/>
  <c r="I1093" i="2"/>
  <c r="H1093" i="2"/>
  <c r="I7847" i="2"/>
  <c r="H7847" i="2"/>
  <c r="I1117" i="2"/>
  <c r="H1117" i="2"/>
  <c r="I8421" i="2"/>
  <c r="H8421" i="2"/>
  <c r="I38" i="2"/>
  <c r="H38" i="2"/>
  <c r="I8408" i="2"/>
  <c r="H8408" i="2"/>
  <c r="I1472" i="2"/>
  <c r="H1472" i="2"/>
  <c r="I7655" i="2"/>
  <c r="H7655" i="2"/>
  <c r="I1431" i="2"/>
  <c r="H1431" i="2"/>
  <c r="I7185" i="2"/>
  <c r="H7185" i="2"/>
  <c r="I7716" i="2"/>
  <c r="H7716" i="2"/>
  <c r="I909" i="2"/>
  <c r="H909" i="2"/>
  <c r="I704" i="2"/>
  <c r="H704" i="2"/>
  <c r="I260" i="2"/>
  <c r="H260" i="2"/>
  <c r="I8314" i="2"/>
  <c r="H8314" i="2"/>
  <c r="I460" i="2"/>
  <c r="H460" i="2"/>
  <c r="I8322" i="2"/>
  <c r="H8322" i="2"/>
  <c r="I8495" i="2"/>
  <c r="H8495" i="2"/>
  <c r="I2502" i="2"/>
  <c r="H2502" i="2"/>
  <c r="I28" i="2"/>
  <c r="H28" i="2"/>
  <c r="I387" i="2"/>
  <c r="H387" i="2"/>
  <c r="I8151" i="2"/>
  <c r="H8151" i="2"/>
  <c r="I800" i="2"/>
  <c r="H800" i="2"/>
  <c r="I8216" i="2"/>
  <c r="H8216" i="2"/>
  <c r="I1284" i="2"/>
  <c r="H1284" i="2"/>
  <c r="I1279" i="2"/>
  <c r="H1279" i="2"/>
  <c r="I733" i="2"/>
  <c r="H733" i="2"/>
  <c r="I6833" i="2"/>
  <c r="H6833" i="2"/>
  <c r="I93" i="2"/>
  <c r="H93" i="2"/>
  <c r="I8481" i="2"/>
  <c r="H8481" i="2"/>
  <c r="I8170" i="2"/>
  <c r="H8170" i="2"/>
  <c r="I8325" i="2"/>
  <c r="H8325" i="2"/>
  <c r="I8001" i="2"/>
  <c r="H8001" i="2"/>
  <c r="I1131" i="2"/>
  <c r="H1131" i="2"/>
  <c r="I7648" i="2"/>
  <c r="H7648" i="2"/>
  <c r="I988" i="2"/>
  <c r="H988" i="2"/>
  <c r="I632" i="2"/>
  <c r="H632" i="2"/>
  <c r="I8310" i="2"/>
  <c r="H8310" i="2"/>
  <c r="I40" i="2"/>
  <c r="H40" i="2"/>
  <c r="I233" i="2"/>
  <c r="H233" i="2"/>
  <c r="I30" i="2"/>
  <c r="H30" i="2"/>
  <c r="I8256" i="2"/>
  <c r="H8256" i="2"/>
  <c r="I7505" i="2"/>
  <c r="H7505" i="2"/>
  <c r="I8471" i="2"/>
  <c r="H8471" i="2"/>
  <c r="I1832" i="2"/>
  <c r="H1832" i="2"/>
  <c r="I879" i="2"/>
  <c r="H879" i="2"/>
  <c r="I204" i="2"/>
  <c r="H204" i="2"/>
  <c r="I775" i="2"/>
  <c r="H775" i="2"/>
  <c r="I2068" i="2"/>
  <c r="H2068" i="2"/>
  <c r="I8187" i="2"/>
  <c r="H8187" i="2"/>
  <c r="I850" i="2"/>
  <c r="H850" i="2"/>
  <c r="I1388" i="2"/>
  <c r="H1388" i="2"/>
  <c r="I8464" i="2"/>
  <c r="H8464" i="2"/>
  <c r="I1888" i="2"/>
  <c r="H1888" i="2"/>
  <c r="I1951" i="2"/>
  <c r="H1951" i="2"/>
  <c r="I8510" i="2"/>
  <c r="H8510" i="2"/>
  <c r="I865" i="2"/>
  <c r="H865" i="2"/>
  <c r="I8257" i="2"/>
  <c r="H8257" i="2"/>
  <c r="I8468" i="2"/>
  <c r="H8468" i="2"/>
  <c r="I1714" i="2"/>
  <c r="H1714" i="2"/>
  <c r="I1655" i="2"/>
  <c r="H1655" i="2"/>
  <c r="I1308" i="2"/>
  <c r="H1308" i="2"/>
  <c r="I8022" i="2"/>
  <c r="H8022" i="2"/>
  <c r="I8489" i="2"/>
  <c r="H8489" i="2"/>
  <c r="I8350" i="2"/>
  <c r="H8350" i="2"/>
  <c r="I1066" i="2"/>
  <c r="H1066" i="2"/>
  <c r="I1160" i="2"/>
  <c r="H1160" i="2"/>
  <c r="I876" i="2"/>
  <c r="H876" i="2"/>
  <c r="I7681" i="2"/>
  <c r="H7681" i="2"/>
  <c r="I7725" i="2"/>
  <c r="H7725" i="2"/>
  <c r="I379" i="2"/>
  <c r="H379" i="2"/>
  <c r="I2166" i="2"/>
  <c r="H2166" i="2"/>
  <c r="I8319" i="2"/>
  <c r="H8319" i="2"/>
  <c r="I1008" i="2"/>
  <c r="H1008" i="2"/>
  <c r="I8420" i="2"/>
  <c r="H8420" i="2"/>
  <c r="I505" i="2"/>
  <c r="H505" i="2"/>
  <c r="I897" i="2"/>
  <c r="H897" i="2"/>
  <c r="I1271" i="2"/>
  <c r="H1271" i="2"/>
  <c r="I921" i="2"/>
  <c r="H921" i="2"/>
  <c r="I8306" i="2"/>
  <c r="H8306" i="2"/>
  <c r="I8499" i="2"/>
  <c r="H8499" i="2"/>
  <c r="I1587" i="2"/>
  <c r="H1587" i="2"/>
  <c r="I1584" i="2"/>
  <c r="H1584" i="2"/>
  <c r="I871" i="2"/>
  <c r="H871" i="2"/>
  <c r="I1620" i="2"/>
  <c r="H1620" i="2"/>
  <c r="I846" i="2"/>
  <c r="H846" i="2"/>
  <c r="I107" i="2"/>
  <c r="H107" i="2"/>
  <c r="I617" i="2"/>
  <c r="H617" i="2"/>
  <c r="I7440" i="2"/>
  <c r="H7440" i="2"/>
  <c r="I6722" i="2"/>
  <c r="H6722" i="2"/>
  <c r="I8379" i="2"/>
  <c r="H8379" i="2"/>
  <c r="I1097" i="2"/>
  <c r="H1097" i="2"/>
  <c r="I147" i="2"/>
  <c r="H147" i="2"/>
  <c r="I133" i="2"/>
  <c r="H133" i="2"/>
  <c r="I356" i="2"/>
  <c r="H356" i="2"/>
  <c r="I8304" i="2"/>
  <c r="H8304" i="2"/>
  <c r="I1327" i="2"/>
  <c r="H1327" i="2"/>
  <c r="I91" i="2"/>
  <c r="H91" i="2"/>
  <c r="I599" i="2"/>
  <c r="H599" i="2"/>
  <c r="I8321" i="2"/>
  <c r="H8321" i="2"/>
  <c r="I8059" i="2"/>
  <c r="H8059" i="2"/>
  <c r="I320" i="2"/>
  <c r="H320" i="2"/>
  <c r="I1105" i="2"/>
  <c r="H1105" i="2"/>
  <c r="I8252" i="2"/>
  <c r="H8252" i="2"/>
  <c r="I8373" i="2"/>
  <c r="H8373" i="2"/>
  <c r="I1282" i="2"/>
  <c r="H1282" i="2"/>
  <c r="I8327" i="2"/>
  <c r="H8327" i="2"/>
  <c r="I7371" i="2"/>
  <c r="H7371" i="2"/>
  <c r="I688" i="2"/>
  <c r="H688" i="2"/>
  <c r="I8413" i="2"/>
  <c r="H8413" i="2"/>
  <c r="I1485" i="2"/>
  <c r="H1485" i="2"/>
  <c r="I520" i="2"/>
  <c r="H520" i="2"/>
  <c r="I8014" i="2"/>
  <c r="H8014" i="2"/>
  <c r="I7607" i="2"/>
  <c r="H7607" i="2"/>
  <c r="I110" i="2"/>
  <c r="H110" i="2"/>
  <c r="I1379" i="2"/>
  <c r="H1379" i="2"/>
  <c r="I1616" i="2"/>
  <c r="H1616" i="2"/>
  <c r="I8428" i="2"/>
  <c r="H8428" i="2"/>
  <c r="I78" i="2"/>
  <c r="H78" i="2"/>
  <c r="I7351" i="2"/>
  <c r="H7351" i="2"/>
  <c r="I230" i="2"/>
  <c r="H230" i="2"/>
  <c r="I7836" i="2"/>
  <c r="H7836" i="2"/>
  <c r="I8407" i="2"/>
  <c r="H8407" i="2"/>
  <c r="I222" i="2"/>
  <c r="H222" i="2"/>
  <c r="I1291" i="2"/>
  <c r="H1291" i="2"/>
  <c r="I8173" i="2"/>
  <c r="H8173" i="2"/>
  <c r="I713" i="2"/>
  <c r="H713" i="2"/>
  <c r="I153" i="2"/>
  <c r="H153" i="2"/>
  <c r="I7593" i="2"/>
  <c r="H7593" i="2"/>
  <c r="I37" i="2"/>
  <c r="H37" i="2"/>
  <c r="I995" i="2"/>
  <c r="H995" i="2"/>
  <c r="I944" i="2"/>
  <c r="H944" i="2"/>
  <c r="I394" i="2"/>
  <c r="H394" i="2"/>
  <c r="I705" i="2"/>
  <c r="H705" i="2"/>
  <c r="I679" i="2"/>
  <c r="H679" i="2"/>
  <c r="I8094" i="2"/>
  <c r="H8094" i="2"/>
  <c r="I1596" i="2"/>
  <c r="H1596" i="2"/>
  <c r="I7697" i="2"/>
  <c r="H7697" i="2"/>
  <c r="I812" i="2"/>
  <c r="H812" i="2"/>
  <c r="I8342" i="2"/>
  <c r="H8342" i="2"/>
  <c r="I7563" i="2"/>
  <c r="H7563" i="2"/>
  <c r="I938" i="2"/>
  <c r="H938" i="2"/>
  <c r="I138" i="2"/>
  <c r="H138" i="2"/>
  <c r="I451" i="2"/>
  <c r="H451" i="2"/>
  <c r="I339" i="2"/>
  <c r="H339" i="2"/>
  <c r="I8211" i="2"/>
  <c r="H8211" i="2"/>
  <c r="I1326" i="2"/>
  <c r="H1326" i="2"/>
  <c r="I1028" i="2"/>
  <c r="H1028" i="2"/>
  <c r="I22" i="2"/>
  <c r="H22" i="2"/>
  <c r="I1118" i="2"/>
  <c r="H1118" i="2"/>
  <c r="I7740" i="2"/>
  <c r="H7740" i="2"/>
  <c r="I1329" i="2"/>
  <c r="H1329" i="2"/>
  <c r="I8367" i="2"/>
  <c r="H8367" i="2"/>
  <c r="I8497" i="2"/>
  <c r="H8497" i="2"/>
  <c r="I1716" i="2"/>
  <c r="H1716" i="2"/>
  <c r="I502" i="2"/>
  <c r="H502" i="2"/>
  <c r="I7818" i="2"/>
  <c r="H7818" i="2"/>
  <c r="I1708" i="2"/>
  <c r="H1708" i="2"/>
  <c r="I12" i="2"/>
  <c r="H12" i="2"/>
  <c r="I1403" i="2"/>
  <c r="H1403" i="2"/>
  <c r="I493" i="2"/>
  <c r="H493" i="2"/>
  <c r="I135" i="2"/>
  <c r="H135" i="2"/>
  <c r="I161" i="2"/>
  <c r="H161" i="2"/>
  <c r="I10" i="2"/>
  <c r="H10" i="2"/>
  <c r="I1442" i="2"/>
  <c r="H1442" i="2"/>
  <c r="I1328" i="2"/>
  <c r="H1328" i="2"/>
  <c r="I83" i="2"/>
  <c r="H83" i="2"/>
  <c r="I275" i="2"/>
  <c r="H275" i="2"/>
  <c r="I558" i="2"/>
  <c r="H558" i="2"/>
  <c r="I360" i="2"/>
  <c r="H360" i="2"/>
  <c r="I325" i="2"/>
  <c r="H325" i="2"/>
  <c r="I536" i="2"/>
  <c r="H536" i="2"/>
  <c r="I1109" i="2"/>
  <c r="H1109" i="2"/>
  <c r="I935" i="2"/>
  <c r="H935" i="2"/>
  <c r="I8287" i="2"/>
  <c r="H8287" i="2"/>
  <c r="I8404" i="2"/>
  <c r="H8404" i="2"/>
  <c r="I35" i="2"/>
  <c r="H35" i="2"/>
  <c r="I8344" i="2"/>
  <c r="H8344" i="2"/>
  <c r="I715" i="2"/>
  <c r="H715" i="2"/>
  <c r="I8007" i="2"/>
  <c r="H8007" i="2"/>
  <c r="I98" i="2"/>
  <c r="H98" i="2"/>
  <c r="I8308" i="2"/>
  <c r="H8308" i="2"/>
  <c r="I328" i="2"/>
  <c r="H328" i="2"/>
  <c r="I375" i="2"/>
  <c r="H375" i="2"/>
  <c r="I479" i="2"/>
  <c r="H479" i="2"/>
  <c r="I1302" i="2"/>
  <c r="H1302" i="2"/>
  <c r="I575" i="2"/>
  <c r="H575" i="2"/>
  <c r="I1179" i="2"/>
  <c r="H1179" i="2"/>
  <c r="I478" i="2"/>
  <c r="H478" i="2"/>
  <c r="I8506" i="2"/>
  <c r="H8506" i="2"/>
  <c r="I8219" i="2"/>
  <c r="H8219" i="2"/>
  <c r="I966" i="2"/>
  <c r="H966" i="2"/>
  <c r="I8128" i="2"/>
  <c r="H8128" i="2"/>
  <c r="I252" i="2"/>
  <c r="H252" i="2"/>
  <c r="I150" i="2"/>
  <c r="H150" i="2"/>
  <c r="I132" i="2"/>
  <c r="H132" i="2"/>
  <c r="I7932" i="2"/>
  <c r="H7932" i="2"/>
  <c r="I637" i="2"/>
  <c r="H637" i="2"/>
  <c r="I72" i="2"/>
  <c r="H72" i="2"/>
  <c r="I8462" i="2"/>
  <c r="H8462" i="2"/>
  <c r="I1615" i="2"/>
  <c r="H1615" i="2"/>
  <c r="I445" i="2"/>
  <c r="H445" i="2"/>
  <c r="I456" i="2"/>
  <c r="H456" i="2"/>
  <c r="I227" i="2"/>
  <c r="H227" i="2"/>
  <c r="I321" i="2"/>
  <c r="H321" i="2"/>
  <c r="I1341" i="2"/>
  <c r="H1341" i="2"/>
  <c r="I258" i="2"/>
  <c r="H258" i="2"/>
  <c r="I1159" i="2"/>
  <c r="H1159" i="2"/>
  <c r="I16" i="2"/>
  <c r="H16" i="2"/>
  <c r="I1582" i="2"/>
  <c r="H1582" i="2"/>
  <c r="I8008" i="2"/>
  <c r="H8008" i="2"/>
  <c r="I1310" i="2"/>
  <c r="H1310" i="2"/>
  <c r="I473" i="2"/>
  <c r="H473" i="2"/>
  <c r="I1070" i="2"/>
  <c r="H1070" i="2"/>
  <c r="I1718" i="2"/>
  <c r="H1718" i="2"/>
  <c r="I919" i="2"/>
  <c r="H919" i="2"/>
  <c r="I976" i="2"/>
  <c r="H976" i="2"/>
  <c r="I463" i="2"/>
  <c r="H463" i="2"/>
  <c r="I1242" i="2"/>
  <c r="H1242" i="2"/>
  <c r="I512" i="2"/>
  <c r="H512" i="2"/>
  <c r="I1463" i="2"/>
  <c r="H1463" i="2"/>
  <c r="I261" i="2"/>
  <c r="H261" i="2"/>
  <c r="I102" i="2"/>
  <c r="H102" i="2"/>
  <c r="I7943" i="2"/>
  <c r="H7943" i="2"/>
  <c r="I712" i="2"/>
  <c r="H712" i="2"/>
  <c r="I427" i="2"/>
  <c r="H427" i="2"/>
  <c r="I1222" i="2"/>
  <c r="H1222" i="2"/>
  <c r="I1357" i="2"/>
  <c r="H1357" i="2"/>
  <c r="I8175" i="2"/>
  <c r="H8175" i="2"/>
  <c r="I494" i="2"/>
  <c r="H494" i="2"/>
  <c r="I8446" i="2"/>
  <c r="H8446" i="2"/>
  <c r="I130" i="2"/>
  <c r="H130" i="2"/>
  <c r="I1645" i="2"/>
  <c r="H1645" i="2"/>
  <c r="I8409" i="2"/>
  <c r="H8409" i="2"/>
  <c r="I1299" i="2"/>
  <c r="H1299" i="2"/>
  <c r="I1501" i="2"/>
  <c r="H1501" i="2"/>
  <c r="I433" i="2"/>
  <c r="H433" i="2"/>
  <c r="I1230" i="2"/>
  <c r="H1230" i="2"/>
  <c r="I804" i="2"/>
  <c r="H804" i="2"/>
  <c r="I8466" i="2"/>
  <c r="H8466" i="2"/>
  <c r="I1150" i="2"/>
  <c r="H1150" i="2"/>
  <c r="I452" i="2"/>
  <c r="H452" i="2"/>
  <c r="I8076" i="2"/>
  <c r="H8076" i="2"/>
  <c r="I342" i="2"/>
  <c r="H342" i="2"/>
  <c r="I663" i="2"/>
  <c r="H663" i="2"/>
  <c r="I226" i="2"/>
  <c r="H226" i="2"/>
  <c r="I764" i="2"/>
  <c r="H764" i="2"/>
  <c r="I8121" i="2"/>
  <c r="H8121" i="2"/>
  <c r="I8273" i="2"/>
  <c r="H8273" i="2"/>
  <c r="I349" i="2"/>
  <c r="H349" i="2"/>
  <c r="I69" i="2"/>
  <c r="H69" i="2"/>
  <c r="I8235" i="2"/>
  <c r="H8235" i="2"/>
  <c r="I1189" i="2"/>
  <c r="H1189" i="2"/>
  <c r="I1135" i="2"/>
  <c r="H1135" i="2"/>
  <c r="I841" i="2"/>
  <c r="H841" i="2"/>
  <c r="I581" i="2"/>
  <c r="H581" i="2"/>
  <c r="I7949" i="2"/>
  <c r="H7949" i="2"/>
  <c r="I213" i="2"/>
  <c r="H213" i="2"/>
  <c r="I8414" i="2"/>
  <c r="H8414" i="2"/>
  <c r="I657" i="2"/>
  <c r="H657" i="2"/>
  <c r="I7149" i="2"/>
  <c r="H7149" i="2"/>
  <c r="I369" i="2"/>
  <c r="H369" i="2"/>
  <c r="I508" i="2"/>
  <c r="H508" i="2"/>
  <c r="I8512" i="2"/>
  <c r="H8512" i="2"/>
  <c r="I837" i="2"/>
  <c r="H837" i="2"/>
  <c r="I13" i="2"/>
  <c r="H13" i="2"/>
  <c r="I714" i="2"/>
  <c r="H714" i="2"/>
  <c r="I883" i="2"/>
  <c r="H883" i="2"/>
  <c r="I8238" i="2"/>
  <c r="H8238" i="2"/>
  <c r="I8" i="2"/>
  <c r="H8" i="2"/>
  <c r="I589" i="2"/>
  <c r="H589" i="2"/>
  <c r="I8503" i="2"/>
  <c r="H8503" i="2"/>
  <c r="I559" i="2"/>
  <c r="H559" i="2"/>
  <c r="I545" i="2"/>
  <c r="H545" i="2"/>
  <c r="I113" i="2"/>
  <c r="H113" i="2"/>
  <c r="I1115" i="2"/>
  <c r="H1115" i="2"/>
  <c r="I471" i="2"/>
  <c r="H471" i="2"/>
  <c r="I468" i="2"/>
  <c r="H468" i="2"/>
  <c r="I381" i="2"/>
  <c r="H381" i="2"/>
  <c r="I8465" i="2"/>
  <c r="H8465" i="2"/>
  <c r="I173" i="2"/>
  <c r="H173" i="2"/>
  <c r="I332" i="2"/>
  <c r="H332" i="2"/>
  <c r="I8345" i="2"/>
  <c r="H8345" i="2"/>
  <c r="I8349" i="2"/>
  <c r="H8349" i="2"/>
  <c r="I8439" i="2"/>
  <c r="H8439" i="2"/>
  <c r="I406" i="2"/>
  <c r="H406" i="2"/>
  <c r="I189" i="2"/>
  <c r="H189" i="2"/>
  <c r="I636" i="2"/>
  <c r="H636" i="2"/>
  <c r="I18" i="2"/>
  <c r="H18" i="2"/>
  <c r="I1059" i="2"/>
  <c r="H1059" i="2"/>
  <c r="I11" i="2"/>
  <c r="H11" i="2"/>
  <c r="I95" i="2"/>
  <c r="H95" i="2"/>
  <c r="I7966" i="2"/>
  <c r="H7966" i="2"/>
  <c r="I672" i="2"/>
  <c r="H672" i="2"/>
  <c r="I1123" i="2"/>
  <c r="H1123" i="2"/>
  <c r="I765" i="2"/>
  <c r="H765" i="2"/>
  <c r="I737" i="2"/>
  <c r="H737" i="2"/>
  <c r="I851" i="2"/>
  <c r="H851" i="2"/>
  <c r="I58" i="2"/>
  <c r="H58" i="2"/>
  <c r="I8317" i="2"/>
  <c r="H8317" i="2"/>
  <c r="I1019" i="2"/>
  <c r="H1019" i="2"/>
  <c r="I239" i="2"/>
  <c r="H239" i="2"/>
  <c r="I7922" i="2"/>
  <c r="H7922" i="2"/>
  <c r="I149" i="2"/>
  <c r="H149" i="2"/>
  <c r="I967" i="2"/>
  <c r="H967" i="2"/>
  <c r="I8152" i="2"/>
  <c r="H8152" i="2"/>
  <c r="I407" i="2"/>
  <c r="H407" i="2"/>
  <c r="I1139" i="2"/>
  <c r="H1139" i="2"/>
  <c r="I752" i="2"/>
  <c r="H752" i="2"/>
  <c r="I635" i="2"/>
  <c r="H635" i="2"/>
  <c r="I8391" i="2"/>
  <c r="H8391" i="2"/>
  <c r="I32" i="2"/>
  <c r="H32" i="2"/>
  <c r="I15" i="2"/>
  <c r="H15" i="2"/>
  <c r="I753" i="2"/>
  <c r="H753" i="2"/>
  <c r="I54" i="2"/>
  <c r="H54" i="2"/>
  <c r="I235" i="2"/>
  <c r="H235" i="2"/>
  <c r="I9" i="2"/>
  <c r="H9" i="2"/>
  <c r="I151" i="2"/>
  <c r="H151" i="2"/>
  <c r="I218" i="2"/>
  <c r="H218" i="2"/>
  <c r="I1053" i="2"/>
  <c r="H1053" i="2"/>
  <c r="I671" i="2"/>
  <c r="H671" i="2"/>
  <c r="I145" i="2"/>
  <c r="H145" i="2"/>
  <c r="I659" i="2"/>
  <c r="H659" i="2"/>
  <c r="I202" i="2"/>
  <c r="H202" i="2"/>
  <c r="I8269" i="2"/>
  <c r="H8269" i="2"/>
  <c r="I280" i="2"/>
  <c r="H280" i="2"/>
  <c r="I277" i="2"/>
  <c r="H277" i="2"/>
  <c r="I8112" i="2"/>
  <c r="H8112" i="2"/>
  <c r="I7850" i="2"/>
  <c r="H7850" i="2"/>
  <c r="I122" i="2"/>
  <c r="H122" i="2"/>
  <c r="I7603" i="2"/>
  <c r="H7603" i="2"/>
  <c r="I457" i="2"/>
  <c r="H457" i="2"/>
  <c r="I8230" i="2"/>
  <c r="H8230" i="2"/>
  <c r="I125" i="2"/>
  <c r="H125" i="2"/>
  <c r="I681" i="2"/>
  <c r="H681" i="2"/>
  <c r="I8437" i="2"/>
  <c r="H8437" i="2"/>
  <c r="I131" i="2"/>
  <c r="H131" i="2"/>
  <c r="I1103" i="2"/>
  <c r="H1103" i="2"/>
  <c r="I8442" i="2"/>
  <c r="H8442" i="2"/>
  <c r="I1153" i="2"/>
  <c r="H1153" i="2"/>
  <c r="I21" i="2"/>
  <c r="H21" i="2"/>
  <c r="I743" i="2"/>
  <c r="H743" i="2"/>
  <c r="I777" i="2"/>
  <c r="H777" i="2"/>
  <c r="I1069" i="2"/>
  <c r="H1069" i="2"/>
  <c r="I8260" i="2"/>
  <c r="H8260" i="2"/>
  <c r="I439" i="2"/>
  <c r="H439" i="2"/>
  <c r="I292" i="2"/>
  <c r="H292" i="2"/>
  <c r="I286" i="2"/>
  <c r="H286" i="2"/>
  <c r="I656" i="2"/>
  <c r="H656" i="2"/>
  <c r="I44" i="2"/>
  <c r="H44" i="2"/>
  <c r="I1063" i="2"/>
  <c r="H1063" i="2"/>
  <c r="I225" i="2"/>
  <c r="H225" i="2"/>
  <c r="I170" i="2"/>
  <c r="H170" i="2"/>
  <c r="I503" i="2"/>
  <c r="H503" i="2"/>
  <c r="I1681" i="2"/>
  <c r="H1681" i="2"/>
  <c r="I116" i="2"/>
  <c r="H116" i="2"/>
  <c r="I396" i="2"/>
  <c r="H396" i="2"/>
  <c r="I357" i="2"/>
  <c r="H357" i="2"/>
  <c r="I8146" i="2"/>
  <c r="H8146" i="2"/>
  <c r="I1032" i="2"/>
  <c r="H1032" i="2"/>
  <c r="I295" i="2"/>
  <c r="H295" i="2"/>
  <c r="I607" i="2"/>
  <c r="H607" i="2"/>
  <c r="I447" i="2"/>
  <c r="H447" i="2"/>
  <c r="I71" i="2"/>
  <c r="H71" i="2"/>
  <c r="I180" i="2"/>
  <c r="H180" i="2"/>
  <c r="I555" i="2"/>
  <c r="H555" i="2"/>
  <c r="I8376" i="2"/>
  <c r="H8376" i="2"/>
  <c r="I324" i="2"/>
  <c r="H324" i="2"/>
  <c r="I8137" i="2"/>
  <c r="H8137" i="2"/>
  <c r="I591" i="2"/>
  <c r="H591" i="2"/>
  <c r="I8474" i="2"/>
  <c r="H8474" i="2"/>
  <c r="I284" i="2"/>
  <c r="H284" i="2"/>
  <c r="I647" i="2"/>
  <c r="H647" i="2"/>
  <c r="I139" i="2"/>
  <c r="H139" i="2"/>
  <c r="I844" i="2"/>
  <c r="H844" i="2"/>
  <c r="I392" i="2"/>
  <c r="H392" i="2"/>
  <c r="I165" i="2"/>
  <c r="H165" i="2"/>
  <c r="I563" i="2"/>
  <c r="H563" i="2"/>
  <c r="I8511" i="2"/>
  <c r="H8511" i="2"/>
  <c r="I119" i="2"/>
  <c r="H119" i="2"/>
  <c r="I8494" i="2"/>
  <c r="H8494" i="2"/>
  <c r="I1238" i="2"/>
  <c r="H1238" i="2"/>
  <c r="I8472" i="2"/>
  <c r="H8472" i="2"/>
  <c r="I678" i="2"/>
  <c r="H678" i="2"/>
  <c r="I898" i="2"/>
  <c r="H898" i="2"/>
  <c r="I331" i="2"/>
  <c r="H331" i="2"/>
  <c r="I8380" i="2"/>
  <c r="H8380" i="2"/>
  <c r="I459" i="2"/>
  <c r="H459" i="2"/>
  <c r="I8484" i="2"/>
  <c r="H8484" i="2"/>
  <c r="I768" i="2"/>
  <c r="H768" i="2"/>
  <c r="I8444" i="2"/>
  <c r="H8444" i="2"/>
  <c r="I426" i="2"/>
  <c r="H426" i="2"/>
  <c r="I63" i="2"/>
  <c r="H63" i="2"/>
  <c r="I39" i="2"/>
  <c r="H39" i="2"/>
  <c r="I613" i="2"/>
  <c r="H613" i="2"/>
  <c r="I8463" i="2"/>
  <c r="H8463" i="2"/>
  <c r="I8315" i="2"/>
  <c r="H8315" i="2"/>
  <c r="I8159" i="2"/>
  <c r="H8159" i="2"/>
  <c r="I8224" i="2"/>
  <c r="H8224" i="2"/>
  <c r="I179" i="2"/>
  <c r="H179" i="2"/>
  <c r="I853" i="2"/>
  <c r="H853" i="2"/>
  <c r="I908" i="2"/>
  <c r="H908" i="2"/>
  <c r="I571" i="2"/>
  <c r="H571" i="2"/>
  <c r="I642" i="2"/>
  <c r="H642" i="2"/>
  <c r="I208" i="2"/>
  <c r="H208" i="2"/>
  <c r="I80" i="2"/>
  <c r="H80" i="2"/>
  <c r="I8357" i="2"/>
  <c r="H8357" i="2"/>
  <c r="I676" i="2"/>
  <c r="H676" i="2"/>
  <c r="I567" i="2"/>
  <c r="H567" i="2"/>
  <c r="I443" i="2"/>
  <c r="H443" i="2"/>
  <c r="I442" i="2"/>
  <c r="H442" i="2"/>
  <c r="I250" i="2"/>
  <c r="H250" i="2"/>
  <c r="I304" i="2"/>
  <c r="H304" i="2"/>
  <c r="I191" i="2"/>
  <c r="H191" i="2"/>
  <c r="I8180" i="2"/>
  <c r="H8180" i="2"/>
  <c r="I799" i="2"/>
  <c r="H799" i="2"/>
  <c r="I868" i="2"/>
  <c r="H868" i="2"/>
  <c r="I245" i="2"/>
  <c r="H245" i="2"/>
  <c r="I929" i="2"/>
  <c r="H929" i="2"/>
  <c r="I216" i="2"/>
  <c r="H216" i="2"/>
  <c r="I249" i="2"/>
  <c r="H249" i="2"/>
  <c r="I867" i="2"/>
  <c r="H867" i="2"/>
  <c r="I448" i="2"/>
  <c r="H448" i="2"/>
  <c r="I315" i="2"/>
  <c r="H315" i="2"/>
  <c r="I220" i="2"/>
  <c r="H220" i="2"/>
  <c r="I544" i="2"/>
  <c r="H544" i="2"/>
  <c r="I771" i="2"/>
  <c r="H771" i="2"/>
  <c r="I129" i="2"/>
  <c r="H129" i="2"/>
  <c r="I155" i="2"/>
  <c r="H155" i="2"/>
  <c r="I8482" i="2"/>
  <c r="H8482" i="2"/>
  <c r="I238" i="2"/>
  <c r="H238" i="2"/>
  <c r="I237" i="2"/>
  <c r="H237" i="2"/>
  <c r="I380" i="2"/>
  <c r="H380" i="2"/>
  <c r="I803" i="2"/>
  <c r="H803" i="2"/>
  <c r="I287" i="2"/>
  <c r="H287" i="2"/>
  <c r="I262" i="2"/>
  <c r="H262" i="2"/>
  <c r="I188" i="2"/>
  <c r="H188" i="2"/>
  <c r="I271" i="2"/>
  <c r="H271" i="2"/>
  <c r="I913" i="2"/>
  <c r="H913" i="2"/>
  <c r="I872" i="2"/>
  <c r="H872" i="2"/>
  <c r="I470" i="2"/>
  <c r="H470" i="2"/>
  <c r="I137" i="2"/>
  <c r="H137" i="2"/>
  <c r="I552" i="2"/>
  <c r="H552" i="2"/>
  <c r="I400" i="2"/>
  <c r="H400" i="2"/>
  <c r="I241" i="2"/>
  <c r="H241" i="2"/>
  <c r="I182" i="2"/>
  <c r="H182" i="2"/>
  <c r="I489" i="2"/>
  <c r="H489" i="2"/>
  <c r="I111" i="2"/>
  <c r="H111" i="2"/>
  <c r="I52" i="2"/>
  <c r="H52" i="2"/>
  <c r="I306" i="2"/>
  <c r="H306" i="2"/>
  <c r="I341" i="2"/>
  <c r="H341" i="2"/>
  <c r="I710" i="2"/>
  <c r="H710" i="2"/>
  <c r="I90" i="2"/>
  <c r="H90" i="2"/>
  <c r="I136" i="2"/>
  <c r="H136" i="2"/>
  <c r="I1044" i="2"/>
  <c r="H1044" i="2"/>
  <c r="I422" i="2"/>
  <c r="H422" i="2"/>
  <c r="I141" i="2"/>
  <c r="H141" i="2"/>
  <c r="I723" i="2"/>
  <c r="H723" i="2"/>
  <c r="I103" i="2"/>
  <c r="H103" i="2"/>
  <c r="I8508" i="2"/>
  <c r="H8508" i="2"/>
  <c r="I449" i="2"/>
  <c r="H449" i="2"/>
  <c r="I228" i="2"/>
  <c r="H228" i="2"/>
  <c r="I972" i="2"/>
  <c r="H972" i="2"/>
  <c r="I177" i="2"/>
  <c r="H177" i="2"/>
  <c r="I431" i="2"/>
  <c r="H431" i="2"/>
  <c r="I146" i="2"/>
  <c r="H146" i="2"/>
  <c r="I84" i="2"/>
  <c r="H84" i="2"/>
  <c r="I336" i="2"/>
  <c r="H336" i="2"/>
  <c r="I76" i="2"/>
  <c r="H76" i="2"/>
  <c r="I172" i="2"/>
  <c r="H172" i="2"/>
  <c r="I440" i="2"/>
  <c r="H440" i="2"/>
  <c r="I3594" i="1"/>
  <c r="H3594" i="1"/>
  <c r="I3423" i="1"/>
  <c r="H3423" i="1"/>
  <c r="I3614" i="1"/>
  <c r="H3614" i="1"/>
  <c r="I4430" i="1"/>
  <c r="H4430" i="1"/>
  <c r="I3621" i="1"/>
  <c r="H3621" i="1"/>
  <c r="I3787" i="1"/>
  <c r="H3787" i="1"/>
  <c r="I2494" i="1"/>
  <c r="H2494" i="1"/>
  <c r="I3790" i="1"/>
  <c r="H3790" i="1"/>
  <c r="I4000" i="1"/>
  <c r="H4000" i="1"/>
  <c r="I3276" i="1"/>
  <c r="H3276" i="1"/>
  <c r="I5251" i="1"/>
  <c r="H5251" i="1"/>
  <c r="I4719" i="1"/>
  <c r="H4719" i="1"/>
  <c r="I3995" i="1"/>
  <c r="H3995" i="1"/>
  <c r="I418" i="1"/>
  <c r="H418" i="1"/>
  <c r="I4144" i="1"/>
  <c r="H4144" i="1"/>
  <c r="I4365" i="1"/>
  <c r="H4365" i="1"/>
  <c r="I3735" i="1"/>
  <c r="H3735" i="1"/>
  <c r="I1391" i="1"/>
  <c r="H1391" i="1"/>
  <c r="I3533" i="1"/>
  <c r="H3533" i="1"/>
  <c r="I3608" i="1"/>
  <c r="H3608" i="1"/>
  <c r="I6158" i="1"/>
  <c r="H6158" i="1"/>
  <c r="I3584" i="1"/>
  <c r="H3584" i="1"/>
  <c r="I3775" i="1"/>
  <c r="H3775" i="1"/>
  <c r="I3387" i="1"/>
  <c r="H3387" i="1"/>
  <c r="I4911" i="1"/>
  <c r="H4911" i="1"/>
  <c r="I3471" i="1"/>
  <c r="H3471" i="1"/>
  <c r="I4153" i="1"/>
  <c r="H4153" i="1"/>
  <c r="I2626" i="1"/>
  <c r="H2626" i="1"/>
  <c r="I3083" i="1"/>
  <c r="H3083" i="1"/>
  <c r="I2593" i="1"/>
  <c r="H2593" i="1"/>
  <c r="I5575" i="1"/>
  <c r="H5575" i="1"/>
  <c r="I4543" i="1"/>
  <c r="H4543" i="1"/>
  <c r="I1665" i="1"/>
  <c r="H1665" i="1"/>
  <c r="I3686" i="1"/>
  <c r="H3686" i="1"/>
  <c r="I2375" i="1"/>
  <c r="H2375" i="1"/>
  <c r="I5634" i="1"/>
  <c r="H5634" i="1"/>
  <c r="I3489" i="1"/>
  <c r="H3489" i="1"/>
  <c r="I1966" i="1"/>
  <c r="H1966" i="1"/>
  <c r="I3817" i="1"/>
  <c r="H3817" i="1"/>
  <c r="I3235" i="1"/>
  <c r="H3235" i="1"/>
  <c r="I1866" i="1"/>
  <c r="H1866" i="1"/>
  <c r="I3492" i="1"/>
  <c r="H3492" i="1"/>
  <c r="I4199" i="1"/>
  <c r="H4199" i="1"/>
  <c r="I4354" i="1"/>
  <c r="H4354" i="1"/>
  <c r="I4278" i="1"/>
  <c r="H4278" i="1"/>
  <c r="I5825" i="1"/>
  <c r="H5825" i="1"/>
  <c r="I2934" i="1"/>
  <c r="H2934" i="1"/>
  <c r="I2296" i="1"/>
  <c r="H2296" i="1"/>
  <c r="I3582" i="1"/>
  <c r="H3582" i="1"/>
  <c r="I1046" i="1"/>
  <c r="H1046" i="1"/>
  <c r="I6647" i="1"/>
  <c r="H6647" i="1"/>
  <c r="I5748" i="1"/>
  <c r="H5748" i="1"/>
  <c r="I3967" i="1"/>
  <c r="H3967" i="1"/>
  <c r="I2818" i="1"/>
  <c r="H2818" i="1"/>
  <c r="I3258" i="1"/>
  <c r="H3258" i="1"/>
  <c r="I3407" i="1"/>
  <c r="H3407" i="1"/>
  <c r="I2735" i="1"/>
  <c r="H2735" i="1"/>
  <c r="I3847" i="1"/>
  <c r="H3847" i="1"/>
  <c r="I6020" i="1"/>
  <c r="H6020" i="1"/>
  <c r="I5896" i="1"/>
  <c r="H5896" i="1"/>
  <c r="I3404" i="1"/>
  <c r="H3404" i="1"/>
  <c r="I4880" i="1"/>
  <c r="H4880" i="1"/>
  <c r="I5719" i="1"/>
  <c r="H5719" i="1"/>
  <c r="I5029" i="1"/>
  <c r="H5029" i="1"/>
  <c r="I4135" i="1"/>
  <c r="H4135" i="1"/>
  <c r="I4437" i="1"/>
  <c r="H4437" i="1"/>
  <c r="I6678" i="1"/>
  <c r="H6678" i="1"/>
  <c r="I3335" i="1"/>
  <c r="H3335" i="1"/>
  <c r="I3327" i="1"/>
  <c r="H3327" i="1"/>
  <c r="I5176" i="1"/>
  <c r="H5176" i="1"/>
  <c r="I3545" i="1"/>
  <c r="H3545" i="1"/>
  <c r="I4892" i="1"/>
  <c r="H4892" i="1"/>
  <c r="I3904" i="1"/>
  <c r="H3904" i="1"/>
  <c r="I3546" i="1"/>
  <c r="H3546" i="1"/>
  <c r="I4012" i="1"/>
  <c r="H4012" i="1"/>
  <c r="I4735" i="1"/>
  <c r="H4735" i="1"/>
  <c r="I2337" i="1"/>
  <c r="H2337" i="1"/>
  <c r="I6763" i="1"/>
  <c r="H6763" i="1"/>
  <c r="I2680" i="1"/>
  <c r="H2680" i="1"/>
  <c r="I2779" i="1"/>
  <c r="H2779" i="1"/>
  <c r="I6864" i="1"/>
  <c r="H6864" i="1"/>
  <c r="I3200" i="1"/>
  <c r="H3200" i="1"/>
  <c r="I4057" i="1"/>
  <c r="H4057" i="1"/>
  <c r="I2444" i="1"/>
  <c r="H2444" i="1"/>
  <c r="I3429" i="1"/>
  <c r="H3429" i="1"/>
  <c r="I2873" i="1"/>
  <c r="H2873" i="1"/>
  <c r="I4477" i="1"/>
  <c r="H4477" i="1"/>
  <c r="I4072" i="1"/>
  <c r="H4072" i="1"/>
  <c r="I5823" i="1"/>
  <c r="H5823" i="1"/>
  <c r="I3368" i="1"/>
  <c r="H3368" i="1"/>
  <c r="I1737" i="1"/>
  <c r="H1737" i="1"/>
  <c r="I1331" i="1"/>
  <c r="H1331" i="1"/>
  <c r="I1264" i="1"/>
  <c r="H1264" i="1"/>
  <c r="I3577" i="1"/>
  <c r="H3577" i="1"/>
  <c r="I1757" i="1"/>
  <c r="H1757" i="1"/>
  <c r="I4839" i="1"/>
  <c r="H4839" i="1"/>
  <c r="I4130" i="1"/>
  <c r="H4130" i="1"/>
  <c r="I2863" i="1"/>
  <c r="H2863" i="1"/>
  <c r="I5830" i="1"/>
  <c r="H5830" i="1"/>
  <c r="I1131" i="1"/>
  <c r="H1131" i="1"/>
  <c r="I3707" i="1"/>
  <c r="H3707" i="1"/>
  <c r="I3526" i="1"/>
  <c r="H3526" i="1"/>
  <c r="I632" i="1"/>
  <c r="H632" i="1"/>
  <c r="I3553" i="1"/>
  <c r="H3553" i="1"/>
  <c r="I3968" i="1"/>
  <c r="H3968" i="1"/>
  <c r="I6484" i="1"/>
  <c r="H6484" i="1"/>
  <c r="I5027" i="1"/>
  <c r="H5027" i="1"/>
  <c r="I5672" i="1"/>
  <c r="H5672" i="1"/>
  <c r="I937" i="1"/>
  <c r="H937" i="1"/>
  <c r="I4054" i="1"/>
  <c r="H4054" i="1"/>
  <c r="I3271" i="1"/>
  <c r="H3271" i="1"/>
  <c r="I3479" i="1"/>
  <c r="H3479" i="1"/>
  <c r="I2287" i="1"/>
  <c r="H2287" i="1"/>
  <c r="I3627" i="1"/>
  <c r="H3627" i="1"/>
  <c r="I4458" i="1"/>
  <c r="H4458" i="1"/>
  <c r="I1423" i="1"/>
  <c r="H1423" i="1"/>
  <c r="I4039" i="1"/>
  <c r="H4039" i="1"/>
  <c r="I3402" i="1"/>
  <c r="H3402" i="1"/>
  <c r="I4202" i="1"/>
  <c r="H4202" i="1"/>
  <c r="I4921" i="1"/>
  <c r="H4921" i="1"/>
  <c r="I3555" i="1"/>
  <c r="H3555" i="1"/>
  <c r="I5126" i="1"/>
  <c r="H5126" i="1"/>
  <c r="I1940" i="1"/>
  <c r="H1940" i="1"/>
  <c r="I5016" i="1"/>
  <c r="H5016" i="1"/>
  <c r="I3421" i="1"/>
  <c r="H3421" i="1"/>
  <c r="I3663" i="1"/>
  <c r="H3663" i="1"/>
  <c r="I2109" i="1"/>
  <c r="H2109" i="1"/>
  <c r="I1274" i="1"/>
  <c r="H1274" i="1"/>
  <c r="I3693" i="1"/>
  <c r="H3693" i="1"/>
  <c r="I3777" i="1"/>
  <c r="H3777" i="1"/>
  <c r="I3289" i="1"/>
  <c r="H3289" i="1"/>
  <c r="I3616" i="1"/>
  <c r="H3616" i="1"/>
  <c r="I3426" i="1"/>
  <c r="H3426" i="1"/>
  <c r="I3857" i="1"/>
  <c r="H3857" i="1"/>
  <c r="I961" i="1"/>
  <c r="H961" i="1"/>
  <c r="I3908" i="1"/>
  <c r="H3908" i="1"/>
  <c r="I2898" i="1"/>
  <c r="H2898" i="1"/>
  <c r="I4580" i="1"/>
  <c r="H4580" i="1"/>
  <c r="I3560" i="1"/>
  <c r="H3560" i="1"/>
  <c r="I3180" i="1"/>
  <c r="H3180" i="1"/>
  <c r="I4321" i="1"/>
  <c r="H4321" i="1"/>
  <c r="I1667" i="1"/>
  <c r="H1667" i="1"/>
  <c r="I3569" i="1"/>
  <c r="H3569" i="1"/>
  <c r="I3411" i="1"/>
  <c r="H3411" i="1"/>
  <c r="I4075" i="1"/>
  <c r="H4075" i="1"/>
  <c r="I3677" i="1"/>
  <c r="H3677" i="1"/>
  <c r="I3409" i="1"/>
  <c r="H3409" i="1"/>
  <c r="I4518" i="1"/>
  <c r="H4518" i="1"/>
  <c r="I4065" i="1"/>
  <c r="H4065" i="1"/>
  <c r="I6501" i="1"/>
  <c r="H6501" i="1"/>
  <c r="I3205" i="1"/>
  <c r="H3205" i="1"/>
  <c r="I3355" i="1"/>
  <c r="H3355" i="1"/>
  <c r="I3696" i="1"/>
  <c r="H3696" i="1"/>
  <c r="I4080" i="1"/>
  <c r="H4080" i="1"/>
  <c r="I2602" i="1"/>
  <c r="H2602" i="1"/>
  <c r="I2228" i="1"/>
  <c r="H2228" i="1"/>
  <c r="I5526" i="1"/>
  <c r="H5526" i="1"/>
  <c r="I945" i="1"/>
  <c r="H945" i="1"/>
  <c r="I3939" i="1"/>
  <c r="H3939" i="1"/>
  <c r="I3596" i="1"/>
  <c r="H3596" i="1"/>
  <c r="I6657" i="1"/>
  <c r="H6657" i="1"/>
  <c r="I3834" i="1"/>
  <c r="H3834" i="1"/>
  <c r="I3428" i="1"/>
  <c r="H3428" i="1"/>
  <c r="I3849" i="1"/>
  <c r="H3849" i="1"/>
  <c r="I1989" i="1"/>
  <c r="H1989" i="1"/>
  <c r="I3641" i="1"/>
  <c r="H3641" i="1"/>
  <c r="I2705" i="1"/>
  <c r="H2705" i="1"/>
  <c r="I4017" i="1"/>
  <c r="H4017" i="1"/>
  <c r="I2880" i="1"/>
  <c r="H2880" i="1"/>
  <c r="I3393" i="1"/>
  <c r="H3393" i="1"/>
  <c r="I6532" i="1"/>
  <c r="H6532" i="1"/>
  <c r="I768" i="1"/>
  <c r="H768" i="1"/>
  <c r="I2750" i="1"/>
  <c r="H2750" i="1"/>
  <c r="I3145" i="1"/>
  <c r="H3145" i="1"/>
  <c r="I5333" i="1"/>
  <c r="H5333" i="1"/>
  <c r="I2357" i="1"/>
  <c r="H2357" i="1"/>
  <c r="I3301" i="1"/>
  <c r="H3301" i="1"/>
  <c r="I3885" i="1"/>
  <c r="H3885" i="1"/>
  <c r="I3266" i="1"/>
  <c r="H3266" i="1"/>
  <c r="I3697" i="1"/>
  <c r="H3697" i="1"/>
  <c r="I4146" i="1"/>
  <c r="H4146" i="1"/>
  <c r="I3873" i="1"/>
  <c r="H3873" i="1"/>
  <c r="I3353" i="1"/>
  <c r="H3353" i="1"/>
  <c r="I3799" i="1"/>
  <c r="H3799" i="1"/>
  <c r="I3856" i="1"/>
  <c r="H3856" i="1"/>
  <c r="I3246" i="1"/>
  <c r="H3246" i="1"/>
  <c r="I3792" i="1"/>
  <c r="H3792" i="1"/>
  <c r="I3743" i="1"/>
  <c r="H3743" i="1"/>
  <c r="I931" i="1"/>
  <c r="H931" i="1"/>
  <c r="I4575" i="1"/>
  <c r="H4575" i="1"/>
  <c r="I5354" i="1"/>
  <c r="H5354" i="1"/>
  <c r="I3606" i="1"/>
  <c r="H3606" i="1"/>
  <c r="I3630" i="1"/>
  <c r="H3630" i="1"/>
  <c r="I3880" i="1"/>
  <c r="H3880" i="1"/>
  <c r="I4236" i="1"/>
  <c r="H4236" i="1"/>
  <c r="I3599" i="1"/>
  <c r="H3599" i="1"/>
  <c r="I2110" i="1"/>
  <c r="H2110" i="1"/>
  <c r="I2137" i="1"/>
  <c r="H2137" i="1"/>
  <c r="I3557" i="1"/>
  <c r="H3557" i="1"/>
  <c r="I6122" i="1"/>
  <c r="H6122" i="1"/>
  <c r="I3689" i="1"/>
  <c r="H3689" i="1"/>
  <c r="I3888" i="1"/>
  <c r="H3888" i="1"/>
  <c r="I3762" i="1"/>
  <c r="H3762" i="1"/>
  <c r="I6362" i="1"/>
  <c r="H6362" i="1"/>
  <c r="I3466" i="1"/>
  <c r="H3466" i="1"/>
  <c r="I3670" i="1"/>
  <c r="H3670" i="1"/>
  <c r="I4049" i="1"/>
  <c r="H4049" i="1"/>
  <c r="I3644" i="1"/>
  <c r="H3644" i="1"/>
  <c r="I3005" i="1"/>
  <c r="H3005" i="1"/>
  <c r="I3571" i="1"/>
  <c r="H3571" i="1"/>
  <c r="I3941" i="1"/>
  <c r="H3941" i="1"/>
  <c r="I3827" i="1"/>
  <c r="H3827" i="1"/>
  <c r="I2446" i="1"/>
  <c r="H2446" i="1"/>
  <c r="I4654" i="1"/>
  <c r="H4654" i="1"/>
  <c r="I4052" i="1"/>
  <c r="H4052" i="1"/>
  <c r="I4470" i="1"/>
  <c r="H4470" i="1"/>
  <c r="I1975" i="1"/>
  <c r="H1975" i="1"/>
  <c r="I1386" i="1"/>
  <c r="H1386" i="1"/>
  <c r="I4783" i="1"/>
  <c r="H4783" i="1"/>
  <c r="I1298" i="1"/>
  <c r="H1298" i="1"/>
  <c r="I1963" i="1"/>
  <c r="H1963" i="1"/>
  <c r="I3430" i="1"/>
  <c r="H3430" i="1"/>
  <c r="I2225" i="1"/>
  <c r="H2225" i="1"/>
  <c r="I3758" i="1"/>
  <c r="H3758" i="1"/>
  <c r="I4123" i="1"/>
  <c r="H4123" i="1"/>
  <c r="I3179" i="1"/>
  <c r="H3179" i="1"/>
  <c r="I3385" i="1"/>
  <c r="H3385" i="1"/>
  <c r="I3517" i="1"/>
  <c r="H3517" i="1"/>
  <c r="I3291" i="1"/>
  <c r="H3291" i="1"/>
  <c r="I2599" i="1"/>
  <c r="H2599" i="1"/>
  <c r="I2636" i="1"/>
  <c r="H2636" i="1"/>
  <c r="I5555" i="1"/>
  <c r="H5555" i="1"/>
  <c r="I1576" i="1"/>
  <c r="H1576" i="1"/>
  <c r="I5389" i="1"/>
  <c r="H5389" i="1"/>
  <c r="I4640" i="1"/>
  <c r="H4640" i="1"/>
  <c r="I3106" i="1"/>
  <c r="H3106" i="1"/>
  <c r="I3268" i="1"/>
  <c r="H3268" i="1"/>
  <c r="I3437" i="1"/>
  <c r="H3437" i="1"/>
  <c r="I5235" i="1"/>
  <c r="H5235" i="1"/>
  <c r="I784" i="1"/>
  <c r="H784" i="1"/>
  <c r="I853" i="1"/>
  <c r="H853" i="1"/>
  <c r="I3397" i="1"/>
  <c r="H3397" i="1"/>
  <c r="I1055" i="1"/>
  <c r="H1055" i="1"/>
  <c r="I3058" i="1"/>
  <c r="H3058" i="1"/>
  <c r="I4008" i="1"/>
  <c r="H4008" i="1"/>
  <c r="I857" i="1"/>
  <c r="H857" i="1"/>
  <c r="I4914" i="1"/>
  <c r="H4914" i="1"/>
  <c r="I3634" i="1"/>
  <c r="H3634" i="1"/>
  <c r="I3848" i="1"/>
  <c r="H3848" i="1"/>
  <c r="I3589" i="1"/>
  <c r="H3589" i="1"/>
  <c r="I2785" i="1"/>
  <c r="H2785" i="1"/>
  <c r="I1484" i="1"/>
  <c r="H1484" i="1"/>
  <c r="I4949" i="1"/>
  <c r="H4949" i="1"/>
  <c r="I4903" i="1"/>
  <c r="H4903" i="1"/>
  <c r="I4932" i="1"/>
  <c r="H4932" i="1"/>
  <c r="I2634" i="1"/>
  <c r="H2634" i="1"/>
  <c r="I3367" i="1"/>
  <c r="H3367" i="1"/>
  <c r="I5252" i="1"/>
  <c r="H5252" i="1"/>
  <c r="I3033" i="1"/>
  <c r="H3033" i="1"/>
  <c r="I3204" i="1"/>
  <c r="H3204" i="1"/>
  <c r="I4650" i="1"/>
  <c r="H4650" i="1"/>
  <c r="I1549" i="1"/>
  <c r="H1549" i="1"/>
  <c r="I3764" i="1"/>
  <c r="H3764" i="1"/>
  <c r="I5779" i="1"/>
  <c r="H5779" i="1"/>
  <c r="I3974" i="1"/>
  <c r="H3974" i="1"/>
  <c r="I4863" i="1"/>
  <c r="H4863" i="1"/>
  <c r="I4577" i="1"/>
  <c r="H4577" i="1"/>
  <c r="I3554" i="1"/>
  <c r="H3554" i="1"/>
  <c r="I3872" i="1"/>
  <c r="H3872" i="1"/>
  <c r="I2566" i="1"/>
  <c r="H2566" i="1"/>
  <c r="I4134" i="1"/>
  <c r="H4134" i="1"/>
  <c r="I4908" i="1"/>
  <c r="H4908" i="1"/>
  <c r="I4313" i="1"/>
  <c r="H4313" i="1"/>
  <c r="I5416" i="1"/>
  <c r="H5416" i="1"/>
  <c r="I2344" i="1"/>
  <c r="H2344" i="1"/>
  <c r="I3519" i="1"/>
  <c r="H3519" i="1"/>
  <c r="I1300" i="1"/>
  <c r="H1300" i="1"/>
  <c r="I1429" i="1"/>
  <c r="H1429" i="1"/>
  <c r="I6515" i="1"/>
  <c r="H6515" i="1"/>
  <c r="I1296" i="1"/>
  <c r="H1296" i="1"/>
  <c r="I1014" i="1"/>
  <c r="H1014" i="1"/>
  <c r="I4687" i="1"/>
  <c r="H4687" i="1"/>
  <c r="I2718" i="1"/>
  <c r="H2718" i="1"/>
  <c r="I2605" i="1"/>
  <c r="H2605" i="1"/>
  <c r="I705" i="1"/>
  <c r="H705" i="1"/>
  <c r="I5705" i="1"/>
  <c r="H5705" i="1"/>
  <c r="I5224" i="1"/>
  <c r="H5224" i="1"/>
  <c r="I3717" i="1"/>
  <c r="H3717" i="1"/>
  <c r="I4598" i="1"/>
  <c r="H4598" i="1"/>
  <c r="I5115" i="1"/>
  <c r="H5115" i="1"/>
  <c r="I3966" i="1"/>
  <c r="H3966" i="1"/>
  <c r="I664" i="1"/>
  <c r="H664" i="1"/>
  <c r="I1288" i="1"/>
  <c r="H1288" i="1"/>
  <c r="I5170" i="1"/>
  <c r="H5170" i="1"/>
  <c r="I3715" i="1"/>
  <c r="H3715" i="1"/>
  <c r="I3563" i="1"/>
  <c r="H3563" i="1"/>
  <c r="I3740" i="1"/>
  <c r="H3740" i="1"/>
  <c r="I5766" i="1"/>
  <c r="H5766" i="1"/>
  <c r="I5141" i="1"/>
  <c r="H5141" i="1"/>
  <c r="I3375" i="1"/>
  <c r="H3375" i="1"/>
  <c r="I3451" i="1"/>
  <c r="H3451" i="1"/>
  <c r="I3649" i="1"/>
  <c r="H3649" i="1"/>
  <c r="I4370" i="1"/>
  <c r="H4370" i="1"/>
  <c r="I4268" i="1"/>
  <c r="H4268" i="1"/>
  <c r="I3475" i="1"/>
  <c r="H3475" i="1"/>
  <c r="I1208" i="1"/>
  <c r="H1208" i="1"/>
  <c r="I2866" i="1"/>
  <c r="H2866" i="1"/>
  <c r="I1359" i="1"/>
  <c r="H1359" i="1"/>
  <c r="I2986" i="1"/>
  <c r="H2986" i="1"/>
  <c r="I2628" i="1"/>
  <c r="H2628" i="1"/>
  <c r="I3369" i="1"/>
  <c r="H3369" i="1"/>
  <c r="I6230" i="1"/>
  <c r="H6230" i="1"/>
  <c r="I2834" i="1"/>
  <c r="H2834" i="1"/>
  <c r="I1350" i="1"/>
  <c r="H1350" i="1"/>
  <c r="I6825" i="1"/>
  <c r="H6825" i="1"/>
  <c r="I4414" i="1"/>
  <c r="H4414" i="1"/>
  <c r="I3862" i="1"/>
  <c r="H3862" i="1"/>
  <c r="I4392" i="1"/>
  <c r="H4392" i="1"/>
  <c r="I3978" i="1"/>
  <c r="H3978" i="1"/>
  <c r="I2258" i="1"/>
  <c r="H2258" i="1"/>
  <c r="I3183" i="1"/>
  <c r="H3183" i="1"/>
  <c r="I3434" i="1"/>
  <c r="H3434" i="1"/>
  <c r="I4616" i="1"/>
  <c r="H4616" i="1"/>
  <c r="I3341" i="1"/>
  <c r="H3341" i="1"/>
  <c r="I1098" i="1"/>
  <c r="H1098" i="1"/>
  <c r="I683" i="1"/>
  <c r="H683" i="1"/>
  <c r="I3091" i="1"/>
  <c r="H3091" i="1"/>
  <c r="I5382" i="1"/>
  <c r="H5382" i="1"/>
  <c r="I5205" i="1"/>
  <c r="H5205" i="1"/>
  <c r="I6670" i="1"/>
  <c r="H6670" i="1"/>
  <c r="I3685" i="1"/>
  <c r="H3685" i="1"/>
  <c r="I4076" i="1"/>
  <c r="H4076" i="1"/>
  <c r="I4289" i="1"/>
  <c r="H4289" i="1"/>
  <c r="I4850" i="1"/>
  <c r="H4850" i="1"/>
  <c r="I3464" i="1"/>
  <c r="H3464" i="1"/>
  <c r="I3678" i="1"/>
  <c r="H3678" i="1"/>
  <c r="I6395" i="1"/>
  <c r="H6395" i="1"/>
  <c r="I2871" i="1"/>
  <c r="H2871" i="1"/>
  <c r="I5248" i="1"/>
  <c r="H5248" i="1"/>
  <c r="I4030" i="1"/>
  <c r="H4030" i="1"/>
  <c r="I2723" i="1"/>
  <c r="H2723" i="1"/>
  <c r="I2769" i="1"/>
  <c r="H2769" i="1"/>
  <c r="I6607" i="1"/>
  <c r="H6607" i="1"/>
  <c r="I3841" i="1"/>
  <c r="H3841" i="1"/>
  <c r="I5193" i="1"/>
  <c r="H5193" i="1"/>
  <c r="I3217" i="1"/>
  <c r="H3217" i="1"/>
  <c r="I2517" i="1"/>
  <c r="H2517" i="1"/>
  <c r="I3679" i="1"/>
  <c r="H3679" i="1"/>
  <c r="I2219" i="1"/>
  <c r="H2219" i="1"/>
  <c r="I4705" i="1"/>
  <c r="H4705" i="1"/>
  <c r="I6427" i="1"/>
  <c r="H6427" i="1"/>
  <c r="I3419" i="1"/>
  <c r="H3419" i="1"/>
  <c r="I1277" i="1"/>
  <c r="H1277" i="1"/>
  <c r="I3733" i="1"/>
  <c r="H3733" i="1"/>
  <c r="I782" i="1"/>
  <c r="H782" i="1"/>
  <c r="I2558" i="1"/>
  <c r="H2558" i="1"/>
  <c r="I3865" i="1"/>
  <c r="H3865" i="1"/>
  <c r="I4768" i="1"/>
  <c r="H4768" i="1"/>
  <c r="I3528" i="1"/>
  <c r="H3528" i="1"/>
  <c r="I981" i="1"/>
  <c r="H981" i="1"/>
  <c r="I1163" i="1"/>
  <c r="H1163" i="1"/>
  <c r="I2824" i="1"/>
  <c r="H2824" i="1"/>
  <c r="I2947" i="1"/>
  <c r="H2947" i="1"/>
  <c r="I695" i="1"/>
  <c r="H695" i="1"/>
  <c r="I5086" i="1"/>
  <c r="H5086" i="1"/>
  <c r="I3668" i="1"/>
  <c r="H3668" i="1"/>
  <c r="I3635" i="1"/>
  <c r="H3635" i="1"/>
  <c r="I4697" i="1"/>
  <c r="H4697" i="1"/>
  <c r="I3537" i="1"/>
  <c r="H3537" i="1"/>
  <c r="I3241" i="1"/>
  <c r="H3241" i="1"/>
  <c r="I3993" i="1"/>
  <c r="H3993" i="1"/>
  <c r="I4078" i="1"/>
  <c r="H4078" i="1"/>
  <c r="I5054" i="1"/>
  <c r="H5054" i="1"/>
  <c r="I3543" i="1"/>
  <c r="H3543" i="1"/>
  <c r="I3256" i="1"/>
  <c r="H3256" i="1"/>
  <c r="I1213" i="1"/>
  <c r="H1213" i="1"/>
  <c r="I4901" i="1"/>
  <c r="H4901" i="1"/>
  <c r="I3468" i="1"/>
  <c r="H3468" i="1"/>
  <c r="I3824" i="1"/>
  <c r="H3824" i="1"/>
  <c r="I3618" i="1"/>
  <c r="H3618" i="1"/>
  <c r="I3877" i="1"/>
  <c r="H3877" i="1"/>
  <c r="I3379" i="1"/>
  <c r="H3379" i="1"/>
  <c r="I3998" i="1"/>
  <c r="H3998" i="1"/>
  <c r="I3028" i="1"/>
  <c r="H3028" i="1"/>
  <c r="I2808" i="1"/>
  <c r="H2808" i="1"/>
  <c r="I2690" i="1"/>
  <c r="H2690" i="1"/>
  <c r="I2676" i="1"/>
  <c r="H2676" i="1"/>
  <c r="I1315" i="1"/>
  <c r="H1315" i="1"/>
  <c r="I3647" i="1"/>
  <c r="H3647" i="1"/>
  <c r="I2194" i="1"/>
  <c r="H2194" i="1"/>
  <c r="I4126" i="1"/>
  <c r="H4126" i="1"/>
  <c r="H2195" i="1"/>
  <c r="I3907" i="1"/>
  <c r="H3907" i="1"/>
  <c r="I4793" i="1"/>
  <c r="H4793" i="1"/>
  <c r="I3586" i="1"/>
  <c r="H3586" i="1"/>
  <c r="I630" i="1"/>
  <c r="H630" i="1"/>
  <c r="I5938" i="1"/>
  <c r="H5938" i="1"/>
  <c r="I2032" i="1"/>
  <c r="H2032" i="1"/>
  <c r="I3588" i="1"/>
  <c r="H3588" i="1"/>
  <c r="I3625" i="1"/>
  <c r="H3625" i="1"/>
  <c r="I5145" i="1"/>
  <c r="H5145" i="1"/>
  <c r="I4529" i="1"/>
  <c r="H4529" i="1"/>
  <c r="I1533" i="1"/>
  <c r="H1533" i="1"/>
  <c r="I6453" i="1"/>
  <c r="H6453" i="1"/>
  <c r="H2592" i="1"/>
  <c r="I3566" i="1"/>
  <c r="H3566" i="1"/>
  <c r="I3612" i="1"/>
  <c r="H3612" i="1"/>
  <c r="I3309" i="1"/>
  <c r="H3309" i="1"/>
  <c r="I4097" i="1"/>
  <c r="H4097" i="1"/>
  <c r="I3446" i="1"/>
  <c r="H3446" i="1"/>
  <c r="I2331" i="1"/>
  <c r="H2331" i="1"/>
  <c r="I4269" i="1"/>
  <c r="H4269" i="1"/>
  <c r="I3104" i="1"/>
  <c r="H3104" i="1"/>
  <c r="I2336" i="1"/>
  <c r="H2336" i="1"/>
  <c r="I6208" i="1"/>
  <c r="H6208" i="1"/>
  <c r="I5415" i="1"/>
  <c r="H5415" i="1"/>
  <c r="I3344" i="1"/>
  <c r="H3344" i="1"/>
  <c r="I3518" i="1"/>
  <c r="H3518" i="1"/>
  <c r="I4594" i="1"/>
  <c r="H4594" i="1"/>
  <c r="I3652" i="1"/>
  <c r="H3652" i="1"/>
  <c r="I3316" i="1"/>
  <c r="H3316" i="1"/>
  <c r="I4546" i="1"/>
  <c r="H4546" i="1"/>
  <c r="I3665" i="1"/>
  <c r="H3665" i="1"/>
  <c r="I3579" i="1"/>
  <c r="H3579" i="1"/>
  <c r="I2984" i="1"/>
  <c r="H2984" i="1"/>
  <c r="I3382" i="1"/>
  <c r="H3382" i="1"/>
  <c r="I6976" i="1"/>
  <c r="H6976" i="1"/>
  <c r="I3093" i="1"/>
  <c r="H3093" i="1"/>
  <c r="I4133" i="1"/>
  <c r="H4133" i="1"/>
  <c r="I3813" i="1"/>
  <c r="H3813" i="1"/>
  <c r="I3155" i="1"/>
  <c r="H3155" i="1"/>
  <c r="I3260" i="1"/>
  <c r="H3260" i="1"/>
  <c r="I6161" i="1"/>
  <c r="H6161" i="1"/>
  <c r="I3357" i="1"/>
  <c r="H3357" i="1"/>
  <c r="I1514" i="1"/>
  <c r="H1514" i="1"/>
  <c r="I5316" i="1"/>
  <c r="H5316" i="1"/>
  <c r="I1898" i="1"/>
  <c r="H1898" i="1"/>
  <c r="I3352" i="1"/>
  <c r="H3352" i="1"/>
  <c r="I1181" i="1"/>
  <c r="H1181" i="1"/>
  <c r="I2775" i="1"/>
  <c r="H2775" i="1"/>
  <c r="I2812" i="1"/>
  <c r="H2812" i="1"/>
  <c r="I3711" i="1"/>
  <c r="H3711" i="1"/>
  <c r="I3150" i="1"/>
  <c r="H3150" i="1"/>
  <c r="I908" i="1"/>
  <c r="H908" i="1"/>
  <c r="I5491" i="1"/>
  <c r="H5491" i="1"/>
  <c r="I2058" i="1"/>
  <c r="H2058" i="1"/>
  <c r="I4984" i="1"/>
  <c r="H4984" i="1"/>
  <c r="I4492" i="1"/>
  <c r="H4492" i="1"/>
  <c r="I5959" i="1"/>
  <c r="H5959" i="1"/>
  <c r="I6307" i="1"/>
  <c r="H6307" i="1"/>
  <c r="I4638" i="1"/>
  <c r="H4638" i="1"/>
  <c r="I3060" i="1"/>
  <c r="H3060" i="1"/>
  <c r="I4472" i="1"/>
  <c r="H4472" i="1"/>
  <c r="I3512" i="1"/>
  <c r="H3512" i="1"/>
  <c r="I3414" i="1"/>
  <c r="H3414" i="1"/>
  <c r="I4105" i="1"/>
  <c r="H4105" i="1"/>
  <c r="I2614" i="1"/>
  <c r="H2614" i="1"/>
  <c r="I4824" i="1"/>
  <c r="H4824" i="1"/>
  <c r="I865" i="1"/>
  <c r="H865" i="1"/>
  <c r="I3087" i="1"/>
  <c r="H3087" i="1"/>
  <c r="I6531" i="1"/>
  <c r="H6531" i="1"/>
  <c r="I2976" i="1"/>
  <c r="H2976" i="1"/>
  <c r="I3746" i="1"/>
  <c r="H3746" i="1"/>
  <c r="I4815" i="1"/>
  <c r="H4815" i="1"/>
  <c r="I4169" i="1"/>
  <c r="H4169" i="1"/>
  <c r="I5887" i="1"/>
  <c r="H5887" i="1"/>
  <c r="I3915" i="1"/>
  <c r="H3915" i="1"/>
  <c r="I4473" i="1"/>
  <c r="H4473" i="1"/>
  <c r="I1950" i="1"/>
  <c r="H1950" i="1"/>
  <c r="I3937" i="1"/>
  <c r="H3937" i="1"/>
  <c r="I3840" i="1"/>
  <c r="H3840" i="1"/>
  <c r="I2833" i="1"/>
  <c r="H2833" i="1"/>
  <c r="I5810" i="1"/>
  <c r="H5810" i="1"/>
  <c r="I1034" i="1"/>
  <c r="H1034" i="1"/>
  <c r="I4389" i="1"/>
  <c r="H4389" i="1"/>
  <c r="I2571" i="1"/>
  <c r="H2571" i="1"/>
  <c r="I6567" i="1"/>
  <c r="H6567" i="1"/>
  <c r="I1412" i="1"/>
  <c r="H1412" i="1"/>
  <c r="I3725" i="1"/>
  <c r="H3725" i="1"/>
  <c r="I6326" i="1"/>
  <c r="H6326" i="1"/>
  <c r="I4481" i="1"/>
  <c r="H4481" i="1"/>
  <c r="I6367" i="1"/>
  <c r="H6367" i="1"/>
  <c r="I3452" i="1"/>
  <c r="H3452" i="1"/>
  <c r="I4040" i="1"/>
  <c r="H4040" i="1"/>
  <c r="I670" i="1"/>
  <c r="H670" i="1"/>
  <c r="I3660" i="1"/>
  <c r="H3660" i="1"/>
  <c r="I4276" i="1"/>
  <c r="H4276" i="1"/>
  <c r="I3698" i="1"/>
  <c r="H3698" i="1"/>
  <c r="I836" i="1"/>
  <c r="H836" i="1"/>
  <c r="I5669" i="1"/>
  <c r="H5669" i="1"/>
  <c r="I3782" i="1"/>
  <c r="H3782" i="1"/>
  <c r="I3656" i="1"/>
  <c r="H3656" i="1"/>
  <c r="I4412" i="1"/>
  <c r="H4412" i="1"/>
  <c r="I3486" i="1"/>
  <c r="H3486" i="1"/>
  <c r="I3893" i="1"/>
  <c r="H3893" i="1"/>
  <c r="I3531" i="1"/>
  <c r="H3531" i="1"/>
  <c r="I2825" i="1"/>
  <c r="H2825" i="1"/>
  <c r="I3130" i="1"/>
  <c r="H3130" i="1"/>
  <c r="I1956" i="1"/>
  <c r="H1956" i="1"/>
  <c r="I1435" i="1"/>
  <c r="H1435" i="1"/>
  <c r="I5863" i="1"/>
  <c r="H5863" i="1"/>
  <c r="I3536" i="1"/>
  <c r="H3536" i="1"/>
  <c r="I4912" i="1"/>
  <c r="H4912" i="1"/>
  <c r="I3699" i="1"/>
  <c r="H3699" i="1"/>
  <c r="I2926" i="1"/>
  <c r="H2926" i="1"/>
  <c r="I4257" i="1"/>
  <c r="H4257" i="1"/>
  <c r="I6807" i="1"/>
  <c r="H6807" i="1"/>
  <c r="I2044" i="1"/>
  <c r="H2044" i="1"/>
  <c r="I6820" i="1"/>
  <c r="H6820" i="1"/>
  <c r="I2989" i="1"/>
  <c r="H2989" i="1"/>
  <c r="I1557" i="1"/>
  <c r="H1557" i="1"/>
  <c r="I3068" i="1"/>
  <c r="H3068" i="1"/>
  <c r="I4675" i="1"/>
  <c r="H4675" i="1"/>
  <c r="I3673" i="1"/>
  <c r="H3673" i="1"/>
  <c r="I5262" i="1"/>
  <c r="H5262" i="1"/>
  <c r="I4918" i="1"/>
  <c r="H4918" i="1"/>
  <c r="I6681" i="1"/>
  <c r="H6681" i="1"/>
  <c r="I2029" i="1"/>
  <c r="H2029" i="1"/>
  <c r="I3973" i="1"/>
  <c r="H3973" i="1"/>
  <c r="I3590" i="1"/>
  <c r="H3590" i="1"/>
  <c r="I3337" i="1"/>
  <c r="H3337" i="1"/>
  <c r="I3628" i="1"/>
  <c r="H3628" i="1"/>
  <c r="I3702" i="1"/>
  <c r="H3702" i="1"/>
  <c r="I1494" i="1"/>
  <c r="H1494" i="1"/>
  <c r="I3169" i="1"/>
  <c r="H3169" i="1"/>
  <c r="I776" i="1"/>
  <c r="H776" i="1"/>
  <c r="I2184" i="1"/>
  <c r="H2184" i="1"/>
  <c r="I1571" i="1"/>
  <c r="H1571" i="1"/>
  <c r="I3450" i="1"/>
  <c r="H3450" i="1"/>
  <c r="I3573" i="1"/>
  <c r="H3573" i="1"/>
  <c r="I2744" i="1"/>
  <c r="H2744" i="1"/>
  <c r="I4032" i="1"/>
  <c r="H4032" i="1"/>
  <c r="I5918" i="1"/>
  <c r="H5918" i="1"/>
  <c r="I5517" i="1"/>
  <c r="H5517" i="1"/>
  <c r="I3405" i="1"/>
  <c r="H3405" i="1"/>
  <c r="I3986" i="1"/>
  <c r="H3986" i="1"/>
  <c r="I3757" i="1"/>
  <c r="H3757" i="1"/>
  <c r="I4303" i="1"/>
  <c r="H4303" i="1"/>
  <c r="I2552" i="1"/>
  <c r="H2552" i="1"/>
  <c r="I5811" i="1"/>
  <c r="H5811" i="1"/>
  <c r="I2962" i="1"/>
  <c r="H2962" i="1"/>
  <c r="I3839" i="1"/>
  <c r="H3839" i="1"/>
  <c r="I3508" i="1"/>
  <c r="H3508" i="1"/>
  <c r="I3629" i="1"/>
  <c r="H3629" i="1"/>
  <c r="I6698" i="1"/>
  <c r="H6698" i="1"/>
  <c r="I3436" i="1"/>
  <c r="H3436" i="1"/>
  <c r="I6571" i="1"/>
  <c r="H6571" i="1"/>
  <c r="I5413" i="1"/>
  <c r="H5413" i="1"/>
  <c r="I3516" i="1"/>
  <c r="H3516" i="1"/>
  <c r="I3946" i="1"/>
  <c r="H3946" i="1"/>
  <c r="I4067" i="1"/>
  <c r="H4067" i="1"/>
  <c r="I3153" i="1"/>
  <c r="H3153" i="1"/>
  <c r="I2492" i="1"/>
  <c r="H2492" i="1"/>
  <c r="I4364" i="1"/>
  <c r="H4364" i="1"/>
  <c r="I1804" i="1"/>
  <c r="H1804" i="1"/>
  <c r="I6726" i="1"/>
  <c r="H6726" i="1"/>
  <c r="I4601" i="1"/>
  <c r="H4601" i="1"/>
  <c r="I3476" i="1"/>
  <c r="H3476" i="1"/>
  <c r="I3646" i="1"/>
  <c r="H3646" i="1"/>
  <c r="I3981" i="1"/>
  <c r="H3981" i="1"/>
  <c r="I6084" i="1"/>
  <c r="H6084" i="1"/>
  <c r="I3177" i="1"/>
  <c r="H3177" i="1"/>
  <c r="I2831" i="1"/>
  <c r="H2831" i="1"/>
  <c r="I299" i="1"/>
  <c r="H299" i="1"/>
  <c r="I3826" i="1"/>
  <c r="H3826" i="1"/>
  <c r="I4398" i="1"/>
  <c r="H4398" i="1"/>
  <c r="I3739" i="1"/>
  <c r="H3739" i="1"/>
  <c r="I2308" i="1"/>
  <c r="H2308" i="1"/>
  <c r="I4280" i="1"/>
  <c r="H4280" i="1"/>
  <c r="I5279" i="1"/>
  <c r="H5279" i="1"/>
  <c r="I3500" i="1"/>
  <c r="H3500" i="1"/>
  <c r="I6373" i="1"/>
  <c r="H6373" i="1"/>
  <c r="I3688" i="1"/>
  <c r="H3688" i="1"/>
  <c r="I1939" i="1"/>
  <c r="H1939" i="1"/>
  <c r="I2491" i="1"/>
  <c r="H2491" i="1"/>
  <c r="I3807" i="1"/>
  <c r="H3807" i="1"/>
  <c r="I1638" i="1"/>
  <c r="H1638" i="1"/>
  <c r="I2003" i="1"/>
  <c r="H2003" i="1"/>
  <c r="I6949" i="1"/>
  <c r="H6949" i="1"/>
  <c r="I4083" i="1"/>
  <c r="H4083" i="1"/>
  <c r="I3272" i="1"/>
  <c r="H3272" i="1"/>
  <c r="I2835" i="1"/>
  <c r="H2835" i="1"/>
  <c r="I3963" i="1"/>
  <c r="H3963" i="1"/>
  <c r="I4968" i="1"/>
  <c r="H4968" i="1"/>
  <c r="I3046" i="1"/>
  <c r="H3046" i="1"/>
  <c r="I5749" i="1"/>
  <c r="H5749" i="1"/>
  <c r="I4212" i="1"/>
  <c r="H4212" i="1"/>
  <c r="I6018" i="1"/>
  <c r="H6018" i="1"/>
  <c r="I3587" i="1"/>
  <c r="H3587" i="1"/>
  <c r="I1458" i="1"/>
  <c r="H1458" i="1"/>
  <c r="I3585" i="1"/>
  <c r="H3585" i="1"/>
  <c r="I2043" i="1"/>
  <c r="H2043" i="1"/>
  <c r="I1038" i="1"/>
  <c r="H1038" i="1"/>
  <c r="I3832" i="1"/>
  <c r="H3832" i="1"/>
  <c r="I1947" i="1"/>
  <c r="H1947" i="1"/>
  <c r="I4962" i="1"/>
  <c r="H4962" i="1"/>
  <c r="I4360" i="1"/>
  <c r="H4360" i="1"/>
  <c r="I4881" i="1"/>
  <c r="H4881" i="1"/>
  <c r="I3513" i="1"/>
  <c r="H3513" i="1"/>
  <c r="I5028" i="1"/>
  <c r="H5028" i="1"/>
  <c r="I2646" i="1"/>
  <c r="H2646" i="1"/>
  <c r="I3239" i="1"/>
  <c r="H3239" i="1"/>
  <c r="I6596" i="1"/>
  <c r="H6596" i="1"/>
  <c r="I625" i="1"/>
  <c r="H625" i="1"/>
  <c r="I4149" i="1"/>
  <c r="H4149" i="1"/>
  <c r="I4522" i="1"/>
  <c r="H4522" i="1"/>
  <c r="I437" i="1"/>
  <c r="H437" i="1"/>
  <c r="I6308" i="1"/>
  <c r="H6308" i="1"/>
  <c r="I3825" i="1"/>
  <c r="H3825" i="1"/>
  <c r="I3187" i="1"/>
  <c r="H3187" i="1"/>
  <c r="I5152" i="1"/>
  <c r="H5152" i="1"/>
  <c r="I3438" i="1"/>
  <c r="H3438" i="1"/>
  <c r="I4195" i="1"/>
  <c r="H4195" i="1"/>
  <c r="I1584" i="1"/>
  <c r="H1584" i="1"/>
  <c r="I3082" i="1"/>
  <c r="H3082" i="1"/>
  <c r="I4835" i="1"/>
  <c r="H4835" i="1"/>
  <c r="I2977" i="1"/>
  <c r="H2977" i="1"/>
  <c r="I4048" i="1"/>
  <c r="H4048" i="1"/>
  <c r="I1639" i="1"/>
  <c r="H1639" i="1"/>
  <c r="I2622" i="1"/>
  <c r="H2622" i="1"/>
  <c r="I2293" i="1"/>
  <c r="H2293" i="1"/>
  <c r="I3303" i="1"/>
  <c r="H3303" i="1"/>
  <c r="I3333" i="1"/>
  <c r="H3333" i="1"/>
  <c r="I2594" i="1"/>
  <c r="H2594" i="1"/>
  <c r="I3631" i="1"/>
  <c r="H3631" i="1"/>
  <c r="I2689" i="1"/>
  <c r="H2689" i="1"/>
  <c r="I5003" i="1"/>
  <c r="H5003" i="1"/>
  <c r="I4428" i="1"/>
  <c r="H4428" i="1"/>
  <c r="I1604" i="1"/>
  <c r="H1604" i="1"/>
  <c r="I6947" i="1"/>
  <c r="H6947" i="1"/>
  <c r="I5674" i="1"/>
  <c r="H5674" i="1"/>
  <c r="I1248" i="1"/>
  <c r="H1248" i="1"/>
  <c r="I3822" i="1"/>
  <c r="H3822" i="1"/>
  <c r="I2861" i="1"/>
  <c r="H2861" i="1"/>
  <c r="I4553" i="1"/>
  <c r="H4553" i="1"/>
  <c r="I3263" i="1"/>
  <c r="H3263" i="1"/>
  <c r="I4178" i="1"/>
  <c r="H4178" i="1"/>
  <c r="I2827" i="1"/>
  <c r="H2827" i="1"/>
  <c r="I3858" i="1"/>
  <c r="H3858" i="1"/>
  <c r="I4272" i="1"/>
  <c r="H4272" i="1"/>
  <c r="I5419" i="1"/>
  <c r="H5419" i="1"/>
  <c r="I2113" i="1"/>
  <c r="H2113" i="1"/>
  <c r="I3498" i="1"/>
  <c r="H3498" i="1"/>
  <c r="I1865" i="1"/>
  <c r="H1865" i="1"/>
  <c r="I2741" i="1"/>
  <c r="H2741" i="1"/>
  <c r="I3620" i="1"/>
  <c r="H3620" i="1"/>
  <c r="I2746" i="1"/>
  <c r="H2746" i="1"/>
  <c r="I4419" i="1"/>
  <c r="H4419" i="1"/>
  <c r="I4460" i="1"/>
  <c r="H4460" i="1"/>
  <c r="I3721" i="1"/>
  <c r="H3721" i="1"/>
  <c r="I3228" i="1"/>
  <c r="H3228" i="1"/>
  <c r="I3331" i="1"/>
  <c r="H3331" i="1"/>
  <c r="I2698" i="1"/>
  <c r="H2698" i="1"/>
  <c r="I4692" i="1"/>
  <c r="H4692" i="1"/>
  <c r="I3773" i="1"/>
  <c r="H3773" i="1"/>
  <c r="I2343" i="1"/>
  <c r="H2343" i="1"/>
  <c r="I3837" i="1"/>
  <c r="H3837" i="1"/>
  <c r="I3185" i="1"/>
  <c r="H3185" i="1"/>
  <c r="I4096" i="1"/>
  <c r="H4096" i="1"/>
  <c r="I586" i="1"/>
  <c r="H586" i="1"/>
  <c r="I5960" i="1"/>
  <c r="H5960" i="1"/>
  <c r="I4446" i="1"/>
  <c r="H4446" i="1"/>
  <c r="I4421" i="1"/>
  <c r="H4421" i="1"/>
  <c r="I4180" i="1"/>
  <c r="H4180" i="1"/>
  <c r="I6232" i="1"/>
  <c r="H6232" i="1"/>
  <c r="I2671" i="1"/>
  <c r="H2671" i="1"/>
  <c r="I3308" i="1"/>
  <c r="H3308" i="1"/>
  <c r="I5084" i="1"/>
  <c r="H5084" i="1"/>
  <c r="I2883" i="1"/>
  <c r="H2883" i="1"/>
  <c r="I3027" i="1"/>
  <c r="H3027" i="1"/>
  <c r="I4545" i="1"/>
  <c r="H4545" i="1"/>
  <c r="I798" i="1"/>
  <c r="H798" i="1"/>
  <c r="I3372" i="1"/>
  <c r="H3372" i="1"/>
  <c r="I4334" i="1"/>
  <c r="H4334" i="1"/>
  <c r="I3133" i="1"/>
  <c r="H3133" i="1"/>
  <c r="I2388" i="1"/>
  <c r="H2388" i="1"/>
  <c r="I4578" i="1"/>
  <c r="H4578" i="1"/>
  <c r="I3137" i="1"/>
  <c r="H3137" i="1"/>
  <c r="I4997" i="1"/>
  <c r="H4997" i="1"/>
  <c r="I6412" i="1"/>
  <c r="H6412" i="1"/>
  <c r="I6000" i="1"/>
  <c r="H6000" i="1"/>
  <c r="I4319" i="1"/>
  <c r="H4319" i="1"/>
  <c r="I1498" i="1"/>
  <c r="H1498" i="1"/>
  <c r="I2544" i="1"/>
  <c r="H2544" i="1"/>
  <c r="I1894" i="1"/>
  <c r="H1894" i="1"/>
  <c r="I4335" i="1"/>
  <c r="H4335" i="1"/>
  <c r="I2068" i="1"/>
  <c r="H2068" i="1"/>
  <c r="I5640" i="1"/>
  <c r="H5640" i="1"/>
  <c r="I3637" i="1"/>
  <c r="H3637" i="1"/>
  <c r="I3745" i="1"/>
  <c r="H3745" i="1"/>
  <c r="I4429" i="1"/>
  <c r="H4429" i="1"/>
  <c r="I3643" i="1"/>
  <c r="H3643" i="1"/>
  <c r="I3564" i="1"/>
  <c r="H3564" i="1"/>
  <c r="I494" i="1"/>
  <c r="H494" i="1"/>
  <c r="I6703" i="1"/>
  <c r="H6703" i="1"/>
  <c r="I5032" i="1"/>
  <c r="H5032" i="1"/>
  <c r="I2350" i="1"/>
  <c r="H2350" i="1"/>
  <c r="I4830" i="1"/>
  <c r="H4830" i="1"/>
  <c r="I3975" i="1"/>
  <c r="H3975" i="1"/>
  <c r="I3748" i="1"/>
  <c r="H3748" i="1"/>
  <c r="I5254" i="1"/>
  <c r="H5254" i="1"/>
  <c r="I1580" i="1"/>
  <c r="H1580" i="1"/>
  <c r="I1469" i="1"/>
  <c r="H1469" i="1"/>
  <c r="I4415" i="1"/>
  <c r="H4415" i="1"/>
  <c r="I2402" i="1"/>
  <c r="H2402" i="1"/>
  <c r="I3703" i="1"/>
  <c r="H3703" i="1"/>
  <c r="I3713" i="1"/>
  <c r="H3713" i="1"/>
  <c r="I2487" i="1"/>
  <c r="H2487" i="1"/>
  <c r="I3146" i="1"/>
  <c r="H3146" i="1"/>
  <c r="I2529" i="1"/>
  <c r="H2529" i="1"/>
  <c r="I3403" i="1"/>
  <c r="H3403" i="1"/>
  <c r="I3878" i="1"/>
  <c r="H3878" i="1"/>
  <c r="I6587" i="1"/>
  <c r="H6587" i="1"/>
  <c r="I4111" i="1"/>
  <c r="H4111" i="1"/>
  <c r="I4222" i="1"/>
  <c r="H4222" i="1"/>
  <c r="I3905" i="1"/>
  <c r="H3905" i="1"/>
  <c r="I1154" i="1"/>
  <c r="H1154" i="1"/>
  <c r="I4151" i="1"/>
  <c r="H4151" i="1"/>
  <c r="I5328" i="1"/>
  <c r="H5328" i="1"/>
  <c r="I4990" i="1"/>
  <c r="H4990" i="1"/>
  <c r="I1586" i="1"/>
  <c r="H1586" i="1"/>
  <c r="I2546" i="1"/>
  <c r="H2546" i="1"/>
  <c r="I6801" i="1"/>
  <c r="H6801" i="1"/>
  <c r="I5128" i="1"/>
  <c r="H5128" i="1"/>
  <c r="I4602" i="1"/>
  <c r="H4602" i="1"/>
  <c r="I5847" i="1"/>
  <c r="H5847" i="1"/>
  <c r="I5605" i="1"/>
  <c r="H5605" i="1"/>
  <c r="I4011" i="1"/>
  <c r="H4011" i="1"/>
  <c r="I2045" i="1"/>
  <c r="H2045" i="1"/>
  <c r="I4689" i="1"/>
  <c r="H4689" i="1"/>
  <c r="I2414" i="1"/>
  <c r="H2414" i="1"/>
  <c r="I4091" i="1"/>
  <c r="H4091" i="1"/>
  <c r="I4626" i="1"/>
  <c r="H4626" i="1"/>
  <c r="I5161" i="1"/>
  <c r="H5161" i="1"/>
  <c r="I2223" i="1"/>
  <c r="H2223" i="1"/>
  <c r="I4331" i="1"/>
  <c r="H4331" i="1"/>
  <c r="I4161" i="1"/>
  <c r="H4161" i="1"/>
  <c r="I3565" i="1"/>
  <c r="H3565" i="1"/>
  <c r="I5661" i="1"/>
  <c r="H5661" i="1"/>
  <c r="I2839" i="1"/>
  <c r="H2839" i="1"/>
  <c r="I4702" i="1"/>
  <c r="H4702" i="1"/>
  <c r="I3048" i="1"/>
  <c r="H3048" i="1"/>
  <c r="I3462" i="1"/>
  <c r="H3462" i="1"/>
  <c r="I4423" i="1"/>
  <c r="H4423" i="1"/>
  <c r="I3196" i="1"/>
  <c r="H3196" i="1"/>
  <c r="I5332" i="1"/>
  <c r="H5332" i="1"/>
  <c r="I1582" i="1"/>
  <c r="H1582" i="1"/>
  <c r="I4230" i="1"/>
  <c r="H4230" i="1"/>
  <c r="I4639" i="1"/>
  <c r="H4639" i="1"/>
  <c r="I2217" i="1"/>
  <c r="H2217" i="1"/>
  <c r="I6823" i="1"/>
  <c r="H6823" i="1"/>
  <c r="I3042" i="1"/>
  <c r="H3042" i="1"/>
  <c r="I1393" i="1"/>
  <c r="H1393" i="1"/>
  <c r="I1547" i="1"/>
  <c r="H1547" i="1"/>
  <c r="I3141" i="1"/>
  <c r="H3141" i="1"/>
  <c r="I3285" i="1"/>
  <c r="H3285" i="1"/>
  <c r="I3322" i="1"/>
  <c r="H3322" i="1"/>
  <c r="I3640" i="1"/>
  <c r="H3640" i="1"/>
  <c r="I3662" i="1"/>
  <c r="H3662" i="1"/>
  <c r="I4798" i="1"/>
  <c r="H4798" i="1"/>
  <c r="I1565" i="1"/>
  <c r="H1565" i="1"/>
  <c r="I5947" i="1"/>
  <c r="H5947" i="1"/>
  <c r="I6889" i="1"/>
  <c r="H6889" i="1"/>
  <c r="I4113" i="1"/>
  <c r="H4113" i="1"/>
  <c r="I3791" i="1"/>
  <c r="H3791" i="1"/>
  <c r="I2639" i="1"/>
  <c r="H2639" i="1"/>
  <c r="I1091" i="1"/>
  <c r="H1091" i="1"/>
  <c r="I4031" i="1"/>
  <c r="H4031" i="1"/>
  <c r="I4532" i="1"/>
  <c r="H4532" i="1"/>
  <c r="I3167" i="1"/>
  <c r="H3167" i="1"/>
  <c r="I673" i="1"/>
  <c r="H673" i="1"/>
  <c r="I4385" i="1"/>
  <c r="H4385" i="1"/>
  <c r="I5050" i="1"/>
  <c r="H5050" i="1"/>
  <c r="I4254" i="1"/>
  <c r="H4254" i="1"/>
  <c r="I3903" i="1"/>
  <c r="H3903" i="1"/>
  <c r="I4142" i="1"/>
  <c r="H4142" i="1"/>
  <c r="I2606" i="1"/>
  <c r="H2606" i="1"/>
  <c r="I2762" i="1"/>
  <c r="H2762" i="1"/>
  <c r="I6288" i="1"/>
  <c r="H6288" i="1"/>
  <c r="I3493" i="1"/>
  <c r="H3493" i="1"/>
  <c r="I2503" i="1"/>
  <c r="H2503" i="1"/>
  <c r="I3600" i="1"/>
  <c r="H3600" i="1"/>
  <c r="I3724" i="1"/>
  <c r="H3724" i="1"/>
  <c r="I4715" i="1"/>
  <c r="H4715" i="1"/>
  <c r="I883" i="1"/>
  <c r="H883" i="1"/>
  <c r="I4221" i="1"/>
  <c r="H4221" i="1"/>
  <c r="I3371" i="1"/>
  <c r="H3371" i="1"/>
  <c r="I1118" i="1"/>
  <c r="H1118" i="1"/>
  <c r="I3007" i="1"/>
  <c r="H3007" i="1"/>
  <c r="I3855" i="1"/>
  <c r="H3855" i="1"/>
  <c r="I2987" i="1"/>
  <c r="H2987" i="1"/>
  <c r="I3654" i="1"/>
  <c r="H3654" i="1"/>
  <c r="I1863" i="1"/>
  <c r="H1863" i="1"/>
  <c r="I5903" i="1"/>
  <c r="H5903" i="1"/>
  <c r="I4131" i="1"/>
  <c r="H4131" i="1"/>
  <c r="I4256" i="1"/>
  <c r="H4256" i="1"/>
  <c r="I905" i="1"/>
  <c r="H905" i="1"/>
  <c r="I3889" i="1"/>
  <c r="H3889" i="1"/>
  <c r="I2046" i="1"/>
  <c r="H2046" i="1"/>
  <c r="I2365" i="1"/>
  <c r="H2365" i="1"/>
  <c r="I3465" i="1"/>
  <c r="H3465" i="1"/>
  <c r="I4042" i="1"/>
  <c r="H4042" i="1"/>
  <c r="I2102" i="1"/>
  <c r="H2102" i="1"/>
  <c r="I4934" i="1"/>
  <c r="H4934" i="1"/>
  <c r="I3726" i="1"/>
  <c r="H3726" i="1"/>
  <c r="I3212" i="1"/>
  <c r="H3212" i="1"/>
  <c r="I4871" i="1"/>
  <c r="H4871" i="1"/>
  <c r="I4771" i="1"/>
  <c r="H4771" i="1"/>
  <c r="I1104" i="1"/>
  <c r="H1104" i="1"/>
  <c r="I3041" i="1"/>
  <c r="H3041" i="1"/>
  <c r="I3096" i="1"/>
  <c r="H3096" i="1"/>
  <c r="I4434" i="1"/>
  <c r="H4434" i="1"/>
  <c r="I6542" i="1"/>
  <c r="H6542" i="1"/>
  <c r="I3933" i="1"/>
  <c r="H3933" i="1"/>
  <c r="I2857" i="1"/>
  <c r="H2857" i="1"/>
  <c r="I4148" i="1"/>
  <c r="H4148" i="1"/>
  <c r="I3234" i="1"/>
  <c r="H3234" i="1"/>
  <c r="I4802" i="1"/>
  <c r="H4802" i="1"/>
  <c r="I2201" i="1"/>
  <c r="H2201" i="1"/>
  <c r="I2143" i="1"/>
  <c r="H2143" i="1"/>
  <c r="I2625" i="1"/>
  <c r="H2625" i="1"/>
  <c r="I2285" i="1"/>
  <c r="H2285" i="1"/>
  <c r="I4107" i="1"/>
  <c r="H4107" i="1"/>
  <c r="I3972" i="1"/>
  <c r="H3972" i="1"/>
  <c r="I3929" i="1"/>
  <c r="H3929" i="1"/>
  <c r="I3795" i="1"/>
  <c r="H3795" i="1"/>
  <c r="I4258" i="1"/>
  <c r="H4258" i="1"/>
  <c r="I3909" i="1"/>
  <c r="H3909" i="1"/>
  <c r="I1906" i="1"/>
  <c r="H1906" i="1"/>
  <c r="I3052" i="1"/>
  <c r="H3052" i="1"/>
  <c r="I3391" i="1"/>
  <c r="H3391" i="1"/>
  <c r="I2432" i="1"/>
  <c r="H2432" i="1"/>
  <c r="I4924" i="1"/>
  <c r="H4924" i="1"/>
  <c r="I3701" i="1"/>
  <c r="H3701" i="1"/>
  <c r="I4977" i="1"/>
  <c r="H4977" i="1"/>
  <c r="I3503" i="1"/>
  <c r="H3503" i="1"/>
  <c r="I2072" i="1"/>
  <c r="H2072" i="1"/>
  <c r="I2970" i="1"/>
  <c r="H2970" i="1"/>
  <c r="I4274" i="1"/>
  <c r="H4274" i="1"/>
  <c r="I3345" i="1"/>
  <c r="H3345" i="1"/>
  <c r="I3948" i="1"/>
  <c r="H3948" i="1"/>
  <c r="I4789" i="1"/>
  <c r="H4789" i="1"/>
  <c r="I3605" i="1"/>
  <c r="H3605" i="1"/>
  <c r="I3925" i="1"/>
  <c r="H3925" i="1"/>
  <c r="I3675" i="1"/>
  <c r="H3675" i="1"/>
  <c r="I3821" i="1"/>
  <c r="H3821" i="1"/>
  <c r="I2848" i="1"/>
  <c r="H2848" i="1"/>
  <c r="I3467" i="1"/>
  <c r="H3467" i="1"/>
  <c r="I2339" i="1"/>
  <c r="H2339" i="1"/>
  <c r="I3140" i="1"/>
  <c r="H3140" i="1"/>
  <c r="I4406" i="1"/>
  <c r="H4406" i="1"/>
  <c r="I4540" i="1"/>
  <c r="H4540" i="1"/>
  <c r="I5148" i="1"/>
  <c r="H5148" i="1"/>
  <c r="I4885" i="1"/>
  <c r="H4885" i="1"/>
  <c r="I1226" i="1"/>
  <c r="H1226" i="1"/>
  <c r="I3768" i="1"/>
  <c r="H3768" i="1"/>
  <c r="I5714" i="1"/>
  <c r="H5714" i="1"/>
  <c r="I4198" i="1"/>
  <c r="H4198" i="1"/>
  <c r="I2467" i="1"/>
  <c r="H2467" i="1"/>
  <c r="H2129" i="1"/>
  <c r="I1902" i="1"/>
  <c r="H1902" i="1"/>
  <c r="I4679" i="1"/>
  <c r="H4679" i="1"/>
  <c r="I5522" i="1"/>
  <c r="H5522" i="1"/>
  <c r="I3501" i="1"/>
  <c r="H3501" i="1"/>
  <c r="I4294" i="1"/>
  <c r="H4294" i="1"/>
  <c r="I3926" i="1"/>
  <c r="H3926" i="1"/>
  <c r="I2447" i="1"/>
  <c r="H2447" i="1"/>
  <c r="I3617" i="1"/>
  <c r="H3617" i="1"/>
  <c r="I3987" i="1"/>
  <c r="H3987" i="1"/>
  <c r="I5884" i="1"/>
  <c r="H5884" i="1"/>
  <c r="I6486" i="1"/>
  <c r="H6486" i="1"/>
  <c r="I1535" i="1"/>
  <c r="H1535" i="1"/>
  <c r="I6731" i="1"/>
  <c r="H6731" i="1"/>
  <c r="I1938" i="1"/>
  <c r="H1938" i="1"/>
  <c r="I3815" i="1"/>
  <c r="H3815" i="1"/>
  <c r="I4656" i="1"/>
  <c r="H4656" i="1"/>
  <c r="I3682" i="1"/>
  <c r="H3682" i="1"/>
  <c r="I5444" i="1"/>
  <c r="H5444" i="1"/>
  <c r="I2171" i="1"/>
  <c r="H2171" i="1"/>
  <c r="I4100" i="1"/>
  <c r="H4100" i="1"/>
  <c r="I1625" i="1"/>
  <c r="H1625" i="1"/>
  <c r="I6200" i="1"/>
  <c r="H6200" i="1"/>
  <c r="I4143" i="1"/>
  <c r="H4143" i="1"/>
  <c r="I2445" i="1"/>
  <c r="H2445" i="1"/>
  <c r="I4064" i="1"/>
  <c r="H4064" i="1"/>
  <c r="H3109" i="1"/>
  <c r="I4185" i="1"/>
  <c r="H4185" i="1"/>
  <c r="I1619" i="1"/>
  <c r="H1619" i="1"/>
  <c r="I4896" i="1"/>
  <c r="H4896" i="1"/>
  <c r="I2942" i="1"/>
  <c r="H2942" i="1"/>
  <c r="I3506" i="1"/>
  <c r="H3506" i="1"/>
  <c r="I3747" i="1"/>
  <c r="H3747" i="1"/>
  <c r="I6417" i="1"/>
  <c r="H6417" i="1"/>
  <c r="I3339" i="1"/>
  <c r="H3339" i="1"/>
  <c r="I4088" i="1"/>
  <c r="H4088" i="1"/>
  <c r="I3284" i="1"/>
  <c r="H3284" i="1"/>
  <c r="I3718" i="1"/>
  <c r="H3718" i="1"/>
  <c r="I4181" i="1"/>
  <c r="H4181" i="1"/>
  <c r="I3562" i="1"/>
  <c r="H3562" i="1"/>
  <c r="I6677" i="1"/>
  <c r="H6677" i="1"/>
  <c r="I3861" i="1"/>
  <c r="H3861" i="1"/>
  <c r="I3772" i="1"/>
  <c r="H3772" i="1"/>
  <c r="I2568" i="1"/>
  <c r="H2568" i="1"/>
  <c r="I723" i="1"/>
  <c r="H723" i="1"/>
  <c r="I4271" i="1"/>
  <c r="H4271" i="1"/>
  <c r="I4701" i="1"/>
  <c r="H4701" i="1"/>
  <c r="I3100" i="1"/>
  <c r="H3100" i="1"/>
  <c r="I5200" i="1"/>
  <c r="H5200" i="1"/>
  <c r="I1789" i="1"/>
  <c r="H1789" i="1"/>
  <c r="I4295" i="1"/>
  <c r="H4295" i="1"/>
  <c r="I3296" i="1"/>
  <c r="H3296" i="1"/>
  <c r="I2383" i="1"/>
  <c r="H2383" i="1"/>
  <c r="I3923" i="1"/>
  <c r="H3923" i="1"/>
  <c r="I3129" i="1"/>
  <c r="H3129" i="1"/>
  <c r="I4225" i="1"/>
  <c r="H4225" i="1"/>
  <c r="I3473" i="1"/>
  <c r="H3473" i="1"/>
  <c r="I4060" i="1"/>
  <c r="H4060" i="1"/>
  <c r="I4784" i="1"/>
  <c r="H4784" i="1"/>
  <c r="I5168" i="1"/>
  <c r="H5168" i="1"/>
  <c r="I4605" i="1"/>
  <c r="H4605" i="1"/>
  <c r="I5217" i="1"/>
  <c r="H5217" i="1"/>
  <c r="I5599" i="1"/>
  <c r="H5599" i="1"/>
  <c r="I3751" i="1"/>
  <c r="H3751" i="1"/>
  <c r="I3729" i="1"/>
  <c r="H3729" i="1"/>
  <c r="I834" i="1"/>
  <c r="H834" i="1"/>
  <c r="I4007" i="1"/>
  <c r="H4007" i="1"/>
  <c r="I2725" i="1"/>
  <c r="H2725" i="1"/>
  <c r="I713" i="1"/>
  <c r="H713" i="1"/>
  <c r="I3161" i="1"/>
  <c r="H3161" i="1"/>
  <c r="I5455" i="1"/>
  <c r="H5455" i="1"/>
  <c r="I4140" i="1"/>
  <c r="H4140" i="1"/>
  <c r="I2794" i="1"/>
  <c r="H2794" i="1"/>
  <c r="I3979" i="1"/>
  <c r="H3979" i="1"/>
  <c r="I2459" i="1"/>
  <c r="H2459" i="1"/>
  <c r="I5394" i="1"/>
  <c r="H5394" i="1"/>
  <c r="I3168" i="1"/>
  <c r="H3168" i="1"/>
  <c r="I6526" i="1"/>
  <c r="H6526" i="1"/>
  <c r="I1155" i="1"/>
  <c r="H1155" i="1"/>
  <c r="I682" i="1"/>
  <c r="H682" i="1"/>
  <c r="I3575" i="1"/>
  <c r="H3575" i="1"/>
  <c r="I2778" i="1"/>
  <c r="H2778" i="1"/>
  <c r="I3540" i="1"/>
  <c r="H3540" i="1"/>
  <c r="I4191" i="1"/>
  <c r="H4191" i="1"/>
  <c r="I4541" i="1"/>
  <c r="H4541" i="1"/>
  <c r="I5281" i="1"/>
  <c r="H5281" i="1"/>
  <c r="I3789" i="1"/>
  <c r="H3789" i="1"/>
  <c r="I2279" i="1"/>
  <c r="H2279" i="1"/>
  <c r="I2476" i="1"/>
  <c r="H2476" i="1"/>
  <c r="I3558" i="1"/>
  <c r="H3558" i="1"/>
  <c r="I3666" i="1"/>
  <c r="H3666" i="1"/>
  <c r="I4391" i="1"/>
  <c r="H4391" i="1"/>
  <c r="I3570" i="1"/>
  <c r="H3570" i="1"/>
  <c r="I3509" i="1"/>
  <c r="H3509" i="1"/>
  <c r="I2115" i="1"/>
  <c r="H2115" i="1"/>
  <c r="I6517" i="1"/>
  <c r="H6517" i="1"/>
  <c r="I3752" i="1"/>
  <c r="H3752" i="1"/>
  <c r="I953" i="1"/>
  <c r="H953" i="1"/>
  <c r="I3843" i="1"/>
  <c r="H3843" i="1"/>
  <c r="I676" i="1"/>
  <c r="H676" i="1"/>
  <c r="I4019" i="1"/>
  <c r="H4019" i="1"/>
  <c r="I3691" i="1"/>
  <c r="H3691" i="1"/>
  <c r="I2875" i="1"/>
  <c r="H2875" i="1"/>
  <c r="I3932" i="1"/>
  <c r="H3932" i="1"/>
  <c r="I5154" i="1"/>
  <c r="H5154" i="1"/>
  <c r="I3113" i="1"/>
  <c r="H3113" i="1"/>
  <c r="I1679" i="1"/>
  <c r="H1679" i="1"/>
  <c r="I4235" i="1"/>
  <c r="H4235" i="1"/>
  <c r="I3863" i="1"/>
  <c r="H3863" i="1"/>
  <c r="I4273" i="1"/>
  <c r="H4273" i="1"/>
  <c r="I3538" i="1"/>
  <c r="H3538" i="1"/>
  <c r="I3797" i="1"/>
  <c r="H3797" i="1"/>
  <c r="I3521" i="1"/>
  <c r="H3521" i="1"/>
  <c r="I2496" i="1"/>
  <c r="H2496" i="1"/>
  <c r="I4329" i="1"/>
  <c r="H4329" i="1"/>
  <c r="I6107" i="1"/>
  <c r="H6107" i="1"/>
  <c r="I5502" i="1"/>
  <c r="H5502" i="1"/>
  <c r="I5837" i="1"/>
  <c r="H5837" i="1"/>
  <c r="I3568" i="1"/>
  <c r="H3568" i="1"/>
  <c r="I1615" i="1"/>
  <c r="H1615" i="1"/>
  <c r="I6927" i="1"/>
  <c r="H6927" i="1"/>
  <c r="I6723" i="1"/>
  <c r="H6723" i="1"/>
  <c r="I5699" i="1"/>
  <c r="H5699" i="1"/>
  <c r="I3482" i="1"/>
  <c r="H3482" i="1"/>
  <c r="I3591" i="1"/>
  <c r="H3591" i="1"/>
  <c r="I3615" i="1"/>
  <c r="H3615" i="1"/>
  <c r="I3692" i="1"/>
  <c r="H3692" i="1"/>
  <c r="I5865" i="1"/>
  <c r="H5865" i="1"/>
  <c r="I2806" i="1"/>
  <c r="H2806" i="1"/>
  <c r="I2943" i="1"/>
  <c r="H2943" i="1"/>
  <c r="I6802" i="1"/>
  <c r="H6802" i="1"/>
  <c r="I665" i="1"/>
  <c r="H665" i="1"/>
  <c r="I6011" i="1"/>
  <c r="H6011" i="1"/>
  <c r="I628" i="1"/>
  <c r="H628" i="1"/>
  <c r="I3961" i="1"/>
  <c r="H3961" i="1"/>
  <c r="I1231" i="1"/>
  <c r="H1231" i="1"/>
  <c r="I1390" i="1"/>
  <c r="H1390" i="1"/>
  <c r="I2941" i="1"/>
  <c r="H2941" i="1"/>
  <c r="I4678" i="1"/>
  <c r="H4678" i="1"/>
  <c r="I5469" i="1"/>
  <c r="H5469" i="1"/>
  <c r="I6139" i="1"/>
  <c r="H6139" i="1"/>
  <c r="I4305" i="1"/>
  <c r="H4305" i="1"/>
  <c r="I1874" i="1"/>
  <c r="H1874" i="1"/>
  <c r="I3704" i="1"/>
  <c r="H3704" i="1"/>
  <c r="I3947" i="1"/>
  <c r="H3947" i="1"/>
  <c r="I3639" i="1"/>
  <c r="H3639" i="1"/>
  <c r="I1294" i="1"/>
  <c r="H1294" i="1"/>
  <c r="I4840" i="1"/>
  <c r="H4840" i="1"/>
  <c r="I3681" i="1"/>
  <c r="H3681" i="1"/>
  <c r="I5709" i="1"/>
  <c r="H5709" i="1"/>
  <c r="I4552" i="1"/>
  <c r="H4552" i="1"/>
  <c r="I4239" i="1"/>
  <c r="H4239" i="1"/>
  <c r="I3170" i="1"/>
  <c r="H3170" i="1"/>
  <c r="I5256" i="1"/>
  <c r="H5256" i="1"/>
  <c r="I4538" i="1"/>
  <c r="H4538" i="1"/>
  <c r="I5135" i="1"/>
  <c r="H5135" i="1"/>
  <c r="I6524" i="1"/>
  <c r="H6524" i="1"/>
  <c r="I3175" i="1"/>
  <c r="H3175" i="1"/>
  <c r="I1927" i="1"/>
  <c r="H1927" i="1"/>
  <c r="I3950" i="1"/>
  <c r="H3950" i="1"/>
  <c r="I2540" i="1"/>
  <c r="H2540" i="1"/>
  <c r="I2466" i="1"/>
  <c r="H2466" i="1"/>
  <c r="I3525" i="1"/>
  <c r="H3525" i="1"/>
  <c r="I3960" i="1"/>
  <c r="H3960" i="1"/>
  <c r="I2670" i="1"/>
  <c r="H2670" i="1"/>
  <c r="I6744" i="1"/>
  <c r="H6744" i="1"/>
  <c r="I3243" i="1"/>
  <c r="H3243" i="1"/>
  <c r="I6523" i="1"/>
  <c r="H6523" i="1"/>
  <c r="I5498" i="1"/>
  <c r="H5498" i="1"/>
  <c r="I1072" i="1"/>
  <c r="H1072" i="1"/>
  <c r="I657" i="1"/>
  <c r="H657" i="1"/>
  <c r="I3433" i="1"/>
  <c r="H3433" i="1"/>
  <c r="I924" i="1"/>
  <c r="H924" i="1"/>
  <c r="I3780" i="1"/>
  <c r="H3780" i="1"/>
  <c r="I2497" i="1"/>
  <c r="H2497" i="1"/>
  <c r="I6440" i="1"/>
  <c r="H6440" i="1"/>
  <c r="I2677" i="1"/>
  <c r="H2677" i="1"/>
  <c r="I2398" i="1"/>
  <c r="H2398" i="1"/>
  <c r="I3110" i="1"/>
  <c r="H3110" i="1"/>
  <c r="I3820" i="1"/>
  <c r="H3820" i="1"/>
  <c r="I2784" i="1"/>
  <c r="H2784" i="1"/>
  <c r="I2796" i="1"/>
  <c r="H2796" i="1"/>
  <c r="I4405" i="1"/>
  <c r="H4405" i="1"/>
  <c r="I4246" i="1"/>
  <c r="H4246" i="1"/>
  <c r="I3264" i="1"/>
  <c r="H3264" i="1"/>
  <c r="I1920" i="1"/>
  <c r="H1920" i="1"/>
  <c r="I4192" i="1"/>
  <c r="H4192" i="1"/>
  <c r="I3812" i="1"/>
  <c r="H3812" i="1"/>
  <c r="I5320" i="1"/>
  <c r="H5320" i="1"/>
  <c r="I4849" i="1"/>
  <c r="H4849" i="1"/>
  <c r="I3890" i="1"/>
  <c r="H3890" i="1"/>
  <c r="I4024" i="1"/>
  <c r="H4024" i="1"/>
  <c r="I4226" i="1"/>
  <c r="H4226" i="1"/>
  <c r="I2732" i="1"/>
  <c r="H2732" i="1"/>
  <c r="I6633" i="1"/>
  <c r="H6633" i="1"/>
  <c r="I4207" i="1"/>
  <c r="H4207" i="1"/>
  <c r="I3559" i="1"/>
  <c r="H3559" i="1"/>
  <c r="I638" i="1"/>
  <c r="H638" i="1"/>
  <c r="I4506" i="1"/>
  <c r="H4506" i="1"/>
  <c r="I5543" i="1"/>
  <c r="H5543" i="1"/>
  <c r="I3478" i="1"/>
  <c r="H3478" i="1"/>
  <c r="I2917" i="1"/>
  <c r="H2917" i="1"/>
  <c r="I5196" i="1"/>
  <c r="H5196" i="1"/>
  <c r="I2757" i="1"/>
  <c r="H2757" i="1"/>
  <c r="I3070" i="1"/>
  <c r="H3070" i="1"/>
  <c r="I6895" i="1"/>
  <c r="H6895" i="1"/>
  <c r="I3774" i="1"/>
  <c r="H3774" i="1"/>
  <c r="I3330" i="1"/>
  <c r="H3330" i="1"/>
  <c r="I4663" i="1"/>
  <c r="H4663" i="1"/>
  <c r="I3460" i="1"/>
  <c r="H3460" i="1"/>
  <c r="I4555" i="1"/>
  <c r="H4555" i="1"/>
  <c r="I3259" i="1"/>
  <c r="H3259" i="1"/>
  <c r="I3343" i="1"/>
  <c r="H3343" i="1"/>
  <c r="I1284" i="1"/>
  <c r="H1284" i="1"/>
  <c r="I4818" i="1"/>
  <c r="H4818" i="1"/>
  <c r="I2728" i="1"/>
  <c r="H2728" i="1"/>
  <c r="I1127" i="1"/>
  <c r="H1127" i="1"/>
  <c r="I3892" i="1"/>
  <c r="H3892" i="1"/>
  <c r="I6147" i="1"/>
  <c r="H6147" i="1"/>
  <c r="I6248" i="1"/>
  <c r="H6248" i="1"/>
  <c r="I6261" i="1"/>
  <c r="H6261" i="1"/>
  <c r="I3672" i="1"/>
  <c r="H3672" i="1"/>
  <c r="I4339" i="1"/>
  <c r="H4339" i="1"/>
  <c r="I3203" i="1"/>
  <c r="H3203" i="1"/>
  <c r="I3680" i="1"/>
  <c r="H3680" i="1"/>
  <c r="I3684" i="1"/>
  <c r="H3684" i="1"/>
  <c r="I4351" i="1"/>
  <c r="H4351" i="1"/>
  <c r="I3541" i="1"/>
  <c r="H3541" i="1"/>
  <c r="I2193" i="1"/>
  <c r="H2193" i="1"/>
  <c r="I2896" i="1"/>
  <c r="H2896" i="1"/>
  <c r="I5172" i="1"/>
  <c r="H5172" i="1"/>
  <c r="I3439" i="1"/>
  <c r="H3439" i="1"/>
  <c r="I3810" i="1"/>
  <c r="H3810" i="1"/>
  <c r="I748" i="1"/>
  <c r="H748" i="1"/>
  <c r="I3302" i="1"/>
  <c r="H3302" i="1"/>
  <c r="I3329" i="1"/>
  <c r="H3329" i="1"/>
  <c r="I5531" i="1"/>
  <c r="H5531" i="1"/>
  <c r="I4933" i="1"/>
  <c r="H4933" i="1"/>
  <c r="I4189" i="1"/>
  <c r="H4189" i="1"/>
  <c r="I4033" i="1"/>
  <c r="H4033" i="1"/>
  <c r="I448" i="1"/>
  <c r="H448" i="1"/>
  <c r="I3732" i="1"/>
  <c r="H3732" i="1"/>
  <c r="I3441" i="1"/>
  <c r="H3441" i="1"/>
  <c r="I3354" i="1"/>
  <c r="H3354" i="1"/>
  <c r="I2802" i="1"/>
  <c r="H2802" i="1"/>
  <c r="I2629" i="1"/>
  <c r="H2629" i="1"/>
  <c r="I3107" i="1"/>
  <c r="H3107" i="1"/>
  <c r="I3853" i="1"/>
  <c r="H3853" i="1"/>
  <c r="I2899" i="1"/>
  <c r="H2899" i="1"/>
  <c r="I1028" i="1"/>
  <c r="H1028" i="1"/>
  <c r="I6309" i="1"/>
  <c r="H6309" i="1"/>
  <c r="I4505" i="1"/>
  <c r="H4505" i="1"/>
  <c r="I3655" i="1"/>
  <c r="H3655" i="1"/>
  <c r="I5297" i="1"/>
  <c r="H5297" i="1"/>
  <c r="I2876" i="1"/>
  <c r="H2876" i="1"/>
  <c r="I4665" i="1"/>
  <c r="H4665" i="1"/>
  <c r="I2878" i="1"/>
  <c r="H2878" i="1"/>
  <c r="I5240" i="1"/>
  <c r="H5240" i="1"/>
  <c r="I1750" i="1"/>
  <c r="H1750" i="1"/>
  <c r="I5653" i="1"/>
  <c r="H5653" i="1"/>
  <c r="I4523" i="1"/>
  <c r="H4523" i="1"/>
  <c r="I2286" i="1"/>
  <c r="H2286" i="1"/>
  <c r="I3338" i="1"/>
  <c r="H3338" i="1"/>
  <c r="I4061" i="1"/>
  <c r="H4061" i="1"/>
  <c r="I3448" i="1"/>
  <c r="H3448" i="1"/>
  <c r="I5367" i="1"/>
  <c r="H5367" i="1"/>
  <c r="I775" i="1"/>
  <c r="H775" i="1"/>
  <c r="I3484" i="1"/>
  <c r="H3484" i="1"/>
  <c r="I1818" i="1"/>
  <c r="H1818" i="1"/>
  <c r="I545" i="1"/>
  <c r="H545" i="1"/>
  <c r="I4308" i="1"/>
  <c r="H4308" i="1"/>
  <c r="I3719" i="1"/>
  <c r="H3719" i="1"/>
  <c r="I3779" i="1"/>
  <c r="H3779" i="1"/>
  <c r="I1309" i="1"/>
  <c r="H1309" i="1"/>
  <c r="I1077" i="1"/>
  <c r="H1077" i="1"/>
  <c r="I2455" i="1"/>
  <c r="H2455" i="1"/>
  <c r="I943" i="1"/>
  <c r="H943" i="1"/>
  <c r="I3347" i="1"/>
  <c r="H3347" i="1"/>
  <c r="I4884" i="1"/>
  <c r="H4884" i="1"/>
  <c r="I4710" i="1"/>
  <c r="H4710" i="1"/>
  <c r="I3126" i="1"/>
  <c r="H3126" i="1"/>
  <c r="I3945" i="1"/>
  <c r="H3945" i="1"/>
  <c r="I5306" i="1"/>
  <c r="H5306" i="1"/>
  <c r="I6475" i="1"/>
  <c r="H6475" i="1"/>
  <c r="I5776" i="1"/>
  <c r="H5776" i="1"/>
  <c r="I3164" i="1"/>
  <c r="H3164" i="1"/>
  <c r="I2982" i="1"/>
  <c r="H2982" i="1"/>
  <c r="I524" i="1"/>
  <c r="H524" i="1"/>
  <c r="I3835" i="1"/>
  <c r="H3835" i="1"/>
  <c r="I3480" i="1"/>
  <c r="H3480" i="1"/>
  <c r="I6918" i="1"/>
  <c r="H6918" i="1"/>
  <c r="I1862" i="1"/>
  <c r="H1862" i="1"/>
  <c r="I1896" i="1"/>
  <c r="H1896" i="1"/>
  <c r="I4926" i="1"/>
  <c r="H4926" i="1"/>
  <c r="I3592" i="1"/>
  <c r="H3592" i="1"/>
  <c r="I3395" i="1"/>
  <c r="H3395" i="1"/>
  <c r="I5743" i="1"/>
  <c r="H5743" i="1"/>
  <c r="I4922" i="1"/>
  <c r="H4922" i="1"/>
  <c r="I538" i="1"/>
  <c r="H538" i="1"/>
  <c r="I4326" i="1"/>
  <c r="H4326" i="1"/>
  <c r="I4084" i="1"/>
  <c r="H4084" i="1"/>
  <c r="I6441" i="1"/>
  <c r="H6441" i="1"/>
  <c r="I2860" i="1"/>
  <c r="H2860" i="1"/>
  <c r="I3366" i="1"/>
  <c r="H3366" i="1"/>
  <c r="I2822" i="1"/>
  <c r="H2822" i="1"/>
  <c r="I3148" i="1"/>
  <c r="H3148" i="1"/>
  <c r="I6267" i="1"/>
  <c r="H6267" i="1"/>
  <c r="I4312" i="1"/>
  <c r="H4312" i="1"/>
  <c r="I6164" i="1"/>
  <c r="H6164" i="1"/>
  <c r="I2215" i="1"/>
  <c r="H2215" i="1"/>
  <c r="I4005" i="1"/>
  <c r="H4005" i="1"/>
  <c r="I1067" i="1"/>
  <c r="H1067" i="1"/>
  <c r="I3793" i="1"/>
  <c r="H3793" i="1"/>
  <c r="I5347" i="1"/>
  <c r="H5347" i="1"/>
  <c r="I6593" i="1"/>
  <c r="H6593" i="1"/>
  <c r="I4213" i="1"/>
  <c r="H4213" i="1"/>
  <c r="I3632" i="1"/>
  <c r="H3632" i="1"/>
  <c r="I3131" i="1"/>
  <c r="H3131" i="1"/>
  <c r="I2502" i="1"/>
  <c r="H2502" i="1"/>
  <c r="I2869" i="1"/>
  <c r="H2869" i="1"/>
  <c r="I5291" i="1"/>
  <c r="H5291" i="1"/>
  <c r="I4352" i="1"/>
  <c r="H4352" i="1"/>
  <c r="I4328" i="1"/>
  <c r="H4328" i="1"/>
  <c r="I428" i="1"/>
  <c r="H428" i="1"/>
  <c r="I4571" i="1"/>
  <c r="H4571" i="1"/>
  <c r="I1845" i="1"/>
  <c r="H1845" i="1"/>
  <c r="I4073" i="1"/>
  <c r="H4073" i="1"/>
  <c r="I3598" i="1"/>
  <c r="H3598" i="1"/>
  <c r="I3222" i="1"/>
  <c r="H3222" i="1"/>
  <c r="I4227" i="1"/>
  <c r="H4227" i="1"/>
  <c r="I2960" i="1"/>
  <c r="H2960" i="1"/>
  <c r="I1808" i="1"/>
  <c r="H1808" i="1"/>
  <c r="I1262" i="1"/>
  <c r="H1262" i="1"/>
  <c r="I542" i="1"/>
  <c r="H542" i="1"/>
  <c r="I3325" i="1"/>
  <c r="H3325" i="1"/>
  <c r="I1668" i="1"/>
  <c r="H1668" i="1"/>
  <c r="I4082" i="1"/>
  <c r="H4082" i="1"/>
  <c r="I2397" i="1"/>
  <c r="H2397" i="1"/>
  <c r="I6416" i="1"/>
  <c r="H6416" i="1"/>
  <c r="I2660" i="1"/>
  <c r="H2660" i="1"/>
  <c r="I6715" i="1"/>
  <c r="H6715" i="1"/>
  <c r="I3552" i="1"/>
  <c r="H3552" i="1"/>
  <c r="I1176" i="1"/>
  <c r="H1176" i="1"/>
  <c r="I3312" i="1"/>
  <c r="H3312" i="1"/>
  <c r="I2870" i="1"/>
  <c r="H2870" i="1"/>
  <c r="I3098" i="1"/>
  <c r="H3098" i="1"/>
  <c r="I6418" i="1"/>
  <c r="H6418" i="1"/>
  <c r="I3444" i="1"/>
  <c r="H3444" i="1"/>
  <c r="I3709" i="1"/>
  <c r="H3709" i="1"/>
  <c r="I1201" i="1"/>
  <c r="H1201" i="1"/>
  <c r="I3326" i="1"/>
  <c r="H3326" i="1"/>
  <c r="I4712" i="1"/>
  <c r="H4712" i="1"/>
  <c r="I574" i="1"/>
  <c r="H574" i="1"/>
  <c r="I916" i="1"/>
  <c r="H916" i="1"/>
  <c r="I3844" i="1"/>
  <c r="H3844" i="1"/>
  <c r="I3394" i="1"/>
  <c r="H3394" i="1"/>
  <c r="I850" i="1"/>
  <c r="H850" i="1"/>
  <c r="I2112" i="1"/>
  <c r="H2112" i="1"/>
  <c r="I5237" i="1"/>
  <c r="H5237" i="1"/>
  <c r="I1749" i="1"/>
  <c r="H1749" i="1"/>
  <c r="I3195" i="1"/>
  <c r="H3195" i="1"/>
  <c r="I6444" i="1"/>
  <c r="H6444" i="1"/>
  <c r="I3924" i="1"/>
  <c r="H3924" i="1"/>
  <c r="I4186" i="1"/>
  <c r="H4186" i="1"/>
  <c r="I4751" i="1"/>
  <c r="H4751" i="1"/>
  <c r="I579" i="1"/>
  <c r="H579" i="1"/>
  <c r="I851" i="1"/>
  <c r="H851" i="1"/>
  <c r="I1881" i="1"/>
  <c r="H1881" i="1"/>
  <c r="I3767" i="1"/>
  <c r="H3767" i="1"/>
  <c r="I3730" i="1"/>
  <c r="H3730" i="1"/>
  <c r="I3149" i="1"/>
  <c r="H3149" i="1"/>
  <c r="I2470" i="1"/>
  <c r="H2470" i="1"/>
  <c r="I507" i="1"/>
  <c r="H507" i="1"/>
  <c r="I5612" i="1"/>
  <c r="H5612" i="1"/>
  <c r="I5313" i="1"/>
  <c r="H5313" i="1"/>
  <c r="I4106" i="1"/>
  <c r="H4106" i="1"/>
  <c r="I6588" i="1"/>
  <c r="H6588" i="1"/>
  <c r="I3914" i="1"/>
  <c r="H3914" i="1"/>
  <c r="I4041" i="1"/>
  <c r="H4041" i="1"/>
  <c r="I4037" i="1"/>
  <c r="H4037" i="1"/>
  <c r="I3994" i="1"/>
  <c r="H3994" i="1"/>
  <c r="I5081" i="1"/>
  <c r="H5081" i="1"/>
  <c r="I4056" i="1"/>
  <c r="H4056" i="1"/>
  <c r="I3496" i="1"/>
  <c r="H3496" i="1"/>
  <c r="I1480" i="1"/>
  <c r="H1480" i="1"/>
  <c r="I3454" i="1"/>
  <c r="H3454" i="1"/>
  <c r="I4372" i="1"/>
  <c r="H4372" i="1"/>
  <c r="I4013" i="1"/>
  <c r="H4013" i="1"/>
  <c r="I3199" i="1"/>
  <c r="H3199" i="1"/>
  <c r="I6111" i="1"/>
  <c r="H6111" i="1"/>
  <c r="I3166" i="1"/>
  <c r="H3166" i="1"/>
  <c r="I3996" i="1"/>
  <c r="H3996" i="1"/>
  <c r="I5503" i="1"/>
  <c r="H5503" i="1"/>
  <c r="I2126" i="1"/>
  <c r="H2126" i="1"/>
  <c r="I6707" i="1"/>
  <c r="H6707" i="1"/>
  <c r="I4051" i="1"/>
  <c r="H4051" i="1"/>
  <c r="I6805" i="1"/>
  <c r="H6805" i="1"/>
  <c r="I970" i="1"/>
  <c r="H970" i="1"/>
  <c r="I6231" i="1"/>
  <c r="H6231" i="1"/>
  <c r="I3984" i="1"/>
  <c r="H3984" i="1"/>
  <c r="I5026" i="1"/>
  <c r="H5026" i="1"/>
  <c r="I5964" i="1"/>
  <c r="H5964" i="1"/>
  <c r="I3919" i="1"/>
  <c r="H3919" i="1"/>
  <c r="I4053" i="1"/>
  <c r="H4053" i="1"/>
  <c r="I3850" i="1"/>
  <c r="H3850" i="1"/>
  <c r="I3485" i="1"/>
  <c r="H3485" i="1"/>
  <c r="I6625" i="1"/>
  <c r="H6625" i="1"/>
  <c r="I3376" i="1"/>
  <c r="H3376" i="1"/>
  <c r="I3852" i="1"/>
  <c r="H3852" i="1"/>
  <c r="I2515" i="1"/>
  <c r="H2515" i="1"/>
  <c r="I4792" i="1"/>
  <c r="H4792" i="1"/>
  <c r="I6460" i="1"/>
  <c r="H6460" i="1"/>
  <c r="I3661" i="1"/>
  <c r="H3661" i="1"/>
  <c r="I4486" i="1"/>
  <c r="H4486" i="1"/>
  <c r="I4688" i="1"/>
  <c r="H4688" i="1"/>
  <c r="I2859" i="1"/>
  <c r="H2859" i="1"/>
  <c r="I1892" i="1"/>
  <c r="H1892" i="1"/>
  <c r="I727" i="1"/>
  <c r="H727" i="1"/>
  <c r="I4145" i="1"/>
  <c r="H4145" i="1"/>
  <c r="I5102" i="1"/>
  <c r="H5102" i="1"/>
  <c r="I1148" i="1"/>
  <c r="H1148" i="1"/>
  <c r="I3648" i="1"/>
  <c r="H3648" i="1"/>
  <c r="I2131" i="1"/>
  <c r="H2131" i="1"/>
  <c r="I6409" i="1"/>
  <c r="H6409" i="1"/>
  <c r="I5663" i="1"/>
  <c r="H5663" i="1"/>
  <c r="I710" i="1"/>
  <c r="H710" i="1"/>
  <c r="I4923" i="1"/>
  <c r="H4923" i="1"/>
  <c r="I2709" i="1"/>
  <c r="H2709" i="1"/>
  <c r="I3867" i="1"/>
  <c r="H3867" i="1"/>
  <c r="I3255" i="1"/>
  <c r="H3255" i="1"/>
  <c r="I5339" i="1"/>
  <c r="H5339" i="1"/>
  <c r="I2313" i="1"/>
  <c r="H2313" i="1"/>
  <c r="I2237" i="1"/>
  <c r="H2237" i="1"/>
  <c r="I4090" i="1"/>
  <c r="H4090" i="1"/>
  <c r="I6795" i="1"/>
  <c r="H6795" i="1"/>
  <c r="I2553" i="1"/>
  <c r="H2553" i="1"/>
  <c r="I1190" i="1"/>
  <c r="H1190" i="1"/>
  <c r="I667" i="1"/>
  <c r="H667" i="1"/>
  <c r="I1967" i="1"/>
  <c r="H1967" i="1"/>
  <c r="I975" i="1"/>
  <c r="H975" i="1"/>
  <c r="I4958" i="1"/>
  <c r="H4958" i="1"/>
  <c r="I862" i="1"/>
  <c r="H862" i="1"/>
  <c r="I1092" i="1"/>
  <c r="H1092" i="1"/>
  <c r="I3868" i="1"/>
  <c r="H3868" i="1"/>
  <c r="I4015" i="1"/>
  <c r="H4015" i="1"/>
  <c r="I3138" i="1"/>
  <c r="H3138" i="1"/>
  <c r="I6636" i="1"/>
  <c r="H6636" i="1"/>
  <c r="I6485" i="1"/>
  <c r="H6485" i="1"/>
  <c r="I3597" i="1"/>
  <c r="H3597" i="1"/>
  <c r="I3710" i="1"/>
  <c r="H3710" i="1"/>
  <c r="I4001" i="1"/>
  <c r="H4001" i="1"/>
  <c r="I4632" i="1"/>
  <c r="H4632" i="1"/>
  <c r="I4069" i="1"/>
  <c r="H4069" i="1"/>
  <c r="I5153" i="1"/>
  <c r="H5153" i="1"/>
  <c r="I2588" i="1"/>
  <c r="H2588" i="1"/>
  <c r="I5539" i="1"/>
  <c r="H5539" i="1"/>
  <c r="I2915" i="1"/>
  <c r="H2915" i="1"/>
  <c r="I3396" i="1"/>
  <c r="H3396" i="1"/>
  <c r="I841" i="1"/>
  <c r="H841" i="1"/>
  <c r="I3705" i="1"/>
  <c r="H3705" i="1"/>
  <c r="I3094" i="1"/>
  <c r="H3094" i="1"/>
  <c r="I4683" i="1"/>
  <c r="H4683" i="1"/>
  <c r="I3099" i="1"/>
  <c r="H3099" i="1"/>
  <c r="I4361" i="1"/>
  <c r="H4361" i="1"/>
  <c r="I1340" i="1"/>
  <c r="H1340" i="1"/>
  <c r="I2809" i="1"/>
  <c r="H2809" i="1"/>
  <c r="I2742" i="1"/>
  <c r="H2742" i="1"/>
  <c r="I3530" i="1"/>
  <c r="H3530" i="1"/>
  <c r="I3121" i="1"/>
  <c r="H3121" i="1"/>
  <c r="I4938" i="1"/>
  <c r="H4938" i="1"/>
  <c r="I3182" i="1"/>
  <c r="H3182" i="1"/>
  <c r="I3443" i="1"/>
  <c r="H3443" i="1"/>
  <c r="I3881" i="1"/>
  <c r="H3881" i="1"/>
  <c r="I6204" i="1"/>
  <c r="H6204" i="1"/>
  <c r="I2230" i="1"/>
  <c r="H2230" i="1"/>
  <c r="I3800" i="1"/>
  <c r="H3800" i="1"/>
  <c r="I5053" i="1"/>
  <c r="H5053" i="1"/>
  <c r="I4904" i="1"/>
  <c r="H4904" i="1"/>
  <c r="I4441" i="1"/>
  <c r="H4441" i="1"/>
  <c r="I2931" i="1"/>
  <c r="H2931" i="1"/>
  <c r="I1279" i="1"/>
  <c r="H1279" i="1"/>
  <c r="I3741" i="1"/>
  <c r="H3741" i="1"/>
  <c r="I3159" i="1"/>
  <c r="H3159" i="1"/>
  <c r="I514" i="1"/>
  <c r="H514" i="1"/>
  <c r="I4340" i="1"/>
  <c r="H4340" i="1"/>
  <c r="I3408" i="1"/>
  <c r="H3408" i="1"/>
  <c r="I547" i="1"/>
  <c r="H547" i="1"/>
  <c r="I6173" i="1"/>
  <c r="H6173" i="1"/>
  <c r="I3982" i="1"/>
  <c r="H3982" i="1"/>
  <c r="I3090" i="1"/>
  <c r="H3090" i="1"/>
  <c r="I6274" i="1"/>
  <c r="H6274" i="1"/>
  <c r="I3755" i="1"/>
  <c r="H3755" i="1"/>
  <c r="I2877" i="1"/>
  <c r="H2877" i="1"/>
  <c r="I3144" i="1"/>
  <c r="H3144" i="1"/>
  <c r="I3156" i="1"/>
  <c r="H3156" i="1"/>
  <c r="I693" i="1"/>
  <c r="H693" i="1"/>
  <c r="I4345" i="1"/>
  <c r="H4345" i="1"/>
  <c r="I2852" i="1"/>
  <c r="H2852" i="1"/>
  <c r="I2526" i="1"/>
  <c r="H2526" i="1"/>
  <c r="I2845" i="1"/>
  <c r="H2845" i="1"/>
  <c r="I4869" i="1"/>
  <c r="H4869" i="1"/>
  <c r="I4092" i="1"/>
  <c r="H4092" i="1"/>
  <c r="I3879" i="1"/>
  <c r="H3879" i="1"/>
  <c r="I1102" i="1"/>
  <c r="H1102" i="1"/>
  <c r="I4055" i="1"/>
  <c r="H4055" i="1"/>
  <c r="I4197" i="1"/>
  <c r="H4197" i="1"/>
  <c r="I2900" i="1"/>
  <c r="H2900" i="1"/>
  <c r="I3854" i="1"/>
  <c r="H3854" i="1"/>
  <c r="I3695" i="1"/>
  <c r="H3695" i="1"/>
  <c r="I3954" i="1"/>
  <c r="H3954" i="1"/>
  <c r="I1303" i="1"/>
  <c r="H1303" i="1"/>
  <c r="I2220" i="1"/>
  <c r="H2220" i="1"/>
  <c r="I2266" i="1"/>
  <c r="H2266" i="1"/>
  <c r="I4194" i="1"/>
  <c r="H4194" i="1"/>
  <c r="I5732" i="1"/>
  <c r="H5732" i="1"/>
  <c r="I3720" i="1"/>
  <c r="H3720" i="1"/>
  <c r="I6793" i="1"/>
  <c r="H6793" i="1"/>
  <c r="I5359" i="1"/>
  <c r="H5359" i="1"/>
  <c r="I2294" i="1"/>
  <c r="H2294" i="1"/>
  <c r="I2374" i="1"/>
  <c r="H2374" i="1"/>
  <c r="I4501" i="1"/>
  <c r="H4501" i="1"/>
  <c r="I3103" i="1"/>
  <c r="H3103" i="1"/>
  <c r="I2582" i="1"/>
  <c r="H2582" i="1"/>
  <c r="I3547" i="1"/>
  <c r="H3547" i="1"/>
  <c r="I1944" i="1"/>
  <c r="H1944" i="1"/>
  <c r="I5601" i="1"/>
  <c r="H5601" i="1"/>
  <c r="I6622" i="1"/>
  <c r="H6622" i="1"/>
  <c r="I3899" i="1"/>
  <c r="H3899" i="1"/>
  <c r="I4615" i="1"/>
  <c r="H4615" i="1"/>
  <c r="I4136" i="1"/>
  <c r="H4136" i="1"/>
  <c r="I5839" i="1"/>
  <c r="H5839" i="1"/>
  <c r="I861" i="1"/>
  <c r="H861" i="1"/>
  <c r="I3542" i="1"/>
  <c r="H3542" i="1"/>
  <c r="I3349" i="1"/>
  <c r="H3349" i="1"/>
  <c r="I3488" i="1"/>
  <c r="H3488" i="1"/>
  <c r="I3447" i="1"/>
  <c r="H3447" i="1"/>
  <c r="I6421" i="1"/>
  <c r="H6421" i="1"/>
  <c r="I453" i="1"/>
  <c r="H453" i="1"/>
  <c r="I2034" i="1"/>
  <c r="H2034" i="1"/>
  <c r="I4469" i="1"/>
  <c r="H4469" i="1"/>
  <c r="I2881" i="1"/>
  <c r="H2881" i="1"/>
  <c r="I3529" i="1"/>
  <c r="H3529" i="1"/>
  <c r="I1345" i="1"/>
  <c r="H1345" i="1"/>
  <c r="I3731" i="1"/>
  <c r="H3731" i="1"/>
  <c r="I4730" i="1"/>
  <c r="H4730" i="1"/>
  <c r="I2865" i="1"/>
  <c r="H2865" i="1"/>
  <c r="I7002" i="1"/>
  <c r="H7002" i="1"/>
  <c r="I3886" i="1"/>
  <c r="H3886" i="1"/>
  <c r="I3287" i="1"/>
  <c r="H3287" i="1"/>
  <c r="I3227" i="1"/>
  <c r="H3227" i="1"/>
  <c r="I5799" i="1"/>
  <c r="H5799" i="1"/>
  <c r="I944" i="1"/>
  <c r="H944" i="1"/>
  <c r="I3738" i="1"/>
  <c r="H3738" i="1"/>
  <c r="I749" i="1"/>
  <c r="H749" i="1"/>
  <c r="I3845" i="1"/>
  <c r="H3845" i="1"/>
  <c r="I2856" i="1"/>
  <c r="H2856" i="1"/>
  <c r="I708" i="1"/>
  <c r="H708" i="1"/>
  <c r="I1185" i="1"/>
  <c r="H1185" i="1"/>
  <c r="I6761" i="1"/>
  <c r="H6761" i="1"/>
  <c r="I3457" i="1"/>
  <c r="H3457" i="1"/>
  <c r="I2322" i="1"/>
  <c r="H2322" i="1"/>
  <c r="I4284" i="1"/>
  <c r="H4284" i="1"/>
  <c r="I4338" i="1"/>
  <c r="H4338" i="1"/>
  <c r="I6980" i="1"/>
  <c r="H6980" i="1"/>
  <c r="I2836" i="1"/>
  <c r="H2836" i="1"/>
  <c r="I4252" i="1"/>
  <c r="H4252" i="1"/>
  <c r="I2024" i="1"/>
  <c r="H2024" i="1"/>
  <c r="I2366" i="1"/>
  <c r="H2366" i="1"/>
  <c r="I2946" i="1"/>
  <c r="H2946" i="1"/>
  <c r="I3490" i="1"/>
  <c r="H3490" i="1"/>
  <c r="I5000" i="1"/>
  <c r="H5000" i="1"/>
  <c r="I3759" i="1"/>
  <c r="H3759" i="1"/>
  <c r="I5941" i="1"/>
  <c r="H5941" i="1"/>
  <c r="I308" i="1"/>
  <c r="H308" i="1"/>
  <c r="I4009" i="1"/>
  <c r="H4009" i="1"/>
  <c r="I503" i="1"/>
  <c r="H503" i="1"/>
  <c r="I3944" i="1"/>
  <c r="H3944" i="1"/>
  <c r="I1376" i="1"/>
  <c r="H1376" i="1"/>
  <c r="I2176" i="1"/>
  <c r="H2176" i="1"/>
  <c r="I4418" i="1"/>
  <c r="H4418" i="1"/>
  <c r="I3636" i="1"/>
  <c r="H3636" i="1"/>
  <c r="I1287" i="1"/>
  <c r="H1287" i="1"/>
  <c r="I4038" i="1"/>
  <c r="H4038" i="1"/>
  <c r="I1627" i="1"/>
  <c r="H1627" i="1"/>
  <c r="I6565" i="1"/>
  <c r="H6565" i="1"/>
  <c r="I4484" i="1"/>
  <c r="H4484" i="1"/>
  <c r="I2649" i="1"/>
  <c r="H2649" i="1"/>
  <c r="I3412" i="1"/>
  <c r="H3412" i="1"/>
  <c r="I4095" i="1"/>
  <c r="H4095" i="1"/>
  <c r="I3216" i="1"/>
  <c r="H3216" i="1"/>
  <c r="I6656" i="1"/>
  <c r="H6656" i="1"/>
  <c r="I2108" i="1"/>
  <c r="H2108" i="1"/>
  <c r="I3008" i="1"/>
  <c r="H3008" i="1"/>
  <c r="I2551" i="1"/>
  <c r="H2551" i="1"/>
  <c r="I5122" i="1"/>
  <c r="H5122" i="1"/>
  <c r="I3324" i="1"/>
  <c r="H3324" i="1"/>
  <c r="I3674" i="1"/>
  <c r="H3674" i="1"/>
  <c r="I5013" i="1"/>
  <c r="H5013" i="1"/>
  <c r="I1158" i="1"/>
  <c r="H1158" i="1"/>
  <c r="I1411" i="1"/>
  <c r="H1411" i="1"/>
  <c r="I3361" i="1"/>
  <c r="H3361" i="1"/>
  <c r="I4596" i="1"/>
  <c r="H4596" i="1"/>
  <c r="I3377" i="1"/>
  <c r="H3377" i="1"/>
  <c r="I2993" i="1"/>
  <c r="H2993" i="1"/>
  <c r="I3891" i="1"/>
  <c r="H3891" i="1"/>
  <c r="I2814" i="1"/>
  <c r="H2814" i="1"/>
  <c r="I5275" i="1"/>
  <c r="H5275" i="1"/>
  <c r="I6721" i="1"/>
  <c r="H6721" i="1"/>
  <c r="I3951" i="1"/>
  <c r="H3951" i="1"/>
  <c r="I1980" i="1"/>
  <c r="H1980" i="1"/>
  <c r="I544" i="1"/>
  <c r="H544" i="1"/>
  <c r="I3470" i="1"/>
  <c r="H3470" i="1"/>
  <c r="I4770" i="1"/>
  <c r="H4770" i="1"/>
  <c r="I2623" i="1"/>
  <c r="H2623" i="1"/>
  <c r="I3128" i="1"/>
  <c r="H3128" i="1"/>
  <c r="I4156" i="1"/>
  <c r="H4156" i="1"/>
  <c r="I3760" i="1"/>
  <c r="H3760" i="1"/>
  <c r="I4534" i="1"/>
  <c r="H4534" i="1"/>
  <c r="I6258" i="1"/>
  <c r="H6258" i="1"/>
  <c r="I3819" i="1"/>
  <c r="H3819" i="1"/>
  <c r="I4367" i="1"/>
  <c r="H4367" i="1"/>
  <c r="I3389" i="1"/>
  <c r="H3389" i="1"/>
  <c r="I3214" i="1"/>
  <c r="H3214" i="1"/>
  <c r="I1177" i="1"/>
  <c r="H1177" i="1"/>
  <c r="I958" i="1"/>
  <c r="H958" i="1"/>
  <c r="I4132" i="1"/>
  <c r="H4132" i="1"/>
  <c r="I4557" i="1"/>
  <c r="H4557" i="1"/>
  <c r="I6368" i="1"/>
  <c r="H6368" i="1"/>
  <c r="I1698" i="1"/>
  <c r="H1698" i="1"/>
  <c r="I1497" i="1"/>
  <c r="H1497" i="1"/>
  <c r="I5474" i="1"/>
  <c r="H5474" i="1"/>
  <c r="I4586" i="1"/>
  <c r="H4586" i="1"/>
  <c r="I3101" i="1"/>
  <c r="H3101" i="1"/>
  <c r="I6009" i="1"/>
  <c r="H6009" i="1"/>
  <c r="I4166" i="1"/>
  <c r="H4166" i="1"/>
  <c r="I285" i="1"/>
  <c r="H285" i="1"/>
  <c r="I3252" i="1"/>
  <c r="H3252" i="1"/>
  <c r="I5541" i="1"/>
  <c r="H5541" i="1"/>
  <c r="I731" i="1"/>
  <c r="H731" i="1"/>
  <c r="I2535" i="1"/>
  <c r="H2535" i="1"/>
  <c r="I346" i="1"/>
  <c r="H346" i="1"/>
  <c r="I3576" i="1"/>
  <c r="H3576" i="1"/>
  <c r="I769" i="1"/>
  <c r="H769" i="1"/>
  <c r="I3898" i="1"/>
  <c r="H3898" i="1"/>
  <c r="I5953" i="1"/>
  <c r="H5953" i="1"/>
  <c r="I3231" i="1"/>
  <c r="H3231" i="1"/>
  <c r="I1978" i="1"/>
  <c r="H1978" i="1"/>
  <c r="I3578" i="1"/>
  <c r="H3578" i="1"/>
  <c r="I3983" i="1"/>
  <c r="H3983" i="1"/>
  <c r="I6604" i="1"/>
  <c r="H6604" i="1"/>
  <c r="I4963" i="1"/>
  <c r="H4963" i="1"/>
  <c r="I3320" i="1"/>
  <c r="H3320" i="1"/>
  <c r="I2699" i="1"/>
  <c r="H2699" i="1"/>
  <c r="I3633" i="1"/>
  <c r="H3633" i="1"/>
  <c r="I2743" i="1"/>
  <c r="H2743" i="1"/>
  <c r="I3383" i="1"/>
  <c r="H3383" i="1"/>
  <c r="I822" i="1"/>
  <c r="H822" i="1"/>
  <c r="I3712" i="1"/>
  <c r="H3712" i="1"/>
  <c r="I5648" i="1"/>
  <c r="H5648" i="1"/>
  <c r="I1730" i="1"/>
  <c r="H1730" i="1"/>
  <c r="I2208" i="1"/>
  <c r="H2208" i="1"/>
  <c r="I2901" i="1"/>
  <c r="H2901" i="1"/>
  <c r="I1385" i="1"/>
  <c r="H1385" i="1"/>
  <c r="I4426" i="1"/>
  <c r="H4426" i="1"/>
  <c r="I3213" i="1"/>
  <c r="H3213" i="1"/>
  <c r="I3024" i="1"/>
  <c r="H3024" i="1"/>
  <c r="I6981" i="1"/>
  <c r="H6981" i="1"/>
  <c r="I1363" i="1"/>
  <c r="H1363" i="1"/>
  <c r="I3142" i="1"/>
  <c r="H3142" i="1"/>
  <c r="I6928" i="1"/>
  <c r="H6928" i="1"/>
  <c r="I3202" i="1"/>
  <c r="H3202" i="1"/>
  <c r="I4022" i="1"/>
  <c r="H4022" i="1"/>
  <c r="I4298" i="1"/>
  <c r="H4298" i="1"/>
  <c r="I5542" i="1"/>
  <c r="H5542" i="1"/>
  <c r="I6098" i="1"/>
  <c r="H6098" i="1"/>
  <c r="I2480" i="1"/>
  <c r="H2480" i="1"/>
  <c r="I3875" i="1"/>
  <c r="H3875" i="1"/>
  <c r="I2019" i="1"/>
  <c r="H2019" i="1"/>
  <c r="I6914" i="1"/>
  <c r="H6914" i="1"/>
  <c r="I2429" i="1"/>
  <c r="H2429" i="1"/>
  <c r="I4377" i="1"/>
  <c r="H4377" i="1"/>
  <c r="I6878" i="1"/>
  <c r="H6878" i="1"/>
  <c r="I821" i="1"/>
  <c r="H821" i="1"/>
  <c r="I2801" i="1"/>
  <c r="H2801" i="1"/>
  <c r="I3210" i="1"/>
  <c r="H3210" i="1"/>
  <c r="I3874" i="1"/>
  <c r="H3874" i="1"/>
  <c r="I4171" i="1"/>
  <c r="H4171" i="1"/>
  <c r="I2564" i="1"/>
  <c r="H2564" i="1"/>
  <c r="I3304" i="1"/>
  <c r="H3304" i="1"/>
  <c r="I6719" i="1"/>
  <c r="H6719" i="1"/>
  <c r="I6667" i="1"/>
  <c r="H6667" i="1"/>
  <c r="I3399" i="1"/>
  <c r="H3399" i="1"/>
  <c r="I1834" i="1"/>
  <c r="H1834" i="1"/>
  <c r="I3876" i="1"/>
  <c r="H3876" i="1"/>
  <c r="I4114" i="1"/>
  <c r="H4114" i="1"/>
  <c r="I3047" i="1"/>
  <c r="H3047" i="1"/>
  <c r="I5185" i="1"/>
  <c r="H5185" i="1"/>
  <c r="I956" i="1"/>
  <c r="H956" i="1"/>
  <c r="I3595" i="1"/>
  <c r="H3595" i="1"/>
  <c r="I655" i="1"/>
  <c r="H655" i="1"/>
  <c r="I5259" i="1"/>
  <c r="H5259" i="1"/>
  <c r="I2722" i="1"/>
  <c r="H2722" i="1"/>
  <c r="I4556" i="1"/>
  <c r="H4556" i="1"/>
  <c r="I3305" i="1"/>
  <c r="H3305" i="1"/>
  <c r="I4170" i="1"/>
  <c r="H4170" i="1"/>
  <c r="I2583" i="1"/>
  <c r="H2583" i="1"/>
  <c r="I3687" i="1"/>
  <c r="H3687" i="1"/>
  <c r="I563" i="1"/>
  <c r="H563" i="1"/>
  <c r="I1810" i="1"/>
  <c r="H1810" i="1"/>
  <c r="I3613" i="1"/>
  <c r="H3613" i="1"/>
  <c r="I2944" i="1"/>
  <c r="H2944" i="1"/>
  <c r="I3548" i="1"/>
  <c r="H3548" i="1"/>
  <c r="I5136" i="1"/>
  <c r="H5136" i="1"/>
  <c r="I5206" i="1"/>
  <c r="H5206" i="1"/>
  <c r="I1932" i="1"/>
  <c r="H1932" i="1"/>
  <c r="I4994" i="1"/>
  <c r="H4994" i="1"/>
  <c r="I915" i="1"/>
  <c r="H915" i="1"/>
  <c r="I3054" i="1"/>
  <c r="H3054" i="1"/>
  <c r="I4240" i="1"/>
  <c r="H4240" i="1"/>
  <c r="I4822" i="1"/>
  <c r="H4822" i="1"/>
  <c r="I6180" i="1"/>
  <c r="H6180" i="1"/>
  <c r="I1082" i="1"/>
  <c r="H1082" i="1"/>
  <c r="I3039" i="1"/>
  <c r="H3039" i="1"/>
  <c r="I608" i="1"/>
  <c r="H608" i="1"/>
  <c r="I3638" i="1"/>
  <c r="H3638" i="1"/>
  <c r="I6423" i="1"/>
  <c r="H6423" i="1"/>
  <c r="I2916" i="1"/>
  <c r="H2916" i="1"/>
  <c r="I4513" i="1"/>
  <c r="H4513" i="1"/>
  <c r="I6714" i="1"/>
  <c r="H6714" i="1"/>
  <c r="I6334" i="1"/>
  <c r="H6334" i="1"/>
  <c r="I6029" i="1"/>
  <c r="H6029" i="1"/>
  <c r="I4576" i="1"/>
  <c r="H4576" i="1"/>
  <c r="I891" i="1"/>
  <c r="H891" i="1"/>
  <c r="I1984" i="1"/>
  <c r="H1984" i="1"/>
  <c r="I5024" i="1"/>
  <c r="H5024" i="1"/>
  <c r="I2955" i="1"/>
  <c r="H2955" i="1"/>
  <c r="I4439" i="1"/>
  <c r="H4439" i="1"/>
  <c r="I5030" i="1"/>
  <c r="H5030" i="1"/>
  <c r="I3340" i="1"/>
  <c r="H3340" i="1"/>
  <c r="I3866" i="1"/>
  <c r="H3866" i="1"/>
  <c r="I5447" i="1"/>
  <c r="H5447" i="1"/>
  <c r="I3922" i="1"/>
  <c r="H3922" i="1"/>
  <c r="I1440" i="1"/>
  <c r="H1440" i="1"/>
  <c r="I5346" i="1"/>
  <c r="H5346" i="1"/>
  <c r="I1468" i="1"/>
  <c r="H1468" i="1"/>
  <c r="I3483" i="1"/>
  <c r="H3483" i="1"/>
  <c r="I1218" i="1"/>
  <c r="H1218" i="1"/>
  <c r="I1974" i="1"/>
  <c r="H1974" i="1"/>
  <c r="I491" i="1"/>
  <c r="H491" i="1"/>
  <c r="I6080" i="1"/>
  <c r="H6080" i="1"/>
  <c r="I3386" i="1"/>
  <c r="H3386" i="1"/>
  <c r="I3690" i="1"/>
  <c r="H3690" i="1"/>
  <c r="I4564" i="1"/>
  <c r="H4564" i="1"/>
  <c r="I2627" i="1"/>
  <c r="H2627" i="1"/>
  <c r="I4852" i="1"/>
  <c r="H4852" i="1"/>
  <c r="I4243" i="1"/>
  <c r="H4243" i="1"/>
  <c r="I2992" i="1"/>
  <c r="H2992" i="1"/>
  <c r="I4237" i="1"/>
  <c r="H4237" i="1"/>
  <c r="I5496" i="1"/>
  <c r="H5496" i="1"/>
  <c r="I5090" i="1"/>
  <c r="H5090" i="1"/>
  <c r="I3808" i="1"/>
  <c r="H3808" i="1"/>
  <c r="I609" i="1"/>
  <c r="H609" i="1"/>
  <c r="I3461" i="1"/>
  <c r="H3461" i="1"/>
  <c r="I1680" i="1"/>
  <c r="H1680" i="1"/>
  <c r="I825" i="1"/>
  <c r="H825" i="1"/>
  <c r="I3474" i="1"/>
  <c r="H3474" i="1"/>
  <c r="I6737" i="1"/>
  <c r="H6737" i="1"/>
  <c r="I3657" i="1"/>
  <c r="H3657" i="1"/>
  <c r="I2837" i="1"/>
  <c r="H2837" i="1"/>
  <c r="I5198" i="1"/>
  <c r="H5198" i="1"/>
  <c r="I4343" i="1"/>
  <c r="H4343" i="1"/>
  <c r="I3574" i="1"/>
  <c r="H3574" i="1"/>
  <c r="I618" i="1"/>
  <c r="H618" i="1"/>
  <c r="I4158" i="1"/>
  <c r="H4158" i="1"/>
  <c r="I3406" i="1"/>
  <c r="H3406" i="1"/>
  <c r="I2292" i="1"/>
  <c r="H2292" i="1"/>
  <c r="I1655" i="1"/>
  <c r="H1655" i="1"/>
  <c r="I4570" i="1"/>
  <c r="H4570" i="1"/>
  <c r="I2884" i="1"/>
  <c r="H2884" i="1"/>
  <c r="I4023" i="1"/>
  <c r="H4023" i="1"/>
  <c r="I1141" i="1"/>
  <c r="H1141" i="1"/>
  <c r="I3358" i="1"/>
  <c r="H3358" i="1"/>
  <c r="I1530" i="1"/>
  <c r="H1530" i="1"/>
  <c r="I4438" i="1"/>
  <c r="H4438" i="1"/>
  <c r="I1690" i="1"/>
  <c r="H1690" i="1"/>
  <c r="I5867" i="1"/>
  <c r="H5867" i="1"/>
  <c r="I2684" i="1"/>
  <c r="H2684" i="1"/>
  <c r="I3300" i="1"/>
  <c r="H3300" i="1"/>
  <c r="I2197" i="1"/>
  <c r="H2197" i="1"/>
  <c r="I3432" i="1"/>
  <c r="H3432" i="1"/>
  <c r="I614" i="1"/>
  <c r="H614" i="1"/>
  <c r="I3218" i="1"/>
  <c r="H3218" i="1"/>
  <c r="I2434" i="1"/>
  <c r="H2434" i="1"/>
  <c r="I652" i="1"/>
  <c r="H652" i="1"/>
  <c r="I4451" i="1"/>
  <c r="H4451" i="1"/>
  <c r="I2662" i="1"/>
  <c r="H2662" i="1"/>
  <c r="I4407" i="1"/>
  <c r="H4407" i="1"/>
  <c r="I4394" i="1"/>
  <c r="H4394" i="1"/>
  <c r="I1486" i="1"/>
  <c r="H1486" i="1"/>
  <c r="I5545" i="1"/>
  <c r="H5545" i="1"/>
  <c r="I4721" i="1"/>
  <c r="H4721" i="1"/>
  <c r="I6964" i="1"/>
  <c r="H6964" i="1"/>
  <c r="I3851" i="1"/>
  <c r="H3851" i="1"/>
  <c r="I5108" i="1"/>
  <c r="H5108" i="1"/>
  <c r="I3883" i="1"/>
  <c r="H3883" i="1"/>
  <c r="I2192" i="1"/>
  <c r="H2192" i="1"/>
  <c r="I778" i="1"/>
  <c r="H778" i="1"/>
  <c r="I3714" i="1"/>
  <c r="H3714" i="1"/>
  <c r="I2858" i="1"/>
  <c r="H2858" i="1"/>
  <c r="I5434" i="1"/>
  <c r="H5434" i="1"/>
  <c r="I3334" i="1"/>
  <c r="H3334" i="1"/>
  <c r="I3527" i="1"/>
  <c r="H3527" i="1"/>
  <c r="I1799" i="1"/>
  <c r="H1799" i="1"/>
  <c r="I3157" i="1"/>
  <c r="H3157" i="1"/>
  <c r="I3962" i="1"/>
  <c r="H3962" i="1"/>
  <c r="I1952" i="1"/>
  <c r="H1952" i="1"/>
  <c r="I4810" i="1"/>
  <c r="H4810" i="1"/>
  <c r="I3906" i="1"/>
  <c r="H3906" i="1"/>
  <c r="I2958" i="1"/>
  <c r="H2958" i="1"/>
  <c r="I3593" i="1"/>
  <c r="H3593" i="1"/>
  <c r="I4249" i="1"/>
  <c r="H4249" i="1"/>
  <c r="I3549" i="1"/>
  <c r="H3549" i="1"/>
  <c r="I5073" i="1"/>
  <c r="H5073" i="1"/>
  <c r="I4205" i="1"/>
  <c r="H4205" i="1"/>
  <c r="I1948" i="1"/>
  <c r="H1948" i="1"/>
  <c r="I726" i="1"/>
  <c r="H726" i="1"/>
  <c r="I5512" i="1"/>
  <c r="H5512" i="1"/>
  <c r="I1846" i="1"/>
  <c r="H1846" i="1"/>
  <c r="I4781" i="1"/>
  <c r="H4781" i="1"/>
  <c r="I6404" i="1"/>
  <c r="H6404" i="1"/>
  <c r="I3455" i="1"/>
  <c r="H3455" i="1"/>
  <c r="I3846" i="1"/>
  <c r="H3846" i="1"/>
  <c r="I5553" i="1"/>
  <c r="H5553" i="1"/>
  <c r="I4263" i="1"/>
  <c r="H4263" i="1"/>
  <c r="I6251" i="1"/>
  <c r="H6251" i="1"/>
  <c r="I2368" i="1"/>
  <c r="H2368" i="1"/>
  <c r="I2733" i="1"/>
  <c r="H2733" i="1"/>
  <c r="I4183" i="1"/>
  <c r="H4183" i="1"/>
  <c r="I2842" i="1"/>
  <c r="H2842" i="1"/>
  <c r="I5263" i="1"/>
  <c r="H5263" i="1"/>
  <c r="I6653" i="1"/>
  <c r="H6653" i="1"/>
  <c r="I2612" i="1"/>
  <c r="H2612" i="1"/>
  <c r="I3642" i="1"/>
  <c r="H3642" i="1"/>
  <c r="I3659" i="1"/>
  <c r="H3659" i="1"/>
  <c r="I720" i="1"/>
  <c r="H720" i="1"/>
  <c r="I2790" i="1"/>
  <c r="H2790" i="1"/>
  <c r="I3931" i="1"/>
  <c r="H3931" i="1"/>
  <c r="I757" i="1"/>
  <c r="H757" i="1"/>
  <c r="I2730" i="1"/>
  <c r="H2730" i="1"/>
  <c r="I2935" i="1"/>
  <c r="H2935" i="1"/>
  <c r="I6209" i="1"/>
  <c r="H6209" i="1"/>
  <c r="I6903" i="1"/>
  <c r="H6903" i="1"/>
  <c r="I3927" i="1"/>
  <c r="H3927" i="1"/>
  <c r="I3431" i="1"/>
  <c r="H3431" i="1"/>
  <c r="I5163" i="1"/>
  <c r="H5163" i="1"/>
  <c r="I3314" i="1"/>
  <c r="H3314" i="1"/>
  <c r="I5842" i="1"/>
  <c r="H5842" i="1"/>
  <c r="I5802" i="1"/>
  <c r="H5802" i="1"/>
  <c r="I5440" i="1"/>
  <c r="H5440" i="1"/>
  <c r="I678" i="1"/>
  <c r="H678" i="1"/>
  <c r="I2867" i="1"/>
  <c r="H2867" i="1"/>
  <c r="I6145" i="1"/>
  <c r="H6145" i="1"/>
  <c r="I1436" i="1"/>
  <c r="H1436" i="1"/>
  <c r="I4270" i="1"/>
  <c r="H4270" i="1"/>
  <c r="H1010" i="1"/>
  <c r="I5023" i="1"/>
  <c r="H5023" i="1"/>
  <c r="I4490" i="1"/>
  <c r="H4490" i="1"/>
  <c r="I1403" i="1"/>
  <c r="H1403" i="1"/>
  <c r="I4322" i="1"/>
  <c r="H4322" i="1"/>
  <c r="I3275" i="1"/>
  <c r="H3275" i="1"/>
  <c r="I2270" i="1"/>
  <c r="H2270" i="1"/>
  <c r="I4120" i="1"/>
  <c r="H4120" i="1"/>
  <c r="I4068" i="1"/>
  <c r="H4068" i="1"/>
  <c r="I2589" i="1"/>
  <c r="H2589" i="1"/>
  <c r="I919" i="1"/>
  <c r="H919" i="1"/>
  <c r="I4089" i="1"/>
  <c r="H4089" i="1"/>
  <c r="I1738" i="1"/>
  <c r="H1738" i="1"/>
  <c r="I4193" i="1"/>
  <c r="H4193" i="1"/>
  <c r="I4814" i="1"/>
  <c r="H4814" i="1"/>
  <c r="I1065" i="1"/>
  <c r="H1065" i="1"/>
  <c r="I6661" i="1"/>
  <c r="H6661" i="1"/>
  <c r="I3049" i="1"/>
  <c r="H3049" i="1"/>
  <c r="I5062" i="1"/>
  <c r="H5062" i="1"/>
  <c r="I2026" i="1"/>
  <c r="H2026" i="1"/>
  <c r="I1120" i="1"/>
  <c r="H1120" i="1"/>
  <c r="I3299" i="1"/>
  <c r="H3299" i="1"/>
  <c r="I3811" i="1"/>
  <c r="H3811" i="1"/>
  <c r="I2254" i="1"/>
  <c r="H2254" i="1"/>
  <c r="I4816" i="1"/>
  <c r="H4816" i="1"/>
  <c r="I815" i="1"/>
  <c r="H815" i="1"/>
  <c r="I1558" i="1"/>
  <c r="H1558" i="1"/>
  <c r="I6064" i="1"/>
  <c r="H6064" i="1"/>
  <c r="I1320" i="1"/>
  <c r="H1320" i="1"/>
  <c r="I6693" i="1"/>
  <c r="H6693" i="1"/>
  <c r="I3417" i="1"/>
  <c r="H3417" i="1"/>
  <c r="I5125" i="1"/>
  <c r="H5125" i="1"/>
  <c r="I5826" i="1"/>
  <c r="H5826" i="1"/>
  <c r="I246" i="1"/>
  <c r="H246" i="1"/>
  <c r="I5018" i="1"/>
  <c r="H5018" i="1"/>
  <c r="I5656" i="1"/>
  <c r="H5656" i="1"/>
  <c r="I4261" i="1"/>
  <c r="H4261" i="1"/>
  <c r="I4150" i="1"/>
  <c r="H4150" i="1"/>
  <c r="H6582" i="1"/>
  <c r="I575" i="1"/>
  <c r="H575" i="1"/>
  <c r="I5048" i="1"/>
  <c r="H5048" i="1"/>
  <c r="I3523" i="1"/>
  <c r="H3523" i="1"/>
  <c r="I6059" i="1"/>
  <c r="H6059" i="1"/>
  <c r="I4147" i="1"/>
  <c r="H4147" i="1"/>
  <c r="I5298" i="1"/>
  <c r="H5298" i="1"/>
  <c r="I2591" i="1"/>
  <c r="H2591" i="1"/>
  <c r="I4417" i="1"/>
  <c r="H4417" i="1"/>
  <c r="I415" i="1"/>
  <c r="H415" i="1"/>
  <c r="I6896" i="1"/>
  <c r="H6896" i="1"/>
  <c r="I2969" i="1"/>
  <c r="H2969" i="1"/>
  <c r="I3965" i="1"/>
  <c r="H3965" i="1"/>
  <c r="I6512" i="1"/>
  <c r="H6512" i="1"/>
  <c r="I3561" i="1"/>
  <c r="H3561" i="1"/>
  <c r="I4628" i="1"/>
  <c r="H4628" i="1"/>
  <c r="I5806" i="1"/>
  <c r="H5806" i="1"/>
  <c r="I3281" i="1"/>
  <c r="H3281" i="1"/>
  <c r="I2247" i="1"/>
  <c r="H2247" i="1"/>
  <c r="I5745" i="1"/>
  <c r="H5745" i="1"/>
  <c r="I6074" i="1"/>
  <c r="H6074" i="1"/>
  <c r="I3970" i="1"/>
  <c r="H3970" i="1"/>
  <c r="I1051" i="1"/>
  <c r="H1051" i="1"/>
  <c r="I3248" i="1"/>
  <c r="H3248" i="1"/>
  <c r="I1561" i="1"/>
  <c r="H1561" i="1"/>
  <c r="I3120" i="1"/>
  <c r="H3120" i="1"/>
  <c r="I5982" i="1"/>
  <c r="H5982" i="1"/>
  <c r="I6235" i="1"/>
  <c r="H6235" i="1"/>
  <c r="I5701" i="1"/>
  <c r="H5701" i="1"/>
  <c r="I3515" i="1"/>
  <c r="H3515" i="1"/>
  <c r="I3836" i="1"/>
  <c r="H3836" i="1"/>
  <c r="I2149" i="1"/>
  <c r="H2149" i="1"/>
  <c r="I2765" i="1"/>
  <c r="H2765" i="1"/>
  <c r="I4774" i="1"/>
  <c r="H4774" i="1"/>
  <c r="I5388" i="1"/>
  <c r="H5388" i="1"/>
  <c r="I4116" i="1"/>
  <c r="H4116" i="1"/>
  <c r="I3510" i="1"/>
  <c r="H3510" i="1"/>
  <c r="I2797" i="1"/>
  <c r="H2797" i="1"/>
  <c r="I4324" i="1"/>
  <c r="H4324" i="1"/>
  <c r="I1993" i="1"/>
  <c r="H1993" i="1"/>
  <c r="I5557" i="1"/>
  <c r="H5557" i="1"/>
  <c r="I3607" i="1"/>
  <c r="H3607" i="1"/>
  <c r="I4834" i="1"/>
  <c r="H4834" i="1"/>
  <c r="I1644" i="1"/>
  <c r="H1644" i="1"/>
  <c r="I3449" i="1"/>
  <c r="H3449" i="1"/>
  <c r="I5484" i="1"/>
  <c r="H5484" i="1"/>
  <c r="I6590" i="1"/>
  <c r="H6590" i="1"/>
  <c r="I1537" i="1"/>
  <c r="H1537" i="1"/>
  <c r="I4662" i="1"/>
  <c r="H4662" i="1"/>
  <c r="I1642" i="1"/>
  <c r="H1642" i="1"/>
  <c r="I2745" i="1"/>
  <c r="H2745" i="1"/>
  <c r="I3803" i="1"/>
  <c r="H3803" i="1"/>
  <c r="I2349" i="1"/>
  <c r="H2349" i="1"/>
  <c r="I4397" i="1"/>
  <c r="H4397" i="1"/>
  <c r="I4764" i="1"/>
  <c r="H4764" i="1"/>
  <c r="I2574" i="1"/>
  <c r="H2574" i="1"/>
  <c r="I3887" i="1"/>
  <c r="H3887" i="1"/>
  <c r="I2209" i="1"/>
  <c r="H2209" i="1"/>
  <c r="I3225" i="1"/>
  <c r="H3225" i="1"/>
  <c r="I2556" i="1"/>
  <c r="H2556" i="1"/>
  <c r="I5267" i="1"/>
  <c r="H5267" i="1"/>
  <c r="I3809" i="1"/>
  <c r="H3809" i="1"/>
  <c r="I3723" i="1"/>
  <c r="H3723" i="1"/>
  <c r="I3390" i="1"/>
  <c r="H3390" i="1"/>
  <c r="I4211" i="1"/>
  <c r="H4211" i="1"/>
  <c r="I4290" i="1"/>
  <c r="H4290" i="1"/>
  <c r="I6851" i="1"/>
  <c r="H6851" i="1"/>
  <c r="I3497" i="1"/>
  <c r="H3497" i="1"/>
  <c r="I2949" i="1"/>
  <c r="H2949" i="1"/>
  <c r="I2950" i="1"/>
  <c r="H2950" i="1"/>
  <c r="I4769" i="1"/>
  <c r="H4769" i="1"/>
  <c r="I964" i="1"/>
  <c r="H964" i="1"/>
  <c r="I2821" i="1"/>
  <c r="H2821" i="1"/>
  <c r="I4081" i="1"/>
  <c r="H4081" i="1"/>
  <c r="I4427" i="1"/>
  <c r="H4427" i="1"/>
  <c r="I4021" i="1"/>
  <c r="H4021" i="1"/>
  <c r="I3194" i="1"/>
  <c r="H3194" i="1"/>
  <c r="I3067" i="1"/>
  <c r="H3067" i="1"/>
  <c r="I3763" i="1"/>
  <c r="H3763" i="1"/>
  <c r="I3323" i="1"/>
  <c r="H3323" i="1"/>
  <c r="I1036" i="1"/>
  <c r="H1036" i="1"/>
  <c r="I697" i="1"/>
  <c r="H697" i="1"/>
  <c r="I1541" i="1"/>
  <c r="H1541" i="1"/>
  <c r="I3418" i="1"/>
  <c r="H3418" i="1"/>
  <c r="I3728" i="1"/>
  <c r="H3728" i="1"/>
  <c r="I3442" i="1"/>
  <c r="H3442" i="1"/>
  <c r="I4119" i="1"/>
  <c r="H4119" i="1"/>
  <c r="I4841" i="1"/>
  <c r="H4841" i="1"/>
  <c r="I1095" i="1"/>
  <c r="H1095" i="1"/>
  <c r="I5069" i="1"/>
  <c r="H5069" i="1"/>
  <c r="I2550" i="1"/>
  <c r="H2550" i="1"/>
  <c r="I5119" i="1"/>
  <c r="H5119" i="1"/>
  <c r="I4565" i="1"/>
  <c r="H4565" i="1"/>
  <c r="I4238" i="1"/>
  <c r="H4238" i="1"/>
  <c r="I3504" i="1"/>
  <c r="H3504" i="1"/>
  <c r="I2928" i="1"/>
  <c r="H2928" i="1"/>
  <c r="I6194" i="1"/>
  <c r="H6194" i="1"/>
  <c r="I4604" i="1"/>
  <c r="H4604" i="1"/>
  <c r="I4832" i="1"/>
  <c r="H4832" i="1"/>
  <c r="I1911" i="1"/>
  <c r="H1911" i="1"/>
  <c r="I6199" i="1"/>
  <c r="H6199" i="1"/>
  <c r="I3494" i="1"/>
  <c r="H3494" i="1"/>
  <c r="I5490" i="1"/>
  <c r="H5490" i="1"/>
  <c r="I1000" i="1"/>
  <c r="H1000" i="1"/>
  <c r="I2304" i="1"/>
  <c r="H2304" i="1"/>
  <c r="I2924" i="1"/>
  <c r="H2924" i="1"/>
  <c r="I6419" i="1"/>
  <c r="H6419" i="1"/>
  <c r="I7008" i="1"/>
  <c r="H7008" i="1"/>
  <c r="I6694" i="1"/>
  <c r="H6694" i="1"/>
  <c r="I2751" i="1"/>
  <c r="H2751" i="1"/>
  <c r="I3667" i="1"/>
  <c r="H3667" i="1"/>
  <c r="I3658" i="1"/>
  <c r="H3658" i="1"/>
  <c r="I3911" i="1"/>
  <c r="H3911" i="1"/>
  <c r="I264" i="1"/>
  <c r="H264" i="1"/>
  <c r="I6168" i="1"/>
  <c r="H6168" i="1"/>
  <c r="I1929" i="1"/>
  <c r="H1929" i="1"/>
  <c r="I4597" i="1"/>
  <c r="H4597" i="1"/>
  <c r="I4801" i="1"/>
  <c r="H4801" i="1"/>
  <c r="I3917" i="1"/>
  <c r="H3917" i="1"/>
  <c r="I3619" i="1"/>
  <c r="H3619" i="1"/>
  <c r="I1212" i="1"/>
  <c r="H1212" i="1"/>
  <c r="I2578" i="1"/>
  <c r="H2578" i="1"/>
  <c r="I4330" i="1"/>
  <c r="H4330" i="1"/>
  <c r="I1285" i="1"/>
  <c r="H1285" i="1"/>
  <c r="I2150" i="1"/>
  <c r="H2150" i="1"/>
  <c r="I2273" i="1"/>
  <c r="H2273" i="1"/>
  <c r="I1545" i="1"/>
  <c r="H1545" i="1"/>
  <c r="I4168" i="1"/>
  <c r="H4168" i="1"/>
  <c r="I1256" i="1"/>
  <c r="H1256" i="1"/>
  <c r="I5658" i="1"/>
  <c r="H5658" i="1"/>
  <c r="I5227" i="1"/>
  <c r="H5227" i="1"/>
  <c r="I4569" i="1"/>
  <c r="H4569" i="1"/>
  <c r="I6658" i="1"/>
  <c r="H6658" i="1"/>
  <c r="I4724" i="1"/>
  <c r="H4724" i="1"/>
  <c r="I5969" i="1"/>
  <c r="H5969" i="1"/>
  <c r="I2766" i="1"/>
  <c r="H2766" i="1"/>
  <c r="I430" i="1"/>
  <c r="H430" i="1"/>
  <c r="I5130" i="1"/>
  <c r="H5130" i="1"/>
  <c r="I2936" i="1"/>
  <c r="H2936" i="1"/>
  <c r="I4559" i="1"/>
  <c r="H4559" i="1"/>
  <c r="I6774" i="1"/>
  <c r="H6774" i="1"/>
  <c r="I1012" i="1"/>
  <c r="H1012" i="1"/>
  <c r="I4609" i="1"/>
  <c r="H4609" i="1"/>
  <c r="I3785" i="1"/>
  <c r="H3785" i="1"/>
  <c r="I6317" i="1"/>
  <c r="H6317" i="1"/>
  <c r="I3435" i="1"/>
  <c r="H3435" i="1"/>
  <c r="I840" i="1"/>
  <c r="H840" i="1"/>
  <c r="I5060" i="1"/>
  <c r="H5060" i="1"/>
  <c r="I2096" i="1"/>
  <c r="H2096" i="1"/>
  <c r="I1746" i="1"/>
  <c r="H1746" i="1"/>
  <c r="I4233" i="1"/>
  <c r="H4233" i="1"/>
  <c r="I2894" i="1"/>
  <c r="H2894" i="1"/>
  <c r="I2740" i="1"/>
  <c r="H2740" i="1"/>
  <c r="I4845" i="1"/>
  <c r="H4845" i="1"/>
  <c r="I6556" i="1"/>
  <c r="H6556" i="1"/>
  <c r="I3069" i="1"/>
  <c r="H3069" i="1"/>
  <c r="I3991" i="1"/>
  <c r="H3991" i="1"/>
  <c r="I3306" i="1"/>
  <c r="H3306" i="1"/>
  <c r="I1281" i="1"/>
  <c r="H1281" i="1"/>
  <c r="I6828" i="1"/>
  <c r="H6828" i="1"/>
  <c r="I6573" i="1"/>
  <c r="H6573" i="1"/>
  <c r="I5189" i="1"/>
  <c r="H5189" i="1"/>
  <c r="I535" i="1"/>
  <c r="H535" i="1"/>
  <c r="I2727" i="1"/>
  <c r="H2727" i="1"/>
  <c r="I3237" i="1"/>
  <c r="H3237" i="1"/>
  <c r="I2793" i="1"/>
  <c r="H2793" i="1"/>
  <c r="I2419" i="1"/>
  <c r="H2419" i="1"/>
  <c r="I6872" i="1"/>
  <c r="H6872" i="1"/>
  <c r="I716" i="1"/>
  <c r="H716" i="1"/>
  <c r="I4245" i="1"/>
  <c r="H4245" i="1"/>
  <c r="I2621" i="1"/>
  <c r="H2621" i="1"/>
  <c r="I2333" i="1"/>
  <c r="H2333" i="1"/>
  <c r="I717" i="1"/>
  <c r="H717" i="1"/>
  <c r="I4562" i="1"/>
  <c r="H4562" i="1"/>
  <c r="I3776" i="1"/>
  <c r="H3776" i="1"/>
  <c r="I4726" i="1"/>
  <c r="H4726" i="1"/>
  <c r="I4682" i="1"/>
  <c r="H4682" i="1"/>
  <c r="I4500" i="1"/>
  <c r="H4500" i="1"/>
  <c r="I4174" i="1"/>
  <c r="H4174" i="1"/>
  <c r="I2477" i="1"/>
  <c r="H2477" i="1"/>
  <c r="I391" i="1"/>
  <c r="H391" i="1"/>
  <c r="I3539" i="1"/>
  <c r="H3539" i="1"/>
  <c r="I5852" i="1"/>
  <c r="H5852" i="1"/>
  <c r="I4299" i="1"/>
  <c r="H4299" i="1"/>
  <c r="I3378" i="1"/>
  <c r="H3378" i="1"/>
  <c r="I3977" i="1"/>
  <c r="H3977" i="1"/>
  <c r="I3742" i="1"/>
  <c r="H3742" i="1"/>
  <c r="I3085" i="1"/>
  <c r="H3085" i="1"/>
  <c r="I4690" i="1"/>
  <c r="H4690" i="1"/>
  <c r="I3671" i="1"/>
  <c r="H3671" i="1"/>
  <c r="I3602" i="1"/>
  <c r="H3602" i="1"/>
  <c r="I2136" i="1"/>
  <c r="H2136" i="1"/>
  <c r="I3722" i="1"/>
  <c r="H3722" i="1"/>
  <c r="I4853" i="1"/>
  <c r="H4853" i="1"/>
  <c r="I3062" i="1"/>
  <c r="H3062" i="1"/>
  <c r="I6266" i="1"/>
  <c r="H6266" i="1"/>
  <c r="I4104" i="1"/>
  <c r="H4104" i="1"/>
  <c r="I617" i="1"/>
  <c r="H617" i="1"/>
  <c r="I3294" i="1"/>
  <c r="H3294" i="1"/>
  <c r="I1884" i="1"/>
  <c r="H1884" i="1"/>
  <c r="I3750" i="1"/>
  <c r="H3750" i="1"/>
  <c r="I5607" i="1"/>
  <c r="H5607" i="1"/>
  <c r="I4411" i="1"/>
  <c r="H4411" i="1"/>
  <c r="I3453" i="1"/>
  <c r="H3453" i="1"/>
  <c r="I6536" i="1"/>
  <c r="H6536" i="1"/>
  <c r="I4342" i="1"/>
  <c r="H4342" i="1"/>
  <c r="I5052" i="1"/>
  <c r="H5052" i="1"/>
  <c r="I4155" i="1"/>
  <c r="H4155" i="1"/>
  <c r="I4528" i="1"/>
  <c r="H4528" i="1"/>
  <c r="I2581" i="1"/>
  <c r="H2581" i="1"/>
  <c r="I4700" i="1"/>
  <c r="H4700" i="1"/>
  <c r="I4826" i="1"/>
  <c r="H4826" i="1"/>
  <c r="I4341" i="1"/>
  <c r="H4341" i="1"/>
  <c r="I4749" i="1"/>
  <c r="H4749" i="1"/>
  <c r="I4287" i="1"/>
  <c r="H4287" i="1"/>
  <c r="I508" i="1"/>
  <c r="H508" i="1"/>
  <c r="I5311" i="1"/>
  <c r="H5311" i="1"/>
  <c r="I3009" i="1"/>
  <c r="H3009" i="1"/>
  <c r="I4066" i="1"/>
  <c r="H4066" i="1"/>
  <c r="I4504" i="1"/>
  <c r="H4504" i="1"/>
  <c r="I1829" i="1"/>
  <c r="H1829" i="1"/>
  <c r="I3611" i="1"/>
  <c r="H3611" i="1"/>
  <c r="I4260" i="1"/>
  <c r="H4260" i="1"/>
  <c r="I3495" i="1"/>
  <c r="H3495" i="1"/>
  <c r="I2307" i="1"/>
  <c r="H2307" i="1"/>
  <c r="I4286" i="1"/>
  <c r="H4286" i="1"/>
  <c r="I3938" i="1"/>
  <c r="H3938" i="1"/>
  <c r="I6455" i="1"/>
  <c r="H6455" i="1"/>
  <c r="I1988" i="1"/>
  <c r="H1988" i="1"/>
  <c r="I640" i="1"/>
  <c r="H640" i="1"/>
  <c r="I6701" i="1"/>
  <c r="H6701" i="1"/>
  <c r="I6352" i="1"/>
  <c r="H6352" i="1"/>
  <c r="I3038" i="1"/>
  <c r="H3038" i="1"/>
  <c r="I3976" i="1"/>
  <c r="H3976" i="1"/>
  <c r="I6491" i="1"/>
  <c r="H6491" i="1"/>
  <c r="I3410" i="1"/>
  <c r="H3410" i="1"/>
  <c r="I5562" i="1"/>
  <c r="H5562" i="1"/>
  <c r="I3778" i="1"/>
  <c r="H3778" i="1"/>
  <c r="I3257" i="1"/>
  <c r="H3257" i="1"/>
  <c r="I635" i="1"/>
  <c r="H635" i="1"/>
  <c r="I4479" i="1"/>
  <c r="H4479" i="1"/>
  <c r="I3072" i="1"/>
  <c r="H3072" i="1"/>
  <c r="I5609" i="1"/>
  <c r="H5609" i="1"/>
  <c r="I5046" i="1"/>
  <c r="H5046" i="1"/>
  <c r="I3456" i="1"/>
  <c r="H3456" i="1"/>
  <c r="I4732" i="1"/>
  <c r="H4732" i="1"/>
  <c r="I787" i="1"/>
  <c r="H787" i="1"/>
  <c r="I4296" i="1"/>
  <c r="H4296" i="1"/>
  <c r="I5590" i="1"/>
  <c r="H5590" i="1"/>
  <c r="I3610" i="1"/>
  <c r="H3610" i="1"/>
  <c r="I446" i="1"/>
  <c r="H446" i="1"/>
  <c r="I4058" i="1"/>
  <c r="H4058" i="1"/>
  <c r="I2668" i="1"/>
  <c r="H2668" i="1"/>
  <c r="I5641" i="1"/>
  <c r="H5641" i="1"/>
  <c r="I5319" i="1"/>
  <c r="H5319" i="1"/>
  <c r="I3010" i="1"/>
  <c r="H3010" i="1"/>
  <c r="I4043" i="1"/>
  <c r="H4043" i="1"/>
  <c r="I4127" i="1"/>
  <c r="H4127" i="1"/>
  <c r="I5652" i="1"/>
  <c r="H5652" i="1"/>
  <c r="I928" i="1"/>
  <c r="H928" i="1"/>
  <c r="I5628" i="1"/>
  <c r="H5628" i="1"/>
  <c r="I6198" i="1"/>
  <c r="H6198" i="1"/>
  <c r="I894" i="1"/>
  <c r="H894" i="1"/>
  <c r="I3388" i="1"/>
  <c r="H3388" i="1"/>
  <c r="I4593" i="1"/>
  <c r="H4593" i="1"/>
  <c r="I2098" i="1"/>
  <c r="H2098" i="1"/>
  <c r="I3184" i="1"/>
  <c r="H3184" i="1"/>
  <c r="I4288" i="1"/>
  <c r="H4288" i="1"/>
  <c r="I1663" i="1"/>
  <c r="H1663" i="1"/>
  <c r="I3021" i="1"/>
  <c r="H3021" i="1"/>
  <c r="I3117" i="1"/>
  <c r="H3117" i="1"/>
  <c r="I4539" i="1"/>
  <c r="H4539" i="1"/>
  <c r="I4956" i="1"/>
  <c r="H4956" i="1"/>
  <c r="I4950" i="1"/>
  <c r="H4950" i="1"/>
  <c r="I5326" i="1"/>
  <c r="H5326" i="1"/>
  <c r="I3830" i="1"/>
  <c r="H3830" i="1"/>
  <c r="I4344" i="1"/>
  <c r="H4344" i="1"/>
  <c r="I2807" i="1"/>
  <c r="H2807" i="1"/>
  <c r="I376" i="1"/>
  <c r="H376" i="1"/>
  <c r="I5936" i="1"/>
  <c r="H5936" i="1"/>
  <c r="I516" i="1"/>
  <c r="H516" i="1"/>
  <c r="I2965" i="1"/>
  <c r="H2965" i="1"/>
  <c r="I3381" i="1"/>
  <c r="H3381" i="1"/>
  <c r="I4796" i="1"/>
  <c r="H4796" i="1"/>
  <c r="I3132" i="1"/>
  <c r="H3132" i="1"/>
  <c r="I2565" i="1"/>
  <c r="H2565" i="1"/>
  <c r="I4383" i="1"/>
  <c r="H4383" i="1"/>
  <c r="I1715" i="1"/>
  <c r="H1715" i="1"/>
  <c r="I1697" i="1"/>
  <c r="H1697" i="1"/>
  <c r="I2666" i="1"/>
  <c r="H2666" i="1"/>
  <c r="I6405" i="1"/>
  <c r="H6405" i="1"/>
  <c r="I3370" i="1"/>
  <c r="H3370" i="1"/>
  <c r="I2641" i="1"/>
  <c r="H2641" i="1"/>
  <c r="I4283" i="1"/>
  <c r="H4283" i="1"/>
  <c r="I521" i="1"/>
  <c r="H521" i="1"/>
  <c r="I3798" i="1"/>
  <c r="H3798" i="1"/>
  <c r="I3380" i="1"/>
  <c r="H3380" i="1"/>
  <c r="I1019" i="1"/>
  <c r="H1019" i="1"/>
  <c r="I440" i="1"/>
  <c r="H440" i="1"/>
  <c r="I6117" i="1"/>
  <c r="H6117" i="1"/>
  <c r="I1129" i="1"/>
  <c r="H1129" i="1"/>
  <c r="I650" i="1"/>
  <c r="H650" i="1"/>
  <c r="I1700" i="1"/>
  <c r="H1700" i="1"/>
  <c r="I1569" i="1"/>
  <c r="H1569" i="1"/>
  <c r="I6065" i="1"/>
  <c r="H6065" i="1"/>
  <c r="I2454" i="1"/>
  <c r="H2454" i="1"/>
  <c r="I5022" i="1"/>
  <c r="H5022" i="1"/>
  <c r="I4714" i="1"/>
  <c r="H4714" i="1"/>
  <c r="I2923" i="1"/>
  <c r="H2923" i="1"/>
  <c r="I3360" i="1"/>
  <c r="H3360" i="1"/>
  <c r="I6916" i="1"/>
  <c r="H6916" i="1"/>
  <c r="I5230" i="1"/>
  <c r="H5230" i="1"/>
  <c r="I5671" i="1"/>
  <c r="H5671" i="1"/>
  <c r="I1915" i="1"/>
  <c r="H1915" i="1"/>
  <c r="I1362" i="1"/>
  <c r="H1362" i="1"/>
  <c r="I2683" i="1"/>
  <c r="H2683" i="1"/>
  <c r="I4657" i="1"/>
  <c r="H4657" i="1"/>
  <c r="I5681" i="1"/>
  <c r="H5681" i="1"/>
  <c r="I4366" i="1"/>
  <c r="H4366" i="1"/>
  <c r="I3123" i="1"/>
  <c r="H3123" i="1"/>
  <c r="I6511" i="1"/>
  <c r="H6511" i="1"/>
  <c r="I4483" i="1"/>
  <c r="H4483" i="1"/>
  <c r="I3669" i="1"/>
  <c r="H3669" i="1"/>
  <c r="I1983" i="1"/>
  <c r="H1983" i="1"/>
  <c r="I3029" i="1"/>
  <c r="H3029" i="1"/>
  <c r="I3269" i="1"/>
  <c r="H3269" i="1"/>
  <c r="I4264" i="1"/>
  <c r="H4264" i="1"/>
  <c r="I4110" i="1"/>
  <c r="H4110" i="1"/>
  <c r="I2816" i="1"/>
  <c r="H2816" i="1"/>
  <c r="I5386" i="1"/>
  <c r="H5386" i="1"/>
  <c r="I3279" i="1"/>
  <c r="H3279" i="1"/>
  <c r="I1191" i="1"/>
  <c r="H1191" i="1"/>
  <c r="I4420" i="1"/>
  <c r="H4420" i="1"/>
  <c r="I6387" i="1"/>
  <c r="H6387" i="1"/>
  <c r="I3550" i="1"/>
  <c r="H3550" i="1"/>
  <c r="I5112" i="1"/>
  <c r="H5112" i="1"/>
  <c r="I6256" i="1"/>
  <c r="H6256" i="1"/>
  <c r="I4121" i="1"/>
  <c r="H4121" i="1"/>
  <c r="I438" i="1"/>
  <c r="H438" i="1"/>
  <c r="I6393" i="1"/>
  <c r="H6393" i="1"/>
  <c r="I3949" i="1"/>
  <c r="H3949" i="1"/>
  <c r="I4362" i="1"/>
  <c r="H4362" i="1"/>
  <c r="I4087" i="1"/>
  <c r="H4087" i="1"/>
  <c r="I413" i="1"/>
  <c r="H413" i="1"/>
  <c r="I3626" i="1"/>
  <c r="H3626" i="1"/>
  <c r="I1431" i="1"/>
  <c r="H1431" i="1"/>
  <c r="I3122" i="1"/>
  <c r="H3122" i="1"/>
  <c r="I4667" i="1"/>
  <c r="H4667" i="1"/>
  <c r="I2511" i="1"/>
  <c r="H2511" i="1"/>
  <c r="I1941" i="1"/>
  <c r="H1941" i="1"/>
  <c r="I4047" i="1"/>
  <c r="H4047" i="1"/>
  <c r="I3135" i="1"/>
  <c r="H3135" i="1"/>
  <c r="I3043" i="1"/>
  <c r="H3043" i="1"/>
  <c r="I2416" i="1"/>
  <c r="H2416" i="1"/>
  <c r="I1650" i="1"/>
  <c r="H1650" i="1"/>
  <c r="I1370" i="1"/>
  <c r="H1370" i="1"/>
  <c r="I2537" i="1"/>
  <c r="H2537" i="1"/>
  <c r="I6649" i="1"/>
  <c r="H6649" i="1"/>
  <c r="I2483" i="1"/>
  <c r="H2483" i="1"/>
  <c r="I3511" i="1"/>
  <c r="H3511" i="1"/>
  <c r="I3373" i="1"/>
  <c r="H3373" i="1"/>
  <c r="I1504" i="1"/>
  <c r="H1504" i="1"/>
  <c r="I3683" i="1"/>
  <c r="H3683" i="1"/>
  <c r="I6988" i="1"/>
  <c r="H6988" i="1"/>
  <c r="I6504" i="1"/>
  <c r="H6504" i="1"/>
  <c r="I1554" i="1"/>
  <c r="H1554" i="1"/>
  <c r="I4255" i="1"/>
  <c r="H4255" i="1"/>
  <c r="I3842" i="1"/>
  <c r="H3842" i="1"/>
  <c r="I5324" i="1"/>
  <c r="H5324" i="1"/>
  <c r="I6047" i="1"/>
  <c r="H6047" i="1"/>
  <c r="I2575" i="1"/>
  <c r="H2575" i="1"/>
  <c r="I5232" i="1"/>
  <c r="H5232" i="1"/>
  <c r="I3356" i="1"/>
  <c r="H3356" i="1"/>
  <c r="I3050" i="1"/>
  <c r="H3050" i="1"/>
  <c r="I5592" i="1"/>
  <c r="H5592" i="1"/>
  <c r="I6919" i="1"/>
  <c r="H6919" i="1"/>
  <c r="I1955" i="1"/>
  <c r="H1955" i="1"/>
  <c r="I4162" i="1"/>
  <c r="H4162" i="1"/>
  <c r="I1695" i="1"/>
  <c r="H1695" i="1"/>
  <c r="I4587" i="1"/>
  <c r="H4587" i="1"/>
  <c r="I3176" i="1"/>
  <c r="H3176" i="1"/>
  <c r="I4316" i="1"/>
  <c r="H4316" i="1"/>
  <c r="I2259" i="1"/>
  <c r="H2259" i="1"/>
  <c r="I5238" i="1"/>
  <c r="H5238" i="1"/>
  <c r="I3065" i="1"/>
  <c r="H3065" i="1"/>
  <c r="I3766" i="1"/>
  <c r="H3766" i="1"/>
  <c r="I699" i="1"/>
  <c r="H699" i="1"/>
  <c r="I3551" i="1"/>
  <c r="H3551" i="1"/>
  <c r="I6160" i="1"/>
  <c r="H6160" i="1"/>
  <c r="I826" i="1"/>
  <c r="H826" i="1"/>
  <c r="I5536" i="1"/>
  <c r="H5536" i="1"/>
  <c r="I3265" i="1"/>
  <c r="H3265" i="1"/>
  <c r="I4102" i="1"/>
  <c r="H4102" i="1"/>
  <c r="I4208" i="1"/>
  <c r="H4208" i="1"/>
  <c r="I6835" i="1"/>
  <c r="H6835" i="1"/>
  <c r="I3346" i="1"/>
  <c r="H3346" i="1"/>
  <c r="I4946" i="1"/>
  <c r="H4946" i="1"/>
  <c r="I6224" i="1"/>
  <c r="H6224" i="1"/>
  <c r="I3786" i="1"/>
  <c r="H3786" i="1"/>
  <c r="I3761" i="1"/>
  <c r="H3761" i="1"/>
  <c r="I951" i="1"/>
  <c r="H951" i="1"/>
  <c r="I1242" i="1"/>
  <c r="H1242" i="1"/>
  <c r="I3440" i="1"/>
  <c r="H3440" i="1"/>
  <c r="I3233" i="1"/>
  <c r="H3233" i="1"/>
  <c r="I4478" i="1"/>
  <c r="H4478" i="1"/>
  <c r="I3261" i="1"/>
  <c r="H3261" i="1"/>
  <c r="I3769" i="1"/>
  <c r="H3769" i="1"/>
  <c r="I4125" i="1"/>
  <c r="H4125" i="1"/>
  <c r="I1999" i="1"/>
  <c r="H1999" i="1"/>
  <c r="I4542" i="1"/>
  <c r="H4542" i="1"/>
  <c r="I4782" i="1"/>
  <c r="H4782" i="1"/>
  <c r="I5759" i="1"/>
  <c r="H5759" i="1"/>
  <c r="I5282" i="1"/>
  <c r="H5282" i="1"/>
  <c r="I5809" i="1"/>
  <c r="H5809" i="1"/>
  <c r="I3127" i="1"/>
  <c r="H3127" i="1"/>
  <c r="I3253" i="1"/>
  <c r="H3253" i="1"/>
  <c r="I5233" i="1"/>
  <c r="H5233" i="1"/>
  <c r="I2985" i="1"/>
  <c r="H2985" i="1"/>
  <c r="I4636" i="1"/>
  <c r="H4636" i="1"/>
  <c r="I447" i="1"/>
  <c r="H447" i="1"/>
  <c r="I3112" i="1"/>
  <c r="H3112" i="1"/>
  <c r="I2111" i="1"/>
  <c r="H2111" i="1"/>
  <c r="I4986" i="1"/>
  <c r="H4986" i="1"/>
  <c r="I1773" i="1"/>
  <c r="H1773" i="1"/>
  <c r="I4637" i="1"/>
  <c r="H4637" i="1"/>
  <c r="I3158" i="1"/>
  <c r="H3158" i="1"/>
  <c r="I2963" i="1"/>
  <c r="H2963" i="1"/>
  <c r="I5815" i="1"/>
  <c r="H5815" i="1"/>
  <c r="I1425" i="1"/>
  <c r="H1425" i="1"/>
  <c r="I4915" i="1"/>
  <c r="H4915" i="1"/>
  <c r="I2777" i="1"/>
  <c r="H2777" i="1"/>
  <c r="I4937" i="1"/>
  <c r="H4937" i="1"/>
  <c r="I2554" i="1"/>
  <c r="H2554" i="1"/>
  <c r="I5160" i="1"/>
  <c r="H5160" i="1"/>
  <c r="I5854" i="1"/>
  <c r="H5854" i="1"/>
  <c r="I2211" i="1"/>
  <c r="H2211" i="1"/>
  <c r="I2888" i="1"/>
  <c r="H2888" i="1"/>
  <c r="I2904" i="1"/>
  <c r="H2904" i="1"/>
  <c r="I6388" i="1"/>
  <c r="H6388" i="1"/>
  <c r="I4900" i="1"/>
  <c r="H4900" i="1"/>
  <c r="I3784" i="1"/>
  <c r="H3784" i="1"/>
  <c r="I1450" i="1"/>
  <c r="H1450" i="1"/>
  <c r="I5550" i="1"/>
  <c r="H5550" i="1"/>
  <c r="I4291" i="1"/>
  <c r="H4291" i="1"/>
  <c r="I4974" i="1"/>
  <c r="H4974" i="1"/>
  <c r="I4711" i="1"/>
  <c r="H4711" i="1"/>
  <c r="I6672" i="1"/>
  <c r="H6672" i="1"/>
  <c r="I566" i="1"/>
  <c r="H566" i="1"/>
  <c r="I4302" i="1"/>
  <c r="H4302" i="1"/>
  <c r="I1389" i="1"/>
  <c r="H1389" i="1"/>
  <c r="I6876" i="1"/>
  <c r="H6876" i="1"/>
  <c r="I2673" i="1"/>
  <c r="H2673" i="1"/>
  <c r="I5155" i="1"/>
  <c r="H5155" i="1"/>
  <c r="I2657" i="1"/>
  <c r="H2657" i="1"/>
  <c r="I2707" i="1"/>
  <c r="H2707" i="1"/>
  <c r="I3544" i="1"/>
  <c r="H3544" i="1"/>
  <c r="I5310" i="1"/>
  <c r="H5310" i="1"/>
  <c r="I4187" i="1"/>
  <c r="H4187" i="1"/>
  <c r="I5961" i="1"/>
  <c r="H5961" i="1"/>
  <c r="I6626" i="1"/>
  <c r="H6626" i="1"/>
  <c r="I3392" i="1"/>
  <c r="H3392" i="1"/>
  <c r="I2980" i="1"/>
  <c r="H2980" i="1"/>
  <c r="I4020" i="1"/>
  <c r="H4020" i="1"/>
  <c r="I5265" i="1"/>
  <c r="H5265" i="1"/>
  <c r="I4894" i="1"/>
  <c r="H4894" i="1"/>
  <c r="I3805" i="1"/>
  <c r="H3805" i="1"/>
  <c r="I2227" i="1"/>
  <c r="H2227" i="1"/>
  <c r="I4010" i="1"/>
  <c r="H4010" i="1"/>
  <c r="I2036" i="1"/>
  <c r="H2036" i="1"/>
  <c r="I658" i="1"/>
  <c r="H658" i="1"/>
  <c r="I3734" i="1"/>
  <c r="H3734" i="1"/>
  <c r="I2788" i="1"/>
  <c r="H2788" i="1"/>
  <c r="I6329" i="1"/>
  <c r="H6329" i="1"/>
  <c r="I4164" i="1"/>
  <c r="H4164" i="1"/>
  <c r="I1753" i="1"/>
  <c r="H1753" i="1"/>
  <c r="I3004" i="1"/>
  <c r="H3004" i="1"/>
  <c r="I5144" i="1"/>
  <c r="H5144" i="1"/>
  <c r="I2315" i="1"/>
  <c r="H2315" i="1"/>
  <c r="I5805" i="1"/>
  <c r="H5805" i="1"/>
  <c r="I2862" i="1"/>
  <c r="H2862" i="1"/>
  <c r="I7018" i="1"/>
  <c r="H7018" i="1"/>
  <c r="I7010" i="1"/>
  <c r="H7010" i="1"/>
  <c r="I3223" i="1"/>
  <c r="H3223" i="1"/>
  <c r="I2903" i="1"/>
  <c r="H2903" i="1"/>
  <c r="I4889" i="1"/>
  <c r="H4889" i="1"/>
  <c r="I4980" i="1"/>
  <c r="H4980" i="1"/>
  <c r="I5853" i="1"/>
  <c r="H5853" i="1"/>
  <c r="I4860" i="1"/>
  <c r="H4860" i="1"/>
  <c r="I977" i="1"/>
  <c r="H977" i="1"/>
  <c r="I4723" i="1"/>
  <c r="H4723" i="1"/>
  <c r="I1973" i="1"/>
  <c r="H1973" i="1"/>
  <c r="I2601" i="1"/>
  <c r="H2601" i="1"/>
  <c r="I1751" i="1"/>
  <c r="H1751" i="1"/>
  <c r="I1365" i="1"/>
  <c r="H1365" i="1"/>
  <c r="I3416" i="1"/>
  <c r="H3416" i="1"/>
  <c r="I1922" i="1"/>
  <c r="H1922" i="1"/>
  <c r="I3896" i="1"/>
  <c r="H3896" i="1"/>
  <c r="I3086" i="1"/>
  <c r="H3086" i="1"/>
  <c r="I6196" i="1"/>
  <c r="H6196" i="1"/>
  <c r="I2508" i="1"/>
  <c r="H2508" i="1"/>
  <c r="I5861" i="1"/>
  <c r="H5861" i="1"/>
  <c r="I3499" i="1"/>
  <c r="H3499" i="1"/>
  <c r="I3348" i="1"/>
  <c r="H3348" i="1"/>
  <c r="I5138" i="1"/>
  <c r="H5138" i="1"/>
  <c r="I3524" i="1"/>
  <c r="H3524" i="1"/>
  <c r="I5063" i="1"/>
  <c r="H5063" i="1"/>
  <c r="I4778" i="1"/>
  <c r="H4778" i="1"/>
  <c r="I6304" i="1"/>
  <c r="H6304" i="1"/>
  <c r="I2927" i="1"/>
  <c r="H2927" i="1"/>
  <c r="I4888" i="1"/>
  <c r="H4888" i="1"/>
  <c r="I4018" i="1"/>
  <c r="H4018" i="1"/>
  <c r="I1566" i="1"/>
  <c r="H1566" i="1"/>
  <c r="I1781" i="1"/>
  <c r="H1781" i="1"/>
  <c r="I4746" i="1"/>
  <c r="H4746" i="1"/>
  <c r="I3321" i="1"/>
  <c r="H3321" i="1"/>
  <c r="I3829" i="1"/>
  <c r="H3829" i="1"/>
  <c r="I2314" i="1"/>
  <c r="H2314" i="1"/>
  <c r="I5690" i="1"/>
  <c r="H5690" i="1"/>
  <c r="I2719" i="1"/>
  <c r="H2719" i="1"/>
  <c r="I5284" i="1"/>
  <c r="H5284" i="1"/>
  <c r="I1293" i="1"/>
  <c r="H1293" i="1"/>
  <c r="I4706" i="1"/>
  <c r="H4706" i="1"/>
  <c r="I4870" i="1"/>
  <c r="H4870" i="1"/>
  <c r="I5372" i="1"/>
  <c r="H5372" i="1"/>
  <c r="I4014" i="1"/>
  <c r="H4014" i="1"/>
  <c r="I2475" i="1"/>
  <c r="H2475" i="1"/>
  <c r="I4163" i="1"/>
  <c r="H4163" i="1"/>
  <c r="I3420" i="1"/>
  <c r="H3420" i="1"/>
  <c r="I3115" i="1"/>
  <c r="H3115" i="1"/>
  <c r="I2469" i="1"/>
  <c r="H2469" i="1"/>
  <c r="I4177" i="1"/>
  <c r="H4177" i="1"/>
  <c r="I5174" i="1"/>
  <c r="H5174" i="1"/>
  <c r="I1273" i="1"/>
  <c r="H1273" i="1"/>
  <c r="I3108" i="1"/>
  <c r="H3108" i="1"/>
  <c r="I2691" i="1"/>
  <c r="H2691" i="1"/>
  <c r="I3895" i="1"/>
  <c r="H3895" i="1"/>
  <c r="I3286" i="1"/>
  <c r="H3286" i="1"/>
  <c r="I4898" i="1"/>
  <c r="H4898" i="1"/>
  <c r="I3802" i="1"/>
  <c r="H3802" i="1"/>
  <c r="I2840" i="1"/>
  <c r="H2840" i="1"/>
  <c r="I4046" i="1"/>
  <c r="H4046" i="1"/>
  <c r="I3022" i="1"/>
  <c r="H3022" i="1"/>
  <c r="I5958" i="1"/>
  <c r="H5958" i="1"/>
  <c r="I4666" i="1"/>
  <c r="H4666" i="1"/>
  <c r="I3273" i="1"/>
  <c r="H3273" i="1"/>
  <c r="I6913" i="1"/>
  <c r="H6913" i="1"/>
  <c r="I2618" i="1"/>
  <c r="H2618" i="1"/>
  <c r="I817" i="1"/>
  <c r="H817" i="1"/>
  <c r="I3583" i="1"/>
  <c r="H3583" i="1"/>
  <c r="I2000" i="1"/>
  <c r="H2000" i="1"/>
  <c r="I3364" i="1"/>
  <c r="H3364" i="1"/>
  <c r="I3032" i="1"/>
  <c r="H3032" i="1"/>
  <c r="I3694" i="1"/>
  <c r="H3694" i="1"/>
  <c r="I2074" i="1"/>
  <c r="H2074" i="1"/>
  <c r="I4582" i="1"/>
  <c r="H4582" i="1"/>
  <c r="I5356" i="1"/>
  <c r="H5356" i="1"/>
  <c r="I2075" i="1"/>
  <c r="H2075" i="1"/>
  <c r="I4108" i="1"/>
  <c r="H4108" i="1"/>
  <c r="I3458" i="1"/>
  <c r="H3458" i="1"/>
  <c r="I3016" i="1"/>
  <c r="H3016" i="1"/>
  <c r="I2968" i="1"/>
  <c r="H2968" i="1"/>
  <c r="I1070" i="1"/>
  <c r="H1070" i="1"/>
  <c r="I2163" i="1"/>
  <c r="H2163" i="1"/>
  <c r="I5177" i="1"/>
  <c r="H5177" i="1"/>
  <c r="I4489" i="1"/>
  <c r="H4489" i="1"/>
  <c r="I6880" i="1"/>
  <c r="H6880" i="1"/>
  <c r="I1803" i="1"/>
  <c r="H1803" i="1"/>
  <c r="I3783" i="1"/>
  <c r="H3783" i="1"/>
  <c r="I2613" i="1"/>
  <c r="H2613" i="1"/>
  <c r="I5650" i="1"/>
  <c r="H5650" i="1"/>
  <c r="I6403" i="1"/>
  <c r="H6403" i="1"/>
  <c r="I762" i="1"/>
  <c r="H762" i="1"/>
  <c r="I3274" i="1"/>
  <c r="H3274" i="1"/>
  <c r="I3934" i="1"/>
  <c r="H3934" i="1"/>
  <c r="I6375" i="1"/>
  <c r="H6375" i="1"/>
  <c r="I3765" i="1"/>
  <c r="H3765" i="1"/>
  <c r="I3753" i="1"/>
  <c r="H3753" i="1"/>
  <c r="I4137" i="1"/>
  <c r="H4137" i="1"/>
  <c r="I2846" i="1"/>
  <c r="H2846" i="1"/>
  <c r="I4035" i="1"/>
  <c r="H4035" i="1"/>
  <c r="I5987" i="1"/>
  <c r="H5987" i="1"/>
  <c r="I1211" i="1"/>
  <c r="H1211" i="1"/>
  <c r="I3328" i="1"/>
  <c r="H3328" i="1"/>
  <c r="I4780" i="1"/>
  <c r="H4780" i="1"/>
  <c r="I2864" i="1"/>
  <c r="H2864" i="1"/>
  <c r="I4622" i="1"/>
  <c r="H4622" i="1"/>
  <c r="I4972" i="1"/>
  <c r="H4972" i="1"/>
  <c r="I5902" i="1"/>
  <c r="H5902" i="1"/>
  <c r="I2358" i="1"/>
  <c r="H2358" i="1"/>
  <c r="I1660" i="1"/>
  <c r="H1660" i="1"/>
  <c r="I5708" i="1"/>
  <c r="H5708" i="1"/>
  <c r="I4509" i="1"/>
  <c r="H4509" i="1"/>
  <c r="I991" i="1"/>
  <c r="H991" i="1"/>
  <c r="I5905" i="1"/>
  <c r="H5905" i="1"/>
  <c r="I3801" i="1"/>
  <c r="H3801" i="1"/>
  <c r="I6748" i="1"/>
  <c r="H6748" i="1"/>
  <c r="I5146" i="1"/>
  <c r="H5146" i="1"/>
  <c r="I3318" i="1"/>
  <c r="H3318" i="1"/>
  <c r="I4566" i="1"/>
  <c r="H4566" i="1"/>
  <c r="I3163" i="1"/>
  <c r="H3163" i="1"/>
  <c r="I2172" i="1"/>
  <c r="H2172" i="1"/>
  <c r="I3250" i="1"/>
  <c r="H3250" i="1"/>
  <c r="I5371" i="1"/>
  <c r="H5371" i="1"/>
  <c r="I5571" i="1"/>
  <c r="H5571" i="1"/>
  <c r="I1015" i="1"/>
  <c r="H1015" i="1"/>
  <c r="I1478" i="1"/>
  <c r="H1478" i="1"/>
  <c r="I3035" i="1"/>
  <c r="H3035" i="1"/>
  <c r="I5855" i="1"/>
  <c r="H5855" i="1"/>
  <c r="I5296" i="1"/>
  <c r="H5296" i="1"/>
  <c r="I2092" i="1"/>
  <c r="H2092" i="1"/>
  <c r="I3171" i="1"/>
  <c r="H3171" i="1"/>
  <c r="I5569" i="1"/>
  <c r="H5569" i="1"/>
  <c r="I5384" i="1"/>
  <c r="H5384" i="1"/>
  <c r="I3952" i="1"/>
  <c r="H3952" i="1"/>
  <c r="I5402" i="1"/>
  <c r="H5402" i="1"/>
  <c r="I2643" i="1"/>
  <c r="H2643" i="1"/>
  <c r="I2353" i="1"/>
  <c r="H2353" i="1"/>
  <c r="I2164" i="1"/>
  <c r="H2164" i="1"/>
  <c r="I2771" i="1"/>
  <c r="H2771" i="1"/>
  <c r="I1244" i="1"/>
  <c r="H1244" i="1"/>
  <c r="I5257" i="1"/>
  <c r="H5257" i="1"/>
  <c r="I4442" i="1"/>
  <c r="H4442" i="1"/>
  <c r="I4621" i="1"/>
  <c r="H4621" i="1"/>
  <c r="I4743" i="1"/>
  <c r="H4743" i="1"/>
  <c r="I4660" i="1"/>
  <c r="H4660" i="1"/>
  <c r="I1356" i="1"/>
  <c r="H1356" i="1"/>
  <c r="I4766" i="1"/>
  <c r="H4766" i="1"/>
  <c r="I3400" i="1"/>
  <c r="H3400" i="1"/>
  <c r="I5005" i="1"/>
  <c r="H5005" i="1"/>
  <c r="I1094" i="1"/>
  <c r="H1094" i="1"/>
  <c r="I5452" i="1"/>
  <c r="H5452" i="1"/>
  <c r="I5679" i="1"/>
  <c r="H5679" i="1"/>
  <c r="I4380" i="1"/>
  <c r="H4380" i="1"/>
  <c r="I3794" i="1"/>
  <c r="H3794" i="1"/>
  <c r="I3053" i="1"/>
  <c r="H3053" i="1"/>
  <c r="I5976" i="1"/>
  <c r="H5976" i="1"/>
  <c r="I4879" i="1"/>
  <c r="H4879" i="1"/>
  <c r="I449" i="1"/>
  <c r="H449" i="1"/>
  <c r="I4960" i="1"/>
  <c r="H4960" i="1"/>
  <c r="I4275" i="1"/>
  <c r="H4275" i="1"/>
  <c r="I4176" i="1"/>
  <c r="H4176" i="1"/>
  <c r="I4353" i="1"/>
  <c r="H4353" i="1"/>
  <c r="I4454" i="1"/>
  <c r="H4454" i="1"/>
  <c r="I2549" i="1"/>
  <c r="H2549" i="1"/>
  <c r="I3224" i="1"/>
  <c r="H3224" i="1"/>
  <c r="I6505" i="1"/>
  <c r="H6505" i="1"/>
  <c r="I4172" i="1"/>
  <c r="H4172" i="1"/>
  <c r="I2311" i="1"/>
  <c r="H2311" i="1"/>
  <c r="I1822" i="1"/>
  <c r="H1822" i="1"/>
  <c r="I3359" i="1"/>
  <c r="H3359" i="1"/>
  <c r="I5380" i="1"/>
  <c r="H5380" i="1"/>
  <c r="I2738" i="1"/>
  <c r="H2738" i="1"/>
  <c r="I4128" i="1"/>
  <c r="H4128" i="1"/>
  <c r="I3985" i="1"/>
  <c r="H3985" i="1"/>
  <c r="I2967" i="1"/>
  <c r="H2967" i="1"/>
  <c r="I1539" i="1"/>
  <c r="H1539" i="1"/>
  <c r="I6781" i="1"/>
  <c r="H6781" i="1"/>
  <c r="I1807" i="1"/>
  <c r="H1807" i="1"/>
  <c r="I4935" i="1"/>
  <c r="H4935" i="1"/>
  <c r="I1392" i="1"/>
  <c r="H1392" i="1"/>
  <c r="I2301" i="1"/>
  <c r="H2301" i="1"/>
  <c r="I1593" i="1"/>
  <c r="H1593" i="1"/>
  <c r="I3297" i="1"/>
  <c r="H3297" i="1"/>
  <c r="I2431" i="1"/>
  <c r="H2431" i="1"/>
  <c r="I4953" i="1"/>
  <c r="H4953" i="1"/>
  <c r="I2596" i="1"/>
  <c r="H2596" i="1"/>
  <c r="I5813" i="1"/>
  <c r="H5813" i="1"/>
  <c r="I3240" i="1"/>
  <c r="H3240" i="1"/>
  <c r="I2063" i="1"/>
  <c r="H2063" i="1"/>
  <c r="I6077" i="1"/>
  <c r="H6077" i="1"/>
  <c r="I1042" i="1"/>
  <c r="H1042" i="1"/>
  <c r="I2509" i="1"/>
  <c r="H2509" i="1"/>
  <c r="I5171" i="1"/>
  <c r="H5171" i="1"/>
  <c r="I5218" i="1"/>
  <c r="H5218" i="1"/>
  <c r="I1075" i="1"/>
  <c r="H1075" i="1"/>
  <c r="I1671" i="1"/>
  <c r="H1671" i="1"/>
  <c r="I6813" i="1"/>
  <c r="H6813" i="1"/>
  <c r="I3502" i="1"/>
  <c r="H3502" i="1"/>
  <c r="I3814" i="1"/>
  <c r="H3814" i="1"/>
  <c r="I4976" i="1"/>
  <c r="H4976" i="1"/>
  <c r="I999" i="1"/>
  <c r="H999" i="1"/>
  <c r="I2468" i="1"/>
  <c r="H2468" i="1"/>
  <c r="I1449" i="1"/>
  <c r="H1449" i="1"/>
  <c r="I2530" i="1"/>
  <c r="H2530" i="1"/>
  <c r="I6480" i="1"/>
  <c r="H6480" i="1"/>
  <c r="I5214" i="1"/>
  <c r="H5214" i="1"/>
  <c r="I2713" i="1"/>
  <c r="H2713" i="1"/>
  <c r="I2800" i="1"/>
  <c r="H2800" i="1"/>
  <c r="I2569" i="1"/>
  <c r="H2569" i="1"/>
  <c r="I2961" i="1"/>
  <c r="H2961" i="1"/>
  <c r="I5816" i="1"/>
  <c r="H5816" i="1"/>
  <c r="I5904" i="1"/>
  <c r="H5904" i="1"/>
  <c r="I5477" i="1"/>
  <c r="H5477" i="1"/>
  <c r="I6285" i="1"/>
  <c r="H6285" i="1"/>
  <c r="I2609" i="1"/>
  <c r="H2609" i="1"/>
  <c r="I3860" i="1"/>
  <c r="H3860" i="1"/>
  <c r="I2051" i="1"/>
  <c r="H2051" i="1"/>
  <c r="I3118" i="1"/>
  <c r="H3118" i="1"/>
  <c r="I6641" i="1"/>
  <c r="H6641" i="1"/>
  <c r="I3818" i="1"/>
  <c r="H3818" i="1"/>
  <c r="I2561" i="1"/>
  <c r="H2561" i="1"/>
  <c r="I3000" i="1"/>
  <c r="H3000" i="1"/>
  <c r="I603" i="1"/>
  <c r="H603" i="1"/>
  <c r="I4044" i="1"/>
  <c r="H4044" i="1"/>
  <c r="I6969" i="1"/>
  <c r="H6969" i="1"/>
  <c r="I6497" i="1"/>
  <c r="H6497" i="1"/>
  <c r="I932" i="1"/>
  <c r="H932" i="1"/>
  <c r="I4612" i="1"/>
  <c r="H4612" i="1"/>
  <c r="I4401" i="1"/>
  <c r="H4401" i="1"/>
  <c r="I4987" i="1"/>
  <c r="H4987" i="1"/>
  <c r="I2139" i="1"/>
  <c r="H2139" i="1"/>
  <c r="I4465" i="1"/>
  <c r="H4465" i="1"/>
  <c r="I3651" i="1"/>
  <c r="H3651" i="1"/>
  <c r="I2341" i="1"/>
  <c r="H2341" i="1"/>
  <c r="I5824" i="1"/>
  <c r="H5824" i="1"/>
  <c r="I5595" i="1"/>
  <c r="H5595" i="1"/>
  <c r="I3189" i="1"/>
  <c r="H3189" i="1"/>
  <c r="I1396" i="1"/>
  <c r="H1396" i="1"/>
  <c r="I3425" i="1"/>
  <c r="H3425" i="1"/>
  <c r="I1885" i="1"/>
  <c r="H1885" i="1"/>
  <c r="I1608" i="1"/>
  <c r="H1608" i="1"/>
  <c r="I570" i="1"/>
  <c r="H570" i="1"/>
  <c r="I590" i="1"/>
  <c r="H590" i="1"/>
  <c r="I2669" i="1"/>
  <c r="H2669" i="1"/>
  <c r="I4691" i="1"/>
  <c r="H4691" i="1"/>
  <c r="I5220" i="1"/>
  <c r="H5220" i="1"/>
  <c r="I2756" i="1"/>
  <c r="H2756" i="1"/>
  <c r="I3491" i="1"/>
  <c r="H3491" i="1"/>
  <c r="I6081" i="1"/>
  <c r="H6081" i="1"/>
  <c r="I6322" i="1"/>
  <c r="H6322" i="1"/>
  <c r="I5528" i="1"/>
  <c r="H5528" i="1"/>
  <c r="I5057" i="1"/>
  <c r="H5057" i="1"/>
  <c r="I2066" i="1"/>
  <c r="H2066" i="1"/>
  <c r="I4301" i="1"/>
  <c r="H4301" i="1"/>
  <c r="I3111" i="1"/>
  <c r="H3111" i="1"/>
  <c r="I1609" i="1"/>
  <c r="H1609" i="1"/>
  <c r="I3859" i="1"/>
  <c r="H3859" i="1"/>
  <c r="I5625" i="1"/>
  <c r="H5625" i="1"/>
  <c r="I3152" i="1"/>
  <c r="H3152" i="1"/>
  <c r="I1796" i="1"/>
  <c r="H1796" i="1"/>
  <c r="I4606" i="1"/>
  <c r="H4606" i="1"/>
  <c r="I1495" i="1"/>
  <c r="H1495" i="1"/>
  <c r="I4452" i="1"/>
  <c r="H4452" i="1"/>
  <c r="I3770" i="1"/>
  <c r="H3770" i="1"/>
  <c r="I4323" i="1"/>
  <c r="H4323" i="1"/>
  <c r="I1073" i="1"/>
  <c r="H1073" i="1"/>
  <c r="I1430" i="1"/>
  <c r="H1430" i="1"/>
  <c r="I2205" i="1"/>
  <c r="H2205" i="1"/>
  <c r="I1857" i="1"/>
  <c r="H1857" i="1"/>
  <c r="I2973" i="1"/>
  <c r="H2973" i="1"/>
  <c r="I4989" i="1"/>
  <c r="H4989" i="1"/>
  <c r="I1957" i="1"/>
  <c r="H1957" i="1"/>
  <c r="I3744" i="1"/>
  <c r="H3744" i="1"/>
  <c r="I645" i="1"/>
  <c r="H645" i="1"/>
  <c r="I4716" i="1"/>
  <c r="H4716" i="1"/>
  <c r="I5554" i="1"/>
  <c r="H5554" i="1"/>
  <c r="I935" i="1"/>
  <c r="H935" i="1"/>
  <c r="I3384" i="1"/>
  <c r="H3384" i="1"/>
  <c r="I4265" i="1"/>
  <c r="H4265" i="1"/>
  <c r="I2464" i="1"/>
  <c r="H2464" i="1"/>
  <c r="I4244" i="1"/>
  <c r="H4244" i="1"/>
  <c r="I2906" i="1"/>
  <c r="H2906" i="1"/>
  <c r="I5424" i="1"/>
  <c r="H5424" i="1"/>
  <c r="I2001" i="1"/>
  <c r="H2001" i="1"/>
  <c r="I5211" i="1"/>
  <c r="H5211" i="1"/>
  <c r="I2499" i="1"/>
  <c r="H2499" i="1"/>
  <c r="I6519" i="1"/>
  <c r="H6519" i="1"/>
  <c r="I5274" i="1"/>
  <c r="H5274" i="1"/>
  <c r="I3298" i="1"/>
  <c r="H3298" i="1"/>
  <c r="I2346" i="1"/>
  <c r="H2346" i="1"/>
  <c r="I4431" i="1"/>
  <c r="H4431" i="1"/>
  <c r="I3737" i="1"/>
  <c r="H3737" i="1"/>
  <c r="I5019" i="1"/>
  <c r="H5019" i="1"/>
  <c r="I5089" i="1"/>
  <c r="H5089" i="1"/>
  <c r="I3928" i="1"/>
  <c r="H3928" i="1"/>
  <c r="I450" i="1"/>
  <c r="H450" i="1"/>
  <c r="I2932" i="1"/>
  <c r="H2932" i="1"/>
  <c r="I4767" i="1"/>
  <c r="H4767" i="1"/>
  <c r="I5241" i="1"/>
  <c r="H5241" i="1"/>
  <c r="I4408" i="1"/>
  <c r="H4408" i="1"/>
  <c r="I6832" i="1"/>
  <c r="H6832" i="1"/>
  <c r="I3912" i="1"/>
  <c r="H3912" i="1"/>
  <c r="I878" i="1"/>
  <c r="H878" i="1"/>
  <c r="I2200" i="1"/>
  <c r="H2200" i="1"/>
  <c r="I3900" i="1"/>
  <c r="H3900" i="1"/>
  <c r="I6114" i="1"/>
  <c r="H6114" i="1"/>
  <c r="I3278" i="1"/>
  <c r="H3278" i="1"/>
  <c r="I2123" i="1"/>
  <c r="H2123" i="1"/>
  <c r="I1198" i="1"/>
  <c r="H1198" i="1"/>
  <c r="I2912" i="1"/>
  <c r="H2912" i="1"/>
  <c r="I2938" i="1"/>
  <c r="H2938" i="1"/>
  <c r="I1654" i="1"/>
  <c r="H1654" i="1"/>
  <c r="I4368" i="1"/>
  <c r="H4368" i="1"/>
  <c r="I4445" i="1"/>
  <c r="H4445" i="1"/>
  <c r="I3958" i="1"/>
  <c r="H3958" i="1"/>
  <c r="I2652" i="1"/>
  <c r="H2652" i="1"/>
  <c r="I6970" i="1"/>
  <c r="H6970" i="1"/>
  <c r="I5187" i="1"/>
  <c r="H5187" i="1"/>
  <c r="I2507" i="1"/>
  <c r="H2507" i="1"/>
  <c r="I4190" i="1"/>
  <c r="H4190" i="1"/>
  <c r="I3080" i="1"/>
  <c r="H3080" i="1"/>
  <c r="I5303" i="1"/>
  <c r="H5303" i="1"/>
  <c r="I3151" i="1"/>
  <c r="H3151" i="1"/>
  <c r="I3229" i="1"/>
  <c r="H3229" i="1"/>
  <c r="I663" i="1"/>
  <c r="H663" i="1"/>
  <c r="I6530" i="1"/>
  <c r="H6530" i="1"/>
  <c r="I6732" i="1"/>
  <c r="H6732" i="1"/>
  <c r="I202" i="1"/>
  <c r="H202" i="1"/>
  <c r="I6090" i="1"/>
  <c r="H6090" i="1"/>
  <c r="I4204" i="1"/>
  <c r="H4204" i="1"/>
  <c r="I4206" i="1"/>
  <c r="H4206" i="1"/>
  <c r="I455" i="1"/>
  <c r="H455" i="1"/>
  <c r="I4785" i="1"/>
  <c r="H4785" i="1"/>
  <c r="I3336" i="1"/>
  <c r="H3336" i="1"/>
  <c r="I5795" i="1"/>
  <c r="H5795" i="1"/>
  <c r="I4927" i="1"/>
  <c r="H4927" i="1"/>
  <c r="I3463" i="1"/>
  <c r="H3463" i="1"/>
  <c r="I5817" i="1"/>
  <c r="H5817" i="1"/>
  <c r="I6638" i="1"/>
  <c r="H6638" i="1"/>
  <c r="I3105" i="1"/>
  <c r="H3105" i="1"/>
  <c r="I3165" i="1"/>
  <c r="H3165" i="1"/>
  <c r="I4028" i="1"/>
  <c r="H4028" i="1"/>
  <c r="I3514" i="1"/>
  <c r="H3514" i="1"/>
  <c r="I3980" i="1"/>
  <c r="H3980" i="1"/>
  <c r="I3317" i="1"/>
  <c r="H3317" i="1"/>
  <c r="I2945" i="1"/>
  <c r="H2945" i="1"/>
  <c r="I3894" i="1"/>
  <c r="H3894" i="1"/>
  <c r="I6968" i="1"/>
  <c r="H6968" i="1"/>
  <c r="I3311" i="1"/>
  <c r="H3311" i="1"/>
  <c r="I2736" i="1"/>
  <c r="H2736" i="1"/>
  <c r="I2851" i="1"/>
  <c r="H2851" i="1"/>
  <c r="I2236" i="1"/>
  <c r="H2236" i="1"/>
  <c r="I1168" i="1"/>
  <c r="H1168" i="1"/>
  <c r="I895" i="1"/>
  <c r="H895" i="1"/>
  <c r="I5097" i="1"/>
  <c r="H5097" i="1"/>
  <c r="I3623" i="1"/>
  <c r="H3623" i="1"/>
  <c r="I5124" i="1"/>
  <c r="H5124" i="1"/>
  <c r="I5897" i="1"/>
  <c r="H5897" i="1"/>
  <c r="I500" i="1"/>
  <c r="H500" i="1"/>
  <c r="I2921" i="1"/>
  <c r="H2921" i="1"/>
  <c r="I2700" i="1"/>
  <c r="H2700" i="1"/>
  <c r="I3901" i="1"/>
  <c r="H3901" i="1"/>
  <c r="I2795" i="1"/>
  <c r="H2795" i="1"/>
  <c r="I6191" i="1"/>
  <c r="H6191" i="1"/>
  <c r="I2768" i="1"/>
  <c r="H2768" i="1"/>
  <c r="I5068" i="1"/>
  <c r="H5068" i="1"/>
  <c r="I4118" i="1"/>
  <c r="H4118" i="1"/>
  <c r="I2585" i="1"/>
  <c r="H2585" i="1"/>
  <c r="I1347" i="1"/>
  <c r="H1347" i="1"/>
  <c r="I498" i="1"/>
  <c r="H498" i="1"/>
  <c r="I3781" i="1"/>
  <c r="H3781" i="1"/>
  <c r="I4079" i="1"/>
  <c r="H4079" i="1"/>
  <c r="I5734" i="1"/>
  <c r="H5734" i="1"/>
  <c r="I2525" i="1"/>
  <c r="H2525" i="1"/>
  <c r="I2720" i="1"/>
  <c r="H2720" i="1"/>
  <c r="I4232" i="1"/>
  <c r="H4232" i="1"/>
  <c r="I3936" i="1"/>
  <c r="H3936" i="1"/>
  <c r="I2721" i="1"/>
  <c r="H2721" i="1"/>
  <c r="I4653" i="1"/>
  <c r="H4653" i="1"/>
  <c r="I4390" i="1"/>
  <c r="H4390" i="1"/>
  <c r="I4548" i="1"/>
  <c r="H4548" i="1"/>
  <c r="I2948" i="1"/>
  <c r="H2948" i="1"/>
  <c r="I3749" i="1"/>
  <c r="H3749" i="1"/>
  <c r="I4786" i="1"/>
  <c r="H4786" i="1"/>
  <c r="I4779" i="1"/>
  <c r="H4779" i="1"/>
  <c r="I6396" i="1"/>
  <c r="H6396" i="1"/>
  <c r="I1764" i="1"/>
  <c r="H1764" i="1"/>
  <c r="I5685" i="1"/>
  <c r="H5685" i="1"/>
  <c r="I2002" i="1"/>
  <c r="H2002" i="1"/>
  <c r="I1421" i="1"/>
  <c r="H1421" i="1"/>
  <c r="I6535" i="1"/>
  <c r="H6535" i="1"/>
  <c r="I2830" i="1"/>
  <c r="H2830" i="1"/>
  <c r="I2611" i="1"/>
  <c r="H2611" i="1"/>
  <c r="I2114" i="1"/>
  <c r="H2114" i="1"/>
  <c r="I4422" i="1"/>
  <c r="H4422" i="1"/>
  <c r="I2265" i="1"/>
  <c r="H2265" i="1"/>
  <c r="I2850" i="1"/>
  <c r="H2850" i="1"/>
  <c r="I6170" i="1"/>
  <c r="H6170" i="1"/>
  <c r="I4063" i="1"/>
  <c r="H4063" i="1"/>
  <c r="I3071" i="1"/>
  <c r="H3071" i="1"/>
  <c r="I651" i="1"/>
  <c r="H651" i="1"/>
  <c r="I1895" i="1"/>
  <c r="H1895" i="1"/>
  <c r="I4905" i="1"/>
  <c r="H4905" i="1"/>
  <c r="I4160" i="1"/>
  <c r="H4160" i="1"/>
  <c r="I5489" i="1"/>
  <c r="H5489" i="1"/>
  <c r="I1290" i="1"/>
  <c r="H1290" i="1"/>
  <c r="I5579" i="1"/>
  <c r="H5579" i="1"/>
  <c r="I5140" i="1"/>
  <c r="H5140" i="1"/>
  <c r="I3197" i="1"/>
  <c r="H3197" i="1"/>
  <c r="I6696" i="1"/>
  <c r="H6696" i="1"/>
  <c r="I3077" i="1"/>
  <c r="H3077" i="1"/>
  <c r="I5793" i="1"/>
  <c r="H5793" i="1"/>
  <c r="I3706" i="1"/>
  <c r="H3706" i="1"/>
  <c r="I2218" i="1"/>
  <c r="H2218" i="1"/>
  <c r="I3192" i="1"/>
  <c r="H3192" i="1"/>
  <c r="I3833" i="1"/>
  <c r="H3833" i="1"/>
  <c r="I4122" i="1"/>
  <c r="H4122" i="1"/>
  <c r="I5352" i="1"/>
  <c r="H5352" i="1"/>
  <c r="I4906" i="1"/>
  <c r="H4906" i="1"/>
  <c r="I2272" i="1"/>
  <c r="H2272" i="1"/>
  <c r="I2396" i="1"/>
  <c r="H2396" i="1"/>
  <c r="I396" i="1"/>
  <c r="H396" i="1"/>
  <c r="H1324" i="1"/>
  <c r="I3143" i="1"/>
  <c r="H3143" i="1"/>
  <c r="I4733" i="1"/>
  <c r="H4733" i="1"/>
  <c r="I3601" i="1"/>
  <c r="H3601" i="1"/>
  <c r="I2841" i="1"/>
  <c r="H2841" i="1"/>
  <c r="I3918" i="1"/>
  <c r="H3918" i="1"/>
  <c r="I1986" i="1"/>
  <c r="H1986" i="1"/>
  <c r="I6210" i="1"/>
  <c r="H6210" i="1"/>
  <c r="I1924" i="1"/>
  <c r="H1924" i="1"/>
  <c r="I5165" i="1"/>
  <c r="H5165" i="1"/>
  <c r="I5418" i="1"/>
  <c r="H5418" i="1"/>
  <c r="I5486" i="1"/>
  <c r="H5486" i="1"/>
  <c r="I1860" i="1"/>
  <c r="H1860" i="1"/>
  <c r="I3079" i="1"/>
  <c r="H3079" i="1"/>
  <c r="I4787" i="1"/>
  <c r="H4787" i="1"/>
  <c r="I4643" i="1"/>
  <c r="H4643" i="1"/>
  <c r="I1869" i="1"/>
  <c r="H1869" i="1"/>
  <c r="I4625" i="1"/>
  <c r="H4625" i="1"/>
  <c r="I4099" i="1"/>
  <c r="H4099" i="1"/>
  <c r="I4453" i="1"/>
  <c r="H4453" i="1"/>
  <c r="I660" i="1"/>
  <c r="H660" i="1"/>
  <c r="I2033" i="1"/>
  <c r="H2033" i="1"/>
  <c r="I1447" i="1"/>
  <c r="H1447" i="1"/>
  <c r="I6688" i="1"/>
  <c r="H6688" i="1"/>
  <c r="I619" i="1"/>
  <c r="H619" i="1"/>
  <c r="I3206" i="1"/>
  <c r="H3206" i="1"/>
  <c r="I4450" i="1"/>
  <c r="H4450" i="1"/>
  <c r="I4311" i="1"/>
  <c r="H4311" i="1"/>
  <c r="I2323" i="1"/>
  <c r="H2323" i="1"/>
  <c r="I5179" i="1"/>
  <c r="H5179" i="1"/>
  <c r="I2523" i="1"/>
  <c r="H2523" i="1"/>
  <c r="I1400" i="1"/>
  <c r="H1400" i="1"/>
  <c r="I2399" i="1"/>
  <c r="H2399" i="1"/>
  <c r="I5944" i="1"/>
  <c r="H5944" i="1"/>
  <c r="I4034" i="1"/>
  <c r="H4034" i="1"/>
  <c r="I474" i="1"/>
  <c r="H474" i="1"/>
  <c r="I6432" i="1"/>
  <c r="H6432" i="1"/>
  <c r="I4603" i="1"/>
  <c r="H4603" i="1"/>
  <c r="I5409" i="1"/>
  <c r="H5409" i="1"/>
  <c r="I3487" i="1"/>
  <c r="H3487" i="1"/>
  <c r="I6141" i="1"/>
  <c r="H6141" i="1"/>
  <c r="I4462" i="1"/>
  <c r="H4462" i="1"/>
  <c r="I3292" i="1"/>
  <c r="H3292" i="1"/>
  <c r="I3534" i="1"/>
  <c r="H3534" i="1"/>
  <c r="I2493" i="1"/>
  <c r="H2493" i="1"/>
  <c r="I3520" i="1"/>
  <c r="H3520" i="1"/>
  <c r="I4355" i="1"/>
  <c r="H4355" i="1"/>
  <c r="I3219" i="1"/>
  <c r="H3219" i="1"/>
  <c r="I4404" i="1"/>
  <c r="H4404" i="1"/>
  <c r="I2009" i="1"/>
  <c r="H2009" i="1"/>
  <c r="I6782" i="1"/>
  <c r="H6782" i="1"/>
  <c r="I4878" i="1"/>
  <c r="H4878" i="1"/>
  <c r="I5216" i="1"/>
  <c r="H5216" i="1"/>
  <c r="I1405" i="1"/>
  <c r="H1405" i="1"/>
  <c r="I2271" i="1"/>
  <c r="H2271" i="1"/>
  <c r="I5381" i="1"/>
  <c r="H5381" i="1"/>
  <c r="I4572" i="1"/>
  <c r="H4572" i="1"/>
  <c r="I5229" i="1"/>
  <c r="H5229" i="1"/>
  <c r="I2053" i="1"/>
  <c r="H2053" i="1"/>
  <c r="H2390" i="1"/>
  <c r="I2018" i="1"/>
  <c r="H2018" i="1"/>
  <c r="I3522" i="1"/>
  <c r="H3522" i="1"/>
  <c r="I5083" i="1"/>
  <c r="H5083" i="1"/>
  <c r="I4499" i="1"/>
  <c r="H4499" i="1"/>
  <c r="I4223" i="1"/>
  <c r="H4223" i="1"/>
  <c r="I5294" i="1"/>
  <c r="H5294" i="1"/>
  <c r="I3481" i="1"/>
  <c r="H3481" i="1"/>
  <c r="I237" i="1"/>
  <c r="H237" i="1"/>
  <c r="I2999" i="1"/>
  <c r="H2999" i="1"/>
  <c r="I6354" i="1"/>
  <c r="H6354" i="1"/>
  <c r="I2914" i="1"/>
  <c r="H2914" i="1"/>
  <c r="I5946" i="1"/>
  <c r="H5946" i="1"/>
  <c r="I1632" i="1"/>
  <c r="H1632" i="1"/>
  <c r="I4077" i="1"/>
  <c r="H4077" i="1"/>
  <c r="I2284" i="1"/>
  <c r="H2284" i="1"/>
  <c r="I3116" i="1"/>
  <c r="H3116" i="1"/>
  <c r="I5317" i="1"/>
  <c r="H5317" i="1"/>
  <c r="I3134" i="1"/>
  <c r="H3134" i="1"/>
  <c r="I1325" i="1"/>
  <c r="H1325" i="1"/>
  <c r="I2506" i="1"/>
  <c r="H2506" i="1"/>
  <c r="I1192" i="1"/>
  <c r="H1192" i="1"/>
  <c r="I245" i="1"/>
  <c r="H245" i="1"/>
  <c r="I2531" i="1"/>
  <c r="H2531" i="1"/>
  <c r="I5525" i="1"/>
  <c r="H5525" i="1"/>
  <c r="I5578" i="1"/>
  <c r="H5578" i="1"/>
  <c r="I423" i="1"/>
  <c r="H423" i="1"/>
  <c r="I1784" i="1"/>
  <c r="H1784" i="1"/>
  <c r="I2424" i="1"/>
  <c r="H2424" i="1"/>
  <c r="I445" i="1"/>
  <c r="H445" i="1"/>
  <c r="I4717" i="1"/>
  <c r="H4717" i="1"/>
  <c r="I2527" i="1"/>
  <c r="H2527" i="1"/>
  <c r="I4003" i="1"/>
  <c r="H4003" i="1"/>
  <c r="I4485" i="1"/>
  <c r="H4485" i="1"/>
  <c r="I1481" i="1"/>
  <c r="H1481" i="1"/>
  <c r="I1526" i="1"/>
  <c r="H1526" i="1"/>
  <c r="I4520" i="1"/>
  <c r="H4520" i="1"/>
  <c r="I2059" i="1"/>
  <c r="H2059" i="1"/>
  <c r="I1292" i="1"/>
  <c r="H1292" i="1"/>
  <c r="I5931" i="1"/>
  <c r="H5931" i="1"/>
  <c r="I4809" i="1"/>
  <c r="H4809" i="1"/>
  <c r="I780" i="1"/>
  <c r="H780" i="1"/>
  <c r="I1302" i="1"/>
  <c r="H1302" i="1"/>
  <c r="I5143" i="1"/>
  <c r="H5143" i="1"/>
  <c r="I2774" i="1"/>
  <c r="H2774" i="1"/>
  <c r="I6176" i="1"/>
  <c r="H6176" i="1"/>
  <c r="I960" i="1"/>
  <c r="H960" i="1"/>
  <c r="I4059" i="1"/>
  <c r="H4059" i="1"/>
  <c r="I3262" i="1"/>
  <c r="H3262" i="1"/>
  <c r="I2536" i="1"/>
  <c r="H2536" i="1"/>
  <c r="I2892" i="1"/>
  <c r="H2892" i="1"/>
  <c r="I2289" i="1"/>
  <c r="H2289" i="1"/>
  <c r="I3921" i="1"/>
  <c r="H3921" i="1"/>
  <c r="I320" i="1"/>
  <c r="H320" i="1"/>
  <c r="I386" i="1"/>
  <c r="H386" i="1"/>
  <c r="I4103" i="1"/>
  <c r="H4103" i="1"/>
  <c r="I2810" i="1"/>
  <c r="H2810" i="1"/>
  <c r="I1443" i="1"/>
  <c r="H1443" i="1"/>
  <c r="I3066" i="1"/>
  <c r="H3066" i="1"/>
  <c r="I5506" i="1"/>
  <c r="H5506" i="1"/>
  <c r="I6986" i="1"/>
  <c r="H6986" i="1"/>
  <c r="I4399" i="1"/>
  <c r="H4399" i="1"/>
  <c r="I2183" i="1"/>
  <c r="H2183" i="1"/>
  <c r="I3956" i="1"/>
  <c r="H3956" i="1"/>
  <c r="I3913" i="1"/>
  <c r="H3913" i="1"/>
  <c r="I6745" i="1"/>
  <c r="H6745" i="1"/>
  <c r="I5037" i="1"/>
  <c r="H5037" i="1"/>
  <c r="I5800" i="1"/>
  <c r="H5800" i="1"/>
  <c r="I4200" i="1"/>
  <c r="H4200" i="1"/>
  <c r="I3653" i="1"/>
  <c r="H3653" i="1"/>
  <c r="I1097" i="1"/>
  <c r="H1097" i="1"/>
  <c r="I6933" i="1"/>
  <c r="H6933" i="1"/>
  <c r="I374" i="1"/>
  <c r="H374" i="1"/>
  <c r="I5741" i="1"/>
  <c r="H5741" i="1"/>
  <c r="I5505" i="1"/>
  <c r="H5505" i="1"/>
  <c r="I1573" i="1"/>
  <c r="H1573" i="1"/>
  <c r="I5268" i="1"/>
  <c r="H5268" i="1"/>
  <c r="I512" i="1"/>
  <c r="H512" i="1"/>
  <c r="I6629" i="1"/>
  <c r="H6629" i="1"/>
  <c r="I3771" i="1"/>
  <c r="H3771" i="1"/>
  <c r="I4554" i="1"/>
  <c r="H4554" i="1"/>
  <c r="I3097" i="1"/>
  <c r="H3097" i="1"/>
  <c r="I2413" i="1"/>
  <c r="H2413" i="1"/>
  <c r="I5231" i="1"/>
  <c r="H5231" i="1"/>
  <c r="I4357" i="1"/>
  <c r="H4357" i="1"/>
  <c r="I4025" i="1"/>
  <c r="H4025" i="1"/>
  <c r="I3957" i="1"/>
  <c r="H3957" i="1"/>
  <c r="I5567" i="1"/>
  <c r="H5567" i="1"/>
  <c r="I3374" i="1"/>
  <c r="H3374" i="1"/>
  <c r="I4085" i="1"/>
  <c r="H4085" i="1"/>
  <c r="I6789" i="1"/>
  <c r="H6789" i="1"/>
  <c r="I2154" i="1"/>
  <c r="H2154" i="1"/>
  <c r="I4858" i="1"/>
  <c r="H4858" i="1"/>
  <c r="I3708" i="1"/>
  <c r="H3708" i="1"/>
  <c r="I3477" i="1"/>
  <c r="H3477" i="1"/>
  <c r="I3831" i="1"/>
  <c r="H3831" i="1"/>
  <c r="I5075" i="1"/>
  <c r="H5075" i="1"/>
  <c r="I2895" i="1"/>
  <c r="H2895" i="1"/>
  <c r="I2147" i="1"/>
  <c r="H2147" i="1"/>
  <c r="I5589" i="1"/>
  <c r="H5589" i="1"/>
  <c r="I3459" i="1"/>
  <c r="H3459" i="1"/>
  <c r="I4436" i="1"/>
  <c r="H4436" i="1"/>
  <c r="I2918" i="1"/>
  <c r="H2918" i="1"/>
  <c r="I2216" i="1"/>
  <c r="H2216" i="1"/>
  <c r="I5295" i="1"/>
  <c r="H5295" i="1"/>
  <c r="I6137" i="1"/>
  <c r="H6137" i="1"/>
  <c r="I3147" i="1"/>
  <c r="H3147" i="1"/>
  <c r="I4502" i="1"/>
  <c r="H4502" i="1"/>
  <c r="I1145" i="1"/>
  <c r="H1145" i="1"/>
  <c r="I6358" i="1"/>
  <c r="H6358" i="1"/>
  <c r="I4694" i="1"/>
  <c r="H4694" i="1"/>
  <c r="I3249" i="1"/>
  <c r="H3249" i="1"/>
  <c r="I4592" i="1"/>
  <c r="H4592" i="1"/>
  <c r="I5412" i="1"/>
  <c r="H5412" i="1"/>
  <c r="I2428" i="1"/>
  <c r="H2428" i="1"/>
  <c r="I4655" i="1"/>
  <c r="H4655" i="1"/>
  <c r="I6028" i="1"/>
  <c r="H6028" i="1"/>
  <c r="I3884" i="1"/>
  <c r="H3884" i="1"/>
  <c r="I4567" i="1"/>
  <c r="H4567" i="1"/>
  <c r="I4402" i="1"/>
  <c r="H4402" i="1"/>
  <c r="I6816" i="1"/>
  <c r="H6816" i="1"/>
  <c r="I987" i="1"/>
  <c r="H987" i="1"/>
  <c r="I4762" i="1"/>
  <c r="H4762" i="1"/>
  <c r="I6003" i="1"/>
  <c r="H6003" i="1"/>
  <c r="I1795" i="1"/>
  <c r="H1795" i="1"/>
  <c r="I4867" i="1"/>
  <c r="H4867" i="1"/>
  <c r="I805" i="1"/>
  <c r="H805" i="1"/>
  <c r="I3006" i="1"/>
  <c r="H3006" i="1"/>
  <c r="I2729" i="1"/>
  <c r="H2729" i="1"/>
  <c r="I5204" i="1"/>
  <c r="H5204" i="1"/>
  <c r="I3838" i="1"/>
  <c r="H3838" i="1"/>
  <c r="I4282" i="1"/>
  <c r="H4282" i="1"/>
  <c r="I4966" i="1"/>
  <c r="H4966" i="1"/>
  <c r="I4218" i="1"/>
  <c r="H4218" i="1"/>
  <c r="I1080" i="1"/>
  <c r="H1080" i="1"/>
  <c r="I1004" i="1"/>
  <c r="H1004" i="1"/>
  <c r="I525" i="1"/>
  <c r="H525" i="1"/>
  <c r="I6854" i="1"/>
  <c r="H6854" i="1"/>
  <c r="I5801" i="1"/>
  <c r="H5801" i="1"/>
  <c r="I606" i="1"/>
  <c r="H606" i="1"/>
  <c r="I2988" i="1"/>
  <c r="H2988" i="1"/>
  <c r="I6314" i="1"/>
  <c r="H6314" i="1"/>
  <c r="I3716" i="1"/>
  <c r="H3716" i="1"/>
  <c r="I5619" i="1"/>
  <c r="H5619" i="1"/>
  <c r="I2868" i="1"/>
  <c r="H2868" i="1"/>
  <c r="I5582" i="1"/>
  <c r="H5582" i="1"/>
  <c r="I5202" i="1"/>
  <c r="H5202" i="1"/>
  <c r="I6425" i="1"/>
  <c r="H6425" i="1"/>
  <c r="I3078" i="1"/>
  <c r="H3078" i="1"/>
  <c r="I6067" i="1"/>
  <c r="H6067" i="1"/>
  <c r="I6014" i="1"/>
  <c r="H6014" i="1"/>
  <c r="I6826" i="1"/>
  <c r="H6826" i="1"/>
  <c r="I2615" i="1"/>
  <c r="H2615" i="1"/>
  <c r="I4658" i="1"/>
  <c r="H4658" i="1"/>
  <c r="I4410" i="1"/>
  <c r="H4410" i="1"/>
  <c r="I5243" i="1"/>
  <c r="H5243" i="1"/>
  <c r="I5458" i="1"/>
  <c r="H5458" i="1"/>
  <c r="I2631" i="1"/>
  <c r="H2631" i="1"/>
  <c r="I4349" i="1"/>
  <c r="H4349" i="1"/>
  <c r="I5752" i="1"/>
  <c r="H5752" i="1"/>
  <c r="I5464" i="1"/>
  <c r="H5464" i="1"/>
  <c r="I5696" i="1"/>
  <c r="H5696" i="1"/>
  <c r="I2654" i="1"/>
  <c r="H2654" i="1"/>
  <c r="I5677" i="1"/>
  <c r="H5677" i="1"/>
  <c r="I5343" i="1"/>
  <c r="H5343" i="1"/>
  <c r="I1316" i="1"/>
  <c r="H1316" i="1"/>
  <c r="I1210" i="1"/>
  <c r="H1210" i="1"/>
  <c r="I2760" i="1"/>
  <c r="H2760" i="1"/>
  <c r="I5694" i="1"/>
  <c r="H5694" i="1"/>
  <c r="I5682" i="1"/>
  <c r="H5682" i="1"/>
  <c r="I2911" i="1"/>
  <c r="H2911" i="1"/>
  <c r="I1779" i="1"/>
  <c r="H1779" i="1"/>
  <c r="I4112" i="1"/>
  <c r="H4112" i="1"/>
  <c r="I6392" i="1"/>
  <c r="H6392" i="1"/>
  <c r="I1783" i="1"/>
  <c r="H1783" i="1"/>
  <c r="I5283" i="1"/>
  <c r="H5283" i="1"/>
  <c r="I4317" i="1"/>
  <c r="H4317" i="1"/>
  <c r="I5059" i="1"/>
  <c r="H5059" i="1"/>
  <c r="I4686" i="1"/>
  <c r="H4686" i="1"/>
  <c r="I3277" i="1"/>
  <c r="H3277" i="1"/>
  <c r="I2975" i="1"/>
  <c r="H2975" i="1"/>
  <c r="I4320" i="1"/>
  <c r="H4320" i="1"/>
  <c r="I1645" i="1"/>
  <c r="H1645" i="1"/>
  <c r="I6563" i="1"/>
  <c r="H6563" i="1"/>
  <c r="I3955" i="1"/>
  <c r="H3955" i="1"/>
  <c r="I2600" i="1"/>
  <c r="H2600" i="1"/>
  <c r="I3136" i="1"/>
  <c r="H3136" i="1"/>
  <c r="I5422" i="1"/>
  <c r="H5422" i="1"/>
  <c r="I4379" i="1"/>
  <c r="H4379" i="1"/>
  <c r="I2103" i="1"/>
  <c r="H2103" i="1"/>
  <c r="I4196" i="1"/>
  <c r="H4196" i="1"/>
  <c r="I4507" i="1"/>
  <c r="H4507" i="1"/>
  <c r="I5304" i="1"/>
  <c r="H5304" i="1"/>
  <c r="I2997" i="1"/>
  <c r="H2997" i="1"/>
  <c r="I1617" i="1"/>
  <c r="H1617" i="1"/>
  <c r="I4925" i="1"/>
  <c r="H4925" i="1"/>
  <c r="I1842" i="1"/>
  <c r="H1842" i="1"/>
  <c r="I5107" i="1"/>
  <c r="H5107" i="1"/>
  <c r="I5064" i="1"/>
  <c r="H5064" i="1"/>
  <c r="I3736" i="1"/>
  <c r="H3736" i="1"/>
  <c r="I6575" i="1"/>
  <c r="H6575" i="1"/>
  <c r="I2206" i="1"/>
  <c r="H2206" i="1"/>
  <c r="I381" i="1"/>
  <c r="H381" i="1"/>
  <c r="I1970" i="1"/>
  <c r="H1970" i="1"/>
  <c r="I4251" i="1"/>
  <c r="H4251" i="1"/>
  <c r="I4561" i="1"/>
  <c r="H4561" i="1"/>
  <c r="I6076" i="1"/>
  <c r="H6076" i="1"/>
  <c r="I2156" i="1"/>
  <c r="H2156" i="1"/>
  <c r="I1368" i="1"/>
  <c r="H1368" i="1"/>
  <c r="I4086" i="1"/>
  <c r="H4086" i="1"/>
  <c r="I5194" i="1"/>
  <c r="H5194" i="1"/>
  <c r="I4713" i="1"/>
  <c r="H4713" i="1"/>
  <c r="I6724" i="1"/>
  <c r="H6724" i="1"/>
  <c r="I6408" i="1"/>
  <c r="H6408" i="1"/>
  <c r="I460" i="1"/>
  <c r="H460" i="1"/>
  <c r="I5956" i="1"/>
  <c r="H5956" i="1"/>
  <c r="I6206" i="1"/>
  <c r="H6206" i="1"/>
  <c r="I4635" i="1"/>
  <c r="H4635" i="1"/>
  <c r="I6663" i="1"/>
  <c r="H6663" i="1"/>
  <c r="I5045" i="1"/>
  <c r="H5045" i="1"/>
  <c r="I3567" i="1"/>
  <c r="H3567" i="1"/>
  <c r="I4799" i="1"/>
  <c r="H4799" i="1"/>
  <c r="I2320" i="1"/>
  <c r="H2320" i="1"/>
  <c r="I1684" i="1"/>
  <c r="H1684" i="1"/>
  <c r="I5873" i="1"/>
  <c r="H5873" i="1"/>
  <c r="I2715" i="1"/>
  <c r="H2715" i="1"/>
  <c r="I3012" i="1"/>
  <c r="H3012" i="1"/>
  <c r="I4975" i="1"/>
  <c r="H4975" i="1"/>
  <c r="I3469" i="1"/>
  <c r="H3469" i="1"/>
  <c r="I1033" i="1"/>
  <c r="H1033" i="1"/>
  <c r="I627" i="1"/>
  <c r="H627" i="1"/>
  <c r="I2004" i="1"/>
  <c r="H2004" i="1"/>
  <c r="I5649" i="1"/>
  <c r="H5649" i="1"/>
  <c r="I5383" i="1"/>
  <c r="H5383" i="1"/>
  <c r="I4847" i="1"/>
  <c r="H4847" i="1"/>
  <c r="I4409" i="1"/>
  <c r="H4409" i="1"/>
  <c r="I4855" i="1"/>
  <c r="H4855" i="1"/>
  <c r="I3015" i="1"/>
  <c r="H3015" i="1"/>
  <c r="I5639" i="1"/>
  <c r="H5639" i="1"/>
  <c r="I4459" i="1"/>
  <c r="H4459" i="1"/>
  <c r="H2199" i="1"/>
  <c r="I1587" i="1"/>
  <c r="H1587" i="1"/>
  <c r="I3401" i="1"/>
  <c r="H3401" i="1"/>
  <c r="I3935" i="1"/>
  <c r="H3935" i="1"/>
  <c r="I1759" i="1"/>
  <c r="H1759" i="1"/>
  <c r="I3942" i="1"/>
  <c r="H3942" i="1"/>
  <c r="I4618" i="1"/>
  <c r="H4618" i="1"/>
  <c r="I2456" i="1"/>
  <c r="H2456" i="1"/>
  <c r="I4371" i="1"/>
  <c r="H4371" i="1"/>
  <c r="I478" i="1"/>
  <c r="H478" i="1"/>
  <c r="I2170" i="1"/>
  <c r="H2170" i="1"/>
  <c r="I4971" i="1"/>
  <c r="H4971" i="1"/>
  <c r="I1621" i="1"/>
  <c r="H1621" i="1"/>
  <c r="I2972" i="1"/>
  <c r="H2972" i="1"/>
  <c r="I3307" i="1"/>
  <c r="H3307" i="1"/>
  <c r="I1875" i="1"/>
  <c r="H1875" i="1"/>
  <c r="I2692" i="1"/>
  <c r="H2692" i="1"/>
  <c r="I1786" i="1"/>
  <c r="H1786" i="1"/>
  <c r="I4629" i="1"/>
  <c r="H4629" i="1"/>
  <c r="I559" i="1"/>
  <c r="H559" i="1"/>
  <c r="I2701" i="1"/>
  <c r="H2701" i="1"/>
  <c r="I6130" i="1"/>
  <c r="H6130" i="1"/>
  <c r="I2533" i="1"/>
  <c r="H2533" i="1"/>
  <c r="I2478" i="1"/>
  <c r="H2478" i="1"/>
  <c r="I3943" i="1"/>
  <c r="H3943" i="1"/>
  <c r="I2891" i="1"/>
  <c r="H2891" i="1"/>
  <c r="I1990" i="1"/>
  <c r="H1990" i="1"/>
  <c r="I2453" i="1"/>
  <c r="H2453" i="1"/>
  <c r="I1819" i="1"/>
  <c r="H1819" i="1"/>
  <c r="I1476" i="1"/>
  <c r="H1476" i="1"/>
  <c r="I2694" i="1"/>
  <c r="H2694" i="1"/>
  <c r="I942" i="1"/>
  <c r="H942" i="1"/>
  <c r="I4175" i="1"/>
  <c r="H4175" i="1"/>
  <c r="I1329" i="1"/>
  <c r="H1329" i="1"/>
  <c r="I4776" i="1"/>
  <c r="H4776" i="1"/>
  <c r="I4314" i="1"/>
  <c r="H4314" i="1"/>
  <c r="I4159" i="1"/>
  <c r="H4159" i="1"/>
  <c r="I6277" i="1"/>
  <c r="H6277" i="1"/>
  <c r="I4215" i="1"/>
  <c r="H4215" i="1"/>
  <c r="I410" i="1"/>
  <c r="H410" i="1"/>
  <c r="I4991" i="1"/>
  <c r="H4991" i="1"/>
  <c r="I1646" i="1"/>
  <c r="H1646" i="1"/>
  <c r="I4696" i="1"/>
  <c r="H4696" i="1"/>
  <c r="I3505" i="1"/>
  <c r="H3505" i="1"/>
  <c r="I3036" i="1"/>
  <c r="H3036" i="1"/>
  <c r="I2083" i="1"/>
  <c r="H2083" i="1"/>
  <c r="I2661" i="1"/>
  <c r="H2661" i="1"/>
  <c r="I1517" i="1"/>
  <c r="H1517" i="1"/>
  <c r="I2394" i="1"/>
  <c r="H2394" i="1"/>
  <c r="I1752" i="1"/>
  <c r="H1752" i="1"/>
  <c r="I2124" i="1"/>
  <c r="H2124" i="1"/>
  <c r="I1387" i="1"/>
  <c r="H1387" i="1"/>
  <c r="I3313" i="1"/>
  <c r="H3313" i="1"/>
  <c r="I2675" i="1"/>
  <c r="H2675" i="1"/>
  <c r="I5007" i="1"/>
  <c r="H5007" i="1"/>
  <c r="I642" i="1"/>
  <c r="H642" i="1"/>
  <c r="I4611" i="1"/>
  <c r="H4611" i="1"/>
  <c r="I6456" i="1"/>
  <c r="H6456" i="1"/>
  <c r="I6740" i="1"/>
  <c r="H6740" i="1"/>
  <c r="I325" i="1"/>
  <c r="H325" i="1"/>
  <c r="I5323" i="1"/>
  <c r="H5323" i="1"/>
  <c r="I2119" i="1"/>
  <c r="H2119" i="1"/>
  <c r="I5428" i="1"/>
  <c r="H5428" i="1"/>
  <c r="I4154" i="1"/>
  <c r="H4154" i="1"/>
  <c r="I2805" i="1"/>
  <c r="H2805" i="1"/>
  <c r="I6643" i="1"/>
  <c r="H6643" i="1"/>
  <c r="I595" i="1"/>
  <c r="H595" i="1"/>
  <c r="I3017" i="1"/>
  <c r="H3017" i="1"/>
  <c r="I4707" i="1"/>
  <c r="H4707" i="1"/>
  <c r="I5150" i="1"/>
  <c r="H5150" i="1"/>
  <c r="I6920" i="1"/>
  <c r="H6920" i="1"/>
  <c r="I5465" i="1"/>
  <c r="H5465" i="1"/>
  <c r="I4982" i="1"/>
  <c r="H4982" i="1"/>
  <c r="I3997" i="1"/>
  <c r="H3997" i="1"/>
  <c r="I966" i="1"/>
  <c r="H966" i="1"/>
  <c r="I4262" i="1"/>
  <c r="H4262" i="1"/>
  <c r="I2054" i="1"/>
  <c r="H2054" i="1"/>
  <c r="I3398" i="1"/>
  <c r="H3398" i="1"/>
  <c r="I911" i="1"/>
  <c r="H911" i="1"/>
  <c r="I1871" i="1"/>
  <c r="H1871" i="1"/>
  <c r="I1169" i="1"/>
  <c r="H1169" i="1"/>
  <c r="I5338" i="1"/>
  <c r="H5338" i="1"/>
  <c r="I480" i="1"/>
  <c r="H480" i="1"/>
  <c r="I5654" i="1"/>
  <c r="H5654" i="1"/>
  <c r="I4693" i="1"/>
  <c r="H4693" i="1"/>
  <c r="I2994" i="1"/>
  <c r="H2994" i="1"/>
  <c r="I6102" i="1"/>
  <c r="H6102" i="1"/>
  <c r="I5975" i="1"/>
  <c r="H5975" i="1"/>
  <c r="I5670" i="1"/>
  <c r="H5670" i="1"/>
  <c r="I3211" i="1"/>
  <c r="H3211" i="1"/>
  <c r="I1882" i="1"/>
  <c r="H1882" i="1"/>
  <c r="I2321" i="1"/>
  <c r="H2321" i="1"/>
  <c r="I4817" i="1"/>
  <c r="H4817" i="1"/>
  <c r="I5077" i="1"/>
  <c r="H5077" i="1"/>
  <c r="I4203" i="1"/>
  <c r="H4203" i="1"/>
  <c r="I2516" i="1"/>
  <c r="H2516" i="1"/>
  <c r="I1801" i="1"/>
  <c r="H1801" i="1"/>
  <c r="I5765" i="1"/>
  <c r="H5765" i="1"/>
  <c r="I2584" i="1"/>
  <c r="H2584" i="1"/>
  <c r="I3270" i="1"/>
  <c r="H3270" i="1"/>
  <c r="I4138" i="1"/>
  <c r="H4138" i="1"/>
  <c r="I6859" i="1"/>
  <c r="H6859" i="1"/>
  <c r="I3788" i="1"/>
  <c r="H3788" i="1"/>
  <c r="I5912" i="1"/>
  <c r="H5912" i="1"/>
  <c r="I348" i="1"/>
  <c r="H348" i="1"/>
  <c r="I1553" i="1"/>
  <c r="H1553" i="1"/>
  <c r="I2060" i="1"/>
  <c r="H2060" i="1"/>
  <c r="I3351" i="1"/>
  <c r="H3351" i="1"/>
  <c r="I1283" i="1"/>
  <c r="H1283" i="1"/>
  <c r="I2753" i="1"/>
  <c r="H2753" i="1"/>
  <c r="I436" i="1"/>
  <c r="H436" i="1"/>
  <c r="I2055" i="1"/>
  <c r="H2055" i="1"/>
  <c r="I4304" i="1"/>
  <c r="H4304" i="1"/>
  <c r="I4633" i="1"/>
  <c r="H4633" i="1"/>
  <c r="I1487" i="1"/>
  <c r="H1487" i="1"/>
  <c r="I4182" i="1"/>
  <c r="H4182" i="1"/>
  <c r="I4619" i="1"/>
  <c r="H4619" i="1"/>
  <c r="I3930" i="1"/>
  <c r="H3930" i="1"/>
  <c r="I2879" i="1"/>
  <c r="H2879" i="1"/>
  <c r="I6644" i="1"/>
  <c r="H6644" i="1"/>
  <c r="I2887" i="1"/>
  <c r="H2887" i="1"/>
  <c r="I2672" i="1"/>
  <c r="H2672" i="1"/>
  <c r="I3283" i="1"/>
  <c r="H3283" i="1"/>
  <c r="I3059" i="1"/>
  <c r="H3059" i="1"/>
  <c r="I3427" i="1"/>
  <c r="H3427" i="1"/>
  <c r="I2330" i="1"/>
  <c r="H2330" i="1"/>
  <c r="I5472" i="1"/>
  <c r="H5472" i="1"/>
  <c r="I847" i="1"/>
  <c r="H847" i="1"/>
  <c r="I3174" i="1"/>
  <c r="H3174" i="1"/>
  <c r="I4220" i="1"/>
  <c r="H4220" i="1"/>
  <c r="I2116" i="1"/>
  <c r="H2116" i="1"/>
  <c r="I2717" i="1"/>
  <c r="H2717" i="1"/>
  <c r="I2351" i="1"/>
  <c r="H2351" i="1"/>
  <c r="I5183" i="1"/>
  <c r="H5183" i="1"/>
  <c r="I2050" i="1"/>
  <c r="H2050" i="1"/>
  <c r="I4512" i="1"/>
  <c r="H4512" i="1"/>
  <c r="I6664" i="1"/>
  <c r="H6664" i="1"/>
  <c r="I2393" i="1"/>
  <c r="H2393" i="1"/>
  <c r="I6892" i="1"/>
  <c r="H6892" i="1"/>
  <c r="I189" i="1"/>
  <c r="H189" i="1"/>
  <c r="I5737" i="1"/>
  <c r="H5737" i="1"/>
  <c r="I1883" i="1"/>
  <c r="H1883" i="1"/>
  <c r="I5390" i="1"/>
  <c r="H5390" i="1"/>
  <c r="I6891" i="1"/>
  <c r="H6891" i="1"/>
  <c r="I5167" i="1"/>
  <c r="H5167" i="1"/>
  <c r="I4550" i="1"/>
  <c r="H4550" i="1"/>
  <c r="I4036" i="1"/>
  <c r="H4036" i="1"/>
  <c r="I568" i="1"/>
  <c r="H568" i="1"/>
  <c r="I220" i="1"/>
  <c r="H220" i="1"/>
  <c r="I3232" i="1"/>
  <c r="H3232" i="1"/>
  <c r="I6705" i="1"/>
  <c r="H6705" i="1"/>
  <c r="I4838" i="1"/>
  <c r="H4838" i="1"/>
  <c r="I3622" i="1"/>
  <c r="H3622" i="1"/>
  <c r="I4384" i="1"/>
  <c r="H4384" i="1"/>
  <c r="I5312" i="1"/>
  <c r="H5312" i="1"/>
  <c r="I2120" i="1"/>
  <c r="H2120" i="1"/>
  <c r="I1524" i="1"/>
  <c r="H1524" i="1"/>
  <c r="I5199" i="1"/>
  <c r="H5199" i="1"/>
  <c r="I6442" i="1"/>
  <c r="H6442" i="1"/>
  <c r="I5093" i="1"/>
  <c r="H5093" i="1"/>
  <c r="I5688" i="1"/>
  <c r="H5688" i="1"/>
  <c r="I3535" i="1"/>
  <c r="H3535" i="1"/>
  <c r="I3902" i="1"/>
  <c r="H3902" i="1"/>
  <c r="I5789" i="1"/>
  <c r="H5789" i="1"/>
  <c r="I6349" i="1"/>
  <c r="H6349" i="1"/>
  <c r="I5139" i="1"/>
  <c r="H5139" i="1"/>
  <c r="I2221" i="1"/>
  <c r="H2221" i="1"/>
  <c r="I3031" i="1"/>
  <c r="H3031" i="1"/>
  <c r="I4985" i="1"/>
  <c r="H4985" i="1"/>
  <c r="I2038" i="1"/>
  <c r="H2038" i="1"/>
  <c r="I4310" i="1"/>
  <c r="H4310" i="1"/>
  <c r="I1401" i="1"/>
  <c r="H1401" i="1"/>
  <c r="I1414" i="1"/>
  <c r="H1414" i="1"/>
  <c r="I3310" i="1"/>
  <c r="H3310" i="1"/>
  <c r="I4737" i="1"/>
  <c r="H4737" i="1"/>
  <c r="I3282" i="1"/>
  <c r="H3282" i="1"/>
  <c r="I5864" i="1"/>
  <c r="H5864" i="1"/>
  <c r="I1965" i="1"/>
  <c r="H1965" i="1"/>
  <c r="I6296" i="1"/>
  <c r="H6296" i="1"/>
  <c r="I2776" i="1"/>
  <c r="H2776" i="1"/>
  <c r="I5436" i="1"/>
  <c r="H5436" i="1"/>
  <c r="I520" i="1"/>
  <c r="H520" i="1"/>
  <c r="I4228" i="1"/>
  <c r="H4228" i="1"/>
  <c r="I6956" i="1"/>
  <c r="H6956" i="1"/>
  <c r="I2607" i="1"/>
  <c r="H2607" i="1"/>
  <c r="I4642" i="1"/>
  <c r="H4642" i="1"/>
  <c r="I569" i="1"/>
  <c r="H569" i="1"/>
  <c r="I2528" i="1"/>
  <c r="H2528" i="1"/>
  <c r="I5470" i="1"/>
  <c r="H5470" i="1"/>
  <c r="I4424" i="1"/>
  <c r="H4424" i="1"/>
  <c r="I2207" i="1"/>
  <c r="H2207" i="1"/>
  <c r="I605" i="1"/>
  <c r="H605" i="1"/>
  <c r="I2913" i="1"/>
  <c r="H2913" i="1"/>
  <c r="I3221" i="1"/>
  <c r="H3221" i="1"/>
  <c r="I4098" i="1"/>
  <c r="H4098" i="1"/>
  <c r="I2630" i="1"/>
  <c r="H2630" i="1"/>
  <c r="I5587" i="1"/>
  <c r="H5587" i="1"/>
  <c r="I2253" i="1"/>
  <c r="H2253" i="1"/>
  <c r="I3315" i="1"/>
  <c r="H3315" i="1"/>
  <c r="I3242" i="1"/>
  <c r="H3242" i="1"/>
  <c r="I3676" i="1"/>
  <c r="H3676" i="1"/>
  <c r="I4758" i="1"/>
  <c r="H4758" i="1"/>
  <c r="I5478" i="1"/>
  <c r="H5478" i="1"/>
  <c r="I3181" i="1"/>
  <c r="H3181" i="1"/>
  <c r="I402" i="1"/>
  <c r="H402" i="1"/>
  <c r="I2983" i="1"/>
  <c r="H2983" i="1"/>
  <c r="I2490" i="1"/>
  <c r="H2490" i="1"/>
  <c r="I2579" i="1"/>
  <c r="H2579" i="1"/>
  <c r="I3816" i="1"/>
  <c r="H3816" i="1"/>
  <c r="I5529" i="1"/>
  <c r="H5529" i="1"/>
  <c r="I913" i="1"/>
  <c r="H913" i="1"/>
  <c r="I2448" i="1"/>
  <c r="H2448" i="1"/>
  <c r="I7005" i="1"/>
  <c r="H7005" i="1"/>
  <c r="I3247" i="1"/>
  <c r="H3247" i="1"/>
  <c r="I6752" i="1"/>
  <c r="H6752" i="1"/>
  <c r="I5618" i="1"/>
  <c r="H5618" i="1"/>
  <c r="I1618" i="1"/>
  <c r="H1618" i="1"/>
  <c r="I4449" i="1"/>
  <c r="H4449" i="1"/>
  <c r="I5907" i="1"/>
  <c r="H5907" i="1"/>
  <c r="I4673" i="1"/>
  <c r="H4673" i="1"/>
  <c r="I2159" i="1"/>
  <c r="H2159" i="1"/>
  <c r="I2619" i="1"/>
  <c r="H2619" i="1"/>
  <c r="I5092" i="1"/>
  <c r="H5092" i="1"/>
  <c r="I1367" i="1"/>
  <c r="H1367" i="1"/>
  <c r="I5875" i="1"/>
  <c r="H5875" i="1"/>
  <c r="I4857" i="1"/>
  <c r="H4857" i="1"/>
  <c r="I6909" i="1"/>
  <c r="H6909" i="1"/>
  <c r="I5195" i="1"/>
  <c r="H5195" i="1"/>
  <c r="I4521" i="1"/>
  <c r="H4521" i="1"/>
  <c r="I1202" i="1"/>
  <c r="H1202" i="1"/>
  <c r="I4229" i="1"/>
  <c r="H4229" i="1"/>
  <c r="I2086" i="1"/>
  <c r="H2086" i="1"/>
  <c r="I2586" i="1"/>
  <c r="H2586" i="1"/>
  <c r="I1523" i="1"/>
  <c r="H1523" i="1"/>
  <c r="I5192" i="1"/>
  <c r="H5192" i="1"/>
  <c r="I4674" i="1"/>
  <c r="H4674" i="1"/>
  <c r="I2832" i="1"/>
  <c r="H2832" i="1"/>
  <c r="I2712" i="1"/>
  <c r="H2712" i="1"/>
  <c r="I3609" i="1"/>
  <c r="H3609" i="1"/>
  <c r="I2412" i="1"/>
  <c r="H2412" i="1"/>
  <c r="I4821" i="1"/>
  <c r="H4821" i="1"/>
  <c r="I4188" i="1"/>
  <c r="H4188" i="1"/>
  <c r="I2780" i="1"/>
  <c r="H2780" i="1"/>
  <c r="I741" i="1"/>
  <c r="H741" i="1"/>
  <c r="I2462" i="1"/>
  <c r="H2462" i="1"/>
  <c r="I3193" i="1"/>
  <c r="H3193" i="1"/>
  <c r="I3095" i="1"/>
  <c r="H3095" i="1"/>
  <c r="I3088" i="1"/>
  <c r="H3088" i="1"/>
  <c r="I1542" i="1"/>
  <c r="H1542" i="1"/>
  <c r="I4115" i="1"/>
  <c r="H4115" i="1"/>
  <c r="I6338" i="1"/>
  <c r="H6338" i="1"/>
  <c r="I5538" i="1"/>
  <c r="H5538" i="1"/>
  <c r="I1933" i="1"/>
  <c r="H1933" i="1"/>
  <c r="I6734" i="1"/>
  <c r="H6734" i="1"/>
  <c r="I3603" i="1"/>
  <c r="H3603" i="1"/>
  <c r="I3003" i="1"/>
  <c r="H3003" i="1"/>
  <c r="I2826" i="1"/>
  <c r="H2826" i="1"/>
  <c r="I2979" i="1"/>
  <c r="H2979" i="1"/>
  <c r="I4536" i="1"/>
  <c r="H4536" i="1"/>
  <c r="I914" i="1"/>
  <c r="H914" i="1"/>
  <c r="I2897" i="1"/>
  <c r="H2897" i="1"/>
  <c r="I4141" i="1"/>
  <c r="H4141" i="1"/>
  <c r="I4002" i="1"/>
  <c r="H4002" i="1"/>
  <c r="I1005" i="1"/>
  <c r="H1005" i="1"/>
  <c r="I6093" i="1"/>
  <c r="H6093" i="1"/>
  <c r="I6594" i="1"/>
  <c r="H6594" i="1"/>
  <c r="I4742" i="1"/>
  <c r="H4742" i="1"/>
  <c r="I6798" i="1"/>
  <c r="H6798" i="1"/>
  <c r="I2405" i="1"/>
  <c r="H2405" i="1"/>
  <c r="I3971" i="1"/>
  <c r="H3971" i="1"/>
  <c r="I4699" i="1"/>
  <c r="H4699" i="1"/>
  <c r="I194" i="1"/>
  <c r="H194" i="1"/>
  <c r="I2954" i="1"/>
  <c r="H2954" i="1"/>
  <c r="I4027" i="1"/>
  <c r="H4027" i="1"/>
  <c r="I4395" i="1"/>
  <c r="H4395" i="1"/>
  <c r="I1595" i="1"/>
  <c r="H1595" i="1"/>
  <c r="I2874" i="1"/>
  <c r="H2874" i="1"/>
  <c r="I2513" i="1"/>
  <c r="H2513" i="1"/>
  <c r="I6906" i="1"/>
  <c r="H6906" i="1"/>
  <c r="I2847" i="1"/>
  <c r="H2847" i="1"/>
  <c r="I2425" i="1"/>
  <c r="H2425" i="1"/>
  <c r="I2577" i="1"/>
  <c r="H2577" i="1"/>
  <c r="I2604" i="1"/>
  <c r="H2604" i="1"/>
  <c r="I502" i="1"/>
  <c r="H502" i="1"/>
  <c r="I5572" i="1"/>
  <c r="H5572" i="1"/>
  <c r="I3350" i="1"/>
  <c r="H3350" i="1"/>
  <c r="I3700" i="1"/>
  <c r="H3700" i="1"/>
  <c r="I1919" i="1"/>
  <c r="H1919" i="1"/>
  <c r="I2135" i="1"/>
  <c r="H2135" i="1"/>
  <c r="I4800" i="1"/>
  <c r="H4800" i="1"/>
  <c r="I1482" i="1"/>
  <c r="H1482" i="1"/>
  <c r="I4165" i="1"/>
  <c r="H4165" i="1"/>
  <c r="I3040" i="1"/>
  <c r="H3040" i="1"/>
  <c r="I6269" i="1"/>
  <c r="H6269" i="1"/>
  <c r="I2256" i="1"/>
  <c r="H2256" i="1"/>
  <c r="I2373" i="1"/>
  <c r="H2373" i="1"/>
  <c r="I4741" i="1"/>
  <c r="H4741" i="1"/>
  <c r="I5430" i="1"/>
  <c r="H5430" i="1"/>
  <c r="I4050" i="1"/>
  <c r="H4050" i="1"/>
  <c r="I1515" i="1"/>
  <c r="H1515" i="1"/>
  <c r="I2474" i="1"/>
  <c r="H2474" i="1"/>
  <c r="I2417" i="1"/>
  <c r="H2417" i="1"/>
  <c r="I5712" i="1"/>
  <c r="H5712" i="1"/>
  <c r="I422" i="1"/>
  <c r="H422" i="1"/>
  <c r="I2438" i="1"/>
  <c r="H2438" i="1"/>
  <c r="I2854" i="1"/>
  <c r="H2854" i="1"/>
  <c r="I2069" i="1"/>
  <c r="H2069" i="1"/>
  <c r="I6899" i="1"/>
  <c r="H6899" i="1"/>
  <c r="I6600" i="1"/>
  <c r="H6600" i="1"/>
  <c r="I4461" i="1"/>
  <c r="H4461" i="1"/>
  <c r="I736" i="1"/>
  <c r="H736" i="1"/>
  <c r="I4753" i="1"/>
  <c r="H4753" i="1"/>
  <c r="I4583" i="1"/>
  <c r="H4583" i="1"/>
  <c r="I2587" i="1"/>
  <c r="H2587" i="1"/>
  <c r="I562" i="1"/>
  <c r="H562" i="1"/>
  <c r="I4729" i="1"/>
  <c r="H4729" i="1"/>
  <c r="I5909" i="1"/>
  <c r="H5909" i="1"/>
  <c r="I2716" i="1"/>
  <c r="H2716" i="1"/>
  <c r="I6167" i="1"/>
  <c r="H6167" i="1"/>
  <c r="I4981" i="1"/>
  <c r="H4981" i="1"/>
  <c r="I6750" i="1"/>
  <c r="H6750" i="1"/>
  <c r="I2951" i="1"/>
  <c r="H2951" i="1"/>
  <c r="I5417" i="1"/>
  <c r="H5417" i="1"/>
  <c r="I6853" i="1"/>
  <c r="H6853" i="1"/>
  <c r="I3645" i="1"/>
  <c r="H3645" i="1"/>
  <c r="I2415" i="1"/>
  <c r="H2415" i="1"/>
  <c r="I1579" i="1"/>
  <c r="H1579" i="1"/>
  <c r="I5530" i="1"/>
  <c r="H5530" i="1"/>
  <c r="I3828" i="1"/>
  <c r="H3828" i="1"/>
  <c r="I5948" i="1"/>
  <c r="H5948" i="1"/>
  <c r="I5965" i="1"/>
  <c r="H5965" i="1"/>
  <c r="I4217" i="1"/>
  <c r="H4217" i="1"/>
  <c r="I5236" i="1"/>
  <c r="H5236" i="1"/>
  <c r="I3604" i="1"/>
  <c r="H3604" i="1"/>
  <c r="I3365" i="1"/>
  <c r="H3365" i="1"/>
  <c r="I6055" i="1"/>
  <c r="H6055" i="1"/>
  <c r="I4698" i="1"/>
  <c r="H4698" i="1"/>
  <c r="I753" i="1"/>
  <c r="H753" i="1"/>
  <c r="I6083" i="1"/>
  <c r="H6083" i="1"/>
  <c r="I6110" i="1"/>
  <c r="H6110" i="1"/>
  <c r="I5078" i="1"/>
  <c r="H5078" i="1"/>
  <c r="I3556" i="1"/>
  <c r="H3556" i="1"/>
  <c r="I2908" i="1"/>
  <c r="H2908" i="1"/>
  <c r="I5017" i="1"/>
  <c r="H5017" i="1"/>
  <c r="I3910" i="1"/>
  <c r="H3910" i="1"/>
  <c r="I6868" i="1"/>
  <c r="H6868" i="1"/>
  <c r="I5646" i="1"/>
  <c r="H5646" i="1"/>
  <c r="I5515" i="1"/>
  <c r="H5515" i="1"/>
  <c r="I4887" i="1"/>
  <c r="H4887" i="1"/>
  <c r="I3342" i="1"/>
  <c r="H3342" i="1"/>
  <c r="I4093" i="1"/>
  <c r="H4093" i="1"/>
  <c r="I2326" i="1"/>
  <c r="H2326" i="1"/>
  <c r="I6936" i="1"/>
  <c r="H6936" i="1"/>
  <c r="I3244" i="1"/>
  <c r="H3244" i="1"/>
  <c r="I1677" i="1"/>
  <c r="H1677" i="1"/>
  <c r="I2763" i="1"/>
  <c r="H2763" i="1"/>
  <c r="I5031" i="1"/>
  <c r="H5031" i="1"/>
  <c r="I3178" i="1"/>
  <c r="H3178" i="1"/>
  <c r="I6706" i="1"/>
  <c r="H6706" i="1"/>
  <c r="I6096" i="1"/>
  <c r="H6096" i="1"/>
  <c r="I5209" i="1"/>
  <c r="H5209" i="1"/>
  <c r="I357" i="1"/>
  <c r="H357" i="1"/>
  <c r="I4765" i="1"/>
  <c r="H4765" i="1"/>
  <c r="I5441" i="1"/>
  <c r="H5441" i="1"/>
  <c r="I5803" i="1"/>
  <c r="H5803" i="1"/>
  <c r="I4447" i="1"/>
  <c r="H4447" i="1"/>
  <c r="I2633" i="1"/>
  <c r="H2633" i="1"/>
  <c r="I3230" i="1"/>
  <c r="H3230" i="1"/>
  <c r="I3119" i="1"/>
  <c r="H3119" i="1"/>
  <c r="I5423" i="1"/>
  <c r="H5423" i="1"/>
  <c r="I2031" i="1"/>
  <c r="H2031" i="1"/>
  <c r="I4388" i="1"/>
  <c r="H4388" i="1"/>
  <c r="I6580" i="1"/>
  <c r="H6580" i="1"/>
  <c r="I2140" i="1"/>
  <c r="H2140" i="1"/>
  <c r="I6659" i="1"/>
  <c r="H6659" i="1"/>
  <c r="I1087" i="1"/>
  <c r="H1087" i="1"/>
  <c r="I6926" i="1"/>
  <c r="H6926" i="1"/>
  <c r="I4651" i="1"/>
  <c r="H4651" i="1"/>
  <c r="I2204" i="1"/>
  <c r="H2204" i="1"/>
  <c r="I5747" i="1"/>
  <c r="H5747" i="1"/>
  <c r="I4620" i="1"/>
  <c r="H4620" i="1"/>
  <c r="I4525" i="1"/>
  <c r="H4525" i="1"/>
  <c r="I592" i="1"/>
  <c r="H592" i="1"/>
  <c r="I4819" i="1"/>
  <c r="H4819" i="1"/>
  <c r="I1815" i="1"/>
  <c r="H1815" i="1"/>
  <c r="I4350" i="1"/>
  <c r="H4350" i="1"/>
  <c r="I6800" i="1"/>
  <c r="H6800" i="1"/>
  <c r="I5510" i="1"/>
  <c r="H5510" i="1"/>
  <c r="I6183" i="1"/>
  <c r="H6183" i="1"/>
  <c r="I5581" i="1"/>
  <c r="H5581" i="1"/>
  <c r="I2708" i="1"/>
  <c r="H2708" i="1"/>
  <c r="I5983" i="1"/>
  <c r="H5983" i="1"/>
  <c r="I531" i="1"/>
  <c r="H531" i="1"/>
  <c r="I2667" i="1"/>
  <c r="H2667" i="1"/>
  <c r="I6378" i="1"/>
  <c r="H6378" i="1"/>
  <c r="I4435" i="1"/>
  <c r="H4435" i="1"/>
  <c r="I5040" i="1"/>
  <c r="H5040" i="1"/>
  <c r="I4475" i="1"/>
  <c r="H4475" i="1"/>
  <c r="I4942" i="1"/>
  <c r="H4942" i="1"/>
  <c r="I4488" i="1"/>
  <c r="H4488" i="1"/>
  <c r="I4457" i="1"/>
  <c r="H4457" i="1"/>
  <c r="I2939" i="1"/>
  <c r="H2939" i="1"/>
  <c r="I4516" i="1"/>
  <c r="H4516" i="1"/>
  <c r="I5993" i="1"/>
  <c r="H5993" i="1"/>
  <c r="I5009" i="1"/>
  <c r="H5009" i="1"/>
  <c r="I1821" i="1"/>
  <c r="H1821" i="1"/>
  <c r="I3897" i="1"/>
  <c r="H3897" i="1"/>
  <c r="I203" i="1"/>
  <c r="H203" i="1"/>
  <c r="I6359" i="1"/>
  <c r="H6359" i="1"/>
  <c r="I2317" i="1"/>
  <c r="H2317" i="1"/>
  <c r="I2037" i="1"/>
  <c r="H2037" i="1"/>
  <c r="I2838" i="1"/>
  <c r="H2838" i="1"/>
  <c r="I5002" i="1"/>
  <c r="H5002" i="1"/>
  <c r="I1378" i="1"/>
  <c r="H1378" i="1"/>
  <c r="I5432" i="1"/>
  <c r="H5432" i="1"/>
  <c r="I4874" i="1"/>
  <c r="H4874" i="1"/>
  <c r="I2433" i="1"/>
  <c r="H2433" i="1"/>
  <c r="I5980" i="1"/>
  <c r="H5980" i="1"/>
  <c r="I6174" i="1"/>
  <c r="H6174" i="1"/>
  <c r="I5757" i="1"/>
  <c r="H5757" i="1"/>
  <c r="I6846" i="1"/>
  <c r="H6846" i="1"/>
  <c r="I6812" i="1"/>
  <c r="H6812" i="1"/>
  <c r="I2458" i="1"/>
  <c r="H2458" i="1"/>
  <c r="I5794" i="1"/>
  <c r="H5794" i="1"/>
  <c r="I1596" i="1"/>
  <c r="H1596" i="1"/>
  <c r="I4062" i="1"/>
  <c r="H4062" i="1"/>
  <c r="I3280" i="1"/>
  <c r="H3280" i="1"/>
  <c r="I1454" i="1"/>
  <c r="H1454" i="1"/>
  <c r="I2803" i="1"/>
  <c r="H2803" i="1"/>
  <c r="I1740" i="1"/>
  <c r="H1740" i="1"/>
  <c r="I4917" i="1"/>
  <c r="H4917" i="1"/>
  <c r="I3940" i="1"/>
  <c r="H3940" i="1"/>
  <c r="I2435" i="1"/>
  <c r="H2435" i="1"/>
  <c r="I4519" i="1"/>
  <c r="H4519" i="1"/>
  <c r="I5637" i="1"/>
  <c r="H5637" i="1"/>
  <c r="I6073" i="1"/>
  <c r="H6073" i="1"/>
  <c r="I4293" i="1"/>
  <c r="H4293" i="1"/>
  <c r="I1832" i="1"/>
  <c r="H1832" i="1"/>
  <c r="I5657" i="1"/>
  <c r="H5657" i="1"/>
  <c r="I278" i="1"/>
  <c r="H278" i="1"/>
  <c r="I3293" i="1"/>
  <c r="H3293" i="1"/>
  <c r="I2274" i="1"/>
  <c r="H2274" i="1"/>
  <c r="I5449" i="1"/>
  <c r="H5449" i="1"/>
  <c r="I997" i="1"/>
  <c r="H997" i="1"/>
  <c r="I2423" i="1"/>
  <c r="H2423" i="1"/>
  <c r="I1837" i="1"/>
  <c r="H1837" i="1"/>
  <c r="I1727" i="1"/>
  <c r="H1727" i="1"/>
  <c r="I2539" i="1"/>
  <c r="H2539" i="1"/>
  <c r="I6240" i="1"/>
  <c r="H6240" i="1"/>
  <c r="I4773" i="1"/>
  <c r="H4773" i="1"/>
  <c r="I2389" i="1"/>
  <c r="H2389" i="1"/>
  <c r="I6860" i="1"/>
  <c r="H6860" i="1"/>
  <c r="I3664" i="1"/>
  <c r="H3664" i="1"/>
  <c r="I2632" i="1"/>
  <c r="H2632" i="1"/>
  <c r="I6118" i="1"/>
  <c r="H6118" i="1"/>
  <c r="I5072" i="1"/>
  <c r="H5072" i="1"/>
  <c r="I5919" i="1"/>
  <c r="H5919" i="1"/>
  <c r="I3037" i="1"/>
  <c r="H3037" i="1"/>
  <c r="I4736" i="1"/>
  <c r="H4736" i="1"/>
  <c r="I3988" i="1"/>
  <c r="H3988" i="1"/>
  <c r="I5406" i="1"/>
  <c r="H5406" i="1"/>
  <c r="I5278" i="1"/>
  <c r="H5278" i="1"/>
  <c r="I4386" i="1"/>
  <c r="H4386" i="1"/>
  <c r="I6366" i="1"/>
  <c r="H6366" i="1"/>
  <c r="I3172" i="1"/>
  <c r="H3172" i="1"/>
  <c r="I4071" i="1"/>
  <c r="H4071" i="1"/>
  <c r="I2706" i="1"/>
  <c r="H2706" i="1"/>
  <c r="I6568" i="1"/>
  <c r="H6568" i="1"/>
  <c r="I2378" i="1"/>
  <c r="H2378" i="1"/>
  <c r="I1461" i="1"/>
  <c r="H1461" i="1"/>
  <c r="I2385" i="1"/>
  <c r="H2385" i="1"/>
  <c r="I1200" i="1"/>
  <c r="H1200" i="1"/>
  <c r="I4804" i="1"/>
  <c r="H4804" i="1"/>
  <c r="I3220" i="1"/>
  <c r="H3220" i="1"/>
  <c r="I5615" i="1"/>
  <c r="H5615" i="1"/>
  <c r="I5783" i="1"/>
  <c r="H5783" i="1"/>
  <c r="I5012" i="1"/>
  <c r="H5012" i="1"/>
  <c r="I1380" i="1"/>
  <c r="H1380" i="1"/>
  <c r="I6424" i="1"/>
  <c r="H6424" i="1"/>
  <c r="I4359" i="1"/>
  <c r="H4359" i="1"/>
  <c r="I2543" i="1"/>
  <c r="H2543" i="1"/>
  <c r="I6272" i="1"/>
  <c r="H6272" i="1"/>
  <c r="I4739" i="1"/>
  <c r="H4739" i="1"/>
  <c r="I4378" i="1"/>
  <c r="H4378" i="1"/>
  <c r="I4928" i="1"/>
  <c r="H4928" i="1"/>
  <c r="I4325" i="1"/>
  <c r="H4325" i="1"/>
  <c r="I2687" i="1"/>
  <c r="H2687" i="1"/>
  <c r="I2327" i="1"/>
  <c r="H2327" i="1"/>
  <c r="I4511" i="1"/>
  <c r="H4511" i="1"/>
  <c r="I6142" i="1"/>
  <c r="H6142" i="1"/>
  <c r="I2679" i="1"/>
  <c r="H2679" i="1"/>
  <c r="I4482" i="1"/>
  <c r="H4482" i="1"/>
  <c r="I5807" i="1"/>
  <c r="H5807" i="1"/>
  <c r="I457" i="1"/>
  <c r="H457" i="1"/>
  <c r="I5602" i="1"/>
  <c r="H5602" i="1"/>
  <c r="I3074" i="1"/>
  <c r="H3074" i="1"/>
  <c r="I6869" i="1"/>
  <c r="H6869" i="1"/>
  <c r="I3102" i="1"/>
  <c r="H3102" i="1"/>
  <c r="I4590" i="1"/>
  <c r="H4590" i="1"/>
  <c r="I6790" i="1"/>
  <c r="H6790" i="1"/>
  <c r="I4463" i="1"/>
  <c r="H4463" i="1"/>
  <c r="I4440" i="1"/>
  <c r="H4440" i="1"/>
  <c r="I3413" i="1"/>
  <c r="H3413" i="1"/>
  <c r="I3207" i="1"/>
  <c r="H3207" i="1"/>
  <c r="I2637" i="1"/>
  <c r="H2637" i="1"/>
  <c r="I2655" i="1"/>
  <c r="H2655" i="1"/>
  <c r="I6103" i="1"/>
  <c r="H6103" i="1"/>
  <c r="I4466" i="1"/>
  <c r="H4466" i="1"/>
  <c r="I6365" i="1"/>
  <c r="H6365" i="1"/>
  <c r="I2792" i="1"/>
  <c r="H2792" i="1"/>
  <c r="I3084" i="1"/>
  <c r="H3084" i="1"/>
  <c r="I5535" i="1"/>
  <c r="H5535" i="1"/>
  <c r="I1841" i="1"/>
  <c r="H1841" i="1"/>
  <c r="I1527" i="1"/>
  <c r="H1527" i="1"/>
  <c r="I4526" i="1"/>
  <c r="H4526" i="1"/>
  <c r="I4279" i="1"/>
  <c r="H4279" i="1"/>
  <c r="I5760" i="1"/>
  <c r="H5760" i="1"/>
  <c r="I1876" i="1"/>
  <c r="H1876" i="1"/>
  <c r="I4231" i="1"/>
  <c r="H4231" i="1"/>
  <c r="I6930" i="1"/>
  <c r="H6930" i="1"/>
  <c r="I527" i="1"/>
  <c r="H527" i="1"/>
  <c r="I3959" i="1"/>
  <c r="H3959" i="1"/>
  <c r="I771" i="1"/>
  <c r="H771" i="1"/>
  <c r="I5453" i="1"/>
  <c r="H5453" i="1"/>
  <c r="I3014" i="1"/>
  <c r="H3014" i="1"/>
  <c r="I4808" i="1"/>
  <c r="H4808" i="1"/>
  <c r="I4109" i="1"/>
  <c r="H4109" i="1"/>
  <c r="I3139" i="1"/>
  <c r="H3139" i="1"/>
  <c r="I616" i="1"/>
  <c r="H616" i="1"/>
  <c r="I2828" i="1"/>
  <c r="H2828" i="1"/>
  <c r="I5113" i="1"/>
  <c r="H5113" i="1"/>
  <c r="I2659" i="1"/>
  <c r="H2659" i="1"/>
  <c r="I2702" i="1"/>
  <c r="H2702" i="1"/>
  <c r="I5548" i="1"/>
  <c r="H5548" i="1"/>
  <c r="I5462" i="1"/>
  <c r="H5462" i="1"/>
  <c r="I654" i="1"/>
  <c r="H654" i="1"/>
  <c r="I2437" i="1"/>
  <c r="H2437" i="1"/>
  <c r="I4184" i="1"/>
  <c r="H4184" i="1"/>
  <c r="I4695" i="1"/>
  <c r="H4695" i="1"/>
  <c r="I517" i="1"/>
  <c r="H517" i="1"/>
  <c r="I3290" i="1"/>
  <c r="H3290" i="1"/>
  <c r="I5396" i="1"/>
  <c r="H5396" i="1"/>
  <c r="I2520" i="1"/>
  <c r="H2520" i="1"/>
  <c r="I2224" i="1"/>
  <c r="H2224" i="1"/>
  <c r="I2964" i="1"/>
  <c r="H2964" i="1"/>
  <c r="I2347" i="1"/>
  <c r="H2347" i="1"/>
  <c r="I4777" i="1"/>
  <c r="H4777" i="1"/>
  <c r="I4514" i="1"/>
  <c r="H4514" i="1"/>
  <c r="I6481" i="1"/>
  <c r="H6481" i="1"/>
  <c r="I6897" i="1"/>
  <c r="H6897" i="1"/>
  <c r="I4487" i="1"/>
  <c r="H4487" i="1"/>
  <c r="I4807" i="1"/>
  <c r="H4807" i="1"/>
  <c r="I2608" i="1"/>
  <c r="H2608" i="1"/>
  <c r="I6675" i="1"/>
  <c r="H6675" i="1"/>
  <c r="I4004" i="1"/>
  <c r="H4004" i="1"/>
  <c r="I467" i="1"/>
  <c r="H467" i="1"/>
  <c r="I4496" i="1"/>
  <c r="H4496" i="1"/>
  <c r="I742" i="1"/>
  <c r="H742" i="1"/>
  <c r="I133" i="1"/>
  <c r="H133" i="1"/>
  <c r="I1855" i="1"/>
  <c r="H1855" i="1"/>
  <c r="I5574" i="1"/>
  <c r="H5574" i="1"/>
  <c r="I845" i="1"/>
  <c r="H845" i="1"/>
  <c r="I3076" i="1"/>
  <c r="H3076" i="1"/>
  <c r="I2104" i="1"/>
  <c r="H2104" i="1"/>
  <c r="I4811" i="1"/>
  <c r="H4811" i="1"/>
  <c r="I6401" i="1"/>
  <c r="H6401" i="1"/>
  <c r="I2919" i="1"/>
  <c r="H2919" i="1"/>
  <c r="I2734" i="1"/>
  <c r="H2734" i="1"/>
  <c r="I2724" i="1"/>
  <c r="H2724" i="1"/>
  <c r="I4823" i="1"/>
  <c r="H4823" i="1"/>
  <c r="I6960" i="1"/>
  <c r="H6960" i="1"/>
  <c r="I3823" i="1"/>
  <c r="H3823" i="1"/>
  <c r="I6282" i="1"/>
  <c r="H6282" i="1"/>
  <c r="I2395" i="1"/>
  <c r="H2395" i="1"/>
  <c r="I5344" i="1"/>
  <c r="H5344" i="1"/>
  <c r="I1836" i="1"/>
  <c r="H1836" i="1"/>
  <c r="I816" i="1"/>
  <c r="H816" i="1"/>
  <c r="I5591" i="1"/>
  <c r="H5591" i="1"/>
  <c r="I5014" i="1"/>
  <c r="H5014" i="1"/>
  <c r="I5996" i="1"/>
  <c r="H5996" i="1"/>
  <c r="I5786" i="1"/>
  <c r="H5786" i="1"/>
  <c r="I2674" i="1"/>
  <c r="H2674" i="1"/>
  <c r="I3251" i="1"/>
  <c r="H3251" i="1"/>
  <c r="I4738" i="1"/>
  <c r="H4738" i="1"/>
  <c r="I5096" i="1"/>
  <c r="H5096" i="1"/>
  <c r="I1126" i="1"/>
  <c r="H1126" i="1"/>
  <c r="I3363" i="1"/>
  <c r="H3363" i="1"/>
  <c r="I4493" i="1"/>
  <c r="H4493" i="1"/>
  <c r="I4508" i="1"/>
  <c r="H4508" i="1"/>
  <c r="I1972" i="1"/>
  <c r="H1972" i="1"/>
  <c r="I5616" i="1"/>
  <c r="H5616" i="1"/>
  <c r="I3056" i="1"/>
  <c r="H3056" i="1"/>
  <c r="I1739" i="1"/>
  <c r="H1739" i="1"/>
  <c r="I5981" i="1"/>
  <c r="H5981" i="1"/>
  <c r="I4139" i="1"/>
  <c r="H4139" i="1"/>
  <c r="I4476" i="1"/>
  <c r="H4476" i="1"/>
  <c r="I4234" i="1"/>
  <c r="H4234" i="1"/>
  <c r="I3989" i="1"/>
  <c r="H3989" i="1"/>
  <c r="I5691" i="1"/>
  <c r="H5691" i="1"/>
  <c r="I408" i="1"/>
  <c r="H408" i="1"/>
  <c r="I2781" i="1"/>
  <c r="H2781" i="1"/>
  <c r="I1413" i="1"/>
  <c r="H1413" i="1"/>
  <c r="I5792" i="1"/>
  <c r="H5792" i="1"/>
  <c r="I2174" i="1"/>
  <c r="H2174" i="1"/>
  <c r="I477" i="1"/>
  <c r="H477" i="1"/>
  <c r="I4515" i="1"/>
  <c r="H4515" i="1"/>
  <c r="I582" i="1"/>
  <c r="H582" i="1"/>
  <c r="I1651" i="1"/>
  <c r="H1651" i="1"/>
  <c r="I3001" i="1"/>
  <c r="H3001" i="1"/>
  <c r="I5242" i="1"/>
  <c r="H5242" i="1"/>
  <c r="I1246" i="1"/>
  <c r="H1246" i="1"/>
  <c r="I5025" i="1"/>
  <c r="H5025" i="1"/>
  <c r="I2130" i="1"/>
  <c r="H2130" i="1"/>
  <c r="I2500" i="1"/>
  <c r="H2500" i="1"/>
  <c r="I4728" i="1"/>
  <c r="H4728" i="1"/>
  <c r="I4210" i="1"/>
  <c r="H4210" i="1"/>
  <c r="I5763" i="1"/>
  <c r="H5763" i="1"/>
  <c r="I2356" i="1"/>
  <c r="H2356" i="1"/>
  <c r="I2318" i="1"/>
  <c r="H2318" i="1"/>
  <c r="I4998" i="1"/>
  <c r="H4998" i="1"/>
  <c r="I5846" i="1"/>
  <c r="H5846" i="1"/>
  <c r="I5142" i="1"/>
  <c r="H5142" i="1"/>
  <c r="I484" i="1"/>
  <c r="H484" i="1"/>
  <c r="I6299" i="1"/>
  <c r="H6299" i="1"/>
  <c r="I5210" i="1"/>
  <c r="H5210" i="1"/>
  <c r="I2359" i="1"/>
  <c r="H2359" i="1"/>
  <c r="I2642" i="1"/>
  <c r="H2642" i="1"/>
  <c r="I2703" i="1"/>
  <c r="H2703" i="1"/>
  <c r="I1116" i="1"/>
  <c r="H1116" i="1"/>
  <c r="I6829" i="1"/>
  <c r="H6829" i="1"/>
  <c r="I5403" i="1"/>
  <c r="H5403" i="1"/>
  <c r="I4124" i="1"/>
  <c r="H4124" i="1"/>
  <c r="I6381" i="1"/>
  <c r="H6381" i="1"/>
  <c r="I513" i="1"/>
  <c r="H513" i="1"/>
  <c r="I5995" i="1"/>
  <c r="H5995" i="1"/>
  <c r="I3916" i="1"/>
  <c r="H3916" i="1"/>
  <c r="I4074" i="1"/>
  <c r="H4074" i="1"/>
  <c r="I2418" i="1"/>
  <c r="H2418" i="1"/>
  <c r="I868" i="1"/>
  <c r="H868" i="1"/>
  <c r="I1041" i="1"/>
  <c r="H1041" i="1"/>
  <c r="I6499" i="1"/>
  <c r="H6499" i="1"/>
  <c r="I2882" i="1"/>
  <c r="H2882" i="1"/>
  <c r="I2995" i="1"/>
  <c r="H2995" i="1"/>
  <c r="I2482" i="1"/>
  <c r="H2482" i="1"/>
  <c r="I6493" i="1"/>
  <c r="H6493" i="1"/>
  <c r="I711" i="1"/>
  <c r="H711" i="1"/>
  <c r="I6262" i="1"/>
  <c r="H6262" i="1"/>
  <c r="I2522" i="1"/>
  <c r="H2522" i="1"/>
  <c r="I6741" i="1"/>
  <c r="H6741" i="1"/>
  <c r="I5999" i="1"/>
  <c r="H5999" i="1"/>
  <c r="I4544" i="1"/>
  <c r="H4544" i="1"/>
  <c r="I5116" i="1"/>
  <c r="H5116" i="1"/>
  <c r="I666" i="1"/>
  <c r="H666" i="1"/>
  <c r="I250" i="1"/>
  <c r="H250" i="1"/>
  <c r="I5643" i="1"/>
  <c r="H5643" i="1"/>
  <c r="I554" i="1"/>
  <c r="H554" i="1"/>
  <c r="I3806" i="1"/>
  <c r="H3806" i="1"/>
  <c r="I2334" i="1"/>
  <c r="H2334" i="1"/>
  <c r="I5533" i="1"/>
  <c r="H5533" i="1"/>
  <c r="I641" i="1"/>
  <c r="H641" i="1"/>
  <c r="I4375" i="1"/>
  <c r="H4375" i="1"/>
  <c r="I4432" i="1"/>
  <c r="H4432" i="1"/>
  <c r="I4214" i="1"/>
  <c r="H4214" i="1"/>
  <c r="I2782" i="1"/>
  <c r="H2782" i="1"/>
  <c r="I5913" i="1"/>
  <c r="H5913" i="1"/>
  <c r="I2039" i="1"/>
  <c r="H2039" i="1"/>
  <c r="I4101" i="1"/>
  <c r="H4101" i="1"/>
  <c r="I4718" i="1"/>
  <c r="H4718" i="1"/>
  <c r="I2560" i="1"/>
  <c r="H2560" i="1"/>
  <c r="I3422" i="1"/>
  <c r="H3422" i="1"/>
  <c r="I6410" i="1"/>
  <c r="H6410" i="1"/>
  <c r="I2640" i="1"/>
  <c r="H2640" i="1"/>
  <c r="I2297" i="1"/>
  <c r="H2297" i="1"/>
  <c r="I2442" i="1"/>
  <c r="H2442" i="1"/>
  <c r="I1656" i="1"/>
  <c r="H1656" i="1"/>
  <c r="I2971" i="1"/>
  <c r="H2971" i="1"/>
  <c r="I3362" i="1"/>
  <c r="H3362" i="1"/>
  <c r="I3507" i="1"/>
  <c r="H3507" i="1"/>
  <c r="I4929" i="1"/>
  <c r="H4929" i="1"/>
  <c r="I6544" i="1"/>
  <c r="H6544" i="1"/>
  <c r="I5819" i="1"/>
  <c r="H5819" i="1"/>
  <c r="I3864" i="1"/>
  <c r="H3864" i="1"/>
  <c r="I1548" i="1"/>
  <c r="H1548" i="1"/>
  <c r="I4757" i="1"/>
  <c r="H4757" i="1"/>
  <c r="I6648" i="1"/>
  <c r="H6648" i="1"/>
  <c r="I1949" i="1"/>
  <c r="H1949" i="1"/>
  <c r="I5920" i="1"/>
  <c r="H5920" i="1"/>
  <c r="I5307" i="1"/>
  <c r="H5307" i="1"/>
  <c r="I5365" i="1"/>
  <c r="H5365" i="1"/>
  <c r="I7004" i="1"/>
  <c r="H7004" i="1"/>
  <c r="I4356" i="1"/>
  <c r="H4356" i="1"/>
  <c r="I5414" i="1"/>
  <c r="H5414" i="1"/>
  <c r="I4558" i="1"/>
  <c r="H4558" i="1"/>
  <c r="I4634" i="1"/>
  <c r="H4634" i="1"/>
  <c r="I4647" i="1"/>
  <c r="H4647" i="1"/>
  <c r="I4761" i="1"/>
  <c r="H4761" i="1"/>
  <c r="I312" i="1"/>
  <c r="H312" i="1"/>
  <c r="I6042" i="1"/>
  <c r="H6042" i="1"/>
  <c r="I5407" i="1"/>
  <c r="H5407" i="1"/>
  <c r="I6652" i="1"/>
  <c r="H6652" i="1"/>
  <c r="I4677" i="1"/>
  <c r="H4677" i="1"/>
  <c r="I2014" i="1"/>
  <c r="H2014" i="1"/>
  <c r="I1297" i="1"/>
  <c r="H1297" i="1"/>
  <c r="I5401" i="1"/>
  <c r="H5401" i="1"/>
  <c r="I6015" i="1"/>
  <c r="H6015" i="1"/>
  <c r="I2355" i="1"/>
  <c r="H2355" i="1"/>
  <c r="I2473" i="1"/>
  <c r="H2473" i="1"/>
  <c r="I3089" i="1"/>
  <c r="H3089" i="1"/>
  <c r="I4961" i="1"/>
  <c r="H4961" i="1"/>
  <c r="I4433" i="1"/>
  <c r="H4433" i="1"/>
  <c r="I4624" i="1"/>
  <c r="H4624" i="1"/>
  <c r="I2548" i="1"/>
  <c r="H2548" i="1"/>
  <c r="I4703" i="1"/>
  <c r="H4703" i="1"/>
  <c r="I3953" i="1"/>
  <c r="H3953" i="1"/>
  <c r="I5614" i="1"/>
  <c r="H5614" i="1"/>
  <c r="I471" i="1"/>
  <c r="H471" i="1"/>
  <c r="I6215" i="1"/>
  <c r="H6215" i="1"/>
  <c r="I306" i="1"/>
  <c r="H306" i="1"/>
  <c r="I1945" i="1"/>
  <c r="H1945" i="1"/>
  <c r="I4241" i="1"/>
  <c r="H4241" i="1"/>
  <c r="I2242" i="1"/>
  <c r="H2242" i="1"/>
  <c r="I2519" i="1"/>
  <c r="H2519" i="1"/>
  <c r="I4497" i="1"/>
  <c r="H4497" i="1"/>
  <c r="I4346" i="1"/>
  <c r="H4346" i="1"/>
  <c r="I4382" i="1"/>
  <c r="H4382" i="1"/>
  <c r="I1475" i="1"/>
  <c r="H1475" i="1"/>
  <c r="I6069" i="1"/>
  <c r="H6069" i="1"/>
  <c r="I5345" i="1"/>
  <c r="H5345" i="1"/>
  <c r="I5727" i="1"/>
  <c r="H5727" i="1"/>
  <c r="I2656" i="1"/>
  <c r="H2656" i="1"/>
  <c r="I2685" i="1"/>
  <c r="H2685" i="1"/>
  <c r="I3186" i="1"/>
  <c r="H3186" i="1"/>
  <c r="I2748" i="1"/>
  <c r="H2748" i="1"/>
  <c r="I3057" i="1"/>
  <c r="H3057" i="1"/>
  <c r="I3424" i="1"/>
  <c r="H3424" i="1"/>
  <c r="I4535" i="1"/>
  <c r="H4535" i="1"/>
  <c r="I4940" i="1"/>
  <c r="H4940" i="1"/>
  <c r="I324" i="1"/>
  <c r="H324" i="1"/>
  <c r="I4589" i="1"/>
  <c r="H4589" i="1"/>
  <c r="I3472" i="1"/>
  <c r="H3472" i="1"/>
  <c r="I4026" i="1"/>
  <c r="H4026" i="1"/>
  <c r="I4591" i="1"/>
  <c r="H4591" i="1"/>
  <c r="I3804" i="1"/>
  <c r="H3804" i="1"/>
  <c r="I4267" i="1"/>
  <c r="H4267" i="1"/>
  <c r="I3445" i="1"/>
  <c r="H3445" i="1"/>
  <c r="I6561" i="1"/>
  <c r="H6561" i="1"/>
  <c r="I5156" i="1"/>
  <c r="H5156" i="1"/>
  <c r="I6445" i="1"/>
  <c r="H6445" i="1"/>
  <c r="I4649" i="1"/>
  <c r="H4649" i="1"/>
  <c r="I4318" i="1"/>
  <c r="H4318" i="1"/>
  <c r="I2481" i="1"/>
  <c r="H2481" i="1"/>
  <c r="I3061" i="1"/>
  <c r="H3061" i="1"/>
  <c r="I5883" i="1"/>
  <c r="H5883" i="1"/>
  <c r="I6507" i="1"/>
  <c r="H6507" i="1"/>
  <c r="I4744" i="1"/>
  <c r="H4744" i="1"/>
  <c r="I6138" i="1"/>
  <c r="H6138" i="1"/>
  <c r="I2070" i="1"/>
  <c r="H2070" i="1"/>
  <c r="I2107" i="1"/>
  <c r="H2107" i="1"/>
  <c r="I4680" i="1"/>
  <c r="H4680" i="1"/>
  <c r="I1156" i="1"/>
  <c r="H1156" i="1"/>
  <c r="I465" i="1"/>
  <c r="H465" i="1"/>
  <c r="I5519" i="1"/>
  <c r="H5519" i="1"/>
  <c r="I5114" i="1"/>
  <c r="H5114" i="1"/>
  <c r="I534" i="1"/>
  <c r="H534" i="1"/>
  <c r="I3030" i="1"/>
  <c r="H3030" i="1"/>
  <c r="I5771" i="1"/>
  <c r="H5771" i="1"/>
  <c r="I6157" i="1"/>
  <c r="H6157" i="1"/>
  <c r="I2518" i="1"/>
  <c r="H2518" i="1"/>
  <c r="I5659" i="1"/>
  <c r="H5659" i="1"/>
  <c r="I3208" i="1"/>
  <c r="H3208" i="1"/>
  <c r="I3992" i="1"/>
  <c r="H3992" i="1"/>
  <c r="I2302" i="1"/>
  <c r="H2302" i="1"/>
  <c r="I2890" i="1"/>
  <c r="H2890" i="1"/>
  <c r="I2386" i="1"/>
  <c r="H2386" i="1"/>
  <c r="I1333" i="1"/>
  <c r="H1333" i="1"/>
  <c r="I2382" i="1"/>
  <c r="H2382" i="1"/>
  <c r="I4644" i="1"/>
  <c r="H4644" i="1"/>
  <c r="I4209" i="1"/>
  <c r="H4209" i="1"/>
  <c r="I3415" i="1"/>
  <c r="H3415" i="1"/>
  <c r="I2872" i="1"/>
  <c r="H2872" i="1"/>
  <c r="I3198" i="1"/>
  <c r="H3198" i="1"/>
  <c r="I2844" i="1"/>
  <c r="H2844" i="1"/>
  <c r="I1694" i="1"/>
  <c r="H1694" i="1"/>
  <c r="I6770" i="1"/>
  <c r="H6770" i="1"/>
  <c r="I6195" i="1"/>
  <c r="H6195" i="1"/>
  <c r="I1725" i="1"/>
  <c r="H1725" i="1"/>
  <c r="I2185" i="1"/>
  <c r="H2185" i="1"/>
  <c r="I4820" i="1"/>
  <c r="H4820" i="1"/>
  <c r="I6316" i="1"/>
  <c r="H6316" i="1"/>
  <c r="I4661" i="1"/>
  <c r="H4661" i="1"/>
  <c r="I4873" i="1"/>
  <c r="H4873" i="1"/>
  <c r="I4957" i="1"/>
  <c r="H4957" i="1"/>
  <c r="I6127" i="1"/>
  <c r="H6127" i="1"/>
  <c r="I4400" i="1"/>
  <c r="H4400" i="1"/>
  <c r="I368" i="1"/>
  <c r="H368" i="1"/>
  <c r="I2853" i="1"/>
  <c r="H2853" i="1"/>
  <c r="I6287" i="1"/>
  <c r="H6287" i="1"/>
  <c r="I2937" i="1"/>
  <c r="H2937" i="1"/>
  <c r="I6202" i="1"/>
  <c r="H6202" i="1"/>
  <c r="I3969" i="1"/>
  <c r="H3969" i="1"/>
  <c r="I4967" i="1"/>
  <c r="H4967" i="1"/>
  <c r="I4216" i="1"/>
  <c r="H4216" i="1"/>
  <c r="I6784" i="1"/>
  <c r="H6784" i="1"/>
  <c r="I2541" i="1"/>
  <c r="H2541" i="1"/>
  <c r="I3019" i="1"/>
  <c r="H3019" i="1"/>
  <c r="I3990" i="1"/>
  <c r="H3990" i="1"/>
  <c r="I3532" i="1"/>
  <c r="H3532" i="1"/>
  <c r="I5603" i="1"/>
  <c r="H5603" i="1"/>
  <c r="I1060" i="1"/>
  <c r="H1060" i="1"/>
  <c r="I4527" i="1"/>
  <c r="H4527" i="1"/>
  <c r="I2504" i="1"/>
  <c r="H2504" i="1"/>
  <c r="I6972" i="1"/>
  <c r="H6972" i="1"/>
  <c r="I6755" i="1"/>
  <c r="H6755" i="1"/>
  <c r="I296" i="1"/>
  <c r="H296" i="1"/>
  <c r="I2930" i="1"/>
  <c r="H2930" i="1"/>
  <c r="I2015" i="1"/>
  <c r="H2015" i="1"/>
  <c r="I837" i="1"/>
  <c r="H837" i="1"/>
  <c r="I2017" i="1"/>
  <c r="H2017" i="1"/>
  <c r="I2570" i="1"/>
  <c r="H2570" i="1"/>
  <c r="I2811" i="1"/>
  <c r="H2811" i="1"/>
  <c r="I3162" i="1"/>
  <c r="H3162" i="1"/>
  <c r="I2089" i="1"/>
  <c r="H2089" i="1"/>
  <c r="I6498" i="1"/>
  <c r="H6498" i="1"/>
  <c r="I1388" i="1"/>
  <c r="H1388" i="1"/>
  <c r="I4875" i="1"/>
  <c r="H4875" i="1"/>
  <c r="I6817" i="1"/>
  <c r="H6817" i="1"/>
  <c r="I4893" i="1"/>
  <c r="H4893" i="1"/>
  <c r="I1170" i="1"/>
  <c r="H1170" i="1"/>
  <c r="I2664" i="1"/>
  <c r="H2664" i="1"/>
  <c r="I3332" i="1"/>
  <c r="H3332" i="1"/>
  <c r="I2067" i="1"/>
  <c r="H2067" i="1"/>
  <c r="I3064" i="1"/>
  <c r="H3064" i="1"/>
  <c r="I5042" i="1"/>
  <c r="H5042" i="1"/>
  <c r="I3254" i="1"/>
  <c r="H3254" i="1"/>
  <c r="I5898" i="1"/>
  <c r="H5898" i="1"/>
  <c r="I772" i="1"/>
  <c r="H772" i="1"/>
  <c r="I948" i="1"/>
  <c r="H948" i="1"/>
  <c r="I4851" i="1"/>
  <c r="H4851" i="1"/>
  <c r="I2278" i="1"/>
  <c r="H2278" i="1"/>
  <c r="I2312" i="1"/>
  <c r="H2312" i="1"/>
  <c r="I5132" i="1"/>
  <c r="H5132" i="1"/>
  <c r="I1556" i="1"/>
  <c r="H1556" i="1"/>
  <c r="I4754" i="1"/>
  <c r="H4754" i="1"/>
  <c r="I3267" i="1"/>
  <c r="H3267" i="1"/>
  <c r="I2996" i="1"/>
  <c r="H2996" i="1"/>
  <c r="I5950" i="1"/>
  <c r="H5950" i="1"/>
  <c r="I781" i="1"/>
  <c r="H781" i="1"/>
  <c r="I1446" i="1"/>
  <c r="H1446" i="1"/>
  <c r="I375" i="1"/>
  <c r="H375" i="1"/>
  <c r="I3964" i="1"/>
  <c r="H3964" i="1"/>
  <c r="I1826" i="1"/>
  <c r="H1826" i="1"/>
  <c r="I4645" i="1"/>
  <c r="H4645" i="1"/>
  <c r="I6603" i="1"/>
  <c r="H6603" i="1"/>
  <c r="I1890" i="1"/>
  <c r="H1890" i="1"/>
  <c r="I770" i="1"/>
  <c r="H770" i="1"/>
  <c r="I4613" i="1"/>
  <c r="H4613" i="1"/>
  <c r="I2485" i="1"/>
  <c r="H2485" i="1"/>
  <c r="I5008" i="1"/>
  <c r="H5008" i="1"/>
  <c r="I5439" i="1"/>
  <c r="H5439" i="1"/>
  <c r="I6120" i="1"/>
  <c r="H6120" i="1"/>
  <c r="I1194" i="1"/>
  <c r="H1194" i="1"/>
  <c r="I3319" i="1"/>
  <c r="H3319" i="1"/>
  <c r="I2635" i="1"/>
  <c r="H2635" i="1"/>
  <c r="I5585" i="1"/>
  <c r="H5585" i="1"/>
  <c r="I3188" i="1"/>
  <c r="H3188" i="1"/>
  <c r="I4374" i="1"/>
  <c r="H4374" i="1"/>
  <c r="I6882" i="1"/>
  <c r="H6882" i="1"/>
  <c r="I4886" i="1"/>
  <c r="H4886" i="1"/>
  <c r="I4813" i="1"/>
  <c r="H4813" i="1"/>
  <c r="I5293" i="1"/>
  <c r="H5293" i="1"/>
  <c r="I799" i="1"/>
  <c r="H799" i="1"/>
  <c r="I1532" i="1"/>
  <c r="H1532" i="1"/>
  <c r="I6506" i="1"/>
  <c r="H6506" i="1"/>
  <c r="I5966" i="1"/>
  <c r="H5966" i="1"/>
  <c r="I6374" i="1"/>
  <c r="H6374" i="1"/>
  <c r="I2567" i="1"/>
  <c r="H2567" i="1"/>
  <c r="I2532" i="1"/>
  <c r="H2532" i="1"/>
  <c r="I2306" i="1"/>
  <c r="H2306" i="1"/>
  <c r="I4759" i="1"/>
  <c r="H4759" i="1"/>
  <c r="I2576" i="1"/>
  <c r="H2576" i="1"/>
  <c r="I5087" i="1"/>
  <c r="H5087" i="1"/>
  <c r="I2959" i="1"/>
  <c r="H2959" i="1"/>
  <c r="I4664" i="1"/>
  <c r="H4664" i="1"/>
  <c r="I5342" i="1"/>
  <c r="H5342" i="1"/>
  <c r="I6898" i="1"/>
  <c r="H6898" i="1"/>
  <c r="I6934" i="1"/>
  <c r="H6934" i="1"/>
  <c r="I6115" i="1"/>
  <c r="H6115" i="1"/>
  <c r="I5617" i="1"/>
  <c r="H5617" i="1"/>
  <c r="I1851" i="1"/>
  <c r="H1851" i="1"/>
  <c r="I2681" i="1"/>
  <c r="H2681" i="1"/>
  <c r="I903" i="1"/>
  <c r="H903" i="1"/>
  <c r="I1707" i="1"/>
  <c r="H1707" i="1"/>
  <c r="I2465" i="1"/>
  <c r="H2465" i="1"/>
  <c r="I634" i="1"/>
  <c r="H634" i="1"/>
  <c r="I388" i="1"/>
  <c r="H388" i="1"/>
  <c r="I5633" i="1"/>
  <c r="H5633" i="1"/>
  <c r="I3023" i="1"/>
  <c r="H3023" i="1"/>
  <c r="I2461" i="1"/>
  <c r="H2461" i="1"/>
  <c r="I6189" i="1"/>
  <c r="H6189" i="1"/>
  <c r="I6379" i="1"/>
  <c r="H6379" i="1"/>
  <c r="I6415" i="1"/>
  <c r="H6415" i="1"/>
  <c r="I5099" i="1"/>
  <c r="H5099" i="1"/>
  <c r="I5175" i="1"/>
  <c r="H5175" i="1"/>
  <c r="I1455" i="1"/>
  <c r="H1455" i="1"/>
  <c r="I2488" i="1"/>
  <c r="H2488" i="1"/>
  <c r="I715" i="1"/>
  <c r="H715" i="1"/>
  <c r="I6566" i="1"/>
  <c r="H6566" i="1"/>
  <c r="I4948" i="1"/>
  <c r="H4948" i="1"/>
  <c r="I552" i="1"/>
  <c r="H552" i="1"/>
  <c r="I3011" i="1"/>
  <c r="H3011" i="1"/>
  <c r="I6134" i="1"/>
  <c r="H6134" i="1"/>
  <c r="I6242" i="1"/>
  <c r="H6242" i="1"/>
  <c r="I3650" i="1"/>
  <c r="H3650" i="1"/>
  <c r="I6806" i="1"/>
  <c r="H6806" i="1"/>
  <c r="I6572" i="1"/>
  <c r="H6572" i="1"/>
  <c r="I2133" i="1"/>
  <c r="H2133" i="1"/>
  <c r="I940" i="1"/>
  <c r="H940" i="1"/>
  <c r="I2910" i="1"/>
  <c r="H2910" i="1"/>
  <c r="I1534" i="1"/>
  <c r="H1534" i="1"/>
  <c r="I2925" i="1"/>
  <c r="H2925" i="1"/>
  <c r="I5375" i="1"/>
  <c r="H5375" i="1"/>
  <c r="I2990" i="1"/>
  <c r="H2990" i="1"/>
  <c r="I5276" i="1"/>
  <c r="H5276" i="1"/>
  <c r="I424" i="1"/>
  <c r="H424" i="1"/>
  <c r="I1840" i="1"/>
  <c r="H1840" i="1"/>
  <c r="I3051" i="1"/>
  <c r="H3051" i="1"/>
  <c r="I2638" i="1"/>
  <c r="H2638" i="1"/>
  <c r="I6407" i="1"/>
  <c r="H6407" i="1"/>
  <c r="I4862" i="1"/>
  <c r="H4862" i="1"/>
  <c r="I6967" i="1"/>
  <c r="H6967" i="1"/>
  <c r="I2978" i="1"/>
  <c r="H2978" i="1"/>
  <c r="I5703" i="1"/>
  <c r="H5703" i="1"/>
  <c r="I5286" i="1"/>
  <c r="H5286" i="1"/>
  <c r="I1771" i="1"/>
  <c r="H1771" i="1"/>
  <c r="I1793" i="1"/>
  <c r="H1793" i="1"/>
  <c r="I2697" i="1"/>
  <c r="H2697" i="1"/>
  <c r="I6973" i="1"/>
  <c r="H6973" i="1"/>
  <c r="I2663" i="1"/>
  <c r="H2663" i="1"/>
  <c r="I6350" i="1"/>
  <c r="H6350" i="1"/>
  <c r="I1419" i="1"/>
  <c r="H1419" i="1"/>
  <c r="I3055" i="1"/>
  <c r="H3055" i="1"/>
  <c r="I3124" i="1"/>
  <c r="H3124" i="1"/>
  <c r="I2981" i="1"/>
  <c r="H2981" i="1"/>
  <c r="I4676" i="1"/>
  <c r="H4676" i="1"/>
  <c r="I4747" i="1"/>
  <c r="H4747" i="1"/>
  <c r="I5272" i="1"/>
  <c r="H5272" i="1"/>
  <c r="I6241" i="1"/>
  <c r="H6241" i="1"/>
  <c r="I439" i="1"/>
  <c r="H439" i="1"/>
  <c r="I3572" i="1"/>
  <c r="H3572" i="1"/>
  <c r="I2463" i="1"/>
  <c r="H2463" i="1"/>
  <c r="I4859" i="1"/>
  <c r="H4859" i="1"/>
  <c r="I4373" i="1"/>
  <c r="H4373" i="1"/>
  <c r="I3869" i="1"/>
  <c r="H3869" i="1"/>
  <c r="I2909" i="1"/>
  <c r="H2909" i="1"/>
  <c r="I5927" i="1"/>
  <c r="H5927" i="1"/>
  <c r="I1849" i="1"/>
  <c r="H1849" i="1"/>
  <c r="I1928" i="1"/>
  <c r="H1928" i="1"/>
  <c r="I1437" i="1"/>
  <c r="H1437" i="1"/>
  <c r="I4978" i="1"/>
  <c r="H4978" i="1"/>
  <c r="I4467" i="1"/>
  <c r="H4467" i="1"/>
  <c r="I5021" i="1"/>
  <c r="H5021" i="1"/>
  <c r="I5521" i="1"/>
  <c r="H5521" i="1"/>
  <c r="I858" i="1"/>
  <c r="H858" i="1"/>
  <c r="I5871" i="1"/>
  <c r="H5871" i="1"/>
  <c r="I4471" i="1"/>
  <c r="H4471" i="1"/>
  <c r="I1529" i="1"/>
  <c r="H1529" i="1"/>
  <c r="I6931" i="1"/>
  <c r="H6931" i="1"/>
  <c r="I5208" i="1"/>
  <c r="H5208" i="1"/>
  <c r="I5308" i="1"/>
  <c r="H5308" i="1"/>
  <c r="I4722" i="1"/>
  <c r="H4722" i="1"/>
  <c r="I2460" i="1"/>
  <c r="H2460" i="1"/>
  <c r="I2354" i="1"/>
  <c r="H2354" i="1"/>
  <c r="I2166" i="1"/>
  <c r="H2166" i="1"/>
  <c r="I921" i="1"/>
  <c r="H921" i="1"/>
  <c r="I1178" i="1"/>
  <c r="H1178" i="1"/>
  <c r="I4094" i="1"/>
  <c r="H4094" i="1"/>
  <c r="I2616" i="1"/>
  <c r="H2616" i="1"/>
  <c r="I6472" i="1"/>
  <c r="H6472" i="1"/>
  <c r="I5058" i="1"/>
  <c r="H5058" i="1"/>
  <c r="I3581" i="1"/>
  <c r="H3581" i="1"/>
  <c r="I6518" i="1"/>
  <c r="H6518" i="1"/>
  <c r="I4842" i="1"/>
  <c r="H4842" i="1"/>
  <c r="I4396" i="1"/>
  <c r="H4396" i="1"/>
  <c r="I880" i="1"/>
  <c r="H880" i="1"/>
  <c r="I2210" i="1"/>
  <c r="H2210" i="1"/>
  <c r="I4495" i="1"/>
  <c r="H4495" i="1"/>
  <c r="I4763" i="1"/>
  <c r="H4763" i="1"/>
  <c r="I1762" i="1"/>
  <c r="H1762" i="1"/>
  <c r="I5315" i="1"/>
  <c r="H5315" i="1"/>
  <c r="I5501" i="1"/>
  <c r="H5501" i="1"/>
  <c r="I4944" i="1"/>
  <c r="H4944" i="1"/>
  <c r="I2644" i="1"/>
  <c r="H2644" i="1"/>
  <c r="I5070" i="1"/>
  <c r="H5070" i="1"/>
  <c r="I2678" i="1"/>
  <c r="H2678" i="1"/>
  <c r="I5631" i="1"/>
  <c r="H5631" i="1"/>
  <c r="I4533" i="1"/>
  <c r="H4533" i="1"/>
  <c r="I2246" i="1"/>
  <c r="H2246" i="1"/>
  <c r="I1351" i="1"/>
  <c r="H1351" i="1"/>
  <c r="I2557" i="1"/>
  <c r="H2557" i="1"/>
  <c r="I3295" i="1"/>
  <c r="H3295" i="1"/>
  <c r="I4919" i="1"/>
  <c r="H4919" i="1"/>
  <c r="I649" i="1"/>
  <c r="H649" i="1"/>
  <c r="I1714" i="1"/>
  <c r="H1714" i="1"/>
  <c r="I4843" i="1"/>
  <c r="H4843" i="1"/>
  <c r="I5828" i="1"/>
  <c r="H5828" i="1"/>
  <c r="I5900" i="1"/>
  <c r="H5900" i="1"/>
  <c r="I6725" i="1"/>
  <c r="H6725" i="1"/>
  <c r="I4772" i="1"/>
  <c r="H4772" i="1"/>
  <c r="I6324" i="1"/>
  <c r="H6324" i="1"/>
  <c r="I6041" i="1"/>
  <c r="H6041" i="1"/>
  <c r="I5700" i="1"/>
  <c r="H5700" i="1"/>
  <c r="I4348" i="1"/>
  <c r="H4348" i="1"/>
  <c r="I2100" i="1"/>
  <c r="H2100" i="1"/>
  <c r="I2471" i="1"/>
  <c r="H2471" i="1"/>
  <c r="I1626" i="1"/>
  <c r="H1626" i="1"/>
  <c r="I3018" i="1"/>
  <c r="H3018" i="1"/>
  <c r="I6942" i="1"/>
  <c r="H6942" i="1"/>
  <c r="I6172" i="1"/>
  <c r="H6172" i="1"/>
  <c r="I4681" i="1"/>
  <c r="H4681" i="1"/>
  <c r="I5494" i="1"/>
  <c r="H5494" i="1"/>
  <c r="I4913" i="1"/>
  <c r="H4913" i="1"/>
  <c r="I4791" i="1"/>
  <c r="H4791" i="1"/>
  <c r="I6024" i="1"/>
  <c r="H6024" i="1"/>
  <c r="I253" i="1"/>
  <c r="H253" i="1"/>
  <c r="I4891" i="1"/>
  <c r="H4891" i="1"/>
  <c r="I796" i="1"/>
  <c r="H796" i="1"/>
  <c r="I2886" i="1"/>
  <c r="H2886" i="1"/>
  <c r="I5925" i="1"/>
  <c r="H5925" i="1"/>
  <c r="I6984" i="1"/>
  <c r="H6984" i="1"/>
  <c r="I5015" i="1"/>
  <c r="H5015" i="1"/>
  <c r="I199" i="1"/>
  <c r="H199" i="1"/>
  <c r="I5435" i="1"/>
  <c r="H5435" i="1"/>
  <c r="I3114" i="1"/>
  <c r="H3114" i="1"/>
  <c r="I2761" i="1"/>
  <c r="H2761" i="1"/>
  <c r="I4954" i="1"/>
  <c r="H4954" i="1"/>
  <c r="I6348" i="1"/>
  <c r="H6348" i="1"/>
  <c r="I5166" i="1"/>
  <c r="H5166" i="1"/>
  <c r="I518" i="1"/>
  <c r="H518" i="1"/>
  <c r="I4285" i="1"/>
  <c r="H4285" i="1"/>
  <c r="I6886" i="1"/>
  <c r="H6886" i="1"/>
  <c r="I4709" i="1"/>
  <c r="H4709" i="1"/>
  <c r="I5226" i="1"/>
  <c r="H5226" i="1"/>
  <c r="I2940" i="1"/>
  <c r="H2940" i="1"/>
  <c r="I4327" i="1"/>
  <c r="H4327" i="1"/>
  <c r="I1692" i="1"/>
  <c r="H1692" i="1"/>
  <c r="I4363" i="1"/>
  <c r="H4363" i="1"/>
  <c r="I4455" i="1"/>
  <c r="H4455" i="1"/>
  <c r="I1600" i="1"/>
  <c r="H1600" i="1"/>
  <c r="I2555" i="1"/>
  <c r="H2555" i="1"/>
  <c r="I6939" i="1"/>
  <c r="H6939" i="1"/>
  <c r="I4993" i="1"/>
  <c r="H4993" i="1"/>
  <c r="I1479" i="1"/>
  <c r="H1479" i="1"/>
  <c r="I6040" i="1"/>
  <c r="H6040" i="1"/>
  <c r="I2087" i="1"/>
  <c r="H2087" i="1"/>
  <c r="I6639" i="1"/>
  <c r="H6639" i="1"/>
  <c r="I833" i="1"/>
  <c r="H833" i="1"/>
  <c r="I721" i="1"/>
  <c r="H721" i="1"/>
  <c r="I1628" i="1"/>
  <c r="H1628" i="1"/>
  <c r="I4517" i="1"/>
  <c r="H4517" i="1"/>
  <c r="I2249" i="1"/>
  <c r="H2249" i="1"/>
  <c r="I5791" i="1"/>
  <c r="H5791" i="1"/>
  <c r="I5753" i="1"/>
  <c r="H5753" i="1"/>
  <c r="I509" i="1"/>
  <c r="H509" i="1"/>
  <c r="I3160" i="1"/>
  <c r="H3160" i="1"/>
  <c r="I5676" i="1"/>
  <c r="H5676" i="1"/>
  <c r="I2714" i="1"/>
  <c r="H2714" i="1"/>
  <c r="I5074" i="1"/>
  <c r="H5074" i="1"/>
  <c r="H1093" i="1"/>
  <c r="I3245" i="1"/>
  <c r="H3245" i="1"/>
  <c r="I6454" i="1"/>
  <c r="H6454" i="1"/>
  <c r="I1267" i="1"/>
  <c r="H1267" i="1"/>
  <c r="I5101" i="1"/>
  <c r="H5101" i="1"/>
  <c r="I2030" i="1"/>
  <c r="H2030" i="1"/>
  <c r="I4563" i="1"/>
  <c r="H4563" i="1"/>
  <c r="I4599" i="1"/>
  <c r="H4599" i="1"/>
  <c r="I6136" i="1"/>
  <c r="H6136" i="1"/>
  <c r="I5287" i="1"/>
  <c r="H5287" i="1"/>
  <c r="I4760" i="1"/>
  <c r="H4760" i="1"/>
  <c r="I4806" i="1"/>
  <c r="H4806" i="1"/>
  <c r="I3073" i="1"/>
  <c r="H3073" i="1"/>
  <c r="I2257" i="1"/>
  <c r="H2257" i="1"/>
  <c r="I1492" i="1"/>
  <c r="H1492" i="1"/>
  <c r="I4646" i="1"/>
  <c r="H4646" i="1"/>
  <c r="I1629" i="1"/>
  <c r="H1629" i="1"/>
  <c r="I191" i="1"/>
  <c r="H191" i="1"/>
  <c r="I4297" i="1"/>
  <c r="H4297" i="1"/>
  <c r="I4117" i="1"/>
  <c r="H4117" i="1"/>
  <c r="I4748" i="1"/>
  <c r="H4748" i="1"/>
  <c r="I4573" i="1"/>
  <c r="H4573" i="1"/>
  <c r="I6336" i="1"/>
  <c r="H6336" i="1"/>
  <c r="I2787" i="1"/>
  <c r="H2787" i="1"/>
  <c r="I1758" i="1"/>
  <c r="H1758" i="1"/>
  <c r="I2169" i="1"/>
  <c r="H2169" i="1"/>
  <c r="I3026" i="1"/>
  <c r="H3026" i="1"/>
  <c r="I2303" i="1"/>
  <c r="H2303" i="1"/>
  <c r="I906" i="1"/>
  <c r="H906" i="1"/>
  <c r="I4827" i="1"/>
  <c r="H4827" i="1"/>
  <c r="I5665" i="1"/>
  <c r="H5665" i="1"/>
  <c r="I1959" i="1"/>
  <c r="H1959" i="1"/>
  <c r="I3025" i="1"/>
  <c r="H3025" i="1"/>
  <c r="I4242" i="1"/>
  <c r="H4242" i="1"/>
  <c r="I5358" i="1"/>
  <c r="H5358" i="1"/>
  <c r="I1409" i="1"/>
  <c r="H1409" i="1"/>
  <c r="I5131" i="1"/>
  <c r="H5131" i="1"/>
  <c r="I4201" i="1"/>
  <c r="H4201" i="1"/>
  <c r="I6213" i="1"/>
  <c r="H6213" i="1"/>
  <c r="I4387" i="1"/>
  <c r="H4387" i="1"/>
  <c r="I6733" i="1"/>
  <c r="H6733" i="1"/>
  <c r="I2400" i="1"/>
  <c r="H2400" i="1"/>
  <c r="I5573" i="1"/>
  <c r="H5573" i="1"/>
  <c r="I1848" i="1"/>
  <c r="H1848" i="1"/>
  <c r="I1724" i="1"/>
  <c r="H1724" i="1"/>
  <c r="I6766" i="1"/>
  <c r="H6766" i="1"/>
  <c r="I2173" i="1"/>
  <c r="H2173" i="1"/>
  <c r="I1754" i="1"/>
  <c r="H1754" i="1"/>
  <c r="I2198" i="1"/>
  <c r="H2198" i="1"/>
  <c r="I827" i="1"/>
  <c r="H827" i="1"/>
  <c r="I2348" i="1"/>
  <c r="H2348" i="1"/>
  <c r="I5460" i="1"/>
  <c r="H5460" i="1"/>
  <c r="I5178" i="1"/>
  <c r="H5178" i="1"/>
  <c r="I6684" i="1"/>
  <c r="H6684" i="1"/>
  <c r="I2610" i="1"/>
  <c r="H2610" i="1"/>
  <c r="I260" i="1"/>
  <c r="H260" i="1"/>
  <c r="I2804" i="1"/>
  <c r="H2804" i="1"/>
  <c r="I6540" i="1"/>
  <c r="H6540" i="1"/>
  <c r="I2799" i="1"/>
  <c r="H2799" i="1"/>
  <c r="I341" i="1"/>
  <c r="H341" i="1"/>
  <c r="I4498" i="1"/>
  <c r="H4498" i="1"/>
  <c r="I1664" i="1"/>
  <c r="H1664" i="1"/>
  <c r="I2489" i="1"/>
  <c r="H2489" i="1"/>
  <c r="I6687" i="1"/>
  <c r="H6687" i="1"/>
  <c r="I1424" i="1"/>
  <c r="H1424" i="1"/>
  <c r="I6079" i="1"/>
  <c r="H6079" i="1"/>
  <c r="I6341" i="1"/>
  <c r="H6341" i="1"/>
  <c r="I2151" i="1"/>
  <c r="H2151" i="1"/>
  <c r="I5974" i="1"/>
  <c r="H5974" i="1"/>
  <c r="I1243" i="1"/>
  <c r="H1243" i="1"/>
  <c r="I5493" i="1"/>
  <c r="H5493" i="1"/>
  <c r="I6239" i="1"/>
  <c r="H6239" i="1"/>
  <c r="I2767" i="1"/>
  <c r="H2767" i="1"/>
  <c r="I1344" i="1"/>
  <c r="H1344" i="1"/>
  <c r="I1918" i="1"/>
  <c r="H1918" i="1"/>
  <c r="I275" i="1"/>
  <c r="H275" i="1"/>
  <c r="I6478" i="1"/>
  <c r="H6478" i="1"/>
  <c r="I6564" i="1"/>
  <c r="H6564" i="1"/>
  <c r="I6470" i="1"/>
  <c r="H6470" i="1"/>
  <c r="I2688" i="1"/>
  <c r="H2688" i="1"/>
  <c r="I6730" i="1"/>
  <c r="H6730" i="1"/>
  <c r="I5680" i="1"/>
  <c r="H5680" i="1"/>
  <c r="I5260" i="1"/>
  <c r="H5260" i="1"/>
  <c r="I6043" i="1"/>
  <c r="H6043" i="1"/>
  <c r="I1183" i="1"/>
  <c r="H1183" i="1"/>
  <c r="I1633" i="1"/>
  <c r="H1633" i="1"/>
  <c r="I2542" i="1"/>
  <c r="H2542" i="1"/>
  <c r="I4336" i="1"/>
  <c r="H4336" i="1"/>
  <c r="I3173" i="1"/>
  <c r="H3173" i="1"/>
  <c r="I6547" i="1"/>
  <c r="H6547" i="1"/>
  <c r="I6125" i="1"/>
  <c r="H6125" i="1"/>
  <c r="I4281" i="1"/>
  <c r="H4281" i="1"/>
  <c r="I990" i="1"/>
  <c r="H990" i="1"/>
  <c r="I971" i="1"/>
  <c r="H971" i="1"/>
  <c r="I3092" i="1"/>
  <c r="H3092" i="1"/>
  <c r="I2754" i="1"/>
  <c r="H2754" i="1"/>
  <c r="I6516" i="1"/>
  <c r="H6516" i="1"/>
  <c r="I536" i="1"/>
  <c r="H536" i="1"/>
  <c r="I2324" i="1"/>
  <c r="H2324" i="1"/>
  <c r="I2498" i="1"/>
  <c r="H2498" i="1"/>
  <c r="I6589" i="1"/>
  <c r="H6589" i="1"/>
  <c r="I5421" i="1"/>
  <c r="H5421" i="1"/>
  <c r="I926" i="1"/>
  <c r="H926" i="1"/>
  <c r="I5100" i="1"/>
  <c r="H5100" i="1"/>
  <c r="I1001" i="1"/>
  <c r="H1001" i="1"/>
  <c r="I2264" i="1"/>
  <c r="H2264" i="1"/>
  <c r="I5398" i="1"/>
  <c r="H5398" i="1"/>
  <c r="I5943" i="1"/>
  <c r="H5943" i="1"/>
  <c r="I6026" i="1"/>
  <c r="H6026" i="1"/>
  <c r="I2430" i="1"/>
  <c r="H2430" i="1"/>
  <c r="I5106" i="1"/>
  <c r="H5106" i="1"/>
  <c r="I5353" i="1"/>
  <c r="H5353" i="1"/>
  <c r="I2370" i="1"/>
  <c r="H2370" i="1"/>
  <c r="I4247" i="1"/>
  <c r="H4247" i="1"/>
  <c r="I5110" i="1"/>
  <c r="H5110" i="1"/>
  <c r="I2889" i="1"/>
  <c r="H2889" i="1"/>
  <c r="I674" i="1"/>
  <c r="H674" i="1"/>
  <c r="I4672" i="1"/>
  <c r="H4672" i="1"/>
  <c r="I4070" i="1"/>
  <c r="H4070" i="1"/>
  <c r="I5438" i="1"/>
  <c r="H5438" i="1"/>
  <c r="I2755" i="1"/>
  <c r="H2755" i="1"/>
  <c r="I6214" i="1"/>
  <c r="H6214" i="1"/>
  <c r="I5777" i="1"/>
  <c r="H5777" i="1"/>
  <c r="I5361" i="1"/>
  <c r="H5361" i="1"/>
  <c r="I5466" i="1"/>
  <c r="H5466" i="1"/>
  <c r="I6428" i="1"/>
  <c r="H6428" i="1"/>
  <c r="I4579" i="1"/>
  <c r="H4579" i="1"/>
  <c r="I4315" i="1"/>
  <c r="H4315" i="1"/>
  <c r="I121" i="1"/>
  <c r="H121" i="1"/>
  <c r="I3075" i="1"/>
  <c r="H3075" i="1"/>
  <c r="I4494" i="1"/>
  <c r="H4494" i="1"/>
  <c r="I4468" i="1"/>
  <c r="H4468" i="1"/>
  <c r="I2148" i="1"/>
  <c r="H2148" i="1"/>
  <c r="I4157" i="1"/>
  <c r="H4157" i="1"/>
  <c r="I7020" i="1"/>
  <c r="H7020" i="1"/>
  <c r="I6757" i="1"/>
  <c r="H6757" i="1"/>
  <c r="I4876" i="1"/>
  <c r="H4876" i="1"/>
  <c r="I2152" i="1"/>
  <c r="H2152" i="1"/>
  <c r="I5094" i="1"/>
  <c r="H5094" i="1"/>
  <c r="I2305" i="1"/>
  <c r="H2305" i="1"/>
  <c r="I6104" i="1"/>
  <c r="H6104" i="1"/>
  <c r="I6615" i="1"/>
  <c r="H6615" i="1"/>
  <c r="I4413" i="1"/>
  <c r="H4413" i="1"/>
  <c r="I429" i="1"/>
  <c r="H429" i="1"/>
  <c r="I5061" i="1"/>
  <c r="H5061" i="1"/>
  <c r="I5056" i="1"/>
  <c r="H5056" i="1"/>
  <c r="I760" i="1"/>
  <c r="H760" i="1"/>
  <c r="I5357" i="1"/>
  <c r="H5357" i="1"/>
  <c r="I4306" i="1"/>
  <c r="H4306" i="1"/>
  <c r="I6660" i="1"/>
  <c r="H6660" i="1"/>
  <c r="I6700" i="1"/>
  <c r="H6700" i="1"/>
  <c r="I5049" i="1"/>
  <c r="H5049" i="1"/>
  <c r="H6034" i="1"/>
  <c r="I4983" i="1"/>
  <c r="H4983" i="1"/>
  <c r="I1910" i="1"/>
  <c r="H1910" i="1"/>
  <c r="I1936" i="1"/>
  <c r="H1936" i="1"/>
  <c r="I4833" i="1"/>
  <c r="H4833" i="1"/>
  <c r="I1007" i="1"/>
  <c r="H1007" i="1"/>
  <c r="I5378" i="1"/>
  <c r="H5378" i="1"/>
  <c r="I5212" i="1"/>
  <c r="H5212" i="1"/>
  <c r="I5182" i="1"/>
  <c r="H5182" i="1"/>
  <c r="I5302" i="1"/>
  <c r="H5302" i="1"/>
  <c r="I4456" i="1"/>
  <c r="H4456" i="1"/>
  <c r="I4803" i="1"/>
  <c r="H4803" i="1"/>
  <c r="I4659" i="1"/>
  <c r="H4659" i="1"/>
  <c r="I6132" i="1"/>
  <c r="H6132" i="1"/>
  <c r="I2379" i="1"/>
  <c r="H2379" i="1"/>
  <c r="I6438" i="1"/>
  <c r="H6438" i="1"/>
  <c r="I4959" i="1"/>
  <c r="H4959" i="1"/>
  <c r="I4740" i="1"/>
  <c r="H4740" i="1"/>
  <c r="I1125" i="1"/>
  <c r="H1125" i="1"/>
  <c r="I3624" i="1"/>
  <c r="H3624" i="1"/>
  <c r="I4979" i="1"/>
  <c r="H4979" i="1"/>
  <c r="I2682" i="1"/>
  <c r="H2682" i="1"/>
  <c r="I1107" i="1"/>
  <c r="H1107" i="1"/>
  <c r="I1112" i="1"/>
  <c r="H1112" i="1"/>
  <c r="I5318" i="1"/>
  <c r="H5318" i="1"/>
  <c r="I1275" i="1"/>
  <c r="H1275" i="1"/>
  <c r="I1805" i="1"/>
  <c r="H1805" i="1"/>
  <c r="I1314" i="1"/>
  <c r="H1314" i="1"/>
  <c r="I4731" i="1"/>
  <c r="H4731" i="1"/>
  <c r="I2309" i="1"/>
  <c r="H2309" i="1"/>
  <c r="I5662" i="1"/>
  <c r="H5662" i="1"/>
  <c r="I311" i="1"/>
  <c r="H311" i="1"/>
  <c r="I2101" i="1"/>
  <c r="H2101" i="1"/>
  <c r="I1877" i="1"/>
  <c r="H1877" i="1"/>
  <c r="I1780" i="1"/>
  <c r="H1780" i="1"/>
  <c r="I4016" i="1"/>
  <c r="H4016" i="1"/>
  <c r="I6148" i="1"/>
  <c r="H6148" i="1"/>
  <c r="I2695" i="1"/>
  <c r="H2695" i="1"/>
  <c r="I4930" i="1"/>
  <c r="H4930" i="1"/>
  <c r="I6562" i="1"/>
  <c r="H6562" i="1"/>
  <c r="I1574" i="1"/>
  <c r="H1574" i="1"/>
  <c r="I6013" i="1"/>
  <c r="H6013" i="1"/>
  <c r="I3871" i="1"/>
  <c r="H3871" i="1"/>
  <c r="I5992" i="1"/>
  <c r="H5992" i="1"/>
  <c r="I5606" i="1"/>
  <c r="H5606" i="1"/>
  <c r="I6756" i="1"/>
  <c r="H6756" i="1"/>
  <c r="I3727" i="1"/>
  <c r="H3727" i="1"/>
  <c r="I2180" i="1"/>
  <c r="H2180" i="1"/>
  <c r="I807" i="1"/>
  <c r="H807" i="1"/>
  <c r="I6186" i="1"/>
  <c r="H6186" i="1"/>
  <c r="I4951" i="1"/>
  <c r="H4951" i="1"/>
  <c r="I5047" i="1"/>
  <c r="H5047" i="1"/>
  <c r="I5836" i="1"/>
  <c r="H5836" i="1"/>
  <c r="I3756" i="1"/>
  <c r="H3756" i="1"/>
  <c r="I4425" i="1"/>
  <c r="H4425" i="1"/>
  <c r="I506" i="1"/>
  <c r="H506" i="1"/>
  <c r="I5127" i="1"/>
  <c r="H5127" i="1"/>
  <c r="I2907" i="1"/>
  <c r="H2907" i="1"/>
  <c r="I1338" i="1"/>
  <c r="H1338" i="1"/>
  <c r="I747" i="1"/>
  <c r="H747" i="1"/>
  <c r="I4669" i="1"/>
  <c r="H4669" i="1"/>
  <c r="I175" i="1"/>
  <c r="H175" i="1"/>
  <c r="I2295" i="1"/>
  <c r="H2295" i="1"/>
  <c r="I4805" i="1"/>
  <c r="H4805" i="1"/>
  <c r="I5247" i="1"/>
  <c r="H5247" i="1"/>
  <c r="I2251" i="1"/>
  <c r="H2251" i="1"/>
  <c r="I6849" i="1"/>
  <c r="H6849" i="1"/>
  <c r="I174" i="1"/>
  <c r="H174" i="1"/>
  <c r="I1812" i="1"/>
  <c r="H1812" i="1"/>
  <c r="I5718" i="1"/>
  <c r="H5718" i="1"/>
  <c r="I6646" i="1"/>
  <c r="H6646" i="1"/>
  <c r="I5006" i="1"/>
  <c r="H5006" i="1"/>
  <c r="I1322" i="1"/>
  <c r="H1322" i="1"/>
  <c r="I986" i="1"/>
  <c r="H986" i="1"/>
  <c r="I5552" i="1"/>
  <c r="H5552" i="1"/>
  <c r="I6345" i="1"/>
  <c r="H6345" i="1"/>
  <c r="I3201" i="1"/>
  <c r="H3201" i="1"/>
  <c r="I5580" i="1"/>
  <c r="H5580" i="1"/>
  <c r="I2966" i="1"/>
  <c r="H2966" i="1"/>
  <c r="I5395" i="1"/>
  <c r="H5395" i="1"/>
  <c r="I4292" i="1"/>
  <c r="H4292" i="1"/>
  <c r="I6279" i="1"/>
  <c r="H6279" i="1"/>
  <c r="I3002" i="1"/>
  <c r="H3002" i="1"/>
  <c r="I2450" i="1"/>
  <c r="H2450" i="1"/>
  <c r="I6075" i="1"/>
  <c r="H6075" i="1"/>
  <c r="I794" i="1"/>
  <c r="H794" i="1"/>
  <c r="I4725" i="1"/>
  <c r="H4725" i="1"/>
  <c r="I2933" i="1"/>
  <c r="H2933" i="1"/>
  <c r="I3238" i="1"/>
  <c r="H3238" i="1"/>
  <c r="I1271" i="1"/>
  <c r="H1271" i="1"/>
  <c r="I5397" i="1"/>
  <c r="H5397" i="1"/>
  <c r="I5504" i="1"/>
  <c r="H5504" i="1"/>
  <c r="I3754" i="1"/>
  <c r="H3754" i="1"/>
  <c r="I2372" i="1"/>
  <c r="H2372" i="1"/>
  <c r="I5840" i="1"/>
  <c r="H5840" i="1"/>
  <c r="I2849" i="1"/>
  <c r="H2849" i="1"/>
  <c r="I2645" i="1"/>
  <c r="H2645" i="1"/>
  <c r="I2789" i="1"/>
  <c r="H2789" i="1"/>
  <c r="I5561" i="1"/>
  <c r="H5561" i="1"/>
  <c r="I112" i="1"/>
  <c r="H112" i="1"/>
  <c r="I2177" i="1"/>
  <c r="H2177" i="1"/>
  <c r="I6609" i="1"/>
  <c r="H6609" i="1"/>
  <c r="I5738" i="1"/>
  <c r="H5738" i="1"/>
  <c r="I1976" i="1"/>
  <c r="H1976" i="1"/>
  <c r="I3154" i="1"/>
  <c r="H3154" i="1"/>
  <c r="I1349" i="1"/>
  <c r="H1349" i="1"/>
  <c r="I4947" i="1"/>
  <c r="H4947" i="1"/>
  <c r="I6052" i="1"/>
  <c r="H6052" i="1"/>
  <c r="I5431" i="1"/>
  <c r="H5431" i="1"/>
  <c r="I1702" i="1"/>
  <c r="H1702" i="1"/>
  <c r="I4537" i="1"/>
  <c r="H4537" i="1"/>
  <c r="I5201" i="1"/>
  <c r="H5201" i="1"/>
  <c r="I2300" i="1"/>
  <c r="H2300" i="1"/>
  <c r="I6855" i="1"/>
  <c r="H6855" i="1"/>
  <c r="I6923" i="1"/>
  <c r="H6923" i="1"/>
  <c r="I5461" i="1"/>
  <c r="H5461" i="1"/>
  <c r="I6119" i="1"/>
  <c r="H6119" i="1"/>
  <c r="I5520" i="1"/>
  <c r="H5520" i="1"/>
  <c r="I307" i="1"/>
  <c r="H307" i="1"/>
  <c r="I3125" i="1"/>
  <c r="H3125" i="1"/>
  <c r="I5862" i="1"/>
  <c r="H5862" i="1"/>
  <c r="I2786" i="1"/>
  <c r="H2786" i="1"/>
  <c r="I7000" i="1"/>
  <c r="H7000" i="1"/>
  <c r="I2920" i="1"/>
  <c r="H2920" i="1"/>
  <c r="I5812" i="1"/>
  <c r="H5812" i="1"/>
  <c r="I1474" i="1"/>
  <c r="H1474" i="1"/>
  <c r="I2547" i="1"/>
  <c r="H2547" i="1"/>
  <c r="I3215" i="1"/>
  <c r="H3215" i="1"/>
  <c r="I1744" i="1"/>
  <c r="H1744" i="1"/>
  <c r="I4668" i="1"/>
  <c r="H4668" i="1"/>
  <c r="I4167" i="1"/>
  <c r="H4167" i="1"/>
  <c r="I6289" i="1"/>
  <c r="H6289" i="1"/>
  <c r="I2598" i="1"/>
  <c r="H2598" i="1"/>
  <c r="I2952" i="1"/>
  <c r="H2952" i="1"/>
  <c r="I4865" i="1"/>
  <c r="H4865" i="1"/>
  <c r="I5164" i="1"/>
  <c r="H5164" i="1"/>
  <c r="I6634" i="1"/>
  <c r="H6634" i="1"/>
  <c r="I2815" i="1"/>
  <c r="H2815" i="1"/>
  <c r="I6372" i="1"/>
  <c r="H6372" i="1"/>
  <c r="I2998" i="1"/>
  <c r="H2998" i="1"/>
  <c r="I1641" i="1"/>
  <c r="H1641" i="1"/>
  <c r="I2651" i="1"/>
  <c r="H2651" i="1"/>
  <c r="I4006" i="1"/>
  <c r="H4006" i="1"/>
  <c r="I2125" i="1"/>
  <c r="H2125" i="1"/>
  <c r="I5325" i="1"/>
  <c r="H5325" i="1"/>
  <c r="I1538" i="1"/>
  <c r="H1538" i="1"/>
  <c r="I3870" i="1"/>
  <c r="H3870" i="1"/>
  <c r="I5158" i="1"/>
  <c r="H5158" i="1"/>
  <c r="I6177" i="1"/>
  <c r="H6177" i="1"/>
  <c r="I6811" i="1"/>
  <c r="H6811" i="1"/>
  <c r="I2028" i="1"/>
  <c r="H2028" i="1"/>
  <c r="I4393" i="1"/>
  <c r="H4393" i="1"/>
  <c r="I1452" i="1"/>
  <c r="H1452" i="1"/>
  <c r="I6382" i="1"/>
  <c r="H6382" i="1"/>
  <c r="I4588" i="1"/>
  <c r="H4588" i="1"/>
  <c r="I2440" i="1"/>
  <c r="H2440" i="1"/>
  <c r="I6089" i="1"/>
  <c r="H6089" i="1"/>
  <c r="I3209" i="1"/>
  <c r="H3209" i="1"/>
  <c r="I2562" i="1"/>
  <c r="H2562" i="1"/>
  <c r="I2772" i="1"/>
  <c r="H2772" i="1"/>
  <c r="I4864" i="1"/>
  <c r="H4864" i="1"/>
  <c r="I4877" i="1"/>
  <c r="H4877" i="1"/>
  <c r="I5445" i="1"/>
  <c r="H5445" i="1"/>
  <c r="I5391" i="1"/>
  <c r="H5391" i="1"/>
  <c r="I2739" i="1"/>
  <c r="H2739" i="1"/>
  <c r="I5137" i="1"/>
  <c r="H5137" i="1"/>
  <c r="I5001" i="1"/>
  <c r="H5001" i="1"/>
  <c r="I6522" i="1"/>
  <c r="H6522" i="1"/>
  <c r="I1508" i="1"/>
  <c r="H1508" i="1"/>
  <c r="I3580" i="1"/>
  <c r="H3580" i="1"/>
  <c r="I1905" i="1"/>
  <c r="H1905" i="1"/>
  <c r="I5720" i="1"/>
  <c r="H5720" i="1"/>
  <c r="I2016" i="1"/>
  <c r="H2016" i="1"/>
  <c r="I1335" i="1"/>
  <c r="H1335" i="1"/>
  <c r="I4333" i="1"/>
  <c r="H4333" i="1"/>
  <c r="I6662" i="1"/>
  <c r="H6662" i="1"/>
  <c r="I5962" i="1"/>
  <c r="H5962" i="1"/>
  <c r="I4812" i="1"/>
  <c r="H4812" i="1"/>
  <c r="I5910" i="1"/>
  <c r="H5910" i="1"/>
  <c r="I2759" i="1"/>
  <c r="H2759" i="1"/>
  <c r="I6870" i="1"/>
  <c r="H6870" i="1"/>
  <c r="I2010" i="1"/>
  <c r="H2010" i="1"/>
  <c r="I1705" i="1"/>
  <c r="H1705" i="1"/>
  <c r="I5273" i="1"/>
  <c r="H5273" i="1"/>
  <c r="I2268" i="1"/>
  <c r="H2268" i="1"/>
  <c r="I5831" i="1"/>
  <c r="H5831" i="1"/>
  <c r="I6680" i="1"/>
  <c r="H6680" i="1"/>
  <c r="I4574" i="1"/>
  <c r="H4574" i="1"/>
  <c r="I1813" i="1"/>
  <c r="H1813" i="1"/>
  <c r="I1925" i="1"/>
  <c r="H1925" i="1"/>
  <c r="I6514" i="1"/>
  <c r="H6514" i="1"/>
  <c r="I6252" i="1"/>
  <c r="H6252" i="1"/>
  <c r="I1592" i="1"/>
  <c r="H1592" i="1"/>
  <c r="I6294" i="1"/>
  <c r="H6294" i="1"/>
  <c r="I2041" i="1"/>
  <c r="H2041" i="1"/>
  <c r="I5767" i="1"/>
  <c r="H5767" i="1"/>
  <c r="I5219" i="1"/>
  <c r="H5219" i="1"/>
  <c r="I5556" i="1"/>
  <c r="H5556" i="1"/>
  <c r="I6144" i="1"/>
  <c r="H6144" i="1"/>
  <c r="I1635" i="1"/>
  <c r="H1635" i="1"/>
  <c r="I5482" i="1"/>
  <c r="H5482" i="1"/>
  <c r="I2342" i="1"/>
  <c r="H2342" i="1"/>
  <c r="I2392" i="1"/>
  <c r="H2392" i="1"/>
  <c r="I2128" i="1"/>
  <c r="H2128" i="1"/>
  <c r="I4939" i="1"/>
  <c r="H4939" i="1"/>
  <c r="I3034" i="1"/>
  <c r="H3034" i="1"/>
  <c r="I1209" i="1"/>
  <c r="H1209" i="1"/>
  <c r="I5055" i="1"/>
  <c r="H5055" i="1"/>
  <c r="I814" i="1"/>
  <c r="H814" i="1"/>
  <c r="I4829" i="1"/>
  <c r="H4829" i="1"/>
  <c r="I207" i="1"/>
  <c r="H207" i="1"/>
  <c r="I626" i="1"/>
  <c r="H626" i="1"/>
  <c r="I3013" i="1"/>
  <c r="H3013" i="1"/>
  <c r="I2773" i="1"/>
  <c r="H2773" i="1"/>
  <c r="I4995" i="1"/>
  <c r="H4995" i="1"/>
  <c r="I3796" i="1"/>
  <c r="H3796" i="1"/>
  <c r="I2188" i="1"/>
  <c r="H2188" i="1"/>
  <c r="I1716" i="1"/>
  <c r="H1716" i="1"/>
  <c r="I5285" i="1"/>
  <c r="H5285" i="1"/>
  <c r="I2071" i="1"/>
  <c r="H2071" i="1"/>
  <c r="I6286" i="1"/>
  <c r="H6286" i="1"/>
  <c r="I4856" i="1"/>
  <c r="H4856" i="1"/>
  <c r="I2829" i="1"/>
  <c r="H2829" i="1"/>
  <c r="I6785" i="1"/>
  <c r="H6785" i="1"/>
  <c r="I6953" i="1"/>
  <c r="H6953" i="1"/>
  <c r="I2505" i="1"/>
  <c r="H2505" i="1"/>
  <c r="I4831" i="1"/>
  <c r="H4831" i="1"/>
  <c r="I5213" i="1"/>
  <c r="H5213" i="1"/>
  <c r="I3081" i="1"/>
  <c r="H3081" i="1"/>
  <c r="I6193" i="1"/>
  <c r="H6193" i="1"/>
  <c r="I4549" i="1"/>
  <c r="H4549" i="1"/>
  <c r="I4790" i="1"/>
  <c r="H4790" i="1"/>
  <c r="I327" i="1"/>
  <c r="H327" i="1"/>
  <c r="I1624" i="1"/>
  <c r="H1624" i="1"/>
  <c r="I1711" i="1"/>
  <c r="H1711" i="1"/>
  <c r="I1861" i="1"/>
  <c r="H1861" i="1"/>
  <c r="I5841" i="1"/>
  <c r="H5841" i="1"/>
  <c r="I4854" i="1"/>
  <c r="H4854" i="1"/>
  <c r="I2175" i="1"/>
  <c r="H2175" i="1"/>
  <c r="I2338" i="1"/>
  <c r="H2338" i="1"/>
  <c r="I2234" i="1"/>
  <c r="H2234" i="1"/>
  <c r="I403" i="1"/>
  <c r="H403" i="1"/>
  <c r="I5985" i="1"/>
  <c r="H5985" i="1"/>
  <c r="I1068" i="1"/>
  <c r="H1068" i="1"/>
  <c r="I6627" i="1"/>
  <c r="H6627" i="1"/>
  <c r="I5234" i="1"/>
  <c r="H5234" i="1"/>
  <c r="I1791" i="1"/>
  <c r="H1791" i="1"/>
  <c r="I1384" i="1"/>
  <c r="H1384" i="1"/>
  <c r="I2922" i="1"/>
  <c r="H2922" i="1"/>
  <c r="I2752" i="1"/>
  <c r="H2752" i="1"/>
  <c r="I2534" i="1"/>
  <c r="H2534" i="1"/>
  <c r="I6999" i="1"/>
  <c r="H6999" i="1"/>
  <c r="I4848" i="1"/>
  <c r="H4848" i="1"/>
  <c r="I5264" i="1"/>
  <c r="H5264" i="1"/>
  <c r="I1718" i="1"/>
  <c r="H1718" i="1"/>
  <c r="I2457" i="1"/>
  <c r="H2457" i="1"/>
  <c r="I1931" i="1"/>
  <c r="H1931" i="1"/>
  <c r="I6773" i="1"/>
  <c r="H6773" i="1"/>
  <c r="I2686" i="1"/>
  <c r="H2686" i="1"/>
  <c r="I4882" i="1"/>
  <c r="H4882" i="1"/>
  <c r="I1032" i="1"/>
  <c r="H1032" i="1"/>
  <c r="I2411" i="1"/>
  <c r="H2411" i="1"/>
  <c r="I1686" i="1"/>
  <c r="H1686" i="1"/>
  <c r="I1434" i="1"/>
  <c r="H1434" i="1"/>
  <c r="I1964" i="1"/>
  <c r="H1964" i="1"/>
  <c r="I5893" i="1"/>
  <c r="H5893" i="1"/>
  <c r="I5289" i="1"/>
  <c r="H5289" i="1"/>
  <c r="I5866" i="1"/>
  <c r="H5866" i="1"/>
  <c r="I4503" i="1"/>
  <c r="H4503" i="1"/>
  <c r="I6434" i="1"/>
  <c r="H6434" i="1"/>
  <c r="I4623" i="1"/>
  <c r="H4623" i="1"/>
  <c r="I3882" i="1"/>
  <c r="H3882" i="1"/>
  <c r="I5814" i="1"/>
  <c r="H5814" i="1"/>
  <c r="I5450" i="1"/>
  <c r="H5450" i="1"/>
  <c r="I2595" i="1"/>
  <c r="H2595" i="1"/>
  <c r="I1471" i="1"/>
  <c r="H1471" i="1"/>
  <c r="I1247" i="1"/>
  <c r="H1247" i="1"/>
  <c r="I2704" i="1"/>
  <c r="H2704" i="1"/>
  <c r="I2310" i="1"/>
  <c r="H2310" i="1"/>
  <c r="I6006" i="1"/>
  <c r="H6006" i="1"/>
  <c r="I994" i="1"/>
  <c r="H994" i="1"/>
  <c r="I4617" i="1"/>
  <c r="H4617" i="1"/>
  <c r="I600" i="1"/>
  <c r="H600" i="1"/>
  <c r="I1009" i="1"/>
  <c r="H1009" i="1"/>
  <c r="I5314" i="1"/>
  <c r="H5314" i="1"/>
  <c r="I6128" i="1"/>
  <c r="H6128" i="1"/>
  <c r="I273" i="1"/>
  <c r="H273" i="1"/>
  <c r="I4794" i="1"/>
  <c r="H4794" i="1"/>
  <c r="I5481" i="1"/>
  <c r="H5481" i="1"/>
  <c r="I5979" i="1"/>
  <c r="H5979" i="1"/>
  <c r="I5479" i="1"/>
  <c r="H5479" i="1"/>
  <c r="I6993" i="1"/>
  <c r="H6993" i="1"/>
  <c r="I5933" i="1"/>
  <c r="H5933" i="1"/>
  <c r="I1790" i="1"/>
  <c r="H1790" i="1"/>
  <c r="I6541" i="1"/>
  <c r="H6541" i="1"/>
  <c r="I4775" i="1"/>
  <c r="H4775" i="1"/>
  <c r="I2391" i="1"/>
  <c r="H2391" i="1"/>
  <c r="I1689" i="1"/>
  <c r="H1689" i="1"/>
  <c r="I5393" i="1"/>
  <c r="H5393" i="1"/>
  <c r="I5222" i="1"/>
  <c r="H5222" i="1"/>
  <c r="I5998" i="1"/>
  <c r="H5998" i="1"/>
  <c r="I5169" i="1"/>
  <c r="H5169" i="1"/>
  <c r="I1827" i="1"/>
  <c r="H1827" i="1"/>
  <c r="I4752" i="1"/>
  <c r="H4752" i="1"/>
  <c r="I612" i="1"/>
  <c r="H612" i="1"/>
  <c r="I6376" i="1"/>
  <c r="H6376" i="1"/>
  <c r="I5044" i="1"/>
  <c r="H5044" i="1"/>
  <c r="I974" i="1"/>
  <c r="H974" i="1"/>
  <c r="I4560" i="1"/>
  <c r="H4560" i="1"/>
  <c r="I6259" i="1"/>
  <c r="H6259" i="1"/>
  <c r="I2512" i="1"/>
  <c r="H2512" i="1"/>
  <c r="I2012" i="1"/>
  <c r="H2012" i="1"/>
  <c r="I6301" i="1"/>
  <c r="H6301" i="1"/>
  <c r="I1816" i="1"/>
  <c r="H1816" i="1"/>
  <c r="I1912" i="1"/>
  <c r="H1912" i="1"/>
  <c r="I4248" i="1"/>
  <c r="H4248" i="1"/>
  <c r="I4607" i="1"/>
  <c r="H4607" i="1"/>
  <c r="I6772" i="1"/>
  <c r="H6772" i="1"/>
  <c r="I6794" i="1"/>
  <c r="H6794" i="1"/>
  <c r="I5020" i="1"/>
  <c r="H5020" i="1"/>
  <c r="I6302" i="1"/>
  <c r="H6302" i="1"/>
  <c r="I6965" i="1"/>
  <c r="H6965" i="1"/>
  <c r="I4931" i="1"/>
  <c r="H4931" i="1"/>
  <c r="I1996" i="1"/>
  <c r="H1996" i="1"/>
  <c r="I128" i="1"/>
  <c r="H128" i="1"/>
  <c r="I681" i="1"/>
  <c r="H681" i="1"/>
  <c r="I4670" i="1"/>
  <c r="H4670" i="1"/>
  <c r="I6002" i="1"/>
  <c r="H6002" i="1"/>
  <c r="I462" i="1"/>
  <c r="H462" i="1"/>
  <c r="I598" i="1"/>
  <c r="H598" i="1"/>
  <c r="I2421" i="1"/>
  <c r="H2421" i="1"/>
  <c r="I4381" i="1"/>
  <c r="H4381" i="1"/>
  <c r="I5623" i="1"/>
  <c r="H5623" i="1"/>
  <c r="I2244" i="1"/>
  <c r="H2244" i="1"/>
  <c r="I5034" i="1"/>
  <c r="H5034" i="1"/>
  <c r="I2155" i="1"/>
  <c r="H2155" i="1"/>
  <c r="I4253" i="1"/>
  <c r="H4253" i="1"/>
  <c r="I1880" i="1"/>
  <c r="H1880" i="1"/>
  <c r="I2451" i="1"/>
  <c r="H2451" i="1"/>
  <c r="I6221" i="1"/>
  <c r="H6221" i="1"/>
  <c r="I2387" i="1"/>
  <c r="H2387" i="1"/>
  <c r="I6171" i="1"/>
  <c r="H6171" i="1"/>
  <c r="I2298" i="1"/>
  <c r="H2298" i="1"/>
  <c r="I1341" i="1"/>
  <c r="H1341" i="1"/>
  <c r="I1235" i="1"/>
  <c r="H1235" i="1"/>
  <c r="I5692" i="1"/>
  <c r="H5692" i="1"/>
  <c r="I5149" i="1"/>
  <c r="H5149" i="1"/>
  <c r="I2049" i="1"/>
  <c r="H2049" i="1"/>
  <c r="I5537" i="1"/>
  <c r="H5537" i="1"/>
  <c r="I6066" i="1"/>
  <c r="H6066" i="1"/>
  <c r="I2261" i="1"/>
  <c r="H2261" i="1"/>
  <c r="I1050" i="1"/>
  <c r="H1050" i="1"/>
  <c r="I4547" i="1"/>
  <c r="H4547" i="1"/>
  <c r="I5797" i="1"/>
  <c r="H5797" i="1"/>
  <c r="I6796" i="1"/>
  <c r="H6796" i="1"/>
  <c r="I4347" i="1"/>
  <c r="H4347" i="1"/>
  <c r="I1371" i="1"/>
  <c r="H1371" i="1"/>
  <c r="I2262" i="1"/>
  <c r="H2262" i="1"/>
  <c r="I5967" i="1"/>
  <c r="H5967" i="1"/>
  <c r="I5610" i="1"/>
  <c r="H5610" i="1"/>
  <c r="I860" i="1"/>
  <c r="H860" i="1"/>
  <c r="I6223" i="1"/>
  <c r="H6223" i="1"/>
  <c r="I510" i="1"/>
  <c r="H510" i="1"/>
  <c r="I1872" i="1"/>
  <c r="H1872" i="1"/>
  <c r="I5038" i="1"/>
  <c r="H5038" i="1"/>
  <c r="I1101" i="1"/>
  <c r="H1101" i="1"/>
  <c r="I1731" i="1"/>
  <c r="H1731" i="1"/>
  <c r="I1954" i="1"/>
  <c r="H1954" i="1"/>
  <c r="I6032" i="1"/>
  <c r="H6032" i="1"/>
  <c r="I6668" i="1"/>
  <c r="H6668" i="1"/>
  <c r="I2226" i="1"/>
  <c r="H2226" i="1"/>
  <c r="I2956" i="1"/>
  <c r="H2956" i="1"/>
  <c r="I5223" i="1"/>
  <c r="H5223" i="1"/>
  <c r="I6579" i="1"/>
  <c r="H6579" i="1"/>
  <c r="I4480" i="1"/>
  <c r="H4480" i="1"/>
  <c r="I5467" i="1"/>
  <c r="H5467" i="1"/>
  <c r="I4152" i="1"/>
  <c r="H4152" i="1"/>
  <c r="I1670" i="1"/>
  <c r="H1670" i="1"/>
  <c r="I2080" i="1"/>
  <c r="H2080" i="1"/>
  <c r="I2486" i="1"/>
  <c r="H2486" i="1"/>
  <c r="I4671" i="1"/>
  <c r="H4671" i="1"/>
  <c r="I6487" i="1"/>
  <c r="H6487" i="1"/>
  <c r="I5973" i="1"/>
  <c r="H5973" i="1"/>
  <c r="I646" i="1"/>
  <c r="H646" i="1"/>
  <c r="I515" i="1"/>
  <c r="H515" i="1"/>
  <c r="I2099" i="1"/>
  <c r="H2099" i="1"/>
  <c r="I5744" i="1"/>
  <c r="H5744" i="1"/>
  <c r="I6211" i="1"/>
  <c r="H6211" i="1"/>
  <c r="I5560" i="1"/>
  <c r="H5560" i="1"/>
  <c r="I1572" i="1"/>
  <c r="H1572" i="1"/>
  <c r="I6116" i="1"/>
  <c r="H6116" i="1"/>
  <c r="I5270" i="1"/>
  <c r="H5270" i="1"/>
  <c r="I2085" i="1"/>
  <c r="H2085" i="1"/>
  <c r="I1083" i="1"/>
  <c r="H1083" i="1"/>
  <c r="I4224" i="1"/>
  <c r="H4224" i="1"/>
  <c r="I719" i="1"/>
  <c r="H719" i="1"/>
  <c r="I5483" i="1"/>
  <c r="H5483" i="1"/>
  <c r="I2367" i="1"/>
  <c r="H2367" i="1"/>
  <c r="I6082" i="1"/>
  <c r="H6082" i="1"/>
  <c r="I5337" i="1"/>
  <c r="H5337" i="1"/>
  <c r="I1825" i="1"/>
  <c r="H1825" i="1"/>
  <c r="I6268" i="1"/>
  <c r="H6268" i="1"/>
  <c r="I4510" i="1"/>
  <c r="H4510" i="1"/>
  <c r="I1259" i="1"/>
  <c r="H1259" i="1"/>
  <c r="I4631" i="1"/>
  <c r="H4631" i="1"/>
  <c r="I5269" i="1"/>
  <c r="H5269" i="1"/>
  <c r="I3999" i="1"/>
  <c r="H3999" i="1"/>
  <c r="I4173" i="1"/>
  <c r="H4173" i="1"/>
  <c r="I2597" i="1"/>
  <c r="H2597" i="1"/>
  <c r="I5746" i="1"/>
  <c r="H5746" i="1"/>
  <c r="I2376" i="1"/>
  <c r="H2376" i="1"/>
  <c r="I4899" i="1"/>
  <c r="H4899" i="1"/>
  <c r="I5534" i="1"/>
  <c r="H5534" i="1"/>
  <c r="I6394" i="1"/>
  <c r="H6394" i="1"/>
  <c r="I2245" i="1"/>
  <c r="H2245" i="1"/>
  <c r="I5626" i="1"/>
  <c r="H5626" i="1"/>
  <c r="I5968" i="1"/>
  <c r="H5968" i="1"/>
  <c r="I239" i="1"/>
  <c r="H239" i="1"/>
  <c r="I6051" i="1"/>
  <c r="H6051" i="1"/>
  <c r="I1590" i="1"/>
  <c r="H1590" i="1"/>
  <c r="I2013" i="1"/>
  <c r="H2013" i="1"/>
  <c r="I1337" i="1"/>
  <c r="H1337" i="1"/>
  <c r="I4376" i="1"/>
  <c r="H4376" i="1"/>
  <c r="I6720" i="1"/>
  <c r="H6720" i="1"/>
  <c r="I2191" i="1"/>
  <c r="H2191" i="1"/>
  <c r="I2538" i="1"/>
  <c r="H2538" i="1"/>
  <c r="I2798" i="1"/>
  <c r="H2798" i="1"/>
  <c r="I2021" i="1"/>
  <c r="H2021" i="1"/>
  <c r="I4836" i="1"/>
  <c r="H4836" i="1"/>
  <c r="I596" i="1"/>
  <c r="H596" i="1"/>
  <c r="I259" i="1"/>
  <c r="H259" i="1"/>
  <c r="I147" i="1"/>
  <c r="H147" i="1"/>
  <c r="I6414" i="1"/>
  <c r="H6414" i="1"/>
  <c r="I1612" i="1"/>
  <c r="H1612" i="1"/>
  <c r="I1552" i="1"/>
  <c r="H1552" i="1"/>
  <c r="I5834" i="1"/>
  <c r="H5834" i="1"/>
  <c r="I1839" i="1"/>
  <c r="H1839" i="1"/>
  <c r="I5190" i="1"/>
  <c r="H5190" i="1"/>
  <c r="I6062" i="1"/>
  <c r="H6062" i="1"/>
  <c r="I1418" i="1"/>
  <c r="H1418" i="1"/>
  <c r="I2022" i="1"/>
  <c r="H2022" i="1"/>
  <c r="I1466" i="1"/>
  <c r="H1466" i="1"/>
  <c r="I4464" i="1"/>
  <c r="H4464" i="1"/>
  <c r="I6697" i="1"/>
  <c r="H6697" i="1"/>
  <c r="I2035" i="1"/>
  <c r="H2035" i="1"/>
  <c r="I4337" i="1"/>
  <c r="H4337" i="1"/>
  <c r="I1659" i="1"/>
  <c r="H1659" i="1"/>
  <c r="I5085" i="1"/>
  <c r="H5085" i="1"/>
  <c r="I1114" i="1"/>
  <c r="H1114" i="1"/>
  <c r="I2153" i="1"/>
  <c r="H2153" i="1"/>
  <c r="I1236" i="1"/>
  <c r="H1236" i="1"/>
  <c r="I6088" i="1"/>
  <c r="H6088" i="1"/>
  <c r="I6333" i="1"/>
  <c r="H6333" i="1"/>
  <c r="I4531" i="1"/>
  <c r="H4531" i="1"/>
  <c r="I511" i="1"/>
  <c r="H511" i="1"/>
  <c r="I7016" i="1"/>
  <c r="H7016" i="1"/>
  <c r="I6850" i="1"/>
  <c r="H6850" i="1"/>
  <c r="I5368" i="1"/>
  <c r="H5368" i="1"/>
  <c r="I5065" i="1"/>
  <c r="H5065" i="1"/>
  <c r="I2791" i="1"/>
  <c r="H2791" i="1"/>
  <c r="I472" i="1"/>
  <c r="H472" i="1"/>
  <c r="I6281" i="1"/>
  <c r="H6281" i="1"/>
  <c r="I1613" i="1"/>
  <c r="H1613" i="1"/>
  <c r="I1433" i="1"/>
  <c r="H1433" i="1"/>
  <c r="I6397" i="1"/>
  <c r="H6397" i="1"/>
  <c r="I1998" i="1"/>
  <c r="H1998" i="1"/>
  <c r="I793" i="1"/>
  <c r="H793" i="1"/>
  <c r="I5558" i="1"/>
  <c r="H5558" i="1"/>
  <c r="I2142" i="1"/>
  <c r="H2142" i="1"/>
  <c r="I1448" i="1"/>
  <c r="H1448" i="1"/>
  <c r="I791" i="1"/>
  <c r="H791" i="1"/>
  <c r="I734" i="1"/>
  <c r="H734" i="1"/>
  <c r="I6560" i="1"/>
  <c r="H6560" i="1"/>
  <c r="I333" i="1"/>
  <c r="H333" i="1"/>
  <c r="I6814" i="1"/>
  <c r="H6814" i="1"/>
  <c r="I5066" i="1"/>
  <c r="H5066" i="1"/>
  <c r="I193" i="1"/>
  <c r="H193" i="1"/>
  <c r="I1782" i="1"/>
  <c r="H1782" i="1"/>
  <c r="I2186" i="1"/>
  <c r="H2186" i="1"/>
  <c r="I4756" i="1"/>
  <c r="H4756" i="1"/>
  <c r="I2020" i="1"/>
  <c r="H2020" i="1"/>
  <c r="I5808" i="1"/>
  <c r="H5808" i="1"/>
  <c r="I6249" i="1"/>
  <c r="H6249" i="1"/>
  <c r="I2048" i="1"/>
  <c r="H2048" i="1"/>
  <c r="I4524" i="1"/>
  <c r="H4524" i="1"/>
  <c r="I5858" i="1"/>
  <c r="H5858" i="1"/>
  <c r="I5942" i="1"/>
  <c r="H5942" i="1"/>
  <c r="I5225" i="1"/>
  <c r="H5225" i="1"/>
  <c r="I6163" i="1"/>
  <c r="H6163" i="1"/>
  <c r="I4745" i="1"/>
  <c r="H4745" i="1"/>
  <c r="I6728" i="1"/>
  <c r="H6728" i="1"/>
  <c r="I6233" i="1"/>
  <c r="H6233" i="1"/>
  <c r="I1611" i="1"/>
  <c r="H1611" i="1"/>
  <c r="I5363" i="1"/>
  <c r="H5363" i="1"/>
  <c r="I6030" i="1"/>
  <c r="H6030" i="1"/>
  <c r="I229" i="1"/>
  <c r="H229" i="1"/>
  <c r="I5916" i="1"/>
  <c r="H5916" i="1"/>
  <c r="I6197" i="1"/>
  <c r="H6197" i="1"/>
  <c r="I225" i="1"/>
  <c r="H225" i="1"/>
  <c r="I4443" i="1"/>
  <c r="H4443" i="1"/>
  <c r="I6922" i="1"/>
  <c r="H6922" i="1"/>
  <c r="I1713" i="1"/>
  <c r="H1713" i="1"/>
  <c r="I6246" i="1"/>
  <c r="H6246" i="1"/>
  <c r="I2082" i="1"/>
  <c r="H2082" i="1"/>
  <c r="I4797" i="1"/>
  <c r="H4797" i="1"/>
  <c r="I5775" i="1"/>
  <c r="H5775" i="1"/>
  <c r="I6021" i="1"/>
  <c r="H6021" i="1"/>
  <c r="I5245" i="1"/>
  <c r="H5245" i="1"/>
  <c r="I4861" i="1"/>
  <c r="H4861" i="1"/>
  <c r="I2095" i="1"/>
  <c r="H2095" i="1"/>
  <c r="I6513" i="1"/>
  <c r="H6513" i="1"/>
  <c r="I3045" i="1"/>
  <c r="H3045" i="1"/>
  <c r="I6689" i="1"/>
  <c r="H6689" i="1"/>
  <c r="I6443" i="1"/>
  <c r="H6443" i="1"/>
  <c r="I4250" i="1"/>
  <c r="H4250" i="1"/>
  <c r="I2290" i="1"/>
  <c r="H2290" i="1"/>
  <c r="I6045" i="1"/>
  <c r="H6045" i="1"/>
  <c r="I577" i="1"/>
  <c r="H577" i="1"/>
  <c r="I4936" i="1"/>
  <c r="H4936" i="1"/>
  <c r="I4219" i="1"/>
  <c r="H4219" i="1"/>
  <c r="I1364" i="1"/>
  <c r="H1364" i="1"/>
  <c r="I5410" i="1"/>
  <c r="H5410" i="1"/>
  <c r="I1562" i="1"/>
  <c r="H1562" i="1"/>
  <c r="I2653" i="1"/>
  <c r="H2653" i="1"/>
  <c r="I5788" i="1"/>
  <c r="H5788" i="1"/>
  <c r="I4551" i="1"/>
  <c r="H4551" i="1"/>
  <c r="I5039" i="1"/>
  <c r="H5039" i="1"/>
  <c r="I5121" i="1"/>
  <c r="H5121" i="1"/>
  <c r="I2181" i="1"/>
  <c r="H2181" i="1"/>
  <c r="I2008" i="1"/>
  <c r="H2008" i="1"/>
  <c r="I5869" i="1"/>
  <c r="H5869" i="1"/>
  <c r="I496" i="1"/>
  <c r="H496" i="1"/>
  <c r="I4907" i="1"/>
  <c r="H4907" i="1"/>
  <c r="I6342" i="1"/>
  <c r="H6342" i="1"/>
  <c r="I2573" i="1"/>
  <c r="H2573" i="1"/>
  <c r="I5120" i="1"/>
  <c r="H5120" i="1"/>
  <c r="I4685" i="1"/>
  <c r="H4685" i="1"/>
  <c r="I5613" i="1"/>
  <c r="H5613" i="1"/>
  <c r="I5244" i="1"/>
  <c r="H5244" i="1"/>
  <c r="I5750" i="1"/>
  <c r="H5750" i="1"/>
  <c r="I2749" i="1"/>
  <c r="H2749" i="1"/>
  <c r="I2647" i="1"/>
  <c r="H2647" i="1"/>
  <c r="I1748" i="1"/>
  <c r="H1748" i="1"/>
  <c r="I2076" i="1"/>
  <c r="H2076" i="1"/>
  <c r="I2885" i="1"/>
  <c r="H2885" i="1"/>
  <c r="I6804" i="1"/>
  <c r="H6804" i="1"/>
  <c r="I950" i="1"/>
  <c r="H950" i="1"/>
  <c r="I6699" i="1"/>
  <c r="H6699" i="1"/>
  <c r="I2340" i="1"/>
  <c r="H2340" i="1"/>
  <c r="I4179" i="1"/>
  <c r="H4179" i="1"/>
  <c r="I5563" i="1"/>
  <c r="H5563" i="1"/>
  <c r="I1652" i="1"/>
  <c r="H1652" i="1"/>
  <c r="I5082" i="1"/>
  <c r="H5082" i="1"/>
  <c r="I5886" i="1"/>
  <c r="H5886" i="1"/>
  <c r="I2731" i="1"/>
  <c r="H2731" i="1"/>
  <c r="I1184" i="1"/>
  <c r="H1184" i="1"/>
  <c r="I5180" i="1"/>
  <c r="H5180" i="1"/>
  <c r="I1657" i="1"/>
  <c r="H1657" i="1"/>
  <c r="I2764" i="1"/>
  <c r="H2764" i="1"/>
  <c r="I6311" i="1"/>
  <c r="H6311" i="1"/>
  <c r="I5872" i="1"/>
  <c r="H5872" i="1"/>
  <c r="I4996" i="1"/>
  <c r="H4996" i="1"/>
  <c r="I1870" i="1"/>
  <c r="H1870" i="1"/>
  <c r="I2269" i="1"/>
  <c r="H2269" i="1"/>
  <c r="I5782" i="1"/>
  <c r="H5782" i="1"/>
  <c r="I4358" i="1"/>
  <c r="H4358" i="1"/>
  <c r="I1830" i="1"/>
  <c r="H1830" i="1"/>
  <c r="I2624" i="1"/>
  <c r="H2624" i="1"/>
  <c r="I6017" i="1"/>
  <c r="H6017" i="1"/>
  <c r="I2521" i="1"/>
  <c r="H2521" i="1"/>
  <c r="I5723" i="1"/>
  <c r="H5723" i="1"/>
  <c r="I6810" i="1"/>
  <c r="H6810" i="1"/>
  <c r="I5184" i="1"/>
  <c r="H5184" i="1"/>
  <c r="I5104" i="1"/>
  <c r="H5104" i="1"/>
  <c r="I4277" i="1"/>
  <c r="H4277" i="1"/>
  <c r="I2275" i="1"/>
  <c r="H2275" i="1"/>
  <c r="I2141" i="1"/>
  <c r="H2141" i="1"/>
  <c r="I2929" i="1"/>
  <c r="H2929" i="1"/>
  <c r="I6489" i="1"/>
  <c r="H6489" i="1"/>
  <c r="I3063" i="1"/>
  <c r="H3063" i="1"/>
  <c r="I5364" i="1"/>
  <c r="H5364" i="1"/>
  <c r="I5645" i="1"/>
  <c r="H5645" i="1"/>
  <c r="I6585" i="1"/>
  <c r="H6585" i="1"/>
  <c r="I567" i="1"/>
  <c r="H567" i="1"/>
  <c r="I2545" i="1"/>
  <c r="H2545" i="1"/>
  <c r="I1787" i="1"/>
  <c r="H1787" i="1"/>
  <c r="I6727" i="1"/>
  <c r="H6727" i="1"/>
  <c r="I2783" i="1"/>
  <c r="H2783" i="1"/>
  <c r="I482" i="1"/>
  <c r="H482" i="1"/>
  <c r="I1540" i="1"/>
  <c r="H1540" i="1"/>
  <c r="I6637" i="1"/>
  <c r="H6637" i="1"/>
  <c r="I1942" i="1"/>
  <c r="H1942" i="1"/>
  <c r="I5427" i="1"/>
  <c r="H5427" i="1"/>
  <c r="I686" i="1"/>
  <c r="H686" i="1"/>
  <c r="I7003" i="1"/>
  <c r="H7003" i="1"/>
  <c r="I2263" i="1"/>
  <c r="H2263" i="1"/>
  <c r="I4999" i="1"/>
  <c r="H4999" i="1"/>
  <c r="I5351" i="1"/>
  <c r="H5351" i="1"/>
  <c r="I5908" i="1"/>
  <c r="H5908" i="1"/>
  <c r="I2042" i="1"/>
  <c r="H2042" i="1"/>
  <c r="I1332" i="1"/>
  <c r="H1332" i="1"/>
  <c r="I6071" i="1"/>
  <c r="H6071" i="1"/>
  <c r="I5660" i="1"/>
  <c r="H5660" i="1"/>
  <c r="I4641" i="1"/>
  <c r="H4641" i="1"/>
  <c r="I5258" i="1"/>
  <c r="H5258" i="1"/>
  <c r="I5638" i="1"/>
  <c r="H5638" i="1"/>
  <c r="I5655" i="1"/>
  <c r="H5655" i="1"/>
  <c r="I4300" i="1"/>
  <c r="H4300" i="1"/>
  <c r="I5475" i="1"/>
  <c r="H5475" i="1"/>
  <c r="I5668" i="1"/>
  <c r="H5668" i="1"/>
  <c r="I5485" i="1"/>
  <c r="H5485" i="1"/>
  <c r="I1143" i="1"/>
  <c r="H1143" i="1"/>
  <c r="I6477" i="1"/>
  <c r="H6477" i="1"/>
  <c r="I4941" i="1"/>
  <c r="H4941" i="1"/>
  <c r="I5186" i="1"/>
  <c r="H5186" i="1"/>
  <c r="I5451" i="1"/>
  <c r="H5451" i="1"/>
  <c r="I6284" i="1"/>
  <c r="H6284" i="1"/>
  <c r="I669" i="1"/>
  <c r="H669" i="1"/>
  <c r="I656" i="1"/>
  <c r="H656" i="1"/>
  <c r="I2603" i="1"/>
  <c r="H2603" i="1"/>
  <c r="I5735" i="1"/>
  <c r="H5735" i="1"/>
  <c r="I1607" i="1"/>
  <c r="H1607" i="1"/>
  <c r="I243" i="1"/>
  <c r="H243" i="1"/>
  <c r="I1674" i="1"/>
  <c r="H1674" i="1"/>
  <c r="I2288" i="1"/>
  <c r="H2288" i="1"/>
  <c r="I463" i="1"/>
  <c r="H463" i="1"/>
  <c r="I2408" i="1"/>
  <c r="H2408" i="1"/>
  <c r="I1258" i="1"/>
  <c r="H1258" i="1"/>
  <c r="I898" i="1"/>
  <c r="H898" i="1"/>
  <c r="I4309" i="1"/>
  <c r="H4309" i="1"/>
  <c r="I6085" i="1"/>
  <c r="H6085" i="1"/>
  <c r="I1669" i="1"/>
  <c r="H1669" i="1"/>
  <c r="I1693" i="1"/>
  <c r="H1693" i="1"/>
  <c r="I2420" i="1"/>
  <c r="H2420" i="1"/>
  <c r="I4029" i="1"/>
  <c r="H4029" i="1"/>
  <c r="I6054" i="1"/>
  <c r="H6054" i="1"/>
  <c r="I4129" i="1"/>
  <c r="H4129" i="1"/>
  <c r="I1567" i="1"/>
  <c r="H1567" i="1"/>
  <c r="I2726" i="1"/>
  <c r="H2726" i="1"/>
  <c r="I5420" i="1"/>
  <c r="H5420" i="1"/>
  <c r="I6591" i="1"/>
  <c r="H6591" i="1"/>
  <c r="I2957" i="1"/>
  <c r="H2957" i="1"/>
  <c r="I5971" i="1"/>
  <c r="H5971" i="1"/>
  <c r="I4595" i="1"/>
  <c r="H4595" i="1"/>
  <c r="I1712" i="1"/>
  <c r="H1712" i="1"/>
  <c r="I4369" i="1"/>
  <c r="H4369" i="1"/>
  <c r="I1886" i="1"/>
  <c r="H1886" i="1"/>
  <c r="I1653" i="1"/>
  <c r="H1653" i="1"/>
  <c r="I366" i="1"/>
  <c r="H366" i="1"/>
  <c r="I2693" i="1"/>
  <c r="H2693" i="1"/>
  <c r="I5292" i="1"/>
  <c r="H5292" i="1"/>
  <c r="I5355" i="1"/>
  <c r="H5355" i="1"/>
  <c r="I6250" i="1"/>
  <c r="H6250" i="1"/>
  <c r="I2007" i="1"/>
  <c r="H2007" i="1"/>
  <c r="I1923" i="1"/>
  <c r="H1923" i="1"/>
  <c r="I2362" i="1"/>
  <c r="H2362" i="1"/>
  <c r="I5109" i="1"/>
  <c r="H5109" i="1"/>
  <c r="I5098" i="1"/>
  <c r="H5098" i="1"/>
  <c r="I5698" i="1"/>
  <c r="H5698" i="1"/>
  <c r="I1360" i="1"/>
  <c r="H1360" i="1"/>
  <c r="I2062" i="1"/>
  <c r="H2062" i="1"/>
  <c r="I6422" i="1"/>
  <c r="H6422" i="1"/>
  <c r="I6457" i="1"/>
  <c r="H6457" i="1"/>
  <c r="I2758" i="1"/>
  <c r="H2758" i="1"/>
  <c r="I5443" i="1"/>
  <c r="H5443" i="1"/>
  <c r="I1221" i="1"/>
  <c r="H1221" i="1"/>
  <c r="I5123" i="1"/>
  <c r="H5123" i="1"/>
  <c r="I6263" i="1"/>
  <c r="H6263" i="1"/>
  <c r="I2282" i="1"/>
  <c r="H2282" i="1"/>
  <c r="I777" i="1"/>
  <c r="H777" i="1"/>
  <c r="I1263" i="1"/>
  <c r="H1263" i="1"/>
  <c r="I5549" i="1"/>
  <c r="H5549" i="1"/>
  <c r="I668" i="1"/>
  <c r="H668" i="1"/>
  <c r="I4727" i="1"/>
  <c r="H4727" i="1"/>
  <c r="I2329" i="1"/>
  <c r="H2329" i="1"/>
  <c r="I1151" i="1"/>
  <c r="H1151" i="1"/>
  <c r="I6188" i="1"/>
  <c r="H6188" i="1"/>
  <c r="I1063" i="1"/>
  <c r="H1063" i="1"/>
  <c r="I2158" i="1"/>
  <c r="H2158" i="1"/>
  <c r="I5221" i="1"/>
  <c r="H5221" i="1"/>
  <c r="I6791" i="1"/>
  <c r="H6791" i="1"/>
  <c r="I2452" i="1"/>
  <c r="H2452" i="1"/>
  <c r="I3920" i="1"/>
  <c r="H3920" i="1"/>
  <c r="I1856" i="1"/>
  <c r="H1856" i="1"/>
  <c r="I5411" i="1"/>
  <c r="H5411" i="1"/>
  <c r="I679" i="1"/>
  <c r="H679" i="1"/>
  <c r="I1913" i="1"/>
  <c r="H1913" i="1"/>
  <c r="I6353" i="1"/>
  <c r="H6353" i="1"/>
  <c r="I1139" i="1"/>
  <c r="H1139" i="1"/>
  <c r="I2563" i="1"/>
  <c r="H2563" i="1"/>
  <c r="I6771" i="1"/>
  <c r="H6771" i="1"/>
  <c r="I192" i="1"/>
  <c r="H192" i="1"/>
  <c r="I6023" i="1"/>
  <c r="H6023" i="1"/>
  <c r="I5330" i="1"/>
  <c r="H5330" i="1"/>
  <c r="I5457" i="1"/>
  <c r="H5457" i="1"/>
  <c r="I4568" i="1"/>
  <c r="H4568" i="1"/>
  <c r="I675" i="1"/>
  <c r="H675" i="1"/>
  <c r="I5702" i="1"/>
  <c r="H5702" i="1"/>
  <c r="I5932" i="1"/>
  <c r="H5932" i="1"/>
  <c r="I136" i="1"/>
  <c r="H136" i="1"/>
  <c r="I267" i="1"/>
  <c r="H267" i="1"/>
  <c r="I2088" i="1"/>
  <c r="H2088" i="1"/>
  <c r="I5885" i="1"/>
  <c r="H5885" i="1"/>
  <c r="I1703" i="1"/>
  <c r="H1703" i="1"/>
  <c r="I4045" i="1"/>
  <c r="H4045" i="1"/>
  <c r="I5895" i="1"/>
  <c r="H5895" i="1"/>
  <c r="I6452" i="1"/>
  <c r="H6452" i="1"/>
  <c r="I6260" i="1"/>
  <c r="H6260" i="1"/>
  <c r="I2283" i="1"/>
  <c r="H2283" i="1"/>
  <c r="I1313" i="1"/>
  <c r="H1313" i="1"/>
  <c r="I5990" i="1"/>
  <c r="H5990" i="1"/>
  <c r="I5635" i="1"/>
  <c r="H5635" i="1"/>
  <c r="I6539" i="1"/>
  <c r="H6539" i="1"/>
  <c r="I5118" i="1"/>
  <c r="H5118" i="1"/>
  <c r="I5360" i="1"/>
  <c r="H5360" i="1"/>
  <c r="I2770" i="1"/>
  <c r="H2770" i="1"/>
  <c r="I1310" i="1"/>
  <c r="H1310" i="1"/>
  <c r="I5860" i="1"/>
  <c r="H5860" i="1"/>
  <c r="I5191" i="1"/>
  <c r="H5191" i="1"/>
  <c r="I6363" i="1"/>
  <c r="H6363" i="1"/>
  <c r="I329" i="1"/>
  <c r="H329" i="1"/>
  <c r="I1503" i="1"/>
  <c r="H1503" i="1"/>
  <c r="I2160" i="1"/>
  <c r="H2160" i="1"/>
  <c r="I1676" i="1"/>
  <c r="H1676" i="1"/>
  <c r="I2189" i="1"/>
  <c r="H2189" i="1"/>
  <c r="I5751" i="1"/>
  <c r="H5751" i="1"/>
  <c r="I4581" i="1"/>
  <c r="H4581" i="1"/>
  <c r="I3044" i="1"/>
  <c r="H3044" i="1"/>
  <c r="I288" i="1"/>
  <c r="H288" i="1"/>
  <c r="I1921" i="1"/>
  <c r="H1921" i="1"/>
  <c r="I5693" i="1"/>
  <c r="H5693" i="1"/>
  <c r="I2187" i="1"/>
  <c r="H2187" i="1"/>
  <c r="I620" i="1"/>
  <c r="H620" i="1"/>
  <c r="I2363" i="1"/>
  <c r="H2363" i="1"/>
  <c r="I6827" i="1"/>
  <c r="H6827" i="1"/>
  <c r="I6462" i="1"/>
  <c r="H6462" i="1"/>
  <c r="I6004" i="1"/>
  <c r="H6004" i="1"/>
  <c r="I5011" i="1"/>
  <c r="H5011" i="1"/>
  <c r="I2369" i="1"/>
  <c r="H2369" i="1"/>
  <c r="I1489" i="1"/>
  <c r="H1489" i="1"/>
  <c r="I5739" i="1"/>
  <c r="H5739" i="1"/>
  <c r="I6861" i="1"/>
  <c r="H6861" i="1"/>
  <c r="I5250" i="1"/>
  <c r="H5250" i="1"/>
  <c r="I5970" i="1"/>
  <c r="H5970" i="1"/>
  <c r="I2823" i="1"/>
  <c r="H2823" i="1"/>
  <c r="I4755" i="1"/>
  <c r="H4755" i="1"/>
  <c r="I1733" i="1"/>
  <c r="H1733" i="1"/>
  <c r="I1006" i="1"/>
  <c r="H1006" i="1"/>
  <c r="I6159" i="1"/>
  <c r="H6159" i="1"/>
  <c r="I1578" i="1"/>
  <c r="H1578" i="1"/>
  <c r="I5348" i="1"/>
  <c r="H5348" i="1"/>
  <c r="I1058" i="1"/>
  <c r="H1058" i="1"/>
  <c r="I1597" i="1"/>
  <c r="H1597" i="1"/>
  <c r="I973" i="1"/>
  <c r="H973" i="1"/>
  <c r="I354" i="1"/>
  <c r="H354" i="1"/>
  <c r="I1605" i="1"/>
  <c r="H1605" i="1"/>
  <c r="I6298" i="1"/>
  <c r="H6298" i="1"/>
  <c r="I1732" i="1"/>
  <c r="H1732" i="1"/>
  <c r="I6468" i="1"/>
  <c r="H6468" i="1"/>
  <c r="I3191" i="1"/>
  <c r="H3191" i="1"/>
  <c r="I4992" i="1"/>
  <c r="H4992" i="1"/>
  <c r="I5540" i="1"/>
  <c r="H5540" i="1"/>
  <c r="I5758" i="1"/>
  <c r="H5758" i="1"/>
  <c r="I3236" i="1"/>
  <c r="H3236" i="1"/>
  <c r="I2559" i="1"/>
  <c r="H2559" i="1"/>
  <c r="I5253" i="1"/>
  <c r="H5253" i="1"/>
  <c r="I6469" i="1"/>
  <c r="H6469" i="1"/>
  <c r="I303" i="1"/>
  <c r="H303" i="1"/>
  <c r="I4952" i="1"/>
  <c r="H4952" i="1"/>
  <c r="I6932" i="1"/>
  <c r="H6932" i="1"/>
  <c r="I4897" i="1"/>
  <c r="H4897" i="1"/>
  <c r="I761" i="1"/>
  <c r="H761" i="1"/>
  <c r="I1809" i="1"/>
  <c r="H1809" i="1"/>
  <c r="I1828" i="1"/>
  <c r="H1828" i="1"/>
  <c r="I1729" i="1"/>
  <c r="H1729" i="1"/>
  <c r="I1321" i="1"/>
  <c r="H1321" i="1"/>
  <c r="I4448" i="1"/>
  <c r="H4448" i="1"/>
  <c r="I5255" i="1"/>
  <c r="H5255" i="1"/>
  <c r="I1763" i="1"/>
  <c r="H1763" i="1"/>
  <c r="I5848" i="1"/>
  <c r="H5848" i="1"/>
  <c r="I2737" i="1"/>
  <c r="H2737" i="1"/>
  <c r="I6070" i="1"/>
  <c r="H6070" i="1"/>
  <c r="I5499" i="1"/>
  <c r="H5499" i="1"/>
  <c r="I4652" i="1"/>
  <c r="H4652" i="1"/>
  <c r="I5374" i="1"/>
  <c r="H5374" i="1"/>
  <c r="I1066" i="1"/>
  <c r="H1066" i="1"/>
  <c r="I187" i="1"/>
  <c r="H187" i="1"/>
  <c r="I2240" i="1"/>
  <c r="H2240" i="1"/>
  <c r="I2620" i="1"/>
  <c r="H2620" i="1"/>
  <c r="I2953" i="1"/>
  <c r="H2953" i="1"/>
  <c r="I4872" i="1"/>
  <c r="H4872" i="1"/>
  <c r="I4734" i="1"/>
  <c r="H4734" i="1"/>
  <c r="I489" i="1"/>
  <c r="H489" i="1"/>
  <c r="I4910" i="1"/>
  <c r="H4910" i="1"/>
  <c r="I2813" i="1"/>
  <c r="H2813" i="1"/>
  <c r="I5820" i="1"/>
  <c r="H5820" i="1"/>
  <c r="I1971" i="1"/>
  <c r="H1971" i="1"/>
  <c r="I5781" i="1"/>
  <c r="H5781" i="1"/>
  <c r="I1445" i="1"/>
  <c r="H1445" i="1"/>
  <c r="I1130" i="1"/>
  <c r="H1130" i="1"/>
  <c r="I130" i="1"/>
  <c r="H130" i="1"/>
  <c r="I1490" i="1"/>
  <c r="H1490" i="1"/>
  <c r="I1197" i="1"/>
  <c r="H1197" i="1"/>
  <c r="I2905" i="1"/>
  <c r="H2905" i="1"/>
  <c r="I257" i="1"/>
  <c r="H257" i="1"/>
  <c r="I5103" i="1"/>
  <c r="H5103" i="1"/>
  <c r="I995" i="1"/>
  <c r="H995" i="1"/>
  <c r="I4608" i="1"/>
  <c r="H4608" i="1"/>
  <c r="I6612" i="1"/>
  <c r="H6612" i="1"/>
  <c r="I5984" i="1"/>
  <c r="H5984" i="1"/>
  <c r="I2820" i="1"/>
  <c r="H2820" i="1"/>
  <c r="I5667" i="1"/>
  <c r="H5667" i="1"/>
  <c r="I1027" i="1"/>
  <c r="H1027" i="1"/>
  <c r="I4648" i="1"/>
  <c r="H4648" i="1"/>
  <c r="I6012" i="1"/>
  <c r="H6012" i="1"/>
  <c r="I1935" i="1"/>
  <c r="H1935" i="1"/>
  <c r="I1831" i="1"/>
  <c r="H1831" i="1"/>
  <c r="I102" i="1"/>
  <c r="H102" i="1"/>
  <c r="I733" i="1"/>
  <c r="H733" i="1"/>
  <c r="I1867" i="1"/>
  <c r="H1867" i="1"/>
  <c r="I1189" i="1"/>
  <c r="H1189" i="1"/>
  <c r="I5774" i="1"/>
  <c r="H5774" i="1"/>
  <c r="I2011" i="1"/>
  <c r="H2011" i="1"/>
  <c r="I2214" i="1"/>
  <c r="H2214" i="1"/>
  <c r="I3226" i="1"/>
  <c r="H3226" i="1"/>
  <c r="I4965" i="1"/>
  <c r="H4965" i="1"/>
  <c r="I6777" i="1"/>
  <c r="H6777" i="1"/>
  <c r="I2239" i="1"/>
  <c r="H2239" i="1"/>
  <c r="I5629" i="1"/>
  <c r="H5629" i="1"/>
  <c r="I4266" i="1"/>
  <c r="H4266" i="1"/>
  <c r="I5067" i="1"/>
  <c r="H5067" i="1"/>
  <c r="I2138" i="1"/>
  <c r="H2138" i="1"/>
  <c r="I5843" i="1"/>
  <c r="H5843" i="1"/>
  <c r="I2902" i="1"/>
  <c r="H2902" i="1"/>
  <c r="I6894" i="1"/>
  <c r="H6894" i="1"/>
  <c r="I1467" i="1"/>
  <c r="H1467" i="1"/>
  <c r="I1173" i="1"/>
  <c r="H1173" i="1"/>
  <c r="I6049" i="1"/>
  <c r="H6049" i="1"/>
  <c r="I5387" i="1"/>
  <c r="H5387" i="1"/>
  <c r="I5071" i="1"/>
  <c r="H5071" i="1"/>
  <c r="I1995" i="1"/>
  <c r="H1995" i="1"/>
  <c r="I6975" i="1"/>
  <c r="H6975" i="1"/>
  <c r="I615" i="1"/>
  <c r="H615" i="1"/>
  <c r="I5299" i="1"/>
  <c r="H5299" i="1"/>
  <c r="I5448" i="1"/>
  <c r="H5448" i="1"/>
  <c r="I2064" i="1"/>
  <c r="H2064" i="1"/>
  <c r="I6370" i="1"/>
  <c r="H6370" i="1"/>
  <c r="I1997" i="1"/>
  <c r="H1997" i="1"/>
  <c r="I6109" i="1"/>
  <c r="H6109" i="1"/>
  <c r="I2422" i="1"/>
  <c r="H2422" i="1"/>
  <c r="I1719" i="1"/>
  <c r="H1719" i="1"/>
  <c r="I4708" i="1"/>
  <c r="H4708" i="1"/>
  <c r="I1888" i="1"/>
  <c r="H1888" i="1"/>
  <c r="I3288" i="1"/>
  <c r="H3288" i="1"/>
  <c r="I4444" i="1"/>
  <c r="H4444" i="1"/>
  <c r="I6838" i="1"/>
  <c r="H6838" i="1"/>
  <c r="I334" i="1"/>
  <c r="H334" i="1"/>
  <c r="I5762" i="1"/>
  <c r="H5762" i="1"/>
  <c r="I5954" i="1"/>
  <c r="H5954" i="1"/>
  <c r="I5036" i="1"/>
  <c r="H5036" i="1"/>
  <c r="I1852" i="1"/>
  <c r="H1852" i="1"/>
  <c r="I6602" i="1"/>
  <c r="H6602" i="1"/>
  <c r="I5043" i="1"/>
  <c r="H5043" i="1"/>
  <c r="I6218" i="1"/>
  <c r="H6218" i="1"/>
  <c r="I4614" i="1"/>
  <c r="H4614" i="1"/>
  <c r="I1889" i="1"/>
  <c r="H1889" i="1"/>
  <c r="I6874" i="1"/>
  <c r="H6874" i="1"/>
  <c r="I2377" i="1"/>
  <c r="H2377" i="1"/>
  <c r="I5197" i="1"/>
  <c r="H5197" i="1"/>
  <c r="I6966" i="1"/>
  <c r="H6966" i="1"/>
  <c r="I1594" i="1"/>
  <c r="H1594" i="1"/>
  <c r="I5181" i="1"/>
  <c r="H5181" i="1"/>
  <c r="I6328" i="1"/>
  <c r="H6328" i="1"/>
  <c r="I2401" i="1"/>
  <c r="H2401" i="1"/>
  <c r="I1868" i="1"/>
  <c r="H1868" i="1"/>
  <c r="I930" i="1"/>
  <c r="H930" i="1"/>
  <c r="I1253" i="1"/>
  <c r="H1253" i="1"/>
  <c r="I4868" i="1"/>
  <c r="H4868" i="1"/>
  <c r="I2843" i="1"/>
  <c r="H2843" i="1"/>
  <c r="I4491" i="1"/>
  <c r="H4491" i="1"/>
  <c r="I1709" i="1"/>
  <c r="H1709" i="1"/>
  <c r="I1255" i="1"/>
  <c r="H1255" i="1"/>
  <c r="I3020" i="1"/>
  <c r="H3020" i="1"/>
  <c r="I1416" i="1"/>
  <c r="H1416" i="1"/>
  <c r="I6550" i="1"/>
  <c r="H6550" i="1"/>
  <c r="I6253" i="1"/>
  <c r="H6253" i="1"/>
  <c r="I5271" i="1"/>
  <c r="H5271" i="1"/>
  <c r="I2364" i="1"/>
  <c r="H2364" i="1"/>
  <c r="I5336" i="1"/>
  <c r="H5336" i="1"/>
  <c r="I6276" i="1"/>
  <c r="H6276" i="1"/>
  <c r="I2057" i="1"/>
  <c r="H2057" i="1"/>
  <c r="I5551" i="1"/>
  <c r="H5551" i="1"/>
  <c r="I2084" i="1"/>
  <c r="H2084" i="1"/>
  <c r="I291" i="1"/>
  <c r="H291" i="1"/>
  <c r="I293" i="1"/>
  <c r="H293" i="1"/>
  <c r="I4945" i="1"/>
  <c r="H4945" i="1"/>
  <c r="I2276" i="1"/>
  <c r="H2276" i="1"/>
  <c r="I5986" i="1"/>
  <c r="H5986" i="1"/>
  <c r="I5683" i="1"/>
  <c r="H5683" i="1"/>
  <c r="I6185" i="1"/>
  <c r="H6185" i="1"/>
  <c r="I6474" i="1"/>
  <c r="H6474" i="1"/>
  <c r="I1465" i="1"/>
  <c r="H1465" i="1"/>
  <c r="I2974" i="1"/>
  <c r="H2974" i="1"/>
  <c r="I1937" i="1"/>
  <c r="H1937" i="1"/>
  <c r="I2384" i="1"/>
  <c r="H2384" i="1"/>
  <c r="I1013" i="1"/>
  <c r="H1013" i="1"/>
  <c r="I6879" i="1"/>
  <c r="H6879" i="1"/>
  <c r="I2117" i="1"/>
  <c r="H2117" i="1"/>
  <c r="I6228" i="1"/>
  <c r="H6228" i="1"/>
  <c r="I2241" i="1"/>
  <c r="H2241" i="1"/>
  <c r="I6473" i="1"/>
  <c r="H6473" i="1"/>
  <c r="I2229" i="1"/>
  <c r="H2229" i="1"/>
  <c r="I5899" i="1"/>
  <c r="H5899" i="1"/>
  <c r="I5600" i="1"/>
  <c r="H5600" i="1"/>
  <c r="I2165" i="1"/>
  <c r="H2165" i="1"/>
  <c r="I5151" i="1"/>
  <c r="H5151" i="1"/>
  <c r="I2443" i="1"/>
  <c r="H2443" i="1"/>
  <c r="I1016" i="1"/>
  <c r="H1016" i="1"/>
  <c r="I6340" i="1"/>
  <c r="H6340" i="1"/>
  <c r="I1734" i="1"/>
  <c r="H1734" i="1"/>
  <c r="I1348" i="1"/>
  <c r="H1348" i="1"/>
  <c r="I5335" i="1"/>
  <c r="H5335" i="1"/>
  <c r="I6058" i="1"/>
  <c r="H6058" i="1"/>
  <c r="I6247" i="1"/>
  <c r="H6247" i="1"/>
  <c r="I6297" i="1"/>
  <c r="H6297" i="1"/>
  <c r="I1555" i="1"/>
  <c r="H1555" i="1"/>
  <c r="I5500" i="1"/>
  <c r="H5500" i="1"/>
  <c r="I1299" i="1"/>
  <c r="H1299" i="1"/>
  <c r="I6280" i="1"/>
  <c r="H6280" i="1"/>
  <c r="I5713" i="1"/>
  <c r="H5713" i="1"/>
  <c r="I5376" i="1"/>
  <c r="H5376" i="1"/>
  <c r="I1835" i="1"/>
  <c r="H1835" i="1"/>
  <c r="I5921" i="1"/>
  <c r="H5921" i="1"/>
  <c r="I3190" i="1"/>
  <c r="H3190" i="1"/>
  <c r="I236" i="1"/>
  <c r="H236" i="1"/>
  <c r="I4630" i="1"/>
  <c r="H4630" i="1"/>
  <c r="I2427" i="1"/>
  <c r="H2427" i="1"/>
  <c r="I5429" i="1"/>
  <c r="H5429" i="1"/>
  <c r="I4332" i="1"/>
  <c r="H4332" i="1"/>
  <c r="I5133" i="1"/>
  <c r="H5133" i="1"/>
  <c r="I6742" i="1"/>
  <c r="H6742" i="1"/>
  <c r="I5620" i="1"/>
  <c r="H5620" i="1"/>
  <c r="I2479" i="1"/>
  <c r="H2479" i="1"/>
  <c r="I1620" i="1"/>
  <c r="H1620" i="1"/>
  <c r="I5644" i="1"/>
  <c r="H5644" i="1"/>
  <c r="I1785" i="1"/>
  <c r="H1785" i="1"/>
  <c r="I2817" i="1"/>
  <c r="H2817" i="1"/>
  <c r="I1614" i="1"/>
  <c r="H1614" i="1"/>
  <c r="I1814" i="1"/>
  <c r="H1814" i="1"/>
  <c r="I4307" i="1"/>
  <c r="H4307" i="1"/>
  <c r="I2380" i="1"/>
  <c r="H2380" i="1"/>
  <c r="I249" i="1"/>
  <c r="H249" i="1"/>
  <c r="I2122" i="1"/>
  <c r="H2122" i="1"/>
  <c r="I1472" i="1"/>
  <c r="H1472" i="1"/>
  <c r="I6595" i="1"/>
  <c r="H6595" i="1"/>
  <c r="I2212" i="1"/>
  <c r="H2212" i="1"/>
  <c r="I5399" i="1"/>
  <c r="H5399" i="1"/>
  <c r="I1603" i="1"/>
  <c r="H1603" i="1"/>
  <c r="I2167" i="1"/>
  <c r="H2167" i="1"/>
  <c r="I6537" i="1"/>
  <c r="H6537" i="1"/>
  <c r="I2501" i="1"/>
  <c r="H2501" i="1"/>
  <c r="I6471" i="1"/>
  <c r="H6471" i="1"/>
  <c r="I728" i="1"/>
  <c r="H728" i="1"/>
  <c r="I6044" i="1"/>
  <c r="H6044" i="1"/>
  <c r="I5878" i="1"/>
  <c r="H5878" i="1"/>
  <c r="I6534" i="1"/>
  <c r="H6534" i="1"/>
  <c r="I1352" i="1"/>
  <c r="H1352" i="1"/>
  <c r="I4416" i="1"/>
  <c r="H4416" i="1"/>
  <c r="I6400" i="1"/>
  <c r="H6400" i="1"/>
  <c r="I1765" i="1"/>
  <c r="H1765" i="1"/>
  <c r="I1464" i="1"/>
  <c r="H1464" i="1"/>
  <c r="I1701" i="1"/>
  <c r="H1701" i="1"/>
  <c r="I5689" i="1"/>
  <c r="H5689" i="1"/>
  <c r="I1658" i="1"/>
  <c r="H1658" i="1"/>
  <c r="I1634" i="1"/>
  <c r="H1634" i="1"/>
  <c r="I5989" i="1"/>
  <c r="H5989" i="1"/>
  <c r="I730" i="1"/>
  <c r="H730" i="1"/>
  <c r="I5568" i="1"/>
  <c r="H5568" i="1"/>
  <c r="I1981" i="1"/>
  <c r="H1981" i="1"/>
  <c r="I1606" i="1"/>
  <c r="H1606" i="1"/>
  <c r="I1802" i="1"/>
  <c r="H1802" i="1"/>
  <c r="I2079" i="1"/>
  <c r="H2079" i="1"/>
  <c r="I739" i="1"/>
  <c r="H739" i="1"/>
  <c r="I6154" i="1"/>
  <c r="H6154" i="1"/>
  <c r="I831" i="1"/>
  <c r="H831" i="1"/>
  <c r="I1071" i="1"/>
  <c r="H1071" i="1"/>
  <c r="I5882" i="1"/>
  <c r="H5882" i="1"/>
  <c r="I6597" i="1"/>
  <c r="H6597" i="1"/>
  <c r="I5471" i="1"/>
  <c r="H5471" i="1"/>
  <c r="I2403" i="1"/>
  <c r="H2403" i="1"/>
  <c r="I2345" i="1"/>
  <c r="H2345" i="1"/>
  <c r="I993" i="1"/>
  <c r="H993" i="1"/>
  <c r="I1217" i="1"/>
  <c r="H1217" i="1"/>
  <c r="I2325" i="1"/>
  <c r="H2325" i="1"/>
  <c r="I6640" i="1"/>
  <c r="H6640" i="1"/>
  <c r="I5377" i="1"/>
  <c r="H5377" i="1"/>
  <c r="I1907" i="1"/>
  <c r="H1907" i="1"/>
  <c r="I5951" i="1"/>
  <c r="H5951" i="1"/>
  <c r="I1241" i="1"/>
  <c r="H1241" i="1"/>
  <c r="I5577" i="1"/>
  <c r="H5577" i="1"/>
  <c r="I5914" i="1"/>
  <c r="H5914" i="1"/>
  <c r="I1636" i="1"/>
  <c r="H1636" i="1"/>
  <c r="I2407" i="1"/>
  <c r="H2407" i="1"/>
  <c r="I5566" i="1"/>
  <c r="H5566" i="1"/>
  <c r="I5280" i="1"/>
  <c r="H5280" i="1"/>
  <c r="I565" i="1"/>
  <c r="H565" i="1"/>
  <c r="I221" i="1"/>
  <c r="H221" i="1"/>
  <c r="I5622" i="1"/>
  <c r="H5622" i="1"/>
  <c r="I2335" i="1"/>
  <c r="H2335" i="1"/>
  <c r="I1820" i="1"/>
  <c r="H1820" i="1"/>
  <c r="I2472" i="1"/>
  <c r="H2472" i="1"/>
  <c r="I1788" i="1"/>
  <c r="H1788" i="1"/>
  <c r="I1509" i="1"/>
  <c r="H1509" i="1"/>
  <c r="I5604" i="1"/>
  <c r="H5604" i="1"/>
  <c r="I1647" i="1"/>
  <c r="H1647" i="1"/>
  <c r="I6283" i="1"/>
  <c r="H6283" i="1"/>
  <c r="I2231" i="1"/>
  <c r="H2231" i="1"/>
  <c r="I2439" i="1"/>
  <c r="H2439" i="1"/>
  <c r="I1491" i="1"/>
  <c r="H1491" i="1"/>
  <c r="I5627" i="1"/>
  <c r="H5627" i="1"/>
  <c r="I6977" i="1"/>
  <c r="H6977" i="1"/>
  <c r="I5822" i="1"/>
  <c r="H5822" i="1"/>
  <c r="I1811" i="1"/>
  <c r="H1811" i="1"/>
  <c r="I1662" i="1"/>
  <c r="H1662" i="1"/>
  <c r="I5888" i="1"/>
  <c r="H5888" i="1"/>
  <c r="I5129" i="1"/>
  <c r="H5129" i="1"/>
  <c r="I1774" i="1"/>
  <c r="H1774" i="1"/>
  <c r="I5456" i="1"/>
  <c r="H5456" i="1"/>
  <c r="I1361" i="1"/>
  <c r="H1361" i="1"/>
  <c r="I5091" i="1"/>
  <c r="H5091" i="1"/>
  <c r="I5408" i="1"/>
  <c r="H5408" i="1"/>
  <c r="I258" i="1"/>
  <c r="H258" i="1"/>
  <c r="I5369" i="1"/>
  <c r="H5369" i="1"/>
  <c r="I1233" i="1"/>
  <c r="H1233" i="1"/>
  <c r="I1722" i="1"/>
  <c r="H1722" i="1"/>
  <c r="I1560" i="1"/>
  <c r="H1560" i="1"/>
  <c r="I7026" i="1"/>
  <c r="H7026" i="1"/>
  <c r="I6974" i="1"/>
  <c r="H6974" i="1"/>
  <c r="I6402" i="1"/>
  <c r="H6402" i="1"/>
  <c r="I5157" i="1"/>
  <c r="H5157" i="1"/>
  <c r="I5722" i="1"/>
  <c r="H5722" i="1"/>
  <c r="I270" i="1"/>
  <c r="H270" i="1"/>
  <c r="I1768" i="1"/>
  <c r="H1768" i="1"/>
  <c r="I5939" i="1"/>
  <c r="H5939" i="1"/>
  <c r="I6997" i="1"/>
  <c r="H6997" i="1"/>
  <c r="I252" i="1"/>
  <c r="H252" i="1"/>
  <c r="I1543" i="1"/>
  <c r="H1543" i="1"/>
  <c r="I2360" i="1"/>
  <c r="H2360" i="1"/>
  <c r="I2233" i="1"/>
  <c r="H2233" i="1"/>
  <c r="I1745" i="1"/>
  <c r="H1745" i="1"/>
  <c r="I1245" i="1"/>
  <c r="H1245" i="1"/>
  <c r="I6463" i="1"/>
  <c r="H6463" i="1"/>
  <c r="I5901" i="1"/>
  <c r="H5901" i="1"/>
  <c r="I636" i="1"/>
  <c r="H636" i="1"/>
  <c r="I6982" i="1"/>
  <c r="H6982" i="1"/>
  <c r="I1743" i="1"/>
  <c r="H1743" i="1"/>
  <c r="I2580" i="1"/>
  <c r="H2580" i="1"/>
  <c r="I6001" i="1"/>
  <c r="H6001" i="1"/>
  <c r="I6437" i="1"/>
  <c r="H6437" i="1"/>
  <c r="I5630" i="1"/>
  <c r="H5630" i="1"/>
  <c r="I6610" i="1"/>
  <c r="H6610" i="1"/>
  <c r="I6985" i="1"/>
  <c r="H6985" i="1"/>
  <c r="I2179" i="1"/>
  <c r="H2179" i="1"/>
  <c r="I1602" i="1"/>
  <c r="H1602" i="1"/>
  <c r="I6162" i="1"/>
  <c r="H6162" i="1"/>
  <c r="I856" i="1"/>
  <c r="H856" i="1"/>
  <c r="I2061" i="1"/>
  <c r="H2061" i="1"/>
  <c r="I797" i="1"/>
  <c r="H797" i="1"/>
  <c r="I158" i="1"/>
  <c r="H158" i="1"/>
  <c r="I6360" i="1"/>
  <c r="H6360" i="1"/>
  <c r="I5463" i="1"/>
  <c r="H5463" i="1"/>
  <c r="I157" i="1"/>
  <c r="H157" i="1"/>
  <c r="I783" i="1"/>
  <c r="H783" i="1"/>
  <c r="I5870" i="1"/>
  <c r="H5870" i="1"/>
  <c r="I6941" i="1"/>
  <c r="H6941" i="1"/>
  <c r="I1502" i="1"/>
  <c r="H1502" i="1"/>
  <c r="I5239" i="1"/>
  <c r="H5239" i="1"/>
  <c r="I1451" i="1"/>
  <c r="H1451" i="1"/>
  <c r="I6153" i="1"/>
  <c r="H6153" i="1"/>
  <c r="I4964" i="1"/>
  <c r="H4964" i="1"/>
  <c r="I5787" i="1"/>
  <c r="H5787" i="1"/>
  <c r="I6618" i="1"/>
  <c r="H6618" i="1"/>
  <c r="I5385" i="1"/>
  <c r="H5385" i="1"/>
  <c r="I1171" i="1"/>
  <c r="H1171" i="1"/>
  <c r="I2255" i="1"/>
  <c r="H2255" i="1"/>
  <c r="I2078" i="1"/>
  <c r="H2078" i="1"/>
  <c r="I6691" i="1"/>
  <c r="H6691" i="1"/>
  <c r="I1847" i="1"/>
  <c r="H1847" i="1"/>
  <c r="I165" i="1"/>
  <c r="H165" i="1"/>
  <c r="I978" i="1"/>
  <c r="H978" i="1"/>
  <c r="I4600" i="1"/>
  <c r="H4600" i="1"/>
  <c r="I1160" i="1"/>
  <c r="H1160" i="1"/>
  <c r="I166" i="1"/>
  <c r="H166" i="1"/>
  <c r="I5301" i="1"/>
  <c r="H5301" i="1"/>
  <c r="I1250" i="1"/>
  <c r="H1250" i="1"/>
  <c r="I1456" i="1"/>
  <c r="H1456" i="1"/>
  <c r="I5508" i="1"/>
  <c r="H5508" i="1"/>
  <c r="I6645" i="1"/>
  <c r="H6645" i="1"/>
  <c r="I1342" i="1"/>
  <c r="H1342" i="1"/>
  <c r="I6008" i="1"/>
  <c r="H6008" i="1"/>
  <c r="I6674" i="1"/>
  <c r="H6674" i="1"/>
  <c r="I6574" i="1"/>
  <c r="H6574" i="1"/>
  <c r="I6155" i="1"/>
  <c r="H6155" i="1"/>
  <c r="I5473" i="1"/>
  <c r="H5473" i="1"/>
  <c r="I804" i="1"/>
  <c r="H804" i="1"/>
  <c r="I2182" i="1"/>
  <c r="H2182" i="1"/>
  <c r="I890" i="1"/>
  <c r="H890" i="1"/>
  <c r="I154" i="1"/>
  <c r="H154" i="1"/>
  <c r="I4902" i="1"/>
  <c r="H4902" i="1"/>
  <c r="I5772" i="1"/>
  <c r="H5772" i="1"/>
  <c r="I6181" i="1"/>
  <c r="H6181" i="1"/>
  <c r="I1343" i="1"/>
  <c r="H1343" i="1"/>
  <c r="I6097" i="1"/>
  <c r="H6097" i="1"/>
  <c r="I5004" i="1"/>
  <c r="H5004" i="1"/>
  <c r="I5838" i="1"/>
  <c r="H5838" i="1"/>
  <c r="I1520" i="1"/>
  <c r="H1520" i="1"/>
  <c r="I417" i="1"/>
  <c r="H417" i="1"/>
  <c r="I790" i="1"/>
  <c r="H790" i="1"/>
  <c r="I6222" i="1"/>
  <c r="H6222" i="1"/>
  <c r="I2222" i="1"/>
  <c r="H2222" i="1"/>
  <c r="I1637" i="1"/>
  <c r="H1637" i="1"/>
  <c r="I1108" i="1"/>
  <c r="H1108" i="1"/>
  <c r="I5710" i="1"/>
  <c r="H5710" i="1"/>
  <c r="I1499" i="1"/>
  <c r="H1499" i="1"/>
  <c r="I5277" i="1"/>
  <c r="H5277" i="1"/>
  <c r="I2250" i="1"/>
  <c r="H2250" i="1"/>
  <c r="I5730" i="1"/>
  <c r="H5730" i="1"/>
  <c r="I2145" i="1"/>
  <c r="H2145" i="1"/>
  <c r="I2328" i="1"/>
  <c r="H2328" i="1"/>
  <c r="I1408" i="1"/>
  <c r="H1408" i="1"/>
  <c r="I792" i="1"/>
  <c r="H792" i="1"/>
  <c r="I1943" i="1"/>
  <c r="H1943" i="1"/>
  <c r="I2404" i="1"/>
  <c r="H2404" i="1"/>
  <c r="I5594" i="1"/>
  <c r="H5594" i="1"/>
  <c r="I5740" i="1"/>
  <c r="H5740" i="1"/>
  <c r="I2449" i="1"/>
  <c r="H2449" i="1"/>
  <c r="I838" i="1"/>
  <c r="H838" i="1"/>
  <c r="I5527" i="1"/>
  <c r="H5527" i="1"/>
  <c r="I1123" i="1"/>
  <c r="H1123" i="1"/>
  <c r="I153" i="1"/>
  <c r="H153" i="1"/>
  <c r="I5507" i="1"/>
  <c r="H5507" i="1"/>
  <c r="I2196" i="1"/>
  <c r="H2196" i="1"/>
  <c r="I2203" i="1"/>
  <c r="H2203" i="1"/>
  <c r="I1777" i="1"/>
  <c r="H1777" i="1"/>
  <c r="I5051" i="1"/>
  <c r="H5051" i="1"/>
  <c r="I2121" i="1"/>
  <c r="H2121" i="1"/>
  <c r="I6036" i="1"/>
  <c r="H6036" i="1"/>
  <c r="I2441" i="1"/>
  <c r="H2441" i="1"/>
  <c r="I1577" i="1"/>
  <c r="H1577" i="1"/>
  <c r="I1675" i="1"/>
  <c r="H1675" i="1"/>
  <c r="I6399" i="1"/>
  <c r="H6399" i="1"/>
  <c r="I6175" i="1"/>
  <c r="H6175" i="1"/>
  <c r="I5879" i="1"/>
  <c r="H5879" i="1"/>
  <c r="I1355" i="1"/>
  <c r="H1355" i="1"/>
  <c r="I6385" i="1"/>
  <c r="H6385" i="1"/>
  <c r="I1375" i="1"/>
  <c r="H1375" i="1"/>
  <c r="I576" i="1"/>
  <c r="H576" i="1"/>
  <c r="I5513" i="1"/>
  <c r="H5513" i="1"/>
  <c r="I1422" i="1"/>
  <c r="H1422" i="1"/>
  <c r="I4920" i="1"/>
  <c r="H4920" i="1"/>
  <c r="I254" i="1"/>
  <c r="H254" i="1"/>
  <c r="I1254" i="1"/>
  <c r="H1254" i="1"/>
  <c r="I779" i="1"/>
  <c r="H779" i="1"/>
  <c r="I2855" i="1"/>
  <c r="H2855" i="1"/>
  <c r="I6459" i="1"/>
  <c r="H6459" i="1"/>
  <c r="I6346" i="1"/>
  <c r="H6346" i="1"/>
  <c r="I6420" i="1"/>
  <c r="H6420" i="1"/>
  <c r="I406" i="1"/>
  <c r="H406" i="1"/>
  <c r="I2178" i="1"/>
  <c r="H2178" i="1"/>
  <c r="I5362" i="1"/>
  <c r="H5362" i="1"/>
  <c r="I1962" i="1"/>
  <c r="H1962" i="1"/>
  <c r="I2235" i="1"/>
  <c r="H2235" i="1"/>
  <c r="I2332" i="1"/>
  <c r="H2332" i="1"/>
  <c r="I4846" i="1"/>
  <c r="H4846" i="1"/>
  <c r="I6822" i="1"/>
  <c r="H6822" i="1"/>
  <c r="I2696" i="1"/>
  <c r="H2696" i="1"/>
  <c r="I6095" i="1"/>
  <c r="H6095" i="1"/>
  <c r="I1736" i="1"/>
  <c r="H1736" i="1"/>
  <c r="I1119" i="1"/>
  <c r="H1119" i="1"/>
  <c r="I6779" i="1"/>
  <c r="H6779" i="1"/>
  <c r="I379" i="1"/>
  <c r="H379" i="1"/>
  <c r="I404" i="1"/>
  <c r="H404" i="1"/>
  <c r="I5544" i="1"/>
  <c r="H5544" i="1"/>
  <c r="I5035" i="1"/>
  <c r="H5035" i="1"/>
  <c r="I6431" i="1"/>
  <c r="H6431" i="1"/>
  <c r="I5684" i="1"/>
  <c r="H5684" i="1"/>
  <c r="I4883" i="1"/>
  <c r="H4883" i="1"/>
  <c r="I920" i="1"/>
  <c r="H920" i="1"/>
  <c r="I714" i="1"/>
  <c r="H714" i="1"/>
  <c r="I4825" i="1"/>
  <c r="H4825" i="1"/>
  <c r="I2819" i="1"/>
  <c r="H2819" i="1"/>
  <c r="I5687" i="1"/>
  <c r="H5687" i="1"/>
  <c r="I523" i="1"/>
  <c r="H523" i="1"/>
  <c r="I6108" i="1"/>
  <c r="H6108" i="1"/>
  <c r="I1854" i="1"/>
  <c r="H1854" i="1"/>
  <c r="I152" i="1"/>
  <c r="H152" i="1"/>
  <c r="I4530" i="1"/>
  <c r="H4530" i="1"/>
  <c r="I5088" i="1"/>
  <c r="H5088" i="1"/>
  <c r="I5621" i="1"/>
  <c r="H5621" i="1"/>
  <c r="I929" i="1"/>
  <c r="H929" i="1"/>
  <c r="I2081" i="1"/>
  <c r="H2081" i="1"/>
  <c r="I952" i="1"/>
  <c r="H952" i="1"/>
  <c r="I6808" i="1"/>
  <c r="H6808" i="1"/>
  <c r="I5906" i="1"/>
  <c r="H5906" i="1"/>
  <c r="I1769" i="1"/>
  <c r="H1769" i="1"/>
  <c r="I6007" i="1"/>
  <c r="H6007" i="1"/>
  <c r="I4584" i="1"/>
  <c r="H4584" i="1"/>
  <c r="I4943" i="1"/>
  <c r="H4943" i="1"/>
  <c r="I5246" i="1"/>
  <c r="H5246" i="1"/>
  <c r="I5518" i="1"/>
  <c r="H5518" i="1"/>
  <c r="I5111" i="1"/>
  <c r="H5111" i="1"/>
  <c r="I1462" i="1"/>
  <c r="H1462" i="1"/>
  <c r="I2991" i="1"/>
  <c r="H2991" i="1"/>
  <c r="I1138" i="1"/>
  <c r="H1138" i="1"/>
  <c r="I1122" i="1"/>
  <c r="H1122" i="1"/>
  <c r="I6330" i="1"/>
  <c r="H6330" i="1"/>
  <c r="I904" i="1"/>
  <c r="H904" i="1"/>
  <c r="I6131" i="1"/>
  <c r="H6131" i="1"/>
  <c r="I5642" i="1"/>
  <c r="H5642" i="1"/>
  <c r="I662" i="1"/>
  <c r="H662" i="1"/>
  <c r="I6264" i="1"/>
  <c r="H6264" i="1"/>
  <c r="I5476" i="1"/>
  <c r="H5476" i="1"/>
  <c r="I370" i="1"/>
  <c r="H370" i="1"/>
  <c r="I1643" i="1"/>
  <c r="H1643" i="1"/>
  <c r="I2162" i="1"/>
  <c r="H2162" i="1"/>
  <c r="I4403" i="1"/>
  <c r="H4403" i="1"/>
  <c r="I182" i="1"/>
  <c r="H182" i="1"/>
  <c r="I6436" i="1"/>
  <c r="H6436" i="1"/>
  <c r="I6129" i="1"/>
  <c r="H6129" i="1"/>
  <c r="I1741" i="1"/>
  <c r="H1741" i="1"/>
  <c r="I2747" i="1"/>
  <c r="H2747" i="1"/>
  <c r="I1029" i="1"/>
  <c r="H1029" i="1"/>
  <c r="I1018" i="1"/>
  <c r="H1018" i="1"/>
  <c r="I6592" i="1"/>
  <c r="H6592" i="1"/>
  <c r="I6121" i="1"/>
  <c r="H6121" i="1"/>
  <c r="I281" i="1"/>
  <c r="H281" i="1"/>
  <c r="I1904" i="1"/>
  <c r="H1904" i="1"/>
  <c r="I6959" i="1"/>
  <c r="H6959" i="1"/>
  <c r="I1968" i="1"/>
  <c r="H1968" i="1"/>
  <c r="I1979" i="1"/>
  <c r="H1979" i="1"/>
  <c r="I828" i="1"/>
  <c r="H828" i="1"/>
  <c r="I2105" i="1"/>
  <c r="H2105" i="1"/>
  <c r="I2617" i="1"/>
  <c r="H2617" i="1"/>
  <c r="I6270" i="1"/>
  <c r="H6270" i="1"/>
  <c r="I1648" i="1"/>
  <c r="H1648" i="1"/>
  <c r="I1958" i="1"/>
  <c r="H1958" i="1"/>
  <c r="I5915" i="1"/>
  <c r="H5915" i="1"/>
  <c r="I2077" i="1"/>
  <c r="H2077" i="1"/>
  <c r="I849" i="1"/>
  <c r="H849" i="1"/>
  <c r="I5821" i="1"/>
  <c r="H5821" i="1"/>
  <c r="I6094" i="1"/>
  <c r="H6094" i="1"/>
  <c r="I4585" i="1"/>
  <c r="H4585" i="1"/>
  <c r="I5516" i="1"/>
  <c r="H5516" i="1"/>
  <c r="I885" i="1"/>
  <c r="H885" i="1"/>
  <c r="I1373" i="1"/>
  <c r="H1373" i="1"/>
  <c r="I1174" i="1"/>
  <c r="H1174" i="1"/>
  <c r="I813" i="1"/>
  <c r="H813" i="1"/>
  <c r="I2232" i="1"/>
  <c r="H2232" i="1"/>
  <c r="I1506" i="1"/>
  <c r="H1506" i="1"/>
  <c r="I6327" i="1"/>
  <c r="H6327" i="1"/>
  <c r="I5492" i="1"/>
  <c r="H5492" i="1"/>
  <c r="I226" i="1"/>
  <c r="H226" i="1"/>
  <c r="I6528" i="1"/>
  <c r="H6528" i="1"/>
  <c r="I909" i="1"/>
  <c r="H909" i="1"/>
  <c r="I5949" i="1"/>
  <c r="H5949" i="1"/>
  <c r="I140" i="1"/>
  <c r="H140" i="1"/>
  <c r="I5373" i="1"/>
  <c r="H5373" i="1"/>
  <c r="I2893" i="1"/>
  <c r="H2893" i="1"/>
  <c r="I4750" i="1"/>
  <c r="H4750" i="1"/>
  <c r="I1599" i="1"/>
  <c r="H1599" i="1"/>
  <c r="I6022" i="1"/>
  <c r="H6022" i="1"/>
  <c r="I5076" i="1"/>
  <c r="H5076" i="1"/>
  <c r="I988" i="1"/>
  <c r="H988" i="1"/>
  <c r="I6293" i="1"/>
  <c r="H6293" i="1"/>
  <c r="I6583" i="1"/>
  <c r="H6583" i="1"/>
  <c r="I5769" i="1"/>
  <c r="H5769" i="1"/>
  <c r="I5972" i="1"/>
  <c r="H5972" i="1"/>
  <c r="I947" i="1"/>
  <c r="H947" i="1"/>
  <c r="I680" i="1"/>
  <c r="H680" i="1"/>
  <c r="I6124" i="1"/>
  <c r="H6124" i="1"/>
  <c r="I5673" i="1"/>
  <c r="H5673" i="1"/>
  <c r="I319" i="1"/>
  <c r="H319" i="1"/>
  <c r="I1649" i="1"/>
  <c r="H1649" i="1"/>
  <c r="I5350" i="1"/>
  <c r="H5350" i="1"/>
  <c r="I2484" i="1"/>
  <c r="H2484" i="1"/>
  <c r="I5664" i="1"/>
  <c r="H5664" i="1"/>
  <c r="I1678" i="1"/>
  <c r="H1678" i="1"/>
  <c r="I2665" i="1"/>
  <c r="H2665" i="1"/>
  <c r="I6406" i="1"/>
  <c r="H6406" i="1"/>
  <c r="I1772" i="1"/>
  <c r="H1772" i="1"/>
  <c r="I1798" i="1"/>
  <c r="H1798" i="1"/>
  <c r="I4474" i="1"/>
  <c r="H4474" i="1"/>
  <c r="I6310" i="1"/>
  <c r="H6310" i="1"/>
  <c r="I2093" i="1"/>
  <c r="H2093" i="1"/>
  <c r="I6356" i="1"/>
  <c r="H6356" i="1"/>
  <c r="I4916" i="1"/>
  <c r="H4916" i="1"/>
  <c r="I1766" i="1"/>
  <c r="H1766" i="1"/>
  <c r="I1987" i="1"/>
  <c r="H1987" i="1"/>
  <c r="I6305" i="1"/>
  <c r="H6305" i="1"/>
  <c r="I2047" i="1"/>
  <c r="H2047" i="1"/>
  <c r="I5010" i="1"/>
  <c r="H5010" i="1"/>
  <c r="I1946" i="1"/>
  <c r="H1946" i="1"/>
  <c r="I1824" i="1"/>
  <c r="H1824" i="1"/>
  <c r="I5729" i="1"/>
  <c r="H5729" i="1"/>
  <c r="I6050" i="1"/>
  <c r="H6050" i="1"/>
  <c r="I1806" i="1"/>
  <c r="H1806" i="1"/>
  <c r="I5459" i="1"/>
  <c r="H5459" i="1"/>
  <c r="I6278" i="1"/>
  <c r="H6278" i="1"/>
  <c r="I155" i="1"/>
  <c r="H155" i="1"/>
  <c r="I1563" i="1"/>
  <c r="H1563" i="1"/>
  <c r="I2711" i="1"/>
  <c r="H2711" i="1"/>
  <c r="I786" i="1"/>
  <c r="H786" i="1"/>
  <c r="I6113" i="1"/>
  <c r="H6113" i="1"/>
  <c r="I738" i="1"/>
  <c r="H738" i="1"/>
  <c r="I6106" i="1"/>
  <c r="H6106" i="1"/>
  <c r="I298" i="1"/>
  <c r="H298" i="1"/>
  <c r="I2065" i="1"/>
  <c r="H2065" i="1"/>
  <c r="I5487" i="1"/>
  <c r="H5487" i="1"/>
  <c r="I2514" i="1"/>
  <c r="H2514" i="1"/>
  <c r="I5586" i="1"/>
  <c r="H5586" i="1"/>
  <c r="I1953" i="1"/>
  <c r="H1953" i="1"/>
  <c r="I1891" i="1"/>
  <c r="H1891" i="1"/>
  <c r="I461" i="1"/>
  <c r="H461" i="1"/>
  <c r="I1483" i="1"/>
  <c r="H1483" i="1"/>
  <c r="I4890" i="1"/>
  <c r="H4890" i="1"/>
  <c r="I6146" i="1"/>
  <c r="H6146" i="1"/>
  <c r="I289" i="1"/>
  <c r="H289" i="1"/>
  <c r="I485" i="1"/>
  <c r="H485" i="1"/>
  <c r="I1096" i="1"/>
  <c r="H1096" i="1"/>
  <c r="I5188" i="1"/>
  <c r="H5188" i="1"/>
  <c r="I785" i="1"/>
  <c r="H785" i="1"/>
  <c r="I6027" i="1"/>
  <c r="H6027" i="1"/>
  <c r="I5524" i="1"/>
  <c r="H5524" i="1"/>
  <c r="I2510" i="1"/>
  <c r="H2510" i="1"/>
  <c r="I5041" i="1"/>
  <c r="H5041" i="1"/>
  <c r="I2052" i="1"/>
  <c r="H2052" i="1"/>
  <c r="I1205" i="1"/>
  <c r="H1205" i="1"/>
  <c r="I6092" i="1"/>
  <c r="H6092" i="1"/>
  <c r="I1457" i="1"/>
  <c r="H1457" i="1"/>
  <c r="I1735" i="1"/>
  <c r="H1735" i="1"/>
  <c r="I5856" i="1"/>
  <c r="H5856" i="1"/>
  <c r="I2280" i="1"/>
  <c r="H2280" i="1"/>
  <c r="I1147" i="1"/>
  <c r="H1147" i="1"/>
  <c r="I5928" i="1"/>
  <c r="H5928" i="1"/>
  <c r="I5937" i="1"/>
  <c r="H5937" i="1"/>
  <c r="I6384" i="1"/>
  <c r="H6384" i="1"/>
  <c r="I2097" i="1"/>
  <c r="H2097" i="1"/>
  <c r="I2127" i="1"/>
  <c r="H2127" i="1"/>
  <c r="I5288" i="1"/>
  <c r="H5288" i="1"/>
  <c r="I5331" i="1"/>
  <c r="H5331" i="1"/>
  <c r="I2202" i="1"/>
  <c r="H2202" i="1"/>
  <c r="I4720" i="1"/>
  <c r="H4720" i="1"/>
  <c r="I286" i="1"/>
  <c r="H286" i="1"/>
  <c r="I6371" i="1"/>
  <c r="H6371" i="1"/>
  <c r="I2090" i="1"/>
  <c r="H2090" i="1"/>
  <c r="I6558" i="1"/>
  <c r="H6558" i="1"/>
  <c r="I558" i="1"/>
  <c r="H558" i="1"/>
  <c r="I1682" i="1"/>
  <c r="H1682" i="1"/>
  <c r="I580" i="1"/>
  <c r="H580" i="1"/>
  <c r="I6212" i="1"/>
  <c r="H6212" i="1"/>
  <c r="I5963" i="1"/>
  <c r="H5963" i="1"/>
  <c r="I1037" i="1"/>
  <c r="H1037" i="1"/>
  <c r="I1800" i="1"/>
  <c r="H1800" i="1"/>
  <c r="I631" i="1"/>
  <c r="H631" i="1"/>
  <c r="I5547" i="1"/>
  <c r="H5547" i="1"/>
  <c r="I5832" i="1"/>
  <c r="H5832" i="1"/>
  <c r="I2436" i="1"/>
  <c r="H2436" i="1"/>
  <c r="I5392" i="1"/>
  <c r="H5392" i="1"/>
  <c r="I1505" i="1"/>
  <c r="H1505" i="1"/>
  <c r="I1903" i="1"/>
  <c r="H1903" i="1"/>
  <c r="I6390" i="1"/>
  <c r="H6390" i="1"/>
  <c r="I1146" i="1"/>
  <c r="H1146" i="1"/>
  <c r="I6619" i="1"/>
  <c r="H6619" i="1"/>
  <c r="I5173" i="1"/>
  <c r="H5173" i="1"/>
  <c r="I476" i="1"/>
  <c r="H476" i="1"/>
  <c r="I532" i="1"/>
  <c r="H532" i="1"/>
  <c r="I5926" i="1"/>
  <c r="H5926" i="1"/>
  <c r="I1109" i="1"/>
  <c r="H1109" i="1"/>
  <c r="I4788" i="1"/>
  <c r="H4788" i="1"/>
  <c r="I5162" i="1"/>
  <c r="H5162" i="1"/>
  <c r="I261" i="1"/>
  <c r="H261" i="1"/>
  <c r="I6205" i="1"/>
  <c r="H6205" i="1"/>
  <c r="I1289" i="1"/>
  <c r="H1289" i="1"/>
  <c r="I6992" i="1"/>
  <c r="H6992" i="1"/>
  <c r="I2106" i="1"/>
  <c r="H2106" i="1"/>
  <c r="I5446" i="1"/>
  <c r="H5446" i="1"/>
  <c r="I2267" i="1"/>
  <c r="H2267" i="1"/>
  <c r="I1220" i="1"/>
  <c r="H1220" i="1"/>
  <c r="I80" i="1"/>
  <c r="H80" i="1"/>
  <c r="I1934" i="1"/>
  <c r="H1934" i="1"/>
  <c r="I1575" i="1"/>
  <c r="H1575" i="1"/>
  <c r="I6525" i="1"/>
  <c r="H6525" i="1"/>
  <c r="I2027" i="1"/>
  <c r="H2027" i="1"/>
  <c r="I1357" i="1"/>
  <c r="H1357" i="1"/>
  <c r="I1844" i="1"/>
  <c r="H1844" i="1"/>
  <c r="I5844" i="1"/>
  <c r="H5844" i="1"/>
  <c r="I6135" i="1"/>
  <c r="H6135" i="1"/>
  <c r="I6704" i="1"/>
  <c r="H6704" i="1"/>
  <c r="I6426" i="1"/>
  <c r="H6426" i="1"/>
  <c r="I823" i="1"/>
  <c r="H823" i="1"/>
  <c r="I1977" i="1"/>
  <c r="H1977" i="1"/>
  <c r="I1228" i="1"/>
  <c r="H1228" i="1"/>
  <c r="I2213" i="1"/>
  <c r="H2213" i="1"/>
  <c r="I6318" i="1"/>
  <c r="H6318" i="1"/>
  <c r="I5033" i="1"/>
  <c r="H5033" i="1"/>
  <c r="I4627" i="1"/>
  <c r="H4627" i="1"/>
  <c r="I6019" i="1"/>
  <c r="H6019" i="1"/>
  <c r="I167" i="1"/>
  <c r="H167" i="1"/>
  <c r="I2056" i="1"/>
  <c r="H2056" i="1"/>
  <c r="I5488" i="1"/>
  <c r="H5488" i="1"/>
  <c r="I5736" i="1"/>
  <c r="H5736" i="1"/>
  <c r="I238" i="1"/>
  <c r="H238" i="1"/>
  <c r="I6255" i="1"/>
  <c r="H6255" i="1"/>
  <c r="I1459" i="1"/>
  <c r="H1459" i="1"/>
  <c r="I1404" i="1"/>
  <c r="H1404" i="1"/>
  <c r="I5147" i="1"/>
  <c r="H5147" i="1"/>
  <c r="I483" i="1"/>
  <c r="H483" i="1"/>
  <c r="I5894" i="1"/>
  <c r="H5894" i="1"/>
  <c r="I6786" i="1"/>
  <c r="H6786" i="1"/>
  <c r="I1105" i="1"/>
  <c r="H1105" i="1"/>
  <c r="I309" i="1"/>
  <c r="H309" i="1"/>
  <c r="I6220" i="1"/>
  <c r="H6220" i="1"/>
  <c r="I2190" i="1"/>
  <c r="H2190" i="1"/>
  <c r="I321" i="1"/>
  <c r="H321" i="1"/>
  <c r="I352" i="1"/>
  <c r="H352" i="1"/>
  <c r="I594" i="1"/>
  <c r="H594" i="1"/>
  <c r="I2710" i="1"/>
  <c r="H2710" i="1"/>
  <c r="I4259" i="1"/>
  <c r="H4259" i="1"/>
  <c r="I392" i="1"/>
  <c r="H392" i="1"/>
  <c r="I4909" i="1"/>
  <c r="H4909" i="1"/>
  <c r="I5117" i="1"/>
  <c r="H5117" i="1"/>
  <c r="I1442" i="1"/>
  <c r="H1442" i="1"/>
  <c r="I1395" i="1"/>
  <c r="H1395" i="1"/>
  <c r="I4704" i="1"/>
  <c r="H4704" i="1"/>
  <c r="I1961" i="1"/>
  <c r="H1961" i="1"/>
  <c r="I5468" i="1"/>
  <c r="H5468" i="1"/>
  <c r="I1110" i="1"/>
  <c r="H1110" i="1"/>
  <c r="I6265" i="1"/>
  <c r="H6265" i="1"/>
  <c r="I6295" i="1"/>
  <c r="H6295" i="1"/>
  <c r="I5215" i="1"/>
  <c r="H5215" i="1"/>
  <c r="I1908" i="1"/>
  <c r="H1908" i="1"/>
  <c r="I1319" i="1"/>
  <c r="H1319" i="1"/>
  <c r="I6351" i="1"/>
  <c r="H6351" i="1"/>
  <c r="I6364" i="1"/>
  <c r="H6364" i="1"/>
  <c r="I1843" i="1"/>
  <c r="H1843" i="1"/>
  <c r="I1756" i="1"/>
  <c r="H1756" i="1"/>
  <c r="I1640" i="1"/>
  <c r="H1640" i="1"/>
  <c r="I1887" i="1"/>
  <c r="H1887" i="1"/>
  <c r="I5850" i="1"/>
  <c r="H5850" i="1"/>
  <c r="I5437" i="1"/>
  <c r="H5437" i="1"/>
  <c r="I1726" i="1"/>
  <c r="H1726" i="1"/>
  <c r="I6005" i="1"/>
  <c r="H6005" i="1"/>
  <c r="I5707" i="1"/>
  <c r="H5707" i="1"/>
  <c r="I1076" i="1"/>
  <c r="H1076" i="1"/>
  <c r="I1318" i="1"/>
  <c r="H1318" i="1"/>
  <c r="I468" i="1"/>
  <c r="H468" i="1"/>
  <c r="I5952" i="1"/>
  <c r="H5952" i="1"/>
  <c r="I1276" i="1"/>
  <c r="H1276" i="1"/>
  <c r="I1507" i="1"/>
  <c r="H1507" i="1"/>
  <c r="I5228" i="1"/>
  <c r="H5228" i="1"/>
  <c r="I1681" i="1"/>
  <c r="H1681" i="1"/>
  <c r="I5827" i="1"/>
  <c r="H5827" i="1"/>
  <c r="I240" i="1"/>
  <c r="H240" i="1"/>
  <c r="I2409" i="1"/>
  <c r="H2409" i="1"/>
  <c r="I2248" i="1"/>
  <c r="H2248" i="1"/>
  <c r="I5322" i="1"/>
  <c r="H5322" i="1"/>
  <c r="I168" i="1"/>
  <c r="H168" i="1"/>
  <c r="I5207" i="1"/>
  <c r="H5207" i="1"/>
  <c r="I1142" i="1"/>
  <c r="H1142" i="1"/>
  <c r="I6841" i="1"/>
  <c r="H6841" i="1"/>
  <c r="I150" i="1"/>
  <c r="H150" i="1"/>
  <c r="I185" i="1"/>
  <c r="H185" i="1"/>
  <c r="I6099" i="1"/>
  <c r="H6099" i="1"/>
  <c r="I1685" i="1"/>
  <c r="H1685" i="1"/>
  <c r="I1052" i="1"/>
  <c r="H1052" i="1"/>
  <c r="I1755" i="1"/>
  <c r="H1755" i="1"/>
  <c r="I1111" i="1"/>
  <c r="H1111" i="1"/>
  <c r="I2146" i="1"/>
  <c r="H2146" i="1"/>
  <c r="I6464" i="1"/>
  <c r="H6464" i="1"/>
  <c r="I280" i="1"/>
  <c r="H280" i="1"/>
  <c r="I671" i="1"/>
  <c r="H671" i="1"/>
  <c r="I2381" i="1"/>
  <c r="H2381" i="1"/>
  <c r="I5624" i="1"/>
  <c r="H5624" i="1"/>
  <c r="I2094" i="1"/>
  <c r="H2094" i="1"/>
  <c r="I1133" i="1"/>
  <c r="H1133" i="1"/>
  <c r="I5523" i="1"/>
  <c r="H5523" i="1"/>
  <c r="I6576" i="1"/>
  <c r="H6576" i="1"/>
  <c r="I1858" i="1"/>
  <c r="H1858" i="1"/>
  <c r="I1406" i="1"/>
  <c r="H1406" i="1"/>
  <c r="I5711" i="1"/>
  <c r="H5711" i="1"/>
  <c r="I6087" i="1"/>
  <c r="H6087" i="1"/>
  <c r="I1531" i="1"/>
  <c r="H1531" i="1"/>
  <c r="I2650" i="1"/>
  <c r="H2650" i="1"/>
  <c r="I6833" i="1"/>
  <c r="H6833" i="1"/>
  <c r="I339" i="1"/>
  <c r="H339" i="1"/>
  <c r="I4969" i="1"/>
  <c r="H4969" i="1"/>
  <c r="I5851" i="1"/>
  <c r="H5851" i="1"/>
  <c r="I1770" i="1"/>
  <c r="H1770" i="1"/>
  <c r="I145" i="1"/>
  <c r="H145" i="1"/>
  <c r="I6361" i="1"/>
  <c r="H6361" i="1"/>
  <c r="I4795" i="1"/>
  <c r="H4795" i="1"/>
  <c r="I93" i="1"/>
  <c r="H93" i="1"/>
  <c r="I1420" i="1"/>
  <c r="H1420" i="1"/>
  <c r="I6762" i="1"/>
  <c r="H6762" i="1"/>
  <c r="I6631" i="1"/>
  <c r="H6631" i="1"/>
  <c r="I5404" i="1"/>
  <c r="H5404" i="1"/>
  <c r="I1550" i="1"/>
  <c r="H1550" i="1"/>
  <c r="I1317" i="1"/>
  <c r="H1317" i="1"/>
  <c r="I5583" i="1"/>
  <c r="H5583" i="1"/>
  <c r="I151" i="1"/>
  <c r="H151" i="1"/>
  <c r="I1374" i="1"/>
  <c r="H1374" i="1"/>
  <c r="I6413" i="1"/>
  <c r="H6413" i="1"/>
  <c r="H313" i="1"/>
  <c r="I4988" i="1"/>
  <c r="H4988" i="1"/>
  <c r="I1024" i="1"/>
  <c r="H1024" i="1"/>
  <c r="I6031" i="1"/>
  <c r="H6031" i="1"/>
  <c r="I6887" i="1"/>
  <c r="H6887" i="1"/>
  <c r="I1137" i="1"/>
  <c r="H1137" i="1"/>
  <c r="I1128" i="1"/>
  <c r="H1128" i="1"/>
  <c r="I4866" i="1"/>
  <c r="H4866" i="1"/>
  <c r="I677" i="1"/>
  <c r="H677" i="1"/>
  <c r="I5334" i="1"/>
  <c r="H5334" i="1"/>
  <c r="I160" i="1"/>
  <c r="H160" i="1"/>
  <c r="I5857" i="1"/>
  <c r="H5857" i="1"/>
  <c r="I6033" i="1"/>
  <c r="H6033" i="1"/>
  <c r="I5770" i="1"/>
  <c r="H5770" i="1"/>
  <c r="I5080" i="1"/>
  <c r="H5080" i="1"/>
  <c r="I1899" i="1"/>
  <c r="H1899" i="1"/>
  <c r="I1544" i="1"/>
  <c r="H1544" i="1"/>
  <c r="I1415" i="1"/>
  <c r="H1415" i="1"/>
  <c r="I873" i="1"/>
  <c r="H873" i="1"/>
  <c r="I5695" i="1"/>
  <c r="H5695" i="1"/>
  <c r="I6169" i="1"/>
  <c r="H6169" i="1"/>
  <c r="I6439" i="1"/>
  <c r="H6439" i="1"/>
  <c r="I1721" i="1"/>
  <c r="H1721" i="1"/>
  <c r="I2410" i="1"/>
  <c r="H2410" i="1"/>
  <c r="I6391" i="1"/>
  <c r="H6391" i="1"/>
  <c r="I6048" i="1"/>
  <c r="H6048" i="1"/>
  <c r="I767" i="1"/>
  <c r="H767" i="1"/>
  <c r="I5726" i="1"/>
  <c r="H5726" i="1"/>
  <c r="I5425" i="1"/>
  <c r="H5425" i="1"/>
  <c r="I1864" i="1"/>
  <c r="H1864" i="1"/>
  <c r="I1470" i="1"/>
  <c r="H1470" i="1"/>
  <c r="I5911" i="1"/>
  <c r="H5911" i="1"/>
  <c r="I687" i="1"/>
  <c r="H687" i="1"/>
  <c r="I578" i="1"/>
  <c r="H578" i="1"/>
  <c r="I5497" i="1"/>
  <c r="H5497" i="1"/>
  <c r="I1930" i="1"/>
  <c r="H1930" i="1"/>
  <c r="I4610" i="1"/>
  <c r="H4610" i="1"/>
  <c r="I5773" i="1"/>
  <c r="H5773" i="1"/>
  <c r="I4684" i="1"/>
  <c r="H4684" i="1"/>
  <c r="I5955" i="1"/>
  <c r="H5955" i="1"/>
  <c r="I6713" i="1"/>
  <c r="H6713" i="1"/>
  <c r="I1432" i="1"/>
  <c r="H1432" i="1"/>
  <c r="I1900" i="1"/>
  <c r="H1900" i="1"/>
  <c r="I6605" i="1"/>
  <c r="H6605" i="1"/>
  <c r="I6339" i="1"/>
  <c r="H6339" i="1"/>
  <c r="I6386" i="1"/>
  <c r="H6386" i="1"/>
  <c r="I1086" i="1"/>
  <c r="H1086" i="1"/>
  <c r="I6842" i="1"/>
  <c r="H6842" i="1"/>
  <c r="I1249" i="1"/>
  <c r="H1249" i="1"/>
  <c r="I543" i="1"/>
  <c r="H543" i="1"/>
  <c r="I1282" i="1"/>
  <c r="H1282" i="1"/>
  <c r="I1982" i="1"/>
  <c r="H1982" i="1"/>
  <c r="I1696" i="1"/>
  <c r="H1696" i="1"/>
  <c r="I5994" i="1"/>
  <c r="H5994" i="1"/>
  <c r="I703" i="1"/>
  <c r="H703" i="1"/>
  <c r="I5675" i="1"/>
  <c r="H5675" i="1"/>
  <c r="I1710" i="1"/>
  <c r="H1710" i="1"/>
  <c r="I1025" i="1"/>
  <c r="H1025" i="1"/>
  <c r="I5370" i="1"/>
  <c r="H5370" i="1"/>
  <c r="I5940" i="1"/>
  <c r="H5940" i="1"/>
  <c r="I5891" i="1"/>
  <c r="H5891" i="1"/>
  <c r="I6038" i="1"/>
  <c r="H6038" i="1"/>
  <c r="I1591" i="1"/>
  <c r="H1591" i="1"/>
  <c r="I6883" i="1"/>
  <c r="H6883" i="1"/>
  <c r="I1022" i="1"/>
  <c r="H1022" i="1"/>
  <c r="I4844" i="1"/>
  <c r="H4844" i="1"/>
  <c r="I1240" i="1"/>
  <c r="H1240" i="1"/>
  <c r="I5651" i="1"/>
  <c r="H5651" i="1"/>
  <c r="I1878" i="1"/>
  <c r="H1878" i="1"/>
  <c r="I5923" i="1"/>
  <c r="H5923" i="1"/>
  <c r="I1003" i="1"/>
  <c r="H1003" i="1"/>
  <c r="I5300" i="1"/>
  <c r="H5300" i="1"/>
  <c r="I1410" i="1"/>
  <c r="H1410" i="1"/>
  <c r="I2572" i="1"/>
  <c r="H2572" i="1"/>
  <c r="I6380" i="1"/>
  <c r="H6380" i="1"/>
  <c r="I1339" i="1"/>
  <c r="H1339" i="1"/>
  <c r="I4837" i="1"/>
  <c r="H4837" i="1"/>
  <c r="I412" i="1"/>
  <c r="H412" i="1"/>
  <c r="I173" i="1"/>
  <c r="H173" i="1"/>
  <c r="I2361" i="1"/>
  <c r="H2361" i="1"/>
  <c r="I6192" i="1"/>
  <c r="H6192" i="1"/>
  <c r="I1511" i="1"/>
  <c r="H1511" i="1"/>
  <c r="I702" i="1"/>
  <c r="H702" i="1"/>
  <c r="I6184" i="1"/>
  <c r="H6184" i="1"/>
  <c r="I2132" i="1"/>
  <c r="H2132" i="1"/>
  <c r="I6581" i="1"/>
  <c r="H6581" i="1"/>
  <c r="I6271" i="1"/>
  <c r="H6271" i="1"/>
  <c r="I5988" i="1"/>
  <c r="H5988" i="1"/>
  <c r="I6978" i="1"/>
  <c r="H6978" i="1"/>
  <c r="I41" i="1"/>
  <c r="H41" i="1"/>
  <c r="I2243" i="1"/>
  <c r="H2243" i="1"/>
  <c r="I2319" i="1"/>
  <c r="H2319" i="1"/>
  <c r="I1570" i="1"/>
  <c r="H1570" i="1"/>
  <c r="I5584" i="1"/>
  <c r="H5584" i="1"/>
  <c r="I5340" i="1"/>
  <c r="H5340" i="1"/>
  <c r="I6503" i="1"/>
  <c r="H6503" i="1"/>
  <c r="I1377" i="1"/>
  <c r="H1377" i="1"/>
  <c r="I7001" i="1"/>
  <c r="H7001" i="1"/>
  <c r="I1510" i="1"/>
  <c r="H1510" i="1"/>
  <c r="I431" i="1"/>
  <c r="H431" i="1"/>
  <c r="I1280" i="1"/>
  <c r="H1280" i="1"/>
  <c r="I6632" i="1"/>
  <c r="H6632" i="1"/>
  <c r="I1229" i="1"/>
  <c r="H1229" i="1"/>
  <c r="I5576" i="1"/>
  <c r="H5576" i="1"/>
  <c r="I893" i="1"/>
  <c r="H893" i="1"/>
  <c r="I927" i="1"/>
  <c r="H927" i="1"/>
  <c r="I6091" i="1"/>
  <c r="H6091" i="1"/>
  <c r="I1794" i="1"/>
  <c r="H1794" i="1"/>
  <c r="I1232" i="1"/>
  <c r="H1232" i="1"/>
  <c r="I1164" i="1"/>
  <c r="H1164" i="1"/>
  <c r="I5433" i="1"/>
  <c r="H5433" i="1"/>
  <c r="I1286" i="1"/>
  <c r="H1286" i="1"/>
  <c r="I1513" i="1"/>
  <c r="H1513" i="1"/>
  <c r="I6787" i="1"/>
  <c r="H6787" i="1"/>
  <c r="I210" i="1"/>
  <c r="H210" i="1"/>
  <c r="I363" i="1"/>
  <c r="H363" i="1"/>
  <c r="I599" i="1"/>
  <c r="H599" i="1"/>
  <c r="I405" i="1"/>
  <c r="H405" i="1"/>
  <c r="I5930" i="1"/>
  <c r="H5930" i="1"/>
  <c r="I870" i="1"/>
  <c r="H870" i="1"/>
  <c r="I648" i="1"/>
  <c r="H648" i="1"/>
  <c r="I6875" i="1"/>
  <c r="H6875" i="1"/>
  <c r="I6599" i="1"/>
  <c r="H6599" i="1"/>
  <c r="I6291" i="1"/>
  <c r="H6291" i="1"/>
  <c r="I2260" i="1"/>
  <c r="H2260" i="1"/>
  <c r="I6991" i="1"/>
  <c r="H6991" i="1"/>
  <c r="I548" i="1"/>
  <c r="H548" i="1"/>
  <c r="I1616" i="1"/>
  <c r="H1616" i="1"/>
  <c r="I6546" i="1"/>
  <c r="H6546" i="1"/>
  <c r="I672" i="1"/>
  <c r="H672" i="1"/>
  <c r="I6343" i="1"/>
  <c r="H6343" i="1"/>
  <c r="I6063" i="1"/>
  <c r="H6063" i="1"/>
  <c r="I347" i="1"/>
  <c r="H347" i="1"/>
  <c r="I696" i="1"/>
  <c r="H696" i="1"/>
  <c r="I5733" i="1"/>
  <c r="H5733" i="1"/>
  <c r="I1926" i="1"/>
  <c r="H1926" i="1"/>
  <c r="I6758" i="1"/>
  <c r="H6758" i="1"/>
  <c r="I1059" i="1"/>
  <c r="H1059" i="1"/>
  <c r="I5892" i="1"/>
  <c r="H5892" i="1"/>
  <c r="I135" i="1"/>
  <c r="H135" i="1"/>
  <c r="I180" i="1"/>
  <c r="H180" i="1"/>
  <c r="I5742" i="1"/>
  <c r="H5742" i="1"/>
  <c r="I276" i="1"/>
  <c r="H276" i="1"/>
  <c r="I1833" i="1"/>
  <c r="H1833" i="1"/>
  <c r="I248" i="1"/>
  <c r="H248" i="1"/>
  <c r="I1792" i="1"/>
  <c r="H1792" i="1"/>
  <c r="I1661" i="1"/>
  <c r="H1661" i="1"/>
  <c r="I1085" i="1"/>
  <c r="H1085" i="1"/>
  <c r="I2091" i="1"/>
  <c r="H2091" i="1"/>
  <c r="I1203" i="1"/>
  <c r="H1203" i="1"/>
  <c r="I1850" i="1"/>
  <c r="H1850" i="1"/>
  <c r="I954" i="1"/>
  <c r="H954" i="1"/>
  <c r="I6735" i="1"/>
  <c r="H6735" i="1"/>
  <c r="I6123" i="1"/>
  <c r="H6123" i="1"/>
  <c r="I5559" i="1"/>
  <c r="H5559" i="1"/>
  <c r="I6112" i="1"/>
  <c r="H6112" i="1"/>
  <c r="I1775" i="1"/>
  <c r="H1775" i="1"/>
  <c r="I4828" i="1"/>
  <c r="H4828" i="1"/>
  <c r="I5321" i="1"/>
  <c r="H5321" i="1"/>
  <c r="I1167" i="1"/>
  <c r="H1167" i="1"/>
  <c r="I5785" i="1"/>
  <c r="H5785" i="1"/>
  <c r="I340" i="1"/>
  <c r="H340" i="1"/>
  <c r="I5780" i="1"/>
  <c r="H5780" i="1"/>
  <c r="I2040" i="1"/>
  <c r="H2040" i="1"/>
  <c r="I5249" i="1"/>
  <c r="H5249" i="1"/>
  <c r="I2648" i="1"/>
  <c r="H2648" i="1"/>
  <c r="I190" i="1"/>
  <c r="H190" i="1"/>
  <c r="I1323" i="1"/>
  <c r="H1323" i="1"/>
  <c r="I5454" i="1"/>
  <c r="H5454" i="1"/>
  <c r="I1328" i="1"/>
  <c r="H1328" i="1"/>
  <c r="I7019" i="1"/>
  <c r="H7019" i="1"/>
  <c r="I142" i="1"/>
  <c r="H142" i="1"/>
  <c r="I6010" i="1"/>
  <c r="H6010" i="1"/>
  <c r="I5134" i="1"/>
  <c r="H5134" i="1"/>
  <c r="I1089" i="1"/>
  <c r="H1089" i="1"/>
  <c r="I819" i="1"/>
  <c r="H819" i="1"/>
  <c r="I2281" i="1"/>
  <c r="H2281" i="1"/>
  <c r="I6488" i="1"/>
  <c r="H6488" i="1"/>
  <c r="I1536" i="1"/>
  <c r="H1536" i="1"/>
  <c r="I342" i="1"/>
  <c r="H342" i="1"/>
  <c r="I2144" i="1"/>
  <c r="H2144" i="1"/>
  <c r="I2025" i="1"/>
  <c r="H2025" i="1"/>
  <c r="I172" i="1"/>
  <c r="H172" i="1"/>
  <c r="I6325" i="1"/>
  <c r="H6325" i="1"/>
  <c r="I1441" i="1"/>
  <c r="H1441" i="1"/>
  <c r="I1477" i="1"/>
  <c r="H1477" i="1"/>
  <c r="I572" i="1"/>
  <c r="H572" i="1"/>
  <c r="I5598" i="1"/>
  <c r="H5598" i="1"/>
  <c r="I6815" i="1"/>
  <c r="H6815" i="1"/>
  <c r="I84" i="1"/>
  <c r="H84" i="1"/>
  <c r="I1901" i="1"/>
  <c r="H1901" i="1"/>
  <c r="I1453" i="1"/>
  <c r="H1453" i="1"/>
  <c r="I712" i="1"/>
  <c r="H712" i="1"/>
  <c r="I622" i="1"/>
  <c r="H622" i="1"/>
  <c r="I5203" i="1"/>
  <c r="H5203" i="1"/>
  <c r="I186" i="1"/>
  <c r="H186" i="1"/>
  <c r="I1026" i="1"/>
  <c r="H1026" i="1"/>
  <c r="I1100" i="1"/>
  <c r="H1100" i="1"/>
  <c r="I1951" i="1"/>
  <c r="H1951" i="1"/>
  <c r="I1272" i="1"/>
  <c r="H1272" i="1"/>
  <c r="I5796" i="1"/>
  <c r="H5796" i="1"/>
  <c r="I5565" i="1"/>
  <c r="H5565" i="1"/>
  <c r="I6996" i="1"/>
  <c r="H6996" i="1"/>
  <c r="I1581" i="1"/>
  <c r="H1581" i="1"/>
  <c r="I6273" i="1"/>
  <c r="H6273" i="1"/>
  <c r="I351" i="1"/>
  <c r="H351" i="1"/>
  <c r="I106" i="1"/>
  <c r="H106" i="1"/>
  <c r="I1463" i="1"/>
  <c r="H1463" i="1"/>
  <c r="I1708" i="1"/>
  <c r="H1708" i="1"/>
  <c r="I67" i="1"/>
  <c r="H67" i="1"/>
  <c r="I6035" i="1"/>
  <c r="H6035" i="1"/>
  <c r="I1909" i="1"/>
  <c r="H1909" i="1"/>
  <c r="I1720" i="1"/>
  <c r="H1720" i="1"/>
  <c r="I5859" i="1"/>
  <c r="H5859" i="1"/>
  <c r="I701" i="1"/>
  <c r="H701" i="1"/>
  <c r="I382" i="1"/>
  <c r="H382" i="1"/>
  <c r="I980" i="1"/>
  <c r="H980" i="1"/>
  <c r="I420" i="1"/>
  <c r="H420" i="1"/>
  <c r="I5706" i="1"/>
  <c r="H5706" i="1"/>
  <c r="I5731" i="1"/>
  <c r="H5731" i="1"/>
  <c r="I4973" i="1"/>
  <c r="H4973" i="1"/>
  <c r="I6598" i="1"/>
  <c r="H6598" i="1"/>
  <c r="I1008" i="1"/>
  <c r="H1008" i="1"/>
  <c r="I6702" i="1"/>
  <c r="H6702" i="1"/>
  <c r="I6300" i="1"/>
  <c r="H6300" i="1"/>
  <c r="I5159" i="1"/>
  <c r="H5159" i="1"/>
  <c r="I765" i="1"/>
  <c r="H765" i="1"/>
  <c r="I6332" i="1"/>
  <c r="H6332" i="1"/>
  <c r="I1838" i="1"/>
  <c r="H1838" i="1"/>
  <c r="I2371" i="1"/>
  <c r="H2371" i="1"/>
  <c r="I6217" i="1"/>
  <c r="H6217" i="1"/>
  <c r="I206" i="1"/>
  <c r="H206" i="1"/>
  <c r="I2426" i="1"/>
  <c r="H2426" i="1"/>
  <c r="I6716" i="1"/>
  <c r="H6716" i="1"/>
  <c r="I611" i="1"/>
  <c r="H611" i="1"/>
  <c r="I6776" i="1"/>
  <c r="H6776" i="1"/>
  <c r="I5917" i="1"/>
  <c r="H5917" i="1"/>
  <c r="I109" i="1"/>
  <c r="H109" i="1"/>
  <c r="I1149" i="1"/>
  <c r="H1149" i="1"/>
  <c r="I1672" i="1"/>
  <c r="H1672" i="1"/>
  <c r="I5290" i="1"/>
  <c r="H5290" i="1"/>
  <c r="I6203" i="1"/>
  <c r="H6203" i="1"/>
  <c r="I2352" i="1"/>
  <c r="H2352" i="1"/>
  <c r="I6179" i="1"/>
  <c r="H6179" i="1"/>
  <c r="I5480" i="1"/>
  <c r="H5480" i="1"/>
  <c r="I6151" i="1"/>
  <c r="H6151" i="1"/>
  <c r="I6254" i="1"/>
  <c r="H6254" i="1"/>
  <c r="I5881" i="1"/>
  <c r="H5881" i="1"/>
  <c r="I2658" i="1"/>
  <c r="H2658" i="1"/>
  <c r="I6863" i="1"/>
  <c r="H6863" i="1"/>
  <c r="I789" i="1"/>
  <c r="H789" i="1"/>
  <c r="I2006" i="1"/>
  <c r="H2006" i="1"/>
  <c r="I400" i="1"/>
  <c r="H400" i="1"/>
  <c r="I77" i="1"/>
  <c r="H77" i="1"/>
  <c r="I707" i="1"/>
  <c r="H707" i="1"/>
  <c r="I1673" i="1"/>
  <c r="H1673" i="1"/>
  <c r="I1056" i="1"/>
  <c r="H1056" i="1"/>
  <c r="I6502" i="1"/>
  <c r="H6502" i="1"/>
  <c r="I5761" i="1"/>
  <c r="H5761" i="1"/>
  <c r="I892" i="1"/>
  <c r="H892" i="1"/>
  <c r="I2495" i="1"/>
  <c r="H2495" i="1"/>
  <c r="I81" i="1"/>
  <c r="H81" i="1"/>
  <c r="I5764" i="1"/>
  <c r="H5764" i="1"/>
  <c r="I1512" i="1"/>
  <c r="H1512" i="1"/>
  <c r="I1706" i="1"/>
  <c r="H1706" i="1"/>
  <c r="I6553" i="1"/>
  <c r="H6553" i="1"/>
  <c r="I2316" i="1"/>
  <c r="H2316" i="1"/>
  <c r="I1172" i="1"/>
  <c r="H1172" i="1"/>
  <c r="I6679" i="1"/>
  <c r="H6679" i="1"/>
  <c r="I1084" i="1"/>
  <c r="H1084" i="1"/>
  <c r="I5978" i="1"/>
  <c r="H5978" i="1"/>
  <c r="I1914" i="1"/>
  <c r="H1914" i="1"/>
  <c r="I6496" i="1"/>
  <c r="H6496" i="1"/>
  <c r="I1311" i="1"/>
  <c r="H1311" i="1"/>
  <c r="I5514" i="1"/>
  <c r="H5514" i="1"/>
  <c r="I6994" i="1"/>
  <c r="H6994" i="1"/>
  <c r="I5261" i="1"/>
  <c r="H5261" i="1"/>
  <c r="I6490" i="1"/>
  <c r="H6490" i="1"/>
  <c r="I1728" i="1"/>
  <c r="H1728" i="1"/>
  <c r="I1551" i="1"/>
  <c r="H1551" i="1"/>
  <c r="I108" i="1"/>
  <c r="H108" i="1"/>
  <c r="I7014" i="1"/>
  <c r="H7014" i="1"/>
  <c r="I917" i="1"/>
  <c r="H917" i="1"/>
  <c r="I925" i="1"/>
  <c r="H925" i="1"/>
  <c r="I1358" i="1"/>
  <c r="H1358" i="1"/>
  <c r="I6060" i="1"/>
  <c r="H6060" i="1"/>
  <c r="I1500" i="1"/>
  <c r="H1500" i="1"/>
  <c r="I923" i="1"/>
  <c r="H923" i="1"/>
  <c r="I6290" i="1"/>
  <c r="H6290" i="1"/>
  <c r="I372" i="1"/>
  <c r="H372" i="1"/>
  <c r="I5877" i="1"/>
  <c r="H5877" i="1"/>
  <c r="I1305" i="1"/>
  <c r="H1305" i="1"/>
  <c r="I1960" i="1"/>
  <c r="H1960" i="1"/>
  <c r="I6056" i="1"/>
  <c r="H6056" i="1"/>
  <c r="I2291" i="1"/>
  <c r="H2291" i="1"/>
  <c r="I5715" i="1"/>
  <c r="H5715" i="1"/>
  <c r="I1135" i="1"/>
  <c r="H1135" i="1"/>
  <c r="I6951" i="1"/>
  <c r="H6951" i="1"/>
  <c r="I85" i="1"/>
  <c r="H85" i="1"/>
  <c r="I2161" i="1"/>
  <c r="H2161" i="1"/>
  <c r="I6905" i="1"/>
  <c r="H6905" i="1"/>
  <c r="I1985" i="1"/>
  <c r="H1985" i="1"/>
  <c r="I1493" i="1"/>
  <c r="H1493" i="1"/>
  <c r="I541" i="1"/>
  <c r="H541" i="1"/>
  <c r="I6729" i="1"/>
  <c r="H6729" i="1"/>
  <c r="I5778" i="1"/>
  <c r="H5778" i="1"/>
  <c r="I5929" i="1"/>
  <c r="H5929" i="1"/>
  <c r="I100" i="1"/>
  <c r="H100" i="1"/>
  <c r="I2238" i="1"/>
  <c r="H2238" i="1"/>
  <c r="I1767" i="1"/>
  <c r="H1767" i="1"/>
  <c r="I6355" i="1"/>
  <c r="H6355" i="1"/>
  <c r="I842" i="1"/>
  <c r="H842" i="1"/>
  <c r="I5442" i="1"/>
  <c r="H5442" i="1"/>
  <c r="I6709" i="1"/>
  <c r="H6709" i="1"/>
  <c r="I1761" i="1"/>
  <c r="H1761" i="1"/>
  <c r="I6101" i="1"/>
  <c r="H6101" i="1"/>
  <c r="I1195" i="1"/>
  <c r="H1195" i="1"/>
  <c r="I1366" i="1"/>
  <c r="H1366" i="1"/>
  <c r="I6778" i="1"/>
  <c r="H6778" i="1"/>
  <c r="I101" i="1"/>
  <c r="H101" i="1"/>
  <c r="I6759" i="1"/>
  <c r="H6759" i="1"/>
  <c r="I6552" i="1"/>
  <c r="H6552" i="1"/>
  <c r="I2299" i="1"/>
  <c r="H2299" i="1"/>
  <c r="I6446" i="1"/>
  <c r="H6446" i="1"/>
  <c r="I854" i="1"/>
  <c r="H854" i="1"/>
  <c r="I6893" i="1"/>
  <c r="H6893" i="1"/>
  <c r="I5818" i="1"/>
  <c r="H5818" i="1"/>
  <c r="I5495" i="1"/>
  <c r="H5495" i="1"/>
  <c r="I1152" i="1"/>
  <c r="H1152" i="1"/>
  <c r="I1398" i="1"/>
  <c r="H1398" i="1"/>
  <c r="I2277" i="1"/>
  <c r="H2277" i="1"/>
  <c r="I910" i="1"/>
  <c r="H910" i="1"/>
  <c r="I955" i="1"/>
  <c r="H955" i="1"/>
  <c r="I6476" i="1"/>
  <c r="H6476" i="1"/>
  <c r="I1546" i="1"/>
  <c r="H1546" i="1"/>
  <c r="I1399" i="1"/>
  <c r="H1399" i="1"/>
  <c r="I801" i="1"/>
  <c r="H801" i="1"/>
  <c r="I1521" i="1"/>
  <c r="H1521" i="1"/>
  <c r="I1583" i="1"/>
  <c r="H1583" i="1"/>
  <c r="I5511" i="1"/>
  <c r="H5511" i="1"/>
  <c r="I6749" i="1"/>
  <c r="H6749" i="1"/>
  <c r="I125" i="1"/>
  <c r="H125" i="1"/>
  <c r="I1193" i="1"/>
  <c r="H1193" i="1"/>
  <c r="I2134" i="1"/>
  <c r="H2134" i="1"/>
  <c r="I886" i="1"/>
  <c r="H886" i="1"/>
  <c r="I6710" i="1"/>
  <c r="H6710" i="1"/>
  <c r="I5721" i="1"/>
  <c r="H5721" i="1"/>
  <c r="I6227" i="1"/>
  <c r="H6227" i="1"/>
  <c r="I6369" i="1"/>
  <c r="H6369" i="1"/>
  <c r="I573" i="1"/>
  <c r="H573" i="1"/>
  <c r="I556" i="1"/>
  <c r="H556" i="1"/>
  <c r="I2005" i="1"/>
  <c r="H2005" i="1"/>
  <c r="I6435" i="1"/>
  <c r="H6435" i="1"/>
  <c r="I1261" i="1"/>
  <c r="H1261" i="1"/>
  <c r="I1699" i="1"/>
  <c r="H1699" i="1"/>
  <c r="I6449" i="1"/>
  <c r="H6449" i="1"/>
  <c r="I5666" i="1"/>
  <c r="H5666" i="1"/>
  <c r="I7024" i="1"/>
  <c r="H7024" i="1"/>
  <c r="I811" i="1"/>
  <c r="H811" i="1"/>
  <c r="I1991" i="1"/>
  <c r="H1991" i="1"/>
  <c r="I6133" i="1"/>
  <c r="H6133" i="1"/>
  <c r="I6025" i="1"/>
  <c r="H6025" i="1"/>
  <c r="I912" i="1"/>
  <c r="H912" i="1"/>
  <c r="I1407" i="1"/>
  <c r="H1407" i="1"/>
  <c r="I277" i="1"/>
  <c r="H277" i="1"/>
  <c r="I5922" i="1"/>
  <c r="H5922" i="1"/>
  <c r="I1239" i="1"/>
  <c r="H1239" i="1"/>
  <c r="I6570" i="1"/>
  <c r="H6570" i="1"/>
  <c r="I1588" i="1"/>
  <c r="H1588" i="1"/>
  <c r="I6783" i="1"/>
  <c r="H6783" i="1"/>
  <c r="I6799" i="1"/>
  <c r="H6799" i="1"/>
  <c r="I5596" i="1"/>
  <c r="H5596" i="1"/>
  <c r="I688" i="1"/>
  <c r="H688" i="1"/>
  <c r="I5798" i="1"/>
  <c r="H5798" i="1"/>
  <c r="I6149" i="1"/>
  <c r="H6149" i="1"/>
  <c r="I64" i="1"/>
  <c r="H64" i="1"/>
  <c r="I5379" i="1"/>
  <c r="H5379" i="1"/>
  <c r="I1023" i="1"/>
  <c r="H1023" i="1"/>
  <c r="I5889" i="1"/>
  <c r="H5889" i="1"/>
  <c r="I5570" i="1"/>
  <c r="H5570" i="1"/>
  <c r="I1723" i="1"/>
  <c r="H1723" i="1"/>
  <c r="I177" i="1"/>
  <c r="H177" i="1"/>
  <c r="I305" i="1"/>
  <c r="H305" i="1"/>
  <c r="I968" i="1"/>
  <c r="H968" i="1"/>
  <c r="I1601" i="1"/>
  <c r="H1601" i="1"/>
  <c r="I698" i="1"/>
  <c r="H698" i="1"/>
  <c r="I1747" i="1"/>
  <c r="H1747" i="1"/>
  <c r="I1312" i="1"/>
  <c r="H1312" i="1"/>
  <c r="I1501" i="1"/>
  <c r="H1501" i="1"/>
  <c r="I6226" i="1"/>
  <c r="H6226" i="1"/>
  <c r="I365" i="1"/>
  <c r="H365" i="1"/>
  <c r="I1438" i="1"/>
  <c r="H1438" i="1"/>
  <c r="I5588" i="1"/>
  <c r="H5588" i="1"/>
  <c r="I6313" i="1"/>
  <c r="H6313" i="1"/>
  <c r="I5704" i="1"/>
  <c r="H5704" i="1"/>
  <c r="I1969" i="1"/>
  <c r="H1969" i="1"/>
  <c r="I593" i="1"/>
  <c r="H593" i="1"/>
  <c r="I5716" i="1"/>
  <c r="H5716" i="1"/>
  <c r="I6671" i="1"/>
  <c r="H6671" i="1"/>
  <c r="I5105" i="1"/>
  <c r="H5105" i="1"/>
  <c r="I6888" i="1"/>
  <c r="H6888" i="1"/>
  <c r="I972" i="1"/>
  <c r="H972" i="1"/>
  <c r="I2023" i="1"/>
  <c r="H2023" i="1"/>
  <c r="I6611" i="1"/>
  <c r="H6611" i="1"/>
  <c r="I918" i="1"/>
  <c r="H918" i="1"/>
  <c r="I6078" i="1"/>
  <c r="H6078" i="1"/>
  <c r="I1528" i="1"/>
  <c r="H1528" i="1"/>
  <c r="I773" i="1"/>
  <c r="H773" i="1"/>
  <c r="I4895" i="1"/>
  <c r="H4895" i="1"/>
  <c r="I6979" i="1"/>
  <c r="H6979" i="1"/>
  <c r="I7029" i="1"/>
  <c r="H7029" i="1"/>
  <c r="I139" i="1"/>
  <c r="H139" i="1"/>
  <c r="I879" i="1"/>
  <c r="H879" i="1"/>
  <c r="I6613" i="1"/>
  <c r="H6613" i="1"/>
  <c r="I1817" i="1"/>
  <c r="H1817" i="1"/>
  <c r="I1144" i="1"/>
  <c r="H1144" i="1"/>
  <c r="I5366" i="1"/>
  <c r="H5366" i="1"/>
  <c r="I5874" i="1"/>
  <c r="H5874" i="1"/>
  <c r="I6797" i="1"/>
  <c r="H6797" i="1"/>
  <c r="I1017" i="1"/>
  <c r="H1017" i="1"/>
  <c r="I6521" i="1"/>
  <c r="H6521" i="1"/>
  <c r="I5593" i="1"/>
  <c r="H5593" i="1"/>
  <c r="I1631" i="1"/>
  <c r="H1631" i="1"/>
  <c r="I1916" i="1"/>
  <c r="H1916" i="1"/>
  <c r="I2524" i="1"/>
  <c r="H2524" i="1"/>
  <c r="I1222" i="1"/>
  <c r="H1222" i="1"/>
  <c r="I5095" i="1"/>
  <c r="H5095" i="1"/>
  <c r="I86" i="1"/>
  <c r="H86" i="1"/>
  <c r="I72" i="1"/>
  <c r="H72" i="1"/>
  <c r="I6584" i="1"/>
  <c r="H6584" i="1"/>
  <c r="I6086" i="1"/>
  <c r="H6086" i="1"/>
  <c r="I875" i="1"/>
  <c r="H875" i="1"/>
  <c r="I1106" i="1"/>
  <c r="H1106" i="1"/>
  <c r="I2073" i="1"/>
  <c r="H2073" i="1"/>
  <c r="I407" i="1"/>
  <c r="H407" i="1"/>
  <c r="I397" i="1"/>
  <c r="H397" i="1"/>
  <c r="I1020" i="1"/>
  <c r="H1020" i="1"/>
  <c r="I6915" i="1"/>
  <c r="H6915" i="1"/>
  <c r="I1383" i="1"/>
  <c r="H1383" i="1"/>
  <c r="I6989" i="1"/>
  <c r="H6989" i="1"/>
  <c r="I1238" i="1"/>
  <c r="H1238" i="1"/>
  <c r="I1301" i="1"/>
  <c r="H1301" i="1"/>
  <c r="I1622" i="1"/>
  <c r="H1622" i="1"/>
  <c r="I1516" i="1"/>
  <c r="H1516" i="1"/>
  <c r="I6738" i="1"/>
  <c r="H6738" i="1"/>
  <c r="I1428" i="1"/>
  <c r="H1428" i="1"/>
  <c r="I6830" i="1"/>
  <c r="H6830" i="1"/>
  <c r="I1124" i="1"/>
  <c r="H1124" i="1"/>
  <c r="I62" i="1"/>
  <c r="H62" i="1"/>
  <c r="I6775" i="1"/>
  <c r="H6775" i="1"/>
  <c r="I2590" i="1"/>
  <c r="H2590" i="1"/>
  <c r="I1778" i="1"/>
  <c r="H1778" i="1"/>
  <c r="I1917" i="1"/>
  <c r="H1917" i="1"/>
  <c r="I5546" i="1"/>
  <c r="H5546" i="1"/>
  <c r="I5327" i="1"/>
  <c r="H5327" i="1"/>
  <c r="I802" i="1"/>
  <c r="H802" i="1"/>
  <c r="I79" i="1"/>
  <c r="H79" i="1"/>
  <c r="I6331" i="1"/>
  <c r="H6331" i="1"/>
  <c r="I5349" i="1"/>
  <c r="H5349" i="1"/>
  <c r="I290" i="1"/>
  <c r="H290" i="1"/>
  <c r="I6669" i="1"/>
  <c r="H6669" i="1"/>
  <c r="I5868" i="1"/>
  <c r="H5868" i="1"/>
  <c r="I881" i="1"/>
  <c r="H881" i="1"/>
  <c r="I5400" i="1"/>
  <c r="H5400" i="1"/>
  <c r="I215" i="1"/>
  <c r="H215" i="1"/>
  <c r="I1897" i="1"/>
  <c r="H1897" i="1"/>
  <c r="I1039" i="1"/>
  <c r="H1039" i="1"/>
  <c r="I1327" i="1"/>
  <c r="H1327" i="1"/>
  <c r="I5329" i="1"/>
  <c r="H5329" i="1"/>
  <c r="I5305" i="1"/>
  <c r="H5305" i="1"/>
  <c r="I589" i="1"/>
  <c r="H589" i="1"/>
  <c r="I272" i="1"/>
  <c r="H272" i="1"/>
  <c r="I1372" i="1"/>
  <c r="H1372" i="1"/>
  <c r="I6712" i="1"/>
  <c r="H6712" i="1"/>
  <c r="I6655" i="1"/>
  <c r="H6655" i="1"/>
  <c r="I6207" i="1"/>
  <c r="H6207" i="1"/>
  <c r="I6857" i="1"/>
  <c r="H6857" i="1"/>
  <c r="I6140" i="1"/>
  <c r="H6140" i="1"/>
  <c r="I398" i="1"/>
  <c r="H398" i="1"/>
  <c r="I6630" i="1"/>
  <c r="H6630" i="1"/>
  <c r="I607" i="1"/>
  <c r="H607" i="1"/>
  <c r="I65" i="1"/>
  <c r="H65" i="1"/>
  <c r="I585" i="1"/>
  <c r="H585" i="1"/>
  <c r="I963" i="1"/>
  <c r="H963" i="1"/>
  <c r="I6944" i="1"/>
  <c r="H6944" i="1"/>
  <c r="I5608" i="1"/>
  <c r="H5608" i="1"/>
  <c r="I156" i="1"/>
  <c r="H156" i="1"/>
  <c r="I6458" i="1"/>
  <c r="H6458" i="1"/>
  <c r="I425" i="1"/>
  <c r="H425" i="1"/>
  <c r="I287" i="1"/>
  <c r="H287" i="1"/>
  <c r="I1011" i="1"/>
  <c r="H1011" i="1"/>
  <c r="I1044" i="1"/>
  <c r="H1044" i="1"/>
  <c r="I6819" i="1"/>
  <c r="H6819" i="1"/>
  <c r="I1134" i="1"/>
  <c r="H1134" i="1"/>
  <c r="I6751" i="1"/>
  <c r="H6751" i="1"/>
  <c r="I907" i="1"/>
  <c r="H907" i="1"/>
  <c r="I6747" i="1"/>
  <c r="H6747" i="1"/>
  <c r="I217" i="1"/>
  <c r="H217" i="1"/>
  <c r="I1269" i="1"/>
  <c r="H1269" i="1"/>
  <c r="I1760" i="1"/>
  <c r="H1760" i="1"/>
  <c r="I89" i="1"/>
  <c r="H89" i="1"/>
  <c r="I6642" i="1"/>
  <c r="H6642" i="1"/>
  <c r="I6837" i="1"/>
  <c r="H6837" i="1"/>
  <c r="I6743" i="1"/>
  <c r="H6743" i="1"/>
  <c r="I37" i="1"/>
  <c r="H37" i="1"/>
  <c r="I1214" i="1"/>
  <c r="H1214" i="1"/>
  <c r="I6450" i="1"/>
  <c r="H6450" i="1"/>
  <c r="I6963" i="1"/>
  <c r="H6963" i="1"/>
  <c r="I855" i="1"/>
  <c r="H855" i="1"/>
  <c r="I1564" i="1"/>
  <c r="H1564" i="1"/>
  <c r="I6545" i="1"/>
  <c r="H6545" i="1"/>
  <c r="I6862" i="1"/>
  <c r="H6862" i="1"/>
  <c r="I1230" i="1"/>
  <c r="H1230" i="1"/>
  <c r="I6275" i="1"/>
  <c r="H6275" i="1"/>
  <c r="I411" i="1"/>
  <c r="H411" i="1"/>
  <c r="I401" i="1"/>
  <c r="H401" i="1"/>
  <c r="I6068" i="1"/>
  <c r="H6068" i="1"/>
  <c r="I315" i="1"/>
  <c r="H315" i="1"/>
  <c r="I5728" i="1"/>
  <c r="H5728" i="1"/>
  <c r="I2406" i="1"/>
  <c r="H2406" i="1"/>
  <c r="I409" i="1"/>
  <c r="H409" i="1"/>
  <c r="I1688" i="1"/>
  <c r="H1688" i="1"/>
  <c r="I10" i="1"/>
  <c r="H10" i="1"/>
  <c r="I5977" i="1"/>
  <c r="H5977" i="1"/>
  <c r="I5833" i="1"/>
  <c r="H5833" i="1"/>
  <c r="I6606" i="1"/>
  <c r="H6606" i="1"/>
  <c r="I5784" i="1"/>
  <c r="H5784" i="1"/>
  <c r="I163" i="1"/>
  <c r="H163" i="1"/>
  <c r="I1334" i="1"/>
  <c r="H1334" i="1"/>
  <c r="I6315" i="1"/>
  <c r="H6315" i="1"/>
  <c r="I5724" i="1"/>
  <c r="H5724" i="1"/>
  <c r="I6156" i="1"/>
  <c r="H6156" i="1"/>
  <c r="I6190" i="1"/>
  <c r="H6190" i="1"/>
  <c r="I1113" i="1"/>
  <c r="H1113" i="1"/>
  <c r="I6320" i="1"/>
  <c r="H6320" i="1"/>
  <c r="I5997" i="1"/>
  <c r="H5997" i="1"/>
  <c r="I6479" i="1"/>
  <c r="H6479" i="1"/>
  <c r="I94" i="1"/>
  <c r="H94" i="1"/>
  <c r="I1893" i="1"/>
  <c r="H1893" i="1"/>
  <c r="I1307" i="1"/>
  <c r="H1307" i="1"/>
  <c r="I6219" i="1"/>
  <c r="H6219" i="1"/>
  <c r="I5426" i="1"/>
  <c r="H5426" i="1"/>
  <c r="I33" i="1"/>
  <c r="H33" i="1"/>
  <c r="I1353" i="1"/>
  <c r="H1353" i="1"/>
  <c r="I902" i="1"/>
  <c r="H902" i="1"/>
  <c r="I5564" i="1"/>
  <c r="H5564" i="1"/>
  <c r="I5755" i="1"/>
  <c r="H5755" i="1"/>
  <c r="I6482" i="1"/>
  <c r="H6482" i="1"/>
  <c r="I1369" i="1"/>
  <c r="H1369" i="1"/>
  <c r="I114" i="1"/>
  <c r="H114" i="1"/>
  <c r="I729" i="1"/>
  <c r="H729" i="1"/>
  <c r="I6321" i="1"/>
  <c r="H6321" i="1"/>
  <c r="I61" i="1"/>
  <c r="H61" i="1"/>
  <c r="I1496" i="1"/>
  <c r="H1496" i="1"/>
  <c r="I982" i="1"/>
  <c r="H982" i="1"/>
  <c r="I444" i="1"/>
  <c r="H444" i="1"/>
  <c r="I6430" i="1"/>
  <c r="H6430" i="1"/>
  <c r="I20" i="1"/>
  <c r="H20" i="1"/>
  <c r="I6946" i="1"/>
  <c r="H6946" i="1"/>
  <c r="I337" i="1"/>
  <c r="H337" i="1"/>
  <c r="I1559" i="1"/>
  <c r="H1559" i="1"/>
  <c r="I1666" i="1"/>
  <c r="H1666" i="1"/>
  <c r="I1115" i="1"/>
  <c r="H1115" i="1"/>
  <c r="I181" i="1"/>
  <c r="H181" i="1"/>
  <c r="I5945" i="1"/>
  <c r="H5945" i="1"/>
  <c r="I1879" i="1"/>
  <c r="H1879" i="1"/>
  <c r="I284" i="1"/>
  <c r="H284" i="1"/>
  <c r="I2168" i="1"/>
  <c r="H2168" i="1"/>
  <c r="I5266" i="1"/>
  <c r="H5266" i="1"/>
  <c r="I38" i="1"/>
  <c r="H38" i="1"/>
  <c r="I1162" i="1"/>
  <c r="H1162" i="1"/>
  <c r="I76" i="1"/>
  <c r="H76" i="1"/>
  <c r="I1589" i="1"/>
  <c r="H1589" i="1"/>
  <c r="I4970" i="1"/>
  <c r="H4970" i="1"/>
  <c r="I936" i="1"/>
  <c r="H936" i="1"/>
  <c r="I1797" i="1"/>
  <c r="H1797" i="1"/>
  <c r="I1585" i="1"/>
  <c r="H1585" i="1"/>
  <c r="I486" i="1"/>
  <c r="H486" i="1"/>
  <c r="I6057" i="1"/>
  <c r="H6057" i="1"/>
  <c r="I6244" i="1"/>
  <c r="H6244" i="1"/>
  <c r="I938" i="1"/>
  <c r="H938" i="1"/>
  <c r="I6940" i="1"/>
  <c r="H6940" i="1"/>
  <c r="I1204" i="1"/>
  <c r="H1204" i="1"/>
  <c r="I1346" i="1"/>
  <c r="H1346" i="1"/>
  <c r="I144" i="1"/>
  <c r="H144" i="1"/>
  <c r="I1237" i="1"/>
  <c r="H1237" i="1"/>
  <c r="I335" i="1"/>
  <c r="H335" i="1"/>
  <c r="I1326" i="1"/>
  <c r="H1326" i="1"/>
  <c r="I184" i="1"/>
  <c r="H184" i="1"/>
  <c r="I1117" i="1"/>
  <c r="H1117" i="1"/>
  <c r="I137" i="1"/>
  <c r="H137" i="1"/>
  <c r="I700" i="1"/>
  <c r="H700" i="1"/>
  <c r="I1268" i="1"/>
  <c r="H1268" i="1"/>
  <c r="I6461" i="1"/>
  <c r="H6461" i="1"/>
  <c r="I6105" i="1"/>
  <c r="H6105" i="1"/>
  <c r="I28" i="1"/>
  <c r="H28" i="1"/>
  <c r="I63" i="1"/>
  <c r="H63" i="1"/>
  <c r="I5880" i="1"/>
  <c r="H5880" i="1"/>
  <c r="I1188" i="1"/>
  <c r="H1188" i="1"/>
  <c r="I1291" i="1"/>
  <c r="H1291" i="1"/>
  <c r="I5697" i="1"/>
  <c r="H5697" i="1"/>
  <c r="I6216" i="1"/>
  <c r="H6216" i="1"/>
  <c r="I6692" i="1"/>
  <c r="H6692" i="1"/>
  <c r="I6543" i="1"/>
  <c r="H6543" i="1"/>
  <c r="I1216" i="1"/>
  <c r="H1216" i="1"/>
  <c r="I2118" i="1"/>
  <c r="H2118" i="1"/>
  <c r="I360" i="1"/>
  <c r="H360" i="1"/>
  <c r="I759" i="1"/>
  <c r="H759" i="1"/>
  <c r="I395" i="1"/>
  <c r="H395" i="1"/>
  <c r="I983" i="1"/>
  <c r="H983" i="1"/>
  <c r="I7009" i="1"/>
  <c r="H7009" i="1"/>
  <c r="I1057" i="1"/>
  <c r="H1057" i="1"/>
  <c r="I601" i="1"/>
  <c r="H601" i="1"/>
  <c r="I859" i="1"/>
  <c r="H859" i="1"/>
  <c r="I1295" i="1"/>
  <c r="H1295" i="1"/>
  <c r="I314" i="1"/>
  <c r="H314" i="1"/>
  <c r="I871" i="1"/>
  <c r="H871" i="1"/>
  <c r="I6620" i="1"/>
  <c r="H6620" i="1"/>
  <c r="I454" i="1"/>
  <c r="H454" i="1"/>
  <c r="I1598" i="1"/>
  <c r="H1598" i="1"/>
  <c r="I317" i="1"/>
  <c r="H317" i="1"/>
  <c r="I866" i="1"/>
  <c r="H866" i="1"/>
  <c r="I7032" i="1"/>
  <c r="H7032" i="1"/>
  <c r="I848" i="1"/>
  <c r="H848" i="1"/>
  <c r="I1308" i="1"/>
  <c r="H1308" i="1"/>
  <c r="I1179" i="1"/>
  <c r="H1179" i="1"/>
  <c r="I1994" i="1"/>
  <c r="H1994" i="1"/>
  <c r="I6858" i="1"/>
  <c r="H6858" i="1"/>
  <c r="I1379" i="1"/>
  <c r="H1379" i="1"/>
  <c r="I6780" i="1"/>
  <c r="H6780" i="1"/>
  <c r="I1630" i="1"/>
  <c r="H1630" i="1"/>
  <c r="I5678" i="1"/>
  <c r="H5678" i="1"/>
  <c r="I6902" i="1"/>
  <c r="H6902" i="1"/>
  <c r="I90" i="1"/>
  <c r="H90" i="1"/>
  <c r="I78" i="1"/>
  <c r="H78" i="1"/>
  <c r="I1043" i="1"/>
  <c r="H1043" i="1"/>
  <c r="I1704" i="1"/>
  <c r="H1704" i="1"/>
  <c r="I1823" i="1"/>
  <c r="H1823" i="1"/>
  <c r="I1180" i="1"/>
  <c r="H1180" i="1"/>
  <c r="I5756" i="1"/>
  <c r="H5756" i="1"/>
  <c r="I6998" i="1"/>
  <c r="H6998" i="1"/>
  <c r="I5632" i="1"/>
  <c r="H5632" i="1"/>
  <c r="I6768" i="1"/>
  <c r="H6768" i="1"/>
  <c r="I6236" i="1"/>
  <c r="H6236" i="1"/>
  <c r="I5686" i="1"/>
  <c r="H5686" i="1"/>
  <c r="I1225" i="1"/>
  <c r="H1225" i="1"/>
  <c r="I1150" i="1"/>
  <c r="H1150" i="1"/>
  <c r="I432" i="1"/>
  <c r="H432" i="1"/>
  <c r="I835" i="1"/>
  <c r="H835" i="1"/>
  <c r="I1187" i="1"/>
  <c r="H1187" i="1"/>
  <c r="I621" i="1"/>
  <c r="H621" i="1"/>
  <c r="I539" i="1"/>
  <c r="H539" i="1"/>
  <c r="I5876" i="1"/>
  <c r="H5876" i="1"/>
  <c r="I549" i="1"/>
  <c r="H549" i="1"/>
  <c r="I1030" i="1"/>
  <c r="H1030" i="1"/>
  <c r="I5611" i="1"/>
  <c r="H5611" i="1"/>
  <c r="I6150" i="1"/>
  <c r="H6150" i="1"/>
  <c r="I6398" i="1"/>
  <c r="H6398" i="1"/>
  <c r="I6836" i="1"/>
  <c r="H6836" i="1"/>
  <c r="I7021" i="1"/>
  <c r="H7021" i="1"/>
  <c r="I1069" i="1"/>
  <c r="H1069" i="1"/>
  <c r="I349" i="1"/>
  <c r="H349" i="1"/>
  <c r="I25" i="1"/>
  <c r="H25" i="1"/>
  <c r="I888" i="1"/>
  <c r="H888" i="1"/>
  <c r="I5991" i="1"/>
  <c r="H5991" i="1"/>
  <c r="I6865" i="1"/>
  <c r="H6865" i="1"/>
  <c r="I6911" i="1"/>
  <c r="H6911" i="1"/>
  <c r="I5829" i="1"/>
  <c r="H5829" i="1"/>
  <c r="I800" i="1"/>
  <c r="H800" i="1"/>
  <c r="I58" i="1"/>
  <c r="H58" i="1"/>
  <c r="I6357" i="1"/>
  <c r="H6357" i="1"/>
  <c r="I962" i="1"/>
  <c r="H962" i="1"/>
  <c r="I5341" i="1"/>
  <c r="H5341" i="1"/>
  <c r="I6312" i="1"/>
  <c r="H6312" i="1"/>
  <c r="I6257" i="1"/>
  <c r="H6257" i="1"/>
  <c r="I6623" i="1"/>
  <c r="H6623" i="1"/>
  <c r="I1260" i="1"/>
  <c r="H1260" i="1"/>
  <c r="I6061" i="1"/>
  <c r="H6061" i="1"/>
  <c r="I57" i="1"/>
  <c r="H57" i="1"/>
  <c r="I691" i="1"/>
  <c r="H691" i="1"/>
  <c r="I52" i="1"/>
  <c r="H52" i="1"/>
  <c r="I1136" i="1"/>
  <c r="H1136" i="1"/>
  <c r="I996" i="1"/>
  <c r="H996" i="1"/>
  <c r="I6654" i="1"/>
  <c r="H6654" i="1"/>
  <c r="I6237" i="1"/>
  <c r="H6237" i="1"/>
  <c r="I899" i="1"/>
  <c r="H899" i="1"/>
  <c r="I6165" i="1"/>
  <c r="H6165" i="1"/>
  <c r="I1121" i="1"/>
  <c r="H1121" i="1"/>
  <c r="I5849" i="1"/>
  <c r="H5849" i="1"/>
  <c r="I6549" i="1"/>
  <c r="H6549" i="1"/>
  <c r="I6201" i="1"/>
  <c r="H6201" i="1"/>
  <c r="I1215" i="1"/>
  <c r="H1215" i="1"/>
  <c r="I6245" i="1"/>
  <c r="H6245" i="1"/>
  <c r="I1186" i="1"/>
  <c r="H1186" i="1"/>
  <c r="I6447" i="1"/>
  <c r="H6447" i="1"/>
  <c r="I846" i="1"/>
  <c r="H846" i="1"/>
  <c r="I29" i="1"/>
  <c r="H29" i="1"/>
  <c r="I6483" i="1"/>
  <c r="H6483" i="1"/>
  <c r="I5845" i="1"/>
  <c r="H5845" i="1"/>
  <c r="I68" i="1"/>
  <c r="H68" i="1"/>
  <c r="I6938" i="1"/>
  <c r="H6938" i="1"/>
  <c r="I6907" i="1"/>
  <c r="H6907" i="1"/>
  <c r="I7017" i="1"/>
  <c r="H7017" i="1"/>
  <c r="I882" i="1"/>
  <c r="H882" i="1"/>
  <c r="I6746" i="1"/>
  <c r="H6746" i="1"/>
  <c r="I774" i="1"/>
  <c r="H774" i="1"/>
  <c r="I844" i="1"/>
  <c r="H844" i="1"/>
  <c r="I45" i="1"/>
  <c r="H45" i="1"/>
  <c r="I6389" i="1"/>
  <c r="H6389" i="1"/>
  <c r="I103" i="1"/>
  <c r="H103" i="1"/>
  <c r="I6557" i="1"/>
  <c r="H6557" i="1"/>
  <c r="I546" i="1"/>
  <c r="H546" i="1"/>
  <c r="I1473" i="1"/>
  <c r="H1473" i="1"/>
  <c r="I6856" i="1"/>
  <c r="H6856" i="1"/>
  <c r="I6126" i="1"/>
  <c r="H6126" i="1"/>
  <c r="I889" i="1"/>
  <c r="H889" i="1"/>
  <c r="I115" i="1"/>
  <c r="H115" i="1"/>
  <c r="I373" i="1"/>
  <c r="H373" i="1"/>
  <c r="I750" i="1"/>
  <c r="H750" i="1"/>
  <c r="I5647" i="1"/>
  <c r="H5647" i="1"/>
  <c r="I1522" i="1"/>
  <c r="H1522" i="1"/>
  <c r="I1568" i="1"/>
  <c r="H1568" i="1"/>
  <c r="I235" i="1"/>
  <c r="H235" i="1"/>
  <c r="I345" i="1"/>
  <c r="H345" i="1"/>
  <c r="I452" i="1"/>
  <c r="H452" i="1"/>
  <c r="I1206" i="1"/>
  <c r="H1206" i="1"/>
  <c r="I6690" i="1"/>
  <c r="H6690" i="1"/>
  <c r="I48" i="1"/>
  <c r="H48" i="1"/>
  <c r="I735" i="1"/>
  <c r="H735" i="1"/>
  <c r="I120" i="1"/>
  <c r="H120" i="1"/>
  <c r="I6736" i="1"/>
  <c r="H6736" i="1"/>
  <c r="I6429" i="1"/>
  <c r="H6429" i="1"/>
  <c r="I6840" i="1"/>
  <c r="H6840" i="1"/>
  <c r="I30" i="1"/>
  <c r="H30" i="1"/>
  <c r="I949" i="1"/>
  <c r="H949" i="1"/>
  <c r="I1394" i="1"/>
  <c r="H1394" i="1"/>
  <c r="I5636" i="1"/>
  <c r="H5636" i="1"/>
  <c r="I6344" i="1"/>
  <c r="H6344" i="1"/>
  <c r="I722" i="1"/>
  <c r="H722" i="1"/>
  <c r="I1776" i="1"/>
  <c r="H1776" i="1"/>
  <c r="I44" i="1"/>
  <c r="H44" i="1"/>
  <c r="I6945" i="1"/>
  <c r="H6945" i="1"/>
  <c r="I1397" i="1"/>
  <c r="H1397" i="1"/>
  <c r="I863" i="1"/>
  <c r="H863" i="1"/>
  <c r="I6319" i="1"/>
  <c r="H6319" i="1"/>
  <c r="I6961" i="1"/>
  <c r="H6961" i="1"/>
  <c r="I6234" i="1"/>
  <c r="H6234" i="1"/>
  <c r="I6046" i="1"/>
  <c r="H6046" i="1"/>
  <c r="I557" i="1"/>
  <c r="H557" i="1"/>
  <c r="I1132" i="1"/>
  <c r="H1132" i="1"/>
  <c r="I1853" i="1"/>
  <c r="H1853" i="1"/>
  <c r="I1161" i="1"/>
  <c r="H1161" i="1"/>
  <c r="I427" i="1"/>
  <c r="H427" i="1"/>
  <c r="I946" i="1"/>
  <c r="H946" i="1"/>
  <c r="I6467" i="1"/>
  <c r="H6467" i="1"/>
  <c r="I1219" i="1"/>
  <c r="H1219" i="1"/>
  <c r="I6682" i="1"/>
  <c r="H6682" i="1"/>
  <c r="I6072" i="1"/>
  <c r="H6072" i="1"/>
  <c r="I127" i="1"/>
  <c r="H127" i="1"/>
  <c r="I6335" i="1"/>
  <c r="H6335" i="1"/>
  <c r="I7012" i="1"/>
  <c r="H7012" i="1"/>
  <c r="I6754" i="1"/>
  <c r="H6754" i="1"/>
  <c r="I4955" i="1"/>
  <c r="H4955" i="1"/>
  <c r="I6411" i="1"/>
  <c r="H6411" i="1"/>
  <c r="I361" i="1"/>
  <c r="H361" i="1"/>
  <c r="I659" i="1"/>
  <c r="H659" i="1"/>
  <c r="I5754" i="1"/>
  <c r="H5754" i="1"/>
  <c r="I6166" i="1"/>
  <c r="H6166" i="1"/>
  <c r="I6708" i="1"/>
  <c r="H6708" i="1"/>
  <c r="I16" i="1"/>
  <c r="H16" i="1"/>
  <c r="I205" i="1"/>
  <c r="H205" i="1"/>
  <c r="I1460" i="1"/>
  <c r="H1460" i="1"/>
  <c r="I756" i="1"/>
  <c r="H756" i="1"/>
  <c r="I1859" i="1"/>
  <c r="H1859" i="1"/>
  <c r="I6451" i="1"/>
  <c r="H6451" i="1"/>
  <c r="I39" i="1"/>
  <c r="H39" i="1"/>
  <c r="I6548" i="1"/>
  <c r="H6548" i="1"/>
  <c r="I1873" i="1"/>
  <c r="H1873" i="1"/>
  <c r="I1518" i="1"/>
  <c r="H1518" i="1"/>
  <c r="I934" i="1"/>
  <c r="H934" i="1"/>
  <c r="I901" i="1"/>
  <c r="H901" i="1"/>
  <c r="I6839" i="1"/>
  <c r="H6839" i="1"/>
  <c r="I69" i="1"/>
  <c r="H69" i="1"/>
  <c r="I5532" i="1"/>
  <c r="H5532" i="1"/>
  <c r="I6666" i="1"/>
  <c r="H6666" i="1"/>
  <c r="I6651" i="1"/>
  <c r="H6651" i="1"/>
  <c r="I421" i="1"/>
  <c r="H421" i="1"/>
  <c r="I1610" i="1"/>
  <c r="H1610" i="1"/>
  <c r="I6628" i="1"/>
  <c r="H6628" i="1"/>
  <c r="I497" i="1"/>
  <c r="H497" i="1"/>
  <c r="I6448" i="1"/>
  <c r="H6448" i="1"/>
  <c r="I14" i="1"/>
  <c r="H14" i="1"/>
  <c r="I1045" i="1"/>
  <c r="H1045" i="1"/>
  <c r="I350" i="1"/>
  <c r="H350" i="1"/>
  <c r="I5597" i="1"/>
  <c r="H5597" i="1"/>
  <c r="I88" i="1"/>
  <c r="H88" i="1"/>
  <c r="I5309" i="1"/>
  <c r="H5309" i="1"/>
  <c r="I6971" i="1"/>
  <c r="H6971" i="1"/>
  <c r="I6769" i="1"/>
  <c r="H6769" i="1"/>
  <c r="I371" i="1"/>
  <c r="H371" i="1"/>
  <c r="I6925" i="1"/>
  <c r="H6925" i="1"/>
  <c r="I241" i="1"/>
  <c r="H241" i="1"/>
  <c r="I6292" i="1"/>
  <c r="H6292" i="1"/>
  <c r="I6225" i="1"/>
  <c r="H6225" i="1"/>
  <c r="I874" i="1"/>
  <c r="H874" i="1"/>
  <c r="I6624" i="1"/>
  <c r="H6624" i="1"/>
  <c r="I803" i="1"/>
  <c r="H803" i="1"/>
  <c r="I519" i="1"/>
  <c r="H519" i="1"/>
  <c r="I1683" i="1"/>
  <c r="H1683" i="1"/>
  <c r="I234" i="1"/>
  <c r="H234" i="1"/>
  <c r="I1485" i="1"/>
  <c r="H1485" i="1"/>
  <c r="I6955" i="1"/>
  <c r="H6955" i="1"/>
  <c r="I1199" i="1"/>
  <c r="H1199" i="1"/>
  <c r="I6533" i="1"/>
  <c r="H6533" i="1"/>
  <c r="I6303" i="1"/>
  <c r="H6303" i="1"/>
  <c r="I380" i="1"/>
  <c r="H380" i="1"/>
  <c r="I1223" i="1"/>
  <c r="H1223" i="1"/>
  <c r="I992" i="1"/>
  <c r="H992" i="1"/>
  <c r="I839" i="1"/>
  <c r="H839" i="1"/>
  <c r="I581" i="1"/>
  <c r="H581" i="1"/>
  <c r="I6053" i="1"/>
  <c r="H6053" i="1"/>
  <c r="I6529" i="1"/>
  <c r="H6529" i="1"/>
  <c r="I1103" i="1"/>
  <c r="H1103" i="1"/>
  <c r="I6527" i="1"/>
  <c r="H6527" i="1"/>
  <c r="I1519" i="1"/>
  <c r="H1519" i="1"/>
  <c r="I12" i="1"/>
  <c r="H12" i="1"/>
  <c r="I6937" i="1"/>
  <c r="H6937" i="1"/>
  <c r="I1265" i="1"/>
  <c r="H1265" i="1"/>
  <c r="I19" i="1"/>
  <c r="H19" i="1"/>
  <c r="I1992" i="1"/>
  <c r="H1992" i="1"/>
  <c r="I6229" i="1"/>
  <c r="H6229" i="1"/>
  <c r="I301" i="1"/>
  <c r="H301" i="1"/>
  <c r="I1426" i="1"/>
  <c r="H1426" i="1"/>
  <c r="I5079" i="1"/>
  <c r="H5079" i="1"/>
  <c r="I95" i="1"/>
  <c r="H95" i="1"/>
  <c r="I6614" i="1"/>
  <c r="H6614" i="1"/>
  <c r="I499" i="1"/>
  <c r="H499" i="1"/>
  <c r="I6039" i="1"/>
  <c r="H6039" i="1"/>
  <c r="I1078" i="1"/>
  <c r="H1078" i="1"/>
  <c r="I6753" i="1"/>
  <c r="H6753" i="1"/>
  <c r="I1040" i="1"/>
  <c r="H1040" i="1"/>
  <c r="I529" i="1"/>
  <c r="H529" i="1"/>
  <c r="I6803" i="1"/>
  <c r="H6803" i="1"/>
  <c r="I6608" i="1"/>
  <c r="H6608" i="1"/>
  <c r="I690" i="1"/>
  <c r="H690" i="1"/>
  <c r="I1064" i="1"/>
  <c r="H1064" i="1"/>
  <c r="I897" i="1"/>
  <c r="H897" i="1"/>
  <c r="I5934" i="1"/>
  <c r="H5934" i="1"/>
  <c r="I6494" i="1"/>
  <c r="H6494" i="1"/>
  <c r="I54" i="1"/>
  <c r="H54" i="1"/>
  <c r="I6739" i="1"/>
  <c r="H6739" i="1"/>
  <c r="I27" i="1"/>
  <c r="H27" i="1"/>
  <c r="I176" i="1"/>
  <c r="H176" i="1"/>
  <c r="I623" i="1"/>
  <c r="H623" i="1"/>
  <c r="I6821" i="1"/>
  <c r="H6821" i="1"/>
  <c r="I146" i="1"/>
  <c r="H146" i="1"/>
  <c r="I481" i="1"/>
  <c r="H481" i="1"/>
  <c r="I745" i="1"/>
  <c r="H745" i="1"/>
  <c r="I6948" i="1"/>
  <c r="H6948" i="1"/>
  <c r="I933" i="1"/>
  <c r="H933" i="1"/>
  <c r="I979" i="1"/>
  <c r="H979" i="1"/>
  <c r="I1252" i="1"/>
  <c r="H1252" i="1"/>
  <c r="I6465" i="1"/>
  <c r="H6465" i="1"/>
  <c r="I758" i="1"/>
  <c r="H758" i="1"/>
  <c r="I6711" i="1"/>
  <c r="H6711" i="1"/>
  <c r="I43" i="1"/>
  <c r="H43" i="1"/>
  <c r="I6952" i="1"/>
  <c r="H6952" i="1"/>
  <c r="I1157" i="1"/>
  <c r="H1157" i="1"/>
  <c r="I6152" i="1"/>
  <c r="H6152" i="1"/>
  <c r="I1354" i="1"/>
  <c r="H1354" i="1"/>
  <c r="I5924" i="1"/>
  <c r="H5924" i="1"/>
  <c r="I6100" i="1"/>
  <c r="H6100" i="1"/>
  <c r="I1049" i="1"/>
  <c r="H1049" i="1"/>
  <c r="I610" i="1"/>
  <c r="H610" i="1"/>
  <c r="I297" i="1"/>
  <c r="H297" i="1"/>
  <c r="I6238" i="1"/>
  <c r="H6238" i="1"/>
  <c r="I359" i="1"/>
  <c r="H359" i="1"/>
  <c r="I6765" i="1"/>
  <c r="H6765" i="1"/>
  <c r="I7030" i="1"/>
  <c r="H7030" i="1"/>
  <c r="I2157" i="1"/>
  <c r="H2157" i="1"/>
  <c r="I24" i="1"/>
  <c r="H24" i="1"/>
  <c r="I283" i="1"/>
  <c r="H283" i="1"/>
  <c r="I6559" i="1"/>
  <c r="H6559" i="1"/>
  <c r="I896" i="1"/>
  <c r="H896" i="1"/>
  <c r="I6788" i="1"/>
  <c r="H6788" i="1"/>
  <c r="I1182" i="1"/>
  <c r="H1182" i="1"/>
  <c r="I1227" i="1"/>
  <c r="H1227" i="1"/>
  <c r="I922" i="1"/>
  <c r="H922" i="1"/>
  <c r="I5725" i="1"/>
  <c r="H5725" i="1"/>
  <c r="I75" i="1"/>
  <c r="H75" i="1"/>
  <c r="I6954" i="1"/>
  <c r="H6954" i="1"/>
  <c r="I6848" i="1"/>
  <c r="H6848" i="1"/>
  <c r="I6957" i="1"/>
  <c r="H6957" i="1"/>
  <c r="I5835" i="1"/>
  <c r="H5835" i="1"/>
  <c r="I967" i="1"/>
  <c r="H967" i="1"/>
  <c r="I6143" i="1"/>
  <c r="H6143" i="1"/>
  <c r="I876" i="1"/>
  <c r="H876" i="1"/>
  <c r="I434" i="1"/>
  <c r="H434" i="1"/>
  <c r="I6673" i="1"/>
  <c r="H6673" i="1"/>
  <c r="I21" i="1"/>
  <c r="H21" i="1"/>
  <c r="I268" i="1"/>
  <c r="H268" i="1"/>
  <c r="I358" i="1"/>
  <c r="H358" i="1"/>
  <c r="I6617" i="1"/>
  <c r="H6617" i="1"/>
  <c r="I5790" i="1"/>
  <c r="H5790" i="1"/>
  <c r="I7011" i="1"/>
  <c r="H7011" i="1"/>
  <c r="I1525" i="1"/>
  <c r="H1525" i="1"/>
  <c r="I746" i="1"/>
  <c r="H746" i="1"/>
  <c r="I183" i="1"/>
  <c r="H183" i="1"/>
  <c r="I597" i="1"/>
  <c r="H597" i="1"/>
  <c r="I1691" i="1"/>
  <c r="H1691" i="1"/>
  <c r="I6578" i="1"/>
  <c r="H6578" i="1"/>
  <c r="I522" i="1"/>
  <c r="H522" i="1"/>
  <c r="I1081" i="1"/>
  <c r="H1081" i="1"/>
  <c r="I6881" i="1"/>
  <c r="H6881" i="1"/>
  <c r="I1742" i="1"/>
  <c r="H1742" i="1"/>
  <c r="I2252" i="1"/>
  <c r="H2252" i="1"/>
  <c r="I7028" i="1"/>
  <c r="H7028" i="1"/>
  <c r="I555" i="1"/>
  <c r="H555" i="1"/>
  <c r="I6555" i="1"/>
  <c r="H6555" i="1"/>
  <c r="I6943" i="1"/>
  <c r="H6943" i="1"/>
  <c r="I1381" i="1"/>
  <c r="H1381" i="1"/>
  <c r="I1488" i="1"/>
  <c r="H1488" i="1"/>
  <c r="I1175" i="1"/>
  <c r="H1175" i="1"/>
  <c r="I6016" i="1"/>
  <c r="H6016" i="1"/>
  <c r="I6917" i="1"/>
  <c r="H6917" i="1"/>
  <c r="I6818" i="1"/>
  <c r="H6818" i="1"/>
  <c r="I1054" i="1"/>
  <c r="H1054" i="1"/>
  <c r="I867" i="1"/>
  <c r="H867" i="1"/>
  <c r="I1048" i="1"/>
  <c r="H1048" i="1"/>
  <c r="I5935" i="1"/>
  <c r="H5935" i="1"/>
  <c r="I5717" i="1"/>
  <c r="H5717" i="1"/>
  <c r="I232" i="1"/>
  <c r="H232" i="1"/>
  <c r="I1717" i="1"/>
  <c r="H1717" i="1"/>
  <c r="I6831" i="1"/>
  <c r="H6831" i="1"/>
  <c r="I1053" i="1"/>
  <c r="H1053" i="1"/>
  <c r="I6844" i="1"/>
  <c r="H6844" i="1"/>
  <c r="I560" i="1"/>
  <c r="H560" i="1"/>
  <c r="I744" i="1"/>
  <c r="H744" i="1"/>
  <c r="I1031" i="1"/>
  <c r="H1031" i="1"/>
  <c r="I1099" i="1"/>
  <c r="H1099" i="1"/>
  <c r="I6809" i="1"/>
  <c r="H6809" i="1"/>
  <c r="I7023" i="1"/>
  <c r="H7023" i="1"/>
  <c r="I1427" i="1"/>
  <c r="H1427" i="1"/>
  <c r="I1153" i="1"/>
  <c r="H1153" i="1"/>
  <c r="I1306" i="1"/>
  <c r="H1306" i="1"/>
  <c r="I1140" i="1"/>
  <c r="H1140" i="1"/>
  <c r="I685" i="1"/>
  <c r="H685" i="1"/>
  <c r="I87" i="1"/>
  <c r="H87" i="1"/>
  <c r="I458" i="1"/>
  <c r="H458" i="1"/>
  <c r="I5405" i="1"/>
  <c r="H5405" i="1"/>
  <c r="I5509" i="1"/>
  <c r="H5509" i="1"/>
  <c r="I6884" i="1"/>
  <c r="H6884" i="1"/>
  <c r="I998" i="1"/>
  <c r="H998" i="1"/>
  <c r="I129" i="1"/>
  <c r="H129" i="1"/>
  <c r="I113" i="1"/>
  <c r="H113" i="1"/>
  <c r="I451" i="1"/>
  <c r="H451" i="1"/>
  <c r="I6717" i="1"/>
  <c r="H6717" i="1"/>
  <c r="I1234" i="1"/>
  <c r="H1234" i="1"/>
  <c r="I66" i="1"/>
  <c r="H66" i="1"/>
  <c r="I624" i="1"/>
  <c r="H624" i="1"/>
  <c r="I6834" i="1"/>
  <c r="H6834" i="1"/>
  <c r="I6601" i="1"/>
  <c r="H6601" i="1"/>
  <c r="I212" i="1"/>
  <c r="H212" i="1"/>
  <c r="I832" i="1"/>
  <c r="H832" i="1"/>
  <c r="I6551" i="1"/>
  <c r="H6551" i="1"/>
  <c r="I6760" i="1"/>
  <c r="H6760" i="1"/>
  <c r="I1330" i="1"/>
  <c r="H1330" i="1"/>
  <c r="I6877" i="1"/>
  <c r="H6877" i="1"/>
  <c r="I5768" i="1"/>
  <c r="H5768" i="1"/>
  <c r="I561" i="1"/>
  <c r="H561" i="1"/>
  <c r="I6843" i="1"/>
  <c r="H6843" i="1"/>
  <c r="I1196" i="1"/>
  <c r="H1196" i="1"/>
  <c r="I820" i="1"/>
  <c r="H820" i="1"/>
  <c r="I6767" i="1"/>
  <c r="H6767" i="1"/>
  <c r="I6037" i="1"/>
  <c r="H6037" i="1"/>
  <c r="I131" i="1"/>
  <c r="H131" i="1"/>
  <c r="I1062" i="1"/>
  <c r="H1062" i="1"/>
  <c r="I1270" i="1"/>
  <c r="H1270" i="1"/>
  <c r="I6904" i="1"/>
  <c r="H6904" i="1"/>
  <c r="I83" i="1"/>
  <c r="H83" i="1"/>
  <c r="I5957" i="1"/>
  <c r="H5957" i="1"/>
  <c r="I263" i="1"/>
  <c r="H263" i="1"/>
  <c r="I6569" i="1"/>
  <c r="H6569" i="1"/>
  <c r="I6867" i="1"/>
  <c r="H6867" i="1"/>
  <c r="I171" i="1"/>
  <c r="H171" i="1"/>
  <c r="I1266" i="1"/>
  <c r="H1266" i="1"/>
  <c r="I5890" i="1"/>
  <c r="H5890" i="1"/>
  <c r="I644" i="1"/>
  <c r="H644" i="1"/>
  <c r="I228" i="1"/>
  <c r="H228" i="1"/>
  <c r="I5804" i="1"/>
  <c r="H5804" i="1"/>
  <c r="I23" i="1"/>
  <c r="H23" i="1"/>
  <c r="I653" i="1"/>
  <c r="H653" i="1"/>
  <c r="I1061" i="1"/>
  <c r="H1061" i="1"/>
  <c r="I441" i="1"/>
  <c r="H441" i="1"/>
  <c r="I725" i="1"/>
  <c r="H725" i="1"/>
  <c r="I526" i="1"/>
  <c r="H526" i="1"/>
  <c r="I6616" i="1"/>
  <c r="H6616" i="1"/>
  <c r="I1687" i="1"/>
  <c r="H1687" i="1"/>
  <c r="I6383" i="1"/>
  <c r="H6383" i="1"/>
  <c r="I806" i="1"/>
  <c r="H806" i="1"/>
  <c r="I6824" i="1"/>
  <c r="H6824" i="1"/>
  <c r="I6306" i="1"/>
  <c r="H6306" i="1"/>
  <c r="I809" i="1"/>
  <c r="H809" i="1"/>
  <c r="I117" i="1"/>
  <c r="H117" i="1"/>
  <c r="I419" i="1"/>
  <c r="H419" i="1"/>
  <c r="I469" i="1"/>
  <c r="H469" i="1"/>
  <c r="I6852" i="1"/>
  <c r="H6852" i="1"/>
  <c r="I985" i="1"/>
  <c r="H985" i="1"/>
  <c r="I887" i="1"/>
  <c r="H887" i="1"/>
  <c r="I32" i="1"/>
  <c r="H32" i="1"/>
  <c r="I1074" i="1"/>
  <c r="H1074" i="1"/>
  <c r="I6377" i="1"/>
  <c r="H6377" i="1"/>
  <c r="I1278" i="1"/>
  <c r="H1278" i="1"/>
  <c r="I6929" i="1"/>
  <c r="H6929" i="1"/>
  <c r="I6990" i="1"/>
  <c r="H6990" i="1"/>
  <c r="I1336" i="1"/>
  <c r="H1336" i="1"/>
  <c r="I426" i="1"/>
  <c r="H426" i="1"/>
  <c r="I6243" i="1"/>
  <c r="H6243" i="1"/>
  <c r="I1402" i="1"/>
  <c r="H1402" i="1"/>
  <c r="I11" i="1"/>
  <c r="H11" i="1"/>
  <c r="I1251" i="1"/>
  <c r="H1251" i="1"/>
  <c r="I364" i="1"/>
  <c r="H364" i="1"/>
  <c r="I104" i="1"/>
  <c r="H104" i="1"/>
  <c r="I282" i="1"/>
  <c r="H282" i="1"/>
  <c r="I47" i="1"/>
  <c r="H47" i="1"/>
  <c r="I1047" i="1"/>
  <c r="H1047" i="1"/>
  <c r="I872" i="1"/>
  <c r="H872" i="1"/>
  <c r="I53" i="1"/>
  <c r="H53" i="1"/>
  <c r="I328" i="1"/>
  <c r="H328" i="1"/>
  <c r="I492" i="1"/>
  <c r="H492" i="1"/>
  <c r="I378" i="1"/>
  <c r="H378" i="1"/>
  <c r="I318" i="1"/>
  <c r="H318" i="1"/>
  <c r="I389" i="1"/>
  <c r="H389" i="1"/>
  <c r="I957" i="1"/>
  <c r="H957" i="1"/>
  <c r="I884" i="1"/>
  <c r="H884" i="1"/>
  <c r="I6466" i="1"/>
  <c r="H6466" i="1"/>
  <c r="I6890" i="1"/>
  <c r="H6890" i="1"/>
  <c r="I26" i="1"/>
  <c r="H26" i="1"/>
  <c r="I6695" i="1"/>
  <c r="H6695" i="1"/>
  <c r="I602" i="1"/>
  <c r="H602" i="1"/>
  <c r="I6323" i="1"/>
  <c r="H6323" i="1"/>
  <c r="I55" i="1"/>
  <c r="H55" i="1"/>
  <c r="I6873" i="1"/>
  <c r="H6873" i="1"/>
  <c r="I344" i="1"/>
  <c r="H344" i="1"/>
  <c r="I294" i="1"/>
  <c r="H294" i="1"/>
  <c r="I473" i="1"/>
  <c r="H473" i="1"/>
  <c r="I941" i="1"/>
  <c r="H941" i="1"/>
  <c r="I537" i="1"/>
  <c r="H537" i="1"/>
  <c r="I808" i="1"/>
  <c r="H808" i="1"/>
  <c r="I393" i="1"/>
  <c r="H393" i="1"/>
  <c r="I7022" i="1"/>
  <c r="H7022" i="1"/>
  <c r="I6500" i="1"/>
  <c r="H6500" i="1"/>
  <c r="I488" i="1"/>
  <c r="H488" i="1"/>
  <c r="I6621" i="1"/>
  <c r="H6621" i="1"/>
  <c r="I224" i="1"/>
  <c r="H224" i="1"/>
  <c r="I159" i="1"/>
  <c r="H159" i="1"/>
  <c r="I82" i="1"/>
  <c r="H82" i="1"/>
  <c r="I6178" i="1"/>
  <c r="H6178" i="1"/>
  <c r="I704" i="1"/>
  <c r="H704" i="1"/>
  <c r="I51" i="1"/>
  <c r="H51" i="1"/>
  <c r="I6908" i="1"/>
  <c r="H6908" i="1"/>
  <c r="I1166" i="1"/>
  <c r="H1166" i="1"/>
  <c r="I332" i="1"/>
  <c r="H332" i="1"/>
  <c r="I414" i="1"/>
  <c r="H414" i="1"/>
  <c r="I266" i="1"/>
  <c r="H266" i="1"/>
  <c r="I369" i="1"/>
  <c r="H369" i="1"/>
  <c r="I1257" i="1"/>
  <c r="H1257" i="1"/>
  <c r="I242" i="1"/>
  <c r="H242" i="1"/>
  <c r="I1224" i="1"/>
  <c r="H1224" i="1"/>
  <c r="I13" i="1"/>
  <c r="H13" i="1"/>
  <c r="I1159" i="1"/>
  <c r="H1159" i="1"/>
  <c r="I6718" i="1"/>
  <c r="H6718" i="1"/>
  <c r="I1002" i="1"/>
  <c r="H1002" i="1"/>
  <c r="I466" i="1"/>
  <c r="H466" i="1"/>
  <c r="I959" i="1"/>
  <c r="H959" i="1"/>
  <c r="I1444" i="1"/>
  <c r="H1444" i="1"/>
  <c r="I1021" i="1"/>
  <c r="H1021" i="1"/>
  <c r="I766" i="1"/>
  <c r="H766" i="1"/>
  <c r="I367" i="1"/>
  <c r="H367" i="1"/>
  <c r="I1207" i="1"/>
  <c r="H1207" i="1"/>
  <c r="I493" i="1"/>
  <c r="H493" i="1"/>
  <c r="I1623" i="1"/>
  <c r="H1623" i="1"/>
  <c r="I247" i="1"/>
  <c r="H247" i="1"/>
  <c r="I73" i="1"/>
  <c r="H73" i="1"/>
  <c r="I6433" i="1"/>
  <c r="H6433" i="1"/>
  <c r="I613" i="1"/>
  <c r="H613" i="1"/>
  <c r="I279" i="1"/>
  <c r="H279" i="1"/>
  <c r="I852" i="1"/>
  <c r="H852" i="1"/>
  <c r="I1079" i="1"/>
  <c r="H1079" i="1"/>
  <c r="I6764" i="1"/>
  <c r="H6764" i="1"/>
  <c r="I661" i="1"/>
  <c r="H661" i="1"/>
  <c r="I6962" i="1"/>
  <c r="H6962" i="1"/>
  <c r="I138" i="1"/>
  <c r="H138" i="1"/>
  <c r="I1417" i="1"/>
  <c r="H1417" i="1"/>
  <c r="I6845" i="1"/>
  <c r="H6845" i="1"/>
  <c r="I1035" i="1"/>
  <c r="H1035" i="1"/>
  <c r="I1382" i="1"/>
  <c r="H1382" i="1"/>
  <c r="I322" i="1"/>
  <c r="H322" i="1"/>
  <c r="I965" i="1"/>
  <c r="H965" i="1"/>
  <c r="I810" i="1"/>
  <c r="H810" i="1"/>
  <c r="I6924" i="1"/>
  <c r="H6924" i="1"/>
  <c r="I939" i="1"/>
  <c r="H939" i="1"/>
  <c r="I435" i="1"/>
  <c r="H435" i="1"/>
  <c r="I6508" i="1"/>
  <c r="H6508" i="1"/>
  <c r="I211" i="1"/>
  <c r="H211" i="1"/>
  <c r="I505" i="1"/>
  <c r="H505" i="1"/>
  <c r="I223" i="1"/>
  <c r="H223" i="1"/>
  <c r="I755" i="1"/>
  <c r="H755" i="1"/>
  <c r="I6650" i="1"/>
  <c r="H6650" i="1"/>
  <c r="I6347" i="1"/>
  <c r="H6347" i="1"/>
  <c r="I362" i="1"/>
  <c r="H362" i="1"/>
  <c r="I96" i="1"/>
  <c r="H96" i="1"/>
  <c r="I6792" i="1"/>
  <c r="H6792" i="1"/>
  <c r="I869" i="1"/>
  <c r="H869" i="1"/>
  <c r="I989" i="1"/>
  <c r="H989" i="1"/>
  <c r="I718" i="1"/>
  <c r="H718" i="1"/>
  <c r="I724" i="1"/>
  <c r="H724" i="1"/>
  <c r="I6337" i="1"/>
  <c r="H6337" i="1"/>
  <c r="I255" i="1"/>
  <c r="H255" i="1"/>
  <c r="I6866" i="1"/>
  <c r="H6866" i="1"/>
  <c r="I694" i="1"/>
  <c r="H694" i="1"/>
  <c r="I6182" i="1"/>
  <c r="H6182" i="1"/>
  <c r="I230" i="1"/>
  <c r="H230" i="1"/>
  <c r="I470" i="1"/>
  <c r="H470" i="1"/>
  <c r="I7031" i="1"/>
  <c r="H7031" i="1"/>
  <c r="I571" i="1"/>
  <c r="H571" i="1"/>
  <c r="I9" i="1"/>
  <c r="H9" i="1"/>
  <c r="I743" i="1"/>
  <c r="H743" i="1"/>
  <c r="I639" i="1"/>
  <c r="H639" i="1"/>
  <c r="I6509" i="1"/>
  <c r="H6509" i="1"/>
  <c r="I15" i="1"/>
  <c r="H15" i="1"/>
  <c r="I540" i="1"/>
  <c r="H540" i="1"/>
  <c r="I7027" i="1"/>
  <c r="H7027" i="1"/>
  <c r="I394" i="1"/>
  <c r="H394" i="1"/>
  <c r="I442" i="1"/>
  <c r="H442" i="1"/>
  <c r="I105" i="1"/>
  <c r="H105" i="1"/>
  <c r="I829" i="1"/>
  <c r="H829" i="1"/>
  <c r="I399" i="1"/>
  <c r="H399" i="1"/>
  <c r="I464" i="1"/>
  <c r="H464" i="1"/>
  <c r="I338" i="1"/>
  <c r="H338" i="1"/>
  <c r="I6950" i="1"/>
  <c r="H6950" i="1"/>
  <c r="I122" i="1"/>
  <c r="H122" i="1"/>
  <c r="I271" i="1"/>
  <c r="H271" i="1"/>
  <c r="I6935" i="1"/>
  <c r="H6935" i="1"/>
  <c r="I6910" i="1"/>
  <c r="H6910" i="1"/>
  <c r="I6885" i="1"/>
  <c r="H6885" i="1"/>
  <c r="I331" i="1"/>
  <c r="H331" i="1"/>
  <c r="I213" i="1"/>
  <c r="H213" i="1"/>
  <c r="I689" i="1"/>
  <c r="H689" i="1"/>
  <c r="I56" i="1"/>
  <c r="H56" i="1"/>
  <c r="I1304" i="1"/>
  <c r="H1304" i="1"/>
  <c r="I17" i="1"/>
  <c r="H17" i="1"/>
  <c r="I74" i="1"/>
  <c r="H74" i="1"/>
  <c r="I6554" i="1"/>
  <c r="H6554" i="1"/>
  <c r="I763" i="1"/>
  <c r="H763" i="1"/>
  <c r="I1165" i="1"/>
  <c r="H1165" i="1"/>
  <c r="I604" i="1"/>
  <c r="H604" i="1"/>
  <c r="I647" i="1"/>
  <c r="H647" i="1"/>
  <c r="I754" i="1"/>
  <c r="H754" i="1"/>
  <c r="I40" i="1"/>
  <c r="H40" i="1"/>
  <c r="I6900" i="1"/>
  <c r="H6900" i="1"/>
  <c r="I684" i="1"/>
  <c r="H684" i="1"/>
  <c r="I201" i="1"/>
  <c r="H201" i="1"/>
  <c r="I6492" i="1"/>
  <c r="H6492" i="1"/>
  <c r="I132" i="1"/>
  <c r="H132" i="1"/>
  <c r="I637" i="1"/>
  <c r="H637" i="1"/>
  <c r="I6586" i="1"/>
  <c r="H6586" i="1"/>
  <c r="I310" i="1"/>
  <c r="H310" i="1"/>
  <c r="I843" i="1"/>
  <c r="H843" i="1"/>
  <c r="I740" i="1"/>
  <c r="H740" i="1"/>
  <c r="I564" i="1"/>
  <c r="H564" i="1"/>
  <c r="I6921" i="1"/>
  <c r="H6921" i="1"/>
  <c r="I31" i="1"/>
  <c r="H31" i="1"/>
  <c r="I22" i="1"/>
  <c r="H22" i="1"/>
  <c r="I709" i="1"/>
  <c r="H709" i="1"/>
  <c r="I36" i="1"/>
  <c r="H36" i="1"/>
  <c r="I300" i="1"/>
  <c r="H300" i="1"/>
  <c r="I18" i="1"/>
  <c r="H18" i="1"/>
  <c r="I164" i="1"/>
  <c r="H164" i="1"/>
  <c r="I209" i="1"/>
  <c r="H209" i="1"/>
  <c r="I1090" i="1"/>
  <c r="H1090" i="1"/>
  <c r="I643" i="1"/>
  <c r="H643" i="1"/>
  <c r="I118" i="1"/>
  <c r="H118" i="1"/>
  <c r="I591" i="1"/>
  <c r="H591" i="1"/>
  <c r="I262" i="1"/>
  <c r="H262" i="1"/>
  <c r="I6685" i="1"/>
  <c r="H6685" i="1"/>
  <c r="I336" i="1"/>
  <c r="H336" i="1"/>
  <c r="I231" i="1"/>
  <c r="H231" i="1"/>
  <c r="I6510" i="1"/>
  <c r="H6510" i="1"/>
  <c r="I6495" i="1"/>
  <c r="H6495" i="1"/>
  <c r="I99" i="1"/>
  <c r="H99" i="1"/>
  <c r="I6187" i="1"/>
  <c r="H6187" i="1"/>
  <c r="I343" i="1"/>
  <c r="H343" i="1"/>
  <c r="I6577" i="1"/>
  <c r="H6577" i="1"/>
  <c r="I141" i="1"/>
  <c r="H141" i="1"/>
  <c r="I588" i="1"/>
  <c r="H588" i="1"/>
  <c r="I7013" i="1"/>
  <c r="H7013" i="1"/>
  <c r="I170" i="1"/>
  <c r="H170" i="1"/>
  <c r="I900" i="1"/>
  <c r="H900" i="1"/>
  <c r="I6847" i="1"/>
  <c r="H6847" i="1"/>
  <c r="I976" i="1"/>
  <c r="H976" i="1"/>
  <c r="I8" i="1"/>
  <c r="H8" i="1"/>
  <c r="I788" i="1"/>
  <c r="H788" i="1"/>
  <c r="I752" i="1"/>
  <c r="H752" i="1"/>
  <c r="I818" i="1"/>
  <c r="H818" i="1"/>
  <c r="I6538" i="1"/>
  <c r="H6538" i="1"/>
  <c r="I383" i="1"/>
  <c r="H383" i="1"/>
  <c r="I304" i="1"/>
  <c r="H304" i="1"/>
  <c r="I295" i="1"/>
  <c r="H295" i="1"/>
  <c r="I528" i="1"/>
  <c r="H528" i="1"/>
  <c r="I35" i="1"/>
  <c r="H35" i="1"/>
  <c r="I969" i="1"/>
  <c r="H969" i="1"/>
  <c r="I162" i="1"/>
  <c r="H162" i="1"/>
  <c r="I148" i="1"/>
  <c r="H148" i="1"/>
  <c r="I479" i="1"/>
  <c r="H479" i="1"/>
  <c r="I1439" i="1"/>
  <c r="H1439" i="1"/>
  <c r="I97" i="1"/>
  <c r="H97" i="1"/>
  <c r="I416" i="1"/>
  <c r="H416" i="1"/>
  <c r="I265" i="1"/>
  <c r="H265" i="1"/>
  <c r="I6686" i="1"/>
  <c r="H6686" i="1"/>
  <c r="I877" i="1"/>
  <c r="H877" i="1"/>
  <c r="I216" i="1"/>
  <c r="H216" i="1"/>
  <c r="I433" i="1"/>
  <c r="H433" i="1"/>
  <c r="I390" i="1"/>
  <c r="H390" i="1"/>
  <c r="I71" i="1"/>
  <c r="H71" i="1"/>
  <c r="I126" i="1"/>
  <c r="H126" i="1"/>
  <c r="I456" i="1"/>
  <c r="H456" i="1"/>
  <c r="I6722" i="1"/>
  <c r="H6722" i="1"/>
  <c r="I195" i="1"/>
  <c r="H195" i="1"/>
  <c r="I6683" i="1"/>
  <c r="H6683" i="1"/>
  <c r="I487" i="1"/>
  <c r="H487" i="1"/>
  <c r="I7007" i="1"/>
  <c r="H7007" i="1"/>
  <c r="I233" i="1"/>
  <c r="H233" i="1"/>
  <c r="I551" i="1"/>
  <c r="H551" i="1"/>
  <c r="I116" i="1"/>
  <c r="H116" i="1"/>
  <c r="I984" i="1"/>
  <c r="H984" i="1"/>
  <c r="I316" i="1"/>
  <c r="H316" i="1"/>
  <c r="I124" i="1"/>
  <c r="H124" i="1"/>
  <c r="I495" i="1"/>
  <c r="H495" i="1"/>
  <c r="I7006" i="1"/>
  <c r="H7006" i="1"/>
  <c r="I91" i="1"/>
  <c r="H91" i="1"/>
  <c r="I6987" i="1"/>
  <c r="H6987" i="1"/>
  <c r="I1088" i="1"/>
  <c r="H1088" i="1"/>
  <c r="I7015" i="1"/>
  <c r="H7015" i="1"/>
  <c r="I732" i="1"/>
  <c r="H732" i="1"/>
  <c r="I795" i="1"/>
  <c r="H795" i="1"/>
  <c r="I251" i="1"/>
  <c r="H251" i="1"/>
  <c r="I6912" i="1"/>
  <c r="H6912" i="1"/>
  <c r="I330" i="1"/>
  <c r="H330" i="1"/>
  <c r="I6983" i="1"/>
  <c r="H6983" i="1"/>
  <c r="I706" i="1"/>
  <c r="H706" i="1"/>
  <c r="I6901" i="1"/>
  <c r="H6901" i="1"/>
  <c r="I377" i="1"/>
  <c r="H377" i="1"/>
  <c r="I42" i="1"/>
  <c r="H42" i="1"/>
  <c r="I34" i="1"/>
  <c r="H34" i="1"/>
  <c r="I633" i="1"/>
  <c r="H633" i="1"/>
  <c r="I6995" i="1"/>
  <c r="H6995" i="1"/>
  <c r="I6635" i="1"/>
  <c r="H6635" i="1"/>
  <c r="I6520" i="1"/>
  <c r="H6520" i="1"/>
  <c r="I6665" i="1"/>
  <c r="H6665" i="1"/>
  <c r="I302" i="1"/>
  <c r="H302" i="1"/>
  <c r="I692" i="1"/>
  <c r="H692" i="1"/>
  <c r="I764" i="1"/>
  <c r="H764" i="1"/>
  <c r="I533" i="1"/>
  <c r="H533" i="1"/>
  <c r="I475" i="1"/>
  <c r="H475" i="1"/>
  <c r="I198" i="1"/>
  <c r="H198" i="1"/>
  <c r="I59" i="1"/>
  <c r="H59" i="1"/>
  <c r="I6871" i="1"/>
  <c r="H6871" i="1"/>
  <c r="I504" i="1"/>
  <c r="H504" i="1"/>
  <c r="I583" i="1"/>
  <c r="H583" i="1"/>
  <c r="I443" i="1"/>
  <c r="H443" i="1"/>
  <c r="I356" i="1"/>
  <c r="H356" i="1"/>
  <c r="I219" i="1"/>
  <c r="H219" i="1"/>
  <c r="I256" i="1"/>
  <c r="H256" i="1"/>
  <c r="I208" i="1"/>
  <c r="H208" i="1"/>
  <c r="I6676" i="1"/>
  <c r="H6676" i="1"/>
  <c r="I550" i="1"/>
  <c r="H550" i="1"/>
  <c r="I751" i="1"/>
  <c r="H751" i="1"/>
  <c r="I222" i="1"/>
  <c r="H222" i="1"/>
  <c r="I629" i="1"/>
  <c r="H629" i="1"/>
  <c r="I143" i="1"/>
  <c r="H143" i="1"/>
  <c r="I169" i="1"/>
  <c r="H169" i="1"/>
  <c r="I824" i="1"/>
  <c r="H824" i="1"/>
  <c r="I355" i="1"/>
  <c r="H355" i="1"/>
  <c r="I178" i="1"/>
  <c r="H178" i="1"/>
  <c r="I204" i="1"/>
  <c r="H204" i="1"/>
  <c r="I387" i="1"/>
  <c r="H387" i="1"/>
  <c r="I584" i="1"/>
  <c r="H584" i="1"/>
  <c r="I119" i="1"/>
  <c r="H119" i="1"/>
  <c r="I161" i="1"/>
  <c r="H161" i="1"/>
  <c r="I6958" i="1"/>
  <c r="H6958" i="1"/>
  <c r="I274" i="1"/>
  <c r="H274" i="1"/>
  <c r="I123" i="1"/>
  <c r="H123" i="1"/>
  <c r="I292" i="1"/>
  <c r="H292" i="1"/>
  <c r="I553" i="1"/>
  <c r="H553" i="1"/>
  <c r="I218" i="1"/>
  <c r="H218" i="1"/>
  <c r="I196" i="1"/>
  <c r="H196" i="1"/>
  <c r="I200" i="1"/>
  <c r="H200" i="1"/>
  <c r="I269" i="1"/>
  <c r="H269" i="1"/>
  <c r="I812" i="1"/>
  <c r="H812" i="1"/>
  <c r="I830" i="1"/>
  <c r="H830" i="1"/>
  <c r="I490" i="1"/>
  <c r="H490" i="1"/>
  <c r="I110" i="1"/>
  <c r="H110" i="1"/>
  <c r="I501" i="1"/>
  <c r="H501" i="1"/>
  <c r="I323" i="1"/>
  <c r="H323" i="1"/>
  <c r="I197" i="1"/>
  <c r="H197" i="1"/>
  <c r="I179" i="1"/>
  <c r="H179" i="1"/>
  <c r="I459" i="1"/>
  <c r="H459" i="1"/>
  <c r="I60" i="1"/>
  <c r="H60" i="1"/>
  <c r="I50" i="1"/>
  <c r="H50" i="1"/>
  <c r="I227" i="1"/>
  <c r="H227" i="1"/>
  <c r="I244" i="1"/>
  <c r="H244" i="1"/>
  <c r="I530" i="1"/>
  <c r="H530" i="1"/>
  <c r="I92" i="1"/>
  <c r="H92" i="1"/>
  <c r="I98" i="1"/>
  <c r="H98" i="1"/>
  <c r="I864" i="1"/>
  <c r="H864" i="1"/>
  <c r="I353" i="1"/>
  <c r="H353" i="1"/>
  <c r="I107" i="1"/>
  <c r="H107" i="1"/>
  <c r="I587" i="1"/>
  <c r="H587" i="1"/>
  <c r="I46" i="1"/>
  <c r="H46" i="1"/>
  <c r="I7025" i="1"/>
  <c r="H7025" i="1"/>
  <c r="I385" i="1"/>
  <c r="H385" i="1"/>
  <c r="I188" i="1"/>
  <c r="H188" i="1"/>
  <c r="I737" i="1"/>
  <c r="H737" i="1"/>
  <c r="I134" i="1"/>
  <c r="H134" i="1"/>
  <c r="I384" i="1"/>
  <c r="H384" i="1"/>
  <c r="I149" i="1"/>
  <c r="H149" i="1"/>
  <c r="I70" i="1"/>
  <c r="H70" i="1"/>
  <c r="I214" i="1"/>
  <c r="H214" i="1"/>
  <c r="I49" i="1"/>
  <c r="H49" i="1"/>
  <c r="I111" i="1"/>
  <c r="H111" i="1"/>
  <c r="I326" i="1"/>
  <c r="H32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8E6C1B-F545-416A-AAAD-9564DC98C770}" keepAlive="1" name="Query - AvsA_LPS 4 datasets" description="Connection to the 'AvsA_LPS 4 datasets' query in the workbook." type="5" refreshedVersion="7" background="1" saveData="1">
    <dbPr connection="Provider=Microsoft.Mashup.OleDb.1;Data Source=$Workbook$;Location=&quot;AvsA_LPS 4 datasets&quot;;Extended Properties=&quot;&quot;" command="SELECT * FROM [AvsA_LPS 4 datasets]"/>
  </connection>
  <connection id="2" xr16:uid="{B7ADD322-20C4-405A-9866-B0A420E8324A}" keepAlive="1" name="Query - treatment FC0,5 downregulated" description="Connection to the 'treatment FC0,5 downregulated' query in the workbook." type="5" refreshedVersion="7" background="1" saveData="1">
    <dbPr connection="Provider=Microsoft.Mashup.OleDb.1;Data Source=$Workbook$;Location=&quot;treatment FC0,5 downregulated&quot;;Extended Properties=&quot;&quot;" command="SELECT * FROM [treatment FC0,5 downregulated]"/>
  </connection>
  <connection id="3" xr16:uid="{E8E48F95-D929-4E06-B61D-D345E0D3B35F}" keepAlive="1" name="Query - treatment FC0,5 upregulated" description="Connection to the 'treatment FC0,5 upregulated' query in the workbook." type="5" refreshedVersion="7" background="1" saveData="1">
    <dbPr connection="Provider=Microsoft.Mashup.OleDb.1;Data Source=$Workbook$;Location=&quot;treatment FC0,5 upregulated&quot;;Extended Properties=&quot;&quot;" command="SELECT * FROM [treatment FC0,5 upregulated]"/>
  </connection>
</connections>
</file>

<file path=xl/sharedStrings.xml><?xml version="1.0" encoding="utf-8"?>
<sst xmlns="http://schemas.openxmlformats.org/spreadsheetml/2006/main" count="51797" uniqueCount="17464">
  <si>
    <t>baseMean</t>
  </si>
  <si>
    <t>log2FoldChange</t>
  </si>
  <si>
    <t>pvalue</t>
  </si>
  <si>
    <t>padj</t>
  </si>
  <si>
    <t>Gene name</t>
  </si>
  <si>
    <t>Gene description</t>
  </si>
  <si>
    <t>NCBI gene ID</t>
  </si>
  <si>
    <t>Ensembl ID</t>
  </si>
  <si>
    <t>MGI ID</t>
  </si>
  <si>
    <t>Type</t>
  </si>
  <si>
    <t>St3gal1</t>
  </si>
  <si>
    <t>ST3 beta-galactoside alpha-2,3-sialyltransferase 1 [Source:MGI Symbol;Acc:MGI:98304]</t>
  </si>
  <si>
    <t>protein_coding</t>
  </si>
  <si>
    <t>Ier3</t>
  </si>
  <si>
    <t>immediate early response 3 [Source:MGI Symbol;Acc:MGI:104814]</t>
  </si>
  <si>
    <t>Tarm1</t>
  </si>
  <si>
    <t>T cell-interacting, activating receptor on myeloid cells 1 [Source:MGI Symbol;Acc:MGI:2442280]</t>
  </si>
  <si>
    <t>Slc11a2</t>
  </si>
  <si>
    <t>solute carrier family 11 (proton-coupled divalent metal ion transporters), member 2 [Source:MGI Symbol;Acc:MGI:1345279]</t>
  </si>
  <si>
    <t>Ccl3</t>
  </si>
  <si>
    <t>chemokine (C-C motif) ligand 3 [Source:MGI Symbol;Acc:MGI:98260]</t>
  </si>
  <si>
    <t>Ehd1</t>
  </si>
  <si>
    <t>EH-domain containing 1 [Source:MGI Symbol;Acc:MGI:1341878]</t>
  </si>
  <si>
    <t>Pik3r5</t>
  </si>
  <si>
    <t>phosphoinositide-3-kinase regulatory subunit 5 [Source:MGI Symbol;Acc:MGI:2443588]</t>
  </si>
  <si>
    <t>Nfkbiz</t>
  </si>
  <si>
    <t>nuclear factor of kappa light polypeptide gene enhancer in B cells inhibitor, zeta [Source:MGI Symbol;Acc:MGI:1931595]</t>
  </si>
  <si>
    <t>Adam17</t>
  </si>
  <si>
    <t>a disintegrin and metallopeptidase domain 17 [Source:MGI Symbol;Acc:MGI:1096335]</t>
  </si>
  <si>
    <t>Aoah</t>
  </si>
  <si>
    <t>acyloxyacyl hydrolase [Source:MGI Symbol;Acc:MGI:1350928]</t>
  </si>
  <si>
    <t>Sod2</t>
  </si>
  <si>
    <t>superoxide dismutase 2, mitochondrial [Source:MGI Symbol;Acc:MGI:98352]</t>
  </si>
  <si>
    <t>St6gal1</t>
  </si>
  <si>
    <t>beta galactoside alpha 2,6 sialyltransferase 1 [Source:MGI Symbol;Acc:MGI:108470]</t>
  </si>
  <si>
    <t>Gpr84</t>
  </si>
  <si>
    <t>G protein-coupled receptor 84 [Source:MGI Symbol;Acc:MGI:1934129]</t>
  </si>
  <si>
    <t>Riox2</t>
  </si>
  <si>
    <t>ribosomal oxygenase 2 [Source:MGI Symbol;Acc:MGI:1914264]</t>
  </si>
  <si>
    <t>Helz2</t>
  </si>
  <si>
    <t>helicase with zinc finger 2, transcriptional coactivator [Source:MGI Symbol;Acc:MGI:2385169]</t>
  </si>
  <si>
    <t>Rhbdf2</t>
  </si>
  <si>
    <t>rhomboid 5 homolog 2 [Source:MGI Symbol;Acc:MGI:2442473]</t>
  </si>
  <si>
    <t>Msn</t>
  </si>
  <si>
    <t>moesin [Source:MGI Symbol;Acc:MGI:97167]</t>
  </si>
  <si>
    <t>Tnfaip3</t>
  </si>
  <si>
    <t>tumor necrosis factor, alpha-induced protein 3 [Source:MGI Symbol;Acc:MGI:1196377]</t>
  </si>
  <si>
    <t>Oasl1</t>
  </si>
  <si>
    <t>2'-5' oligoadenylate synthetase-like 1 [Source:MGI Symbol;Acc:MGI:2180849]</t>
  </si>
  <si>
    <t>Lrrc8d</t>
  </si>
  <si>
    <t>leucine rich repeat containing 8D [Source:MGI Symbol;Acc:MGI:1922368]</t>
  </si>
  <si>
    <t>Zc3h12c</t>
  </si>
  <si>
    <t>zinc finger CCCH type containing 12C [Source:MGI Symbol;Acc:MGI:3026959]</t>
  </si>
  <si>
    <t>Ifi207</t>
  </si>
  <si>
    <t>interferon activated gene 207 [Source:MGI Symbol;Acc:MGI:2138302]</t>
  </si>
  <si>
    <t>Ptgs2</t>
  </si>
  <si>
    <t>prostaglandin-endoperoxide synthase 2 [Source:MGI Symbol;Acc:MGI:97798]</t>
  </si>
  <si>
    <t>Slfn2</t>
  </si>
  <si>
    <t>schlafen 2 [Source:MGI Symbol;Acc:MGI:1313258]</t>
  </si>
  <si>
    <t>Tank</t>
  </si>
  <si>
    <t>TRAF family member-associated Nf-kappa B activator [Source:MGI Symbol;Acc:MGI:107676]</t>
  </si>
  <si>
    <t>Ampd3</t>
  </si>
  <si>
    <t>adenosine monophosphate deaminase 3 [Source:MGI Symbol;Acc:MGI:1096344]</t>
  </si>
  <si>
    <t>Nlrp3</t>
  </si>
  <si>
    <t>NLR family, pyrin domain containing 3 [Source:MGI Symbol;Acc:MGI:2653833]</t>
  </si>
  <si>
    <t>Pip5k1b</t>
  </si>
  <si>
    <t>phosphatidylinositol-4-phosphate 5-kinase, type 1 beta [Source:MGI Symbol;Acc:MGI:107930]</t>
  </si>
  <si>
    <t>Cpeb4</t>
  </si>
  <si>
    <t>cytoplasmic polyadenylation element binding protein 4 [Source:MGI Symbol;Acc:MGI:1914829]</t>
  </si>
  <si>
    <t>Plk2</t>
  </si>
  <si>
    <t>polo like kinase 2 [Source:MGI Symbol;Acc:MGI:1099790]</t>
  </si>
  <si>
    <t>Ezr</t>
  </si>
  <si>
    <t>ezrin [Source:MGI Symbol;Acc:MGI:98931]</t>
  </si>
  <si>
    <t>Zc3hav1</t>
  </si>
  <si>
    <t>zinc finger CCCH type, antiviral 1 [Source:MGI Symbol;Acc:MGI:1926031]</t>
  </si>
  <si>
    <t>Igf2bp2</t>
  </si>
  <si>
    <t>insulin-like growth factor 2 mRNA binding protein 2 [Source:MGI Symbol;Acc:MGI:1890358]</t>
  </si>
  <si>
    <t>Plpp1</t>
  </si>
  <si>
    <t>phospholipid phosphatase 1 [Source:MGI Symbol;Acc:MGI:108412]</t>
  </si>
  <si>
    <t>Rab11fip1</t>
  </si>
  <si>
    <t>RAB11 family interacting protein 1 (class I) [Source:MGI Symbol;Acc:MGI:1923017]</t>
  </si>
  <si>
    <t>Gm49339</t>
  </si>
  <si>
    <t>predicted gene, 49339 [Source:MGI Symbol;Acc:MGI:6121530]</t>
  </si>
  <si>
    <t>---</t>
  </si>
  <si>
    <t>Lilrb4a</t>
  </si>
  <si>
    <t>leukocyte immunoglobulin-like receptor, subfamily B, member 4A [Source:MGI Symbol;Acc:MGI:102701]</t>
  </si>
  <si>
    <t>Nadk</t>
  </si>
  <si>
    <t>NAD kinase [Source:MGI Symbol;Acc:MGI:2183149]</t>
  </si>
  <si>
    <t>Rassf4</t>
  </si>
  <si>
    <t>Ras association (RalGDS/AF-6) domain family member 4 [Source:MGI Symbol;Acc:MGI:2386853]</t>
  </si>
  <si>
    <t>Lrrc25</t>
  </si>
  <si>
    <t>leucine rich repeat containing 25 [Source:MGI Symbol;Acc:MGI:2445284]</t>
  </si>
  <si>
    <t>Cflar</t>
  </si>
  <si>
    <t>CASP8 and FADD-like apoptosis regulator [Source:MGI Symbol;Acc:MGI:1336166]</t>
  </si>
  <si>
    <t>Pald1</t>
  </si>
  <si>
    <t>phosphatase domain containing, paladin 1 [Source:MGI Symbol;Acc:MGI:1351623]</t>
  </si>
  <si>
    <t>Calcrl</t>
  </si>
  <si>
    <t>calcitonin receptor-like [Source:MGI Symbol;Acc:MGI:1926944]</t>
  </si>
  <si>
    <t>Irgm1</t>
  </si>
  <si>
    <t>immunity-related GTPase family M member 1 [Source:MGI Symbol;Acc:MGI:107567]</t>
  </si>
  <si>
    <t>Slc4a7</t>
  </si>
  <si>
    <t>solute carrier family 4, sodium bicarbonate cotransporter, member 7 [Source:MGI Symbol;Acc:MGI:2443878]</t>
  </si>
  <si>
    <t>Nfkb1</t>
  </si>
  <si>
    <t>nuclear factor of kappa light polypeptide gene enhancer in B cells 1, p105 [Source:MGI Symbol;Acc:MGI:97312]</t>
  </si>
  <si>
    <t>Tor3a</t>
  </si>
  <si>
    <t>torsin family 3, member A [Source:MGI Symbol;Acc:MGI:1353652]</t>
  </si>
  <si>
    <t>Cybb</t>
  </si>
  <si>
    <t>cytochrome b-245, beta polypeptide [Source:MGI Symbol;Acc:MGI:88574]</t>
  </si>
  <si>
    <t>Dusp16</t>
  </si>
  <si>
    <t>dual specificity phosphatase 16 [Source:MGI Symbol;Acc:MGI:1917936]</t>
  </si>
  <si>
    <t>Abcc1</t>
  </si>
  <si>
    <t>ATP-binding cassette, sub-family C (CFTR/MRP), member 1 [Source:MGI Symbol;Acc:MGI:102676]</t>
  </si>
  <si>
    <t>Fam49a</t>
  </si>
  <si>
    <t>family with sequence similarity 49, member A [Source:MGI Symbol;Acc:MGI:1261783]</t>
  </si>
  <si>
    <t>Zc3h12a</t>
  </si>
  <si>
    <t>zinc finger CCCH type containing 12A [Source:MGI Symbol;Acc:MGI:2385891]</t>
  </si>
  <si>
    <t>Slc16a10</t>
  </si>
  <si>
    <t>solute carrier family 16 (monocarboxylic acid transporters), member 10 [Source:MGI Symbol;Acc:MGI:1919722]</t>
  </si>
  <si>
    <t>Irak3</t>
  </si>
  <si>
    <t>interleukin-1 receptor-associated kinase 3 [Source:MGI Symbol;Acc:MGI:1921164]</t>
  </si>
  <si>
    <t>Camk2d</t>
  </si>
  <si>
    <t>calcium/calmodulin-dependent protein kinase II, delta [Source:MGI Symbol;Acc:MGI:1341265]</t>
  </si>
  <si>
    <t>Plekhm3</t>
  </si>
  <si>
    <t>pleckstrin homology domain containing, family M, member 3 [Source:MGI Symbol;Acc:MGI:2443627]</t>
  </si>
  <si>
    <t>Rassf2</t>
  </si>
  <si>
    <t>Ras association (RalGDS/AF-6) domain family member 2 [Source:MGI Symbol;Acc:MGI:2442060]</t>
  </si>
  <si>
    <t>Parp9</t>
  </si>
  <si>
    <t>poly (ADP-ribose) polymerase family, member 9 [Source:MGI Symbol;Acc:MGI:1933117]</t>
  </si>
  <si>
    <t>Rapgef2</t>
  </si>
  <si>
    <t>Rap guanine nucleotide exchange factor (GEF) 2 [Source:MGI Symbol;Acc:MGI:2659071]</t>
  </si>
  <si>
    <t>Slc2a6</t>
  </si>
  <si>
    <t>solute carrier family 2 (facilitated glucose transporter), member 6 [Source:MGI Symbol;Acc:MGI:2443286]</t>
  </si>
  <si>
    <t>Rab20</t>
  </si>
  <si>
    <t>RAB20, member RAS oncogene family [Source:MGI Symbol;Acc:MGI:102789]</t>
  </si>
  <si>
    <t>Mcoln2</t>
  </si>
  <si>
    <t>mucolipin 2 [Source:MGI Symbol;Acc:MGI:1915529]</t>
  </si>
  <si>
    <t>Adar</t>
  </si>
  <si>
    <t>adenosine deaminase, RNA-specific [Source:MGI Symbol;Acc:MGI:1889575]</t>
  </si>
  <si>
    <t>Ets2</t>
  </si>
  <si>
    <t>E26 avian leukemia oncogene 2, 3' domain [Source:MGI Symbol;Acc:MGI:95456]</t>
  </si>
  <si>
    <t>Cdk19</t>
  </si>
  <si>
    <t>cyclin-dependent kinase 19 [Source:MGI Symbol;Acc:MGI:1925584]</t>
  </si>
  <si>
    <t>Tnf</t>
  </si>
  <si>
    <t>tumor necrosis factor [Source:MGI Symbol;Acc:MGI:104798]</t>
  </si>
  <si>
    <t>Marcksl1</t>
  </si>
  <si>
    <t>MARCKS-like 1 [Source:MGI Symbol;Acc:MGI:97143]</t>
  </si>
  <si>
    <t>Ptprj</t>
  </si>
  <si>
    <t>protein tyrosine phosphatase, receptor type, J [Source:MGI Symbol;Acc:MGI:104574]</t>
  </si>
  <si>
    <t>C9orf72</t>
  </si>
  <si>
    <t>C9orf72, member of C9orf72-SMCR8 complex [Source:MGI Symbol;Acc:MGI:1920455]</t>
  </si>
  <si>
    <t>Itpripl2</t>
  </si>
  <si>
    <t>inositol 1,4,5-triphosphate receptor interacting protein-like 2 [Source:MGI Symbol;Acc:MGI:2442416]</t>
  </si>
  <si>
    <t>Ptk2b</t>
  </si>
  <si>
    <t>PTK2 protein tyrosine kinase 2 beta [Source:MGI Symbol;Acc:MGI:104908]</t>
  </si>
  <si>
    <t>Serpinb9</t>
  </si>
  <si>
    <t>serine (or cysteine) peptidase inhibitor, clade B, member 9 [Source:MGI Symbol;Acc:MGI:106603]</t>
  </si>
  <si>
    <t>Mvb12b</t>
  </si>
  <si>
    <t>multivesicular body subunit 12B [Source:MGI Symbol;Acc:MGI:1919793]</t>
  </si>
  <si>
    <t>Haus4</t>
  </si>
  <si>
    <t>HAUS augmin-like complex, subunit 4 [Source:MGI Symbol;Acc:MGI:1261794]</t>
  </si>
  <si>
    <t>Msh2</t>
  </si>
  <si>
    <t>mutS homolog 2 [Source:MGI Symbol;Acc:MGI:101816]</t>
  </si>
  <si>
    <t>Rasgrp3</t>
  </si>
  <si>
    <t>RAS, guanyl releasing protein 3 [Source:MGI Symbol;Acc:MGI:3028579]</t>
  </si>
  <si>
    <t>Txnrd1</t>
  </si>
  <si>
    <t>thioredoxin reductase 1 [Source:MGI Symbol;Acc:MGI:1354175]</t>
  </si>
  <si>
    <t>Cdc42ep2</t>
  </si>
  <si>
    <t>CDC42 effector protein (Rho GTPase binding) 2 [Source:MGI Symbol;Acc:MGI:1929744]</t>
  </si>
  <si>
    <t>H2-T24</t>
  </si>
  <si>
    <t>histocompatibility 2, T region locus 24 [Source:MGI Symbol;Acc:MGI:95958]</t>
  </si>
  <si>
    <t>Atf3</t>
  </si>
  <si>
    <t>activating transcription factor 3 [Source:MGI Symbol;Acc:MGI:109384]</t>
  </si>
  <si>
    <t>2900026A02Rik</t>
  </si>
  <si>
    <t>RIKEN cDNA 2900026A02 gene [Source:MGI Symbol;Acc:MGI:1920194]</t>
  </si>
  <si>
    <t>Fam53c</t>
  </si>
  <si>
    <t>family with sequence similarity 53, member C [Source:MGI Symbol;Acc:MGI:1913556]</t>
  </si>
  <si>
    <t>Cytip</t>
  </si>
  <si>
    <t>cytohesin 1 interacting protein [Source:MGI Symbol;Acc:MGI:2183535]</t>
  </si>
  <si>
    <t>Mdm2</t>
  </si>
  <si>
    <t>transformed mouse 3T3 cell double minute 2 [Source:MGI Symbol;Acc:MGI:96952]</t>
  </si>
  <si>
    <t>Arhgap45</t>
  </si>
  <si>
    <t>Rho GTPase activating protein 45 [Source:MGI Symbol;Acc:MGI:1917969]</t>
  </si>
  <si>
    <t>Irf9</t>
  </si>
  <si>
    <t>interferon regulatory factor 9 [Source:MGI Symbol;Acc:MGI:107587]</t>
  </si>
  <si>
    <t>Aff1</t>
  </si>
  <si>
    <t>AF4/FMR2 family, member 1 [Source:MGI Symbol;Acc:MGI:1100819]</t>
  </si>
  <si>
    <t>Lgals8</t>
  </si>
  <si>
    <t>lectin, galactose binding, soluble 8 [Source:MGI Symbol;Acc:MGI:1928481]</t>
  </si>
  <si>
    <t>Klhl6</t>
  </si>
  <si>
    <t>kelch-like 6 [Source:MGI Symbol;Acc:MGI:2686922]</t>
  </si>
  <si>
    <t>Mcl1</t>
  </si>
  <si>
    <t>myeloid cell leukemia sequence 1 [Source:MGI Symbol;Acc:MGI:101769]</t>
  </si>
  <si>
    <t>Zfp395</t>
  </si>
  <si>
    <t>zinc finger protein 395 [Source:MGI Symbol;Acc:MGI:2682318]</t>
  </si>
  <si>
    <t>Nod2</t>
  </si>
  <si>
    <t>nucleotide-binding oligomerization domain containing 2 [Source:MGI Symbol;Acc:MGI:2429397]</t>
  </si>
  <si>
    <t>Cxcr4</t>
  </si>
  <si>
    <t>chemokine (C-X-C motif) receptor 4 [Source:MGI Symbol;Acc:MGI:109563]</t>
  </si>
  <si>
    <t>Mapkapk2</t>
  </si>
  <si>
    <t>MAP kinase-activated protein kinase 2 [Source:MGI Symbol;Acc:MGI:109298]</t>
  </si>
  <si>
    <t>Tnfrsf8</t>
  </si>
  <si>
    <t>tumor necrosis factor receptor superfamily, member 8 [Source:MGI Symbol;Acc:MGI:99908]</t>
  </si>
  <si>
    <t>Adhfe1</t>
  </si>
  <si>
    <t>alcohol dehydrogenase, iron containing, 1 [Source:MGI Symbol;Acc:MGI:1923437]</t>
  </si>
  <si>
    <t>Gpd2</t>
  </si>
  <si>
    <t>glycerol phosphate dehydrogenase 2, mitochondrial [Source:MGI Symbol;Acc:MGI:99778]</t>
  </si>
  <si>
    <t>Oas3</t>
  </si>
  <si>
    <t>2'-5' oligoadenylate synthetase 3 [Source:MGI Symbol;Acc:MGI:2180850]</t>
  </si>
  <si>
    <t>Vasp</t>
  </si>
  <si>
    <t>vasodilator-stimulated phosphoprotein [Source:MGI Symbol;Acc:MGI:109268]</t>
  </si>
  <si>
    <t>Pim1</t>
  </si>
  <si>
    <t>proviral integration site 1 [Source:MGI Symbol;Acc:MGI:97584]</t>
  </si>
  <si>
    <t>Sesn1</t>
  </si>
  <si>
    <t>sestrin 1 [Source:MGI Symbol;Acc:MGI:2155278]</t>
  </si>
  <si>
    <t>Ell2</t>
  </si>
  <si>
    <t>elongation factor RNA polymerase II 2 [Source:MGI Symbol;Acc:MGI:2183438]</t>
  </si>
  <si>
    <t>Hip1</t>
  </si>
  <si>
    <t>huntingtin interacting protein 1 [Source:MGI Symbol;Acc:MGI:1099804]</t>
  </si>
  <si>
    <t>Ikbke</t>
  </si>
  <si>
    <t>inhibitor of kappaB kinase epsilon [Source:MGI Symbol;Acc:MGI:1929612]</t>
  </si>
  <si>
    <t>Tbc1d4</t>
  </si>
  <si>
    <t>TBC1 domain family, member 4 [Source:MGI Symbol;Acc:MGI:2429660]</t>
  </si>
  <si>
    <t>Slc2a1</t>
  </si>
  <si>
    <t>solute carrier family 2 (facilitated glucose transporter), member 1 [Source:MGI Symbol;Acc:MGI:95755]</t>
  </si>
  <si>
    <t>Casp4</t>
  </si>
  <si>
    <t>caspase 4, apoptosis-related cysteine peptidase [Source:MGI Symbol;Acc:MGI:107700]</t>
  </si>
  <si>
    <t>Slfn8</t>
  </si>
  <si>
    <t>schlafen 8 [Source:MGI Symbol;Acc:MGI:2672859]</t>
  </si>
  <si>
    <t>Tpm4</t>
  </si>
  <si>
    <t>tropomyosin 4 [Source:MGI Symbol;Acc:MGI:2449202]</t>
  </si>
  <si>
    <t>Rhoq</t>
  </si>
  <si>
    <t>ras homolog family member Q [Source:MGI Symbol;Acc:MGI:1931553]</t>
  </si>
  <si>
    <t>H2-Q4</t>
  </si>
  <si>
    <t>histocompatibility 2, Q region locus 4 [Source:MGI Symbol;Acc:MGI:95933]</t>
  </si>
  <si>
    <t>Ppp4r2</t>
  </si>
  <si>
    <t>protein phosphatase 4, regulatory subunit 2 [Source:MGI Symbol;Acc:MGI:3027896]</t>
  </si>
  <si>
    <t>Pgap1</t>
  </si>
  <si>
    <t>post-GPI attachment to proteins 1 [Source:MGI Symbol;Acc:MGI:2443342]</t>
  </si>
  <si>
    <t>Tnip1</t>
  </si>
  <si>
    <t>TNFAIP3 interacting protein 1 [Source:MGI Symbol;Acc:MGI:1926194]</t>
  </si>
  <si>
    <t>Rnf19b</t>
  </si>
  <si>
    <t>ring finger protein 19B [Source:MGI Symbol;Acc:MGI:1922484]</t>
  </si>
  <si>
    <t>Pde4b</t>
  </si>
  <si>
    <t>phosphodiesterase 4B, cAMP specific [Source:MGI Symbol;Acc:MGI:99557]</t>
  </si>
  <si>
    <t>Ppp2r2a</t>
  </si>
  <si>
    <t>protein phosphatase 2, regulatory subunit B, alpha [Source:MGI Symbol;Acc:MGI:1919228]</t>
  </si>
  <si>
    <t>Dusp2</t>
  </si>
  <si>
    <t>dual specificity phosphatase 2 [Source:MGI Symbol;Acc:MGI:101911]</t>
  </si>
  <si>
    <t>C3</t>
  </si>
  <si>
    <t>complement component 3 [Source:MGI Symbol;Acc:MGI:88227]</t>
  </si>
  <si>
    <t>Slc15a3</t>
  </si>
  <si>
    <t>solute carrier family 15, member 3 [Source:MGI Symbol;Acc:MGI:1929691]</t>
  </si>
  <si>
    <t>Eaf1</t>
  </si>
  <si>
    <t>ELL associated factor 1 [Source:MGI Symbol;Acc:MGI:1921677]</t>
  </si>
  <si>
    <t>Ccl4</t>
  </si>
  <si>
    <t>chemokine (C-C motif) ligand 4 [Source:MGI Symbol;Acc:MGI:98261]</t>
  </si>
  <si>
    <t>Psmd10</t>
  </si>
  <si>
    <t>proteasome (prosome, macropain) 26S subunit, non-ATPase, 10 [Source:MGI Symbol;Acc:MGI:1858898]</t>
  </si>
  <si>
    <t>Parp10</t>
  </si>
  <si>
    <t>poly (ADP-ribose) polymerase family, member 10 [Source:MGI Symbol;Acc:MGI:3712326]</t>
  </si>
  <si>
    <t>Dtx3l</t>
  </si>
  <si>
    <t>deltex 3-like, E3 ubiquitin ligase [Source:MGI Symbol;Acc:MGI:2656973]</t>
  </si>
  <si>
    <t>Syk</t>
  </si>
  <si>
    <t>spleen tyrosine kinase [Source:MGI Symbol;Acc:MGI:99515]</t>
  </si>
  <si>
    <t>Cbx6</t>
  </si>
  <si>
    <t>chromobox 6 [Source:MGI Symbol;Acc:MGI:3512628]</t>
  </si>
  <si>
    <t>Cul1</t>
  </si>
  <si>
    <t>cullin 1 [Source:MGI Symbol;Acc:MGI:1349658]</t>
  </si>
  <si>
    <t>Rsbn1</t>
  </si>
  <si>
    <t>rosbin, round spermatid basic protein 1 [Source:MGI Symbol;Acc:MGI:2444993]</t>
  </si>
  <si>
    <t>Mafk</t>
  </si>
  <si>
    <t>v-maf musculoaponeurotic fibrosarcoma oncogene family, protein K (avian) [Source:MGI Symbol;Acc:MGI:99951]</t>
  </si>
  <si>
    <t>Csf3</t>
  </si>
  <si>
    <t>colony stimulating factor 3 (granulocyte) [Source:MGI Symbol;Acc:MGI:1339751]</t>
  </si>
  <si>
    <t>Plagl2</t>
  </si>
  <si>
    <t>pleiomorphic adenoma gene-like 2 [Source:MGI Symbol;Acc:MGI:1933165]</t>
  </si>
  <si>
    <t>Rbl2</t>
  </si>
  <si>
    <t>RB transcriptional corepressor like 2 [Source:MGI Symbol;Acc:MGI:105085]</t>
  </si>
  <si>
    <t>Ppfia1</t>
  </si>
  <si>
    <t>protein tyrosine phosphatase, receptor type, f polypeptide (PTPRF), interacting protein (liprin), alpha 1 [Source:MGI Symbol;Acc:MGI:1924750]</t>
  </si>
  <si>
    <t>Phf11d</t>
  </si>
  <si>
    <t>PHD finger protein 11D [Source:MGI Symbol;Acc:MGI:1277133]</t>
  </si>
  <si>
    <t>Mertk</t>
  </si>
  <si>
    <t>MER proto-oncogene tyrosine kinase [Source:MGI Symbol;Acc:MGI:96965]</t>
  </si>
  <si>
    <t>Tet2</t>
  </si>
  <si>
    <t>tet methylcytosine dioxygenase 2 [Source:MGI Symbol;Acc:MGI:2443298]</t>
  </si>
  <si>
    <t>Gch1</t>
  </si>
  <si>
    <t>GTP cyclohydrolase 1 [Source:MGI Symbol;Acc:MGI:95675]</t>
  </si>
  <si>
    <t>Nfatc2</t>
  </si>
  <si>
    <t>nuclear factor of activated T cells, cytoplasmic, calcineurin dependent 2 [Source:MGI Symbol;Acc:MGI:102463]</t>
  </si>
  <si>
    <t>Irak2</t>
  </si>
  <si>
    <t>interleukin-1 receptor-associated kinase 2 [Source:MGI Symbol;Acc:MGI:2429603]</t>
  </si>
  <si>
    <t>Lrp5</t>
  </si>
  <si>
    <t>low density lipoprotein receptor-related protein 5 [Source:MGI Symbol;Acc:MGI:1278315]</t>
  </si>
  <si>
    <t>Treml4</t>
  </si>
  <si>
    <t>triggering receptor expressed on myeloid cells-like 4 [Source:MGI Symbol;Acc:MGI:1923239]</t>
  </si>
  <si>
    <t>Gna12</t>
  </si>
  <si>
    <t>guanine nucleotide binding protein, alpha 12 [Source:MGI Symbol;Acc:MGI:95767]</t>
  </si>
  <si>
    <t>Rmnd5a</t>
  </si>
  <si>
    <t>required for meiotic nuclear division 5 homolog A [Source:MGI Symbol;Acc:MGI:1915727]</t>
  </si>
  <si>
    <t>Itga5</t>
  </si>
  <si>
    <t>integrin alpha 5 (fibronectin receptor alpha) [Source:MGI Symbol;Acc:MGI:96604]</t>
  </si>
  <si>
    <t>Parp12</t>
  </si>
  <si>
    <t>poly (ADP-ribose) polymerase family, member 12 [Source:MGI Symbol;Acc:MGI:2143990]</t>
  </si>
  <si>
    <t>Ripor1</t>
  </si>
  <si>
    <t>RHO family interacting cell polarization regulator 1 [Source:MGI Symbol;Acc:MGI:1922937]</t>
  </si>
  <si>
    <t>Trex1</t>
  </si>
  <si>
    <t>three prime repair exonuclease 1 [Source:MGI Symbol;Acc:MGI:1328317]</t>
  </si>
  <si>
    <t>Dusp4</t>
  </si>
  <si>
    <t>dual specificity phosphatase 4 [Source:MGI Symbol;Acc:MGI:2442191]</t>
  </si>
  <si>
    <t>Creb5</t>
  </si>
  <si>
    <t>cAMP responsive element binding protein 5 [Source:MGI Symbol;Acc:MGI:2443973]</t>
  </si>
  <si>
    <t>Hcls1</t>
  </si>
  <si>
    <t>hematopoietic cell specific Lyn substrate 1 [Source:MGI Symbol;Acc:MGI:104568]</t>
  </si>
  <si>
    <t>Tiparp</t>
  </si>
  <si>
    <t>TCDD-inducible poly(ADP-ribose) polymerase [Source:MGI Symbol;Acc:MGI:2159210]</t>
  </si>
  <si>
    <t>Tnfrsf1b</t>
  </si>
  <si>
    <t>tumor necrosis factor receptor superfamily, member 1b [Source:MGI Symbol;Acc:MGI:1314883]</t>
  </si>
  <si>
    <t>Gm8995</t>
  </si>
  <si>
    <t>predicted gene 8995 [Source:MGI Symbol;Acc:MGI:3644223]</t>
  </si>
  <si>
    <t>transcribed_unprocessed_pseudogene</t>
  </si>
  <si>
    <t>Samd9l</t>
  </si>
  <si>
    <t>sterile alpha motif domain containing 9-like [Source:MGI Symbol;Acc:MGI:1343184]</t>
  </si>
  <si>
    <t>Csrnp1</t>
  </si>
  <si>
    <t>cysteine-serine-rich nuclear protein 1 [Source:MGI Symbol;Acc:MGI:2387989]</t>
  </si>
  <si>
    <t>Parp14</t>
  </si>
  <si>
    <t>poly (ADP-ribose) polymerase family, member 14 [Source:MGI Symbol;Acc:MGI:1919489]</t>
  </si>
  <si>
    <t>Trim25</t>
  </si>
  <si>
    <t>tripartite motif-containing 25 [Source:MGI Symbol;Acc:MGI:102749]</t>
  </si>
  <si>
    <t>Gm20559</t>
  </si>
  <si>
    <t>predicted gene, 20559 [Source:MGI Symbol;Acc:MGI:5295666]</t>
  </si>
  <si>
    <t>processed_transcript</t>
  </si>
  <si>
    <t>Ddx58</t>
  </si>
  <si>
    <t>DEAD (Asp-Glu-Ala-Asp) box polypeptide 58 [Source:MGI Symbol;Acc:MGI:2442858]</t>
  </si>
  <si>
    <t>Nacc2</t>
  </si>
  <si>
    <t>nucleus accumbens associated 2, BEN and BTB (POZ) domain containing [Source:MGI Symbol;Acc:MGI:1915241]</t>
  </si>
  <si>
    <t>Pik3ap1</t>
  </si>
  <si>
    <t>phosphoinositide-3-kinase adaptor protein 1 [Source:MGI Symbol;Acc:MGI:1933177]</t>
  </si>
  <si>
    <t>P2ry2</t>
  </si>
  <si>
    <t>purinergic receptor P2Y, G-protein coupled 2 [Source:MGI Symbol;Acc:MGI:105107]</t>
  </si>
  <si>
    <t>Pik3cb</t>
  </si>
  <si>
    <t>phosphatidylinositol-4,5-bisphosphate 3-kinase catalytic subunit beta [Source:MGI Symbol;Acc:MGI:1922019]</t>
  </si>
  <si>
    <t>Osgin2</t>
  </si>
  <si>
    <t>oxidative stress induced growth inhibitor family member 2 [Source:MGI Symbol;Acc:MGI:2384798]</t>
  </si>
  <si>
    <t>Kdm2b</t>
  </si>
  <si>
    <t>lysine (K)-specific demethylase 2B [Source:MGI Symbol;Acc:MGI:1354737]</t>
  </si>
  <si>
    <t>Iffo2</t>
  </si>
  <si>
    <t>intermediate filament family orphan 2 [Source:MGI Symbol;Acc:MGI:2140675]</t>
  </si>
  <si>
    <t>Stx11</t>
  </si>
  <si>
    <t>syntaxin 11 [Source:MGI Symbol;Acc:MGI:1921982]</t>
  </si>
  <si>
    <t>Pik3r2</t>
  </si>
  <si>
    <t>phosphoinositide-3-kinase regulatory subunit 2 [Source:MGI Symbol;Acc:MGI:1098772]</t>
  </si>
  <si>
    <t>Dcbld2</t>
  </si>
  <si>
    <t>discoidin, CUB and LCCL domain containing 2 [Source:MGI Symbol;Acc:MGI:1920629]</t>
  </si>
  <si>
    <t>Lrp12</t>
  </si>
  <si>
    <t>low density lipoprotein-related protein 12 [Source:MGI Symbol;Acc:MGI:2443132]</t>
  </si>
  <si>
    <t>Itga6</t>
  </si>
  <si>
    <t>integrin alpha 6 [Source:MGI Symbol;Acc:MGI:96605]</t>
  </si>
  <si>
    <t>Cd40</t>
  </si>
  <si>
    <t>CD40 antigen [Source:MGI Symbol;Acc:MGI:88336]</t>
  </si>
  <si>
    <t>Cebpb</t>
  </si>
  <si>
    <t>CCAAT/enhancer binding protein (C/EBP), beta [Source:MGI Symbol;Acc:MGI:88373]</t>
  </si>
  <si>
    <t>Riok3</t>
  </si>
  <si>
    <t>RIO kinase 3 [Source:MGI Symbol;Acc:MGI:1914128]</t>
  </si>
  <si>
    <t>Micall1</t>
  </si>
  <si>
    <t>microtubule associated monooxygenase, calponin and LIM domain containing -like 1 [Source:MGI Symbol;Acc:MGI:105870]</t>
  </si>
  <si>
    <t>Ddx24</t>
  </si>
  <si>
    <t>DEAD (Asp-Glu-Ala-Asp) box polypeptide 24 [Source:MGI Symbol;Acc:MGI:1351337]</t>
  </si>
  <si>
    <t>Clic4</t>
  </si>
  <si>
    <t>chloride intracellular channel 4 (mitochondrial) [Source:MGI Symbol;Acc:MGI:1352754]</t>
  </si>
  <si>
    <t>Plcg1</t>
  </si>
  <si>
    <t>phospholipase C, gamma 1 [Source:MGI Symbol;Acc:MGI:97615]</t>
  </si>
  <si>
    <t>Clec4e</t>
  </si>
  <si>
    <t>C-type lectin domain family 4, member e [Source:MGI Symbol;Acc:MGI:1861232]</t>
  </si>
  <si>
    <t>Zfp811</t>
  </si>
  <si>
    <t>zinc finger protein 811 [Source:MGI Symbol;Acc:MGI:2682944]</t>
  </si>
  <si>
    <t>Sppl2a</t>
  </si>
  <si>
    <t>signal peptide peptidase like 2A [Source:MGI Symbol;Acc:MGI:1913802]</t>
  </si>
  <si>
    <t>Marco</t>
  </si>
  <si>
    <t>macrophage receptor with collagenous structure [Source:MGI Symbol;Acc:MGI:1309998]</t>
  </si>
  <si>
    <t>Mllt11</t>
  </si>
  <si>
    <t>myeloid/lymphoid or mixed-lineage leukemia; translocated to, 11 [Source:MGI Symbol;Acc:MGI:1929671]</t>
  </si>
  <si>
    <t>Cd38</t>
  </si>
  <si>
    <t>CD38 antigen [Source:MGI Symbol;Acc:MGI:107474]</t>
  </si>
  <si>
    <t>Abtb2</t>
  </si>
  <si>
    <t>ankyrin repeat and BTB (POZ) domain containing 2 [Source:MGI Symbol;Acc:MGI:2139365]</t>
  </si>
  <si>
    <t>Ctdsp2</t>
  </si>
  <si>
    <t>CTD (carboxy-terminal domain, RNA polymerase II, polypeptide A) small phosphatase 2 [Source:MGI Symbol;Acc:MGI:1098748]</t>
  </si>
  <si>
    <t>Tmem268</t>
  </si>
  <si>
    <t>transmembrane protein 268 [Source:MGI Symbol;Acc:MGI:1913920]</t>
  </si>
  <si>
    <t>Mfsd6</t>
  </si>
  <si>
    <t>major facilitator superfamily domain containing 6 [Source:MGI Symbol;Acc:MGI:1922925]</t>
  </si>
  <si>
    <t>Nfkbia</t>
  </si>
  <si>
    <t>nuclear factor of kappa light polypeptide gene enhancer in B cells inhibitor, alpha [Source:MGI Symbol;Acc:MGI:104741]</t>
  </si>
  <si>
    <t>Mfap3l</t>
  </si>
  <si>
    <t>microfibrillar-associated protein 3-like [Source:MGI Symbol;Acc:MGI:1918556]</t>
  </si>
  <si>
    <t>Tfdp2</t>
  </si>
  <si>
    <t>transcription factor Dp 2 [Source:MGI Symbol;Acc:MGI:107167]</t>
  </si>
  <si>
    <t>Lacc1</t>
  </si>
  <si>
    <t>laccase domain containing 1 [Source:MGI Symbol;Acc:MGI:2445077]</t>
  </si>
  <si>
    <t>Cemip2</t>
  </si>
  <si>
    <t>cell migration inducing hyaluronidase 2 [Source:MGI Symbol;Acc:MGI:1890373]</t>
  </si>
  <si>
    <t>Dnmt3l</t>
  </si>
  <si>
    <t>DNA (cytosine-5-)-methyltransferase 3-like [Source:MGI Symbol;Acc:MGI:1859287]</t>
  </si>
  <si>
    <t>Spi1</t>
  </si>
  <si>
    <t>spleen focus forming virus (SFFV) proviral integration oncogene [Source:MGI Symbol;Acc:MGI:98282]</t>
  </si>
  <si>
    <t>Epsti1</t>
  </si>
  <si>
    <t>epithelial stromal interaction 1 (breast) [Source:MGI Symbol;Acc:MGI:1915168]</t>
  </si>
  <si>
    <t>St3gal3</t>
  </si>
  <si>
    <t>ST3 beta-galactoside alpha-2,3-sialyltransferase 3 [Source:MGI Symbol;Acc:MGI:1316659]</t>
  </si>
  <si>
    <t>Tent5c</t>
  </si>
  <si>
    <t>terminal nucleotidyltransferase 5C [Source:MGI Symbol;Acc:MGI:1921895]</t>
  </si>
  <si>
    <t>Gpr157</t>
  </si>
  <si>
    <t>G protein-coupled receptor 157 [Source:MGI Symbol;Acc:MGI:2442046]</t>
  </si>
  <si>
    <t>Mtmr14</t>
  </si>
  <si>
    <t>myotubularin related protein 14 [Source:MGI Symbol;Acc:MGI:1916075]</t>
  </si>
  <si>
    <t>Ccl5</t>
  </si>
  <si>
    <t>chemokine (C-C motif) ligand 5 [Source:MGI Symbol;Acc:MGI:98262]</t>
  </si>
  <si>
    <t>Msh6</t>
  </si>
  <si>
    <t>mutS homolog 6 [Source:MGI Symbol;Acc:MGI:1343961]</t>
  </si>
  <si>
    <t>Znrf1</t>
  </si>
  <si>
    <t>zinc and ring finger 1 [Source:MGI Symbol;Acc:MGI:2177308]</t>
  </si>
  <si>
    <t>Rnf114</t>
  </si>
  <si>
    <t>ring finger protein 114 [Source:MGI Symbol;Acc:MGI:1933159]</t>
  </si>
  <si>
    <t>Isg15</t>
  </si>
  <si>
    <t>ISG15 ubiquitin-like modifier [Source:MGI Symbol;Acc:MGI:1855694]</t>
  </si>
  <si>
    <t>Sema4d</t>
  </si>
  <si>
    <t>sema domain, immunoglobulin domain (Ig), transmembrane domain (TM) and short cytoplasmic domain, (semaphorin) 4D [Source:MGI Symbol;Acc:MGI:109244]</t>
  </si>
  <si>
    <t>Abcd2</t>
  </si>
  <si>
    <t>ATP-binding cassette, sub-family D (ALD), member 2 [Source:MGI Symbol;Acc:MGI:1349467]</t>
  </si>
  <si>
    <t>Lcp2</t>
  </si>
  <si>
    <t>lymphocyte cytosolic protein 2 [Source:MGI Symbol;Acc:MGI:1321402]</t>
  </si>
  <si>
    <t>Relb</t>
  </si>
  <si>
    <t>avian reticuloendotheliosis viral (v-rel) oncogene related B [Source:MGI Symbol;Acc:MGI:103289]</t>
  </si>
  <si>
    <t>Ptpra</t>
  </si>
  <si>
    <t>protein tyrosine phosphatase, receptor type, A [Source:MGI Symbol;Acc:MGI:97808]</t>
  </si>
  <si>
    <t>Ogfr</t>
  </si>
  <si>
    <t>opioid growth factor receptor [Source:MGI Symbol;Acc:MGI:1919325]</t>
  </si>
  <si>
    <t>Lfng</t>
  </si>
  <si>
    <t>LFNG O-fucosylpeptide 3-beta-N-acetylglucosaminyltransferase [Source:MGI Symbol;Acc:MGI:1095413]</t>
  </si>
  <si>
    <t>Fosl1</t>
  </si>
  <si>
    <t>fos-like antigen 1 [Source:MGI Symbol;Acc:MGI:107179]</t>
  </si>
  <si>
    <t>Cerk</t>
  </si>
  <si>
    <t>ceramide kinase [Source:MGI Symbol;Acc:MGI:2386052]</t>
  </si>
  <si>
    <t>Usb1</t>
  </si>
  <si>
    <t>U6 snRNA biogenesis 1 [Source:MGI Symbol;Acc:MGI:2142454]</t>
  </si>
  <si>
    <t>Slc25a25</t>
  </si>
  <si>
    <t>solute carrier family 25 (mitochondrial carrier, phosphate carrier), member 25 [Source:MGI Symbol;Acc:MGI:1915913]</t>
  </si>
  <si>
    <t>Ube2f</t>
  </si>
  <si>
    <t>ubiquitin-conjugating enzyme E2F (putative) [Source:MGI Symbol;Acc:MGI:1915171]</t>
  </si>
  <si>
    <t>Mtpn</t>
  </si>
  <si>
    <t>myotrophin [Source:MGI Symbol;Acc:MGI:99445]</t>
  </si>
  <si>
    <t>Ank</t>
  </si>
  <si>
    <t>progressive ankylosis [Source:MGI Symbol;Acc:MGI:3045421]</t>
  </si>
  <si>
    <t>Ifit2</t>
  </si>
  <si>
    <t>interferon-induced protein with tetratricopeptide repeats 2 [Source:MGI Symbol;Acc:MGI:99449]</t>
  </si>
  <si>
    <t>Slfn10-ps</t>
  </si>
  <si>
    <t>schlafen 10, pseudogene [Source:MGI Symbol;Acc:MGI:3512288]</t>
  </si>
  <si>
    <t>Clspn</t>
  </si>
  <si>
    <t>claspin [Source:MGI Symbol;Acc:MGI:2445153]</t>
  </si>
  <si>
    <t>Man2a2</t>
  </si>
  <si>
    <t>mannosidase 2, alpha 2 [Source:MGI Symbol;Acc:MGI:2150656]</t>
  </si>
  <si>
    <t>Stat3</t>
  </si>
  <si>
    <t>signal transducer and activator of transcription 3 [Source:MGI Symbol;Acc:MGI:103038]</t>
  </si>
  <si>
    <t>Plaur</t>
  </si>
  <si>
    <t>plasminogen activator, urokinase receptor [Source:MGI Symbol;Acc:MGI:97612]</t>
  </si>
  <si>
    <t>Daam1</t>
  </si>
  <si>
    <t>dishevelled associated activator of morphogenesis 1 [Source:MGI Symbol;Acc:MGI:1914596]</t>
  </si>
  <si>
    <t>Cebpd</t>
  </si>
  <si>
    <t>CCAAT/enhancer binding protein (C/EBP), delta [Source:MGI Symbol;Acc:MGI:103573]</t>
  </si>
  <si>
    <t>Mxi1</t>
  </si>
  <si>
    <t>MAX interactor 1, dimerization protein [Source:MGI Symbol;Acc:MGI:97245]</t>
  </si>
  <si>
    <t>Eif2ak2</t>
  </si>
  <si>
    <t>eukaryotic translation initiation factor 2-alpha kinase 2 [Source:MGI Symbol;Acc:MGI:1353449]</t>
  </si>
  <si>
    <t>Nrp2</t>
  </si>
  <si>
    <t>neuropilin 2 [Source:MGI Symbol;Acc:MGI:1100492]</t>
  </si>
  <si>
    <t>Chst10</t>
  </si>
  <si>
    <t>carbohydrate sulfotransferase 10 [Source:MGI Symbol;Acc:MGI:2138283]</t>
  </si>
  <si>
    <t>Fgd3</t>
  </si>
  <si>
    <t>FYVE, RhoGEF and PH domain containing 3 [Source:MGI Symbol;Acc:MGI:1353657]</t>
  </si>
  <si>
    <t>Dock4</t>
  </si>
  <si>
    <t>dedicator of cytokinesis 4 [Source:MGI Symbol;Acc:MGI:1918006]</t>
  </si>
  <si>
    <t>Hck</t>
  </si>
  <si>
    <t>hemopoietic cell kinase [Source:MGI Symbol;Acc:MGI:96052]</t>
  </si>
  <si>
    <t>Rab10</t>
  </si>
  <si>
    <t>RAB10, member RAS oncogene family [Source:MGI Symbol;Acc:MGI:105066]</t>
  </si>
  <si>
    <t>Iqgap1</t>
  </si>
  <si>
    <t>IQ motif containing GTPase activating protein 1 [Source:MGI Symbol;Acc:MGI:1352757]</t>
  </si>
  <si>
    <t>Bmyc</t>
  </si>
  <si>
    <t>brain expressed myelocytomatosis oncogene [Source:MGI Symbol;Acc:MGI:88184]</t>
  </si>
  <si>
    <t>Agfg1</t>
  </si>
  <si>
    <t>ArfGAP with FG repeats 1 [Source:MGI Symbol;Acc:MGI:1333754]</t>
  </si>
  <si>
    <t>Igtp</t>
  </si>
  <si>
    <t>interferon gamma induced GTPase [Source:MGI Symbol;Acc:MGI:107729]</t>
  </si>
  <si>
    <t>Deptor</t>
  </si>
  <si>
    <t>DEP domain containing MTOR-interacting protein [Source:MGI Symbol;Acc:MGI:2146322]</t>
  </si>
  <si>
    <t>Atrip</t>
  </si>
  <si>
    <t>ATR interacting protein [Source:MGI Symbol;Acc:MGI:1925349]</t>
  </si>
  <si>
    <t>Dnajb14</t>
  </si>
  <si>
    <t>DnaJ heat shock protein family (Hsp40) member B14 [Source:MGI Symbol;Acc:MGI:1917854]</t>
  </si>
  <si>
    <t>Slc23a2</t>
  </si>
  <si>
    <t>solute carrier family 23 (nucleobase transporters), member 2 [Source:MGI Symbol;Acc:MGI:1859682]</t>
  </si>
  <si>
    <t>Litaf</t>
  </si>
  <si>
    <t>LPS-induced TN factor [Source:MGI Symbol;Acc:MGI:1929512]</t>
  </si>
  <si>
    <t>Cpd</t>
  </si>
  <si>
    <t>carboxypeptidase D [Source:MGI Symbol;Acc:MGI:107265]</t>
  </si>
  <si>
    <t>Mvp</t>
  </si>
  <si>
    <t>major vault protein [Source:MGI Symbol;Acc:MGI:1925638]</t>
  </si>
  <si>
    <t>Nelfcd</t>
  </si>
  <si>
    <t>negative elongation factor complex member C/D, Th1l [Source:MGI Symbol;Acc:MGI:1926424]</t>
  </si>
  <si>
    <t>Rnf213</t>
  </si>
  <si>
    <t>ring finger protein 213 [Source:MGI Symbol;Acc:MGI:1289196]</t>
  </si>
  <si>
    <t>Oas1a</t>
  </si>
  <si>
    <t>2'-5' oligoadenylate synthetase 1A [Source:MGI Symbol;Acc:MGI:2180860]</t>
  </si>
  <si>
    <t>Trip10</t>
  </si>
  <si>
    <t>thyroid hormone receptor interactor 10 [Source:MGI Symbol;Acc:MGI:2146901]</t>
  </si>
  <si>
    <t>Hivep3</t>
  </si>
  <si>
    <t>human immunodeficiency virus type I enhancer binding protein 3 [Source:MGI Symbol;Acc:MGI:106589]</t>
  </si>
  <si>
    <t>Sav1</t>
  </si>
  <si>
    <t>salvador family WW domain containing 1 [Source:MGI Symbol;Acc:MGI:1927144]</t>
  </si>
  <si>
    <t>Tnfaip2</t>
  </si>
  <si>
    <t>tumor necrosis factor, alpha-induced protein 2 [Source:MGI Symbol;Acc:MGI:104960]</t>
  </si>
  <si>
    <t>Ninj1</t>
  </si>
  <si>
    <t>ninjurin 1 [Source:MGI Symbol;Acc:MGI:1196617]</t>
  </si>
  <si>
    <t>Zfand5</t>
  </si>
  <si>
    <t>zinc finger, AN1-type domain 5 [Source:MGI Symbol;Acc:MGI:1278334]</t>
  </si>
  <si>
    <t>Eif4g2</t>
  </si>
  <si>
    <t>eukaryotic translation initiation factor 4, gamma 2 [Source:MGI Symbol;Acc:MGI:109207]</t>
  </si>
  <si>
    <t>Denr</t>
  </si>
  <si>
    <t>density-regulated protein [Source:MGI Symbol;Acc:MGI:1915434]</t>
  </si>
  <si>
    <t>Ppp1r15a</t>
  </si>
  <si>
    <t>protein phosphatase 1, regulatory subunit 15A [Source:MGI Symbol;Acc:MGI:1927072]</t>
  </si>
  <si>
    <t>B4galt5</t>
  </si>
  <si>
    <t>UDP-Gal:betaGlcNAc beta 1,4-galactosyltransferase, polypeptide 5 [Source:MGI Symbol;Acc:MGI:1927169]</t>
  </si>
  <si>
    <t>Otulinl</t>
  </si>
  <si>
    <t>OTU deubiquitinase with linear linkage specificity like [Source:MGI Symbol;Acc:MGI:2687281]</t>
  </si>
  <si>
    <t>Slc39a6</t>
  </si>
  <si>
    <t>solute carrier family 39 (metal ion transporter), member 6 [Source:MGI Symbol;Acc:MGI:2147279]</t>
  </si>
  <si>
    <t>Gbp3</t>
  </si>
  <si>
    <t>guanylate binding protein 3 [Source:MGI Symbol;Acc:MGI:1926263]</t>
  </si>
  <si>
    <t>Kpna4</t>
  </si>
  <si>
    <t>karyopherin (importin) alpha 4 [Source:MGI Symbol;Acc:MGI:1100848]</t>
  </si>
  <si>
    <t>2500002B13Rik</t>
  </si>
  <si>
    <t>RIKEN cDNA 2500002B13 gene [Source:MGI Symbol;Acc:MGI:1925603]</t>
  </si>
  <si>
    <t>Bid</t>
  </si>
  <si>
    <t>BH3 interacting domain death agonist [Source:MGI Symbol;Acc:MGI:108093]</t>
  </si>
  <si>
    <t>Plpp3</t>
  </si>
  <si>
    <t>phospholipid phosphatase 3 [Source:MGI Symbol;Acc:MGI:1915166]</t>
  </si>
  <si>
    <t>Gm28177</t>
  </si>
  <si>
    <t>predicted gene 28177 [Source:MGI Symbol;Acc:MGI:5578883]</t>
  </si>
  <si>
    <t>Stk40</t>
  </si>
  <si>
    <t>serine/threonine kinase 40 [Source:MGI Symbol;Acc:MGI:1921428]</t>
  </si>
  <si>
    <t>Gsap</t>
  </si>
  <si>
    <t>gamma-secretase activating protein [Source:MGI Symbol;Acc:MGI:2442259]</t>
  </si>
  <si>
    <t>Hk2</t>
  </si>
  <si>
    <t>hexokinase 2 [Source:MGI Symbol;Acc:MGI:1315197]</t>
  </si>
  <si>
    <t>Rab3il1</t>
  </si>
  <si>
    <t>RAB3A interacting protein (rabin3)-like 1 [Source:MGI Symbol;Acc:MGI:1922010]</t>
  </si>
  <si>
    <t>Dhx58</t>
  </si>
  <si>
    <t>DEXH (Asp-Glu-X-His) box polypeptide 58 [Source:MGI Symbol;Acc:MGI:1931560]</t>
  </si>
  <si>
    <t>Nfkbib</t>
  </si>
  <si>
    <t>nuclear factor of kappa light polypeptide gene enhancer in B cells inhibitor, beta [Source:MGI Symbol;Acc:MGI:104752]</t>
  </si>
  <si>
    <t>Mcm7</t>
  </si>
  <si>
    <t>minichromosome maintenance complex component 7 [Source:MGI Symbol;Acc:MGI:1298398]</t>
  </si>
  <si>
    <t>Tnip3</t>
  </si>
  <si>
    <t>TNFAIP3 interacting protein 3 [Source:MGI Symbol;Acc:MGI:3041165]</t>
  </si>
  <si>
    <t>Irgm2</t>
  </si>
  <si>
    <t>immunity-related GTPase family M member 2 [Source:MGI Symbol;Acc:MGI:1926262]</t>
  </si>
  <si>
    <t>Dusp1</t>
  </si>
  <si>
    <t>dual specificity phosphatase 1 [Source:MGI Symbol;Acc:MGI:105120]</t>
  </si>
  <si>
    <t>Fgf11</t>
  </si>
  <si>
    <t>fibroblast growth factor 11 [Source:MGI Symbol;Acc:MGI:109167]</t>
  </si>
  <si>
    <t>Fyb</t>
  </si>
  <si>
    <t>FYN binding protein [Source:MGI Symbol;Acc:MGI:1346327]</t>
  </si>
  <si>
    <t>Smarca2</t>
  </si>
  <si>
    <t>SWI/SNF related, matrix associated, actin dependent regulator of chromatin, subfamily a, member 2 [Source:MGI Symbol;Acc:MGI:99603]</t>
  </si>
  <si>
    <t>Asb10</t>
  </si>
  <si>
    <t>ankyrin repeat and SOCS box-containing 10 [Source:MGI Symbol;Acc:MGI:2152836]</t>
  </si>
  <si>
    <t>Nfkb2</t>
  </si>
  <si>
    <t>nuclear factor of kappa light polypeptide gene enhancer in B cells 2, p49/p100 [Source:MGI Symbol;Acc:MGI:1099800]</t>
  </si>
  <si>
    <t>Sgk3</t>
  </si>
  <si>
    <t>serum/glucocorticoid regulated kinase 3 [Source:MGI Symbol;Acc:MGI:2182368]</t>
  </si>
  <si>
    <t>Pvr</t>
  </si>
  <si>
    <t>poliovirus receptor [Source:MGI Symbol;Acc:MGI:107741]</t>
  </si>
  <si>
    <t>Eea1</t>
  </si>
  <si>
    <t>early endosome antigen 1 [Source:MGI Symbol;Acc:MGI:2442192]</t>
  </si>
  <si>
    <t>Tapbp</t>
  </si>
  <si>
    <t>TAP binding protein [Source:MGI Symbol;Acc:MGI:1201689]</t>
  </si>
  <si>
    <t>Stap1</t>
  </si>
  <si>
    <t>signal transducing adaptor family member 1 [Source:MGI Symbol;Acc:MGI:1926193]</t>
  </si>
  <si>
    <t>Ifi35</t>
  </si>
  <si>
    <t>interferon-induced protein 35 [Source:MGI Symbol;Acc:MGI:1917360]</t>
  </si>
  <si>
    <t>Mef2c</t>
  </si>
  <si>
    <t>myocyte enhancer factor 2C [Source:MGI Symbol;Acc:MGI:99458]</t>
  </si>
  <si>
    <t>Oas2</t>
  </si>
  <si>
    <t>2'-5' oligoadenylate synthetase 2 [Source:MGI Symbol;Acc:MGI:2180852]</t>
  </si>
  <si>
    <t>Arhgap19</t>
  </si>
  <si>
    <t>Rho GTPase activating protein 19 [Source:MGI Symbol;Acc:MGI:1918335]</t>
  </si>
  <si>
    <t>Micall2</t>
  </si>
  <si>
    <t>MICAL-like 2 [Source:MGI Symbol;Acc:MGI:2444818]</t>
  </si>
  <si>
    <t>Nectin1</t>
  </si>
  <si>
    <t>nectin cell adhesion molecule 1 [Source:MGI Symbol;Acc:MGI:1926483]</t>
  </si>
  <si>
    <t>Xaf1</t>
  </si>
  <si>
    <t>XIAP associated factor 1 [Source:MGI Symbol;Acc:MGI:3772572]</t>
  </si>
  <si>
    <t>Kifc3</t>
  </si>
  <si>
    <t>kinesin family member C3 [Source:MGI Symbol;Acc:MGI:109202]</t>
  </si>
  <si>
    <t>Brca1</t>
  </si>
  <si>
    <t>breast cancer 1, early onset [Source:MGI Symbol;Acc:MGI:104537]</t>
  </si>
  <si>
    <t>Ifrd1</t>
  </si>
  <si>
    <t>interferon-related developmental regulator 1 [Source:MGI Symbol;Acc:MGI:1316717]</t>
  </si>
  <si>
    <t>Nab1</t>
  </si>
  <si>
    <t>Ngfi-A binding protein 1 [Source:MGI Symbol;Acc:MGI:107564]</t>
  </si>
  <si>
    <t>Fam20c</t>
  </si>
  <si>
    <t>family with sequence similarity 20, member C [Source:MGI Symbol;Acc:MGI:2136853]</t>
  </si>
  <si>
    <t>Trafd1</t>
  </si>
  <si>
    <t>TRAF type zinc finger domain containing 1 [Source:MGI Symbol;Acc:MGI:1923551]</t>
  </si>
  <si>
    <t>Osm</t>
  </si>
  <si>
    <t>oncostatin M [Source:MGI Symbol;Acc:MGI:104749]</t>
  </si>
  <si>
    <t>Tdrd7</t>
  </si>
  <si>
    <t>tudor domain containing 7 [Source:MGI Symbol;Acc:MGI:2140279]</t>
  </si>
  <si>
    <t>B430306N03Rik</t>
  </si>
  <si>
    <t>RIKEN cDNA B430306N03 gene [Source:MGI Symbol;Acc:MGI:2443478]</t>
  </si>
  <si>
    <t>Il1rn</t>
  </si>
  <si>
    <t>interleukin 1 receptor antagonist [Source:MGI Symbol;Acc:MGI:96547]</t>
  </si>
  <si>
    <t>Susd6</t>
  </si>
  <si>
    <t>sushi domain containing 6 [Source:MGI Symbol;Acc:MGI:2444661]</t>
  </si>
  <si>
    <t>Arhgap10</t>
  </si>
  <si>
    <t>Rho GTPase activating protein 10 [Source:MGI Symbol;Acc:MGI:1925764]</t>
  </si>
  <si>
    <t>Cfb</t>
  </si>
  <si>
    <t>complement factor B [Source:MGI Symbol;Acc:MGI:105975]</t>
  </si>
  <si>
    <t>Gm45193</t>
  </si>
  <si>
    <t>predicted gene 45193 [Source:MGI Symbol;Acc:MGI:5753769]</t>
  </si>
  <si>
    <t>Ifi204</t>
  </si>
  <si>
    <t>interferon activated gene 204 [Source:MGI Symbol;Acc:MGI:96429]</t>
  </si>
  <si>
    <t>Bcl3</t>
  </si>
  <si>
    <t>B cell leukemia/lymphoma 3 [Source:MGI Symbol;Acc:MGI:88140]</t>
  </si>
  <si>
    <t>Tbk1</t>
  </si>
  <si>
    <t>TANK-binding kinase 1 [Source:MGI Symbol;Acc:MGI:1929658]</t>
  </si>
  <si>
    <t>Gbp2</t>
  </si>
  <si>
    <t>guanylate binding protein 2 [Source:MGI Symbol;Acc:MGI:102772]</t>
  </si>
  <si>
    <t>Sec24b</t>
  </si>
  <si>
    <t>Sec24 related gene family, member B (S. cerevisiae) [Source:MGI Symbol;Acc:MGI:2139764]</t>
  </si>
  <si>
    <t>Osbpl2</t>
  </si>
  <si>
    <t>oxysterol binding protein-like 2 [Source:MGI Symbol;Acc:MGI:2442832]</t>
  </si>
  <si>
    <t>Car13</t>
  </si>
  <si>
    <t>carbonic anhydrase 13 [Source:MGI Symbol;Acc:MGI:1931322]</t>
  </si>
  <si>
    <t>Tmem185b</t>
  </si>
  <si>
    <t>transmembrane protein 185B [Source:MGI Symbol;Acc:MGI:1917634]</t>
  </si>
  <si>
    <t>Thbd</t>
  </si>
  <si>
    <t>thrombomodulin [Source:MGI Symbol;Acc:MGI:98736]</t>
  </si>
  <si>
    <t>Actr3b</t>
  </si>
  <si>
    <t>ARP3 actin-related protein 3B [Source:MGI Symbol;Acc:MGI:2661120]</t>
  </si>
  <si>
    <t>Ascc3</t>
  </si>
  <si>
    <t>activating signal cointegrator 1 complex subunit 3 [Source:MGI Symbol;Acc:MGI:1925237]</t>
  </si>
  <si>
    <t>Grk6</t>
  </si>
  <si>
    <t>G protein-coupled receptor kinase 6 [Source:MGI Symbol;Acc:MGI:1347078]</t>
  </si>
  <si>
    <t>Abcc5</t>
  </si>
  <si>
    <t>ATP-binding cassette, sub-family C (CFTR/MRP), member 5 [Source:MGI Symbol;Acc:MGI:1351644]</t>
  </si>
  <si>
    <t>Ifi211</t>
  </si>
  <si>
    <t>interferon activated gene 211 [Source:MGI Symbol;Acc:MGI:3041120]</t>
  </si>
  <si>
    <t>Ubap1</t>
  </si>
  <si>
    <t>ubiquitin-associated protein 1 [Source:MGI Symbol;Acc:MGI:2149543]</t>
  </si>
  <si>
    <t>Slc39a1</t>
  </si>
  <si>
    <t>solute carrier family 39 (zinc transporter), member 1 [Source:MGI Symbol;Acc:MGI:1353474]</t>
  </si>
  <si>
    <t>Inpp5d</t>
  </si>
  <si>
    <t>inositol polyphosphate-5-phosphatase D [Source:MGI Symbol;Acc:MGI:107357]</t>
  </si>
  <si>
    <t>Ube2l6</t>
  </si>
  <si>
    <t>ubiquitin-conjugating enzyme E2L 6 [Source:MGI Symbol;Acc:MGI:1914500]</t>
  </si>
  <si>
    <t>Zdhhc18</t>
  </si>
  <si>
    <t>zinc finger, DHHC domain containing 18 [Source:MGI Symbol;Acc:MGI:3527792]</t>
  </si>
  <si>
    <t>Src</t>
  </si>
  <si>
    <t>Rous sarcoma oncogene [Source:MGI Symbol;Acc:MGI:98397]</t>
  </si>
  <si>
    <t>Swap70</t>
  </si>
  <si>
    <t>SWA-70 protein [Source:MGI Symbol;Acc:MGI:1298390]</t>
  </si>
  <si>
    <t>Tmem250-ps</t>
  </si>
  <si>
    <t>transmembrane protein 250, pseudogene [Source:MGI Symbol;Acc:MGI:1924939]</t>
  </si>
  <si>
    <t>Fhod1</t>
  </si>
  <si>
    <t>formin homology 2 domain containing 1 [Source:MGI Symbol;Acc:MGI:2679008]</t>
  </si>
  <si>
    <t>Rtn4</t>
  </si>
  <si>
    <t>reticulon 4 [Source:MGI Symbol;Acc:MGI:1915835]</t>
  </si>
  <si>
    <t>Rab31</t>
  </si>
  <si>
    <t>RAB31, member RAS oncogene family [Source:MGI Symbol;Acc:MGI:1914603]</t>
  </si>
  <si>
    <t>Naa25</t>
  </si>
  <si>
    <t>N(alpha)-acetyltransferase 25, NatB auxiliary subunit [Source:MGI Symbol;Acc:MGI:2442563]</t>
  </si>
  <si>
    <t>Rnf144b</t>
  </si>
  <si>
    <t>ring finger protein 144B [Source:MGI Symbol;Acc:MGI:2384986]</t>
  </si>
  <si>
    <t>Snx20</t>
  </si>
  <si>
    <t>sorting nexin 20 [Source:MGI Symbol;Acc:MGI:1918857]</t>
  </si>
  <si>
    <t>Acsl1</t>
  </si>
  <si>
    <t>acyl-CoA synthetase long-chain family member 1 [Source:MGI Symbol;Acc:MGI:102797]</t>
  </si>
  <si>
    <t>Znfx1</t>
  </si>
  <si>
    <t>zinc finger, NFX1-type containing 1 [Source:MGI Symbol;Acc:MGI:2138982]</t>
  </si>
  <si>
    <t>Cers6</t>
  </si>
  <si>
    <t>ceramide synthase 6 [Source:MGI Symbol;Acc:MGI:2442564]</t>
  </si>
  <si>
    <t>Akap13</t>
  </si>
  <si>
    <t>A kinase (PRKA) anchor protein 13 [Source:MGI Symbol;Acc:MGI:2676556]</t>
  </si>
  <si>
    <t>Irf7</t>
  </si>
  <si>
    <t>interferon regulatory factor 7 [Source:MGI Symbol;Acc:MGI:1859212]</t>
  </si>
  <si>
    <t>Topbp1</t>
  </si>
  <si>
    <t>topoisomerase (DNA) II binding protein 1 [Source:MGI Symbol;Acc:MGI:1920018]</t>
  </si>
  <si>
    <t>Herc6</t>
  </si>
  <si>
    <t>hect domain and RLD 6 [Source:MGI Symbol;Acc:MGI:1914388]</t>
  </si>
  <si>
    <t>Agpat4</t>
  </si>
  <si>
    <t>1-acylglycerol-3-phosphate O-acyltransferase 4 (lysophosphatidic acid acyltransferase, delta) [Source:MGI Symbol;Acc:MGI:1915512]</t>
  </si>
  <si>
    <t>Wdhd1</t>
  </si>
  <si>
    <t>WD repeat and HMG-box DNA binding protein 1 [Source:MGI Symbol;Acc:MGI:2443514]</t>
  </si>
  <si>
    <t>P4ha1</t>
  </si>
  <si>
    <t>procollagen-proline, 2-oxoglutarate 4-dioxygenase (proline 4-hydroxylase), alpha 1 polypeptide [Source:MGI Symbol;Acc:MGI:97463]</t>
  </si>
  <si>
    <t>Maff</t>
  </si>
  <si>
    <t>v-maf musculoaponeurotic fibrosarcoma oncogene family, protein F (avian) [Source:MGI Symbol;Acc:MGI:96910]</t>
  </si>
  <si>
    <t>Cdkn2c</t>
  </si>
  <si>
    <t>cyclin dependent kinase inhibitor 2C [Source:MGI Symbol;Acc:MGI:105388]</t>
  </si>
  <si>
    <t>Ninl</t>
  </si>
  <si>
    <t>ninein-like [Source:MGI Symbol;Acc:MGI:1925427]</t>
  </si>
  <si>
    <t>Uba7</t>
  </si>
  <si>
    <t>ubiquitin-like modifier activating enzyme 7 [Source:MGI Symbol;Acc:MGI:1349462]</t>
  </si>
  <si>
    <t>Eif4ebp2</t>
  </si>
  <si>
    <t>eukaryotic translation initiation factor 4E binding protein 2 [Source:MGI Symbol;Acc:MGI:109198]</t>
  </si>
  <si>
    <t>Ccl2</t>
  </si>
  <si>
    <t>chemokine (C-C motif) ligand 2 [Source:MGI Symbol;Acc:MGI:98259]</t>
  </si>
  <si>
    <t>P2ry1</t>
  </si>
  <si>
    <t>purinergic receptor P2Y, G-protein coupled 1 [Source:MGI Symbol;Acc:MGI:105049]</t>
  </si>
  <si>
    <t>Pofut2</t>
  </si>
  <si>
    <t>protein O-fucosyltransferase 2 [Source:MGI Symbol;Acc:MGI:1916863]</t>
  </si>
  <si>
    <t>Atp6v1h</t>
  </si>
  <si>
    <t>ATPase, H+ transporting, lysosomal V1 subunit H [Source:MGI Symbol;Acc:MGI:1914864]</t>
  </si>
  <si>
    <t>Phf11b</t>
  </si>
  <si>
    <t>PHD finger protein 11B [Source:MGI Symbol;Acc:MGI:3645789]</t>
  </si>
  <si>
    <t>Tpcn1</t>
  </si>
  <si>
    <t>two pore channel 1 [Source:MGI Symbol;Acc:MGI:2182472]</t>
  </si>
  <si>
    <t>Madd</t>
  </si>
  <si>
    <t>MAP-kinase activating death domain [Source:MGI Symbol;Acc:MGI:2444672]</t>
  </si>
  <si>
    <t>Daxx</t>
  </si>
  <si>
    <t>Fas death domain-associated protein [Source:MGI Symbol;Acc:MGI:1197015]</t>
  </si>
  <si>
    <t>Eif6</t>
  </si>
  <si>
    <t>eukaryotic translation initiation factor 6 [Source:MGI Symbol;Acc:MGI:1196288]</t>
  </si>
  <si>
    <t>Ago4</t>
  </si>
  <si>
    <t>argonaute RISC catalytic subunit 4 [Source:MGI Symbol;Acc:MGI:1924100]</t>
  </si>
  <si>
    <t>Tyk2</t>
  </si>
  <si>
    <t>tyrosine kinase 2 [Source:MGI Symbol;Acc:MGI:1929470]</t>
  </si>
  <si>
    <t>Lpcat1</t>
  </si>
  <si>
    <t>lysophosphatidylcholine acyltransferase 1 [Source:MGI Symbol;Acc:MGI:2384812]</t>
  </si>
  <si>
    <t>Slc37a2</t>
  </si>
  <si>
    <t>solute carrier family 37 (glycerol-3-phosphate transporter), member 2 [Source:MGI Symbol;Acc:MGI:1929693]</t>
  </si>
  <si>
    <t>Zcchc2</t>
  </si>
  <si>
    <t>zinc finger, CCHC domain containing 2 [Source:MGI Symbol;Acc:MGI:2444114]</t>
  </si>
  <si>
    <t>Wdr90</t>
  </si>
  <si>
    <t>WD repeat domain 90 [Source:MGI Symbol;Acc:MGI:1921267]</t>
  </si>
  <si>
    <t>Rasa3</t>
  </si>
  <si>
    <t>RAS p21 protein activator 3 [Source:MGI Symbol;Acc:MGI:1197013]</t>
  </si>
  <si>
    <t>Mapre2</t>
  </si>
  <si>
    <t>microtubule-associated protein, RP/EB family, member 2 [Source:MGI Symbol;Acc:MGI:106271]</t>
  </si>
  <si>
    <t>Igsf6</t>
  </si>
  <si>
    <t>immunoglobulin superfamily, member 6 [Source:MGI Symbol;Acc:MGI:1891393]</t>
  </si>
  <si>
    <t>Adgrl1</t>
  </si>
  <si>
    <t>adhesion G protein-coupled receptor L1 [Source:MGI Symbol;Acc:MGI:1929461]</t>
  </si>
  <si>
    <t>Kdsr</t>
  </si>
  <si>
    <t>3-ketodihydrosphingosine reductase [Source:MGI Symbol;Acc:MGI:1918000]</t>
  </si>
  <si>
    <t>Spryd7</t>
  </si>
  <si>
    <t>SPRY domain containing 7 [Source:MGI Symbol;Acc:MGI:1913924]</t>
  </si>
  <si>
    <t>Ifi203</t>
  </si>
  <si>
    <t>interferon activated gene 203 [Source:MGI Symbol;Acc:MGI:96428]</t>
  </si>
  <si>
    <t>Tbrg1</t>
  </si>
  <si>
    <t>transforming growth factor beta regulated gene 1 [Source:MGI Symbol;Acc:MGI:1100877]</t>
  </si>
  <si>
    <t>Kank2</t>
  </si>
  <si>
    <t>KN motif and ankyrin repeat domains 2 [Source:MGI Symbol;Acc:MGI:2384568]</t>
  </si>
  <si>
    <t>Cdkn1a</t>
  </si>
  <si>
    <t>cyclin-dependent kinase inhibitor 1A (P21) [Source:MGI Symbol;Acc:MGI:104556]</t>
  </si>
  <si>
    <t>Mndal</t>
  </si>
  <si>
    <t>myeloid nuclear differentiation antigen like [Source:MGI Symbol;Acc:MGI:3780953]</t>
  </si>
  <si>
    <t>Bcl2a1b</t>
  </si>
  <si>
    <t>B cell leukemia/lymphoma 2 related protein A1b [Source:MGI Symbol;Acc:MGI:1278326]</t>
  </si>
  <si>
    <t>Tes</t>
  </si>
  <si>
    <t>testis derived transcript [Source:MGI Symbol;Acc:MGI:105081]</t>
  </si>
  <si>
    <t>Klhl24</t>
  </si>
  <si>
    <t>kelch-like 24 [Source:MGI Symbol;Acc:MGI:1923035]</t>
  </si>
  <si>
    <t>Ivns1abp</t>
  </si>
  <si>
    <t>influenza virus NS1A binding protein [Source:MGI Symbol;Acc:MGI:2152389]</t>
  </si>
  <si>
    <t>Ncapg2</t>
  </si>
  <si>
    <t>non-SMC condensin II complex, subunit G2 [Source:MGI Symbol;Acc:MGI:1923294]</t>
  </si>
  <si>
    <t>Mocs1</t>
  </si>
  <si>
    <t>molybdenum cofactor synthesis 1 [Source:MGI Symbol;Acc:MGI:1928904]</t>
  </si>
  <si>
    <t>6530402F18Rik</t>
  </si>
  <si>
    <t>RIKEN cDNA 6530402F18 gene [Source:MGI Symbol;Acc:MGI:1923470]</t>
  </si>
  <si>
    <t>Ppp2r5b</t>
  </si>
  <si>
    <t>protein phosphatase 2, regulatory subunit B', beta [Source:MGI Symbol;Acc:MGI:2388480]</t>
  </si>
  <si>
    <t>Ifngr2</t>
  </si>
  <si>
    <t>interferon gamma receptor 2 [Source:MGI Symbol;Acc:MGI:107654]</t>
  </si>
  <si>
    <t>Peli1</t>
  </si>
  <si>
    <t>pellino 1 [Source:MGI Symbol;Acc:MGI:1914495]</t>
  </si>
  <si>
    <t>Rac2</t>
  </si>
  <si>
    <t>Rac family small GTPase 2 [Source:MGI Symbol;Acc:MGI:97846]</t>
  </si>
  <si>
    <t>Wsb1</t>
  </si>
  <si>
    <t>WD repeat and SOCS box-containing 1 [Source:MGI Symbol;Acc:MGI:1926139]</t>
  </si>
  <si>
    <t>Hey1</t>
  </si>
  <si>
    <t>hairy/enhancer-of-split related with YRPW motif 1 [Source:MGI Symbol;Acc:MGI:1341800]</t>
  </si>
  <si>
    <t>Tk1</t>
  </si>
  <si>
    <t>thymidine kinase 1 [Source:MGI Symbol;Acc:MGI:98763]</t>
  </si>
  <si>
    <t>Anxa7</t>
  </si>
  <si>
    <t>annexin A7 [Source:MGI Symbol;Acc:MGI:88031]</t>
  </si>
  <si>
    <t>M6pr</t>
  </si>
  <si>
    <t>mannose-6-phosphate receptor, cation dependent [Source:MGI Symbol;Acc:MGI:96904]</t>
  </si>
  <si>
    <t>Cd82</t>
  </si>
  <si>
    <t>CD82 antigen [Source:MGI Symbol;Acc:MGI:104651]</t>
  </si>
  <si>
    <t>Flnb</t>
  </si>
  <si>
    <t>filamin, beta [Source:MGI Symbol;Acc:MGI:2446089]</t>
  </si>
  <si>
    <t>Engase</t>
  </si>
  <si>
    <t>endo-beta-N-acetylglucosaminidase [Source:MGI Symbol;Acc:MGI:2443788]</t>
  </si>
  <si>
    <t>Snx10</t>
  </si>
  <si>
    <t>sorting nexin 10 [Source:MGI Symbol;Acc:MGI:1919232]</t>
  </si>
  <si>
    <t>Lyl1</t>
  </si>
  <si>
    <t>lymphoblastomic leukemia 1 [Source:MGI Symbol;Acc:MGI:96891]</t>
  </si>
  <si>
    <t>Abr</t>
  </si>
  <si>
    <t>active BCR-related gene [Source:MGI Symbol;Acc:MGI:107771]</t>
  </si>
  <si>
    <t>Pmp22</t>
  </si>
  <si>
    <t>peripheral myelin protein 22 [Source:MGI Symbol;Acc:MGI:97631]</t>
  </si>
  <si>
    <t>Dnmt1</t>
  </si>
  <si>
    <t>DNA methyltransferase (cytosine-5) 1 [Source:MGI Symbol;Acc:MGI:94912]</t>
  </si>
  <si>
    <t>Ncapd3</t>
  </si>
  <si>
    <t>non-SMC condensin II complex, subunit D3 [Source:MGI Symbol;Acc:MGI:2142989]</t>
  </si>
  <si>
    <t>Fam241a</t>
  </si>
  <si>
    <t>family with sequence similarity 241, member A [Source:MGI Symbol;Acc:MGI:1917867]</t>
  </si>
  <si>
    <t>Anxa5</t>
  </si>
  <si>
    <t>annexin A5 [Source:MGI Symbol;Acc:MGI:106008]</t>
  </si>
  <si>
    <t>Usp25</t>
  </si>
  <si>
    <t>ubiquitin specific peptidase 25 [Source:MGI Symbol;Acc:MGI:1353655]</t>
  </si>
  <si>
    <t>Kmt5c</t>
  </si>
  <si>
    <t>lysine methyltransferase 5C [Source:MGI Symbol;Acc:MGI:2385262]</t>
  </si>
  <si>
    <t>Bmf</t>
  </si>
  <si>
    <t>BCL2 modifying factor [Source:MGI Symbol;Acc:MGI:2176433]</t>
  </si>
  <si>
    <t>Tnrc6b</t>
  </si>
  <si>
    <t>trinucleotide repeat containing 6b [Source:MGI Symbol;Acc:MGI:2443730]</t>
  </si>
  <si>
    <t>Zfp513</t>
  </si>
  <si>
    <t>zinc finger protein 513 [Source:MGI Symbol;Acc:MGI:2141255]</t>
  </si>
  <si>
    <t>Hsd17b12</t>
  </si>
  <si>
    <t>hydroxysteroid (17-beta) dehydrogenase 12 [Source:MGI Symbol;Acc:MGI:1926967]</t>
  </si>
  <si>
    <t>Atf6b</t>
  </si>
  <si>
    <t>activating transcription factor 6 beta [Source:MGI Symbol;Acc:MGI:105121]</t>
  </si>
  <si>
    <t>Tbc1d8</t>
  </si>
  <si>
    <t>TBC1 domain family, member 8 [Source:MGI Symbol;Acc:MGI:1927225]</t>
  </si>
  <si>
    <t>Ttc7</t>
  </si>
  <si>
    <t>tetratricopeptide repeat domain 7 [Source:MGI Symbol;Acc:MGI:1920999]</t>
  </si>
  <si>
    <t>Basp1</t>
  </si>
  <si>
    <t>brain abundant, membrane attached signal protein 1 [Source:MGI Symbol;Acc:MGI:1917600]</t>
  </si>
  <si>
    <t>Rtn4rl1</t>
  </si>
  <si>
    <t>reticulon 4 receptor-like 1 [Source:MGI Symbol;Acc:MGI:2661375]</t>
  </si>
  <si>
    <t>Max</t>
  </si>
  <si>
    <t>Max protein [Source:MGI Symbol;Acc:MGI:96921]</t>
  </si>
  <si>
    <t>Ube2d3</t>
  </si>
  <si>
    <t>ubiquitin-conjugating enzyme E2D 3 [Source:MGI Symbol;Acc:MGI:1913355]</t>
  </si>
  <si>
    <t>Sgsh</t>
  </si>
  <si>
    <t>N-sulfoglucosamine sulfohydrolase (sulfamidase) [Source:MGI Symbol;Acc:MGI:1350341]</t>
  </si>
  <si>
    <t>Srfbp1</t>
  </si>
  <si>
    <t>serum response factor binding protein 1 [Source:MGI Symbol;Acc:MGI:1914472]</t>
  </si>
  <si>
    <t>Mcm9</t>
  </si>
  <si>
    <t>minichromosome maintenance 9 homologous recombination repair factor [Source:MGI Symbol;Acc:MGI:1918817]</t>
  </si>
  <si>
    <t>Gmnn</t>
  </si>
  <si>
    <t>geminin [Source:MGI Symbol;Acc:MGI:1927344]</t>
  </si>
  <si>
    <t>Etf1</t>
  </si>
  <si>
    <t>eukaryotic translation termination factor 1 [Source:MGI Symbol;Acc:MGI:2385071]</t>
  </si>
  <si>
    <t>Fam219a</t>
  </si>
  <si>
    <t>family with sequence similarity 219, member A [Source:MGI Symbol;Acc:MGI:1919151]</t>
  </si>
  <si>
    <t>Lilr4b</t>
  </si>
  <si>
    <t>leukocyte immunoglobulin-like receptor, subfamily B, member 4B [Source:MGI Symbol;Acc:MGI:102702]</t>
  </si>
  <si>
    <t>Vps37c</t>
  </si>
  <si>
    <t>vacuolar protein sorting 37C [Source:MGI Symbol;Acc:MGI:2147661]</t>
  </si>
  <si>
    <t>Med15</t>
  </si>
  <si>
    <t>mediator complex subunit 15 [Source:MGI Symbol;Acc:MGI:2137379]</t>
  </si>
  <si>
    <t>BC021767</t>
  </si>
  <si>
    <t>cDNA sequence BC021767 [Source:MGI Symbol;Acc:MGI:3615512]</t>
  </si>
  <si>
    <t>Pold1</t>
  </si>
  <si>
    <t>polymerase (DNA directed), delta 1, catalytic subunit [Source:MGI Symbol;Acc:MGI:97741]</t>
  </si>
  <si>
    <t>Tpra1</t>
  </si>
  <si>
    <t>transmembrane protein, adipocyte asscociated 1 [Source:MGI Symbol;Acc:MGI:1345190]</t>
  </si>
  <si>
    <t>Ifih1</t>
  </si>
  <si>
    <t>interferon induced with helicase C domain 1 [Source:MGI Symbol;Acc:MGI:1918836]</t>
  </si>
  <si>
    <t>Stat1</t>
  </si>
  <si>
    <t>signal transducer and activator of transcription 1 [Source:MGI Symbol;Acc:MGI:103063]</t>
  </si>
  <si>
    <t>Slfn5</t>
  </si>
  <si>
    <t>schlafen 5 [Source:MGI Symbol;Acc:MGI:1329004]</t>
  </si>
  <si>
    <t>Kif24</t>
  </si>
  <si>
    <t>kinesin family member 24 [Source:MGI Symbol;Acc:MGI:1918345]</t>
  </si>
  <si>
    <t>Atp8b4</t>
  </si>
  <si>
    <t>ATPase, class I, type 8B, member 4 [Source:MGI Symbol;Acc:MGI:1859664]</t>
  </si>
  <si>
    <t>Rai14</t>
  </si>
  <si>
    <t>retinoic acid induced 14 [Source:MGI Symbol;Acc:MGI:1922896]</t>
  </si>
  <si>
    <t>Tspan14</t>
  </si>
  <si>
    <t>tetraspanin 14 [Source:MGI Symbol;Acc:MGI:1196325]</t>
  </si>
  <si>
    <t>Zdhhc12</t>
  </si>
  <si>
    <t>zinc finger, DHHC domain containing 12 [Source:MGI Symbol;Acc:MGI:1913470]</t>
  </si>
  <si>
    <t>Dtl</t>
  </si>
  <si>
    <t>denticleless E3 ubiquitin protein ligase [Source:MGI Symbol;Acc:MGI:1924093]</t>
  </si>
  <si>
    <t>Bambi</t>
  </si>
  <si>
    <t>BMP and activin membrane-bound inhibitor [Source:MGI Symbol;Acc:MGI:1915260]</t>
  </si>
  <si>
    <t>Fgd2</t>
  </si>
  <si>
    <t>FYVE, RhoGEF and PH domain containing 2 [Source:MGI Symbol;Acc:MGI:1347084]</t>
  </si>
  <si>
    <t>Mical1</t>
  </si>
  <si>
    <t>microtubule associated monooxygenase, calponin and LIM domain containing 1 [Source:MGI Symbol;Acc:MGI:2385847]</t>
  </si>
  <si>
    <t>Ntng2</t>
  </si>
  <si>
    <t>netrin G2 [Source:MGI Symbol;Acc:MGI:2159341]</t>
  </si>
  <si>
    <t>Mbnl1</t>
  </si>
  <si>
    <t>muscleblind like splicing factor 1 [Source:MGI Symbol;Acc:MGI:1928482]</t>
  </si>
  <si>
    <t>Mlkl</t>
  </si>
  <si>
    <t>mixed lineage kinase domain-like [Source:MGI Symbol;Acc:MGI:1921818]</t>
  </si>
  <si>
    <t>Ccdc86</t>
  </si>
  <si>
    <t>coiled-coil domain containing 86 [Source:MGI Symbol;Acc:MGI:1277220]</t>
  </si>
  <si>
    <t>Sap30</t>
  </si>
  <si>
    <t>sin3 associated polypeptide [Source:MGI Symbol;Acc:MGI:1929129]</t>
  </si>
  <si>
    <t>Slc17a5</t>
  </si>
  <si>
    <t>solute carrier family 17 (anion/sugar transporter), member 5 [Source:MGI Symbol;Acc:MGI:1924105]</t>
  </si>
  <si>
    <t>Tor1aip1</t>
  </si>
  <si>
    <t>torsin A interacting protein 1 [Source:MGI Symbol;Acc:MGI:3582693]</t>
  </si>
  <si>
    <t>Syne3</t>
  </si>
  <si>
    <t>spectrin repeat containing, nuclear envelope family member 3 [Source:MGI Symbol;Acc:MGI:2442408]</t>
  </si>
  <si>
    <t>Spsb4</t>
  </si>
  <si>
    <t>splA/ryanodine receptor domain and SOCS box containing 4 [Source:MGI Symbol;Acc:MGI:2183445]</t>
  </si>
  <si>
    <t>Gbp7</t>
  </si>
  <si>
    <t>guanylate binding protein 7 [Source:MGI Symbol;Acc:MGI:2444421]</t>
  </si>
  <si>
    <t>Gnb1</t>
  </si>
  <si>
    <t>guanine nucleotide binding protein (G protein), beta 1 [Source:MGI Symbol;Acc:MGI:95781]</t>
  </si>
  <si>
    <t>Pik3ip1</t>
  </si>
  <si>
    <t>phosphoinositide-3-kinase interacting protein 1 [Source:MGI Symbol;Acc:MGI:1917016]</t>
  </si>
  <si>
    <t>Cebpa</t>
  </si>
  <si>
    <t>CCAAT/enhancer binding protein (C/EBP), alpha [Source:MGI Symbol;Acc:MGI:99480]</t>
  </si>
  <si>
    <t>Tlr2</t>
  </si>
  <si>
    <t>toll-like receptor 2 [Source:MGI Symbol;Acc:MGI:1346060]</t>
  </si>
  <si>
    <t>E2f2</t>
  </si>
  <si>
    <t>E2F transcription factor 2 [Source:MGI Symbol;Acc:MGI:1096341]</t>
  </si>
  <si>
    <t>Oas1g</t>
  </si>
  <si>
    <t>2'-5' oligoadenylate synthetase 1G [Source:MGI Symbol;Acc:MGI:97429]</t>
  </si>
  <si>
    <t>4930430E12Rik</t>
  </si>
  <si>
    <t>RIKEN cDNA 4930430E12 gene [Source:MGI Symbol;Acc:MGI:1918889]</t>
  </si>
  <si>
    <t>antisense</t>
  </si>
  <si>
    <t>Tor1aip2</t>
  </si>
  <si>
    <t>torsin A interacting protein 2 [Source:MGI Symbol;Acc:MGI:3582695]</t>
  </si>
  <si>
    <t>Fanca</t>
  </si>
  <si>
    <t>Fanconi anemia, complementation group A [Source:MGI Symbol;Acc:MGI:1341823]</t>
  </si>
  <si>
    <t>Oip5os1</t>
  </si>
  <si>
    <t>Opa interacting protein 5, opposite strand 1 [Source:MGI Symbol;Acc:MGI:1913852]</t>
  </si>
  <si>
    <t>lincRNA</t>
  </si>
  <si>
    <t>Cmtr1</t>
  </si>
  <si>
    <t>cap methyltransferase 1 [Source:MGI Symbol;Acc:MGI:1921407]</t>
  </si>
  <si>
    <t>Zfp652</t>
  </si>
  <si>
    <t>zinc finger protein 652 [Source:MGI Symbol;Acc:MGI:2442221]</t>
  </si>
  <si>
    <t>Slc3a2</t>
  </si>
  <si>
    <t>solute carrier family 3 (activators of dibasic and neutral amino acid transport), member 2 [Source:MGI Symbol;Acc:MGI:96955]</t>
  </si>
  <si>
    <t>Susd3</t>
  </si>
  <si>
    <t>sushi domain containing 3 [Source:MGI Symbol;Acc:MGI:1913579]</t>
  </si>
  <si>
    <t>Serpina3f</t>
  </si>
  <si>
    <t>serine (or cysteine) peptidase inhibitor, clade A, member 3F [Source:MGI Symbol;Acc:MGI:2182838]</t>
  </si>
  <si>
    <t>Ctdspl</t>
  </si>
  <si>
    <t>CTD (carboxy-terminal domain, RNA polymerase II, polypeptide A) small phosphatase-like [Source:MGI Symbol;Acc:MGI:1916524]</t>
  </si>
  <si>
    <t>Plekho2</t>
  </si>
  <si>
    <t>pleckstrin homology domain containing, family O member 2 [Source:MGI Symbol;Acc:MGI:2143132]</t>
  </si>
  <si>
    <t>Dock9</t>
  </si>
  <si>
    <t>dedicator of cytokinesis 9 [Source:MGI Symbol;Acc:MGI:106321]</t>
  </si>
  <si>
    <t>Trim26</t>
  </si>
  <si>
    <t>tripartite motif-containing 26 [Source:MGI Symbol;Acc:MGI:1337056]</t>
  </si>
  <si>
    <t>Dclre1c</t>
  </si>
  <si>
    <t>DNA cross-link repair 1C [Source:MGI Symbol;Acc:MGI:2441769]</t>
  </si>
  <si>
    <t>Rap1b</t>
  </si>
  <si>
    <t>RAS related protein 1b [Source:MGI Symbol;Acc:MGI:894315]</t>
  </si>
  <si>
    <t>Rgs7bp</t>
  </si>
  <si>
    <t>regulator of G-protein signalling 7 binding protein [Source:MGI Symbol;Acc:MGI:106334]</t>
  </si>
  <si>
    <t>Fndc3a</t>
  </si>
  <si>
    <t>fibronectin type III domain containing 3A [Source:MGI Symbol;Acc:MGI:1196463]</t>
  </si>
  <si>
    <t>Sqstm1</t>
  </si>
  <si>
    <t>sequestosome 1 [Source:MGI Symbol;Acc:MGI:107931]</t>
  </si>
  <si>
    <t>Tgm2</t>
  </si>
  <si>
    <t>transglutaminase 2, C polypeptide [Source:MGI Symbol;Acc:MGI:98731]</t>
  </si>
  <si>
    <t>Xylt1</t>
  </si>
  <si>
    <t>xylosyltransferase 1 [Source:MGI Symbol;Acc:MGI:2451073]</t>
  </si>
  <si>
    <t>Nmi</t>
  </si>
  <si>
    <t>N-myc (and STAT) interactor [Source:MGI Symbol;Acc:MGI:1928368]</t>
  </si>
  <si>
    <t>Oas1b</t>
  </si>
  <si>
    <t>2'-5' oligoadenylate synthetase 1B [Source:MGI Symbol;Acc:MGI:97430]</t>
  </si>
  <si>
    <t>polymorphic_pseudogene</t>
  </si>
  <si>
    <t>Ptpn14</t>
  </si>
  <si>
    <t>protein tyrosine phosphatase, non-receptor type 14 [Source:MGI Symbol;Acc:MGI:102467]</t>
  </si>
  <si>
    <t>Appl2</t>
  </si>
  <si>
    <t>adaptor protein, phosphotyrosine interaction, PH domain and leucine zipper containing 2 [Source:MGI Symbol;Acc:MGI:2384914]</t>
  </si>
  <si>
    <t>Apol9a</t>
  </si>
  <si>
    <t>apolipoprotein L 9a [Source:MGI Symbol;Acc:MGI:3606001]</t>
  </si>
  <si>
    <t>Fam117b</t>
  </si>
  <si>
    <t>family with sequence similarity 117, member B [Source:MGI Symbol;Acc:MGI:1920000]</t>
  </si>
  <si>
    <t>Atad5</t>
  </si>
  <si>
    <t>ATPase family, AAA domain containing 5 [Source:MGI Symbol;Acc:MGI:2442925]</t>
  </si>
  <si>
    <t>Paip2b</t>
  </si>
  <si>
    <t>poly(A) binding protein interacting protein 2B [Source:MGI Symbol;Acc:MGI:2386865]</t>
  </si>
  <si>
    <t>Reps1</t>
  </si>
  <si>
    <t>RalBP1 associated Eps domain containing protein [Source:MGI Symbol;Acc:MGI:1196373]</t>
  </si>
  <si>
    <t>Tbc1d9</t>
  </si>
  <si>
    <t>TBC1 domain family, member 9 [Source:MGI Symbol;Acc:MGI:1918560]</t>
  </si>
  <si>
    <t>Gm44597</t>
  </si>
  <si>
    <t>predicted gene 44597 [Source:MGI Symbol;Acc:MGI:5753173]</t>
  </si>
  <si>
    <t>Vgll4</t>
  </si>
  <si>
    <t>vestigial like family member 4 [Source:MGI Symbol;Acc:MGI:2652840]</t>
  </si>
  <si>
    <t>Bst2</t>
  </si>
  <si>
    <t>bone marrow stromal cell antigen 2 [Source:MGI Symbol;Acc:MGI:1916800]</t>
  </si>
  <si>
    <t>Ugcg</t>
  </si>
  <si>
    <t>UDP-glucose ceramide glucosyltransferase [Source:MGI Symbol;Acc:MGI:1332243]</t>
  </si>
  <si>
    <t>Zfp704</t>
  </si>
  <si>
    <t>zinc finger protein 704 [Source:MGI Symbol;Acc:MGI:2180715]</t>
  </si>
  <si>
    <t>Rbpj</t>
  </si>
  <si>
    <t>recombination signal binding protein for immunoglobulin kappa J region [Source:MGI Symbol;Acc:MGI:96522]</t>
  </si>
  <si>
    <t>Rasal2</t>
  </si>
  <si>
    <t>RAS protein activator like 2 [Source:MGI Symbol;Acc:MGI:2443881]</t>
  </si>
  <si>
    <t>Tfec</t>
  </si>
  <si>
    <t>transcription factor EC [Source:MGI Symbol;Acc:MGI:1333760]</t>
  </si>
  <si>
    <t>Ing4</t>
  </si>
  <si>
    <t>inhibitor of growth family, member 4 [Source:MGI Symbol;Acc:MGI:107307]</t>
  </si>
  <si>
    <t>Mir155hg</t>
  </si>
  <si>
    <t>Mir155 host gene (non-protein coding) [Source:MGI Symbol;Acc:MGI:5477161]</t>
  </si>
  <si>
    <t>Abl1</t>
  </si>
  <si>
    <t>c-abl oncogene 1, non-receptor tyrosine kinase [Source:MGI Symbol;Acc:MGI:87859]</t>
  </si>
  <si>
    <t>Slc31a1</t>
  </si>
  <si>
    <t>solute carrier family 31, member 1 [Source:MGI Symbol;Acc:MGI:1333843]</t>
  </si>
  <si>
    <t>Gm13822</t>
  </si>
  <si>
    <t>predicted gene 13822 [Source:MGI Symbol;Acc:MGI:3650351]</t>
  </si>
  <si>
    <t>Tle3</t>
  </si>
  <si>
    <t>transducin-like enhancer of split 3 [Source:MGI Symbol;Acc:MGI:104634]</t>
  </si>
  <si>
    <t>Acbd3</t>
  </si>
  <si>
    <t>acyl-Coenzyme A binding domain containing 3 [Source:MGI Symbol;Acc:MGI:2181074]</t>
  </si>
  <si>
    <t>Oasl2</t>
  </si>
  <si>
    <t>2'-5' oligoadenylate synthetase-like 2 [Source:MGI Symbol;Acc:MGI:1344390]</t>
  </si>
  <si>
    <t>Dcp2</t>
  </si>
  <si>
    <t>decapping mRNA 2 [Source:MGI Symbol;Acc:MGI:1917890]</t>
  </si>
  <si>
    <t>Bcl9l</t>
  </si>
  <si>
    <t>B cell CLL/lymphoma 9-like [Source:MGI Symbol;Acc:MGI:1933114]</t>
  </si>
  <si>
    <t>Saa3</t>
  </si>
  <si>
    <t>serum amyloid A 3 [Source:MGI Symbol;Acc:MGI:98223]</t>
  </si>
  <si>
    <t>Erap1</t>
  </si>
  <si>
    <t>endoplasmic reticulum aminopeptidase 1 [Source:MGI Symbol;Acc:MGI:1933403]</t>
  </si>
  <si>
    <t>Cnnm3</t>
  </si>
  <si>
    <t>cyclin M3 [Source:MGI Symbol;Acc:MGI:2151055]</t>
  </si>
  <si>
    <t>Casp1</t>
  </si>
  <si>
    <t>caspase 1 [Source:MGI Symbol;Acc:MGI:96544]</t>
  </si>
  <si>
    <t>Hdac5</t>
  </si>
  <si>
    <t>histone deacetylase 5 [Source:MGI Symbol;Acc:MGI:1333784]</t>
  </si>
  <si>
    <t>Rfc2</t>
  </si>
  <si>
    <t>replication factor C (activator 1) 2 [Source:MGI Symbol;Acc:MGI:1341868]</t>
  </si>
  <si>
    <t>Gm6548</t>
  </si>
  <si>
    <t>predicted gene 6548 [Source:MGI Symbol;Acc:MGI:3644071]</t>
  </si>
  <si>
    <t>processed_pseudogene</t>
  </si>
  <si>
    <t>Arap1</t>
  </si>
  <si>
    <t>ArfGAP with RhoGAP domain, ankyrin repeat and PH domain 1 [Source:MGI Symbol;Acc:MGI:1916960]</t>
  </si>
  <si>
    <t>Hax1</t>
  </si>
  <si>
    <t>HCLS1 associated X-1 [Source:MGI Symbol;Acc:MGI:1346319]</t>
  </si>
  <si>
    <t>Lyn</t>
  </si>
  <si>
    <t>LYN proto-oncogene, Src family tyrosine kinase [Source:MGI Symbol;Acc:MGI:96892]</t>
  </si>
  <si>
    <t>Dusp5</t>
  </si>
  <si>
    <t>dual specificity phosphatase 5 [Source:MGI Symbol;Acc:MGI:2685183]</t>
  </si>
  <si>
    <t>Mat2b</t>
  </si>
  <si>
    <t>methionine adenosyltransferase II, beta [Source:MGI Symbol;Acc:MGI:1913667]</t>
  </si>
  <si>
    <t>Foxo1</t>
  </si>
  <si>
    <t>forkhead box O1 [Source:MGI Symbol;Acc:MGI:1890077]</t>
  </si>
  <si>
    <t>Diaph1</t>
  </si>
  <si>
    <t>diaphanous related formin 1 [Source:MGI Symbol;Acc:MGI:1194490]</t>
  </si>
  <si>
    <t>Ptgs1</t>
  </si>
  <si>
    <t>prostaglandin-endoperoxide synthase 1 [Source:MGI Symbol;Acc:MGI:97797]</t>
  </si>
  <si>
    <t>Usp12</t>
  </si>
  <si>
    <t>ubiquitin specific peptidase 12 [Source:MGI Symbol;Acc:MGI:1270128]</t>
  </si>
  <si>
    <t>Fam214b</t>
  </si>
  <si>
    <t>family with sequence similarity 214, member B [Source:MGI Symbol;Acc:MGI:2441854]</t>
  </si>
  <si>
    <t>Gtpbp4</t>
  </si>
  <si>
    <t>GTP binding protein 4 [Source:MGI Symbol;Acc:MGI:1916487]</t>
  </si>
  <si>
    <t>Ticam1</t>
  </si>
  <si>
    <t>toll-like receptor adaptor molecule 1 [Source:MGI Symbol;Acc:MGI:2147032]</t>
  </si>
  <si>
    <t>Clcn7</t>
  </si>
  <si>
    <t>chloride channel, voltage-sensitive 7 [Source:MGI Symbol;Acc:MGI:1347048]</t>
  </si>
  <si>
    <t>Rps6ka5</t>
  </si>
  <si>
    <t>ribosomal protein S6 kinase, polypeptide 5 [Source:MGI Symbol;Acc:MGI:1920336]</t>
  </si>
  <si>
    <t>Ier5</t>
  </si>
  <si>
    <t>immediate early response 5 [Source:MGI Symbol;Acc:MGI:1337072]</t>
  </si>
  <si>
    <t>Tonsl</t>
  </si>
  <si>
    <t>tonsoku-like, DNA repair protein [Source:MGI Symbol;Acc:MGI:1919999]</t>
  </si>
  <si>
    <t>Golm1</t>
  </si>
  <si>
    <t>golgi membrane protein 1 [Source:MGI Symbol;Acc:MGI:1917329]</t>
  </si>
  <si>
    <t>Procr</t>
  </si>
  <si>
    <t>protein C receptor, endothelial [Source:MGI Symbol;Acc:MGI:104596]</t>
  </si>
  <si>
    <t>Plekhg5</t>
  </si>
  <si>
    <t>pleckstrin homology domain containing, family G (with RhoGef domain) member 5 [Source:MGI Symbol;Acc:MGI:2652860]</t>
  </si>
  <si>
    <t>Pou2f2</t>
  </si>
  <si>
    <t>POU domain, class 2, transcription factor 2 [Source:MGI Symbol;Acc:MGI:101897]</t>
  </si>
  <si>
    <t>Sgsm2</t>
  </si>
  <si>
    <t>small G protein signaling modulator 2 [Source:MGI Symbol;Acc:MGI:2144695]</t>
  </si>
  <si>
    <t>Slc26a11</t>
  </si>
  <si>
    <t>solute carrier family 26, member 11 [Source:MGI Symbol;Acc:MGI:2444589]</t>
  </si>
  <si>
    <t>Mcm2</t>
  </si>
  <si>
    <t>minichromosome maintenance complex component 2 [Source:MGI Symbol;Acc:MGI:105380]</t>
  </si>
  <si>
    <t>Col4a2</t>
  </si>
  <si>
    <t>collagen, type IV, alpha 2 [Source:MGI Symbol;Acc:MGI:88455]</t>
  </si>
  <si>
    <t>Cdca7l</t>
  </si>
  <si>
    <t>cell division cycle associated 7 like [Source:MGI Symbol;Acc:MGI:2384982]</t>
  </si>
  <si>
    <t>Mfsd7a</t>
  </si>
  <si>
    <t>major facilitator superfamily domain containing 7A [Source:MGI Symbol;Acc:MGI:2442629]</t>
  </si>
  <si>
    <t>Suco</t>
  </si>
  <si>
    <t>SUN domain containing ossification factor [Source:MGI Symbol;Acc:MGI:2138346]</t>
  </si>
  <si>
    <t>Rtp4</t>
  </si>
  <si>
    <t>receptor transporter protein 4 [Source:MGI Symbol;Acc:MGI:1915025]</t>
  </si>
  <si>
    <t>Pfkm</t>
  </si>
  <si>
    <t>phosphofructokinase, muscle [Source:MGI Symbol;Acc:MGI:97548]</t>
  </si>
  <si>
    <t>Zswim4</t>
  </si>
  <si>
    <t>zinc finger SWIM-type containing 4 [Source:MGI Symbol;Acc:MGI:2443726]</t>
  </si>
  <si>
    <t>Nfix</t>
  </si>
  <si>
    <t>nuclear factor I/X [Source:MGI Symbol;Acc:MGI:97311]</t>
  </si>
  <si>
    <t>Dnaja2</t>
  </si>
  <si>
    <t>DnaJ heat shock protein family (Hsp40) member A2 [Source:MGI Symbol;Acc:MGI:1931882]</t>
  </si>
  <si>
    <t>Trim13</t>
  </si>
  <si>
    <t>tripartite motif-containing 13 [Source:MGI Symbol;Acc:MGI:1913847]</t>
  </si>
  <si>
    <t>AU020206</t>
  </si>
  <si>
    <t>expressed sequence AU020206 [Source:MGI Symbol;Acc:MGI:2142134]</t>
  </si>
  <si>
    <t>Ulk1</t>
  </si>
  <si>
    <t>unc-51 like kinase 1 [Source:MGI Symbol;Acc:MGI:1270126]</t>
  </si>
  <si>
    <t>Sin3a</t>
  </si>
  <si>
    <t>transcriptional regulator, SIN3A (yeast) [Source:MGI Symbol;Acc:MGI:107157]</t>
  </si>
  <si>
    <t>Hdc</t>
  </si>
  <si>
    <t>histidine decarboxylase [Source:MGI Symbol;Acc:MGI:96062]</t>
  </si>
  <si>
    <t>Fbxl20</t>
  </si>
  <si>
    <t>F-box and leucine-rich repeat protein 20 [Source:MGI Symbol;Acc:MGI:1919444]</t>
  </si>
  <si>
    <t>Slc30a1</t>
  </si>
  <si>
    <t>solute carrier family 30 (zinc transporter), member 1 [Source:MGI Symbol;Acc:MGI:1345281]</t>
  </si>
  <si>
    <t>1810013L24Rik</t>
  </si>
  <si>
    <t>RIKEN cDNA 1810013L24 gene [Source:MGI Symbol;Acc:MGI:1916303]</t>
  </si>
  <si>
    <t>Ptprc</t>
  </si>
  <si>
    <t>protein tyrosine phosphatase, receptor type, C [Source:MGI Symbol;Acc:MGI:97810]</t>
  </si>
  <si>
    <t>Rab21</t>
  </si>
  <si>
    <t>RAB21, member RAS oncogene family [Source:MGI Symbol;Acc:MGI:894308]</t>
  </si>
  <si>
    <t>Ppm1e</t>
  </si>
  <si>
    <t>protein phosphatase 1E (PP2C domain containing) [Source:MGI Symbol;Acc:MGI:2444096]</t>
  </si>
  <si>
    <t>Mx2</t>
  </si>
  <si>
    <t>MX dynamin-like GTPase 2 [Source:MGI Symbol;Acc:MGI:97244]</t>
  </si>
  <si>
    <t>Helb</t>
  </si>
  <si>
    <t>helicase (DNA) B [Source:MGI Symbol;Acc:MGI:2152895]</t>
  </si>
  <si>
    <t>Ppp2r5a</t>
  </si>
  <si>
    <t>protein phosphatase 2, regulatory subunit B', alpha [Source:MGI Symbol;Acc:MGI:2388479]</t>
  </si>
  <si>
    <t>Gramd1b</t>
  </si>
  <si>
    <t>GRAM domain containing 1B [Source:MGI Symbol;Acc:MGI:1925037]</t>
  </si>
  <si>
    <t>Pgs1</t>
  </si>
  <si>
    <t>phosphatidylglycerophosphate synthase 1 [Source:MGI Symbol;Acc:MGI:1921701]</t>
  </si>
  <si>
    <t>Lgals9</t>
  </si>
  <si>
    <t>lectin, galactose binding, soluble 9 [Source:MGI Symbol;Acc:MGI:109496]</t>
  </si>
  <si>
    <t>Cmpk2</t>
  </si>
  <si>
    <t>cytidine monophosphate (UMP-CMP) kinase 2, mitochondrial [Source:MGI Symbol;Acc:MGI:99830]</t>
  </si>
  <si>
    <t>Lrmp</t>
  </si>
  <si>
    <t>lymphoid-restricted membrane protein [Source:MGI Symbol;Acc:MGI:108424]</t>
  </si>
  <si>
    <t>Slc6a17</t>
  </si>
  <si>
    <t>solute carrier family 6 (neurotransmitter transporter), member 17 [Source:MGI Symbol;Acc:MGI:2442535]</t>
  </si>
  <si>
    <t>Scarb1</t>
  </si>
  <si>
    <t>scavenger receptor class B, member 1 [Source:MGI Symbol;Acc:MGI:893578]</t>
  </si>
  <si>
    <t>Ppt2</t>
  </si>
  <si>
    <t>palmitoyl-protein thioesterase 2 [Source:MGI Symbol;Acc:MGI:1860075]</t>
  </si>
  <si>
    <t>Rhoc</t>
  </si>
  <si>
    <t>ras homolog family member C [Source:MGI Symbol;Acc:MGI:106028]</t>
  </si>
  <si>
    <t>B4galt1</t>
  </si>
  <si>
    <t>UDP-Gal:betaGlcNAc beta 1,4- galactosyltransferase, polypeptide 1 [Source:MGI Symbol;Acc:MGI:95705]</t>
  </si>
  <si>
    <t>Rpa1</t>
  </si>
  <si>
    <t>replication protein A1 [Source:MGI Symbol;Acc:MGI:1915525]</t>
  </si>
  <si>
    <t>Amigo1</t>
  </si>
  <si>
    <t>adhesion molecule with Ig like domain 1 [Source:MGI Symbol;Acc:MGI:2653612]</t>
  </si>
  <si>
    <t>Gpr183</t>
  </si>
  <si>
    <t>G protein-coupled receptor 183 [Source:MGI Symbol;Acc:MGI:2442034]</t>
  </si>
  <si>
    <t>Plxnb2</t>
  </si>
  <si>
    <t>plexin B2 [Source:MGI Symbol;Acc:MGI:2154239]</t>
  </si>
  <si>
    <t>Bcl2a1d</t>
  </si>
  <si>
    <t>B cell leukemia/lymphoma 2 related protein A1d [Source:MGI Symbol;Acc:MGI:1278325]</t>
  </si>
  <si>
    <t>Exo1</t>
  </si>
  <si>
    <t>exonuclease 1 [Source:MGI Symbol;Acc:MGI:1349427]</t>
  </si>
  <si>
    <t>Snrk</t>
  </si>
  <si>
    <t>SNF related kinase [Source:MGI Symbol;Acc:MGI:108104]</t>
  </si>
  <si>
    <t>Fmnl2</t>
  </si>
  <si>
    <t>formin-like 2 [Source:MGI Symbol;Acc:MGI:1918659]</t>
  </si>
  <si>
    <t>Slc32a1</t>
  </si>
  <si>
    <t>solute carrier family 32 (GABA vesicular transporter), member 1 [Source:MGI Symbol;Acc:MGI:1194488]</t>
  </si>
  <si>
    <t>Plek</t>
  </si>
  <si>
    <t>pleckstrin [Source:MGI Symbol;Acc:MGI:1860485]</t>
  </si>
  <si>
    <t>Ralgds</t>
  </si>
  <si>
    <t>ral guanine nucleotide dissociation stimulator [Source:MGI Symbol;Acc:MGI:107485]</t>
  </si>
  <si>
    <t>Stam2</t>
  </si>
  <si>
    <t>signal transducing adaptor molecule (SH3 domain and ITAM motif) 2 [Source:MGI Symbol;Acc:MGI:1929100]</t>
  </si>
  <si>
    <t>Vps26a</t>
  </si>
  <si>
    <t>VPS26 retromer complex component A [Source:MGI Symbol;Acc:MGI:1353654]</t>
  </si>
  <si>
    <t>Hif1a</t>
  </si>
  <si>
    <t>hypoxia inducible factor 1, alpha subunit [Source:MGI Symbol;Acc:MGI:106918]</t>
  </si>
  <si>
    <t>Apobr</t>
  </si>
  <si>
    <t>apolipoprotein B receptor [Source:MGI Symbol;Acc:MGI:2176230]</t>
  </si>
  <si>
    <t>Alms1</t>
  </si>
  <si>
    <t>ALMS1, centrosome and basal body associated [Source:MGI Symbol;Acc:MGI:1934606]</t>
  </si>
  <si>
    <t>Tmem64</t>
  </si>
  <si>
    <t>transmembrane protein 64 [Source:MGI Symbol;Acc:MGI:2140359]</t>
  </si>
  <si>
    <t>Rgs2</t>
  </si>
  <si>
    <t>regulator of G-protein signaling 2 [Source:MGI Symbol;Acc:MGI:1098271]</t>
  </si>
  <si>
    <t>Wdr76</t>
  </si>
  <si>
    <t>WD repeat domain 76 [Source:MGI Symbol;Acc:MGI:1926186]</t>
  </si>
  <si>
    <t>Pigv</t>
  </si>
  <si>
    <t>phosphatidylinositol glycan anchor biosynthesis, class V [Source:MGI Symbol;Acc:MGI:2442480]</t>
  </si>
  <si>
    <t>Nfe2l2</t>
  </si>
  <si>
    <t>nuclear factor, erythroid derived 2, like 2 [Source:MGI Symbol;Acc:MGI:108420]</t>
  </si>
  <si>
    <t>Cnr2</t>
  </si>
  <si>
    <t>cannabinoid receptor 2 (macrophage) [Source:MGI Symbol;Acc:MGI:104650]</t>
  </si>
  <si>
    <t>H2-M2</t>
  </si>
  <si>
    <t>histocompatibility 2, M region locus 2 [Source:MGI Symbol;Acc:MGI:95914]</t>
  </si>
  <si>
    <t>Wdr59</t>
  </si>
  <si>
    <t>WD repeat domain 59 [Source:MGI Symbol;Acc:MGI:2442115]</t>
  </si>
  <si>
    <t>Plxna2</t>
  </si>
  <si>
    <t>plexin A2 [Source:MGI Symbol;Acc:MGI:107684]</t>
  </si>
  <si>
    <t>Chd6</t>
  </si>
  <si>
    <t>chromodomain helicase DNA binding protein 6 [Source:MGI Symbol;Acc:MGI:1918639]</t>
  </si>
  <si>
    <t>Rubcn</t>
  </si>
  <si>
    <t>RUN domain and cysteine-rich domain containing, Beclin 1-interacting protein [Source:MGI Symbol;Acc:MGI:1915160]</t>
  </si>
  <si>
    <t>Azi2</t>
  </si>
  <si>
    <t>5-azacytidine induced gene 2 [Source:MGI Symbol;Acc:MGI:1351332]</t>
  </si>
  <si>
    <t>Pea15a</t>
  </si>
  <si>
    <t>phosphoprotein enriched in astrocytes 15A [Source:MGI Symbol;Acc:MGI:104799]</t>
  </si>
  <si>
    <t>Ifit3</t>
  </si>
  <si>
    <t>interferon-induced protein with tetratricopeptide repeats 3 [Source:MGI Symbol;Acc:MGI:1101055]</t>
  </si>
  <si>
    <t>Zdhhc14</t>
  </si>
  <si>
    <t>zinc finger, DHHC domain containing 14 [Source:MGI Symbol;Acc:MGI:2653229]</t>
  </si>
  <si>
    <t>1700025G04Rik</t>
  </si>
  <si>
    <t>RIKEN cDNA 1700025G04 gene [Source:MGI Symbol;Acc:MGI:1916649]</t>
  </si>
  <si>
    <t>Cxxc5</t>
  </si>
  <si>
    <t>CXXC finger 5 [Source:MGI Symbol;Acc:MGI:1914643]</t>
  </si>
  <si>
    <t>Slfn4</t>
  </si>
  <si>
    <t>schlafen 4 [Source:MGI Symbol;Acc:MGI:1329010]</t>
  </si>
  <si>
    <t>Gm15832</t>
  </si>
  <si>
    <t>predicted gene 15832 [Source:MGI Symbol;Acc:MGI:3834078]</t>
  </si>
  <si>
    <t>Isg20</t>
  </si>
  <si>
    <t>interferon-stimulated protein [Source:MGI Symbol;Acc:MGI:1928895]</t>
  </si>
  <si>
    <t>Rb1</t>
  </si>
  <si>
    <t>RB transcriptional corepressor 1 [Source:MGI Symbol;Acc:MGI:97874]</t>
  </si>
  <si>
    <t>Acsl4</t>
  </si>
  <si>
    <t>acyl-CoA synthetase long-chain family member 4 [Source:MGI Symbol;Acc:MGI:1354713]</t>
  </si>
  <si>
    <t>Ube2e2</t>
  </si>
  <si>
    <t>ubiquitin-conjugating enzyme E2E 2 [Source:MGI Symbol;Acc:MGI:2384997]</t>
  </si>
  <si>
    <t>Met</t>
  </si>
  <si>
    <t>met proto-oncogene [Source:MGI Symbol;Acc:MGI:96969]</t>
  </si>
  <si>
    <t>Ebi3</t>
  </si>
  <si>
    <t>Epstein-Barr virus induced gene 3 [Source:MGI Symbol;Acc:MGI:1354171]</t>
  </si>
  <si>
    <t>Dlg1</t>
  </si>
  <si>
    <t>discs large MAGUK scaffold protein 1 [Source:MGI Symbol;Acc:MGI:107231]</t>
  </si>
  <si>
    <t>Cmtm3</t>
  </si>
  <si>
    <t>CKLF-like MARVEL transmembrane domain containing 3 [Source:MGI Symbol;Acc:MGI:2447162]</t>
  </si>
  <si>
    <t>Ubr7</t>
  </si>
  <si>
    <t>ubiquitin protein ligase E3 component n-recognin 7 (putative) [Source:MGI Symbol;Acc:MGI:1913872]</t>
  </si>
  <si>
    <t>Jund</t>
  </si>
  <si>
    <t>jun D proto-oncogene [Source:MGI Symbol;Acc:MGI:96648]</t>
  </si>
  <si>
    <t>Sdc4</t>
  </si>
  <si>
    <t>syndecan 4 [Source:MGI Symbol;Acc:MGI:1349164]</t>
  </si>
  <si>
    <t>Slpi</t>
  </si>
  <si>
    <t>secretory leukocyte peptidase inhibitor [Source:MGI Symbol;Acc:MGI:109297]</t>
  </si>
  <si>
    <t>Jun</t>
  </si>
  <si>
    <t>jun proto-oncogene [Source:MGI Symbol;Acc:MGI:96646]</t>
  </si>
  <si>
    <t>Csnk1g2</t>
  </si>
  <si>
    <t>casein kinase 1, gamma 2 [Source:MGI Symbol;Acc:MGI:1920014]</t>
  </si>
  <si>
    <t>Abhd15</t>
  </si>
  <si>
    <t>abhydrolase domain containing 15 [Source:MGI Symbol;Acc:MGI:1914727]</t>
  </si>
  <si>
    <t>Rrs1</t>
  </si>
  <si>
    <t>ribosome biogenesis regulator 1 [Source:MGI Symbol;Acc:MGI:1929721]</t>
  </si>
  <si>
    <t>Plxna1</t>
  </si>
  <si>
    <t>plexin A1 [Source:MGI Symbol;Acc:MGI:107685]</t>
  </si>
  <si>
    <t>Celf2</t>
  </si>
  <si>
    <t>CUGBP, Elav-like family member 2 [Source:MGI Symbol;Acc:MGI:1338822]</t>
  </si>
  <si>
    <t>Batf2</t>
  </si>
  <si>
    <t>basic leucine zipper transcription factor, ATF-like 2 [Source:MGI Symbol;Acc:MGI:1921731]</t>
  </si>
  <si>
    <t>Sipa1l2</t>
  </si>
  <si>
    <t>signal-induced proliferation-associated 1 like 2 [Source:MGI Symbol;Acc:MGI:2676970]</t>
  </si>
  <si>
    <t>Ccrl2</t>
  </si>
  <si>
    <t>chemokine (C-C motif) receptor-like 2 [Source:MGI Symbol;Acc:MGI:1920904]</t>
  </si>
  <si>
    <t>Camta2</t>
  </si>
  <si>
    <t>calmodulin binding transcription activator 2 [Source:MGI Symbol;Acc:MGI:2135957]</t>
  </si>
  <si>
    <t>Birc3</t>
  </si>
  <si>
    <t>baculoviral IAP repeat-containing 3 [Source:MGI Symbol;Acc:MGI:1197007]</t>
  </si>
  <si>
    <t>Rxra</t>
  </si>
  <si>
    <t>retinoid X receptor alpha [Source:MGI Symbol;Acc:MGI:98214]</t>
  </si>
  <si>
    <t>Mbnl2</t>
  </si>
  <si>
    <t>muscleblind like splicing factor 2 [Source:MGI Symbol;Acc:MGI:2145597]</t>
  </si>
  <si>
    <t>Gpr160</t>
  </si>
  <si>
    <t>G protein-coupled receptor 160 [Source:MGI Symbol;Acc:MGI:1919112]</t>
  </si>
  <si>
    <t>Tsc22d3</t>
  </si>
  <si>
    <t>TSC22 domain family, member 3 [Source:MGI Symbol;Acc:MGI:1196284]</t>
  </si>
  <si>
    <t>Sox12</t>
  </si>
  <si>
    <t>SRY (sex determining region Y)-box 12 [Source:MGI Symbol;Acc:MGI:98360]</t>
  </si>
  <si>
    <t>Gm20547</t>
  </si>
  <si>
    <t>predicted gene 20547 [Source:MGI Symbol;Acc:MGI:5142012]</t>
  </si>
  <si>
    <t>Fbxo21</t>
  </si>
  <si>
    <t>F-box protein 21 [Source:MGI Symbol;Acc:MGI:1924223]</t>
  </si>
  <si>
    <t>Cxcl14</t>
  </si>
  <si>
    <t>chemokine (C-X-C motif) ligand 14 [Source:MGI Symbol;Acc:MGI:1888514]</t>
  </si>
  <si>
    <t>Lcn2</t>
  </si>
  <si>
    <t>lipocalin 2 [Source:MGI Symbol;Acc:MGI:96757]</t>
  </si>
  <si>
    <t>Fth1</t>
  </si>
  <si>
    <t>ferritin heavy polypeptide 1 [Source:MGI Symbol;Acc:MGI:95588]</t>
  </si>
  <si>
    <t>Abca2</t>
  </si>
  <si>
    <t>ATP-binding cassette, sub-family A (ABC1), member 2 [Source:MGI Symbol;Acc:MGI:99606]</t>
  </si>
  <si>
    <t>Nub1</t>
  </si>
  <si>
    <t>negative regulator of ubiquitin-like proteins 1 [Source:MGI Symbol;Acc:MGI:1889001]</t>
  </si>
  <si>
    <t>Jag2</t>
  </si>
  <si>
    <t>jagged 2 [Source:MGI Symbol;Acc:MGI:1098270]</t>
  </si>
  <si>
    <t>Psmb6</t>
  </si>
  <si>
    <t>proteasome (prosome, macropain) subunit, beta type 6 [Source:MGI Symbol;Acc:MGI:104880]</t>
  </si>
  <si>
    <t>Rfc1</t>
  </si>
  <si>
    <t>replication factor C (activator 1) 1 [Source:MGI Symbol;Acc:MGI:97891]</t>
  </si>
  <si>
    <t>Esco2</t>
  </si>
  <si>
    <t>establishment of sister chromatid cohesion N-acetyltransferase 2 [Source:MGI Symbol;Acc:MGI:1919238]</t>
  </si>
  <si>
    <t>Tmem154</t>
  </si>
  <si>
    <t>transmembrane protein 154 [Source:MGI Symbol;Acc:MGI:2444725]</t>
  </si>
  <si>
    <t>Psmd8</t>
  </si>
  <si>
    <t>proteasome (prosome, macropain) 26S subunit, non-ATPase, 8 [Source:MGI Symbol;Acc:MGI:1888669]</t>
  </si>
  <si>
    <t>Foxo4</t>
  </si>
  <si>
    <t>forkhead box O4 [Source:MGI Symbol;Acc:MGI:1891915]</t>
  </si>
  <si>
    <t>Pnp</t>
  </si>
  <si>
    <t>purine-nucleoside phosphorylase [Source:MGI Symbol;Acc:MGI:97365]</t>
  </si>
  <si>
    <t>Brip1</t>
  </si>
  <si>
    <t>BRCA1 interacting protein C-terminal helicase 1 [Source:MGI Symbol;Acc:MGI:2442836]</t>
  </si>
  <si>
    <t>Klhl25</t>
  </si>
  <si>
    <t>kelch-like 25 [Source:MGI Symbol;Acc:MGI:2668031]</t>
  </si>
  <si>
    <t>Tesk1</t>
  </si>
  <si>
    <t>testis specific protein kinase 1 [Source:MGI Symbol;Acc:MGI:1201675]</t>
  </si>
  <si>
    <t>Tbc1d1</t>
  </si>
  <si>
    <t>TBC1 domain family, member 1 [Source:MGI Symbol;Acc:MGI:1889508]</t>
  </si>
  <si>
    <t>Dusp8</t>
  </si>
  <si>
    <t>dual specificity phosphatase 8 [Source:MGI Symbol;Acc:MGI:106626]</t>
  </si>
  <si>
    <t>Gm20460</t>
  </si>
  <si>
    <t>predicted gene 20460 [Source:MGI Symbol;Acc:MGI:5141925]</t>
  </si>
  <si>
    <t>Tnn</t>
  </si>
  <si>
    <t>tenascin N [Source:MGI Symbol;Acc:MGI:2665790]</t>
  </si>
  <si>
    <t>Ubtf</t>
  </si>
  <si>
    <t>upstream binding transcription factor, RNA polymerase I [Source:MGI Symbol;Acc:MGI:98512]</t>
  </si>
  <si>
    <t>Tent4a</t>
  </si>
  <si>
    <t>terminal nucleotidyltransferase 4A [Source:MGI Symbol;Acc:MGI:2682295]</t>
  </si>
  <si>
    <t>Ttyh3</t>
  </si>
  <si>
    <t>tweety family member 3 [Source:MGI Symbol;Acc:MGI:1925589]</t>
  </si>
  <si>
    <t>Rasal3</t>
  </si>
  <si>
    <t>RAS protein activator like 3 [Source:MGI Symbol;Acc:MGI:2444128]</t>
  </si>
  <si>
    <t>Pole2</t>
  </si>
  <si>
    <t>polymerase (DNA directed), epsilon 2 (p59 subunit) [Source:MGI Symbol;Acc:MGI:1197514]</t>
  </si>
  <si>
    <t>Stard7</t>
  </si>
  <si>
    <t>START domain containing 7 [Source:MGI Symbol;Acc:MGI:2139090]</t>
  </si>
  <si>
    <t>N4bp1</t>
  </si>
  <si>
    <t>NEDD4 binding protein 1 [Source:MGI Symbol;Acc:MGI:2136825]</t>
  </si>
  <si>
    <t>Bcl7a</t>
  </si>
  <si>
    <t>B cell CLL/lymphoma 7A [Source:MGI Symbol;Acc:MGI:1924295]</t>
  </si>
  <si>
    <t>Gm43802</t>
  </si>
  <si>
    <t>predicted gene 43802 [Source:MGI Symbol;Acc:MGI:5663939]</t>
  </si>
  <si>
    <t>Apobec3</t>
  </si>
  <si>
    <t>apolipoprotein B mRNA editing enzyme, catalytic polypeptide 3 [Source:MGI Symbol;Acc:MGI:1933111]</t>
  </si>
  <si>
    <t>Laptm5</t>
  </si>
  <si>
    <t>lysosomal-associated protein transmembrane 5 [Source:MGI Symbol;Acc:MGI:108046]</t>
  </si>
  <si>
    <t>Stard8</t>
  </si>
  <si>
    <t>START domain containing 8 [Source:MGI Symbol;Acc:MGI:2448556]</t>
  </si>
  <si>
    <t>Gpr162</t>
  </si>
  <si>
    <t>G protein-coupled receptor 162 [Source:MGI Symbol;Acc:MGI:1315214]</t>
  </si>
  <si>
    <t>Uhrf1</t>
  </si>
  <si>
    <t>ubiquitin-like, containing PHD and RING finger domains, 1 [Source:MGI Symbol;Acc:MGI:1338889]</t>
  </si>
  <si>
    <t>Abracl</t>
  </si>
  <si>
    <t>ABRA C-terminal like [Source:MGI Symbol;Acc:MGI:1920362]</t>
  </si>
  <si>
    <t>Ifit1</t>
  </si>
  <si>
    <t>interferon-induced protein with tetratricopeptide repeats 1 [Source:MGI Symbol;Acc:MGI:99450]</t>
  </si>
  <si>
    <t>Trim21</t>
  </si>
  <si>
    <t>tripartite motif-containing 21 [Source:MGI Symbol;Acc:MGI:106657]</t>
  </si>
  <si>
    <t>Ptpre</t>
  </si>
  <si>
    <t>protein tyrosine phosphatase, receptor type, E [Source:MGI Symbol;Acc:MGI:97813]</t>
  </si>
  <si>
    <t>9630028I04Rik</t>
  </si>
  <si>
    <t>RIKEN cDNA 9630028I04 gene [Source:MGI Symbol;Acc:MGI:2442601]</t>
  </si>
  <si>
    <t>Tspan32</t>
  </si>
  <si>
    <t>tetraspanin 32 [Source:MGI Symbol;Acc:MGI:1350360]</t>
  </si>
  <si>
    <t>Pnpla7</t>
  </si>
  <si>
    <t>patatin-like phospholipase domain containing 7 [Source:MGI Symbol;Acc:MGI:2385325]</t>
  </si>
  <si>
    <t>St6galnac6</t>
  </si>
  <si>
    <t>ST6 (alpha-N-acetyl-neuraminyl-2,3-beta-galactosyl-1,3)-N-acetylgalactosaminide alpha-2,6-sialyltransferase 6 [Source:MGI Symbol;Acc:MGI:1355316]</t>
  </si>
  <si>
    <t>Prkacb</t>
  </si>
  <si>
    <t>protein kinase, cAMP dependent, catalytic, beta [Source:MGI Symbol;Acc:MGI:97594]</t>
  </si>
  <si>
    <t>Rcan1</t>
  </si>
  <si>
    <t>regulator of calcineurin 1 [Source:MGI Symbol;Acc:MGI:1890564]</t>
  </si>
  <si>
    <t>Spink5</t>
  </si>
  <si>
    <t>serine peptidase inhibitor, Kazal type 5 [Source:MGI Symbol;Acc:MGI:1919682]</t>
  </si>
  <si>
    <t>Rcan3</t>
  </si>
  <si>
    <t>regulator of calcineurin 3 [Source:MGI Symbol;Acc:MGI:1858220]</t>
  </si>
  <si>
    <t>Gm30329</t>
  </si>
  <si>
    <t>predicted gene, 30329 [Source:MGI Symbol;Acc:MGI:5589488]</t>
  </si>
  <si>
    <t>Apbb2</t>
  </si>
  <si>
    <t>amyloid beta (A4) precursor protein-binding, family B, member 2 [Source:MGI Symbol;Acc:MGI:108405]</t>
  </si>
  <si>
    <t>Mtrr</t>
  </si>
  <si>
    <t>5-methyltetrahydrofolate-homocysteine methyltransferase reductase [Source:MGI Symbol;Acc:MGI:1891037]</t>
  </si>
  <si>
    <t>Klf6</t>
  </si>
  <si>
    <t>Kruppel-like factor 6 [Source:MGI Symbol;Acc:MGI:1346318]</t>
  </si>
  <si>
    <t>Hcar2</t>
  </si>
  <si>
    <t>hydroxycarboxylic acid receptor 2 [Source:MGI Symbol;Acc:MGI:1933383]</t>
  </si>
  <si>
    <t>Rnf34</t>
  </si>
  <si>
    <t>ring finger protein 34 [Source:MGI Symbol;Acc:MGI:2153340]</t>
  </si>
  <si>
    <t>Polr3d</t>
  </si>
  <si>
    <t>polymerase (RNA) III (DNA directed) polypeptide D [Source:MGI Symbol;Acc:MGI:1914315]</t>
  </si>
  <si>
    <t>Brd3</t>
  </si>
  <si>
    <t>bromodomain containing 3 [Source:MGI Symbol;Acc:MGI:1914632]</t>
  </si>
  <si>
    <t>Nefh</t>
  </si>
  <si>
    <t>neurofilament, heavy polypeptide [Source:MGI Symbol;Acc:MGI:97309]</t>
  </si>
  <si>
    <t>Ttc39a</t>
  </si>
  <si>
    <t>tetratricopeptide repeat domain 39A [Source:MGI Symbol;Acc:MGI:2444350]</t>
  </si>
  <si>
    <t>Depdc5</t>
  </si>
  <si>
    <t>DEP domain containing 5 [Source:MGI Symbol;Acc:MGI:2141101]</t>
  </si>
  <si>
    <t>Tmem119</t>
  </si>
  <si>
    <t>transmembrane protein 119 [Source:MGI Symbol;Acc:MGI:2385228]</t>
  </si>
  <si>
    <t>Zw10</t>
  </si>
  <si>
    <t>zw10 kinetochore protein [Source:MGI Symbol;Acc:MGI:1349478]</t>
  </si>
  <si>
    <t>Eif1</t>
  </si>
  <si>
    <t>eukaryotic translation initiation factor 1 [Source:MGI Symbol;Acc:MGI:105125]</t>
  </si>
  <si>
    <t>Gadd45b</t>
  </si>
  <si>
    <t>growth arrest and DNA-damage-inducible 45 beta [Source:MGI Symbol;Acc:MGI:107776]</t>
  </si>
  <si>
    <t>Psmd11</t>
  </si>
  <si>
    <t>proteasome (prosome, macropain) 26S subunit, non-ATPase, 11 [Source:MGI Symbol;Acc:MGI:1916327]</t>
  </si>
  <si>
    <t>App</t>
  </si>
  <si>
    <t>amyloid beta (A4) precursor protein [Source:MGI Symbol;Acc:MGI:88059]</t>
  </si>
  <si>
    <t>Fas</t>
  </si>
  <si>
    <t>Fas (TNF receptor superfamily member 6) [Source:MGI Symbol;Acc:MGI:95484]</t>
  </si>
  <si>
    <t>Pilra</t>
  </si>
  <si>
    <t>paired immunoglobin-like type 2 receptor alpha [Source:MGI Symbol;Acc:MGI:2450529]</t>
  </si>
  <si>
    <t>Klhl33</t>
  </si>
  <si>
    <t>kelch-like 33 [Source:MGI Symbol;Acc:MGI:3644593]</t>
  </si>
  <si>
    <t>Ccnd3</t>
  </si>
  <si>
    <t>cyclin D3 [Source:MGI Symbol;Acc:MGI:88315]</t>
  </si>
  <si>
    <t>Ncdn</t>
  </si>
  <si>
    <t>neurochondrin [Source:MGI Symbol;Acc:MGI:1347351]</t>
  </si>
  <si>
    <t>Zranb3</t>
  </si>
  <si>
    <t>zinc finger, RAN-binding domain containing 3 [Source:MGI Symbol;Acc:MGI:1918362]</t>
  </si>
  <si>
    <t>Adprh</t>
  </si>
  <si>
    <t>ADP-ribosylarginine hydrolase [Source:MGI Symbol;Acc:MGI:1098234]</t>
  </si>
  <si>
    <t>Vsir</t>
  </si>
  <si>
    <t>V-set immunoregulatory receptor [Source:MGI Symbol;Acc:MGI:1921298]</t>
  </si>
  <si>
    <t>Hsp90aa1</t>
  </si>
  <si>
    <t>heat shock protein 90, alpha (cytosolic), class A member 1 [Source:MGI Symbol;Acc:MGI:96250]</t>
  </si>
  <si>
    <t>Xkr8</t>
  </si>
  <si>
    <t>X-linked Kx blood group related 8 [Source:MGI Symbol;Acc:MGI:2685877]</t>
  </si>
  <si>
    <t>Rasgef1b</t>
  </si>
  <si>
    <t>RasGEF domain family, member 1B [Source:MGI Symbol;Acc:MGI:2443755]</t>
  </si>
  <si>
    <t>Mitd1</t>
  </si>
  <si>
    <t>MIT, microtubule interacting and transport, domain containing 1 [Source:MGI Symbol;Acc:MGI:1916278]</t>
  </si>
  <si>
    <t>Ipcef1</t>
  </si>
  <si>
    <t>interaction protein for cytohesin exchange factors 1 [Source:MGI Symbol;Acc:MGI:2444159]</t>
  </si>
  <si>
    <t>Zbtb21</t>
  </si>
  <si>
    <t>zinc finger and BTB domain containing 21 [Source:MGI Symbol;Acc:MGI:1927240]</t>
  </si>
  <si>
    <t>Lgals3bp</t>
  </si>
  <si>
    <t>lectin, galactoside-binding, soluble, 3 binding protein [Source:MGI Symbol;Acc:MGI:99554]</t>
  </si>
  <si>
    <t>Abi1</t>
  </si>
  <si>
    <t>abl-interactor 1 [Source:MGI Symbol;Acc:MGI:104913]</t>
  </si>
  <si>
    <t>Ifi27</t>
  </si>
  <si>
    <t>interferon, alpha-inducible protein 27 [Source:MGI Symbol;Acc:MGI:1277180]</t>
  </si>
  <si>
    <t>Cyth1</t>
  </si>
  <si>
    <t>cytohesin 1 [Source:MGI Symbol;Acc:MGI:1334257]</t>
  </si>
  <si>
    <t>P2ry10b</t>
  </si>
  <si>
    <t>purinergic receptor P2Y, G-protein coupled 10B [Source:MGI Symbol;Acc:MGI:2441814]</t>
  </si>
  <si>
    <t>Ptgs2os2</t>
  </si>
  <si>
    <t>prostaglandin-endoperoxide synthase 2, opposite strand 2 [Source:MGI Symbol;Acc:MGI:5477181]</t>
  </si>
  <si>
    <t>Smcr8</t>
  </si>
  <si>
    <t>Smith-Magenis syndrome chromosome region, candidate 8 homolog (human) [Source:MGI Symbol;Acc:MGI:2444720]</t>
  </si>
  <si>
    <t>Kremen1</t>
  </si>
  <si>
    <t>kringle containing transmembrane protein 1 [Source:MGI Symbol;Acc:MGI:1933988]</t>
  </si>
  <si>
    <t>H2-K1</t>
  </si>
  <si>
    <t>histocompatibility 2, K1, K region [Source:MGI Symbol;Acc:MGI:95904]</t>
  </si>
  <si>
    <t>Junb</t>
  </si>
  <si>
    <t>jun B proto-oncogene [Source:MGI Symbol;Acc:MGI:96647]</t>
  </si>
  <si>
    <t>Mxd4</t>
  </si>
  <si>
    <t>Max dimerization protein 4 [Source:MGI Symbol;Acc:MGI:104991]</t>
  </si>
  <si>
    <t>Parp8</t>
  </si>
  <si>
    <t>poly (ADP-ribose) polymerase family, member 8 [Source:MGI Symbol;Acc:MGI:1098713]</t>
  </si>
  <si>
    <t>Ptafr</t>
  </si>
  <si>
    <t>platelet-activating factor receptor [Source:MGI Symbol;Acc:MGI:106066]</t>
  </si>
  <si>
    <t>Rnf149</t>
  </si>
  <si>
    <t>ring finger protein 149 [Source:MGI Symbol;Acc:MGI:2677438]</t>
  </si>
  <si>
    <t>Stat2</t>
  </si>
  <si>
    <t>signal transducer and activator of transcription 2 [Source:MGI Symbol;Acc:MGI:103039]</t>
  </si>
  <si>
    <t>Pabpc1</t>
  </si>
  <si>
    <t>poly(A) binding protein, cytoplasmic 1 [Source:MGI Symbol;Acc:MGI:1349722]</t>
  </si>
  <si>
    <t>Surf4</t>
  </si>
  <si>
    <t>surfeit gene 4 [Source:MGI Symbol;Acc:MGI:98445]</t>
  </si>
  <si>
    <t>Iqce</t>
  </si>
  <si>
    <t>IQ motif containing E [Source:MGI Symbol;Acc:MGI:1921489]</t>
  </si>
  <si>
    <t>Angptl2</t>
  </si>
  <si>
    <t>angiopoietin-like 2 [Source:MGI Symbol;Acc:MGI:1347002]</t>
  </si>
  <si>
    <t>Ldb1</t>
  </si>
  <si>
    <t>LIM domain binding 1 [Source:MGI Symbol;Acc:MGI:894762]</t>
  </si>
  <si>
    <t>Atad2</t>
  </si>
  <si>
    <t>ATPase family, AAA domain containing 2 [Source:MGI Symbol;Acc:MGI:1917722]</t>
  </si>
  <si>
    <t>Tma16</t>
  </si>
  <si>
    <t>translation machinery associated 16 [Source:MGI Symbol;Acc:MGI:1913532]</t>
  </si>
  <si>
    <t>Prdx5</t>
  </si>
  <si>
    <t>peroxiredoxin 5 [Source:MGI Symbol;Acc:MGI:1859821]</t>
  </si>
  <si>
    <t>Fcho2</t>
  </si>
  <si>
    <t>FCH domain only 2 [Source:MGI Symbol;Acc:MGI:3505790]</t>
  </si>
  <si>
    <t>Zbp1</t>
  </si>
  <si>
    <t>Z-DNA binding protein 1 [Source:MGI Symbol;Acc:MGI:1927449]</t>
  </si>
  <si>
    <t>Cxcl10</t>
  </si>
  <si>
    <t>chemokine (C-X-C motif) ligand 10 [Source:MGI Symbol;Acc:MGI:1352450]</t>
  </si>
  <si>
    <t>Prkag2</t>
  </si>
  <si>
    <t>protein kinase, AMP-activated, gamma 2 non-catalytic subunit [Source:MGI Symbol;Acc:MGI:1336153]</t>
  </si>
  <si>
    <t>Pask</t>
  </si>
  <si>
    <t>PAS domain containing serine/threonine kinase [Source:MGI Symbol;Acc:MGI:2155936]</t>
  </si>
  <si>
    <t>Myd88</t>
  </si>
  <si>
    <t>myeloid differentiation primary response gene 88 [Source:MGI Symbol;Acc:MGI:108005]</t>
  </si>
  <si>
    <t>Osbpl3</t>
  </si>
  <si>
    <t>oxysterol binding protein-like 3 [Source:MGI Symbol;Acc:MGI:1918970]</t>
  </si>
  <si>
    <t>Pilrb1</t>
  </si>
  <si>
    <t>paired immunoglobin-like type 2 receptor beta 1 [Source:MGI Symbol;Acc:MGI:2450532]</t>
  </si>
  <si>
    <t>Zeb2</t>
  </si>
  <si>
    <t>zinc finger E-box binding homeobox 2 [Source:MGI Symbol;Acc:MGI:1344407]</t>
  </si>
  <si>
    <t>Slamf7</t>
  </si>
  <si>
    <t>SLAM family member 7 [Source:MGI Symbol;Acc:MGI:1922595]</t>
  </si>
  <si>
    <t>Tmem199</t>
  </si>
  <si>
    <t>transmembrane protein 199 [Source:MGI Symbol;Acc:MGI:2144113]</t>
  </si>
  <si>
    <t>Slc31a2</t>
  </si>
  <si>
    <t>solute carrier family 31, member 2 [Source:MGI Symbol;Acc:MGI:1333844]</t>
  </si>
  <si>
    <t>Mtmr10</t>
  </si>
  <si>
    <t>myotubularin related protein 10 [Source:MGI Symbol;Acc:MGI:2142292]</t>
  </si>
  <si>
    <t>Pilrb2</t>
  </si>
  <si>
    <t>paired immunoglobin-like type 2 receptor beta 2 [Source:MGI Symbol;Acc:MGI:2450535]</t>
  </si>
  <si>
    <t>Itgb1</t>
  </si>
  <si>
    <t>integrin beta 1 (fibronectin receptor beta) [Source:MGI Symbol;Acc:MGI:96610]</t>
  </si>
  <si>
    <t>Cdk6</t>
  </si>
  <si>
    <t>cyclin-dependent kinase 6 [Source:MGI Symbol;Acc:MGI:1277162]</t>
  </si>
  <si>
    <t>Pdcd4</t>
  </si>
  <si>
    <t>programmed cell death 4 [Source:MGI Symbol;Acc:MGI:107490]</t>
  </si>
  <si>
    <t>Grap</t>
  </si>
  <si>
    <t>GRB2-related adaptor protein [Source:MGI Symbol;Acc:MGI:1918770]</t>
  </si>
  <si>
    <t>Nqo2</t>
  </si>
  <si>
    <t>N-ribosyldihydronicotinamide quinone reductase 2 [Source:MGI Symbol;Acc:MGI:104513]</t>
  </si>
  <si>
    <t>Ica1</t>
  </si>
  <si>
    <t>islet cell autoantigen 1 [Source:MGI Symbol;Acc:MGI:96391]</t>
  </si>
  <si>
    <t>Rusc2</t>
  </si>
  <si>
    <t>RUN and SH3 domain containing 2 [Source:MGI Symbol;Acc:MGI:2140371]</t>
  </si>
  <si>
    <t>Iqsec2</t>
  </si>
  <si>
    <t>IQ motif and Sec7 domain 2 [Source:MGI Symbol;Acc:MGI:3528396]</t>
  </si>
  <si>
    <t>Jak1</t>
  </si>
  <si>
    <t>Janus kinase 1 [Source:MGI Symbol;Acc:MGI:96628]</t>
  </si>
  <si>
    <t>Speg</t>
  </si>
  <si>
    <t>SPEG complex locus [Source:MGI Symbol;Acc:MGI:109282]</t>
  </si>
  <si>
    <t>Dag1</t>
  </si>
  <si>
    <t>dystroglycan 1 [Source:MGI Symbol;Acc:MGI:101864]</t>
  </si>
  <si>
    <t>Yrdc</t>
  </si>
  <si>
    <t>yrdC domain containing (E.coli) [Source:MGI Symbol;Acc:MGI:2387201]</t>
  </si>
  <si>
    <t>Apol9b</t>
  </si>
  <si>
    <t>apolipoprotein L 9b [Source:MGI Symbol;Acc:MGI:1919148]</t>
  </si>
  <si>
    <t>Stk3</t>
  </si>
  <si>
    <t>serine/threonine kinase 3 [Source:MGI Symbol;Acc:MGI:1928487]</t>
  </si>
  <si>
    <t>Il1a</t>
  </si>
  <si>
    <t>interleukin 1 alpha [Source:MGI Symbol;Acc:MGI:96542]</t>
  </si>
  <si>
    <t>Trim37</t>
  </si>
  <si>
    <t>tripartite motif-containing 37 [Source:MGI Symbol;Acc:MGI:2153072]</t>
  </si>
  <si>
    <t>Itprid2</t>
  </si>
  <si>
    <t>ITPR interacting domain containing 2 [Source:MGI Symbol;Acc:MGI:1917849]</t>
  </si>
  <si>
    <t>Cd274</t>
  </si>
  <si>
    <t>CD274 antigen [Source:MGI Symbol;Acc:MGI:1926446]</t>
  </si>
  <si>
    <t>Rab8b</t>
  </si>
  <si>
    <t>RAB8B, member RAS oncogene family [Source:MGI Symbol;Acc:MGI:2442982]</t>
  </si>
  <si>
    <t>Wwp1</t>
  </si>
  <si>
    <t>WW domain containing E3 ubiquitin protein ligase 1 [Source:MGI Symbol;Acc:MGI:1861728]</t>
  </si>
  <si>
    <t>Socs1</t>
  </si>
  <si>
    <t>suppressor of cytokine signaling 1 [Source:MGI Symbol;Acc:MGI:1354910]</t>
  </si>
  <si>
    <t>Nlrc5</t>
  </si>
  <si>
    <t>NLR family, CARD domain containing 5 [Source:MGI Symbol;Acc:MGI:3612191]</t>
  </si>
  <si>
    <t>Sh3bp2</t>
  </si>
  <si>
    <t>SH3-domain binding protein 2 [Source:MGI Symbol;Acc:MGI:1346349]</t>
  </si>
  <si>
    <t>Mrpl39</t>
  </si>
  <si>
    <t>mitochondrial ribosomal protein L39 [Source:MGI Symbol;Acc:MGI:1351620]</t>
  </si>
  <si>
    <t>Cd74</t>
  </si>
  <si>
    <t>CD74 antigen (invariant polypeptide of major histocompatibility complex, class II antigen-associated) [Source:MGI Symbol;Acc:MGI:96534]</t>
  </si>
  <si>
    <t>Sbk1</t>
  </si>
  <si>
    <t>SH3-binding kinase 1 [Source:MGI Symbol;Acc:MGI:2135937]</t>
  </si>
  <si>
    <t>Nos2</t>
  </si>
  <si>
    <t>nitric oxide synthase 2, inducible [Source:MGI Symbol;Acc:MGI:97361]</t>
  </si>
  <si>
    <t>Abcb10</t>
  </si>
  <si>
    <t>ATP-binding cassette, sub-family B (MDR/TAP), member 10 [Source:MGI Symbol;Acc:MGI:1860508]</t>
  </si>
  <si>
    <t>Filip1l</t>
  </si>
  <si>
    <t>filamin A interacting protein 1-like [Source:MGI Symbol;Acc:MGI:1925999]</t>
  </si>
  <si>
    <t>Ptgir</t>
  </si>
  <si>
    <t>prostaglandin I receptor (IP) [Source:MGI Symbol;Acc:MGI:99535]</t>
  </si>
  <si>
    <t>Map2k1</t>
  </si>
  <si>
    <t>mitogen-activated protein kinase kinase 1 [Source:MGI Symbol;Acc:MGI:1346866]</t>
  </si>
  <si>
    <t>Ifi209</t>
  </si>
  <si>
    <t>interferon activated gene 209 [Source:MGI Symbol;Acc:MGI:2138243]</t>
  </si>
  <si>
    <t>Auh</t>
  </si>
  <si>
    <t>AU RNA binding protein/enoyl-coenzyme A hydratase [Source:MGI Symbol;Acc:MGI:1338011]</t>
  </si>
  <si>
    <t>Cacng8</t>
  </si>
  <si>
    <t>calcium channel, voltage-dependent, gamma subunit 8 [Source:MGI Symbol;Acc:MGI:1932376]</t>
  </si>
  <si>
    <t>Atp13a4</t>
  </si>
  <si>
    <t>ATPase type 13A4 [Source:MGI Symbol;Acc:MGI:1924456]</t>
  </si>
  <si>
    <t>Ndel1</t>
  </si>
  <si>
    <t>nudE neurodevelopment protein 1 like 1 [Source:MGI Symbol;Acc:MGI:1932915]</t>
  </si>
  <si>
    <t>Add3</t>
  </si>
  <si>
    <t>adducin 3 (gamma) [Source:MGI Symbol;Acc:MGI:1351615]</t>
  </si>
  <si>
    <t>Mta3</t>
  </si>
  <si>
    <t>metastasis associated 3 [Source:MGI Symbol;Acc:MGI:2151172]</t>
  </si>
  <si>
    <t>Cux1</t>
  </si>
  <si>
    <t>cut-like homeobox 1 [Source:MGI Symbol;Acc:MGI:88568]</t>
  </si>
  <si>
    <t>Asb1</t>
  </si>
  <si>
    <t>ankyrin repeat and SOCS box-containing 1 [Source:MGI Symbol;Acc:MGI:1929735]</t>
  </si>
  <si>
    <t>Blcap</t>
  </si>
  <si>
    <t>bladder cancer associated protein [Source:MGI Symbol;Acc:MGI:1858907]</t>
  </si>
  <si>
    <t>Cxcl2</t>
  </si>
  <si>
    <t>chemokine (C-X-C motif) ligand 2 [Source:MGI Symbol;Acc:MGI:1340094]</t>
  </si>
  <si>
    <t>Mcm4</t>
  </si>
  <si>
    <t>minichromosome maintenance complex component 4 [Source:MGI Symbol;Acc:MGI:103199]</t>
  </si>
  <si>
    <t>Nsmce4a</t>
  </si>
  <si>
    <t>NSE4 homolog A, SMC5-SMC6 complex component [Source:MGI Symbol;Acc:MGI:1915122]</t>
  </si>
  <si>
    <t>Ppp1r11</t>
  </si>
  <si>
    <t>protein phosphatase 1, regulatory inhibitor subunit 11 [Source:MGI Symbol;Acc:MGI:1923747]</t>
  </si>
  <si>
    <t>Ptpn12</t>
  </si>
  <si>
    <t>protein tyrosine phosphatase, non-receptor type 12 [Source:MGI Symbol;Acc:MGI:104673]</t>
  </si>
  <si>
    <t>Ifi205</t>
  </si>
  <si>
    <t>interferon activated gene 205 [Source:MGI Symbol;Acc:MGI:101847]</t>
  </si>
  <si>
    <t>Chek2</t>
  </si>
  <si>
    <t>checkpoint kinase 2 [Source:MGI Symbol;Acc:MGI:1355321]</t>
  </si>
  <si>
    <t>Npcd</t>
  </si>
  <si>
    <t>neuronal pentraxin chromo domain [Source:MGI Symbol;Acc:MGI:3845555]</t>
  </si>
  <si>
    <t>Rere</t>
  </si>
  <si>
    <t>arginine glutamic acid dipeptide (RE) repeats [Source:MGI Symbol;Acc:MGI:2683486]</t>
  </si>
  <si>
    <t>Fbxw17</t>
  </si>
  <si>
    <t>F-box and WD-40 domain protein 17 [Source:MGI Symbol;Acc:MGI:1923584]</t>
  </si>
  <si>
    <t>Dnajc9</t>
  </si>
  <si>
    <t>DnaJ heat shock protein family (Hsp40) member C9 [Source:MGI Symbol;Acc:MGI:1915326]</t>
  </si>
  <si>
    <t>Ctc1</t>
  </si>
  <si>
    <t>CTS telomere maintenance complex component 1 [Source:MGI Symbol;Acc:MGI:1916214]</t>
  </si>
  <si>
    <t>Rpa2</t>
  </si>
  <si>
    <t>replication protein A2 [Source:MGI Symbol;Acc:MGI:1339939]</t>
  </si>
  <si>
    <t>E2f8</t>
  </si>
  <si>
    <t>E2F transcription factor 8 [Source:MGI Symbol;Acc:MGI:1922038]</t>
  </si>
  <si>
    <t>Samhd1</t>
  </si>
  <si>
    <t>SAM domain and HD domain, 1 [Source:MGI Symbol;Acc:MGI:1927468]</t>
  </si>
  <si>
    <t>Ifi47</t>
  </si>
  <si>
    <t>interferon gamma inducible protein 47 [Source:MGI Symbol;Acc:MGI:99448]</t>
  </si>
  <si>
    <t>Sh3pxd2a</t>
  </si>
  <si>
    <t>SH3 and PX domains 2A [Source:MGI Symbol;Acc:MGI:1298393]</t>
  </si>
  <si>
    <t>Cep164</t>
  </si>
  <si>
    <t>centrosomal protein 164 [Source:MGI Symbol;Acc:MGI:2384878]</t>
  </si>
  <si>
    <t>Epb41l2</t>
  </si>
  <si>
    <t>erythrocyte membrane protein band 4.1 like 2 [Source:MGI Symbol;Acc:MGI:103009]</t>
  </si>
  <si>
    <t>Neo1</t>
  </si>
  <si>
    <t>neogenin [Source:MGI Symbol;Acc:MGI:1097159]</t>
  </si>
  <si>
    <t>Traf1</t>
  </si>
  <si>
    <t>TNF receptor-associated factor 1 [Source:MGI Symbol;Acc:MGI:101836]</t>
  </si>
  <si>
    <t>Gm28043</t>
  </si>
  <si>
    <t>predicted gene, 28043 [Source:MGI Symbol;Acc:MGI:5547779]</t>
  </si>
  <si>
    <t>Adamts1</t>
  </si>
  <si>
    <t>a disintegrin-like and metallopeptidase (reprolysin type) with thrombospondin type 1 motif, 1 [Source:MGI Symbol;Acc:MGI:109249]</t>
  </si>
  <si>
    <t>Ankfy1</t>
  </si>
  <si>
    <t>ankyrin repeat and FYVE domain containing 1 [Source:MGI Symbol;Acc:MGI:1337008]</t>
  </si>
  <si>
    <t>Ctdsp1</t>
  </si>
  <si>
    <t>CTD (carboxy-terminal domain, RNA polymerase II, polypeptide A) small phosphatase 1 [Source:MGI Symbol;Acc:MGI:2654470]</t>
  </si>
  <si>
    <t>Icam1</t>
  </si>
  <si>
    <t>intercellular adhesion molecule 1 [Source:MGI Symbol;Acc:MGI:96392]</t>
  </si>
  <si>
    <t>Tedc1</t>
  </si>
  <si>
    <t>tubulin epsilon and delta complex 1 [Source:MGI Symbol;Acc:MGI:2144738]</t>
  </si>
  <si>
    <t>Atf7ip2</t>
  </si>
  <si>
    <t>activating transcription factor 7 interacting protein 2 [Source:MGI Symbol;Acc:MGI:1922579]</t>
  </si>
  <si>
    <t>Tap1</t>
  </si>
  <si>
    <t>transporter 1, ATP-binding cassette, sub-family B (MDR/TAP) [Source:MGI Symbol;Acc:MGI:98483]</t>
  </si>
  <si>
    <t>Comt</t>
  </si>
  <si>
    <t>catechol-O-methyltransferase [Source:MGI Symbol;Acc:MGI:88470]</t>
  </si>
  <si>
    <t>Rela</t>
  </si>
  <si>
    <t>v-rel reticuloendotheliosis viral oncogene homolog A (avian) [Source:MGI Symbol;Acc:MGI:103290]</t>
  </si>
  <si>
    <t>Frat2</t>
  </si>
  <si>
    <t>frequently rearranged in advanced T cell lymphomas 2 [Source:MGI Symbol;Acc:MGI:2673967]</t>
  </si>
  <si>
    <t>Zfpm1</t>
  </si>
  <si>
    <t>zinc finger protein, multitype 1 [Source:MGI Symbol;Acc:MGI:1095400]</t>
  </si>
  <si>
    <t>Acsl5</t>
  </si>
  <si>
    <t>acyl-CoA synthetase long-chain family member 5 [Source:MGI Symbol;Acc:MGI:1919129]</t>
  </si>
  <si>
    <t>Pld2</t>
  </si>
  <si>
    <t>phospholipase D2 [Source:MGI Symbol;Acc:MGI:892877]</t>
  </si>
  <si>
    <t>Inpp5j</t>
  </si>
  <si>
    <t>inositol polyphosphate 5-phosphatase J [Source:MGI Symbol;Acc:MGI:2158663]</t>
  </si>
  <si>
    <t>Pdpr</t>
  </si>
  <si>
    <t>pyruvate dehydrogenase phosphatase regulatory subunit [Source:MGI Symbol;Acc:MGI:2442188]</t>
  </si>
  <si>
    <t>B3gnt2</t>
  </si>
  <si>
    <t>UDP-GlcNAc:betaGal beta-1,3-N-acetylglucosaminyltransferase 2 [Source:MGI Symbol;Acc:MGI:1889505]</t>
  </si>
  <si>
    <t>Usp18</t>
  </si>
  <si>
    <t>ubiquitin specific peptidase 18 [Source:MGI Symbol;Acc:MGI:1344364]</t>
  </si>
  <si>
    <t>Rap2a</t>
  </si>
  <si>
    <t>RAS related protein 2a [Source:MGI Symbol;Acc:MGI:97855]</t>
  </si>
  <si>
    <t>Eya4</t>
  </si>
  <si>
    <t>EYA transcriptional coactivator and phosphatase 4 [Source:MGI Symbol;Acc:MGI:1337104]</t>
  </si>
  <si>
    <t>Xpr1</t>
  </si>
  <si>
    <t>xenotropic and polytropic retrovirus receptor 1 [Source:MGI Symbol;Acc:MGI:97932]</t>
  </si>
  <si>
    <t>Sp100</t>
  </si>
  <si>
    <t>nuclear antigen Sp100 [Source:MGI Symbol;Acc:MGI:109561]</t>
  </si>
  <si>
    <t>Cln3</t>
  </si>
  <si>
    <t>ceroid lipofuscinosis, neuronal 3, juvenile (Batten, Spielmeyer-Vogt disease) [Source:MGI Symbol;Acc:MGI:107537]</t>
  </si>
  <si>
    <t>Eya3</t>
  </si>
  <si>
    <t>EYA transcriptional coactivator and phosphatase 3 [Source:MGI Symbol;Acc:MGI:109339]</t>
  </si>
  <si>
    <t>Ttc39c</t>
  </si>
  <si>
    <t>tetratricopeptide repeat domain 39C [Source:MGI Symbol;Acc:MGI:1919997]</t>
  </si>
  <si>
    <t>Ogfrl1</t>
  </si>
  <si>
    <t>opioid growth factor receptor-like 1 [Source:MGI Symbol;Acc:MGI:1917405]</t>
  </si>
  <si>
    <t>Lamc1</t>
  </si>
  <si>
    <t>laminin, gamma 1 [Source:MGI Symbol;Acc:MGI:99914]</t>
  </si>
  <si>
    <t>Crot</t>
  </si>
  <si>
    <t>carnitine O-octanoyltransferase [Source:MGI Symbol;Acc:MGI:1921364]</t>
  </si>
  <si>
    <t>Etnk1</t>
  </si>
  <si>
    <t>ethanolamine kinase 1 [Source:MGI Symbol;Acc:MGI:1922570]</t>
  </si>
  <si>
    <t>Ajm1</t>
  </si>
  <si>
    <t>apical junction component 1 [Source:MGI Symbol;Acc:MGI:2685842]</t>
  </si>
  <si>
    <t>Cd47</t>
  </si>
  <si>
    <t>CD47 antigen (Rh-related antigen, integrin-associated signal transducer) [Source:MGI Symbol;Acc:MGI:96617]</t>
  </si>
  <si>
    <t>Alcam</t>
  </si>
  <si>
    <t>activated leukocyte cell adhesion molecule [Source:MGI Symbol;Acc:MGI:1313266]</t>
  </si>
  <si>
    <t>Neurl3</t>
  </si>
  <si>
    <t>neuralized E3 ubiquitin protein ligase 3 [Source:MGI Symbol;Acc:MGI:2429944]</t>
  </si>
  <si>
    <t>Smim3</t>
  </si>
  <si>
    <t>small integral membrane protein 3 [Source:MGI Symbol;Acc:MGI:1917088]</t>
  </si>
  <si>
    <t>Srl</t>
  </si>
  <si>
    <t>sarcalumenin [Source:MGI Symbol;Acc:MGI:2146620]</t>
  </si>
  <si>
    <t>Lamc2</t>
  </si>
  <si>
    <t>laminin, gamma 2 [Source:MGI Symbol;Acc:MGI:99913]</t>
  </si>
  <si>
    <t>Cdan1</t>
  </si>
  <si>
    <t>congenital dyserythropoietic anemia, type I (human) [Source:MGI Symbol;Acc:MGI:1916218]</t>
  </si>
  <si>
    <t>Adgrg1</t>
  </si>
  <si>
    <t>adhesion G protein-coupled receptor G1 [Source:MGI Symbol;Acc:MGI:1340051]</t>
  </si>
  <si>
    <t>Rbmx</t>
  </si>
  <si>
    <t>RNA binding motif protein, X chromosome [Source:MGI Symbol;Acc:MGI:1343044]</t>
  </si>
  <si>
    <t>Trim56</t>
  </si>
  <si>
    <t>tripartite motif-containing 56 [Source:MGI Symbol;Acc:MGI:2685298]</t>
  </si>
  <si>
    <t>Lta</t>
  </si>
  <si>
    <t>lymphotoxin A [Source:MGI Symbol;Acc:MGI:104797]</t>
  </si>
  <si>
    <t>Adamtsl5</t>
  </si>
  <si>
    <t>ADAMTS-like 5 [Source:MGI Symbol;Acc:MGI:1913798]</t>
  </si>
  <si>
    <t>Kif21b</t>
  </si>
  <si>
    <t>kinesin family member 21B [Source:MGI Symbol;Acc:MGI:109234]</t>
  </si>
  <si>
    <t>Prdm1</t>
  </si>
  <si>
    <t>PR domain containing 1, with ZNF domain [Source:MGI Symbol;Acc:MGI:99655]</t>
  </si>
  <si>
    <t>Ccsap</t>
  </si>
  <si>
    <t>centriole, cilia and spindle associated protein [Source:MGI Symbol;Acc:MGI:1920670]</t>
  </si>
  <si>
    <t>Cd86</t>
  </si>
  <si>
    <t>CD86 antigen [Source:MGI Symbol;Acc:MGI:101773]</t>
  </si>
  <si>
    <t>Gcnt1</t>
  </si>
  <si>
    <t>glucosaminyl (N-acetyl) transferase 1, core 2 [Source:MGI Symbol;Acc:MGI:95676]</t>
  </si>
  <si>
    <t>Frmd4b</t>
  </si>
  <si>
    <t>FERM domain containing 4B [Source:MGI Symbol;Acc:MGI:2141794]</t>
  </si>
  <si>
    <t>Castor2</t>
  </si>
  <si>
    <t>cytosolic arginine sensor for mTORC1 subunit 2 [Source:MGI Symbol;Acc:MGI:1933384]</t>
  </si>
  <si>
    <t>Rassf1</t>
  </si>
  <si>
    <t>Ras association (RalGDS/AF-6) domain family member 1 [Source:MGI Symbol;Acc:MGI:1928386]</t>
  </si>
  <si>
    <t>Trim14</t>
  </si>
  <si>
    <t>tripartite motif-containing 14 [Source:MGI Symbol;Acc:MGI:1921985]</t>
  </si>
  <si>
    <t>Sp140</t>
  </si>
  <si>
    <t>Sp140 nuclear body protein [Source:MGI Symbol;Acc:MGI:3702467]</t>
  </si>
  <si>
    <t>Slc6a6</t>
  </si>
  <si>
    <t>solute carrier family 6 (neurotransmitter transporter, taurine), member 6 [Source:MGI Symbol;Acc:MGI:98488]</t>
  </si>
  <si>
    <t>Tcf3</t>
  </si>
  <si>
    <t>transcription factor 3 [Source:MGI Symbol;Acc:MGI:98510]</t>
  </si>
  <si>
    <t>Cyb5r3</t>
  </si>
  <si>
    <t>cytochrome b5 reductase 3 [Source:MGI Symbol;Acc:MGI:94893]</t>
  </si>
  <si>
    <t>Atg13</t>
  </si>
  <si>
    <t>autophagy related 13 [Source:MGI Symbol;Acc:MGI:1196429]</t>
  </si>
  <si>
    <t>Metap1</t>
  </si>
  <si>
    <t>methionyl aminopeptidase 1 [Source:MGI Symbol;Acc:MGI:1922874]</t>
  </si>
  <si>
    <t>Tmem140</t>
  </si>
  <si>
    <t>transmembrane protein 140 [Source:MGI Symbol;Acc:MGI:1915737]</t>
  </si>
  <si>
    <t>Lig1</t>
  </si>
  <si>
    <t>ligase I, DNA, ATP-dependent [Source:MGI Symbol;Acc:MGI:101789]</t>
  </si>
  <si>
    <t>Cdk18</t>
  </si>
  <si>
    <t>cyclin-dependent kinase 18 [Source:MGI Symbol;Acc:MGI:97518]</t>
  </si>
  <si>
    <t>Fancm</t>
  </si>
  <si>
    <t>Fanconi anemia, complementation group M [Source:MGI Symbol;Acc:MGI:2442306]</t>
  </si>
  <si>
    <t>Nfia</t>
  </si>
  <si>
    <t>nuclear factor I/A [Source:MGI Symbol;Acc:MGI:108056]</t>
  </si>
  <si>
    <t>F830208F22Rik</t>
  </si>
  <si>
    <t>RIKEN cDNA F830208F22 gene [Source:MGI Symbol;Acc:MGI:3588261]</t>
  </si>
  <si>
    <t>Arhgef10l</t>
  </si>
  <si>
    <t>Rho guanine nucleotide exchange factor (GEF) 10-like [Source:MGI Symbol;Acc:MGI:1920004]</t>
  </si>
  <si>
    <t>Ncoa2</t>
  </si>
  <si>
    <t>nuclear receptor coactivator 2 [Source:MGI Symbol;Acc:MGI:1276533]</t>
  </si>
  <si>
    <t>Gm12250</t>
  </si>
  <si>
    <t>predicted gene 12250 [Source:MGI Symbol;Acc:MGI:3649299]</t>
  </si>
  <si>
    <t>H2-T22</t>
  </si>
  <si>
    <t>histocompatibility 2, T region locus 22 [Source:MGI Symbol;Acc:MGI:95956]</t>
  </si>
  <si>
    <t>Egln1</t>
  </si>
  <si>
    <t>egl-9 family hypoxia-inducible factor 1 [Source:MGI Symbol;Acc:MGI:1932286]</t>
  </si>
  <si>
    <t>Pik3c3</t>
  </si>
  <si>
    <t>phosphatidylinositol 3-kinase catalytic subunit type 3 [Source:MGI Symbol;Acc:MGI:2445019]</t>
  </si>
  <si>
    <t>Txndc9</t>
  </si>
  <si>
    <t>thioredoxin domain containing 9 [Source:MGI Symbol;Acc:MGI:2138153]</t>
  </si>
  <si>
    <t>Aen</t>
  </si>
  <si>
    <t>apoptosis enhancing nuclease [Source:MGI Symbol;Acc:MGI:1915298]</t>
  </si>
  <si>
    <t>Pafah1b1</t>
  </si>
  <si>
    <t>platelet-activating factor acetylhydrolase, isoform 1b, subunit 1 [Source:MGI Symbol;Acc:MGI:109520]</t>
  </si>
  <si>
    <t>Nfam1</t>
  </si>
  <si>
    <t>Nfat activating molecule with ITAM motif 1 [Source:MGI Symbol;Acc:MGI:1921289]</t>
  </si>
  <si>
    <t>Slc7a11</t>
  </si>
  <si>
    <t>solute carrier family 7 (cationic amino acid transporter, y+ system), member 11 [Source:MGI Symbol;Acc:MGI:1347355]</t>
  </si>
  <si>
    <t>Bahd1</t>
  </si>
  <si>
    <t>bromo adjacent homology domain containing 1 [Source:MGI Symbol;Acc:MGI:2139371]</t>
  </si>
  <si>
    <t>Cep131</t>
  </si>
  <si>
    <t>centrosomal protein 131 [Source:MGI Symbol;Acc:MGI:107440]</t>
  </si>
  <si>
    <t>Zfand3</t>
  </si>
  <si>
    <t>zinc finger, AN1-type domain 3 [Source:MGI Symbol;Acc:MGI:1096572]</t>
  </si>
  <si>
    <t>Tfeb</t>
  </si>
  <si>
    <t>transcription factor EB [Source:MGI Symbol;Acc:MGI:103270]</t>
  </si>
  <si>
    <t>Ubtd1</t>
  </si>
  <si>
    <t>ubiquitin domain containing 1 [Source:MGI Symbol;Acc:MGI:2385092]</t>
  </si>
  <si>
    <t>Tmbim6</t>
  </si>
  <si>
    <t>transmembrane BAX inhibitor motif containing 6 [Source:MGI Symbol;Acc:MGI:99682]</t>
  </si>
  <si>
    <t>Kdm4a</t>
  </si>
  <si>
    <t>lysine (K)-specific demethylase 4A [Source:MGI Symbol;Acc:MGI:2446210]</t>
  </si>
  <si>
    <t>Eef1e1</t>
  </si>
  <si>
    <t>eukaryotic translation elongation factor 1 epsilon 1 [Source:MGI Symbol;Acc:MGI:1913393]</t>
  </si>
  <si>
    <t>Rnase4</t>
  </si>
  <si>
    <t>ribonuclease, RNase A family 4 [Source:MGI Symbol;Acc:MGI:1926217]</t>
  </si>
  <si>
    <t>Commd1b</t>
  </si>
  <si>
    <t>COMM domain containing 1B [Source:MGI Symbol;Acc:MGI:5547784]</t>
  </si>
  <si>
    <t>Emp1</t>
  </si>
  <si>
    <t>epithelial membrane protein 1 [Source:MGI Symbol;Acc:MGI:107941]</t>
  </si>
  <si>
    <t>Tm9sf4</t>
  </si>
  <si>
    <t>transmembrane 9 superfamily protein member 4 [Source:MGI Symbol;Acc:MGI:2139220]</t>
  </si>
  <si>
    <t>Map3k8</t>
  </si>
  <si>
    <t>mitogen-activated protein kinase kinase kinase 8 [Source:MGI Symbol;Acc:MGI:1346878]</t>
  </si>
  <si>
    <t>Gm29094</t>
  </si>
  <si>
    <t>predicted gene 29094 [Source:MGI Symbol;Acc:MGI:5579800]</t>
  </si>
  <si>
    <t>Eif3d</t>
  </si>
  <si>
    <t>eukaryotic translation initiation factor 3, subunit D [Source:MGI Symbol;Acc:MGI:1933181]</t>
  </si>
  <si>
    <t>Rnf31</t>
  </si>
  <si>
    <t>ring finger protein 31 [Source:MGI Symbol;Acc:MGI:1934704]</t>
  </si>
  <si>
    <t>Psme2</t>
  </si>
  <si>
    <t>proteasome (prosome, macropain) activator subunit 2 (PA28 beta) [Source:MGI Symbol;Acc:MGI:1096365]</t>
  </si>
  <si>
    <t>Recql4</t>
  </si>
  <si>
    <t>RecQ protein-like 4 [Source:MGI Symbol;Acc:MGI:1931028]</t>
  </si>
  <si>
    <t>Lpar5</t>
  </si>
  <si>
    <t>lysophosphatidic acid receptor 5 [Source:MGI Symbol;Acc:MGI:2685918]</t>
  </si>
  <si>
    <t>Mx1</t>
  </si>
  <si>
    <t>MX dynamin-like GTPase 1 [Source:MGI Symbol;Acc:MGI:97243]</t>
  </si>
  <si>
    <t>Gm43197</t>
  </si>
  <si>
    <t>predicted gene 43197 [Source:MGI Symbol;Acc:MGI:5663334]</t>
  </si>
  <si>
    <t>TEC</t>
  </si>
  <si>
    <t>Parp1</t>
  </si>
  <si>
    <t>poly (ADP-ribose) polymerase family, member 1 [Source:MGI Symbol;Acc:MGI:1340806]</t>
  </si>
  <si>
    <t>Gm20431</t>
  </si>
  <si>
    <t>predicted gene 20431 [Source:MGI Symbol;Acc:MGI:5141896]</t>
  </si>
  <si>
    <t>Ywhaz</t>
  </si>
  <si>
    <t>tyrosine 3-monooxygenase/tryptophan 5-monooxygenase activation protein, zeta polypeptide [Source:MGI Symbol;Acc:MGI:109484]</t>
  </si>
  <si>
    <t>Ctnnd1</t>
  </si>
  <si>
    <t>catenin (cadherin associated protein), delta 1 [Source:MGI Symbol;Acc:MGI:105100]</t>
  </si>
  <si>
    <t>Lrrc59</t>
  </si>
  <si>
    <t>leucine rich repeat containing 59 [Source:MGI Symbol;Acc:MGI:2138133]</t>
  </si>
  <si>
    <t>Cdk2</t>
  </si>
  <si>
    <t>cyclin-dependent kinase 2 [Source:MGI Symbol;Acc:MGI:104772]</t>
  </si>
  <si>
    <t>Smo</t>
  </si>
  <si>
    <t>smoothened, frizzled class receptor [Source:MGI Symbol;Acc:MGI:108075]</t>
  </si>
  <si>
    <t>Gsr</t>
  </si>
  <si>
    <t>glutathione reductase [Source:MGI Symbol;Acc:MGI:95804]</t>
  </si>
  <si>
    <t>Cd81</t>
  </si>
  <si>
    <t>CD81 antigen [Source:MGI Symbol;Acc:MGI:1096398]</t>
  </si>
  <si>
    <t>Rrm2</t>
  </si>
  <si>
    <t>ribonucleotide reductase M2 [Source:MGI Symbol;Acc:MGI:98181]</t>
  </si>
  <si>
    <t>Zmynd8</t>
  </si>
  <si>
    <t>zinc finger, MYND-type containing 8 [Source:MGI Symbol;Acc:MGI:1918025]</t>
  </si>
  <si>
    <t>Kpna3</t>
  </si>
  <si>
    <t>karyopherin (importin) alpha 3 [Source:MGI Symbol;Acc:MGI:1100863]</t>
  </si>
  <si>
    <t>Arl8a</t>
  </si>
  <si>
    <t>ADP-ribosylation factor-like 8A [Source:MGI Symbol;Acc:MGI:1915974]</t>
  </si>
  <si>
    <t>Adcy7</t>
  </si>
  <si>
    <t>adenylate cyclase 7 [Source:MGI Symbol;Acc:MGI:102891]</t>
  </si>
  <si>
    <t>Cln8</t>
  </si>
  <si>
    <t>CLN8 transmembrane ER and ERGIC protein [Source:MGI Symbol;Acc:MGI:1349447]</t>
  </si>
  <si>
    <t>Cd69</t>
  </si>
  <si>
    <t>CD69 antigen [Source:MGI Symbol;Acc:MGI:88343]</t>
  </si>
  <si>
    <t>Aicda</t>
  </si>
  <si>
    <t>activation-induced cytidine deaminase [Source:MGI Symbol;Acc:MGI:1342279]</t>
  </si>
  <si>
    <t>C5ar2</t>
  </si>
  <si>
    <t>complement component 5a receptor 2 [Source:MGI Symbol;Acc:MGI:2442013]</t>
  </si>
  <si>
    <t>Mcm3</t>
  </si>
  <si>
    <t>minichromosome maintenance complex component 3 [Source:MGI Symbol;Acc:MGI:101845]</t>
  </si>
  <si>
    <t>Arhgap22</t>
  </si>
  <si>
    <t>Rho GTPase activating protein 22 [Source:MGI Symbol;Acc:MGI:2443418]</t>
  </si>
  <si>
    <t>Cln5</t>
  </si>
  <si>
    <t>ceroid-lipofuscinosis, neuronal 5 [Source:MGI Symbol;Acc:MGI:2442253]</t>
  </si>
  <si>
    <t>Map3k1</t>
  </si>
  <si>
    <t>mitogen-activated protein kinase kinase kinase 1 [Source:MGI Symbol;Acc:MGI:1346872]</t>
  </si>
  <si>
    <t>Ripk2</t>
  </si>
  <si>
    <t>receptor (TNFRSF)-interacting serine-threonine kinase 2 [Source:MGI Symbol;Acc:MGI:1891456]</t>
  </si>
  <si>
    <t>Abhd8</t>
  </si>
  <si>
    <t>abhydrolase domain containing 8 [Source:MGI Symbol;Acc:MGI:1918946]</t>
  </si>
  <si>
    <t>Rad23b</t>
  </si>
  <si>
    <t>RAD23 homolog B, nucleotide excision repair protein [Source:MGI Symbol;Acc:MGI:105128]</t>
  </si>
  <si>
    <t>Gas2l3</t>
  </si>
  <si>
    <t>growth arrest-specific 2 like 3 [Source:MGI Symbol;Acc:MGI:1918780]</t>
  </si>
  <si>
    <t>Cd93</t>
  </si>
  <si>
    <t>CD93 antigen [Source:MGI Symbol;Acc:MGI:106664]</t>
  </si>
  <si>
    <t>Elmo2</t>
  </si>
  <si>
    <t>engulfment and cell motility 2 [Source:MGI Symbol;Acc:MGI:2153045]</t>
  </si>
  <si>
    <t>Chn2</t>
  </si>
  <si>
    <t>chimerin 2 [Source:MGI Symbol;Acc:MGI:1917243]</t>
  </si>
  <si>
    <t>Cdc45</t>
  </si>
  <si>
    <t>cell division cycle 45 [Source:MGI Symbol;Acc:MGI:1338073]</t>
  </si>
  <si>
    <t>Sgms2</t>
  </si>
  <si>
    <t>sphingomyelin synthase 2 [Source:MGI Symbol;Acc:MGI:1921692]</t>
  </si>
  <si>
    <t>Ap3b1</t>
  </si>
  <si>
    <t>adaptor-related protein complex 3, beta 1 subunit [Source:MGI Symbol;Acc:MGI:1333879]</t>
  </si>
  <si>
    <t>Gtf2i</t>
  </si>
  <si>
    <t>general transcription factor II I [Source:MGI Symbol;Acc:MGI:1202722]</t>
  </si>
  <si>
    <t>Pex11b</t>
  </si>
  <si>
    <t>peroxisomal biogenesis factor 11 beta [Source:MGI Symbol;Acc:MGI:1338882]</t>
  </si>
  <si>
    <t>Rxrb</t>
  </si>
  <si>
    <t>retinoid X receptor beta [Source:MGI Symbol;Acc:MGI:98215]</t>
  </si>
  <si>
    <t>Mtf1</t>
  </si>
  <si>
    <t>metal response element binding transcription factor 1 [Source:MGI Symbol;Acc:MGI:101786]</t>
  </si>
  <si>
    <t>Tm4sf19</t>
  </si>
  <si>
    <t>transmembrane 4 L six family member 19 [Source:MGI Symbol;Acc:MGI:3645933]</t>
  </si>
  <si>
    <t>Ulbp1</t>
  </si>
  <si>
    <t>UL16 binding protein 1 [Source:MGI Symbol;Acc:MGI:1925027]</t>
  </si>
  <si>
    <t>Mphosph6</t>
  </si>
  <si>
    <t>M phase phosphoprotein 6 [Source:MGI Symbol;Acc:MGI:1915783]</t>
  </si>
  <si>
    <t>Nampt</t>
  </si>
  <si>
    <t>nicotinamide phosphoribosyltransferase [Source:MGI Symbol;Acc:MGI:1929865]</t>
  </si>
  <si>
    <t>Zfp622</t>
  </si>
  <si>
    <t>zinc finger protein 622 [Source:MGI Symbol;Acc:MGI:1289282]</t>
  </si>
  <si>
    <t>Gdpd1</t>
  </si>
  <si>
    <t>glycerophosphodiester phosphodiesterase domain containing 1 [Source:MGI Symbol;Acc:MGI:1913819]</t>
  </si>
  <si>
    <t>Coro2a</t>
  </si>
  <si>
    <t>coronin, actin binding protein 2A [Source:MGI Symbol;Acc:MGI:1345966]</t>
  </si>
  <si>
    <t>Bcl2l1</t>
  </si>
  <si>
    <t>BCL2-like 1 [Source:MGI Symbol;Acc:MGI:88139]</t>
  </si>
  <si>
    <t>Rhou</t>
  </si>
  <si>
    <t>ras homolog family member U [Source:MGI Symbol;Acc:MGI:1916831]</t>
  </si>
  <si>
    <t>Mpp2</t>
  </si>
  <si>
    <t>membrane protein, palmitoylated 2 (MAGUK p55 subfamily member 2) [Source:MGI Symbol;Acc:MGI:1858257]</t>
  </si>
  <si>
    <t>Tnfaip1</t>
  </si>
  <si>
    <t>tumor necrosis factor, alpha-induced protein 1 (endothelial) [Source:MGI Symbol;Acc:MGI:104961]</t>
  </si>
  <si>
    <t>Nfatc1</t>
  </si>
  <si>
    <t>nuclear factor of activated T cells, cytoplasmic, calcineurin dependent 1 [Source:MGI Symbol;Acc:MGI:102469]</t>
  </si>
  <si>
    <t>Pdik1l</t>
  </si>
  <si>
    <t>PDLIM1 interacting kinase 1 like [Source:MGI Symbol;Acc:MGI:2385213]</t>
  </si>
  <si>
    <t>Ptpn23</t>
  </si>
  <si>
    <t>protein tyrosine phosphatase, non-receptor type 23 [Source:MGI Symbol;Acc:MGI:2144837]</t>
  </si>
  <si>
    <t>Mcm5</t>
  </si>
  <si>
    <t>minichromosome maintenance complex component 5 [Source:MGI Symbol;Acc:MGI:103197]</t>
  </si>
  <si>
    <t>Osbp2</t>
  </si>
  <si>
    <t>oxysterol binding protein 2 [Source:MGI Symbol;Acc:MGI:1921559]</t>
  </si>
  <si>
    <t>Pole</t>
  </si>
  <si>
    <t>polymerase (DNA directed), epsilon [Source:MGI Symbol;Acc:MGI:1196391]</t>
  </si>
  <si>
    <t>Igf1r</t>
  </si>
  <si>
    <t>insulin-like growth factor I receptor [Source:MGI Symbol;Acc:MGI:96433]</t>
  </si>
  <si>
    <t>Irf1</t>
  </si>
  <si>
    <t>interferon regulatory factor 1 [Source:MGI Symbol;Acc:MGI:96590]</t>
  </si>
  <si>
    <t>Ptgr2</t>
  </si>
  <si>
    <t>prostaglandin reductase 2 [Source:MGI Symbol;Acc:MGI:1916372]</t>
  </si>
  <si>
    <t>Iqsec3</t>
  </si>
  <si>
    <t>IQ motif and Sec7 domain 3 [Source:MGI Symbol;Acc:MGI:2677208]</t>
  </si>
  <si>
    <t>Arrdc2</t>
  </si>
  <si>
    <t>arrestin domain containing 2 [Source:MGI Symbol;Acc:MGI:1918057]</t>
  </si>
  <si>
    <t>Actr3</t>
  </si>
  <si>
    <t>ARP3 actin-related protein 3 [Source:MGI Symbol;Acc:MGI:1921367]</t>
  </si>
  <si>
    <t>Metrn</t>
  </si>
  <si>
    <t>meteorin, glial cell differentiation regulator [Source:MGI Symbol;Acc:MGI:1917333]</t>
  </si>
  <si>
    <t>H3f3b</t>
  </si>
  <si>
    <t>H3.3 histone B [Source:MGI Symbol;Acc:MGI:1101768]</t>
  </si>
  <si>
    <t>Nptxr</t>
  </si>
  <si>
    <t>neuronal pentraxin receptor [Source:MGI Symbol;Acc:MGI:1920590]</t>
  </si>
  <si>
    <t>Btg2</t>
  </si>
  <si>
    <t>BTG anti-proliferation factor 2 [Source:MGI Symbol;Acc:MGI:108384]</t>
  </si>
  <si>
    <t>Rnf14</t>
  </si>
  <si>
    <t>ring finger protein 14 [Source:MGI Symbol;Acc:MGI:1929668]</t>
  </si>
  <si>
    <t>Gm49342</t>
  </si>
  <si>
    <t>predicted gene, 49342 [Source:MGI Symbol;Acc:MGI:6121535]</t>
  </si>
  <si>
    <t>Dock8</t>
  </si>
  <si>
    <t>dedicator of cytokinesis 8 [Source:MGI Symbol;Acc:MGI:1921396]</t>
  </si>
  <si>
    <t>Tmem94</t>
  </si>
  <si>
    <t>transmembrane protein 94 [Source:MGI Symbol;Acc:MGI:1919197]</t>
  </si>
  <si>
    <t>Usp14</t>
  </si>
  <si>
    <t>ubiquitin specific peptidase 14 [Source:MGI Symbol;Acc:MGI:1928898]</t>
  </si>
  <si>
    <t>Rhob</t>
  </si>
  <si>
    <t>ras homolog family member B [Source:MGI Symbol;Acc:MGI:107949]</t>
  </si>
  <si>
    <t>Dgkg</t>
  </si>
  <si>
    <t>diacylglycerol kinase, gamma [Source:MGI Symbol;Acc:MGI:105060]</t>
  </si>
  <si>
    <t>Cbx5</t>
  </si>
  <si>
    <t>chromobox 5 [Source:MGI Symbol;Acc:MGI:109372]</t>
  </si>
  <si>
    <t>Fam234b</t>
  </si>
  <si>
    <t>family with sequence similarity 234, member B [Source:MGI Symbol;Acc:MGI:1921775]</t>
  </si>
  <si>
    <t>Map7d1</t>
  </si>
  <si>
    <t>MAP7 domain containing 1 [Source:MGI Symbol;Acc:MGI:2384297]</t>
  </si>
  <si>
    <t>Mthfr</t>
  </si>
  <si>
    <t>methylenetetrahydrofolate reductase [Source:MGI Symbol;Acc:MGI:106639]</t>
  </si>
  <si>
    <t>Ankrd44</t>
  </si>
  <si>
    <t>ankyrin repeat domain 44 [Source:MGI Symbol;Acc:MGI:3045243]</t>
  </si>
  <si>
    <t>Eif4a1</t>
  </si>
  <si>
    <t>eukaryotic translation initiation factor 4A1 [Source:MGI Symbol;Acc:MGI:95303]</t>
  </si>
  <si>
    <t>Zup1</t>
  </si>
  <si>
    <t>zinc finger containing ubiquitin peptidase 1 [Source:MGI Symbol;Acc:MGI:1919830]</t>
  </si>
  <si>
    <t>Zfp827</t>
  </si>
  <si>
    <t>zinc finger protein 827 [Source:MGI Symbol;Acc:MGI:2444807]</t>
  </si>
  <si>
    <t>Xrcc3</t>
  </si>
  <si>
    <t>X-ray repair complementing defective repair in Chinese hamster cells 3 [Source:MGI Symbol;Acc:MGI:1921585]</t>
  </si>
  <si>
    <t>Entpd6</t>
  </si>
  <si>
    <t>ectonucleoside triphosphate diphosphohydrolase 6 [Source:MGI Symbol;Acc:MGI:1202295]</t>
  </si>
  <si>
    <t>Psip1</t>
  </si>
  <si>
    <t>PC4 and SFRS1 interacting protein 1 [Source:MGI Symbol;Acc:MGI:2142116]</t>
  </si>
  <si>
    <t>Nxpe3</t>
  </si>
  <si>
    <t>neurexophilin and PC-esterase domain family, member 3 [Source:MGI Symbol;Acc:MGI:2686598]</t>
  </si>
  <si>
    <t>Ccdc88a</t>
  </si>
  <si>
    <t>coiled coil domain containing 88A [Source:MGI Symbol;Acc:MGI:1925177]</t>
  </si>
  <si>
    <t>Poldip3</t>
  </si>
  <si>
    <t>polymerase (DNA-directed), delta interacting protein 3 [Source:MGI Symbol;Acc:MGI:1921076]</t>
  </si>
  <si>
    <t>Jade2</t>
  </si>
  <si>
    <t>jade family PHD finger 2 [Source:MGI Symbol;Acc:MGI:1924151]</t>
  </si>
  <si>
    <t>Siglece</t>
  </si>
  <si>
    <t>sialic acid binding Ig-like lectin E [Source:MGI Symbol;Acc:MGI:1932475]</t>
  </si>
  <si>
    <t>Fbxw4</t>
  </si>
  <si>
    <t>F-box and WD-40 domain protein 4 [Source:MGI Symbol;Acc:MGI:1354698]</t>
  </si>
  <si>
    <t>Chaf1a</t>
  </si>
  <si>
    <t>chromatin assembly factor 1, subunit A (p150) [Source:MGI Symbol;Acc:MGI:1351331]</t>
  </si>
  <si>
    <t>Chmp4b</t>
  </si>
  <si>
    <t>charged multivesicular body protein 4B [Source:MGI Symbol;Acc:MGI:1922858]</t>
  </si>
  <si>
    <t>Ralb</t>
  </si>
  <si>
    <t>v-ral simian leukemia viral oncogene B [Source:MGI Symbol;Acc:MGI:1927244]</t>
  </si>
  <si>
    <t>Hk3</t>
  </si>
  <si>
    <t>hexokinase 3 [Source:MGI Symbol;Acc:MGI:2670962]</t>
  </si>
  <si>
    <t>Cndp2</t>
  </si>
  <si>
    <t>CNDP dipeptidase 2 (metallopeptidase M20 family) [Source:MGI Symbol;Acc:MGI:1913304]</t>
  </si>
  <si>
    <t>Cep170</t>
  </si>
  <si>
    <t>centrosomal protein 170 [Source:MGI Symbol;Acc:MGI:1918348]</t>
  </si>
  <si>
    <t>Ier5l</t>
  </si>
  <si>
    <t>immediate early response 5-like [Source:MGI Symbol;Acc:MGI:1919750]</t>
  </si>
  <si>
    <t>Slc41a2</t>
  </si>
  <si>
    <t>solute carrier family 41, member 2 [Source:MGI Symbol;Acc:MGI:2442940]</t>
  </si>
  <si>
    <t>Esd</t>
  </si>
  <si>
    <t>esterase D/formylglutathione hydrolase [Source:MGI Symbol;Acc:MGI:95421]</t>
  </si>
  <si>
    <t>Nras</t>
  </si>
  <si>
    <t>neuroblastoma ras oncogene [Source:MGI Symbol;Acc:MGI:97376]</t>
  </si>
  <si>
    <t>Bcl2l11</t>
  </si>
  <si>
    <t>BCL2-like 11 (apoptosis facilitator) [Source:MGI Symbol;Acc:MGI:1197519]</t>
  </si>
  <si>
    <t>Nedd4l</t>
  </si>
  <si>
    <t>neural precursor cell expressed, developmentally down-regulated gene 4-like [Source:MGI Symbol;Acc:MGI:1933754]</t>
  </si>
  <si>
    <t>Thap11</t>
  </si>
  <si>
    <t>THAP domain containing 11 [Source:MGI Symbol;Acc:MGI:1930964]</t>
  </si>
  <si>
    <t>Fig4</t>
  </si>
  <si>
    <t>FIG4 phosphoinositide 5-phosphatase [Source:MGI Symbol;Acc:MGI:2143585]</t>
  </si>
  <si>
    <t>Rnf150</t>
  </si>
  <si>
    <t>ring finger protein 150 [Source:MGI Symbol;Acc:MGI:2443860]</t>
  </si>
  <si>
    <t>Mrpl52</t>
  </si>
  <si>
    <t>mitochondrial ribosomal protein L52 [Source:MGI Symbol;Acc:MGI:1916086]</t>
  </si>
  <si>
    <t>Tmem8</t>
  </si>
  <si>
    <t>transmembrane protein 8 [Source:MGI Symbol;Acc:MGI:1926283]</t>
  </si>
  <si>
    <t>Dcaf13</t>
  </si>
  <si>
    <t>DDB1 and CUL4 associated factor 13 [Source:MGI Symbol;Acc:MGI:2684929]</t>
  </si>
  <si>
    <t>Pitpnc1</t>
  </si>
  <si>
    <t>phosphatidylinositol transfer protein, cytoplasmic 1 [Source:MGI Symbol;Acc:MGI:1919045]</t>
  </si>
  <si>
    <t>Zfp36l1</t>
  </si>
  <si>
    <t>zinc finger protein 36, C3H type-like 1 [Source:MGI Symbol;Acc:MGI:107946]</t>
  </si>
  <si>
    <t>Il6</t>
  </si>
  <si>
    <t>interleukin 6 [Source:MGI Symbol;Acc:MGI:96559]</t>
  </si>
  <si>
    <t>Nipal3</t>
  </si>
  <si>
    <t>NIPA-like domain containing 3 [Source:MGI Symbol;Acc:MGI:1921802]</t>
  </si>
  <si>
    <t>Tcirg1</t>
  </si>
  <si>
    <t>T cell, immune regulator 1, ATPase, H+ transporting, lysosomal V0 protein A3 [Source:MGI Symbol;Acc:MGI:1350931]</t>
  </si>
  <si>
    <t>Sema4b</t>
  </si>
  <si>
    <t>sema domain, immunoglobulin domain (Ig), transmembrane domain (TM) and short cytoplasmic domain, (semaphorin) 4B [Source:MGI Symbol;Acc:MGI:107559]</t>
  </si>
  <si>
    <t>Ncoa1</t>
  </si>
  <si>
    <t>nuclear receptor coactivator 1 [Source:MGI Symbol;Acc:MGI:1276523]</t>
  </si>
  <si>
    <t>Dda1</t>
  </si>
  <si>
    <t>DET1 and DDB1 associated 1 [Source:MGI Symbol;Acc:MGI:1913748]</t>
  </si>
  <si>
    <t>Arl4c</t>
  </si>
  <si>
    <t>ADP-ribosylation factor-like 4C [Source:MGI Symbol;Acc:MGI:2445172]</t>
  </si>
  <si>
    <t>Prkaca</t>
  </si>
  <si>
    <t>protein kinase, cAMP dependent, catalytic, alpha [Source:MGI Symbol;Acc:MGI:97592]</t>
  </si>
  <si>
    <t>Ctu1</t>
  </si>
  <si>
    <t>cytosolic thiouridylase subunit 1 [Source:MGI Symbol;Acc:MGI:2385277]</t>
  </si>
  <si>
    <t>Rnf167</t>
  </si>
  <si>
    <t>ring finger protein 167 [Source:MGI Symbol;Acc:MGI:1917760]</t>
  </si>
  <si>
    <t>Vav1</t>
  </si>
  <si>
    <t>vav 1 oncogene [Source:MGI Symbol;Acc:MGI:98923]</t>
  </si>
  <si>
    <t>Mapk1ip1l</t>
  </si>
  <si>
    <t>mitogen-activated protein kinase 1 interacting protein 1-like [Source:MGI Symbol;Acc:MGI:2444022]</t>
  </si>
  <si>
    <t>Gm49730</t>
  </si>
  <si>
    <t>predicted gene, 49730 [Source:MGI Symbol;Acc:MGI:6215212]</t>
  </si>
  <si>
    <t>Plekhg3</t>
  </si>
  <si>
    <t>pleckstrin homology domain containing, family G (with RhoGef domain) member 3 [Source:MGI Symbol;Acc:MGI:2388284]</t>
  </si>
  <si>
    <t>Nek6</t>
  </si>
  <si>
    <t>NIMA (never in mitosis gene a)-related expressed kinase 6 [Source:MGI Symbol;Acc:MGI:1891638]</t>
  </si>
  <si>
    <t>B4gat1</t>
  </si>
  <si>
    <t>beta-1,4-glucuronyltransferase 1 [Source:MGI Symbol;Acc:MGI:1919680]</t>
  </si>
  <si>
    <t>Adra1a</t>
  </si>
  <si>
    <t>adrenergic receptor, alpha 1a [Source:MGI Symbol;Acc:MGI:104773]</t>
  </si>
  <si>
    <t>Zwint</t>
  </si>
  <si>
    <t>ZW10 interactor [Source:MGI Symbol;Acc:MGI:1289227]</t>
  </si>
  <si>
    <t>Gng12</t>
  </si>
  <si>
    <t>guanine nucleotide binding protein (G protein), gamma 12 [Source:MGI Symbol;Acc:MGI:1336171]</t>
  </si>
  <si>
    <t>Gpr155</t>
  </si>
  <si>
    <t>G protein-coupled receptor 155 [Source:MGI Symbol;Acc:MGI:1915776]</t>
  </si>
  <si>
    <t>Ap2b1</t>
  </si>
  <si>
    <t>adaptor-related protein complex 2, beta 1 subunit [Source:MGI Symbol;Acc:MGI:1919020]</t>
  </si>
  <si>
    <t>Ccl7</t>
  </si>
  <si>
    <t>chemokine (C-C motif) ligand 7 [Source:MGI Symbol;Acc:MGI:99512]</t>
  </si>
  <si>
    <t>Abca9</t>
  </si>
  <si>
    <t>ATP-binding cassette, sub-family A (ABC1), member 9 [Source:MGI Symbol;Acc:MGI:2386796]</t>
  </si>
  <si>
    <t>Arid5a</t>
  </si>
  <si>
    <t>AT rich interactive domain 5A (MRF1-like) [Source:MGI Symbol;Acc:MGI:2443039]</t>
  </si>
  <si>
    <t>Pgp</t>
  </si>
  <si>
    <t>phosphoglycolate phosphatase [Source:MGI Symbol;Acc:MGI:1914328]</t>
  </si>
  <si>
    <t>Mapre1</t>
  </si>
  <si>
    <t>microtubule-associated protein, RP/EB family, member 1 [Source:MGI Symbol;Acc:MGI:891995]</t>
  </si>
  <si>
    <t>Xylb</t>
  </si>
  <si>
    <t>xylulokinase homolog (H. influenzae) [Source:MGI Symbol;Acc:MGI:2142985]</t>
  </si>
  <si>
    <t>Dync1i2</t>
  </si>
  <si>
    <t>dynein cytoplasmic 1 intermediate chain 2 [Source:MGI Symbol;Acc:MGI:107750]</t>
  </si>
  <si>
    <t>Gm28052</t>
  </si>
  <si>
    <t>predicted gene, 28052 [Source:MGI Symbol;Acc:MGI:5547788]</t>
  </si>
  <si>
    <t>Cdc42ep3</t>
  </si>
  <si>
    <t>CDC42 effector protein (Rho GTPase binding) 3 [Source:MGI Symbol;Acc:MGI:2384718]</t>
  </si>
  <si>
    <t>Pstpip2</t>
  </si>
  <si>
    <t>proline-serine-threonine phosphatase-interacting protein 2 [Source:MGI Symbol;Acc:MGI:1335088]</t>
  </si>
  <si>
    <t>Asrgl1</t>
  </si>
  <si>
    <t>asparaginase like 1 [Source:MGI Symbol;Acc:MGI:1913764]</t>
  </si>
  <si>
    <t>Ikbkg</t>
  </si>
  <si>
    <t>inhibitor of kappaB kinase gamma [Source:MGI Symbol;Acc:MGI:1338074]</t>
  </si>
  <si>
    <t>Vps37b</t>
  </si>
  <si>
    <t>vacuolar protein sorting 37B [Source:MGI Symbol;Acc:MGI:1916724]</t>
  </si>
  <si>
    <t>Mknk2</t>
  </si>
  <si>
    <t>MAP kinase-interacting serine/threonine kinase 2 [Source:MGI Symbol;Acc:MGI:894279]</t>
  </si>
  <si>
    <t>Slc25a33</t>
  </si>
  <si>
    <t>solute carrier family 25, member 33 [Source:MGI Symbol;Acc:MGI:1917806]</t>
  </si>
  <si>
    <t>Tpst1</t>
  </si>
  <si>
    <t>protein-tyrosine sulfotransferase 1 [Source:MGI Symbol;Acc:MGI:1298231]</t>
  </si>
  <si>
    <t>Coq10b</t>
  </si>
  <si>
    <t>coenzyme Q10B [Source:MGI Symbol;Acc:MGI:1915126]</t>
  </si>
  <si>
    <t>Lpin1</t>
  </si>
  <si>
    <t>lipin 1 [Source:MGI Symbol;Acc:MGI:1891340]</t>
  </si>
  <si>
    <t>Gbp6</t>
  </si>
  <si>
    <t>guanylate binding protein 6 [Source:MGI Symbol;Acc:MGI:2140937]</t>
  </si>
  <si>
    <t>Psmd5</t>
  </si>
  <si>
    <t>proteasome (prosome, macropain) 26S subunit, non-ATPase, 5 [Source:MGI Symbol;Acc:MGI:1914248]</t>
  </si>
  <si>
    <t>Vmp1</t>
  </si>
  <si>
    <t>vacuole membrane protein 1 [Source:MGI Symbol;Acc:MGI:1923159]</t>
  </si>
  <si>
    <t>Ift140</t>
  </si>
  <si>
    <t>intraflagellar transport 140 [Source:MGI Symbol;Acc:MGI:2146906]</t>
  </si>
  <si>
    <t>Chaf1b</t>
  </si>
  <si>
    <t>chromatin assembly factor 1, subunit B (p60) [Source:MGI Symbol;Acc:MGI:1314881]</t>
  </si>
  <si>
    <t>Fbxo32</t>
  </si>
  <si>
    <t>F-box protein 32 [Source:MGI Symbol;Acc:MGI:1914981]</t>
  </si>
  <si>
    <t>Dnaaf2</t>
  </si>
  <si>
    <t>dynein, axonemal assembly factor 2 [Source:MGI Symbol;Acc:MGI:1923566]</t>
  </si>
  <si>
    <t>Blnk</t>
  </si>
  <si>
    <t>B cell linker [Source:MGI Symbol;Acc:MGI:96878]</t>
  </si>
  <si>
    <t>Pank1</t>
  </si>
  <si>
    <t>pantothenate kinase 1 [Source:MGI Symbol;Acc:MGI:1922985]</t>
  </si>
  <si>
    <t>Pum3</t>
  </si>
  <si>
    <t>pumilio RNA-binding family member 3 [Source:MGI Symbol;Acc:MGI:106253]</t>
  </si>
  <si>
    <t>Brca2</t>
  </si>
  <si>
    <t>breast cancer 2, early onset [Source:MGI Symbol;Acc:MGI:109337]</t>
  </si>
  <si>
    <t>Wsb2</t>
  </si>
  <si>
    <t>WD repeat and SOCS box-containing 2 [Source:MGI Symbol;Acc:MGI:2144041]</t>
  </si>
  <si>
    <t>Arhgap24</t>
  </si>
  <si>
    <t>Rho GTPase activating protein 24 [Source:MGI Symbol;Acc:MGI:1922647]</t>
  </si>
  <si>
    <t>Sertad2</t>
  </si>
  <si>
    <t>SERTA domain containing 2 [Source:MGI Symbol;Acc:MGI:1931026]</t>
  </si>
  <si>
    <t>Hsp90ab1</t>
  </si>
  <si>
    <t>heat shock protein 90 alpha (cytosolic), class B member 1 [Source:MGI Symbol;Acc:MGI:96247]</t>
  </si>
  <si>
    <t>Ccdc92</t>
  </si>
  <si>
    <t>coiled-coil domain containing 92 [Source:MGI Symbol;Acc:MGI:106485]</t>
  </si>
  <si>
    <t>Sbds</t>
  </si>
  <si>
    <t>SBDS ribosome maturation factor [Source:MGI Symbol;Acc:MGI:1913961]</t>
  </si>
  <si>
    <t>Cyfip1</t>
  </si>
  <si>
    <t>cytoplasmic FMR1 interacting protein 1 [Source:MGI Symbol;Acc:MGI:1338801]</t>
  </si>
  <si>
    <t>Chtf18</t>
  </si>
  <si>
    <t>CTF18, chromosome transmission fidelity factor 18 [Source:MGI Symbol;Acc:MGI:2384887]</t>
  </si>
  <si>
    <t>Hmcn2</t>
  </si>
  <si>
    <t>hemicentin 2 [Source:MGI Symbol;Acc:MGI:2677838]</t>
  </si>
  <si>
    <t>Ist1</t>
  </si>
  <si>
    <t>increased sodium tolerance 1 homolog (yeast) [Source:MGI Symbol;Acc:MGI:1919205]</t>
  </si>
  <si>
    <t>Rgl1</t>
  </si>
  <si>
    <t>ral guanine nucleotide dissociation stimulator,-like 1 [Source:MGI Symbol;Acc:MGI:107484]</t>
  </si>
  <si>
    <t>Vps13c</t>
  </si>
  <si>
    <t>vacuolar protein sorting 13C [Source:MGI Symbol;Acc:MGI:2444207]</t>
  </si>
  <si>
    <t>Enkd1</t>
  </si>
  <si>
    <t>enkurin domain containing 1 [Source:MGI Symbol;Acc:MGI:2142593]</t>
  </si>
  <si>
    <t>Rbpms</t>
  </si>
  <si>
    <t>RNA binding protein gene with multiple splicing [Source:MGI Symbol;Acc:MGI:1334446]</t>
  </si>
  <si>
    <t>Rars</t>
  </si>
  <si>
    <t>arginyl-tRNA synthetase [Source:MGI Symbol;Acc:MGI:1914297]</t>
  </si>
  <si>
    <t>Marcks</t>
  </si>
  <si>
    <t>myristoylated alanine rich protein kinase C substrate [Source:MGI Symbol;Acc:MGI:96907]</t>
  </si>
  <si>
    <t>Gbp5</t>
  </si>
  <si>
    <t>guanylate binding protein 5 [Source:MGI Symbol;Acc:MGI:2429943]</t>
  </si>
  <si>
    <t>Cd300ld</t>
  </si>
  <si>
    <t>CD300 molecule like family member d [Source:MGI Symbol;Acc:MGI:2442358]</t>
  </si>
  <si>
    <t>Gm28635</t>
  </si>
  <si>
    <t>predicted gene 28635 [Source:MGI Symbol;Acc:MGI:5579341]</t>
  </si>
  <si>
    <t>Serpinb6b</t>
  </si>
  <si>
    <t>serine (or cysteine) peptidase inhibitor, clade B, member 6b [Source:MGI Symbol;Acc:MGI:894688]</t>
  </si>
  <si>
    <t>Nuak1</t>
  </si>
  <si>
    <t>NUAK family, SNF1-like kinase, 1 [Source:MGI Symbol;Acc:MGI:1925226]</t>
  </si>
  <si>
    <t>Gatad2a</t>
  </si>
  <si>
    <t>GATA zinc finger domain containing 2A [Source:MGI Symbol;Acc:MGI:2384585]</t>
  </si>
  <si>
    <t>Ap4m1</t>
  </si>
  <si>
    <t>adaptor-related protein complex AP-4, mu 1 [Source:MGI Symbol;Acc:MGI:1337063]</t>
  </si>
  <si>
    <t>Dstyk</t>
  </si>
  <si>
    <t>dual serine/threonine and tyrosine protein kinase [Source:MGI Symbol;Acc:MGI:1925064]</t>
  </si>
  <si>
    <t>Pidd1</t>
  </si>
  <si>
    <t>p53 induced death domain protein 1 [Source:MGI Symbol;Acc:MGI:1889507]</t>
  </si>
  <si>
    <t>Slbp</t>
  </si>
  <si>
    <t>stem-loop binding protein [Source:MGI Symbol;Acc:MGI:108402]</t>
  </si>
  <si>
    <t>Rad54l</t>
  </si>
  <si>
    <t>RAD54 like (S. cerevisiae) [Source:MGI Symbol;Acc:MGI:894697]</t>
  </si>
  <si>
    <t>Ubqln1</t>
  </si>
  <si>
    <t>ubiquilin 1 [Source:MGI Symbol;Acc:MGI:1860276]</t>
  </si>
  <si>
    <t>Sash3</t>
  </si>
  <si>
    <t>SAM and SH3 domain containing 3 [Source:MGI Symbol;Acc:MGI:1921381]</t>
  </si>
  <si>
    <t>Mprip</t>
  </si>
  <si>
    <t>myosin phosphatase Rho interacting protein [Source:MGI Symbol;Acc:MGI:1349438]</t>
  </si>
  <si>
    <t>Tlk2</t>
  </si>
  <si>
    <t>tousled-like kinase 2 (Arabidopsis) [Source:MGI Symbol;Acc:MGI:1346023]</t>
  </si>
  <si>
    <t>Pip5k1a</t>
  </si>
  <si>
    <t>phosphatidylinositol-4-phosphate 5-kinase, type 1 alpha [Source:MGI Symbol;Acc:MGI:107929]</t>
  </si>
  <si>
    <t>Adora2a</t>
  </si>
  <si>
    <t>adenosine A2a receptor [Source:MGI Symbol;Acc:MGI:99402]</t>
  </si>
  <si>
    <t>Zhx3</t>
  </si>
  <si>
    <t>zinc fingers and homeoboxes 3 [Source:MGI Symbol;Acc:MGI:2444772]</t>
  </si>
  <si>
    <t>Paqr7</t>
  </si>
  <si>
    <t>progestin and adipoQ receptor family member VII [Source:MGI Symbol;Acc:MGI:1919154]</t>
  </si>
  <si>
    <t>H2-T23</t>
  </si>
  <si>
    <t>histocompatibility 2, T region locus 23 [Source:MGI Symbol;Acc:MGI:95957]</t>
  </si>
  <si>
    <t>Mafb</t>
  </si>
  <si>
    <t>v-maf musculoaponeurotic fibrosarcoma oncogene family, protein B (avian) [Source:MGI Symbol;Acc:MGI:104555]</t>
  </si>
  <si>
    <t>Ddx5</t>
  </si>
  <si>
    <t>DEAD (Asp-Glu-Ala-Asp) box polypeptide 5 [Source:MGI Symbol;Acc:MGI:105037]</t>
  </si>
  <si>
    <t>Clec2d</t>
  </si>
  <si>
    <t>C-type lectin domain family 2, member d [Source:MGI Symbol;Acc:MGI:2135589]</t>
  </si>
  <si>
    <t>Bard1</t>
  </si>
  <si>
    <t>BRCA1 associated RING domain 1 [Source:MGI Symbol;Acc:MGI:1328361]</t>
  </si>
  <si>
    <t>Ppp2ca</t>
  </si>
  <si>
    <t>protein phosphatase 2 (formerly 2A), catalytic subunit, alpha isoform [Source:MGI Symbol;Acc:MGI:1321159]</t>
  </si>
  <si>
    <t>Ltv1</t>
  </si>
  <si>
    <t>LTV1 ribosome biogenesis factor [Source:MGI Symbol;Acc:MGI:2447810]</t>
  </si>
  <si>
    <t>Cdca5</t>
  </si>
  <si>
    <t>cell division cycle associated 5 [Source:MGI Symbol;Acc:MGI:1915099]</t>
  </si>
  <si>
    <t>Xylt2</t>
  </si>
  <si>
    <t>xylosyltransferase II [Source:MGI Symbol;Acc:MGI:2444797]</t>
  </si>
  <si>
    <t>Fignl1</t>
  </si>
  <si>
    <t>fidgetin-like 1 [Source:MGI Symbol;Acc:MGI:1890648]</t>
  </si>
  <si>
    <t>Atg9b</t>
  </si>
  <si>
    <t>autophagy related 9B [Source:MGI Symbol;Acc:MGI:2685420]</t>
  </si>
  <si>
    <t>Aph1c</t>
  </si>
  <si>
    <t>aph1 homolog C, gamma secretase subunit [Source:MGI Symbol;Acc:MGI:1915568]</t>
  </si>
  <si>
    <t>Mov10</t>
  </si>
  <si>
    <t>Mov10 RISC complex RNA helicase [Source:MGI Symbol;Acc:MGI:97054]</t>
  </si>
  <si>
    <t>Zfp41</t>
  </si>
  <si>
    <t>zinc finger protein 41 [Source:MGI Symbol;Acc:MGI:99186]</t>
  </si>
  <si>
    <t>Camsap2</t>
  </si>
  <si>
    <t>calmodulin regulated spectrin-associated protein family, member 2 [Source:MGI Symbol;Acc:MGI:1922434]</t>
  </si>
  <si>
    <t>Osbpl11</t>
  </si>
  <si>
    <t>oxysterol binding protein-like 11 [Source:MGI Symbol;Acc:MGI:2146553]</t>
  </si>
  <si>
    <t>Ehmt2</t>
  </si>
  <si>
    <t>euchromatic histone lysine N-methyltransferase 2 [Source:MGI Symbol;Acc:MGI:2148922]</t>
  </si>
  <si>
    <t>Hmox1</t>
  </si>
  <si>
    <t>heme oxygenase 1 [Source:MGI Symbol;Acc:MGI:96163]</t>
  </si>
  <si>
    <t>Tmem184b</t>
  </si>
  <si>
    <t>transmembrane protein 184b [Source:MGI Symbol;Acc:MGI:2445179]</t>
  </si>
  <si>
    <t>Pdgfb</t>
  </si>
  <si>
    <t>platelet derived growth factor, B polypeptide [Source:MGI Symbol;Acc:MGI:97528]</t>
  </si>
  <si>
    <t>Rtn2</t>
  </si>
  <si>
    <t>reticulon 2 (Z-band associated protein) [Source:MGI Symbol;Acc:MGI:107612]</t>
  </si>
  <si>
    <t>Phka2</t>
  </si>
  <si>
    <t>phosphorylase kinase alpha 2 [Source:MGI Symbol;Acc:MGI:97577]</t>
  </si>
  <si>
    <t>Ttpal</t>
  </si>
  <si>
    <t>tocopherol (alpha) transfer protein-like [Source:MGI Symbol;Acc:MGI:1923330]</t>
  </si>
  <si>
    <t>Zfp263</t>
  </si>
  <si>
    <t>zinc finger protein 263 [Source:MGI Symbol;Acc:MGI:1921370]</t>
  </si>
  <si>
    <t>Ulk2</t>
  </si>
  <si>
    <t>unc-51 like kinase 2 [Source:MGI Symbol;Acc:MGI:1352758]</t>
  </si>
  <si>
    <t>Ifit3b</t>
  </si>
  <si>
    <t>interferon-induced protein with tetratricopeptide repeats 3B [Source:MGI Symbol;Acc:MGI:3698419]</t>
  </si>
  <si>
    <t>Galnt6</t>
  </si>
  <si>
    <t>polypeptide N-acetylgalactosaminyltransferase 6 [Source:MGI Symbol;Acc:MGI:1891640]</t>
  </si>
  <si>
    <t>Dot1l</t>
  </si>
  <si>
    <t>DOT1-like, histone H3 methyltransferase (S. cerevisiae) [Source:MGI Symbol;Acc:MGI:2143886]</t>
  </si>
  <si>
    <t>Phf11a</t>
  </si>
  <si>
    <t>PHD finger protein 11A [Source:MGI Symbol;Acc:MGI:1918441]</t>
  </si>
  <si>
    <t>Sptbn2</t>
  </si>
  <si>
    <t>spectrin beta, non-erythrocytic 2 [Source:MGI Symbol;Acc:MGI:1313261]</t>
  </si>
  <si>
    <t>Rttn</t>
  </si>
  <si>
    <t>rotatin [Source:MGI Symbol;Acc:MGI:2179288]</t>
  </si>
  <si>
    <t>Atp6v0c</t>
  </si>
  <si>
    <t>ATPase, H+ transporting, lysosomal V0 subunit C [Source:MGI Symbol;Acc:MGI:88116]</t>
  </si>
  <si>
    <t>Ypel3</t>
  </si>
  <si>
    <t>yippee like 3 [Source:MGI Symbol;Acc:MGI:1913340]</t>
  </si>
  <si>
    <t>Tmem106b</t>
  </si>
  <si>
    <t>transmembrane protein 106B [Source:MGI Symbol;Acc:MGI:1919150]</t>
  </si>
  <si>
    <t>Map4k1</t>
  </si>
  <si>
    <t>mitogen-activated protein kinase kinase kinase kinase 1 [Source:MGI Symbol;Acc:MGI:1346882]</t>
  </si>
  <si>
    <t>Traf2</t>
  </si>
  <si>
    <t>TNF receptor-associated factor 2 [Source:MGI Symbol;Acc:MGI:101835]</t>
  </si>
  <si>
    <t>Map4</t>
  </si>
  <si>
    <t>microtubule-associated protein 4 [Source:MGI Symbol;Acc:MGI:97178]</t>
  </si>
  <si>
    <t>Ccdc71l</t>
  </si>
  <si>
    <t>coiled-coil domain containing 71 like [Source:MGI Symbol;Acc:MGI:1919373]</t>
  </si>
  <si>
    <t>Diaph2</t>
  </si>
  <si>
    <t>diaphanous related formin 2 [Source:MGI Symbol;Acc:MGI:1858500]</t>
  </si>
  <si>
    <t>Gpr85</t>
  </si>
  <si>
    <t>G protein-coupled receptor 85 [Source:MGI Symbol;Acc:MGI:1927851]</t>
  </si>
  <si>
    <t>Zcchc14</t>
  </si>
  <si>
    <t>zinc finger, CCHC domain containing 14 [Source:MGI Symbol;Acc:MGI:2159407]</t>
  </si>
  <si>
    <t>Parp16</t>
  </si>
  <si>
    <t>poly (ADP-ribose) polymerase family, member 16 [Source:MGI Symbol;Acc:MGI:2446133]</t>
  </si>
  <si>
    <t>Ppard</t>
  </si>
  <si>
    <t>peroxisome proliferator activator receptor delta [Source:MGI Symbol;Acc:MGI:101884]</t>
  </si>
  <si>
    <t>Cox17</t>
  </si>
  <si>
    <t>cytochrome c oxidase assembly protein 17, copper chaperone [Source:MGI Symbol;Acc:MGI:1333806]</t>
  </si>
  <si>
    <t>Ece1</t>
  </si>
  <si>
    <t>endothelin converting enzyme 1 [Source:MGI Symbol;Acc:MGI:1101357]</t>
  </si>
  <si>
    <t>Il1b</t>
  </si>
  <si>
    <t>interleukin 1 beta [Source:MGI Symbol;Acc:MGI:96543]</t>
  </si>
  <si>
    <t>Gm45606</t>
  </si>
  <si>
    <t>predicted gene 45606 [Source:MGI Symbol;Acc:MGI:5791442]</t>
  </si>
  <si>
    <t>Jmy</t>
  </si>
  <si>
    <t>junction-mediating and regulatory protein [Source:MGI Symbol;Acc:MGI:1913096]</t>
  </si>
  <si>
    <t>Cd276</t>
  </si>
  <si>
    <t>CD276 antigen [Source:MGI Symbol;Acc:MGI:2183926]</t>
  </si>
  <si>
    <t>Rrp9</t>
  </si>
  <si>
    <t>RRP9, small subunit (SSU) processome component, homolog (yeast) [Source:MGI Symbol;Acc:MGI:2384313]</t>
  </si>
  <si>
    <t>Mettl6</t>
  </si>
  <si>
    <t>methyltransferase like 6 [Source:MGI Symbol;Acc:MGI:1914261]</t>
  </si>
  <si>
    <t>Tgif2</t>
  </si>
  <si>
    <t>TGFB-induced factor homeobox 2 [Source:MGI Symbol;Acc:MGI:1915299]</t>
  </si>
  <si>
    <t>Gm14636</t>
  </si>
  <si>
    <t>predicted gene 14636 [Source:MGI Symbol;Acc:MGI:3641976]</t>
  </si>
  <si>
    <t>Kctd10</t>
  </si>
  <si>
    <t>potassium channel tetramerisation domain containing 10 [Source:MGI Symbol;Acc:MGI:2141207]</t>
  </si>
  <si>
    <t>Cct3</t>
  </si>
  <si>
    <t>chaperonin containing Tcp1, subunit 3 (gamma) [Source:MGI Symbol;Acc:MGI:104708]</t>
  </si>
  <si>
    <t>Sp110</t>
  </si>
  <si>
    <t>Sp110 nuclear body protein [Source:MGI Symbol;Acc:MGI:1923364]</t>
  </si>
  <si>
    <t>Psmb10</t>
  </si>
  <si>
    <t>proteasome (prosome, macropain) subunit, beta type 10 [Source:MGI Symbol;Acc:MGI:1096380]</t>
  </si>
  <si>
    <t>Galnt12</t>
  </si>
  <si>
    <t>polypeptide N-acetylgalactosaminyltransferase 12 [Source:MGI Symbol;Acc:MGI:2444664]</t>
  </si>
  <si>
    <t>Gspt1</t>
  </si>
  <si>
    <t>G1 to S phase transition 1 [Source:MGI Symbol;Acc:MGI:1316728]</t>
  </si>
  <si>
    <t>Anxa2</t>
  </si>
  <si>
    <t>annexin A2 [Source:MGI Symbol;Acc:MGI:88246]</t>
  </si>
  <si>
    <t>Stx6</t>
  </si>
  <si>
    <t>syntaxin 6 [Source:MGI Symbol;Acc:MGI:1926235]</t>
  </si>
  <si>
    <t>Kdm3b</t>
  </si>
  <si>
    <t>KDM3B lysine (K)-specific demethylase 3B [Source:MGI Symbol;Acc:MGI:1923356]</t>
  </si>
  <si>
    <t>Pygb</t>
  </si>
  <si>
    <t>brain glycogen phosphorylase [Source:MGI Symbol;Acc:MGI:97828]</t>
  </si>
  <si>
    <t>Il1f9</t>
  </si>
  <si>
    <t>interleukin 1 family, member 9 [Source:MGI Symbol;Acc:MGI:2449929]</t>
  </si>
  <si>
    <t>Ocstamp</t>
  </si>
  <si>
    <t>osteoclast stimulatory transmembrane protein [Source:MGI Symbol;Acc:MGI:1921864]</t>
  </si>
  <si>
    <t>Cldnd1</t>
  </si>
  <si>
    <t>claudin domain containing 1 [Source:MGI Symbol;Acc:MGI:2447860]</t>
  </si>
  <si>
    <t>Ticrr</t>
  </si>
  <si>
    <t>TOPBP1-interacting checkpoint and replication regulator [Source:MGI Symbol;Acc:MGI:1924261]</t>
  </si>
  <si>
    <t>Nr1h3</t>
  </si>
  <si>
    <t>nuclear receptor subfamily 1, group H, member 3 [Source:MGI Symbol;Acc:MGI:1352462]</t>
  </si>
  <si>
    <t>Il27</t>
  </si>
  <si>
    <t>interleukin 27 [Source:MGI Symbol;Acc:MGI:2384409]</t>
  </si>
  <si>
    <t>Zranb2</t>
  </si>
  <si>
    <t>zinc finger, RAN-binding domain containing 2 [Source:MGI Symbol;Acc:MGI:1858211]</t>
  </si>
  <si>
    <t>Nsd2</t>
  </si>
  <si>
    <t>nuclear receptor binding SET domain protein 2 [Source:MGI Symbol;Acc:MGI:1276574]</t>
  </si>
  <si>
    <t>Chchd4</t>
  </si>
  <si>
    <t>coiled-coil-helix-coiled-coil-helix domain containing 4 [Source:MGI Symbol;Acc:MGI:1919420]</t>
  </si>
  <si>
    <t>Ppil1</t>
  </si>
  <si>
    <t>peptidylprolyl isomerase (cyclophilin)-like 1 [Source:MGI Symbol;Acc:MGI:1916066]</t>
  </si>
  <si>
    <t>Clec4d</t>
  </si>
  <si>
    <t>C-type lectin domain family 4, member d [Source:MGI Symbol;Acc:MGI:1298389]</t>
  </si>
  <si>
    <t>Cbfa2t2</t>
  </si>
  <si>
    <t>CBFA2/RUNX1 translocation partner 2 [Source:MGI Symbol;Acc:MGI:1333833]</t>
  </si>
  <si>
    <t>Aopep</t>
  </si>
  <si>
    <t>aminopeptidase O [Source:MGI Symbol;Acc:MGI:1919311]</t>
  </si>
  <si>
    <t>Setx</t>
  </si>
  <si>
    <t>senataxin [Source:MGI Symbol;Acc:MGI:2443480]</t>
  </si>
  <si>
    <t>E2f1</t>
  </si>
  <si>
    <t>E2F transcription factor 1 [Source:MGI Symbol;Acc:MGI:101941]</t>
  </si>
  <si>
    <t>Morc2a</t>
  </si>
  <si>
    <t>microrchidia 2A [Source:MGI Symbol;Acc:MGI:1921772]</t>
  </si>
  <si>
    <t>Ints10</t>
  </si>
  <si>
    <t>integrator complex subunit 10 [Source:MGI Symbol;Acc:MGI:1918135]</t>
  </si>
  <si>
    <t>Arhgef11</t>
  </si>
  <si>
    <t>Rho guanine nucleotide exchange factor (GEF) 11 [Source:MGI Symbol;Acc:MGI:2441869]</t>
  </si>
  <si>
    <t>Tcf19</t>
  </si>
  <si>
    <t>transcription factor 19 [Source:MGI Symbol;Acc:MGI:103180]</t>
  </si>
  <si>
    <t>Creb3l1</t>
  </si>
  <si>
    <t>cAMP responsive element binding protein 3-like 1 [Source:MGI Symbol;Acc:MGI:1347062]</t>
  </si>
  <si>
    <t>Slc7a8</t>
  </si>
  <si>
    <t>solute carrier family 7 (cationic amino acid transporter, y+ system), member 8 [Source:MGI Symbol;Acc:MGI:1355323]</t>
  </si>
  <si>
    <t>Galnt7</t>
  </si>
  <si>
    <t>polypeptide N-acetylgalactosaminyltransferase 7 [Source:MGI Symbol;Acc:MGI:1349449]</t>
  </si>
  <si>
    <t>Id2</t>
  </si>
  <si>
    <t>inhibitor of DNA binding 2 [Source:MGI Symbol;Acc:MGI:96397]</t>
  </si>
  <si>
    <t>Ppa1</t>
  </si>
  <si>
    <t>pyrophosphatase (inorganic) 1 [Source:MGI Symbol;Acc:MGI:97831]</t>
  </si>
  <si>
    <t>Nfat5</t>
  </si>
  <si>
    <t>nuclear factor of activated T cells 5 [Source:MGI Symbol;Acc:MGI:1859333]</t>
  </si>
  <si>
    <t>Il2rg</t>
  </si>
  <si>
    <t>interleukin 2 receptor, gamma chain [Source:MGI Symbol;Acc:MGI:96551]</t>
  </si>
  <si>
    <t>Morf4l2</t>
  </si>
  <si>
    <t>mortality factor 4 like 2 [Source:MGI Symbol;Acc:MGI:1927167]</t>
  </si>
  <si>
    <t>Cd14</t>
  </si>
  <si>
    <t>CD14 antigen [Source:MGI Symbol;Acc:MGI:88318]</t>
  </si>
  <si>
    <t>Rab6a</t>
  </si>
  <si>
    <t>RAB6A, member RAS oncogene family [Source:MGI Symbol;Acc:MGI:894313]</t>
  </si>
  <si>
    <t>Serpina3g</t>
  </si>
  <si>
    <t>serine (or cysteine) peptidase inhibitor, clade A, member 3G [Source:MGI Symbol;Acc:MGI:105046]</t>
  </si>
  <si>
    <t>Man1c1</t>
  </si>
  <si>
    <t>mannosidase, alpha, class 1C, member 1 [Source:MGI Symbol;Acc:MGI:2446214]</t>
  </si>
  <si>
    <t>Ifitm3</t>
  </si>
  <si>
    <t>interferon induced transmembrane protein 3 [Source:MGI Symbol;Acc:MGI:1913391]</t>
  </si>
  <si>
    <t>Gm43302</t>
  </si>
  <si>
    <t>predicted gene 43302 [Source:MGI Symbol;Acc:MGI:5663439]</t>
  </si>
  <si>
    <t>Trmt2b</t>
  </si>
  <si>
    <t>TRM2 tRNA methyltransferase 2B [Source:MGI Symbol;Acc:MGI:2442530]</t>
  </si>
  <si>
    <t>Parp3</t>
  </si>
  <si>
    <t>poly (ADP-ribose) polymerase family, member 3 [Source:MGI Symbol;Acc:MGI:1891258]</t>
  </si>
  <si>
    <t>Rtkn</t>
  </si>
  <si>
    <t>rhotekin [Source:MGI Symbol;Acc:MGI:107371]</t>
  </si>
  <si>
    <t>Trmt10c</t>
  </si>
  <si>
    <t>tRNA methyltransferase 10C, mitochondrial RNase P subunit [Source:MGI Symbol;Acc:MGI:1196261]</t>
  </si>
  <si>
    <t>Pds5b</t>
  </si>
  <si>
    <t>PDS5 cohesin associated factor B [Source:MGI Symbol;Acc:MGI:2140945]</t>
  </si>
  <si>
    <t>Gpr137b-ps</t>
  </si>
  <si>
    <t>G protein-coupled receptor 137B, pseudogene [Source:MGI Symbol;Acc:MGI:3710533]</t>
  </si>
  <si>
    <t>Srxn1</t>
  </si>
  <si>
    <t>sulfiredoxin 1 homolog (S. cerevisiae) [Source:MGI Symbol;Acc:MGI:104971]</t>
  </si>
  <si>
    <t>Daglb</t>
  </si>
  <si>
    <t>diacylglycerol lipase, beta [Source:MGI Symbol;Acc:MGI:2442032]</t>
  </si>
  <si>
    <t>Bin2</t>
  </si>
  <si>
    <t>bridging integrator 2 [Source:MGI Symbol;Acc:MGI:3611448]</t>
  </si>
  <si>
    <t>C5ar1</t>
  </si>
  <si>
    <t>complement component 5a receptor 1 [Source:MGI Symbol;Acc:MGI:88232]</t>
  </si>
  <si>
    <t>Dipk1a</t>
  </si>
  <si>
    <t>divergent protein kinase domain 1A [Source:MGI Symbol;Acc:MGI:1914516]</t>
  </si>
  <si>
    <t>Med13</t>
  </si>
  <si>
    <t>mediator complex subunit 13 [Source:MGI Symbol;Acc:MGI:3029632]</t>
  </si>
  <si>
    <t>Glrp1</t>
  </si>
  <si>
    <t>glutamine repeat protein 1 [Source:MGI Symbol;Acc:MGI:108038]</t>
  </si>
  <si>
    <t>Zbtb16</t>
  </si>
  <si>
    <t>zinc finger and BTB domain containing 16 [Source:MGI Symbol;Acc:MGI:103222]</t>
  </si>
  <si>
    <t>Mybbp1a</t>
  </si>
  <si>
    <t>MYB binding protein (P160) 1a [Source:MGI Symbol;Acc:MGI:106181]</t>
  </si>
  <si>
    <t>Mbd4</t>
  </si>
  <si>
    <t>methyl-CpG binding domain protein 4 [Source:MGI Symbol;Acc:MGI:1333850]</t>
  </si>
  <si>
    <t>Dlg4</t>
  </si>
  <si>
    <t>discs large MAGUK scaffold protein 4 [Source:MGI Symbol;Acc:MGI:1277959]</t>
  </si>
  <si>
    <t>Ephb2</t>
  </si>
  <si>
    <t>Eph receptor B2 [Source:MGI Symbol;Acc:MGI:99611]</t>
  </si>
  <si>
    <t>Nod1</t>
  </si>
  <si>
    <t>nucleotide-binding oligomerization domain containing 1 [Source:MGI Symbol;Acc:MGI:1341839]</t>
  </si>
  <si>
    <t>Dst</t>
  </si>
  <si>
    <t>dystonin [Source:MGI Symbol;Acc:MGI:104627]</t>
  </si>
  <si>
    <t>Tdp2</t>
  </si>
  <si>
    <t>tyrosyl-DNA phosphodiesterase 2 [Source:MGI Symbol;Acc:MGI:1860486]</t>
  </si>
  <si>
    <t>Socs3</t>
  </si>
  <si>
    <t>suppressor of cytokine signaling 3 [Source:MGI Symbol;Acc:MGI:1201791]</t>
  </si>
  <si>
    <t>Chpf</t>
  </si>
  <si>
    <t>chondroitin polymerizing factor [Source:MGI Symbol;Acc:MGI:106576]</t>
  </si>
  <si>
    <t>A430093F15Rik</t>
  </si>
  <si>
    <t>RIKEN cDNA A430093F15 gene [Source:MGI Symbol;Acc:MGI:2685520]</t>
  </si>
  <si>
    <t>Cntnap1</t>
  </si>
  <si>
    <t>contactin associated protein-like 1 [Source:MGI Symbol;Acc:MGI:1858201]</t>
  </si>
  <si>
    <t>Nemp2</t>
  </si>
  <si>
    <t>nuclear envelope integral membrane protein 2 [Source:MGI Symbol;Acc:MGI:2444113]</t>
  </si>
  <si>
    <t>Ppfibp1</t>
  </si>
  <si>
    <t>PTPRF interacting protein, binding protein 1 (liprin beta 1) [Source:MGI Symbol;Acc:MGI:1914783]</t>
  </si>
  <si>
    <t>Baiap2</t>
  </si>
  <si>
    <t>brain-specific angiogenesis inhibitor 1-associated protein 2 [Source:MGI Symbol;Acc:MGI:2137336]</t>
  </si>
  <si>
    <t>Pola1</t>
  </si>
  <si>
    <t>polymerase (DNA directed), alpha 1 [Source:MGI Symbol;Acc:MGI:99660]</t>
  </si>
  <si>
    <t>Fam72a</t>
  </si>
  <si>
    <t>family with sequence similarity 72, member A [Source:MGI Symbol;Acc:MGI:1919669]</t>
  </si>
  <si>
    <t>Nfkbil1</t>
  </si>
  <si>
    <t>nuclear factor of kappa light polypeptide gene enhancer in B cells inhibitor like 1 [Source:MGI Symbol;Acc:MGI:1340031]</t>
  </si>
  <si>
    <t>Dhx38</t>
  </si>
  <si>
    <t>DEAH (Asp-Glu-Ala-His) box polypeptide 38 [Source:MGI Symbol;Acc:MGI:1927617]</t>
  </si>
  <si>
    <t>Phlpp2</t>
  </si>
  <si>
    <t>PH domain and leucine rich repeat protein phosphatase 2 [Source:MGI Symbol;Acc:MGI:2444928]</t>
  </si>
  <si>
    <t>Tmem189</t>
  </si>
  <si>
    <t>transmembrane protein 189 [Source:MGI Symbol;Acc:MGI:2142624]</t>
  </si>
  <si>
    <t>Usp53</t>
  </si>
  <si>
    <t>ubiquitin specific peptidase 53 [Source:MGI Symbol;Acc:MGI:2139607]</t>
  </si>
  <si>
    <t>Dgkz</t>
  </si>
  <si>
    <t>diacylglycerol kinase zeta [Source:MGI Symbol;Acc:MGI:1278339]</t>
  </si>
  <si>
    <t>Rabgef1</t>
  </si>
  <si>
    <t>RAB guanine nucleotide exchange factor (GEF) 1 [Source:MGI Symbol;Acc:MGI:1929459]</t>
  </si>
  <si>
    <t>Igfbp4</t>
  </si>
  <si>
    <t>insulin-like growth factor binding protein 4 [Source:MGI Symbol;Acc:MGI:96439]</t>
  </si>
  <si>
    <t>A630001G21Rik</t>
  </si>
  <si>
    <t>RIKEN cDNA A630001G21 gene [Source:MGI Symbol;Acc:MGI:2443131]</t>
  </si>
  <si>
    <t>Eid3</t>
  </si>
  <si>
    <t>EP300 interacting inhibitor of differentiation 3 [Source:MGI Symbol;Acc:MGI:1913591]</t>
  </si>
  <si>
    <t>Slc39a14</t>
  </si>
  <si>
    <t>solute carrier family 39 (zinc transporter), member 14 [Source:MGI Symbol;Acc:MGI:2384851]</t>
  </si>
  <si>
    <t>Scel</t>
  </si>
  <si>
    <t>sciellin [Source:MGI Symbol;Acc:MGI:1891228]</t>
  </si>
  <si>
    <t>Ext1</t>
  </si>
  <si>
    <t>exostosin glycosyltransferase 1 [Source:MGI Symbol;Acc:MGI:894663]</t>
  </si>
  <si>
    <t>Eef2k</t>
  </si>
  <si>
    <t>eukaryotic elongation factor-2 kinase [Source:MGI Symbol;Acc:MGI:1195261]</t>
  </si>
  <si>
    <t>Dock1</t>
  </si>
  <si>
    <t>dedicator of cytokinesis 1 [Source:MGI Symbol;Acc:MGI:2429765]</t>
  </si>
  <si>
    <t>Atg2a</t>
  </si>
  <si>
    <t>autophagy related 2A [Source:MGI Symbol;Acc:MGI:1916291]</t>
  </si>
  <si>
    <t>Slc25a37</t>
  </si>
  <si>
    <t>solute carrier family 25, member 37 [Source:MGI Symbol;Acc:MGI:1914962]</t>
  </si>
  <si>
    <t>Larp1</t>
  </si>
  <si>
    <t>La ribonucleoprotein domain family, member 1 [Source:MGI Symbol;Acc:MGI:1890165]</t>
  </si>
  <si>
    <t>Gtf2h1</t>
  </si>
  <si>
    <t>general transcription factor II H, polypeptide 1 [Source:MGI Symbol;Acc:MGI:1277216]</t>
  </si>
  <si>
    <t>Rsad2</t>
  </si>
  <si>
    <t>radical S-adenosyl methionine domain containing 2 [Source:MGI Symbol;Acc:MGI:1929628]</t>
  </si>
  <si>
    <t>Slc46a3</t>
  </si>
  <si>
    <t>solute carrier family 46, member 3 [Source:MGI Symbol;Acc:MGI:1918956]</t>
  </si>
  <si>
    <t>Sipa1</t>
  </si>
  <si>
    <t>signal-induced proliferation associated gene 1 [Source:MGI Symbol;Acc:MGI:107576]</t>
  </si>
  <si>
    <t>Prxl2c</t>
  </si>
  <si>
    <t>peroxiredoxin like 2C [Source:MGI Symbol;Acc:MGI:1913379]</t>
  </si>
  <si>
    <t>Nol4l</t>
  </si>
  <si>
    <t>nucleolar protein 4-like [Source:MGI Symbol;Acc:MGI:1918765]</t>
  </si>
  <si>
    <t>Ilrun</t>
  </si>
  <si>
    <t>inflammation and lipid regulator with UBA-like and NBR1-like domains [Source:MGI Symbol;Acc:MGI:106281]</t>
  </si>
  <si>
    <t>Arhgap39</t>
  </si>
  <si>
    <t>Rho GTPase activating protein 39 [Source:MGI Symbol;Acc:MGI:107858]</t>
  </si>
  <si>
    <t>Pml</t>
  </si>
  <si>
    <t>promyelocytic leukemia [Source:MGI Symbol;Acc:MGI:104662]</t>
  </si>
  <si>
    <t>Dock10</t>
  </si>
  <si>
    <t>dedicator of cytokinesis 10 [Source:MGI Symbol;Acc:MGI:2146320]</t>
  </si>
  <si>
    <t>Gins1</t>
  </si>
  <si>
    <t>GINS complex subunit 1 (Psf1 homolog) [Source:MGI Symbol;Acc:MGI:1916520]</t>
  </si>
  <si>
    <t>Nle1</t>
  </si>
  <si>
    <t>notchless homolog 1 [Source:MGI Symbol;Acc:MGI:2429770]</t>
  </si>
  <si>
    <t>Mmp14</t>
  </si>
  <si>
    <t>matrix metallopeptidase 14 (membrane-inserted) [Source:MGI Symbol;Acc:MGI:101900]</t>
  </si>
  <si>
    <t>Gm20056</t>
  </si>
  <si>
    <t>predicted gene, 20056 [Source:MGI Symbol;Acc:MGI:5012241]</t>
  </si>
  <si>
    <t>Emc8</t>
  </si>
  <si>
    <t>ER membrane protein complex subunit 8 [Source:MGI Symbol;Acc:MGI:1343095]</t>
  </si>
  <si>
    <t>Rel</t>
  </si>
  <si>
    <t>reticuloendotheliosis oncogene [Source:MGI Symbol;Acc:MGI:97897]</t>
  </si>
  <si>
    <t>Ccne1</t>
  </si>
  <si>
    <t>cyclin E1 [Source:MGI Symbol;Acc:MGI:88316]</t>
  </si>
  <si>
    <t>Nop56</t>
  </si>
  <si>
    <t>NOP56 ribonucleoprotein [Source:MGI Symbol;Acc:MGI:1914384]</t>
  </si>
  <si>
    <t>Pik3c2a</t>
  </si>
  <si>
    <t>phosphatidylinositol-4-phosphate 3-kinase catalytic subunit type 2 alpha [Source:MGI Symbol;Acc:MGI:1203729]</t>
  </si>
  <si>
    <t>Mms22l</t>
  </si>
  <si>
    <t>MMS22-like, DNA repair protein [Source:MGI Symbol;Acc:MGI:2684980]</t>
  </si>
  <si>
    <t>Abca1</t>
  </si>
  <si>
    <t>ATP-binding cassette, sub-family A (ABC1), member 1 [Source:MGI Symbol;Acc:MGI:99607]</t>
  </si>
  <si>
    <t>Fli1</t>
  </si>
  <si>
    <t>Friend leukemia integration 1 [Source:MGI Symbol;Acc:MGI:95554]</t>
  </si>
  <si>
    <t>Entr1</t>
  </si>
  <si>
    <t>endosome associated trafficking regulator 1 [Source:MGI Symbol;Acc:MGI:1915362]</t>
  </si>
  <si>
    <t>Mybl2</t>
  </si>
  <si>
    <t>myeloblastosis oncogene-like 2 [Source:MGI Symbol;Acc:MGI:101785]</t>
  </si>
  <si>
    <t>S1pr2</t>
  </si>
  <si>
    <t>sphingosine-1-phosphate receptor 2 [Source:MGI Symbol;Acc:MGI:99569]</t>
  </si>
  <si>
    <t>Fen1</t>
  </si>
  <si>
    <t>flap structure specific endonuclease 1 [Source:MGI Symbol;Acc:MGI:102779]</t>
  </si>
  <si>
    <t>Arid3a</t>
  </si>
  <si>
    <t>AT rich interactive domain 3A (BRIGHT-like) [Source:MGI Symbol;Acc:MGI:1328360]</t>
  </si>
  <si>
    <t>Reps2</t>
  </si>
  <si>
    <t>RALBP1 associated Eps domain containing protein 2 [Source:MGI Symbol;Acc:MGI:2663511]</t>
  </si>
  <si>
    <t>Taok3</t>
  </si>
  <si>
    <t>TAO kinase 3 [Source:MGI Symbol;Acc:MGI:3041177]</t>
  </si>
  <si>
    <t>Cntrob</t>
  </si>
  <si>
    <t>centrobin, centrosomal BRCA2 interacting protein [Source:MGI Symbol;Acc:MGI:2443290]</t>
  </si>
  <si>
    <t>4930579G24Rik</t>
  </si>
  <si>
    <t>RIKEN cDNA 4930579G24 gene [Source:MGI Symbol;Acc:MGI:1923189]</t>
  </si>
  <si>
    <t>Serinc3</t>
  </si>
  <si>
    <t>serine incorporator 3 [Source:MGI Symbol;Acc:MGI:1349457]</t>
  </si>
  <si>
    <t>Etaa1</t>
  </si>
  <si>
    <t>Ewing tumor-associated antigen 1 [Source:MGI Symbol;Acc:MGI:1915395]</t>
  </si>
  <si>
    <t>Jdp2</t>
  </si>
  <si>
    <t>Jun dimerization protein 2 [Source:MGI Symbol;Acc:MGI:1932093]</t>
  </si>
  <si>
    <t>Rab22a</t>
  </si>
  <si>
    <t>RAB22A, member RAS oncogene family [Source:MGI Symbol;Acc:MGI:105072]</t>
  </si>
  <si>
    <t>Tbc1d14</t>
  </si>
  <si>
    <t>TBC1 domain family, member 14 [Source:MGI Symbol;Acc:MGI:1098708]</t>
  </si>
  <si>
    <t>Gpr137b</t>
  </si>
  <si>
    <t>G protein-coupled receptor 137B [Source:MGI Symbol;Acc:MGI:1891463]</t>
  </si>
  <si>
    <t>Dpy19l1</t>
  </si>
  <si>
    <t>dpy-19-like 1 (C. elegans) [Source:MGI Symbol;Acc:MGI:1915685]</t>
  </si>
  <si>
    <t>Marchf5</t>
  </si>
  <si>
    <t>membrane associated ring-CH-type finger 5 [Source:MGI Symbol;Acc:MGI:1915207]</t>
  </si>
  <si>
    <t>Sptlc2</t>
  </si>
  <si>
    <t>serine palmitoyltransferase, long chain base subunit 2 [Source:MGI Symbol;Acc:MGI:108074]</t>
  </si>
  <si>
    <t>Zfp36</t>
  </si>
  <si>
    <t>zinc finger protein 36 [Source:MGI Symbol;Acc:MGI:99180]</t>
  </si>
  <si>
    <t>Mir22hg</t>
  </si>
  <si>
    <t>Mir22 host gene (non-protein coding) [Source:MGI Symbol;Acc:MGI:1914348]</t>
  </si>
  <si>
    <t>St7</t>
  </si>
  <si>
    <t>suppression of tumorigenicity 7 [Source:MGI Symbol;Acc:MGI:1927450]</t>
  </si>
  <si>
    <t>Rin2</t>
  </si>
  <si>
    <t>Ras and Rab interactor 2 [Source:MGI Symbol;Acc:MGI:1921280]</t>
  </si>
  <si>
    <t>5430427O19Rik</t>
  </si>
  <si>
    <t>RIKEN cDNA 5430427O19 gene [Source:MGI Symbol;Acc:MGI:1918648]</t>
  </si>
  <si>
    <t>Dscc1</t>
  </si>
  <si>
    <t>DNA replication and sister chromatid cohesion 1 [Source:MGI Symbol;Acc:MGI:1919357]</t>
  </si>
  <si>
    <t>Gpd1l</t>
  </si>
  <si>
    <t>glycerol-3-phosphate dehydrogenase 1-like [Source:MGI Symbol;Acc:MGI:1289257]</t>
  </si>
  <si>
    <t>Tmem51</t>
  </si>
  <si>
    <t>transmembrane protein 51 [Source:MGI Symbol;Acc:MGI:2384874]</t>
  </si>
  <si>
    <t>Rexo4</t>
  </si>
  <si>
    <t>REX4, 3'-5' exonuclease [Source:MGI Symbol;Acc:MGI:2684957]</t>
  </si>
  <si>
    <t>Actn1</t>
  </si>
  <si>
    <t>actinin, alpha 1 [Source:MGI Symbol;Acc:MGI:2137706]</t>
  </si>
  <si>
    <t>Smpd2</t>
  </si>
  <si>
    <t>sphingomyelin phosphodiesterase 2, neutral [Source:MGI Symbol;Acc:MGI:1278330]</t>
  </si>
  <si>
    <t>Nek7</t>
  </si>
  <si>
    <t>NIMA (never in mitosis gene a)-related expressed kinase 7 [Source:MGI Symbol;Acc:MGI:1890645]</t>
  </si>
  <si>
    <t>Arfgef2</t>
  </si>
  <si>
    <t>ADP-ribosylation factor guanine nucleotide-exchange factor 2 (brefeldin A-inhibited) [Source:MGI Symbol;Acc:MGI:2139354]</t>
  </si>
  <si>
    <t>Dut</t>
  </si>
  <si>
    <t>deoxyuridine triphosphatase [Source:MGI Symbol;Acc:MGI:1346051]</t>
  </si>
  <si>
    <t>Tmem144</t>
  </si>
  <si>
    <t>transmembrane protein 144 [Source:MGI Symbol;Acc:MGI:1917902]</t>
  </si>
  <si>
    <t>Hmgxb3</t>
  </si>
  <si>
    <t>HMG box domain containing 3 [Source:MGI Symbol;Acc:MGI:2441817]</t>
  </si>
  <si>
    <t>Chek1</t>
  </si>
  <si>
    <t>checkpoint kinase 1 [Source:MGI Symbol;Acc:MGI:1202065]</t>
  </si>
  <si>
    <t>Trpm4</t>
  </si>
  <si>
    <t>transient receptor potential cation channel, subfamily M, member 4 [Source:MGI Symbol;Acc:MGI:1915917]</t>
  </si>
  <si>
    <t>Adora2b</t>
  </si>
  <si>
    <t>adenosine A2b receptor [Source:MGI Symbol;Acc:MGI:99403]</t>
  </si>
  <si>
    <t>Rassf5</t>
  </si>
  <si>
    <t>Ras association (RalGDS/AF-6) domain family member 5 [Source:MGI Symbol;Acc:MGI:1926375]</t>
  </si>
  <si>
    <t>Rab12</t>
  </si>
  <si>
    <t>RAB12, member RAS oncogene family [Source:MGI Symbol;Acc:MGI:894284]</t>
  </si>
  <si>
    <t>Eif2b3</t>
  </si>
  <si>
    <t>eukaryotic translation initiation factor 2B, subunit 3 [Source:MGI Symbol;Acc:MGI:1313286]</t>
  </si>
  <si>
    <t>Abi2</t>
  </si>
  <si>
    <t>abl-interactor 2 [Source:MGI Symbol;Acc:MGI:106913]</t>
  </si>
  <si>
    <t>Luzp1</t>
  </si>
  <si>
    <t>leucine zipper protein 1 [Source:MGI Symbol;Acc:MGI:107629]</t>
  </si>
  <si>
    <t>Fosl2</t>
  </si>
  <si>
    <t>fos-like antigen 2 [Source:MGI Symbol;Acc:MGI:102858]</t>
  </si>
  <si>
    <t>C2cd3</t>
  </si>
  <si>
    <t>C2 calcium-dependent domain containing 3 [Source:MGI Symbol;Acc:MGI:2142166]</t>
  </si>
  <si>
    <t>Ncapd2</t>
  </si>
  <si>
    <t>non-SMC condensin I complex, subunit D2 [Source:MGI Symbol;Acc:MGI:1915548]</t>
  </si>
  <si>
    <t>Actr2</t>
  </si>
  <si>
    <t>ARP2 actin-related protein 2 [Source:MGI Symbol;Acc:MGI:1913963]</t>
  </si>
  <si>
    <t>Abhd17c</t>
  </si>
  <si>
    <t>abhydrolase domain containing 17C [Source:MGI Symbol;Acc:MGI:1917428]</t>
  </si>
  <si>
    <t>Rogdi</t>
  </si>
  <si>
    <t>rogdi homolog [Source:MGI Symbol;Acc:MGI:1913299]</t>
  </si>
  <si>
    <t>Sptssa</t>
  </si>
  <si>
    <t>serine palmitoyltransferase, small subunit A [Source:MGI Symbol;Acc:MGI:1913399]</t>
  </si>
  <si>
    <t>Mettl8</t>
  </si>
  <si>
    <t>methyltransferase like 8 [Source:MGI Symbol;Acc:MGI:2385142]</t>
  </si>
  <si>
    <t>Zfand2a</t>
  </si>
  <si>
    <t>zinc finger, AN1-type domain 2A [Source:MGI Symbol;Acc:MGI:2140729]</t>
  </si>
  <si>
    <t>Mrgbp</t>
  </si>
  <si>
    <t>MRG/MORF4L binding protein [Source:MGI Symbol;Acc:MGI:1920497]</t>
  </si>
  <si>
    <t>Arhgef2</t>
  </si>
  <si>
    <t>rho/rac guanine nucleotide exchange factor (GEF) 2 [Source:MGI Symbol;Acc:MGI:103264]</t>
  </si>
  <si>
    <t>Anp32a</t>
  </si>
  <si>
    <t>acidic (leucine-rich) nuclear phosphoprotein 32 family, member A [Source:MGI Symbol;Acc:MGI:108447]</t>
  </si>
  <si>
    <t>Eif2ak3</t>
  </si>
  <si>
    <t>eukaryotic translation initiation factor 2 alpha kinase 3 [Source:MGI Symbol;Acc:MGI:1341830]</t>
  </si>
  <si>
    <t>Rp9</t>
  </si>
  <si>
    <t>retinitis pigmentosa 9 (human) [Source:MGI Symbol;Acc:MGI:2157166]</t>
  </si>
  <si>
    <t>Nr2f6</t>
  </si>
  <si>
    <t>nuclear receptor subfamily 2, group F, member 6 [Source:MGI Symbol;Acc:MGI:1352453]</t>
  </si>
  <si>
    <t>Lrrk1</t>
  </si>
  <si>
    <t>leucine-rich repeat kinase 1 [Source:MGI Symbol;Acc:MGI:2142227]</t>
  </si>
  <si>
    <t>Slamf8</t>
  </si>
  <si>
    <t>SLAM family member 8 [Source:MGI Symbol;Acc:MGI:1921998]</t>
  </si>
  <si>
    <t>Coasy</t>
  </si>
  <si>
    <t>Coenzyme A synthase [Source:MGI Symbol;Acc:MGI:1918993]</t>
  </si>
  <si>
    <t>4933430I17Rik</t>
  </si>
  <si>
    <t>RIKEN cDNA 4933430I17 gene [Source:MGI Symbol;Acc:MGI:3045314]</t>
  </si>
  <si>
    <t>Rnf168</t>
  </si>
  <si>
    <t>ring finger protein 168 [Source:MGI Symbol;Acc:MGI:1917488]</t>
  </si>
  <si>
    <t>Itga4</t>
  </si>
  <si>
    <t>integrin alpha 4 [Source:MGI Symbol;Acc:MGI:96603]</t>
  </si>
  <si>
    <t>Ralgapa2</t>
  </si>
  <si>
    <t>Ral GTPase activating protein, alpha subunit 2 (catalytic) [Source:MGI Symbol;Acc:MGI:3036245]</t>
  </si>
  <si>
    <t>Rnasel</t>
  </si>
  <si>
    <t>ribonuclease L (2', 5'-oligoisoadenylate synthetase-dependent) [Source:MGI Symbol;Acc:MGI:1098272]</t>
  </si>
  <si>
    <t>N4bp2</t>
  </si>
  <si>
    <t>NEDD4 binding protein 2 [Source:MGI Symbol;Acc:MGI:2684414]</t>
  </si>
  <si>
    <t>Cep170b</t>
  </si>
  <si>
    <t>centrosomal protein 170B [Source:MGI Symbol;Acc:MGI:2145043]</t>
  </si>
  <si>
    <t>Naa10</t>
  </si>
  <si>
    <t>N(alpha)-acetyltransferase 10, NatA catalytic subunit [Source:MGI Symbol;Acc:MGI:1915255]</t>
  </si>
  <si>
    <t>AC142112.1</t>
  </si>
  <si>
    <t>serine (or cysteine) peptidase inhibitor, clade A, member 3G (Serpina3g) pseudogene</t>
  </si>
  <si>
    <t>unprocessed_pseudogene</t>
  </si>
  <si>
    <t>H2az2</t>
  </si>
  <si>
    <t>H2A.Z histone variant 2 [Source:MGI Symbol;Acc:MGI:1924855]</t>
  </si>
  <si>
    <t>Dnajb4</t>
  </si>
  <si>
    <t>DnaJ heat shock protein family (Hsp40) member B4 [Source:MGI Symbol;Acc:MGI:1914285]</t>
  </si>
  <si>
    <t>Mmp13</t>
  </si>
  <si>
    <t>matrix metallopeptidase 13 [Source:MGI Symbol;Acc:MGI:1340026]</t>
  </si>
  <si>
    <t>Poc1b</t>
  </si>
  <si>
    <t>POC1 centriolar protein B [Source:MGI Symbol;Acc:MGI:1918511]</t>
  </si>
  <si>
    <t>Zfyve16</t>
  </si>
  <si>
    <t>zinc finger, FYVE domain containing 16 [Source:MGI Symbol;Acc:MGI:2145181]</t>
  </si>
  <si>
    <t>Cfl2</t>
  </si>
  <si>
    <t>cofilin 2, muscle [Source:MGI Symbol;Acc:MGI:101763]</t>
  </si>
  <si>
    <t>Tmem41a</t>
  </si>
  <si>
    <t>transmembrane protein 41a [Source:MGI Symbol;Acc:MGI:1913914]</t>
  </si>
  <si>
    <t>Tob1</t>
  </si>
  <si>
    <t>transducer of ErbB-2.1 [Source:MGI Symbol;Acc:MGI:1349721]</t>
  </si>
  <si>
    <t>Ndrg1</t>
  </si>
  <si>
    <t>N-myc downstream regulated gene 1 [Source:MGI Symbol;Acc:MGI:1341799]</t>
  </si>
  <si>
    <t>Slc11a1</t>
  </si>
  <si>
    <t>solute carrier family 11 (proton-coupled divalent metal ion transporters), member 1 [Source:MGI Symbol;Acc:MGI:1345275]</t>
  </si>
  <si>
    <t>Gdf15</t>
  </si>
  <si>
    <t>growth differentiation factor 15 [Source:MGI Symbol;Acc:MGI:1346047]</t>
  </si>
  <si>
    <t>Top2b</t>
  </si>
  <si>
    <t>topoisomerase (DNA) II beta [Source:MGI Symbol;Acc:MGI:98791]</t>
  </si>
  <si>
    <t>Dock3</t>
  </si>
  <si>
    <t>dedicator of cyto-kinesis 3 [Source:MGI Symbol;Acc:MGI:2429763]</t>
  </si>
  <si>
    <t>Ccl12</t>
  </si>
  <si>
    <t>chemokine (C-C motif) ligand 12 [Source:MGI Symbol;Acc:MGI:108224]</t>
  </si>
  <si>
    <t>Sh3pxd2b</t>
  </si>
  <si>
    <t>SH3 and PX domains 2B [Source:MGI Symbol;Acc:MGI:2442062]</t>
  </si>
  <si>
    <t>Gm49510</t>
  </si>
  <si>
    <t>predicted gene, 49510 [Source:MGI Symbol;Acc:MGI:6155200]</t>
  </si>
  <si>
    <t>Xpo7</t>
  </si>
  <si>
    <t>exportin 7 [Source:MGI Symbol;Acc:MGI:1929705]</t>
  </si>
  <si>
    <t>Phlda1</t>
  </si>
  <si>
    <t>pleckstrin homology like domain, family A, member 1 [Source:MGI Symbol;Acc:MGI:1096880]</t>
  </si>
  <si>
    <t>Zfp667</t>
  </si>
  <si>
    <t>zinc finger protein 667 [Source:MGI Symbol;Acc:MGI:2442757]</t>
  </si>
  <si>
    <t>Clint1</t>
  </si>
  <si>
    <t>clathrin interactor 1 [Source:MGI Symbol;Acc:MGI:2144243]</t>
  </si>
  <si>
    <t>Mapkbp1</t>
  </si>
  <si>
    <t>mitogen-activated protein kinase binding protein 1 [Source:MGI Symbol;Acc:MGI:1347004]</t>
  </si>
  <si>
    <t>Pde7a</t>
  </si>
  <si>
    <t>phosphodiesterase 7A [Source:MGI Symbol;Acc:MGI:1202402]</t>
  </si>
  <si>
    <t>Dgat1</t>
  </si>
  <si>
    <t>diacylglycerol O-acyltransferase 1 [Source:MGI Symbol;Acc:MGI:1333825]</t>
  </si>
  <si>
    <t>Tgif1</t>
  </si>
  <si>
    <t>TGFB-induced factor homeobox 1 [Source:MGI Symbol;Acc:MGI:1194497]</t>
  </si>
  <si>
    <t>Pcgf3</t>
  </si>
  <si>
    <t>polycomb group ring finger 3 [Source:MGI Symbol;Acc:MGI:1916837]</t>
  </si>
  <si>
    <t>Tifab</t>
  </si>
  <si>
    <t>TRAF-interacting protein with forkhead-associated domain, family member B [Source:MGI Symbol;Acc:MGI:2385852]</t>
  </si>
  <si>
    <t>Dusp7</t>
  </si>
  <si>
    <t>dual specificity phosphatase 7 [Source:MGI Symbol;Acc:MGI:2387100]</t>
  </si>
  <si>
    <t>Slc12a4</t>
  </si>
  <si>
    <t>solute carrier family 12, member 4 [Source:MGI Symbol;Acc:MGI:1309465]</t>
  </si>
  <si>
    <t>Csde1</t>
  </si>
  <si>
    <t>cold shock domain containing E1, RNA binding [Source:MGI Symbol;Acc:MGI:92356]</t>
  </si>
  <si>
    <t>Dennd4a</t>
  </si>
  <si>
    <t>DENN/MADD domain containing 4A [Source:MGI Symbol;Acc:MGI:2142979]</t>
  </si>
  <si>
    <t>Cct2</t>
  </si>
  <si>
    <t>chaperonin containing Tcp1, subunit 2 (beta) [Source:MGI Symbol;Acc:MGI:107186]</t>
  </si>
  <si>
    <t>Ccdc122</t>
  </si>
  <si>
    <t>coiled-coil domain containing 122 [Source:MGI Symbol;Acc:MGI:1918358]</t>
  </si>
  <si>
    <t>Tgtp2</t>
  </si>
  <si>
    <t>T cell specific GTPase 2 [Source:MGI Symbol;Acc:MGI:3710083]</t>
  </si>
  <si>
    <t>Sec14l1</t>
  </si>
  <si>
    <t>SEC14-like lipid binding 1 [Source:MGI Symbol;Acc:MGI:1921386]</t>
  </si>
  <si>
    <t>Ube2q1</t>
  </si>
  <si>
    <t>ubiquitin-conjugating enzyme E2Q family member 1 [Source:MGI Symbol;Acc:MGI:1917343]</t>
  </si>
  <si>
    <t>Tent5a</t>
  </si>
  <si>
    <t>terminal nucleotidyltransferase 5A [Source:MGI Symbol;Acc:MGI:2670964]</t>
  </si>
  <si>
    <t>Rps6kc1</t>
  </si>
  <si>
    <t>ribosomal protein S6 kinase polypeptide 1 [Source:MGI Symbol;Acc:MGI:2443419]</t>
  </si>
  <si>
    <t>Trpm1</t>
  </si>
  <si>
    <t>transient receptor potential cation channel, subfamily M, member 1 [Source:MGI Symbol;Acc:MGI:1330305]</t>
  </si>
  <si>
    <t>Selenos</t>
  </si>
  <si>
    <t>selenoprotein S [Source:MGI Symbol;Acc:MGI:95994]</t>
  </si>
  <si>
    <t>Mfng</t>
  </si>
  <si>
    <t>MFNG O-fucosylpeptide 3-beta-N-acetylglucosaminyltransferase [Source:MGI Symbol;Acc:MGI:1095404]</t>
  </si>
  <si>
    <t>Ptges</t>
  </si>
  <si>
    <t>prostaglandin E synthase [Source:MGI Symbol;Acc:MGI:1927593]</t>
  </si>
  <si>
    <t>Tmc3</t>
  </si>
  <si>
    <t>transmembrane channel-like gene family 3 [Source:MGI Symbol;Acc:MGI:2669033]</t>
  </si>
  <si>
    <t>Usp2</t>
  </si>
  <si>
    <t>ubiquitin specific peptidase 2 [Source:MGI Symbol;Acc:MGI:1858178]</t>
  </si>
  <si>
    <t>Prkx</t>
  </si>
  <si>
    <t>protein kinase, X-linked [Source:MGI Symbol;Acc:MGI:1309999]</t>
  </si>
  <si>
    <t>Pms2</t>
  </si>
  <si>
    <t>PMS1 homolog2, mismatch repair system component [Source:MGI Symbol;Acc:MGI:104288]</t>
  </si>
  <si>
    <t>Clec4a1</t>
  </si>
  <si>
    <t>C-type lectin domain family 4, member a1 [Source:MGI Symbol;Acc:MGI:3036291]</t>
  </si>
  <si>
    <t>Asf1b</t>
  </si>
  <si>
    <t>anti-silencing function 1B histone chaperone [Source:MGI Symbol;Acc:MGI:1914179]</t>
  </si>
  <si>
    <t>Idnk</t>
  </si>
  <si>
    <t>idnK gluconokinase homolog (E. coli) [Source:MGI Symbol;Acc:MGI:1922981]</t>
  </si>
  <si>
    <t>Rabep1</t>
  </si>
  <si>
    <t>rabaptin, RAB GTPase binding effector protein 1 [Source:MGI Symbol;Acc:MGI:1860236]</t>
  </si>
  <si>
    <t>2210406H18Rik</t>
  </si>
  <si>
    <t>RIKEN cDNA 2210406H18 gene [Source:MGI Symbol;Acc:MGI:1917383]</t>
  </si>
  <si>
    <t>Hltf</t>
  </si>
  <si>
    <t>helicase-like transcription factor [Source:MGI Symbol;Acc:MGI:1196437]</t>
  </si>
  <si>
    <t>Fbxw11</t>
  </si>
  <si>
    <t>F-box and WD-40 domain protein 11 [Source:MGI Symbol;Acc:MGI:2144023]</t>
  </si>
  <si>
    <t>Ski</t>
  </si>
  <si>
    <t>ski sarcoma viral oncogene homolog (avian) [Source:MGI Symbol;Acc:MGI:98310]</t>
  </si>
  <si>
    <t>Ywhah</t>
  </si>
  <si>
    <t>tyrosine 3-monooxygenase/tryptophan 5-monooxygenase activation protein, eta polypeptide [Source:MGI Symbol;Acc:MGI:109194]</t>
  </si>
  <si>
    <t>Mtss1</t>
  </si>
  <si>
    <t>MTSS I-BAR domain containing 1 [Source:MGI Symbol;Acc:MGI:2384818]</t>
  </si>
  <si>
    <t>Sfxn3</t>
  </si>
  <si>
    <t>sideroflexin 3 [Source:MGI Symbol;Acc:MGI:2137679]</t>
  </si>
  <si>
    <t>Gm49774</t>
  </si>
  <si>
    <t>predicted gene, 49774 [Source:MGI Symbol;Acc:MGI:6215288]</t>
  </si>
  <si>
    <t>Sh3tc1</t>
  </si>
  <si>
    <t>SH3 domain and tetratricopeptide repeats 1 [Source:MGI Symbol;Acc:MGI:2678949]</t>
  </si>
  <si>
    <t>Smurf1</t>
  </si>
  <si>
    <t>SMAD specific E3 ubiquitin protein ligase 1 [Source:MGI Symbol;Acc:MGI:1923038]</t>
  </si>
  <si>
    <t>Ssh2</t>
  </si>
  <si>
    <t>slingshot protein phosphatase 2 [Source:MGI Symbol;Acc:MGI:2679255]</t>
  </si>
  <si>
    <t>Dna2</t>
  </si>
  <si>
    <t>DNA replication helicase/nuclease 2 [Source:MGI Symbol;Acc:MGI:2443732]</t>
  </si>
  <si>
    <t>Psd4</t>
  </si>
  <si>
    <t>pleckstrin and Sec7 domain containing 4 [Source:MGI Symbol;Acc:MGI:2674093]</t>
  </si>
  <si>
    <t>Prr12</t>
  </si>
  <si>
    <t>proline rich 12 [Source:MGI Symbol;Acc:MGI:2679002]</t>
  </si>
  <si>
    <t>Usp28</t>
  </si>
  <si>
    <t>ubiquitin specific peptidase 28 [Source:MGI Symbol;Acc:MGI:2442293]</t>
  </si>
  <si>
    <t>Tln1</t>
  </si>
  <si>
    <t>talin 1 [Source:MGI Symbol;Acc:MGI:1099832]</t>
  </si>
  <si>
    <t>Dync1li2</t>
  </si>
  <si>
    <t>dynein, cytoplasmic 1 light intermediate chain 2 [Source:MGI Symbol;Acc:MGI:107738]</t>
  </si>
  <si>
    <t>Fbrs</t>
  </si>
  <si>
    <t>fibrosin [Source:MGI Symbol;Acc:MGI:104648]</t>
  </si>
  <si>
    <t>Tollip</t>
  </si>
  <si>
    <t>toll interacting protein [Source:MGI Symbol;Acc:MGI:1891808]</t>
  </si>
  <si>
    <t>Tlcd1</t>
  </si>
  <si>
    <t>TLC domain containing 1 [Source:MGI Symbol;Acc:MGI:1915572]</t>
  </si>
  <si>
    <t>Phf21a</t>
  </si>
  <si>
    <t>PHD finger protein 21A [Source:MGI Symbol;Acc:MGI:2384756]</t>
  </si>
  <si>
    <t>Triobp</t>
  </si>
  <si>
    <t>TRIO and F-actin binding protein [Source:MGI Symbol;Acc:MGI:1349410]</t>
  </si>
  <si>
    <t>Prkcd</t>
  </si>
  <si>
    <t>protein kinase C, delta [Source:MGI Symbol;Acc:MGI:97598]</t>
  </si>
  <si>
    <t>Cdc6</t>
  </si>
  <si>
    <t>cell division cycle 6 [Source:MGI Symbol;Acc:MGI:1345150]</t>
  </si>
  <si>
    <t>Cep78</t>
  </si>
  <si>
    <t>centrosomal protein 78 [Source:MGI Symbol;Acc:MGI:1924386]</t>
  </si>
  <si>
    <t>Cep68</t>
  </si>
  <si>
    <t>centrosomal protein 68 [Source:MGI Symbol;Acc:MGI:2667663]</t>
  </si>
  <si>
    <t>Traf3ip2</t>
  </si>
  <si>
    <t>TRAF3 interacting protein 2 [Source:MGI Symbol;Acc:MGI:2143599]</t>
  </si>
  <si>
    <t>Mpv17l2</t>
  </si>
  <si>
    <t>MPV17 mitochondrial membrane protein-like 2 [Source:MGI Symbol;Acc:MGI:2681846]</t>
  </si>
  <si>
    <t>Pik3r1</t>
  </si>
  <si>
    <t>phosphoinositide-3-kinase regulatory subunit 1 [Source:MGI Symbol;Acc:MGI:97583]</t>
  </si>
  <si>
    <t>Hspa14</t>
  </si>
  <si>
    <t>heat shock protein 14 [Source:MGI Symbol;Acc:MGI:1354164]</t>
  </si>
  <si>
    <t>Acot9</t>
  </si>
  <si>
    <t>acyl-CoA thioesterase 9 [Source:MGI Symbol;Acc:MGI:1928939]</t>
  </si>
  <si>
    <t>Jak2</t>
  </si>
  <si>
    <t>Janus kinase 2 [Source:MGI Symbol;Acc:MGI:96629]</t>
  </si>
  <si>
    <t>Mcm6</t>
  </si>
  <si>
    <t>minichromosome maintenance complex component 6 [Source:MGI Symbol;Acc:MGI:1298227]</t>
  </si>
  <si>
    <t>Tubgcp2</t>
  </si>
  <si>
    <t>tubulin, gamma complex associated protein 2 [Source:MGI Symbol;Acc:MGI:1921487]</t>
  </si>
  <si>
    <t>Nfkbie</t>
  </si>
  <si>
    <t>nuclear factor of kappa light polypeptide gene enhancer in B cells inhibitor, epsilon [Source:MGI Symbol;Acc:MGI:1194908]</t>
  </si>
  <si>
    <t>Wee1</t>
  </si>
  <si>
    <t>WEE 1 homolog 1 (S. pombe) [Source:MGI Symbol;Acc:MGI:103075]</t>
  </si>
  <si>
    <t>Cs</t>
  </si>
  <si>
    <t>citrate synthase [Source:MGI Symbol;Acc:MGI:88529]</t>
  </si>
  <si>
    <t>Gm16181</t>
  </si>
  <si>
    <t>predicted gene 16181 [Source:MGI Symbol;Acc:MGI:3802038]</t>
  </si>
  <si>
    <t>Pirb</t>
  </si>
  <si>
    <t>paired Ig-like receptor B [Source:MGI Symbol;Acc:MGI:894311]</t>
  </si>
  <si>
    <t>Serpine1</t>
  </si>
  <si>
    <t>serine (or cysteine) peptidase inhibitor, clade E, member 1 [Source:MGI Symbol;Acc:MGI:97608]</t>
  </si>
  <si>
    <t>Uso1</t>
  </si>
  <si>
    <t>USO1 vesicle docking factor [Source:MGI Symbol;Acc:MGI:1929095]</t>
  </si>
  <si>
    <t>Smad3</t>
  </si>
  <si>
    <t>SMAD family member 3 [Source:MGI Symbol;Acc:MGI:1201674]</t>
  </si>
  <si>
    <t>Agrn</t>
  </si>
  <si>
    <t>agrin [Source:MGI Symbol;Acc:MGI:87961]</t>
  </si>
  <si>
    <t>Zfand2b</t>
  </si>
  <si>
    <t>zinc finger, AN1 type domain 2B [Source:MGI Symbol;Acc:MGI:1916068]</t>
  </si>
  <si>
    <t>Mblac2</t>
  </si>
  <si>
    <t>metallo-beta-lactamase domain containing 2 [Source:MGI Symbol;Acc:MGI:1920102]</t>
  </si>
  <si>
    <t>Prps2</t>
  </si>
  <si>
    <t>phosphoribosyl pyrophosphate synthetase 2 [Source:MGI Symbol;Acc:MGI:97776]</t>
  </si>
  <si>
    <t>Icosl</t>
  </si>
  <si>
    <t>icos ligand [Source:MGI Symbol;Acc:MGI:1354701]</t>
  </si>
  <si>
    <t>Lrp6</t>
  </si>
  <si>
    <t>low density lipoprotein receptor-related protein 6 [Source:MGI Symbol;Acc:MGI:1298218]</t>
  </si>
  <si>
    <t>Dusp3</t>
  </si>
  <si>
    <t>dual specificity phosphatase 3 (vaccinia virus phosphatase VH1-related) [Source:MGI Symbol;Acc:MGI:1919599]</t>
  </si>
  <si>
    <t>Tpm1</t>
  </si>
  <si>
    <t>tropomyosin 1, alpha [Source:MGI Symbol;Acc:MGI:98809]</t>
  </si>
  <si>
    <t>Fads1</t>
  </si>
  <si>
    <t>fatty acid desaturase 1 [Source:MGI Symbol;Acc:MGI:1923517]</t>
  </si>
  <si>
    <t>Ddx60</t>
  </si>
  <si>
    <t>DEAD (Asp-Glu-Ala-Asp) box polypeptide 60 [Source:MGI Symbol;Acc:MGI:2384570]</t>
  </si>
  <si>
    <t>Fam199x</t>
  </si>
  <si>
    <t>family with sequence similarity 199, X-linked [Source:MGI Symbol;Acc:MGI:2384304]</t>
  </si>
  <si>
    <t>Kras</t>
  </si>
  <si>
    <t>Kirsten rat sarcoma viral oncogene homolog [Source:MGI Symbol;Acc:MGI:96680]</t>
  </si>
  <si>
    <t>Capza2</t>
  </si>
  <si>
    <t>capping protein (actin filament) muscle Z-line, alpha 2 [Source:MGI Symbol;Acc:MGI:106222]</t>
  </si>
  <si>
    <t>Fam129a</t>
  </si>
  <si>
    <t>family with sequence similarity 129, member A [Source:MGI Symbol;Acc:MGI:2137237]</t>
  </si>
  <si>
    <t>Lrr1</t>
  </si>
  <si>
    <t>leucine rich repeat protein 1 [Source:MGI Symbol;Acc:MGI:1916956]</t>
  </si>
  <si>
    <t>Mcmbp</t>
  </si>
  <si>
    <t>minichromosome maintenance complex binding protein [Source:MGI Symbol;Acc:MGI:1920977]</t>
  </si>
  <si>
    <t>Msl3</t>
  </si>
  <si>
    <t>MSL complex subunit 3 [Source:MGI Symbol;Acc:MGI:1341851]</t>
  </si>
  <si>
    <t>Lrrc20</t>
  </si>
  <si>
    <t>leucine rich repeat containing 20 [Source:MGI Symbol;Acc:MGI:2387182]</t>
  </si>
  <si>
    <t>Nop2</t>
  </si>
  <si>
    <t>NOP2 nucleolar protein [Source:MGI Symbol;Acc:MGI:107891]</t>
  </si>
  <si>
    <t>Stxbp3</t>
  </si>
  <si>
    <t>syntaxin binding protein 3 [Source:MGI Symbol;Acc:MGI:107362]</t>
  </si>
  <si>
    <t>Kcmf1</t>
  </si>
  <si>
    <t>potassium channel modulatory factor 1 [Source:MGI Symbol;Acc:MGI:1921537]</t>
  </si>
  <si>
    <t>Slc39a2</t>
  </si>
  <si>
    <t>solute carrier family 39 (zinc transporter), member 2 [Source:MGI Symbol;Acc:MGI:2684326]</t>
  </si>
  <si>
    <t>Pcyox1</t>
  </si>
  <si>
    <t>prenylcysteine oxidase 1 [Source:MGI Symbol;Acc:MGI:1914131]</t>
  </si>
  <si>
    <t>Cd28</t>
  </si>
  <si>
    <t>CD28 antigen [Source:MGI Symbol;Acc:MGI:88327]</t>
  </si>
  <si>
    <t>Rcor3</t>
  </si>
  <si>
    <t>REST corepressor 3 [Source:MGI Symbol;Acc:MGI:2441920]</t>
  </si>
  <si>
    <t>Mrps35</t>
  </si>
  <si>
    <t>mitochondrial ribosomal protein S35 [Source:MGI Symbol;Acc:MGI:2385255]</t>
  </si>
  <si>
    <t>Bicd2</t>
  </si>
  <si>
    <t>BICD cargo adaptor 2 [Source:MGI Symbol;Acc:MGI:1924145]</t>
  </si>
  <si>
    <t>Ncf4</t>
  </si>
  <si>
    <t>neutrophil cytosolic factor 4 [Source:MGI Symbol;Acc:MGI:109186]</t>
  </si>
  <si>
    <t>Stip1</t>
  </si>
  <si>
    <t>stress-induced phosphoprotein 1 [Source:MGI Symbol;Acc:MGI:109130]</t>
  </si>
  <si>
    <t>Runx2</t>
  </si>
  <si>
    <t>runt related transcription factor 2 [Source:MGI Symbol;Acc:MGI:99829]</t>
  </si>
  <si>
    <t>Rnf11</t>
  </si>
  <si>
    <t>ring finger protein 11 [Source:MGI Symbol;Acc:MGI:1352759]</t>
  </si>
  <si>
    <t>Nus1</t>
  </si>
  <si>
    <t>NUS1 dehydrodolichyl diphosphate synthase subunit [Source:MGI Symbol;Acc:MGI:1196365]</t>
  </si>
  <si>
    <t>Sh2d2a</t>
  </si>
  <si>
    <t>SH2 domain containing 2A [Source:MGI Symbol;Acc:MGI:1351596]</t>
  </si>
  <si>
    <t>Cyfip2</t>
  </si>
  <si>
    <t>cytoplasmic FMR1 interacting protein 2 [Source:MGI Symbol;Acc:MGI:1924134]</t>
  </si>
  <si>
    <t>Pak2</t>
  </si>
  <si>
    <t>p21 (RAC1) activated kinase 2 [Source:MGI Symbol;Acc:MGI:1339984]</t>
  </si>
  <si>
    <t>Myl12b</t>
  </si>
  <si>
    <t>myosin, light chain 12B, regulatory [Source:MGI Symbol;Acc:MGI:107494]</t>
  </si>
  <si>
    <t>Dpf2</t>
  </si>
  <si>
    <t>D4, zinc and double PHD fingers family 2 [Source:MGI Symbol;Acc:MGI:109529]</t>
  </si>
  <si>
    <t>Nanos1</t>
  </si>
  <si>
    <t>nanos C2HC-type zinc finger 1 [Source:MGI Symbol;Acc:MGI:2669254]</t>
  </si>
  <si>
    <t>Malt1</t>
  </si>
  <si>
    <t>MALT1 paracaspase [Source:MGI Symbol;Acc:MGI:2445027]</t>
  </si>
  <si>
    <t>Pgbd5</t>
  </si>
  <si>
    <t>piggyBac transposable element derived 5 [Source:MGI Symbol;Acc:MGI:2429955]</t>
  </si>
  <si>
    <t>AW011738</t>
  </si>
  <si>
    <t>expressed sequence AW011738 [Source:MGI Symbol;Acc:MGI:2140540]</t>
  </si>
  <si>
    <t>Slc5a6</t>
  </si>
  <si>
    <t>solute carrier family 5 (sodium-dependent vitamin transporter), member 6 [Source:MGI Symbol;Acc:MGI:2660847]</t>
  </si>
  <si>
    <t>Casp8ap2</t>
  </si>
  <si>
    <t>caspase 8 associated protein 2 [Source:MGI Symbol;Acc:MGI:1349399]</t>
  </si>
  <si>
    <t>Vma21</t>
  </si>
  <si>
    <t>VMA21 vacuolar H+-ATPase homolog (S. cerevisiae) [Source:MGI Symbol;Acc:MGI:1914298]</t>
  </si>
  <si>
    <t>Fam120c</t>
  </si>
  <si>
    <t>family with sequence similarity 120, member C [Source:MGI Symbol;Acc:MGI:2387687]</t>
  </si>
  <si>
    <t>Acoxl</t>
  </si>
  <si>
    <t>acyl-Coenzyme A oxidase-like [Source:MGI Symbol;Acc:MGI:1921371]</t>
  </si>
  <si>
    <t>Ahnak2</t>
  </si>
  <si>
    <t>AHNAK nucleoprotein 2 [Source:MGI Symbol;Acc:MGI:2144831]</t>
  </si>
  <si>
    <t>Tmpo</t>
  </si>
  <si>
    <t>thymopoietin [Source:MGI Symbol;Acc:MGI:106920]</t>
  </si>
  <si>
    <t>Elovl7</t>
  </si>
  <si>
    <t>ELOVL family member 7, elongation of long chain fatty acids (yeast) [Source:MGI Symbol;Acc:MGI:1921809]</t>
  </si>
  <si>
    <t>Prdx1</t>
  </si>
  <si>
    <t>peroxiredoxin 1 [Source:MGI Symbol;Acc:MGI:99523]</t>
  </si>
  <si>
    <t>Crocc</t>
  </si>
  <si>
    <t>ciliary rootlet coiled-coil, rootletin [Source:MGI Symbol;Acc:MGI:3529431]</t>
  </si>
  <si>
    <t>Ncf1</t>
  </si>
  <si>
    <t>neutrophil cytosolic factor 1 [Source:MGI Symbol;Acc:MGI:97283]</t>
  </si>
  <si>
    <t>Slc38a1</t>
  </si>
  <si>
    <t>solute carrier family 38, member 1 [Source:MGI Symbol;Acc:MGI:2145895]</t>
  </si>
  <si>
    <t>Siva1</t>
  </si>
  <si>
    <t>SIVA1, apoptosis-inducing factor [Source:MGI Symbol;Acc:MGI:1353606]</t>
  </si>
  <si>
    <t>Tcp1</t>
  </si>
  <si>
    <t>t-complex protein 1 [Source:MGI Symbol;Acc:MGI:98535]</t>
  </si>
  <si>
    <t>Pclaf</t>
  </si>
  <si>
    <t>PCNA clamp associated factor [Source:MGI Symbol;Acc:MGI:1915276]</t>
  </si>
  <si>
    <t>BC055324</t>
  </si>
  <si>
    <t>cDNA sequence BC055324 [Source:MGI Symbol;Acc:MGI:3590554]</t>
  </si>
  <si>
    <t>Tap2</t>
  </si>
  <si>
    <t>transporter 2, ATP-binding cassette, sub-family B (MDR/TAP) [Source:MGI Symbol;Acc:MGI:98484]</t>
  </si>
  <si>
    <t>Atp6v1e1</t>
  </si>
  <si>
    <t>ATPase, H+ transporting, lysosomal V1 subunit E1 [Source:MGI Symbol;Acc:MGI:894326]</t>
  </si>
  <si>
    <t>Wfs1</t>
  </si>
  <si>
    <t>wolframin ER transmembrane glycoprotein [Source:MGI Symbol;Acc:MGI:1328355]</t>
  </si>
  <si>
    <t>Maged1</t>
  </si>
  <si>
    <t>melanoma antigen, family D, 1 [Source:MGI Symbol;Acc:MGI:1930187]</t>
  </si>
  <si>
    <t>Osbpl7</t>
  </si>
  <si>
    <t>oxysterol binding protein-like 7 [Source:MGI Symbol;Acc:MGI:1918490]</t>
  </si>
  <si>
    <t>Myc</t>
  </si>
  <si>
    <t>myelocytomatosis oncogene [Source:MGI Symbol;Acc:MGI:97250]</t>
  </si>
  <si>
    <t>Xiap</t>
  </si>
  <si>
    <t>X-linked inhibitor of apoptosis [Source:MGI Symbol;Acc:MGI:107572]</t>
  </si>
  <si>
    <t>Glipr1</t>
  </si>
  <si>
    <t>GLI pathogenesis-related 1 (glioma) [Source:MGI Symbol;Acc:MGI:1920940]</t>
  </si>
  <si>
    <t>Svil</t>
  </si>
  <si>
    <t>supervillin [Source:MGI Symbol;Acc:MGI:2147319]</t>
  </si>
  <si>
    <t>Xpnpep1</t>
  </si>
  <si>
    <t>X-prolyl aminopeptidase (aminopeptidase P) 1, soluble [Source:MGI Symbol;Acc:MGI:2180003]</t>
  </si>
  <si>
    <t>Kiz</t>
  </si>
  <si>
    <t>kizuna centrosomal protein [Source:MGI Symbol;Acc:MGI:2684960]</t>
  </si>
  <si>
    <t>Scimp</t>
  </si>
  <si>
    <t>SLP adaptor and CSK interacting membrane protein [Source:MGI Symbol;Acc:MGI:3610314]</t>
  </si>
  <si>
    <t>Gtf2ird1</t>
  </si>
  <si>
    <t>general transcription factor II I repeat domain-containing 1 [Source:MGI Symbol;Acc:MGI:1861942]</t>
  </si>
  <si>
    <t>Dyrk2</t>
  </si>
  <si>
    <t>dual-specificity tyrosine-(Y)-phosphorylation regulated kinase 2 [Source:MGI Symbol;Acc:MGI:1330301]</t>
  </si>
  <si>
    <t>Cmc2</t>
  </si>
  <si>
    <t>COX assembly mitochondrial protein 2 [Source:MGI Symbol;Acc:MGI:1913781]</t>
  </si>
  <si>
    <t>Snx9</t>
  </si>
  <si>
    <t>sorting nexin 9 [Source:MGI Symbol;Acc:MGI:1913866]</t>
  </si>
  <si>
    <t>Dld</t>
  </si>
  <si>
    <t>dihydrolipoamide dehydrogenase [Source:MGI Symbol;Acc:MGI:107450]</t>
  </si>
  <si>
    <t>Mak16</t>
  </si>
  <si>
    <t>MAK16 homolog [Source:MGI Symbol;Acc:MGI:1915170]</t>
  </si>
  <si>
    <t>Phldb1</t>
  </si>
  <si>
    <t>pleckstrin homology like domain, family B, member 1 [Source:MGI Symbol;Acc:MGI:2143230]</t>
  </si>
  <si>
    <t>Zmym3</t>
  </si>
  <si>
    <t>zinc finger, MYM-type 3 [Source:MGI Symbol;Acc:MGI:1927231]</t>
  </si>
  <si>
    <t>Slc10a7</t>
  </si>
  <si>
    <t>solute carrier family 10 (sodium/bile acid cotransporter family), member 7 [Source:MGI Symbol;Acc:MGI:1924025]</t>
  </si>
  <si>
    <t>B2m</t>
  </si>
  <si>
    <t>beta-2 microglobulin [Source:MGI Symbol;Acc:MGI:88127]</t>
  </si>
  <si>
    <t>Eif4e</t>
  </si>
  <si>
    <t>eukaryotic translation initiation factor 4E [Source:MGI Symbol;Acc:MGI:95305]</t>
  </si>
  <si>
    <t>Samd1</t>
  </si>
  <si>
    <t>sterile alpha motif domain containing 1 [Source:MGI Symbol;Acc:MGI:2142433]</t>
  </si>
  <si>
    <t>Ikbkb</t>
  </si>
  <si>
    <t>inhibitor of kappaB kinase beta [Source:MGI Symbol;Acc:MGI:1338071]</t>
  </si>
  <si>
    <t>Septin11</t>
  </si>
  <si>
    <t>septin 11 [Source:MGI Symbol;Acc:MGI:1277214]</t>
  </si>
  <si>
    <t>Tsc22d1</t>
  </si>
  <si>
    <t>TSC22 domain family, member 1 [Source:MGI Symbol;Acc:MGI:109127]</t>
  </si>
  <si>
    <t>Plekha8</t>
  </si>
  <si>
    <t>pleckstrin homology domain containing, family A (phosphoinositide binding specific) member 8 [Source:MGI Symbol;Acc:MGI:2681164]</t>
  </si>
  <si>
    <t>Smg7</t>
  </si>
  <si>
    <t>Smg-7 homolog, nonsense mediated mRNA decay factor (C. elegans) [Source:MGI Symbol;Acc:MGI:2682334]</t>
  </si>
  <si>
    <t>Mtr</t>
  </si>
  <si>
    <t>5-methyltetrahydrofolate-homocysteine methyltransferase [Source:MGI Symbol;Acc:MGI:894292]</t>
  </si>
  <si>
    <t>Trip12</t>
  </si>
  <si>
    <t>thyroid hormone receptor interactor 12 [Source:MGI Symbol;Acc:MGI:1309481]</t>
  </si>
  <si>
    <t>Tal1</t>
  </si>
  <si>
    <t>T cell acute lymphocytic leukemia 1 [Source:MGI Symbol;Acc:MGI:98480]</t>
  </si>
  <si>
    <t>Iqgap2</t>
  </si>
  <si>
    <t>IQ motif containing GTPase activating protein 2 [Source:MGI Symbol;Acc:MGI:2449975]</t>
  </si>
  <si>
    <t>Hbegf</t>
  </si>
  <si>
    <t>heparin-binding EGF-like growth factor [Source:MGI Symbol;Acc:MGI:96070]</t>
  </si>
  <si>
    <t>Prkdc</t>
  </si>
  <si>
    <t>protein kinase, DNA activated, catalytic polypeptide [Source:MGI Symbol;Acc:MGI:104779]</t>
  </si>
  <si>
    <t>Shisa5</t>
  </si>
  <si>
    <t>shisa family member 5 [Source:MGI Symbol;Acc:MGI:1915044]</t>
  </si>
  <si>
    <t>Cdkn2b</t>
  </si>
  <si>
    <t>cyclin dependent kinase inhibitor 2B [Source:MGI Symbol;Acc:MGI:104737]</t>
  </si>
  <si>
    <t>Ms4a7</t>
  </si>
  <si>
    <t>membrane-spanning 4-domains, subfamily A, member 7 [Source:MGI Symbol;Acc:MGI:1918846]</t>
  </si>
  <si>
    <t>Nr1d2</t>
  </si>
  <si>
    <t>nuclear receptor subfamily 1, group D, member 2 [Source:MGI Symbol;Acc:MGI:2449205]</t>
  </si>
  <si>
    <t>Ctdspl2</t>
  </si>
  <si>
    <t>CTD (carboxy-terminal domain, RNA polymerase II, polypeptide A) small phosphatase like 2 [Source:MGI Symbol;Acc:MGI:1196405]</t>
  </si>
  <si>
    <t>Fam122a</t>
  </si>
  <si>
    <t>family with sequence similarity 122, member A [Source:MGI Symbol;Acc:MGI:1915284]</t>
  </si>
  <si>
    <t>Sfn</t>
  </si>
  <si>
    <t>stratifin [Source:MGI Symbol;Acc:MGI:1891831]</t>
  </si>
  <si>
    <t>Tuba1c</t>
  </si>
  <si>
    <t>tubulin, alpha 1C [Source:MGI Symbol;Acc:MGI:1095409]</t>
  </si>
  <si>
    <t>Rpf2</t>
  </si>
  <si>
    <t>ribosome production factor 2 homolog [Source:MGI Symbol;Acc:MGI:1914489]</t>
  </si>
  <si>
    <t>Pcyox1l</t>
  </si>
  <si>
    <t>prenylcysteine oxidase 1 like [Source:MGI Symbol;Acc:MGI:3606062]</t>
  </si>
  <si>
    <t>Zbtb17</t>
  </si>
  <si>
    <t>zinc finger and BTB domain containing 17 [Source:MGI Symbol;Acc:MGI:107410]</t>
  </si>
  <si>
    <t>Def8</t>
  </si>
  <si>
    <t>differentially expressed in FDCP 8 [Source:MGI Symbol;Acc:MGI:1346331]</t>
  </si>
  <si>
    <t>Fbxw8</t>
  </si>
  <si>
    <t>F-box and WD-40 domain protein 8 [Source:MGI Symbol;Acc:MGI:1923041]</t>
  </si>
  <si>
    <t>Axl</t>
  </si>
  <si>
    <t>AXL receptor tyrosine kinase [Source:MGI Symbol;Acc:MGI:1347244]</t>
  </si>
  <si>
    <t>Oxr1</t>
  </si>
  <si>
    <t>oxidation resistance 1 [Source:MGI Symbol;Acc:MGI:2179326]</t>
  </si>
  <si>
    <t>Peak1os</t>
  </si>
  <si>
    <t>pseudopodium-enriched atypical kinase 1, opposite strand [Source:MGI Symbol;Acc:MGI:5477083]</t>
  </si>
  <si>
    <t>Slc8a1</t>
  </si>
  <si>
    <t>solute carrier family 8 (sodium/calcium exchanger), member 1 [Source:MGI Symbol;Acc:MGI:107956]</t>
  </si>
  <si>
    <t>Plscr1</t>
  </si>
  <si>
    <t>phospholipid scramblase 1 [Source:MGI Symbol;Acc:MGI:893575]</t>
  </si>
  <si>
    <t>Arpc2</t>
  </si>
  <si>
    <t>actin related protein 2/3 complex, subunit 2 [Source:MGI Symbol;Acc:MGI:1923959]</t>
  </si>
  <si>
    <t>Stard5</t>
  </si>
  <si>
    <t>StAR-related lipid transfer (START) domain containing 5 [Source:MGI Symbol;Acc:MGI:2156765]</t>
  </si>
  <si>
    <t>Mroh2a</t>
  </si>
  <si>
    <t>maestro heat-like repeat family member 2A [Source:MGI Symbol;Acc:MGI:3705228]</t>
  </si>
  <si>
    <t>Ptms</t>
  </si>
  <si>
    <t>parathymosin [Source:MGI Symbol;Acc:MGI:1916452]</t>
  </si>
  <si>
    <t>Casp2</t>
  </si>
  <si>
    <t>caspase 2 [Source:MGI Symbol;Acc:MGI:97295]</t>
  </si>
  <si>
    <t>Samd4b</t>
  </si>
  <si>
    <t>sterile alpha motif domain containing 4B [Source:MGI Symbol;Acc:MGI:2448542]</t>
  </si>
  <si>
    <t>Rad51ap1</t>
  </si>
  <si>
    <t>RAD51 associated protein 1 [Source:MGI Symbol;Acc:MGI:1098224]</t>
  </si>
  <si>
    <t>Ccny</t>
  </si>
  <si>
    <t>cyclin Y [Source:MGI Symbol;Acc:MGI:1915224]</t>
  </si>
  <si>
    <t>Sbno2</t>
  </si>
  <si>
    <t>strawberry notch 2 [Source:MGI Symbol;Acc:MGI:2448490]</t>
  </si>
  <si>
    <t>Rrbp1</t>
  </si>
  <si>
    <t>ribosome binding protein 1 [Source:MGI Symbol;Acc:MGI:1932395]</t>
  </si>
  <si>
    <t>Dhfr</t>
  </si>
  <si>
    <t>dihydrofolate reductase [Source:MGI Symbol;Acc:MGI:94890]</t>
  </si>
  <si>
    <t>Arfrp1</t>
  </si>
  <si>
    <t>ADP-ribosylation factor related protein 1 [Source:MGI Symbol;Acc:MGI:1923938]</t>
  </si>
  <si>
    <t>Whrn</t>
  </si>
  <si>
    <t>whirlin [Source:MGI Symbol;Acc:MGI:2682003]</t>
  </si>
  <si>
    <t>Prr13</t>
  </si>
  <si>
    <t>proline rich 13 [Source:MGI Symbol;Acc:MGI:1913401]</t>
  </si>
  <si>
    <t>Tlnrd1</t>
  </si>
  <si>
    <t>talin rod domain containing 1 [Source:MGI Symbol;Acc:MGI:1891420]</t>
  </si>
  <si>
    <t>Xrcc1</t>
  </si>
  <si>
    <t>X-ray repair complementing defective repair in Chinese hamster cells 1 [Source:MGI Symbol;Acc:MGI:99137]</t>
  </si>
  <si>
    <t>Mdm1</t>
  </si>
  <si>
    <t>transformed mouse 3T3 cell double minute 1 [Source:MGI Symbol;Acc:MGI:96951]</t>
  </si>
  <si>
    <t>Eif3j1</t>
  </si>
  <si>
    <t>eukaryotic translation initiation factor 3, subunit J1 [Source:MGI Symbol;Acc:MGI:1925905]</t>
  </si>
  <si>
    <t>Maf1</t>
  </si>
  <si>
    <t>MAF1 homolog, negative regulator of RNA polymerase III [Source:MGI Symbol;Acc:MGI:1916127]</t>
  </si>
  <si>
    <t>Mlec</t>
  </si>
  <si>
    <t>malectin [Source:MGI Symbol;Acc:MGI:1924015]</t>
  </si>
  <si>
    <t>Adrm1</t>
  </si>
  <si>
    <t>adhesion regulating molecule 1 [Source:MGI Symbol;Acc:MGI:1929289]</t>
  </si>
  <si>
    <t>Tmem192</t>
  </si>
  <si>
    <t>transmembrane protein 192 [Source:MGI Symbol;Acc:MGI:1920317]</t>
  </si>
  <si>
    <t>Ric1</t>
  </si>
  <si>
    <t>RAB6A GEF complex partner 1 [Source:MGI Symbol;Acc:MGI:1924893]</t>
  </si>
  <si>
    <t>Eloa</t>
  </si>
  <si>
    <t>elongin A [Source:MGI Symbol;Acc:MGI:1351315]</t>
  </si>
  <si>
    <t>Brd2</t>
  </si>
  <si>
    <t>bromodomain containing 2 [Source:MGI Symbol;Acc:MGI:99495]</t>
  </si>
  <si>
    <t>Dedd2</t>
  </si>
  <si>
    <t>death effector domain-containing DNA binding protein 2 [Source:MGI Symbol;Acc:MGI:1914629]</t>
  </si>
  <si>
    <t>Ddb1</t>
  </si>
  <si>
    <t>damage specific DNA binding protein 1 [Source:MGI Symbol;Acc:MGI:1202384]</t>
  </si>
  <si>
    <t>Git1</t>
  </si>
  <si>
    <t>GIT ArfGAP 1 [Source:MGI Symbol;Acc:MGI:1927140]</t>
  </si>
  <si>
    <t>Dync1h1</t>
  </si>
  <si>
    <t>dynein cytoplasmic 1 heavy chain 1 [Source:MGI Symbol;Acc:MGI:103147]</t>
  </si>
  <si>
    <t>A530064D06Rik</t>
  </si>
  <si>
    <t>RIKEN cDNA A530064D06 gene [Source:MGI Symbol;Acc:MGI:2443476]</t>
  </si>
  <si>
    <t>Lmnb1</t>
  </si>
  <si>
    <t>lamin B1 [Source:MGI Symbol;Acc:MGI:96795]</t>
  </si>
  <si>
    <t>Zfp862-ps</t>
  </si>
  <si>
    <t>zinc finger protein 862, pseudogene [Source:MGI Symbol;Acc:MGI:1889827]</t>
  </si>
  <si>
    <t>transcribed_unitary_pseudogene</t>
  </si>
  <si>
    <t>Fabp4</t>
  </si>
  <si>
    <t>fatty acid binding protein 4, adipocyte [Source:MGI Symbol;Acc:MGI:88038]</t>
  </si>
  <si>
    <t>Kif3c</t>
  </si>
  <si>
    <t>kinesin family member 3C [Source:MGI Symbol;Acc:MGI:107979]</t>
  </si>
  <si>
    <t>Card11</t>
  </si>
  <si>
    <t>caspase recruitment domain family, member 11 [Source:MGI Symbol;Acc:MGI:1916978]</t>
  </si>
  <si>
    <t>Acadm</t>
  </si>
  <si>
    <t>acyl-Coenzyme A dehydrogenase, medium chain [Source:MGI Symbol;Acc:MGI:87867]</t>
  </si>
  <si>
    <t>Sec22c</t>
  </si>
  <si>
    <t>SEC22 homolog C, vesicle trafficking protein [Source:MGI Symbol;Acc:MGI:2447871]</t>
  </si>
  <si>
    <t>Pwwp3a</t>
  </si>
  <si>
    <t>PWWP domain containing 3A, DNA repair factor [Source:MGI Symbol;Acc:MGI:1915364]</t>
  </si>
  <si>
    <t>Sntb2</t>
  </si>
  <si>
    <t>syntrophin, basic 2 [Source:MGI Symbol;Acc:MGI:101771]</t>
  </si>
  <si>
    <t>Aunip</t>
  </si>
  <si>
    <t>aurora kinase A and ninein interacting protein [Source:MGI Symbol;Acc:MGI:1917135]</t>
  </si>
  <si>
    <t>Aagab</t>
  </si>
  <si>
    <t>alpha- and gamma-adaptin binding protein [Source:MGI Symbol;Acc:MGI:1914189]</t>
  </si>
  <si>
    <t>Ncoa5</t>
  </si>
  <si>
    <t>nuclear receptor coactivator 5 [Source:MGI Symbol;Acc:MGI:2385165]</t>
  </si>
  <si>
    <t>Itpripl1</t>
  </si>
  <si>
    <t>inositol 1,4,5-triphosphate receptor interacting protein-like 1 [Source:MGI Symbol;Acc:MGI:1920588]</t>
  </si>
  <si>
    <t>Fubp1</t>
  </si>
  <si>
    <t>far upstream element (FUSE) binding protein 1 [Source:MGI Symbol;Acc:MGI:1196294]</t>
  </si>
  <si>
    <t>Dmxl2</t>
  </si>
  <si>
    <t>Dmx-like 2 [Source:MGI Symbol;Acc:MGI:2444630]</t>
  </si>
  <si>
    <t>Akap12</t>
  </si>
  <si>
    <t>A kinase (PRKA) anchor protein (gravin) 12 [Source:MGI Symbol;Acc:MGI:1932576]</t>
  </si>
  <si>
    <t>Nadk2</t>
  </si>
  <si>
    <t>NAD kinase 2, mitochondrial [Source:MGI Symbol;Acc:MGI:1915896]</t>
  </si>
  <si>
    <t>Pdlim7</t>
  </si>
  <si>
    <t>PDZ and LIM domain 7 [Source:MGI Symbol;Acc:MGI:1914649]</t>
  </si>
  <si>
    <t>Snx29</t>
  </si>
  <si>
    <t>sorting nexin 29 [Source:MGI Symbol;Acc:MGI:1921728]</t>
  </si>
  <si>
    <t>E230013L22Rik</t>
  </si>
  <si>
    <t>RIKEN cDNA E230013L22 gene [Source:MGI Symbol;Acc:MGI:2142601]</t>
  </si>
  <si>
    <t>bidirectional_promoter_lncRNA</t>
  </si>
  <si>
    <t>Mavs</t>
  </si>
  <si>
    <t>mitochondrial antiviral signaling protein [Source:MGI Symbol;Acc:MGI:2444773]</t>
  </si>
  <si>
    <t>Zc3hav1l</t>
  </si>
  <si>
    <t>zinc finger CCCH-type, antiviral 1-like [Source:MGI Symbol;Acc:MGI:2443387]</t>
  </si>
  <si>
    <t>Tatdn2</t>
  </si>
  <si>
    <t>TatD DNase domain containing 2 [Source:MGI Symbol;Acc:MGI:3576210]</t>
  </si>
  <si>
    <t>Hnrnpk</t>
  </si>
  <si>
    <t>heterogeneous nuclear ribonucleoprotein K [Source:MGI Symbol;Acc:MGI:99894]</t>
  </si>
  <si>
    <t>Il18</t>
  </si>
  <si>
    <t>interleukin 18 [Source:MGI Symbol;Acc:MGI:107936]</t>
  </si>
  <si>
    <t>Nfe2l1</t>
  </si>
  <si>
    <t>nuclear factor, erythroid derived 2,-like 1 [Source:MGI Symbol;Acc:MGI:99421]</t>
  </si>
  <si>
    <t>Dgkh</t>
  </si>
  <si>
    <t>diacylglycerol kinase, eta [Source:MGI Symbol;Acc:MGI:2444188]</t>
  </si>
  <si>
    <t>Pde1b</t>
  </si>
  <si>
    <t>phosphodiesterase 1B, Ca2+-calmodulin dependent [Source:MGI Symbol;Acc:MGI:97523]</t>
  </si>
  <si>
    <t>Tdrd3</t>
  </si>
  <si>
    <t>tudor domain containing 3 [Source:MGI Symbol;Acc:MGI:2444023]</t>
  </si>
  <si>
    <t>Npat</t>
  </si>
  <si>
    <t>nuclear protein in the AT region [Source:MGI Symbol;Acc:MGI:107605]</t>
  </si>
  <si>
    <t>Polr3gl</t>
  </si>
  <si>
    <t>polymerase (RNA) III (DNA directed) polypeptide G like [Source:MGI Symbol;Acc:MGI:1917120]</t>
  </si>
  <si>
    <t>Traip</t>
  </si>
  <si>
    <t>TRAF-interacting protein [Source:MGI Symbol;Acc:MGI:1096377]</t>
  </si>
  <si>
    <t>Dubr</t>
  </si>
  <si>
    <t>Dppa2 upstream binding RNA [Source:MGI Symbol;Acc:MGI:1915440]</t>
  </si>
  <si>
    <t>Atp2a2</t>
  </si>
  <si>
    <t>ATPase, Ca++ transporting, cardiac muscle, slow twitch 2 [Source:MGI Symbol;Acc:MGI:88110]</t>
  </si>
  <si>
    <t>Xpc</t>
  </si>
  <si>
    <t>xeroderma pigmentosum, complementation group C [Source:MGI Symbol;Acc:MGI:103557]</t>
  </si>
  <si>
    <t>Kif5b</t>
  </si>
  <si>
    <t>kinesin family member 5B [Source:MGI Symbol;Acc:MGI:1098268]</t>
  </si>
  <si>
    <t>Ubb</t>
  </si>
  <si>
    <t>ubiquitin B [Source:MGI Symbol;Acc:MGI:98888]</t>
  </si>
  <si>
    <t>Meis1</t>
  </si>
  <si>
    <t>Meis homeobox 1 [Source:MGI Symbol;Acc:MGI:104717]</t>
  </si>
  <si>
    <t>Mtdh</t>
  </si>
  <si>
    <t>metadherin [Source:MGI Symbol;Acc:MGI:1914404]</t>
  </si>
  <si>
    <t>Serp1</t>
  </si>
  <si>
    <t>stress-associated endoplasmic reticulum protein 1 [Source:MGI Symbol;Acc:MGI:92638]</t>
  </si>
  <si>
    <t>Actg1</t>
  </si>
  <si>
    <t>actin, gamma, cytoplasmic 1 [Source:MGI Symbol;Acc:MGI:87906]</t>
  </si>
  <si>
    <t>Ccdc25</t>
  </si>
  <si>
    <t>coiled-coil domain containing 25 [Source:MGI Symbol;Acc:MGI:1914429]</t>
  </si>
  <si>
    <t>Srgap2</t>
  </si>
  <si>
    <t>SLIT-ROBO Rho GTPase activating protein 2 [Source:MGI Symbol;Acc:MGI:109605]</t>
  </si>
  <si>
    <t>Kbtbd11</t>
  </si>
  <si>
    <t>kelch repeat and BTB (POZ) domain containing 11 [Source:MGI Symbol;Acc:MGI:1922151]</t>
  </si>
  <si>
    <t>Dnajc21</t>
  </si>
  <si>
    <t>DnaJ heat shock protein family (Hsp40) member C21 [Source:MGI Symbol;Acc:MGI:1925371]</t>
  </si>
  <si>
    <t>Cxcl16</t>
  </si>
  <si>
    <t>chemokine (C-X-C motif) ligand 16 [Source:MGI Symbol;Acc:MGI:1932682]</t>
  </si>
  <si>
    <t>Numa1</t>
  </si>
  <si>
    <t>nuclear mitotic apparatus protein 1 [Source:MGI Symbol;Acc:MGI:2443665]</t>
  </si>
  <si>
    <t>Neil3</t>
  </si>
  <si>
    <t>nei like 3 (E. coli) [Source:MGI Symbol;Acc:MGI:2384588]</t>
  </si>
  <si>
    <t>Setdb2</t>
  </si>
  <si>
    <t>SET domain, bifurcated 2 [Source:MGI Symbol;Acc:MGI:2685139]</t>
  </si>
  <si>
    <t>Klf7</t>
  </si>
  <si>
    <t>Kruppel-like factor 7 (ubiquitous) [Source:MGI Symbol;Acc:MGI:1935151]</t>
  </si>
  <si>
    <t>Psmd12</t>
  </si>
  <si>
    <t>proteasome (prosome, macropain) 26S subunit, non-ATPase, 12 [Source:MGI Symbol;Acc:MGI:1914247]</t>
  </si>
  <si>
    <t>Tasor2</t>
  </si>
  <si>
    <t>transcription activation suppressor family member 2 [Source:MGI Symbol;Acc:MGI:2145274]</t>
  </si>
  <si>
    <t>D3Ertd751e</t>
  </si>
  <si>
    <t>DNA segment, Chr 3, ERATO Doi 751, expressed [Source:MGI Symbol;Acc:MGI:1289213]</t>
  </si>
  <si>
    <t>Accs</t>
  </si>
  <si>
    <t>1-aminocyclopropane-1-carboxylate synthase (non-functional) [Source:MGI Symbol;Acc:MGI:1919717]</t>
  </si>
  <si>
    <t>Iigp1</t>
  </si>
  <si>
    <t>interferon inducible GTPase 1 [Source:MGI Symbol;Acc:MGI:1926259]</t>
  </si>
  <si>
    <t>Alg10b</t>
  </si>
  <si>
    <t>asparagine-linked glycosylation 10B (alpha-1,2-glucosyltransferase) [Source:MGI Symbol;Acc:MGI:2146159]</t>
  </si>
  <si>
    <t>Pnpt1</t>
  </si>
  <si>
    <t>polyribonucleotide nucleotidyltransferase 1 [Source:MGI Symbol;Acc:MGI:1918951]</t>
  </si>
  <si>
    <t>Tmem68</t>
  </si>
  <si>
    <t>transmembrane protein 68 [Source:MGI Symbol;Acc:MGI:1919348]</t>
  </si>
  <si>
    <t>Lipg</t>
  </si>
  <si>
    <t>lipase, endothelial [Source:MGI Symbol;Acc:MGI:1341803]</t>
  </si>
  <si>
    <t>Stim1</t>
  </si>
  <si>
    <t>stromal interaction molecule 1 [Source:MGI Symbol;Acc:MGI:107476]</t>
  </si>
  <si>
    <t>Tlr4</t>
  </si>
  <si>
    <t>toll-like receptor 4 [Source:MGI Symbol;Acc:MGI:96824]</t>
  </si>
  <si>
    <t>Plekha4</t>
  </si>
  <si>
    <t>pleckstrin homology domain containing, family A (phosphoinositide binding specific) member 4 [Source:MGI Symbol;Acc:MGI:1916467]</t>
  </si>
  <si>
    <t>Cdkn2aip</t>
  </si>
  <si>
    <t>CDKN2A interacting protein [Source:MGI Symbol;Acc:MGI:1918175]</t>
  </si>
  <si>
    <t>Cpped1</t>
  </si>
  <si>
    <t>calcineurin-like phosphoesterase domain containing 1 [Source:MGI Symbol;Acc:MGI:2443300]</t>
  </si>
  <si>
    <t>Mreg</t>
  </si>
  <si>
    <t>melanoregulin [Source:MGI Symbol;Acc:MGI:2151839]</t>
  </si>
  <si>
    <t>Nrip1</t>
  </si>
  <si>
    <t>nuclear receptor interacting protein 1 [Source:MGI Symbol;Acc:MGI:1315213]</t>
  </si>
  <si>
    <t>Cat</t>
  </si>
  <si>
    <t>catalase [Source:MGI Symbol;Acc:MGI:88271]</t>
  </si>
  <si>
    <t>Tmco3</t>
  </si>
  <si>
    <t>transmembrane and coiled-coil domains 3 [Source:MGI Symbol;Acc:MGI:2444946]</t>
  </si>
  <si>
    <t>Tcf25</t>
  </si>
  <si>
    <t>transcription factor 25 (basic helix-loop-helix) [Source:MGI Symbol;Acc:MGI:1914105]</t>
  </si>
  <si>
    <t>Fam129b</t>
  </si>
  <si>
    <t>family with sequence similarity 129, member B [Source:MGI Symbol;Acc:MGI:2442910]</t>
  </si>
  <si>
    <t>Fbxo3</t>
  </si>
  <si>
    <t>F-box protein 3 [Source:MGI Symbol;Acc:MGI:1929084]</t>
  </si>
  <si>
    <t>Smarcd2</t>
  </si>
  <si>
    <t>SWI/SNF related, matrix associated, actin dependent regulator of chromatin, subfamily d, member 2 [Source:MGI Symbol;Acc:MGI:1933621]</t>
  </si>
  <si>
    <t>Pcnt</t>
  </si>
  <si>
    <t>pericentrin (kendrin) [Source:MGI Symbol;Acc:MGI:102722]</t>
  </si>
  <si>
    <t>Smc3</t>
  </si>
  <si>
    <t>structural maintenance of chromosomes 3 [Source:MGI Symbol;Acc:MGI:1339795]</t>
  </si>
  <si>
    <t>Usp37</t>
  </si>
  <si>
    <t>ubiquitin specific peptidase 37 [Source:MGI Symbol;Acc:MGI:2442483]</t>
  </si>
  <si>
    <t>Rbfa</t>
  </si>
  <si>
    <t>ribosome binding factor A [Source:MGI Symbol;Acc:MGI:1915981]</t>
  </si>
  <si>
    <t>Picalm</t>
  </si>
  <si>
    <t>phosphatidylinositol binding clathrin assembly protein [Source:MGI Symbol;Acc:MGI:2385902]</t>
  </si>
  <si>
    <t>Fbxo5</t>
  </si>
  <si>
    <t>F-box protein 5 [Source:MGI Symbol;Acc:MGI:1914391]</t>
  </si>
  <si>
    <t>Sox4</t>
  </si>
  <si>
    <t>SRY (sex determining region Y)-box 4 [Source:MGI Symbol;Acc:MGI:98366]</t>
  </si>
  <si>
    <t>Nupr1</t>
  </si>
  <si>
    <t>nuclear protein transcription regulator 1 [Source:MGI Symbol;Acc:MGI:1891834]</t>
  </si>
  <si>
    <t>Ncstn</t>
  </si>
  <si>
    <t>nicastrin [Source:MGI Symbol;Acc:MGI:1891700]</t>
  </si>
  <si>
    <t>Dgat2</t>
  </si>
  <si>
    <t>diacylglycerol O-acyltransferase 2 [Source:MGI Symbol;Acc:MGI:1915050]</t>
  </si>
  <si>
    <t>Zbtb44</t>
  </si>
  <si>
    <t>zinc finger and BTB domain containing 44 [Source:MGI Symbol;Acc:MGI:1925123]</t>
  </si>
  <si>
    <t>Crat</t>
  </si>
  <si>
    <t>carnitine acetyltransferase [Source:MGI Symbol;Acc:MGI:109501]</t>
  </si>
  <si>
    <t>Atl3</t>
  </si>
  <si>
    <t>atlastin GTPase 3 [Source:MGI Symbol;Acc:MGI:1924270]</t>
  </si>
  <si>
    <t>Ifi206</t>
  </si>
  <si>
    <t>interferon activated gene 206 [Source:MGI Symbol;Acc:MGI:3646410]</t>
  </si>
  <si>
    <t>Fbxo22</t>
  </si>
  <si>
    <t>F-box protein 22 [Source:MGI Symbol;Acc:MGI:1926014]</t>
  </si>
  <si>
    <t>Pwwp2b</t>
  </si>
  <si>
    <t>PWWP domain containing 2B [Source:MGI Symbol;Acc:MGI:2142008]</t>
  </si>
  <si>
    <t>Ccl9</t>
  </si>
  <si>
    <t>chemokine (C-C motif) ligand 9 [Source:MGI Symbol;Acc:MGI:104533]</t>
  </si>
  <si>
    <t>Ctnnbip1</t>
  </si>
  <si>
    <t>catenin beta interacting protein 1 [Source:MGI Symbol;Acc:MGI:1915756]</t>
  </si>
  <si>
    <t>Abcf1</t>
  </si>
  <si>
    <t>ATP-binding cassette, sub-family F (GCN20), member 1 [Source:MGI Symbol;Acc:MGI:1351658]</t>
  </si>
  <si>
    <t>Gtf3a</t>
  </si>
  <si>
    <t>general transcription factor III A [Source:MGI Symbol;Acc:MGI:1913846]</t>
  </si>
  <si>
    <t>Phf11c</t>
  </si>
  <si>
    <t>PHD finger protein 11C [Source:MGI Symbol;Acc:MGI:3648476]</t>
  </si>
  <si>
    <t>Zfp697</t>
  </si>
  <si>
    <t>zinc finger protein 697 [Source:MGI Symbol;Acc:MGI:2139736]</t>
  </si>
  <si>
    <t>Heatr5a</t>
  </si>
  <si>
    <t>HEAT repeat containing 5A [Source:MGI Symbol;Acc:MGI:2444133]</t>
  </si>
  <si>
    <t>Tbc1d31</t>
  </si>
  <si>
    <t>TBC1 domain family, member 31 [Source:MGI Symbol;Acc:MGI:2684931]</t>
  </si>
  <si>
    <t>Wasf1</t>
  </si>
  <si>
    <t>WAS protein family, member 1 [Source:MGI Symbol;Acc:MGI:1890563]</t>
  </si>
  <si>
    <t>Sft2d2</t>
  </si>
  <si>
    <t>SFT2 domain containing 2 [Source:MGI Symbol;Acc:MGI:1917362]</t>
  </si>
  <si>
    <t>Prim2</t>
  </si>
  <si>
    <t>DNA primase, p58 subunit [Source:MGI Symbol;Acc:MGI:97758]</t>
  </si>
  <si>
    <t>Pakap</t>
  </si>
  <si>
    <t>paralemmin A kinase anchor protein [Source:MGI Symbol;Acc:MGI:5141924]</t>
  </si>
  <si>
    <t>Il15ra</t>
  </si>
  <si>
    <t>interleukin 15 receptor, alpha chain [Source:MGI Symbol;Acc:MGI:104644]</t>
  </si>
  <si>
    <t>Ankle1</t>
  </si>
  <si>
    <t>ankyrin repeat and LEM domain containing 1 [Source:MGI Symbol;Acc:MGI:1918775]</t>
  </si>
  <si>
    <t>Btg1</t>
  </si>
  <si>
    <t>BTG anti-proliferation factor 1 [Source:MGI Symbol;Acc:MGI:88215]</t>
  </si>
  <si>
    <t>Eci2</t>
  </si>
  <si>
    <t>enoyl-Coenzyme A delta isomerase 2 [Source:MGI Symbol;Acc:MGI:1346064]</t>
  </si>
  <si>
    <t>Ccdc14</t>
  </si>
  <si>
    <t>coiled-coil domain containing 14 [Source:MGI Symbol;Acc:MGI:2443448]</t>
  </si>
  <si>
    <t>Hsph1</t>
  </si>
  <si>
    <t>heat shock 105kDa/110kDa protein 1 [Source:MGI Symbol;Acc:MGI:105053]</t>
  </si>
  <si>
    <t>Cacna1d</t>
  </si>
  <si>
    <t>calcium channel, voltage-dependent, L type, alpha 1D subunit [Source:MGI Symbol;Acc:MGI:88293]</t>
  </si>
  <si>
    <t>Ssbp4</t>
  </si>
  <si>
    <t>single stranded DNA binding protein 4 [Source:MGI Symbol;Acc:MGI:1924150]</t>
  </si>
  <si>
    <t>Mbd1</t>
  </si>
  <si>
    <t>methyl-CpG binding domain protein 1 [Source:MGI Symbol;Acc:MGI:1333811]</t>
  </si>
  <si>
    <t>Papola</t>
  </si>
  <si>
    <t>poly (A) polymerase alpha [Source:MGI Symbol;Acc:MGI:109301]</t>
  </si>
  <si>
    <t>Zmiz2</t>
  </si>
  <si>
    <t>zinc finger, MIZ-type containing 2 [Source:MGI Symbol;Acc:MGI:106374]</t>
  </si>
  <si>
    <t>Smim13</t>
  </si>
  <si>
    <t>small integral membrane protein 13 [Source:MGI Symbol;Acc:MGI:2652854]</t>
  </si>
  <si>
    <t>Sh3bp5</t>
  </si>
  <si>
    <t>SH3-domain binding protein 5 (BTK-associated) [Source:MGI Symbol;Acc:MGI:1344391]</t>
  </si>
  <si>
    <t>Gatd1</t>
  </si>
  <si>
    <t>glutamine amidotransferase like class 1 domain containing 1 [Source:MGI Symbol;Acc:MGI:2387178]</t>
  </si>
  <si>
    <t>Casp6</t>
  </si>
  <si>
    <t>caspase 6 [Source:MGI Symbol;Acc:MGI:1312921]</t>
  </si>
  <si>
    <t>Depdc1b</t>
  </si>
  <si>
    <t>DEP domain containing 1B [Source:MGI Symbol;Acc:MGI:2145425]</t>
  </si>
  <si>
    <t>Phospho2</t>
  </si>
  <si>
    <t>phosphatase, orphan 2 [Source:MGI Symbol;Acc:MGI:1920623]</t>
  </si>
  <si>
    <t>Celsr1</t>
  </si>
  <si>
    <t>cadherin, EGF LAG seven-pass G-type receptor 1 [Source:MGI Symbol;Acc:MGI:1100883]</t>
  </si>
  <si>
    <t>Slx4ip</t>
  </si>
  <si>
    <t>SLX4 interacting protein [Source:MGI Symbol;Acc:MGI:1921493]</t>
  </si>
  <si>
    <t>Gm4070</t>
  </si>
  <si>
    <t>predicted gene 4070 [Source:MGI Symbol;Acc:MGI:3782245]</t>
  </si>
  <si>
    <t>Rev3l</t>
  </si>
  <si>
    <t>REV3 like, DNA directed polymerase zeta catalytic subunit [Source:MGI Symbol;Acc:MGI:1337131]</t>
  </si>
  <si>
    <t>Plxnd1</t>
  </si>
  <si>
    <t>plexin D1 [Source:MGI Symbol;Acc:MGI:2154244]</t>
  </si>
  <si>
    <t>Tysnd1</t>
  </si>
  <si>
    <t>trypsin domain containing 1 [Source:MGI Symbol;Acc:MGI:1919017]</t>
  </si>
  <si>
    <t>Ksr1</t>
  </si>
  <si>
    <t>kinase suppressor of ras 1 [Source:MGI Symbol;Acc:MGI:105051]</t>
  </si>
  <si>
    <t>2410131K14Rik</t>
  </si>
  <si>
    <t>RIKEN cDNA 2410131K14 gene [Source:MGI Symbol;Acc:MGI:1924042]</t>
  </si>
  <si>
    <t>Tef</t>
  </si>
  <si>
    <t>thyrotroph embryonic factor [Source:MGI Symbol;Acc:MGI:98663]</t>
  </si>
  <si>
    <t>Crybg3</t>
  </si>
  <si>
    <t>beta-gamma crystallin domain containing 3 [Source:MGI Symbol;Acc:MGI:2676311]</t>
  </si>
  <si>
    <t>Rmi2</t>
  </si>
  <si>
    <t>RecQ mediated genome instability 2 [Source:MGI Symbol;Acc:MGI:2685383]</t>
  </si>
  <si>
    <t>Rnf227</t>
  </si>
  <si>
    <t>ring finger protein 227 [Source:MGI Symbol;Acc:MGI:1915359]</t>
  </si>
  <si>
    <t>Adamts10</t>
  </si>
  <si>
    <t>a disintegrin-like and metallopeptidase (reprolysin type) with thrombospondin type 1 motif, 10 [Source:MGI Symbol;Acc:MGI:2449112]</t>
  </si>
  <si>
    <t>Tars</t>
  </si>
  <si>
    <t>threonyl-tRNA synthetase [Source:MGI Symbol;Acc:MGI:106314]</t>
  </si>
  <si>
    <t>Hgs</t>
  </si>
  <si>
    <t>HGF-regulated tyrosine kinase substrate [Source:MGI Symbol;Acc:MGI:104681]</t>
  </si>
  <si>
    <t>Cct7</t>
  </si>
  <si>
    <t>chaperonin containing Tcp1, subunit 7 (eta) [Source:MGI Symbol;Acc:MGI:107184]</t>
  </si>
  <si>
    <t>Eepd1</t>
  </si>
  <si>
    <t>endonuclease/exonuclease/phosphatase family domain containing 1 [Source:MGI Symbol;Acc:MGI:1914734]</t>
  </si>
  <si>
    <t>Timm17a</t>
  </si>
  <si>
    <t>translocase of inner mitochondrial membrane 17a [Source:MGI Symbol;Acc:MGI:1343131]</t>
  </si>
  <si>
    <t>Impa2</t>
  </si>
  <si>
    <t>inositol (myo)-1(or 4)-monophosphatase 2 [Source:MGI Symbol;Acc:MGI:2149728]</t>
  </si>
  <si>
    <t>Ube2s</t>
  </si>
  <si>
    <t>ubiquitin-conjugating enzyme E2S [Source:MGI Symbol;Acc:MGI:1925141]</t>
  </si>
  <si>
    <t>Zc3h7a</t>
  </si>
  <si>
    <t>zinc finger CCCH type containing 7 A [Source:MGI Symbol;Acc:MGI:2445044]</t>
  </si>
  <si>
    <t>Map4k3</t>
  </si>
  <si>
    <t>mitogen-activated protein kinase kinase kinase kinase 3 [Source:MGI Symbol;Acc:MGI:2154405]</t>
  </si>
  <si>
    <t>Ccdc85c</t>
  </si>
  <si>
    <t>coiled-coil domain containing 85C [Source:MGI Symbol;Acc:MGI:3644008]</t>
  </si>
  <si>
    <t>Gm41724</t>
  </si>
  <si>
    <t>predicted gene, 41724 [Source:MGI Symbol;Acc:MGI:5624609]</t>
  </si>
  <si>
    <t>C3ar1</t>
  </si>
  <si>
    <t>complement component 3a receptor 1 [Source:MGI Symbol;Acc:MGI:1097680]</t>
  </si>
  <si>
    <t>Ccdc117</t>
  </si>
  <si>
    <t>coiled-coil domain containing 117 [Source:MGI Symbol;Acc:MGI:2144383]</t>
  </si>
  <si>
    <t>Slfn9</t>
  </si>
  <si>
    <t>schlafen 9 [Source:MGI Symbol;Acc:MGI:2445121]</t>
  </si>
  <si>
    <t>Xpo6</t>
  </si>
  <si>
    <t>exportin 6 [Source:MGI Symbol;Acc:MGI:2429950]</t>
  </si>
  <si>
    <t>2700049A03Rik</t>
  </si>
  <si>
    <t>RIKEN cDNA 2700049A03 gene [Source:MGI Symbol;Acc:MGI:1924217]</t>
  </si>
  <si>
    <t>Tex2</t>
  </si>
  <si>
    <t>testis expressed gene 2 [Source:MGI Symbol;Acc:MGI:102465]</t>
  </si>
  <si>
    <t>Ino80e</t>
  </si>
  <si>
    <t>INO80 complex subunit E [Source:MGI Symbol;Acc:MGI:2141881]</t>
  </si>
  <si>
    <t>Eef1akmt4</t>
  </si>
  <si>
    <t>EEF1A lysine methyltransferase 4 [Source:MGI Symbol;Acc:MGI:5903914]</t>
  </si>
  <si>
    <t>Gm17435</t>
  </si>
  <si>
    <t>predicted gene, 17435 [Source:MGI Symbol;Acc:MGI:4937069]</t>
  </si>
  <si>
    <t>Med21</t>
  </si>
  <si>
    <t>mediator complex subunit 21 [Source:MGI Symbol;Acc:MGI:1347064]</t>
  </si>
  <si>
    <t>Cstf3</t>
  </si>
  <si>
    <t>cleavage stimulation factor, 3' pre-RNA, subunit 3 [Source:MGI Symbol;Acc:MGI:1351825]</t>
  </si>
  <si>
    <t>Rlim</t>
  </si>
  <si>
    <t>ring finger protein, LIM domain interacting [Source:MGI Symbol;Acc:MGI:1342291]</t>
  </si>
  <si>
    <t>Zfp219</t>
  </si>
  <si>
    <t>zinc finger protein 219 [Source:MGI Symbol;Acc:MGI:1917140]</t>
  </si>
  <si>
    <t>Elp5</t>
  </si>
  <si>
    <t>elongator acetyltransferase complex subunit 5 [Source:MGI Symbol;Acc:MGI:1859017]</t>
  </si>
  <si>
    <t>Pithd1</t>
  </si>
  <si>
    <t>PITH (C-terminal proteasome-interacting domain of thioredoxin-like) domain containing 1 [Source:MGI Symbol;Acc:MGI:1913443]</t>
  </si>
  <si>
    <t>Ehbp1l1</t>
  </si>
  <si>
    <t>EH domain binding protein 1-like 1 [Source:MGI Symbol;Acc:MGI:3612340]</t>
  </si>
  <si>
    <t>Gpr180</t>
  </si>
  <si>
    <t>G protein-coupled receptor 180 [Source:MGI Symbol;Acc:MGI:1930949]</t>
  </si>
  <si>
    <t>Cd302</t>
  </si>
  <si>
    <t>CD302 antigen [Source:MGI Symbol;Acc:MGI:1913455]</t>
  </si>
  <si>
    <t>Gm20489</t>
  </si>
  <si>
    <t>predicted gene 20489 [Source:MGI Symbol;Acc:MGI:5141954]</t>
  </si>
  <si>
    <t>Tbc1d13</t>
  </si>
  <si>
    <t>TBC1 domain family, member 13 [Source:MGI Symbol;Acc:MGI:2385326]</t>
  </si>
  <si>
    <t>Pkdcc</t>
  </si>
  <si>
    <t>protein kinase domain containing, cytoplasmic [Source:MGI Symbol;Acc:MGI:2147077]</t>
  </si>
  <si>
    <t>Tubb2a</t>
  </si>
  <si>
    <t>tubulin, beta 2A class IIA [Source:MGI Symbol;Acc:MGI:107861]</t>
  </si>
  <si>
    <t>Gm11425</t>
  </si>
  <si>
    <t>predicted gene 11425 [Source:MGI Symbol;Acc:MGI:3650957]</t>
  </si>
  <si>
    <t>Myef2</t>
  </si>
  <si>
    <t>myelin basic protein expression factor 2, repressor [Source:MGI Symbol;Acc:MGI:104592]</t>
  </si>
  <si>
    <t>Als2cl</t>
  </si>
  <si>
    <t>ALS2 C-terminal like [Source:MGI Symbol;Acc:MGI:2447532]</t>
  </si>
  <si>
    <t>Tex261</t>
  </si>
  <si>
    <t>testis expressed gene 261 [Source:MGI Symbol;Acc:MGI:1096575]</t>
  </si>
  <si>
    <t>Plxnc1</t>
  </si>
  <si>
    <t>plexin C1 [Source:MGI Symbol;Acc:MGI:1890127]</t>
  </si>
  <si>
    <t>Focad</t>
  </si>
  <si>
    <t>focadhesin [Source:MGI Symbol;Acc:MGI:2676921]</t>
  </si>
  <si>
    <t>Rragd</t>
  </si>
  <si>
    <t>Ras-related GTP binding D [Source:MGI Symbol;Acc:MGI:1098604]</t>
  </si>
  <si>
    <t>Pdk1</t>
  </si>
  <si>
    <t>pyruvate dehydrogenase kinase, isoenzyme 1 [Source:MGI Symbol;Acc:MGI:1926119]</t>
  </si>
  <si>
    <t>Nt5dc2</t>
  </si>
  <si>
    <t>5'-nucleotidase domain containing 2 [Source:MGI Symbol;Acc:MGI:1917271]</t>
  </si>
  <si>
    <t>Gm44165</t>
  </si>
  <si>
    <t>predicted gene, 44165 [Source:MGI Symbol;Acc:MGI:5690557]</t>
  </si>
  <si>
    <t>Pls3</t>
  </si>
  <si>
    <t>plastin 3 (T-isoform) [Source:MGI Symbol;Acc:MGI:104807]</t>
  </si>
  <si>
    <t>Gtf2f2</t>
  </si>
  <si>
    <t>general transcription factor IIF, polypeptide 2 [Source:MGI Symbol;Acc:MGI:1915955]</t>
  </si>
  <si>
    <t>Plk3</t>
  </si>
  <si>
    <t>polo like kinase 3 [Source:MGI Symbol;Acc:MGI:109604]</t>
  </si>
  <si>
    <t>Adam10</t>
  </si>
  <si>
    <t>a disintegrin and metallopeptidase domain 10 [Source:MGI Symbol;Acc:MGI:109548]</t>
  </si>
  <si>
    <t>Rad54b</t>
  </si>
  <si>
    <t>RAD54 homolog B (S. cerevisiae) [Source:MGI Symbol;Acc:MGI:3605986]</t>
  </si>
  <si>
    <t>Sgpp1</t>
  </si>
  <si>
    <t>sphingosine-1-phosphate phosphatase 1 [Source:MGI Symbol;Acc:MGI:2135760]</t>
  </si>
  <si>
    <t>Itgb5</t>
  </si>
  <si>
    <t>integrin beta 5 [Source:MGI Symbol;Acc:MGI:96614]</t>
  </si>
  <si>
    <t>Tnfaip8l2</t>
  </si>
  <si>
    <t>tumor necrosis factor, alpha-induced protein 8-like 2 [Source:MGI Symbol;Acc:MGI:1917019]</t>
  </si>
  <si>
    <t>Cbwd1</t>
  </si>
  <si>
    <t>COBW domain containing 1 [Source:MGI Symbol;Acc:MGI:2385089]</t>
  </si>
  <si>
    <t>B630019K06Rik</t>
  </si>
  <si>
    <t>RIKEN cDNA B630019K06 gene [Source:MGI Symbol;Acc:MGI:2147918]</t>
  </si>
  <si>
    <t>Zfp251</t>
  </si>
  <si>
    <t>zinc finger protein 251 [Source:MGI Symbol;Acc:MGI:1918841]</t>
  </si>
  <si>
    <t>Psme1</t>
  </si>
  <si>
    <t>proteasome (prosome, macropain) activator subunit 1 (PA28 alpha) [Source:MGI Symbol;Acc:MGI:1096367]</t>
  </si>
  <si>
    <t>Milr1</t>
  </si>
  <si>
    <t>mast cell immunoglobulin like receptor 1 [Source:MGI Symbol;Acc:MGI:2685731]</t>
  </si>
  <si>
    <t>Nasp</t>
  </si>
  <si>
    <t>nuclear autoantigenic sperm protein (histone-binding) [Source:MGI Symbol;Acc:MGI:1355328]</t>
  </si>
  <si>
    <t>Ifit1bl1</t>
  </si>
  <si>
    <t>interferon induced protein with tetratricpeptide repeats 1B like 1 [Source:MGI Symbol;Acc:MGI:3650685]</t>
  </si>
  <si>
    <t>Insig2</t>
  </si>
  <si>
    <t>insulin induced gene 2 [Source:MGI Symbol;Acc:MGI:1920249]</t>
  </si>
  <si>
    <t>Haus8</t>
  </si>
  <si>
    <t>4HAUS augmin-like complex, subunit 8 [Source:MGI Symbol;Acc:MGI:1923728]</t>
  </si>
  <si>
    <t>Acp2</t>
  </si>
  <si>
    <t>acid phosphatase 2, lysosomal [Source:MGI Symbol;Acc:MGI:87882]</t>
  </si>
  <si>
    <t>Ifit1bl2</t>
  </si>
  <si>
    <t>interferon induced protein with tetratricopeptide repeats 1B like 2 [Source:MGI Symbol;Acc:MGI:2148249]</t>
  </si>
  <si>
    <t>Tcof1</t>
  </si>
  <si>
    <t>treacle ribosome biogenesis factor 1 [Source:MGI Symbol;Acc:MGI:892003]</t>
  </si>
  <si>
    <t>Trim63</t>
  </si>
  <si>
    <t>tripartite motif-containing 63 [Source:MGI Symbol;Acc:MGI:2447992]</t>
  </si>
  <si>
    <t>Pmpca</t>
  </si>
  <si>
    <t>peptidase (mitochondrial processing) alpha [Source:MGI Symbol;Acc:MGI:1918568]</t>
  </si>
  <si>
    <t>Ociad1</t>
  </si>
  <si>
    <t>OCIA domain containing 1 [Source:MGI Symbol;Acc:MGI:1915345]</t>
  </si>
  <si>
    <t>Zfp719</t>
  </si>
  <si>
    <t>zinc finger protein 719 [Source:MGI Symbol;Acc:MGI:2444708]</t>
  </si>
  <si>
    <t>Arpc5l</t>
  </si>
  <si>
    <t>actin related protein 2/3 complex, subunit 5-like [Source:MGI Symbol;Acc:MGI:1921442]</t>
  </si>
  <si>
    <t>Abcc3</t>
  </si>
  <si>
    <t>ATP-binding cassette, sub-family C (CFTR/MRP), member 3 [Source:MGI Symbol;Acc:MGI:1923658]</t>
  </si>
  <si>
    <t>Il1rl1</t>
  </si>
  <si>
    <t>interleukin 1 receptor-like 1 [Source:MGI Symbol;Acc:MGI:98427]</t>
  </si>
  <si>
    <t>Smpd4</t>
  </si>
  <si>
    <t>sphingomyelin phosphodiesterase 4 [Source:MGI Symbol;Acc:MGI:1924876]</t>
  </si>
  <si>
    <t>Pias3</t>
  </si>
  <si>
    <t>protein inhibitor of activated STAT 3 [Source:MGI Symbol;Acc:MGI:1913126]</t>
  </si>
  <si>
    <t>Gm21987</t>
  </si>
  <si>
    <t>predicted gene 21987 [Source:MGI Symbol;Acc:MGI:5439456]</t>
  </si>
  <si>
    <t>L2hgdh</t>
  </si>
  <si>
    <t>L-2-hydroxyglutarate dehydrogenase [Source:MGI Symbol;Acc:MGI:2384968]</t>
  </si>
  <si>
    <t>Cpeb2</t>
  </si>
  <si>
    <t>cytoplasmic polyadenylation element binding protein 2 [Source:MGI Symbol;Acc:MGI:2442640]</t>
  </si>
  <si>
    <t>Pianp</t>
  </si>
  <si>
    <t>PILR alpha associated neural protein [Source:MGI Symbol;Acc:MGI:2441908]</t>
  </si>
  <si>
    <t>Tsen34</t>
  </si>
  <si>
    <t>tRNA splicing endonuclease subunit 34 [Source:MGI Symbol;Acc:MGI:1913328]</t>
  </si>
  <si>
    <t>Tapbpl</t>
  </si>
  <si>
    <t>TAP binding protein-like [Source:MGI Symbol;Acc:MGI:2384853]</t>
  </si>
  <si>
    <t>Serpinb9b</t>
  </si>
  <si>
    <t>serine (or cysteine) peptidase inhibitor, clade B, member 9b [Source:MGI Symbol;Acc:MGI:894668]</t>
  </si>
  <si>
    <t>Dcaf8</t>
  </si>
  <si>
    <t>DDB1 and CUL4 associated factor 8 [Source:MGI Symbol;Acc:MGI:91860]</t>
  </si>
  <si>
    <t>Rnf166</t>
  </si>
  <si>
    <t>ring finger protein 166 [Source:MGI Symbol;Acc:MGI:1915968]</t>
  </si>
  <si>
    <t>Ifi44</t>
  </si>
  <si>
    <t>interferon-induced protein 44 [Source:MGI Symbol;Acc:MGI:2443016]</t>
  </si>
  <si>
    <t>C920009B18Rik</t>
  </si>
  <si>
    <t>RIKEN cDNA  C920009B18 gene [Source:MGI Symbol;Acc:MGI:3583961]</t>
  </si>
  <si>
    <t>Rdh13</t>
  </si>
  <si>
    <t>retinol dehydrogenase 13 (all-trans and 9-cis) [Source:MGI Symbol;Acc:MGI:1918732]</t>
  </si>
  <si>
    <t>Lmo4</t>
  </si>
  <si>
    <t>LIM domain only 4 [Source:MGI Symbol;Acc:MGI:109360]</t>
  </si>
  <si>
    <t>Slc37a4</t>
  </si>
  <si>
    <t>solute carrier family 37 (glucose-6-phosphate transporter), member 4 [Source:MGI Symbol;Acc:MGI:1316650]</t>
  </si>
  <si>
    <t>St3gal5</t>
  </si>
  <si>
    <t>ST3 beta-galactoside alpha-2,3-sialyltransferase 5 [Source:MGI Symbol;Acc:MGI:1339963]</t>
  </si>
  <si>
    <t>Ube2j2</t>
  </si>
  <si>
    <t>ubiquitin-conjugating enzyme E2J 2 [Source:MGI Symbol;Acc:MGI:2153608]</t>
  </si>
  <si>
    <t>Tlr8</t>
  </si>
  <si>
    <t>toll-like receptor 8 [Source:MGI Symbol;Acc:MGI:2176887]</t>
  </si>
  <si>
    <t>H2bc21</t>
  </si>
  <si>
    <t>H2B clustered histone 21 [Source:MGI Symbol;Acc:MGI:2448415]</t>
  </si>
  <si>
    <t>Mis18a</t>
  </si>
  <si>
    <t>MIS18 kinetochore protein A [Source:MGI Symbol;Acc:MGI:1913828]</t>
  </si>
  <si>
    <t>Acvr2b</t>
  </si>
  <si>
    <t>activin receptor IIB [Source:MGI Symbol;Acc:MGI:87912]</t>
  </si>
  <si>
    <t>Nav1</t>
  </si>
  <si>
    <t>neuron navigator 1 [Source:MGI Symbol;Acc:MGI:2183683]</t>
  </si>
  <si>
    <t>Psmd7</t>
  </si>
  <si>
    <t>proteasome (prosome, macropain) 26S subunit, non-ATPase, 7 [Source:MGI Symbol;Acc:MGI:1351511]</t>
  </si>
  <si>
    <t>Actb</t>
  </si>
  <si>
    <t>actin, beta [Source:MGI Symbol;Acc:MGI:87904]</t>
  </si>
  <si>
    <t>Gcnt2</t>
  </si>
  <si>
    <t>glucosaminyl (N-acetyl) transferase 2, I-branching enzyme [Source:MGI Symbol;Acc:MGI:1100870]</t>
  </si>
  <si>
    <t>G530011O06Rik</t>
  </si>
  <si>
    <t>RIKEN cDNA G530011O06 gene [Source:MGI Symbol;Acc:MGI:3603513]</t>
  </si>
  <si>
    <t>Socs6</t>
  </si>
  <si>
    <t>suppressor of cytokine signaling 6 [Source:MGI Symbol;Acc:MGI:1924885]</t>
  </si>
  <si>
    <t>Tnfsf13b</t>
  </si>
  <si>
    <t>tumor necrosis factor (ligand) superfamily, member 13b [Source:MGI Symbol;Acc:MGI:1344376]</t>
  </si>
  <si>
    <t>Spty2d1</t>
  </si>
  <si>
    <t>SPT2 chromatin protein domain containing 1 [Source:MGI Symbol;Acc:MGI:2142062]</t>
  </si>
  <si>
    <t>Piezo1</t>
  </si>
  <si>
    <t>piezo-type mechanosensitive ion channel component 1 [Source:MGI Symbol;Acc:MGI:3603204]</t>
  </si>
  <si>
    <t>Gnl2</t>
  </si>
  <si>
    <t>guanine nucleotide binding protein-like 2 (nucleolar) [Source:MGI Symbol;Acc:MGI:2385207]</t>
  </si>
  <si>
    <t>Ddx21</t>
  </si>
  <si>
    <t>DEAD (Asp-Glu-Ala-Asp) box polypeptide 21 [Source:MGI Symbol;Acc:MGI:1860494]</t>
  </si>
  <si>
    <t>Parp11</t>
  </si>
  <si>
    <t>poly (ADP-ribose) polymerase family, member 11 [Source:MGI Symbol;Acc:MGI:2141505]</t>
  </si>
  <si>
    <t>Gvin1</t>
  </si>
  <si>
    <t>GTPase, very large interferon inducible 1 [Source:MGI Symbol;Acc:MGI:1921808]</t>
  </si>
  <si>
    <t>Myadml2</t>
  </si>
  <si>
    <t>myeloid-associated differentiation marker-like 2 [Source:MGI Symbol;Acc:MGI:1915765]</t>
  </si>
  <si>
    <t>C2cd2l</t>
  </si>
  <si>
    <t>C2 calcium-dependent domain containing 2-like [Source:MGI Symbol;Acc:MGI:1919014]</t>
  </si>
  <si>
    <t>Ankrd13a</t>
  </si>
  <si>
    <t>ankyrin repeat domain 13a [Source:MGI Symbol;Acc:MGI:1915670]</t>
  </si>
  <si>
    <t>Rasa4</t>
  </si>
  <si>
    <t>RAS p21 protein activator 4 [Source:MGI Symbol;Acc:MGI:1858600]</t>
  </si>
  <si>
    <t>Gm49384</t>
  </si>
  <si>
    <t>predicted gene, 49384 [Source:MGI Symbol;Acc:MGI:6121607]</t>
  </si>
  <si>
    <t>Fkbp5</t>
  </si>
  <si>
    <t>FK506 binding protein 5 [Source:MGI Symbol;Acc:MGI:104670]</t>
  </si>
  <si>
    <t>Ing2</t>
  </si>
  <si>
    <t>inhibitor of growth family, member 2 [Source:MGI Symbol;Acc:MGI:1916510]</t>
  </si>
  <si>
    <t>C130050O18Rik</t>
  </si>
  <si>
    <t>RIKEN cDNA C130050O18 gene [Source:MGI Symbol;Acc:MGI:2442694]</t>
  </si>
  <si>
    <t>Lbh</t>
  </si>
  <si>
    <t>limb-bud and heart [Source:MGI Symbol;Acc:MGI:1925139]</t>
  </si>
  <si>
    <t>Fam222b</t>
  </si>
  <si>
    <t>family with sequence similarity 222, member B [Source:MGI Symbol;Acc:MGI:2384939]</t>
  </si>
  <si>
    <t>Whamm</t>
  </si>
  <si>
    <t>WAS protein homolog associated with actin, golgi membranes and microtubules [Source:MGI Symbol;Acc:MGI:2142282]</t>
  </si>
  <si>
    <t>Slco4a1</t>
  </si>
  <si>
    <t>solute carrier organic anion transporter family, member 4a1 [Source:MGI Symbol;Acc:MGI:1351866]</t>
  </si>
  <si>
    <t>Haspin</t>
  </si>
  <si>
    <t>histone H3 associated protein kinase [Source:MGI Symbol;Acc:MGI:1194498]</t>
  </si>
  <si>
    <t>2310043P16Rik</t>
  </si>
  <si>
    <t>RIKEN cDNA 2310043P16 gene [Source:MGI Symbol;Acc:MGI:1917385]</t>
  </si>
  <si>
    <t>Zgrf1</t>
  </si>
  <si>
    <t>zinc finger, GRF-type containing 1 [Source:MGI Symbol;Acc:MGI:1918893]</t>
  </si>
  <si>
    <t>Atrx</t>
  </si>
  <si>
    <t>ATRX, chromatin remodeler [Source:MGI Symbol;Acc:MGI:103067]</t>
  </si>
  <si>
    <t>Rab10os</t>
  </si>
  <si>
    <t>RAB10, member RAS oncogene family, opposite strand [Source:MGI Symbol;Acc:MGI:1921423]</t>
  </si>
  <si>
    <t>Insr</t>
  </si>
  <si>
    <t>insulin receptor [Source:MGI Symbol;Acc:MGI:96575]</t>
  </si>
  <si>
    <t>Aftph</t>
  </si>
  <si>
    <t>aftiphilin [Source:MGI Symbol;Acc:MGI:1923012]</t>
  </si>
  <si>
    <t>Cenpn</t>
  </si>
  <si>
    <t>centromere protein N [Source:MGI Symbol;Acc:MGI:1919405]</t>
  </si>
  <si>
    <t>Ptpn18</t>
  </si>
  <si>
    <t>protein tyrosine phosphatase, non-receptor type 18 [Source:MGI Symbol;Acc:MGI:108410]</t>
  </si>
  <si>
    <t>Smc5</t>
  </si>
  <si>
    <t>structural maintenance of chromosomes 5 [Source:MGI Symbol;Acc:MGI:2385088]</t>
  </si>
  <si>
    <t>Pfkfb3</t>
  </si>
  <si>
    <t>6-phosphofructo-2-kinase/fructose-2,6-biphosphatase 3 [Source:MGI Symbol;Acc:MGI:2181202]</t>
  </si>
  <si>
    <t>Lmnb2</t>
  </si>
  <si>
    <t>lamin B2 [Source:MGI Symbol;Acc:MGI:96796]</t>
  </si>
  <si>
    <t>Pax3</t>
  </si>
  <si>
    <t>paired box 3 [Source:MGI Symbol;Acc:MGI:97487]</t>
  </si>
  <si>
    <t>Dhx40</t>
  </si>
  <si>
    <t>DEAH (Asp-Glu-Ala-His) box polypeptide 40 [Source:MGI Symbol;Acc:MGI:1914737]</t>
  </si>
  <si>
    <t>Dcakd</t>
  </si>
  <si>
    <t>dephospho-CoA kinase domain containing [Source:MGI Symbol;Acc:MGI:1915337]</t>
  </si>
  <si>
    <t>Eif3c</t>
  </si>
  <si>
    <t>eukaryotic translation initiation factor 3, subunit C [Source:MGI Symbol;Acc:MGI:1926966]</t>
  </si>
  <si>
    <t>Nop58</t>
  </si>
  <si>
    <t>NOP58 ribonucleoprotein [Source:MGI Symbol;Acc:MGI:1933184]</t>
  </si>
  <si>
    <t>Ccpg1</t>
  </si>
  <si>
    <t>cell cycle progression 1 [Source:MGI Symbol;Acc:MGI:1196419]</t>
  </si>
  <si>
    <t>Mob1b</t>
  </si>
  <si>
    <t>MOB kinase activator 1B [Source:MGI Symbol;Acc:MGI:1915723]</t>
  </si>
  <si>
    <t>Ncor2</t>
  </si>
  <si>
    <t>nuclear receptor co-repressor 2 [Source:MGI Symbol;Acc:MGI:1337080]</t>
  </si>
  <si>
    <t>Gpr132</t>
  </si>
  <si>
    <t>G protein-coupled receptor 132 [Source:MGI Symbol;Acc:MGI:1890220]</t>
  </si>
  <si>
    <t>Ero1l</t>
  </si>
  <si>
    <t>ERO1-like (S. cerevisiae) [Source:MGI Symbol;Acc:MGI:1354385]</t>
  </si>
  <si>
    <t>Gss</t>
  </si>
  <si>
    <t>glutathione synthetase [Source:MGI Symbol;Acc:MGI:95852]</t>
  </si>
  <si>
    <t>Asb6</t>
  </si>
  <si>
    <t>ankyrin repeat and SOCS box-containing 6 [Source:MGI Symbol;Acc:MGI:1919573]</t>
  </si>
  <si>
    <t>Senp5</t>
  </si>
  <si>
    <t>SUMO/sentrin specific peptidase 5 [Source:MGI Symbol;Acc:MGI:2443596]</t>
  </si>
  <si>
    <t>Cnpy4</t>
  </si>
  <si>
    <t>canopy FGF signaling regulator 4 [Source:MGI Symbol;Acc:MGI:1913705]</t>
  </si>
  <si>
    <t>Tlr3</t>
  </si>
  <si>
    <t>toll-like receptor 3 [Source:MGI Symbol;Acc:MGI:2156367]</t>
  </si>
  <si>
    <t>Cadps</t>
  </si>
  <si>
    <t>Ca2+-dependent secretion activator [Source:MGI Symbol;Acc:MGI:1350922]</t>
  </si>
  <si>
    <t>Igsf9b</t>
  </si>
  <si>
    <t>immunoglobulin superfamily, member 9B [Source:MGI Symbol;Acc:MGI:2685354]</t>
  </si>
  <si>
    <t>Trim65</t>
  </si>
  <si>
    <t>tripartite motif-containing 65 [Source:MGI Symbol;Acc:MGI:2442815]</t>
  </si>
  <si>
    <t>Rhog</t>
  </si>
  <si>
    <t>ras homolog family member G [Source:MGI Symbol;Acc:MGI:1928370]</t>
  </si>
  <si>
    <t>Katnbl1</t>
  </si>
  <si>
    <t>katanin p80 subunit B like 1 [Source:MGI Symbol;Acc:MGI:1919675]</t>
  </si>
  <si>
    <t>Zfp369</t>
  </si>
  <si>
    <t>zinc finger protein 369 [Source:MGI Symbol;Acc:MGI:2176229]</t>
  </si>
  <si>
    <t>Btbd6</t>
  </si>
  <si>
    <t>BTB (POZ) domain containing 6 [Source:MGI Symbol;Acc:MGI:3026623]</t>
  </si>
  <si>
    <t>Hmga2</t>
  </si>
  <si>
    <t>high mobility group AT-hook 2 [Source:MGI Symbol;Acc:MGI:101761]</t>
  </si>
  <si>
    <t>Slc25a45</t>
  </si>
  <si>
    <t>solute carrier family 25, member 45 [Source:MGI Symbol;Acc:MGI:2147731]</t>
  </si>
  <si>
    <t>Kri1</t>
  </si>
  <si>
    <t>KRI1 homolog [Source:MGI Symbol;Acc:MGI:2384899]</t>
  </si>
  <si>
    <t>Haus3</t>
  </si>
  <si>
    <t>HAUS augmin-like complex, subunit 3 [Source:MGI Symbol;Acc:MGI:2387633]</t>
  </si>
  <si>
    <t>4933404O12Rik</t>
  </si>
  <si>
    <t>RIKEN cDNA 4933404O12 gene [Source:MGI Symbol;Acc:MGI:1914002]</t>
  </si>
  <si>
    <t>Ggnbp2</t>
  </si>
  <si>
    <t>gametogenetin binding protein 2 [Source:MGI Symbol;Acc:MGI:2387356]</t>
  </si>
  <si>
    <t>Nabp1</t>
  </si>
  <si>
    <t>nucleic acid binding protein 1 [Source:MGI Symbol;Acc:MGI:1923258]</t>
  </si>
  <si>
    <t>Galnt3</t>
  </si>
  <si>
    <t>polypeptide N-acetylgalactosaminyltransferase 3 [Source:MGI Symbol;Acc:MGI:894695]</t>
  </si>
  <si>
    <t>Tug1</t>
  </si>
  <si>
    <t>taurine upregulated gene 1 [Source:MGI Symbol;Acc:MGI:2144114]</t>
  </si>
  <si>
    <t>Sec23ip</t>
  </si>
  <si>
    <t>Sec23 interacting protein [Source:MGI Symbol;Acc:MGI:2450915]</t>
  </si>
  <si>
    <t>Bivm</t>
  </si>
  <si>
    <t>basic, immunoglobulin-like variable motif containing [Source:MGI Symbol;Acc:MGI:2179809]</t>
  </si>
  <si>
    <t>Hacd4</t>
  </si>
  <si>
    <t>3-hydroxyacyl-CoA dehydratase 4 [Source:MGI Symbol;Acc:MGI:1914025]</t>
  </si>
  <si>
    <t>Meis3</t>
  </si>
  <si>
    <t>Meis homeobox 3 [Source:MGI Symbol;Acc:MGI:108519]</t>
  </si>
  <si>
    <t>Tmem106a</t>
  </si>
  <si>
    <t>transmembrane protein 106A [Source:MGI Symbol;Acc:MGI:1922056]</t>
  </si>
  <si>
    <t>Nfkbid</t>
  </si>
  <si>
    <t>nuclear factor of kappa light polypeptide gene enhancer in B cells inhibitor, delta [Source:MGI Symbol;Acc:MGI:3041243]</t>
  </si>
  <si>
    <t>Meis2</t>
  </si>
  <si>
    <t>Meis homeobox 2 [Source:MGI Symbol;Acc:MGI:108564]</t>
  </si>
  <si>
    <t>Chst11</t>
  </si>
  <si>
    <t>carbohydrate sulfotransferase 11 [Source:MGI Symbol;Acc:MGI:1927166]</t>
  </si>
  <si>
    <t>Psma6</t>
  </si>
  <si>
    <t>proteasome subunit alpha 6 [Source:MGI Symbol;Acc:MGI:1347006]</t>
  </si>
  <si>
    <t>Ipo4</t>
  </si>
  <si>
    <t>importin 4 [Source:MGI Symbol;Acc:MGI:1923001]</t>
  </si>
  <si>
    <t>Pfdn4</t>
  </si>
  <si>
    <t>prefoldin 4 [Source:MGI Symbol;Acc:MGI:1923512]</t>
  </si>
  <si>
    <t>Bcorl1</t>
  </si>
  <si>
    <t>BCL6 co-repressor-like 1 [Source:MGI Symbol;Acc:MGI:2443910]</t>
  </si>
  <si>
    <t>Tada1</t>
  </si>
  <si>
    <t>transcriptional adaptor 1 [Source:MGI Symbol;Acc:MGI:1196415]</t>
  </si>
  <si>
    <t>Gm10134</t>
  </si>
  <si>
    <t>predicted gene 10134 [Source:MGI Symbol;Acc:MGI:3642322]</t>
  </si>
  <si>
    <t>Sppl2b</t>
  </si>
  <si>
    <t>signal peptide peptidase like 2B [Source:MGI Symbol;Acc:MGI:1920468]</t>
  </si>
  <si>
    <t>Lrrfip2</t>
  </si>
  <si>
    <t>leucine rich repeat (in FLII) interacting protein 2 [Source:MGI Symbol;Acc:MGI:1918518]</t>
  </si>
  <si>
    <t>Zfp655</t>
  </si>
  <si>
    <t>zinc finger protein 655 [Source:MGI Symbol;Acc:MGI:1919861]</t>
  </si>
  <si>
    <t>N4bp2l1</t>
  </si>
  <si>
    <t>NEDD4 binding protein 2-like 1 [Source:MGI Symbol;Acc:MGI:2140872]</t>
  </si>
  <si>
    <t>Mier2</t>
  </si>
  <si>
    <t>MIER family member 2 [Source:MGI Symbol;Acc:MGI:1917677]</t>
  </si>
  <si>
    <t>Bsdc1</t>
  </si>
  <si>
    <t>BSD domain containing 1 [Source:MGI Symbol;Acc:MGI:1913466]</t>
  </si>
  <si>
    <t>Tmem229b</t>
  </si>
  <si>
    <t>transmembrane protein 229B [Source:MGI Symbol;Acc:MGI:2444389]</t>
  </si>
  <si>
    <t>H1f0</t>
  </si>
  <si>
    <t>H1.0 linker histone [Source:MGI Symbol;Acc:MGI:95893]</t>
  </si>
  <si>
    <t>Rfc5</t>
  </si>
  <si>
    <t>replication factor C (activator 1) 5 [Source:MGI Symbol;Acc:MGI:1919401]</t>
  </si>
  <si>
    <t>Il13ra1</t>
  </si>
  <si>
    <t>interleukin 13 receptor, alpha 1 [Source:MGI Symbol;Acc:MGI:105052]</t>
  </si>
  <si>
    <t>Camk2a</t>
  </si>
  <si>
    <t>calcium/calmodulin-dependent protein kinase II alpha [Source:MGI Symbol;Acc:MGI:88256]</t>
  </si>
  <si>
    <t>Nnt</t>
  </si>
  <si>
    <t>nicotinamide nucleotide transhydrogenase [Source:MGI Symbol;Acc:MGI:109279]</t>
  </si>
  <si>
    <t>C1galt1</t>
  </si>
  <si>
    <t>core 1 synthase, glycoprotein-N-acetylgalactosamine 3-beta-galactosyltransferase, 1 [Source:MGI Symbol;Acc:MGI:2151071]</t>
  </si>
  <si>
    <t>St18</t>
  </si>
  <si>
    <t>suppression of tumorigenicity 18 [Source:MGI Symbol;Acc:MGI:2446700]</t>
  </si>
  <si>
    <t>Sapcd2</t>
  </si>
  <si>
    <t>suppressor APC domain containing 2 [Source:MGI Symbol;Acc:MGI:1919330]</t>
  </si>
  <si>
    <t>Fcf1</t>
  </si>
  <si>
    <t>FCF1 rRNA processing protein [Source:MGI Symbol;Acc:MGI:1920986]</t>
  </si>
  <si>
    <t>Paox</t>
  </si>
  <si>
    <t>polyamine oxidase (exo-N4-amino) [Source:MGI Symbol;Acc:MGI:1916983]</t>
  </si>
  <si>
    <t>Ttc1</t>
  </si>
  <si>
    <t>tetratricopeptide repeat domain 1 [Source:MGI Symbol;Acc:MGI:1914077]</t>
  </si>
  <si>
    <t>Dck</t>
  </si>
  <si>
    <t>deoxycytidine kinase [Source:MGI Symbol;Acc:MGI:102726]</t>
  </si>
  <si>
    <t>Tbl1xr1</t>
  </si>
  <si>
    <t>transducin (beta)-like 1X-linked receptor 1 [Source:MGI Symbol;Acc:MGI:2441730]</t>
  </si>
  <si>
    <t>Fxr2</t>
  </si>
  <si>
    <t>fragile X mental retardation, autosomal homolog 2 [Source:MGI Symbol;Acc:MGI:1346074]</t>
  </si>
  <si>
    <t>Inafm1</t>
  </si>
  <si>
    <t>InaF motif containing 1 [Source:MGI Symbol;Acc:MGI:1913550]</t>
  </si>
  <si>
    <t>Ift57</t>
  </si>
  <si>
    <t>intraflagellar transport 57 [Source:MGI Symbol;Acc:MGI:1921166]</t>
  </si>
  <si>
    <t>Cdc42</t>
  </si>
  <si>
    <t>cell division cycle 42 [Source:MGI Symbol;Acc:MGI:106211]</t>
  </si>
  <si>
    <t>Arnt2</t>
  </si>
  <si>
    <t>aryl hydrocarbon receptor nuclear translocator 2 [Source:MGI Symbol;Acc:MGI:107188]</t>
  </si>
  <si>
    <t>Eif4e2</t>
  </si>
  <si>
    <t>eukaryotic translation initiation factor 4E member 2 [Source:MGI Symbol;Acc:MGI:1914440]</t>
  </si>
  <si>
    <t>Galc</t>
  </si>
  <si>
    <t>galactosylceramidase [Source:MGI Symbol;Acc:MGI:95636]</t>
  </si>
  <si>
    <t>Stambpl1</t>
  </si>
  <si>
    <t>STAM binding protein like 1 [Source:MGI Symbol;Acc:MGI:1923880]</t>
  </si>
  <si>
    <t>Ttc19</t>
  </si>
  <si>
    <t>tetratricopeptide repeat domain 19 [Source:MGI Symbol;Acc:MGI:1920045]</t>
  </si>
  <si>
    <t>Eif4g1</t>
  </si>
  <si>
    <t>eukaryotic translation initiation factor 4, gamma 1 [Source:MGI Symbol;Acc:MGI:2384784]</t>
  </si>
  <si>
    <t>Fhl3</t>
  </si>
  <si>
    <t>four and a half LIM domains 3 [Source:MGI Symbol;Acc:MGI:1341092]</t>
  </si>
  <si>
    <t>Sulf2</t>
  </si>
  <si>
    <t>sulfatase 2 [Source:MGI Symbol;Acc:MGI:1919293]</t>
  </si>
  <si>
    <t>Dtx2</t>
  </si>
  <si>
    <t>deltex 2, E3 ubiquitin ligase [Source:MGI Symbol;Acc:MGI:1921448]</t>
  </si>
  <si>
    <t>Arel1</t>
  </si>
  <si>
    <t>apoptosis resistant E3 ubiquitin protein ligase 1 [Source:MGI Symbol;Acc:MGI:1915747]</t>
  </si>
  <si>
    <t>Rad51d</t>
  </si>
  <si>
    <t>RAD51 paralog D [Source:MGI Symbol;Acc:MGI:1261809]</t>
  </si>
  <si>
    <t>Unc5b</t>
  </si>
  <si>
    <t>unc-5 netrin receptor B [Source:MGI Symbol;Acc:MGI:894703]</t>
  </si>
  <si>
    <t>Ide</t>
  </si>
  <si>
    <t>insulin degrading enzyme [Source:MGI Symbol;Acc:MGI:96412]</t>
  </si>
  <si>
    <t>Slf2</t>
  </si>
  <si>
    <t>SMC5-SMC6 complex localization factor 2 [Source:MGI Symbol;Acc:MGI:1924968]</t>
  </si>
  <si>
    <t>Coro7</t>
  </si>
  <si>
    <t>coronin 7 [Source:MGI Symbol;Acc:MGI:1926135]</t>
  </si>
  <si>
    <t>Psmc5</t>
  </si>
  <si>
    <t>protease (prosome, macropain) 26S subunit, ATPase 5 [Source:MGI Symbol;Acc:MGI:105047]</t>
  </si>
  <si>
    <t>Wdr82</t>
  </si>
  <si>
    <t>WD repeat domain containing 82 [Source:MGI Symbol;Acc:MGI:1924555]</t>
  </si>
  <si>
    <t>Inpp1</t>
  </si>
  <si>
    <t>inositol polyphosphate-1-phosphatase [Source:MGI Symbol;Acc:MGI:104848]</t>
  </si>
  <si>
    <t>Kars</t>
  </si>
  <si>
    <t>lysyl-tRNA synthetase [Source:MGI Symbol;Acc:MGI:1934754]</t>
  </si>
  <si>
    <t>Tmx2</t>
  </si>
  <si>
    <t>thioredoxin-related transmembrane protein 2 [Source:MGI Symbol;Acc:MGI:1914208]</t>
  </si>
  <si>
    <t>Pxn</t>
  </si>
  <si>
    <t>paxillin [Source:MGI Symbol;Acc:MGI:108295]</t>
  </si>
  <si>
    <t>Tut4</t>
  </si>
  <si>
    <t>terminal uridylyl transferase 4 [Source:MGI Symbol;Acc:MGI:2445126]</t>
  </si>
  <si>
    <t>Tmem50b</t>
  </si>
  <si>
    <t>transmembrane protein 50B [Source:MGI Symbol;Acc:MGI:1925225]</t>
  </si>
  <si>
    <t>Fam214a</t>
  </si>
  <si>
    <t>family with sequence similarity 214, member A [Source:MGI Symbol;Acc:MGI:2387648]</t>
  </si>
  <si>
    <t>Flna</t>
  </si>
  <si>
    <t>filamin, alpha [Source:MGI Symbol;Acc:MGI:95556]</t>
  </si>
  <si>
    <t>Alg6</t>
  </si>
  <si>
    <t>asparagine-linked glycosylation 6 (alpha-1,3,-glucosyltransferase) [Source:MGI Symbol;Acc:MGI:2444031]</t>
  </si>
  <si>
    <t>Fnip2</t>
  </si>
  <si>
    <t>folliculin interacting protein 2 [Source:MGI Symbol;Acc:MGI:2683054]</t>
  </si>
  <si>
    <t>Nav2</t>
  </si>
  <si>
    <t>neuron navigator 2 [Source:MGI Symbol;Acc:MGI:2183691]</t>
  </si>
  <si>
    <t>Zfp12</t>
  </si>
  <si>
    <t>zinc finger protein 12 [Source:MGI Symbol;Acc:MGI:99157]</t>
  </si>
  <si>
    <t>Cyp27a1</t>
  </si>
  <si>
    <t>cytochrome P450, family 27, subfamily a, polypeptide 1 [Source:MGI Symbol;Acc:MGI:88594]</t>
  </si>
  <si>
    <t>Tprn</t>
  </si>
  <si>
    <t>taperin [Source:MGI Symbol;Acc:MGI:2139535]</t>
  </si>
  <si>
    <t>Fndc3b</t>
  </si>
  <si>
    <t>fibronectin type III domain containing 3B [Source:MGI Symbol;Acc:MGI:1919257]</t>
  </si>
  <si>
    <t>Otulin</t>
  </si>
  <si>
    <t>OTU deubiquitinase with linear linkage specificity [Source:MGI Symbol;Acc:MGI:3577015]</t>
  </si>
  <si>
    <t>Slc9a5</t>
  </si>
  <si>
    <t>solute carrier family 9 (sodium/hydrogen exchanger), member 5 [Source:MGI Symbol;Acc:MGI:2685542]</t>
  </si>
  <si>
    <t>Ublcp1</t>
  </si>
  <si>
    <t>ubiquitin-like domain containing CTD phosphatase 1 [Source:MGI Symbol;Acc:MGI:1933105]</t>
  </si>
  <si>
    <t>Utp4</t>
  </si>
  <si>
    <t>UTP4 small subunit processome component [Source:MGI Symbol;Acc:MGI:1096573]</t>
  </si>
  <si>
    <t>Zyg11b</t>
  </si>
  <si>
    <t>zyg-ll family member B, cell cycle regulator [Source:MGI Symbol;Acc:MGI:2685277]</t>
  </si>
  <si>
    <t>Heatr6</t>
  </si>
  <si>
    <t>HEAT repeat containing 6 [Source:MGI Symbol;Acc:MGI:1919790]</t>
  </si>
  <si>
    <t>Zdhhc9</t>
  </si>
  <si>
    <t>zinc finger, DHHC domain containing 9 [Source:MGI Symbol;Acc:MGI:2444393]</t>
  </si>
  <si>
    <t>Klf10</t>
  </si>
  <si>
    <t>Kruppel-like factor 10 [Source:MGI Symbol;Acc:MGI:1101353]</t>
  </si>
  <si>
    <t>Socs7</t>
  </si>
  <si>
    <t>suppressor of cytokine signaling 7 [Source:MGI Symbol;Acc:MGI:2651588]</t>
  </si>
  <si>
    <t>Elovl6</t>
  </si>
  <si>
    <t>ELOVL family member 6, elongation of long chain fatty acids (yeast) [Source:MGI Symbol;Acc:MGI:2156528]</t>
  </si>
  <si>
    <t>Pi4k2b</t>
  </si>
  <si>
    <t>phosphatidylinositol 4-kinase type 2 beta [Source:MGI Symbol;Acc:MGI:1914323]</t>
  </si>
  <si>
    <t>Colec12</t>
  </si>
  <si>
    <t>collectin sub-family member 12 [Source:MGI Symbol;Acc:MGI:2152907]</t>
  </si>
  <si>
    <t>Pi4k2a</t>
  </si>
  <si>
    <t>phosphatidylinositol 4-kinase type 2 alpha [Source:MGI Symbol;Acc:MGI:1934031]</t>
  </si>
  <si>
    <t>Fut7</t>
  </si>
  <si>
    <t>fucosyltransferase 7 [Source:MGI Symbol;Acc:MGI:107692]</t>
  </si>
  <si>
    <t>Apbb3</t>
  </si>
  <si>
    <t>amyloid beta (A4) precursor protein-binding, family B, member 3 [Source:MGI Symbol;Acc:MGI:108404]</t>
  </si>
  <si>
    <t>Stard3</t>
  </si>
  <si>
    <t>START domain containing 3 [Source:MGI Symbol;Acc:MGI:1929618]</t>
  </si>
  <si>
    <t>Bysl</t>
  </si>
  <si>
    <t>bystin-like [Source:MGI Symbol;Acc:MGI:1858419]</t>
  </si>
  <si>
    <t>Lsg1</t>
  </si>
  <si>
    <t>large 60S subunit nuclear export GTPase 1 [Source:MGI Symbol;Acc:MGI:107236]</t>
  </si>
  <si>
    <t>Ggct</t>
  </si>
  <si>
    <t>gamma-glutamyl cyclotransferase [Source:MGI Symbol;Acc:MGI:95700]</t>
  </si>
  <si>
    <t>Nr4a1</t>
  </si>
  <si>
    <t>nuclear receptor subfamily 4, group A, member 1 [Source:MGI Symbol;Acc:MGI:1352454]</t>
  </si>
  <si>
    <t>Arrb1</t>
  </si>
  <si>
    <t>arrestin, beta 1 [Source:MGI Symbol;Acc:MGI:99473]</t>
  </si>
  <si>
    <t>Foxm1</t>
  </si>
  <si>
    <t>forkhead box M1 [Source:MGI Symbol;Acc:MGI:1347487]</t>
  </si>
  <si>
    <t>Gatm</t>
  </si>
  <si>
    <t>glycine amidinotransferase (L-arginine:glycine amidinotransferase) [Source:MGI Symbol;Acc:MGI:1914342]</t>
  </si>
  <si>
    <t>Flii</t>
  </si>
  <si>
    <t>flightless I actin binding protein [Source:MGI Symbol;Acc:MGI:1342286]</t>
  </si>
  <si>
    <t>Xrcc6</t>
  </si>
  <si>
    <t>X-ray repair complementing defective repair in Chinese hamster cells 6 [Source:MGI Symbol;Acc:MGI:95606]</t>
  </si>
  <si>
    <t>Tmem171</t>
  </si>
  <si>
    <t>transmembrane protein 171 [Source:MGI Symbol;Acc:MGI:2685751]</t>
  </si>
  <si>
    <t>Edn1</t>
  </si>
  <si>
    <t>endothelin 1 [Source:MGI Symbol;Acc:MGI:95283]</t>
  </si>
  <si>
    <t>Ankrd13c</t>
  </si>
  <si>
    <t>ankyrin repeat domain 13c [Source:MGI Symbol;Acc:MGI:2139746]</t>
  </si>
  <si>
    <t>Rad51</t>
  </si>
  <si>
    <t>RAD51 recombinase [Source:MGI Symbol;Acc:MGI:97890]</t>
  </si>
  <si>
    <t>Dmtf1</t>
  </si>
  <si>
    <t>cyclin D binding myb-like transcription factor 1 [Source:MGI Symbol;Acc:MGI:1344415]</t>
  </si>
  <si>
    <t>Acot2</t>
  </si>
  <si>
    <t>acyl-CoA thioesterase 2 [Source:MGI Symbol;Acc:MGI:2159605]</t>
  </si>
  <si>
    <t>Il6ra</t>
  </si>
  <si>
    <t>interleukin 6 receptor, alpha [Source:MGI Symbol;Acc:MGI:105304]</t>
  </si>
  <si>
    <t>Rbm7</t>
  </si>
  <si>
    <t>RNA binding motif protein 7 [Source:MGI Symbol;Acc:MGI:1914260]</t>
  </si>
  <si>
    <t>Hectd3</t>
  </si>
  <si>
    <t>HECT domain E3 ubiquitin protein ligase 3 [Source:MGI Symbol;Acc:MGI:1923858]</t>
  </si>
  <si>
    <t>Gm44503</t>
  </si>
  <si>
    <t>predicted readthrough transcript (NMD candidate), 44503 [Source:MGI Symbol;Acc:MGI:5141975]</t>
  </si>
  <si>
    <t>Apobec1</t>
  </si>
  <si>
    <t>apolipoprotein B mRNA editing enzyme, catalytic polypeptide 1 [Source:MGI Symbol;Acc:MGI:103298]</t>
  </si>
  <si>
    <t>Dram1</t>
  </si>
  <si>
    <t>DNA-damage regulated autophagy modulator 1 [Source:MGI Symbol;Acc:MGI:1918962]</t>
  </si>
  <si>
    <t>Tra2a</t>
  </si>
  <si>
    <t>transformer 2 alpha [Source:MGI Symbol;Acc:MGI:1933972]</t>
  </si>
  <si>
    <t>Slc20a1</t>
  </si>
  <si>
    <t>solute carrier family 20, member 1 [Source:MGI Symbol;Acc:MGI:108392]</t>
  </si>
  <si>
    <t>Stx3</t>
  </si>
  <si>
    <t>syntaxin 3 [Source:MGI Symbol;Acc:MGI:103077]</t>
  </si>
  <si>
    <t>Ate1</t>
  </si>
  <si>
    <t>arginyltransferase 1 [Source:MGI Symbol;Acc:MGI:1333870]</t>
  </si>
  <si>
    <t>Cct6a</t>
  </si>
  <si>
    <t>chaperonin containing Tcp1, subunit 6a (zeta) [Source:MGI Symbol;Acc:MGI:107943]</t>
  </si>
  <si>
    <t>Rrm1</t>
  </si>
  <si>
    <t>ribonucleotide reductase M1 [Source:MGI Symbol;Acc:MGI:98180]</t>
  </si>
  <si>
    <t>Chpt1</t>
  </si>
  <si>
    <t>choline phosphotransferase 1 [Source:MGI Symbol;Acc:MGI:2384841]</t>
  </si>
  <si>
    <t>Cdr2</t>
  </si>
  <si>
    <t>cerebellar degeneration-related 2 [Source:MGI Symbol;Acc:MGI:1100885]</t>
  </si>
  <si>
    <t>Mapk6</t>
  </si>
  <si>
    <t>mitogen-activated protein kinase 6 [Source:MGI Symbol;Acc:MGI:1354946]</t>
  </si>
  <si>
    <t>Tigar</t>
  </si>
  <si>
    <t>Trp53 induced glycolysis regulatory phosphatase [Source:MGI Symbol;Acc:MGI:2442752]</t>
  </si>
  <si>
    <t>Sirt3</t>
  </si>
  <si>
    <t>sirtuin 3 [Source:MGI Symbol;Acc:MGI:1927665]</t>
  </si>
  <si>
    <t>Eif2ak4</t>
  </si>
  <si>
    <t>eukaryotic translation initiation factor 2 alpha kinase 4 [Source:MGI Symbol;Acc:MGI:1353427]</t>
  </si>
  <si>
    <t>Tmem251</t>
  </si>
  <si>
    <t>transmembrane protein 251 [Source:MGI Symbol;Acc:MGI:2443862]</t>
  </si>
  <si>
    <t>Mxd3</t>
  </si>
  <si>
    <t>Max dimerization protein 3 [Source:MGI Symbol;Acc:MGI:104987]</t>
  </si>
  <si>
    <t>Uap1</t>
  </si>
  <si>
    <t>UDP-N-acetylglucosamine pyrophosphorylase 1 [Source:MGI Symbol;Acc:MGI:1334459]</t>
  </si>
  <si>
    <t>Nup88</t>
  </si>
  <si>
    <t>nucleoporin 88 [Source:MGI Symbol;Acc:MGI:104900]</t>
  </si>
  <si>
    <t>Dennd3</t>
  </si>
  <si>
    <t>DENN/MADD domain containing 3 [Source:MGI Symbol;Acc:MGI:2146009]</t>
  </si>
  <si>
    <t>Ccnj</t>
  </si>
  <si>
    <t>cyclin J [Source:MGI Symbol;Acc:MGI:2443297]</t>
  </si>
  <si>
    <t>Cpox</t>
  </si>
  <si>
    <t>coproporphyrinogen oxidase [Source:MGI Symbol;Acc:MGI:104841]</t>
  </si>
  <si>
    <t>Ralgps2</t>
  </si>
  <si>
    <t>Ral GEF with PH domain and SH3 binding motif 2 [Source:MGI Symbol;Acc:MGI:1925505]</t>
  </si>
  <si>
    <t>Dcaf7</t>
  </si>
  <si>
    <t>DDB1 and CUL4 associated factor 7 [Source:MGI Symbol;Acc:MGI:1919083]</t>
  </si>
  <si>
    <t>Maml2</t>
  </si>
  <si>
    <t>mastermind like transcriptional coactivator 2 [Source:MGI Symbol;Acc:MGI:2389460]</t>
  </si>
  <si>
    <t>Rnf41</t>
  </si>
  <si>
    <t>ring finger protein 41 [Source:MGI Symbol;Acc:MGI:1914838]</t>
  </si>
  <si>
    <t>Ifi30</t>
  </si>
  <si>
    <t>interferon gamma inducible protein 30 [Source:MGI Symbol;Acc:MGI:2137648]</t>
  </si>
  <si>
    <t>Gcc2</t>
  </si>
  <si>
    <t>GRIP and coiled-coil domain containing 2 [Source:MGI Symbol;Acc:MGI:1917547]</t>
  </si>
  <si>
    <t>Rfc4</t>
  </si>
  <si>
    <t>replication factor C (activator 1) 4 [Source:MGI Symbol;Acc:MGI:2146571]</t>
  </si>
  <si>
    <t>Gm34643</t>
  </si>
  <si>
    <t>predicted gene, 34643 [Source:MGI Symbol;Acc:MGI:5593802]</t>
  </si>
  <si>
    <t>Ang</t>
  </si>
  <si>
    <t>angiogenin, ribonuclease, RNase A family, 5 [Source:MGI Symbol;Acc:MGI:88022]</t>
  </si>
  <si>
    <t>Mrpl42</t>
  </si>
  <si>
    <t>mitochondrial ribosomal protein L42 [Source:MGI Symbol;Acc:MGI:1333774]</t>
  </si>
  <si>
    <t>Coa5</t>
  </si>
  <si>
    <t>cytochrome C oxidase assembly factor 5 [Source:MGI Symbol;Acc:MGI:1923428]</t>
  </si>
  <si>
    <t>Wdr37</t>
  </si>
  <si>
    <t>WD repeat domain 37 [Source:MGI Symbol;Acc:MGI:1920393]</t>
  </si>
  <si>
    <t>Nup85</t>
  </si>
  <si>
    <t>nucleoporin 85 [Source:MGI Symbol;Acc:MGI:3046173]</t>
  </si>
  <si>
    <t>Gas7</t>
  </si>
  <si>
    <t>growth arrest specific 7 [Source:MGI Symbol;Acc:MGI:1202388]</t>
  </si>
  <si>
    <t>Ltbr</t>
  </si>
  <si>
    <t>lymphotoxin B receptor [Source:MGI Symbol;Acc:MGI:104875]</t>
  </si>
  <si>
    <t>Trerf1</t>
  </si>
  <si>
    <t>transcriptional regulating factor 1 [Source:MGI Symbol;Acc:MGI:2442086]</t>
  </si>
  <si>
    <t>Ddx18</t>
  </si>
  <si>
    <t>DEAD (Asp-Glu-Ala-Asp) box polypeptide 18 [Source:MGI Symbol;Acc:MGI:1914192]</t>
  </si>
  <si>
    <t>Gm42957</t>
  </si>
  <si>
    <t>predicted gene 42957 [Source:MGI Symbol;Acc:MGI:5663094]</t>
  </si>
  <si>
    <t>Tbl3</t>
  </si>
  <si>
    <t>transducin (beta)-like 3 [Source:MGI Symbol;Acc:MGI:2384863]</t>
  </si>
  <si>
    <t>Polr3g</t>
  </si>
  <si>
    <t>polymerase (RNA) III (DNA directed) polypeptide G [Source:MGI Symbol;Acc:MGI:1914736]</t>
  </si>
  <si>
    <t>Ercc6l</t>
  </si>
  <si>
    <t>excision repair cross-complementing rodent repair deficiency complementation group 6 like [Source:MGI Symbol;Acc:MGI:2654144]</t>
  </si>
  <si>
    <t>Gm50012</t>
  </si>
  <si>
    <t>predicted gene, 50012 [Source:MGI Symbol;Acc:MGI:6275301]</t>
  </si>
  <si>
    <t>sense_intronic</t>
  </si>
  <si>
    <t>Hdac9</t>
  </si>
  <si>
    <t>histone deacetylase 9 [Source:MGI Symbol;Acc:MGI:1931221]</t>
  </si>
  <si>
    <t>4933412E12Rik</t>
  </si>
  <si>
    <t>RIKEN cDNA 4933412E12 gene [Source:MGI Symbol;Acc:MGI:1918336]</t>
  </si>
  <si>
    <t>Zfp740</t>
  </si>
  <si>
    <t>zinc finger protein 740 [Source:MGI Symbol;Acc:MGI:1915994]</t>
  </si>
  <si>
    <t>Tfap4</t>
  </si>
  <si>
    <t>transcription factor AP4 [Source:MGI Symbol;Acc:MGI:103239]</t>
  </si>
  <si>
    <t>Ankmy2</t>
  </si>
  <si>
    <t>ankyrin repeat and MYND domain containing 2 [Source:MGI Symbol;Acc:MGI:2144755]</t>
  </si>
  <si>
    <t>Slc27a1</t>
  </si>
  <si>
    <t>solute carrier family 27 (fatty acid transporter), member 1 [Source:MGI Symbol;Acc:MGI:1347098]</t>
  </si>
  <si>
    <t>Por</t>
  </si>
  <si>
    <t>P450 (cytochrome) oxidoreductase [Source:MGI Symbol;Acc:MGI:97744]</t>
  </si>
  <si>
    <t>Slc13a3</t>
  </si>
  <si>
    <t>solute carrier family 13 (sodium-dependent dicarboxylate transporter), member 3 [Source:MGI Symbol;Acc:MGI:2149635]</t>
  </si>
  <si>
    <t>Fxr1</t>
  </si>
  <si>
    <t>fragile X mental retardation gene 1, autosomal homolog [Source:MGI Symbol;Acc:MGI:104860]</t>
  </si>
  <si>
    <t>Trmt61a</t>
  </si>
  <si>
    <t>tRNA methyltransferase 61A [Source:MGI Symbol;Acc:MGI:2443487]</t>
  </si>
  <si>
    <t>Twnk</t>
  </si>
  <si>
    <t>twinkle mtDNA helicase [Source:MGI Symbol;Acc:MGI:2137410]</t>
  </si>
  <si>
    <t>Hnrnpul1</t>
  </si>
  <si>
    <t>heterogeneous nuclear ribonucleoprotein U-like 1 [Source:MGI Symbol;Acc:MGI:2443517]</t>
  </si>
  <si>
    <t>Nmral1</t>
  </si>
  <si>
    <t>NmrA-like family domain containing 1 [Source:MGI Symbol;Acc:MGI:1915074]</t>
  </si>
  <si>
    <t>Kdm2a</t>
  </si>
  <si>
    <t>lysine (K)-specific demethylase 2A [Source:MGI Symbol;Acc:MGI:1354736]</t>
  </si>
  <si>
    <t>Clec7a</t>
  </si>
  <si>
    <t>C-type lectin domain family 7, member a [Source:MGI Symbol;Acc:MGI:1861431]</t>
  </si>
  <si>
    <t>Ehmt1</t>
  </si>
  <si>
    <t>euchromatic histone methyltransferase 1 [Source:MGI Symbol;Acc:MGI:1924933]</t>
  </si>
  <si>
    <t>Rap2c</t>
  </si>
  <si>
    <t>RAP2C, member of RAS oncogene family [Source:MGI Symbol;Acc:MGI:1919315]</t>
  </si>
  <si>
    <t>Rala</t>
  </si>
  <si>
    <t>v-ral simian leukemia viral oncogene A (ras related) [Source:MGI Symbol;Acc:MGI:1927243]</t>
  </si>
  <si>
    <t>Fbxo42</t>
  </si>
  <si>
    <t>F-box protein 42 [Source:MGI Symbol;Acc:MGI:1924992]</t>
  </si>
  <si>
    <t>Cep44</t>
  </si>
  <si>
    <t>centrosomal protein 44 [Source:MGI Symbol;Acc:MGI:3525111]</t>
  </si>
  <si>
    <t>Magohb</t>
  </si>
  <si>
    <t>mago homolog B, exon junction complex core component [Source:MGI Symbol;Acc:MGI:1913691]</t>
  </si>
  <si>
    <t>Btaf1</t>
  </si>
  <si>
    <t>B-TFIID TATA-box binding protein associated factor 1 [Source:MGI Symbol;Acc:MGI:2147538]</t>
  </si>
  <si>
    <t>Cyb561a3</t>
  </si>
  <si>
    <t>cytochrome b561 family, member A3 [Source:MGI Symbol;Acc:MGI:2686925]</t>
  </si>
  <si>
    <t>Ptprg</t>
  </si>
  <si>
    <t>protein tyrosine phosphatase, receptor type, G [Source:MGI Symbol;Acc:MGI:97814]</t>
  </si>
  <si>
    <t>Ap4b1</t>
  </si>
  <si>
    <t>adaptor-related protein complex AP-4, beta 1 [Source:MGI Symbol;Acc:MGI:1337130]</t>
  </si>
  <si>
    <t>Lrif1</t>
  </si>
  <si>
    <t>ligand dependent nuclear receptor interacting factor 1 [Source:MGI Symbol;Acc:MGI:2445214]</t>
  </si>
  <si>
    <t>Tcf4</t>
  </si>
  <si>
    <t>transcription factor 4 [Source:MGI Symbol;Acc:MGI:98506]</t>
  </si>
  <si>
    <t>Ralbp1</t>
  </si>
  <si>
    <t>ralA binding protein 1 [Source:MGI Symbol;Acc:MGI:108466]</t>
  </si>
  <si>
    <t>Hivep2</t>
  </si>
  <si>
    <t>human immunodeficiency virus type I enhancer binding protein 2 [Source:MGI Symbol;Acc:MGI:1338076]</t>
  </si>
  <si>
    <t>Gins4</t>
  </si>
  <si>
    <t>GINS complex subunit 4 (Sld5 homolog) [Source:MGI Symbol;Acc:MGI:1923847]</t>
  </si>
  <si>
    <t>Cct8</t>
  </si>
  <si>
    <t>chaperonin containing Tcp1, subunit 8 (theta) [Source:MGI Symbol;Acc:MGI:107183]</t>
  </si>
  <si>
    <t>Dmac2</t>
  </si>
  <si>
    <t>distal membrane arm assembly complex 2 [Source:MGI Symbol;Acc:MGI:1913599]</t>
  </si>
  <si>
    <t>Tcp11l2</t>
  </si>
  <si>
    <t>t-complex 11 (mouse) like 2 [Source:MGI Symbol;Acc:MGI:2444679]</t>
  </si>
  <si>
    <t>Rbbp5</t>
  </si>
  <si>
    <t>retinoblastoma binding protein 5, histone lysine methyltransferase complex subunit [Source:MGI Symbol;Acc:MGI:1918367]</t>
  </si>
  <si>
    <t>Pla2g5</t>
  </si>
  <si>
    <t>phospholipase A2, group V [Source:MGI Symbol;Acc:MGI:101899]</t>
  </si>
  <si>
    <t>Cenps</t>
  </si>
  <si>
    <t>centromere protein S [Source:MGI Symbol;Acc:MGI:1917178]</t>
  </si>
  <si>
    <t>Ifi203-ps</t>
  </si>
  <si>
    <t>interferon activated gene 203, pseudogene [Source:MGI Symbol;Acc:MGI:3840117]</t>
  </si>
  <si>
    <t>Dnajb6</t>
  </si>
  <si>
    <t>DnaJ heat shock protein family (Hsp40) member B6 [Source:MGI Symbol;Acc:MGI:1344381]</t>
  </si>
  <si>
    <t>Kctd13</t>
  </si>
  <si>
    <t>potassium channel tetramerisation domain containing 13 [Source:MGI Symbol;Acc:MGI:1923739]</t>
  </si>
  <si>
    <t>Exoc6b</t>
  </si>
  <si>
    <t>exocyst complex component 6B [Source:MGI Symbol;Acc:MGI:1923164]</t>
  </si>
  <si>
    <t>Gm35037</t>
  </si>
  <si>
    <t>predicted gene, 35037 [Source:MGI Symbol;Acc:MGI:5594196]</t>
  </si>
  <si>
    <t>Smpdl3b</t>
  </si>
  <si>
    <t>sphingomyelin phosphodiesterase, acid-like 3B [Source:MGI Symbol;Acc:MGI:1916022]</t>
  </si>
  <si>
    <t>Gfpt1</t>
  </si>
  <si>
    <t>glutamine fructose-6-phosphate transaminase 1 [Source:MGI Symbol;Acc:MGI:95698]</t>
  </si>
  <si>
    <t>Usp49</t>
  </si>
  <si>
    <t>ubiquitin specific peptidase 49 [Source:MGI Symbol;Acc:MGI:2685391]</t>
  </si>
  <si>
    <t>Ndst2</t>
  </si>
  <si>
    <t>N-deacetylase/N-sulfotransferase (heparan glucosaminyl) 2 [Source:MGI Symbol;Acc:MGI:97040]</t>
  </si>
  <si>
    <t>Fgd4</t>
  </si>
  <si>
    <t>FYVE, RhoGEF and PH domain containing 4 [Source:MGI Symbol;Acc:MGI:2183747]</t>
  </si>
  <si>
    <t>Elac2</t>
  </si>
  <si>
    <t>elaC ribonuclease Z 2 [Source:MGI Symbol;Acc:MGI:1890496]</t>
  </si>
  <si>
    <t>Slc38a10</t>
  </si>
  <si>
    <t>solute carrier family 38, member 10 [Source:MGI Symbol;Acc:MGI:1919305]</t>
  </si>
  <si>
    <t>Gm12185</t>
  </si>
  <si>
    <t>predicted gene 12185 [Source:MGI Symbol;Acc:MGI:3652173]</t>
  </si>
  <si>
    <t>Tcf12</t>
  </si>
  <si>
    <t>transcription factor 12 [Source:MGI Symbol;Acc:MGI:101877]</t>
  </si>
  <si>
    <t>Rfwd3</t>
  </si>
  <si>
    <t>ring finger and WD repeat domain 3 [Source:MGI Symbol;Acc:MGI:2384584]</t>
  </si>
  <si>
    <t>Hdgf</t>
  </si>
  <si>
    <t>heparin binding growth factor [Source:MGI Symbol;Acc:MGI:1194494]</t>
  </si>
  <si>
    <t>Pfn1</t>
  </si>
  <si>
    <t>profilin 1 [Source:MGI Symbol;Acc:MGI:97549]</t>
  </si>
  <si>
    <t>Sde2</t>
  </si>
  <si>
    <t>SDE2 telomere maintenance homolog (S. pombe) [Source:MGI Symbol;Acc:MGI:2384788]</t>
  </si>
  <si>
    <t>Tnfsf10</t>
  </si>
  <si>
    <t>tumor necrosis factor (ligand) superfamily, member 10 [Source:MGI Symbol;Acc:MGI:107414]</t>
  </si>
  <si>
    <t>Ppm1k</t>
  </si>
  <si>
    <t>protein phosphatase 1K (PP2C domain containing) [Source:MGI Symbol;Acc:MGI:2442111]</t>
  </si>
  <si>
    <t>Ube2t</t>
  </si>
  <si>
    <t>ubiquitin-conjugating enzyme E2T [Source:MGI Symbol;Acc:MGI:1914446]</t>
  </si>
  <si>
    <t>Tmem131l</t>
  </si>
  <si>
    <t>transmembrane 131 like [Source:MGI Symbol;Acc:MGI:2443399]</t>
  </si>
  <si>
    <t>Dek</t>
  </si>
  <si>
    <t>DEK oncogene (DNA binding) [Source:MGI Symbol;Acc:MGI:1926209]</t>
  </si>
  <si>
    <t>Tctn3</t>
  </si>
  <si>
    <t>tectonic family member 3 [Source:MGI Symbol;Acc:MGI:1914840]</t>
  </si>
  <si>
    <t>Bop1</t>
  </si>
  <si>
    <t>block of proliferation 1 [Source:MGI Symbol;Acc:MGI:1334460]</t>
  </si>
  <si>
    <t>Stx17</t>
  </si>
  <si>
    <t>syntaxin 17 [Source:MGI Symbol;Acc:MGI:1914977]</t>
  </si>
  <si>
    <t>Cast</t>
  </si>
  <si>
    <t>calpastatin [Source:MGI Symbol;Acc:MGI:1098236]</t>
  </si>
  <si>
    <t>Abhd17a</t>
  </si>
  <si>
    <t>abhydrolase domain containing 17A [Source:MGI Symbol;Acc:MGI:106388]</t>
  </si>
  <si>
    <t>Nmt2</t>
  </si>
  <si>
    <t>N-myristoyltransferase 2 [Source:MGI Symbol;Acc:MGI:1202298]</t>
  </si>
  <si>
    <t>Gm21969</t>
  </si>
  <si>
    <t>predicted gene 21969 [Source:MGI Symbol;Acc:MGI:5439438]</t>
  </si>
  <si>
    <t>Fnip1</t>
  </si>
  <si>
    <t>folliculin interacting protein 1 [Source:MGI Symbol;Acc:MGI:2444668]</t>
  </si>
  <si>
    <t>Zfp593</t>
  </si>
  <si>
    <t>zinc finger protein 593 [Source:MGI Symbol;Acc:MGI:1915290]</t>
  </si>
  <si>
    <t>Trpv2</t>
  </si>
  <si>
    <t>transient receptor potential cation channel, subfamily V, member 2 [Source:MGI Symbol;Acc:MGI:1341836]</t>
  </si>
  <si>
    <t>Gm7160</t>
  </si>
  <si>
    <t>predicted gene 7160 [Source:MGI Symbol;Acc:MGI:3646078]</t>
  </si>
  <si>
    <t>Smarcc1</t>
  </si>
  <si>
    <t>SWI/SNF related, matrix associated, actin dependent regulator of chromatin, subfamily c, member 1 [Source:MGI Symbol;Acc:MGI:1203524]</t>
  </si>
  <si>
    <t>A130077B15Rik</t>
  </si>
  <si>
    <t>RIKEN cDNA A130077B15 gene [Source:MGI Symbol;Acc:MGI:2441782]</t>
  </si>
  <si>
    <t>Tgfbr2</t>
  </si>
  <si>
    <t>transforming growth factor, beta receptor II [Source:MGI Symbol;Acc:MGI:98729]</t>
  </si>
  <si>
    <t>Adamts4</t>
  </si>
  <si>
    <t>a disintegrin-like and metallopeptidase (reprolysin type) with thrombospondin type 1 motif, 4 [Source:MGI Symbol;Acc:MGI:1339949]</t>
  </si>
  <si>
    <t>Mrnip</t>
  </si>
  <si>
    <t>MRN complex interacting protein [Source:MGI Symbol;Acc:MGI:1915317]</t>
  </si>
  <si>
    <t>Wdr62</t>
  </si>
  <si>
    <t>WD repeat domain 62 [Source:MGI Symbol;Acc:MGI:1923696]</t>
  </si>
  <si>
    <t>Nop14</t>
  </si>
  <si>
    <t>NOP14 nucleolar protein [Source:MGI Symbol;Acc:MGI:1922666]</t>
  </si>
  <si>
    <t>Arcn1</t>
  </si>
  <si>
    <t>archain 1 [Source:MGI Symbol;Acc:MGI:2387591]</t>
  </si>
  <si>
    <t>Klc4</t>
  </si>
  <si>
    <t>kinesin light chain 4 [Source:MGI Symbol;Acc:MGI:1922014]</t>
  </si>
  <si>
    <t>Zfyve9</t>
  </si>
  <si>
    <t>zinc finger, FYVE domain containing 9 [Source:MGI Symbol;Acc:MGI:2652838]</t>
  </si>
  <si>
    <t>Tmem38a</t>
  </si>
  <si>
    <t>transmembrane protein 38A [Source:MGI Symbol;Acc:MGI:1921416]</t>
  </si>
  <si>
    <t>Dlgap4</t>
  </si>
  <si>
    <t>DLG associated protein 4 [Source:MGI Symbol;Acc:MGI:2138865]</t>
  </si>
  <si>
    <t>Nedd9</t>
  </si>
  <si>
    <t>neural precursor cell expressed, developmentally down-regulated gene 9 [Source:MGI Symbol;Acc:MGI:97302]</t>
  </si>
  <si>
    <t>Clcn6</t>
  </si>
  <si>
    <t>chloride channel, voltage-sensitive 6 [Source:MGI Symbol;Acc:MGI:1347049]</t>
  </si>
  <si>
    <t>Fdxr</t>
  </si>
  <si>
    <t>ferredoxin reductase [Source:MGI Symbol;Acc:MGI:104724]</t>
  </si>
  <si>
    <t>Shtn1</t>
  </si>
  <si>
    <t>shootin 1 [Source:MGI Symbol;Acc:MGI:1918903]</t>
  </si>
  <si>
    <t>Ntn1</t>
  </si>
  <si>
    <t>netrin 1 [Source:MGI Symbol;Acc:MGI:105088]</t>
  </si>
  <si>
    <t>Fabp3</t>
  </si>
  <si>
    <t>fatty acid binding protein 3, muscle and heart [Source:MGI Symbol;Acc:MGI:95476]</t>
  </si>
  <si>
    <t>Morrbid</t>
  </si>
  <si>
    <t>myeloid RNA regulator of BCL2L11 induced cell death [Source:MGI Symbol;Acc:MGI:3652191]</t>
  </si>
  <si>
    <t>Gm5345</t>
  </si>
  <si>
    <t>predicted gene 5345 [Source:MGI Symbol;Acc:MGI:3644320]</t>
  </si>
  <si>
    <t>Cdc7</t>
  </si>
  <si>
    <t>cell division cycle 7 (S. cerevisiae) [Source:MGI Symbol;Acc:MGI:1309511]</t>
  </si>
  <si>
    <t>Bcl2l2</t>
  </si>
  <si>
    <t>BCL2-like 2 [Source:MGI Symbol;Acc:MGI:108052]</t>
  </si>
  <si>
    <t>Ctns</t>
  </si>
  <si>
    <t>cystinosis, nephropathic [Source:MGI Symbol;Acc:MGI:1932872]</t>
  </si>
  <si>
    <t>Slc6a12</t>
  </si>
  <si>
    <t>solute carrier family 6 (neurotransmitter transporter, betaine/GABA), member 12 [Source:MGI Symbol;Acc:MGI:95628]</t>
  </si>
  <si>
    <t>Map3k6</t>
  </si>
  <si>
    <t>mitogen-activated protein kinase kinase kinase 6 [Source:MGI Symbol;Acc:MGI:1855691]</t>
  </si>
  <si>
    <t>Usf3</t>
  </si>
  <si>
    <t>upstream transcription factor family member 3 [Source:MGI Symbol;Acc:MGI:2685454]</t>
  </si>
  <si>
    <t>Ankrd17</t>
  </si>
  <si>
    <t>ankyrin repeat domain 17 [Source:MGI Symbol;Acc:MGI:1932101]</t>
  </si>
  <si>
    <t>Fam78a</t>
  </si>
  <si>
    <t>family with sequence similarity 78, member A [Source:MGI Symbol;Acc:MGI:2443569]</t>
  </si>
  <si>
    <t>Papss1</t>
  </si>
  <si>
    <t>3'-phosphoadenosine 5'-phosphosulfate synthase 1 [Source:MGI Symbol;Acc:MGI:1330587]</t>
  </si>
  <si>
    <t>Lhx1</t>
  </si>
  <si>
    <t>LIM homeobox protein 1 [Source:MGI Symbol;Acc:MGI:99783]</t>
  </si>
  <si>
    <t>Dyrk3</t>
  </si>
  <si>
    <t>dual-specificity tyrosine-(Y)-phosphorylation regulated kinase 3 [Source:MGI Symbol;Acc:MGI:1330300]</t>
  </si>
  <si>
    <t>Igsf8</t>
  </si>
  <si>
    <t>immunoglobulin superfamily, member 8 [Source:MGI Symbol;Acc:MGI:2154090]</t>
  </si>
  <si>
    <t>Zfas1</t>
  </si>
  <si>
    <t>zinc finger, NFX1-type containing 1, antisense RNA 1 [Source:MGI Symbol;Acc:MGI:1916199]</t>
  </si>
  <si>
    <t>Fmnl3</t>
  </si>
  <si>
    <t>formin-like 3 [Source:MGI Symbol;Acc:MGI:109569]</t>
  </si>
  <si>
    <t>Tmem86a</t>
  </si>
  <si>
    <t>transmembrane protein 86A [Source:MGI Symbol;Acc:MGI:1915143]</t>
  </si>
  <si>
    <t>Lmln</t>
  </si>
  <si>
    <t>leishmanolysin-like (metallopeptidase M8 family) [Source:MGI Symbol;Acc:MGI:2444736]</t>
  </si>
  <si>
    <t>Klf4</t>
  </si>
  <si>
    <t>Kruppel-like factor 4 (gut) [Source:MGI Symbol;Acc:MGI:1342287]</t>
  </si>
  <si>
    <t>Pno1</t>
  </si>
  <si>
    <t>partner of NOB1 homolog [Source:MGI Symbol;Acc:MGI:1913499]</t>
  </si>
  <si>
    <t>Tshz1</t>
  </si>
  <si>
    <t>teashirt zinc finger family member 1 [Source:MGI Symbol;Acc:MGI:1346031]</t>
  </si>
  <si>
    <t>Nmd3</t>
  </si>
  <si>
    <t>NMD3 ribosome export adaptor [Source:MGI Symbol;Acc:MGI:2140103]</t>
  </si>
  <si>
    <t>Nsl1</t>
  </si>
  <si>
    <t>NSL1, MIS12 kinetochore complex component [Source:MGI Symbol;Acc:MGI:2685830]</t>
  </si>
  <si>
    <t>Atp13a3</t>
  </si>
  <si>
    <t>ATPase type 13A3 [Source:MGI Symbol;Acc:MGI:2685387]</t>
  </si>
  <si>
    <t>Gm26797</t>
  </si>
  <si>
    <t>predicted gene, 26797 [Source:MGI Symbol;Acc:MGI:5477291]</t>
  </si>
  <si>
    <t>Lims1</t>
  </si>
  <si>
    <t>LIM and senescent cell antigen-like domains 1 [Source:MGI Symbol;Acc:MGI:1195263]</t>
  </si>
  <si>
    <t>Cenpo</t>
  </si>
  <si>
    <t>centromere protein O [Source:MGI Symbol;Acc:MGI:1923800]</t>
  </si>
  <si>
    <t>Mettl17</t>
  </si>
  <si>
    <t>methyltransferase like 17 [Source:MGI Symbol;Acc:MGI:1098577]</t>
  </si>
  <si>
    <t>Gnaq</t>
  </si>
  <si>
    <t>guanine nucleotide binding protein, alpha q polypeptide [Source:MGI Symbol;Acc:MGI:95776]</t>
  </si>
  <si>
    <t>Nckap1l</t>
  </si>
  <si>
    <t>NCK associated protein 1 like [Source:MGI Symbol;Acc:MGI:1926063]</t>
  </si>
  <si>
    <t>Mrto4</t>
  </si>
  <si>
    <t>mRNA turnover 4, ribosome maturation factor [Source:MGI Symbol;Acc:MGI:1917152]</t>
  </si>
  <si>
    <t>Mdfic</t>
  </si>
  <si>
    <t>MyoD family inhibitor domain containing [Source:MGI Symbol;Acc:MGI:104611]</t>
  </si>
  <si>
    <t>Mtmr7</t>
  </si>
  <si>
    <t>myotubularin related protein 7 [Source:MGI Symbol;Acc:MGI:1891693]</t>
  </si>
  <si>
    <t>Stxbp4</t>
  </si>
  <si>
    <t>syntaxin binding protein 4 [Source:MGI Symbol;Acc:MGI:1342296]</t>
  </si>
  <si>
    <t>Sephs2</t>
  </si>
  <si>
    <t>selenophosphate synthetase 2 [Source:MGI Symbol;Acc:MGI:108388]</t>
  </si>
  <si>
    <t>Gm43951</t>
  </si>
  <si>
    <t>predicted gene, 43951 [Source:MGI Symbol;Acc:MGI:5690343]</t>
  </si>
  <si>
    <t>Tjp2</t>
  </si>
  <si>
    <t>tight junction protein 2 [Source:MGI Symbol;Acc:MGI:1341872]</t>
  </si>
  <si>
    <t>Rsl1d1</t>
  </si>
  <si>
    <t>ribosomal L1 domain containing 1 [Source:MGI Symbol;Acc:MGI:1913659]</t>
  </si>
  <si>
    <t>Ccdc34</t>
  </si>
  <si>
    <t>coiled-coil domain containing 34 [Source:MGI Symbol;Acc:MGI:1915451]</t>
  </si>
  <si>
    <t>Zfp148</t>
  </si>
  <si>
    <t>zinc finger protein 148 [Source:MGI Symbol;Acc:MGI:1332234]</t>
  </si>
  <si>
    <t>Gmpr</t>
  </si>
  <si>
    <t>guanosine monophosphate reductase [Source:MGI Symbol;Acc:MGI:1913605]</t>
  </si>
  <si>
    <t>Ptov1</t>
  </si>
  <si>
    <t>prostate tumor over expressed gene 1 [Source:MGI Symbol;Acc:MGI:1933946]</t>
  </si>
  <si>
    <t>Cep97</t>
  </si>
  <si>
    <t>centrosomal protein 97 [Source:MGI Symbol;Acc:MGI:1921451]</t>
  </si>
  <si>
    <t>Pik3r6</t>
  </si>
  <si>
    <t>phosphoinositide-3-kinase regulatory subunit 5 [Source:MGI Symbol;Acc:MGI:2144613]</t>
  </si>
  <si>
    <t>Cdv3</t>
  </si>
  <si>
    <t>carnitine deficiency-associated gene expressed in ventricle 3 [Source:MGI Symbol;Acc:MGI:2448759]</t>
  </si>
  <si>
    <t>Xk</t>
  </si>
  <si>
    <t>X-linked Kx blood group [Source:MGI Symbol;Acc:MGI:103569]</t>
  </si>
  <si>
    <t>Tph2</t>
  </si>
  <si>
    <t>tryptophan hydroxylase 2 [Source:MGI Symbol;Acc:MGI:2651811]</t>
  </si>
  <si>
    <t>Xxylt1</t>
  </si>
  <si>
    <t>xyloside xylosyltransferase 1 [Source:MGI Symbol;Acc:MGI:2146443]</t>
  </si>
  <si>
    <t>Fam168b</t>
  </si>
  <si>
    <t>family with sequence similarity 168, member B [Source:MGI Symbol;Acc:MGI:2448487]</t>
  </si>
  <si>
    <t>Gk</t>
  </si>
  <si>
    <t>glycerol kinase [Source:MGI Symbol;Acc:MGI:106594]</t>
  </si>
  <si>
    <t>Ttf2</t>
  </si>
  <si>
    <t>transcription termination factor, RNA polymerase II [Source:MGI Symbol;Acc:MGI:1921294]</t>
  </si>
  <si>
    <t>Lrp4</t>
  </si>
  <si>
    <t>low density lipoprotein receptor-related protein 4 [Source:MGI Symbol;Acc:MGI:2442252]</t>
  </si>
  <si>
    <t>Cdcp1</t>
  </si>
  <si>
    <t>CUB domain containing protein 1 [Source:MGI Symbol;Acc:MGI:2442010]</t>
  </si>
  <si>
    <t>Hpn</t>
  </si>
  <si>
    <t>hepsin [Source:MGI Symbol;Acc:MGI:1196620]</t>
  </si>
  <si>
    <t>Casp3</t>
  </si>
  <si>
    <t>caspase 3 [Source:MGI Symbol;Acc:MGI:107739]</t>
  </si>
  <si>
    <t>Gpam</t>
  </si>
  <si>
    <t>glycerol-3-phosphate acyltransferase, mitochondrial [Source:MGI Symbol;Acc:MGI:109162]</t>
  </si>
  <si>
    <t>Trem1</t>
  </si>
  <si>
    <t>triggering receptor expressed on myeloid cells 1 [Source:MGI Symbol;Acc:MGI:1930005]</t>
  </si>
  <si>
    <t>Rp2</t>
  </si>
  <si>
    <t>retinitis pigmentosa 2 homolog [Source:MGI Symbol;Acc:MGI:1277953]</t>
  </si>
  <si>
    <t>Prkch</t>
  </si>
  <si>
    <t>protein kinase C, eta [Source:MGI Symbol;Acc:MGI:97600]</t>
  </si>
  <si>
    <t>Sh3glb2</t>
  </si>
  <si>
    <t>SH3-domain GRB2-like endophilin B2 [Source:MGI Symbol;Acc:MGI:2385131]</t>
  </si>
  <si>
    <t>Mmd</t>
  </si>
  <si>
    <t>monocyte to macrophage differentiation-associated [Source:MGI Symbol;Acc:MGI:1914718]</t>
  </si>
  <si>
    <t>Gm46189</t>
  </si>
  <si>
    <t>predicted gene, 46189 [Source:MGI Symbol;Acc:MGI:5825826]</t>
  </si>
  <si>
    <t>Nlrp10</t>
  </si>
  <si>
    <t>NLR family, pyrin domain containing 10 [Source:MGI Symbol;Acc:MGI:2444084]</t>
  </si>
  <si>
    <t>Slc25a22</t>
  </si>
  <si>
    <t>solute carrier family 25 (mitochondrial carrier, glutamate), member 22 [Source:MGI Symbol;Acc:MGI:1915517]</t>
  </si>
  <si>
    <t>Ccdc173</t>
  </si>
  <si>
    <t>coiled-coil domain containing 173 [Source:MGI Symbol;Acc:MGI:1923100]</t>
  </si>
  <si>
    <t>Cby1</t>
  </si>
  <si>
    <t>chibby family member 1, beta catenin antagonist [Source:MGI Symbol;Acc:MGI:1920989]</t>
  </si>
  <si>
    <t>Gk5</t>
  </si>
  <si>
    <t>glycerol kinase 5 (putative) [Source:MGI Symbol;Acc:MGI:2443336]</t>
  </si>
  <si>
    <t>Hcfc2</t>
  </si>
  <si>
    <t>host cell factor C2 [Source:MGI Symbol;Acc:MGI:1915183]</t>
  </si>
  <si>
    <t>Fam126a</t>
  </si>
  <si>
    <t>family with sequence similarity 126, member A [Source:MGI Symbol;Acc:MGI:2149839]</t>
  </si>
  <si>
    <t>Mitf</t>
  </si>
  <si>
    <t>melanogenesis associated transcription factor [Source:MGI Symbol;Acc:MGI:104554]</t>
  </si>
  <si>
    <t>Mthfd1</t>
  </si>
  <si>
    <t>methylenetetrahydrofolate dehydrogenase (NADP+ dependent), methenyltetrahydrofolate cyclohydrolase, formyltetrahydrofolate synthase [Source:MGI Symbol;Acc:MGI:1342005]</t>
  </si>
  <si>
    <t>Hdac1</t>
  </si>
  <si>
    <t>histone deacetylase 1 [Source:MGI Symbol;Acc:MGI:108086]</t>
  </si>
  <si>
    <t>Mdp1</t>
  </si>
  <si>
    <t>magnesium-dependent phosphatase 1 [Source:MGI Symbol;Acc:MGI:1915131]</t>
  </si>
  <si>
    <t>Stat5b</t>
  </si>
  <si>
    <t>signal transducer and activator of transcription 5B [Source:MGI Symbol;Acc:MGI:103035]</t>
  </si>
  <si>
    <t>Sec23a</t>
  </si>
  <si>
    <t>SEC23 homolog A, COPII coat complex component [Source:MGI Symbol;Acc:MGI:1349635]</t>
  </si>
  <si>
    <t>Soga1</t>
  </si>
  <si>
    <t>suppressor of glucose, autophagy associated 1 [Source:MGI Symbol;Acc:MGI:2444575]</t>
  </si>
  <si>
    <t>Camk1</t>
  </si>
  <si>
    <t>calcium/calmodulin-dependent protein kinase I [Source:MGI Symbol;Acc:MGI:1098535]</t>
  </si>
  <si>
    <t>Tmem176b</t>
  </si>
  <si>
    <t>transmembrane protein 176B [Source:MGI Symbol;Acc:MGI:1916348]</t>
  </si>
  <si>
    <t>Rragc</t>
  </si>
  <si>
    <t>Ras-related GTP binding C [Source:MGI Symbol;Acc:MGI:1858751]</t>
  </si>
  <si>
    <t>Ppp2r5d</t>
  </si>
  <si>
    <t>protein phosphatase 2, regulatory subunit B', delta [Source:MGI Symbol;Acc:MGI:2388481]</t>
  </si>
  <si>
    <t>Nudt18</t>
  </si>
  <si>
    <t>nudix (nucleoside diphosphate linked moiety X)-type motif 18 [Source:MGI Symbol;Acc:MGI:2385853]</t>
  </si>
  <si>
    <t>Dnmt3b</t>
  </si>
  <si>
    <t>DNA methyltransferase 3B [Source:MGI Symbol;Acc:MGI:1261819]</t>
  </si>
  <si>
    <t>Myadm</t>
  </si>
  <si>
    <t>myeloid-associated differentiation marker [Source:MGI Symbol;Acc:MGI:1355332]</t>
  </si>
  <si>
    <t>Cd72</t>
  </si>
  <si>
    <t>CD72 antigen [Source:MGI Symbol;Acc:MGI:88345]</t>
  </si>
  <si>
    <t>Npm1</t>
  </si>
  <si>
    <t>nucleophosmin 1 [Source:MGI Symbol;Acc:MGI:106184]</t>
  </si>
  <si>
    <t>Lrrc1</t>
  </si>
  <si>
    <t>leucine rich repeat containing 1 [Source:MGI Symbol;Acc:MGI:2442313]</t>
  </si>
  <si>
    <t>Ubac1</t>
  </si>
  <si>
    <t>ubiquitin associated domain containing 1 [Source:MGI Symbol;Acc:MGI:1920995]</t>
  </si>
  <si>
    <t>Cyb5a</t>
  </si>
  <si>
    <t>cytochrome b5 type A (microsomal) [Source:MGI Symbol;Acc:MGI:1926952]</t>
  </si>
  <si>
    <t>Slc19a2</t>
  </si>
  <si>
    <t>solute carrier family 19 (thiamine transporter), member 2 [Source:MGI Symbol;Acc:MGI:1928761]</t>
  </si>
  <si>
    <t>Dhx15</t>
  </si>
  <si>
    <t>DEAH (Asp-Glu-Ala-His) box polypeptide 15 [Source:MGI Symbol;Acc:MGI:1099786]</t>
  </si>
  <si>
    <t>2610301B20Rik</t>
  </si>
  <si>
    <t>RIKEN cDNA 2610301B20 gene [Source:MGI Symbol;Acc:MGI:1914407]</t>
  </si>
  <si>
    <t>Abtb1</t>
  </si>
  <si>
    <t>ankyrin repeat and  BTB (POZ) domain containing 1 [Source:MGI Symbol;Acc:MGI:1933148]</t>
  </si>
  <si>
    <t>Gm49378</t>
  </si>
  <si>
    <t>predicted gene, 49378 [Source:MGI Symbol;Acc:MGI:6121598]</t>
  </si>
  <si>
    <t>Tm2d1</t>
  </si>
  <si>
    <t>TM2 domain containing 1 [Source:MGI Symbol;Acc:MGI:2137022]</t>
  </si>
  <si>
    <t>Fam53a</t>
  </si>
  <si>
    <t>family with sequence similarity 53, member A [Source:MGI Symbol;Acc:MGI:1919225]</t>
  </si>
  <si>
    <t>Rad51c</t>
  </si>
  <si>
    <t>RAD51 paralog C [Source:MGI Symbol;Acc:MGI:2150020]</t>
  </si>
  <si>
    <t>Spg20</t>
  </si>
  <si>
    <t>spastic paraplegia 20, spartin (Troyer syndrome) homolog (human) [Source:MGI Symbol;Acc:MGI:2139806]</t>
  </si>
  <si>
    <t>Ubxn4</t>
  </si>
  <si>
    <t>UBX domain protein 4 [Source:MGI Symbol;Acc:MGI:1915062]</t>
  </si>
  <si>
    <t>Ccnl1</t>
  </si>
  <si>
    <t>cyclin L1 [Source:MGI Symbol;Acc:MGI:1922664]</t>
  </si>
  <si>
    <t>Stau2</t>
  </si>
  <si>
    <t>staufen double-stranded RNA binding protein 2 [Source:MGI Symbol;Acc:MGI:1352508]</t>
  </si>
  <si>
    <t>Tbc1d32</t>
  </si>
  <si>
    <t>TBC1 domain family, member 32 [Source:MGI Symbol;Acc:MGI:2442827]</t>
  </si>
  <si>
    <t>Adi1</t>
  </si>
  <si>
    <t>acireductone dioxygenase 1 [Source:MGI Symbol;Acc:MGI:2144929]</t>
  </si>
  <si>
    <t>Cc2d1a</t>
  </si>
  <si>
    <t>coiled-coil and C2 domain containing 1A [Source:MGI Symbol;Acc:MGI:2384831]</t>
  </si>
  <si>
    <t>Dr1</t>
  </si>
  <si>
    <t>down-regulator of transcription 1 [Source:MGI Symbol;Acc:MGI:1100515]</t>
  </si>
  <si>
    <t>F10</t>
  </si>
  <si>
    <t>coagulation factor X [Source:MGI Symbol;Acc:MGI:103107]</t>
  </si>
  <si>
    <t>Scyl2</t>
  </si>
  <si>
    <t>SCY1-like 2 (S. cerevisiae) [Source:MGI Symbol;Acc:MGI:1289172]</t>
  </si>
  <si>
    <t>Gm43064</t>
  </si>
  <si>
    <t>predicted gene 43064 [Source:MGI Symbol;Acc:MGI:5663201]</t>
  </si>
  <si>
    <t>Xrcc2</t>
  </si>
  <si>
    <t>X-ray repair complementing defective repair in Chinese hamster cells 2 [Source:MGI Symbol;Acc:MGI:1927345]</t>
  </si>
  <si>
    <t>Slc9a8</t>
  </si>
  <si>
    <t>solute carrier family 9 (sodium/hydrogen exchanger), member 8 [Source:MGI Symbol;Acc:MGI:1924281]</t>
  </si>
  <si>
    <t>Dele1</t>
  </si>
  <si>
    <t>DAP3 binding cell death enhancer 1 [Source:MGI Symbol;Acc:MGI:1914089]</t>
  </si>
  <si>
    <t>Eps8</t>
  </si>
  <si>
    <t>epidermal growth factor receptor pathway substrate 8 [Source:MGI Symbol;Acc:MGI:104684]</t>
  </si>
  <si>
    <t>Wdr43</t>
  </si>
  <si>
    <t>WD repeat domain 43 [Source:MGI Symbol;Acc:MGI:1919765]</t>
  </si>
  <si>
    <t>Mtfp1</t>
  </si>
  <si>
    <t>mitochondrial fission process 1 [Source:MGI Symbol;Acc:MGI:1916686]</t>
  </si>
  <si>
    <t>Klhl42</t>
  </si>
  <si>
    <t>kelch-like 42 [Source:MGI Symbol;Acc:MGI:2444786]</t>
  </si>
  <si>
    <t>Gmfb</t>
  </si>
  <si>
    <t>glia maturation factor, beta [Source:MGI Symbol;Acc:MGI:1927133]</t>
  </si>
  <si>
    <t>Actr1b</t>
  </si>
  <si>
    <t>ARP1 actin-related protein 1B, centractin beta [Source:MGI Symbol;Acc:MGI:1917446]</t>
  </si>
  <si>
    <t>Taf6</t>
  </si>
  <si>
    <t>TATA-box binding protein associated factor 6 [Source:MGI Symbol;Acc:MGI:109129]</t>
  </si>
  <si>
    <t>Tex9</t>
  </si>
  <si>
    <t>testis expressed gene 9 [Source:MGI Symbol;Acc:MGI:1201610]</t>
  </si>
  <si>
    <t>Anapc1</t>
  </si>
  <si>
    <t>anaphase promoting complex subunit 1 [Source:MGI Symbol;Acc:MGI:103097]</t>
  </si>
  <si>
    <t>Ddx3x</t>
  </si>
  <si>
    <t>DEAD/H (Asp-Glu-Ala-Asp/His) box polypeptide 3, X-linked [Source:MGI Symbol;Acc:MGI:103064]</t>
  </si>
  <si>
    <t>Rffl</t>
  </si>
  <si>
    <t>ring finger and FYVE like domain containing protein [Source:MGI Symbol;Acc:MGI:1914588]</t>
  </si>
  <si>
    <t>Rhbdd1</t>
  </si>
  <si>
    <t>rhomboid domain containing 1 [Source:MGI Symbol;Acc:MGI:1924117]</t>
  </si>
  <si>
    <t>Dpy19l4</t>
  </si>
  <si>
    <t>dpy-19-like 4 (C. elegans) [Source:MGI Symbol;Acc:MGI:2685869]</t>
  </si>
  <si>
    <t>Sipa1l1</t>
  </si>
  <si>
    <t>signal-induced proliferation-associated 1 like 1 [Source:MGI Symbol;Acc:MGI:2443679]</t>
  </si>
  <si>
    <t>Csf1</t>
  </si>
  <si>
    <t>colony stimulating factor 1 (macrophage) [Source:MGI Symbol;Acc:MGI:1339753]</t>
  </si>
  <si>
    <t>Spag9</t>
  </si>
  <si>
    <t>sperm associated antigen 9 [Source:MGI Symbol;Acc:MGI:1918084]</t>
  </si>
  <si>
    <t>Calm1</t>
  </si>
  <si>
    <t>calmodulin 1 [Source:MGI Symbol;Acc:MGI:88251]</t>
  </si>
  <si>
    <t>Slc22a4</t>
  </si>
  <si>
    <t>solute carrier family 22 (organic cation transporter), member 4 [Source:MGI Symbol;Acc:MGI:1353479]</t>
  </si>
  <si>
    <t>Srpr</t>
  </si>
  <si>
    <t>signal recognition particle receptor ('docking protein') [Source:MGI Symbol;Acc:MGI:1914648]</t>
  </si>
  <si>
    <t>Treml2</t>
  </si>
  <si>
    <t>triggering receptor expressed on myeloid cells-like 2 [Source:MGI Symbol;Acc:MGI:2147038]</t>
  </si>
  <si>
    <t>Gm38339</t>
  </si>
  <si>
    <t>predicted gene, 38339 [Source:MGI Symbol;Acc:MGI:5611567]</t>
  </si>
  <si>
    <t>Tmem39a</t>
  </si>
  <si>
    <t>transmembrane protein 39a [Source:MGI Symbol;Acc:MGI:1915096]</t>
  </si>
  <si>
    <t>Gnb1l</t>
  </si>
  <si>
    <t>guanine nucleotide binding protein (G protein), beta polypeptide 1-like [Source:MGI Symbol;Acc:MGI:1338057]</t>
  </si>
  <si>
    <t>Cdc37</t>
  </si>
  <si>
    <t>cell division cycle 37 [Source:MGI Symbol;Acc:MGI:109531]</t>
  </si>
  <si>
    <t>Hectd2</t>
  </si>
  <si>
    <t>HECT domain E3 ubiquitin protein ligase 2 [Source:MGI Symbol;Acc:MGI:2442663]</t>
  </si>
  <si>
    <t>Fzd5</t>
  </si>
  <si>
    <t>frizzled class receptor 5 [Source:MGI Symbol;Acc:MGI:108571]</t>
  </si>
  <si>
    <t>Scarb2</t>
  </si>
  <si>
    <t>scavenger receptor class B, member 2 [Source:MGI Symbol;Acc:MGI:1196458]</t>
  </si>
  <si>
    <t>Ifngr1</t>
  </si>
  <si>
    <t>interferon gamma receptor 1 [Source:MGI Symbol;Acc:MGI:107655]</t>
  </si>
  <si>
    <t>Pgm2l1</t>
  </si>
  <si>
    <t>phosphoglucomutase 2-like 1 [Source:MGI Symbol;Acc:MGI:1918224]</t>
  </si>
  <si>
    <t>Pkd2</t>
  </si>
  <si>
    <t>polycystin 2, transient receptor potential cation channel [Source:MGI Symbol;Acc:MGI:1099818]</t>
  </si>
  <si>
    <t>Slc8a2</t>
  </si>
  <si>
    <t>solute carrier family 8 (sodium/calcium exchanger), member 2 [Source:MGI Symbol;Acc:MGI:107996]</t>
  </si>
  <si>
    <t>Slc6a8</t>
  </si>
  <si>
    <t>solute carrier family 6 (neurotransmitter transporter, creatine), member 8 [Source:MGI Symbol;Acc:MGI:2147834]</t>
  </si>
  <si>
    <t>Kifbp</t>
  </si>
  <si>
    <t>kinesin family binding protein [Source:MGI Symbol;Acc:MGI:1919570]</t>
  </si>
  <si>
    <t>Smyd3</t>
  </si>
  <si>
    <t>SET and MYND domain containing 3 [Source:MGI Symbol;Acc:MGI:1916976]</t>
  </si>
  <si>
    <t>Galnt10</t>
  </si>
  <si>
    <t>polypeptide N-acetylgalactosaminyltransferase 10 [Source:MGI Symbol;Acc:MGI:1890480]</t>
  </si>
  <si>
    <t>Arsg</t>
  </si>
  <si>
    <t>arylsulfatase G [Source:MGI Symbol;Acc:MGI:1921258]</t>
  </si>
  <si>
    <t>Zfp444</t>
  </si>
  <si>
    <t>zinc finger protein 444 [Source:MGI Symbol;Acc:MGI:1923365]</t>
  </si>
  <si>
    <t>Tle5</t>
  </si>
  <si>
    <t>TLE family member 5, transcriptional modulator [Source:MGI Symbol;Acc:MGI:95806]</t>
  </si>
  <si>
    <t>Ncaph</t>
  </si>
  <si>
    <t>non-SMC condensin I complex, subunit H [Source:MGI Symbol;Acc:MGI:2444777]</t>
  </si>
  <si>
    <t>Tmem129</t>
  </si>
  <si>
    <t>transmembrane protein 129 [Source:MGI Symbol;Acc:MGI:1915616]</t>
  </si>
  <si>
    <t>Xndc1</t>
  </si>
  <si>
    <t>Xrcc1 N-terminal domain containing 1 [Source:MGI Symbol;Acc:MGI:5546359]</t>
  </si>
  <si>
    <t>Myo1f</t>
  </si>
  <si>
    <t>myosin IF [Source:MGI Symbol;Acc:MGI:107711]</t>
  </si>
  <si>
    <t>Gm21399</t>
  </si>
  <si>
    <t>predicted gene, 21399 [Source:MGI Symbol;Acc:MGI:5434754]</t>
  </si>
  <si>
    <t>Ccdc88b</t>
  </si>
  <si>
    <t>coiled-coil domain containing 88B [Source:MGI Symbol;Acc:MGI:1925567]</t>
  </si>
  <si>
    <t>Cdkn1b</t>
  </si>
  <si>
    <t>cyclin-dependent kinase inhibitor 1B [Source:MGI Symbol;Acc:MGI:104565]</t>
  </si>
  <si>
    <t>Stmn1</t>
  </si>
  <si>
    <t>stathmin 1 [Source:MGI Symbol;Acc:MGI:96739]</t>
  </si>
  <si>
    <t>Faap100</t>
  </si>
  <si>
    <t>Fanconi anemia core complex associated protein 100 [Source:MGI Symbol;Acc:MGI:1919135]</t>
  </si>
  <si>
    <t>Rrn3</t>
  </si>
  <si>
    <t>RRN3 RNA polymerase I transcription factor homolog (yeast) [Source:MGI Symbol;Acc:MGI:1925255]</t>
  </si>
  <si>
    <t>Efna1</t>
  </si>
  <si>
    <t>ephrin A1 [Source:MGI Symbol;Acc:MGI:103236]</t>
  </si>
  <si>
    <t>Ms4a6c</t>
  </si>
  <si>
    <t>membrane-spanning 4-domains, subfamily A, member 6C [Source:MGI Symbol;Acc:MGI:2385644]</t>
  </si>
  <si>
    <t>Hadh</t>
  </si>
  <si>
    <t>hydroxyacyl-Coenzyme A dehydrogenase [Source:MGI Symbol;Acc:MGI:96009]</t>
  </si>
  <si>
    <t>Safb2</t>
  </si>
  <si>
    <t>scaffold attachment factor B2 [Source:MGI Symbol;Acc:MGI:2146808]</t>
  </si>
  <si>
    <t>Mb21d2</t>
  </si>
  <si>
    <t>Mab-21 domain containing 2 [Source:MGI Symbol;Acc:MGI:1917028]</t>
  </si>
  <si>
    <t>Kdm6b</t>
  </si>
  <si>
    <t>KDM1 lysine (K)-specific demethylase 6B [Source:MGI Symbol;Acc:MGI:2448492]</t>
  </si>
  <si>
    <t>Gm10425</t>
  </si>
  <si>
    <t>predicted gene 10425 [Source:MGI Symbol;Acc:MGI:3642471]</t>
  </si>
  <si>
    <t>Usp16</t>
  </si>
  <si>
    <t>ubiquitin specific peptidase 16 [Source:MGI Symbol;Acc:MGI:1921362]</t>
  </si>
  <si>
    <t>Mettl7a1</t>
  </si>
  <si>
    <t>methyltransferase like 7A1 [Source:MGI Symbol;Acc:MGI:1916523]</t>
  </si>
  <si>
    <t>Ciao2b</t>
  </si>
  <si>
    <t>cytosolic iron-sulfur assembly component 2B [Source:MGI Symbol;Acc:MGI:1915773]</t>
  </si>
  <si>
    <t>Pa2g4</t>
  </si>
  <si>
    <t>proliferation-associated 2G4 [Source:MGI Symbol;Acc:MGI:894684]</t>
  </si>
  <si>
    <t>Pla1a</t>
  </si>
  <si>
    <t>phospholipase A1 member A [Source:MGI Symbol;Acc:MGI:1934677]</t>
  </si>
  <si>
    <t>Foxd2os</t>
  </si>
  <si>
    <t>forkhead box D2, opposite strand [Source:MGI Symbol;Acc:MGI:2444065]</t>
  </si>
  <si>
    <t>Coq9</t>
  </si>
  <si>
    <t>coenzyme Q9 [Source:MGI Symbol;Acc:MGI:1915164]</t>
  </si>
  <si>
    <t>Scrn3</t>
  </si>
  <si>
    <t>secernin 3 [Source:MGI Symbol;Acc:MGI:1921866]</t>
  </si>
  <si>
    <t>Cdk9</t>
  </si>
  <si>
    <t>cyclin-dependent kinase 9 (CDC2-related kinase) [Source:MGI Symbol;Acc:MGI:1328368]</t>
  </si>
  <si>
    <t>Neil2</t>
  </si>
  <si>
    <t>nei like 2 (E. coli) [Source:MGI Symbol;Acc:MGI:2686058]</t>
  </si>
  <si>
    <t>Gnai3</t>
  </si>
  <si>
    <t>guanine nucleotide binding protein (G protein), alpha inhibiting 3 [Source:MGI Symbol;Acc:MGI:95773]</t>
  </si>
  <si>
    <t>Ythdc1</t>
  </si>
  <si>
    <t>YTH domain containing 1 [Source:MGI Symbol;Acc:MGI:2443713]</t>
  </si>
  <si>
    <t>Agpat1</t>
  </si>
  <si>
    <t>1-acylglycerol-3-phosphate O-acyltransferase 1 (lysophosphatidic acid acyltransferase, alpha) [Source:MGI Symbol;Acc:MGI:1932075]</t>
  </si>
  <si>
    <t>Taf1</t>
  </si>
  <si>
    <t>TATA-box binding protein associated factor 1 [Source:MGI Symbol;Acc:MGI:1336878]</t>
  </si>
  <si>
    <t>Mmut</t>
  </si>
  <si>
    <t>methylmalonyl-Coenzyme A mutase [Source:MGI Symbol;Acc:MGI:97239]</t>
  </si>
  <si>
    <t>Smyd4</t>
  </si>
  <si>
    <t>SET and MYND domain containing 4 [Source:MGI Symbol;Acc:MGI:2442796]</t>
  </si>
  <si>
    <t>Arhgef40</t>
  </si>
  <si>
    <t>Rho guanine nucleotide exchange factor (GEF) 40 [Source:MGI Symbol;Acc:MGI:2685515]</t>
  </si>
  <si>
    <t>Fam76b</t>
  </si>
  <si>
    <t>family with sequence similarity 76, member B [Source:MGI Symbol;Acc:MGI:1920076]</t>
  </si>
  <si>
    <t>Furin</t>
  </si>
  <si>
    <t>furin (paired basic amino acid cleaving enzyme) [Source:MGI Symbol;Acc:MGI:97513]</t>
  </si>
  <si>
    <t>Lzts2</t>
  </si>
  <si>
    <t>leucine zipper, putative tumor suppressor 2 [Source:MGI Symbol;Acc:MGI:2385095]</t>
  </si>
  <si>
    <t>Ddx39b</t>
  </si>
  <si>
    <t>DEAD (Asp-Glu-Ala-Asp) box polypeptide 39B [Source:MGI Symbol;Acc:MGI:99240]</t>
  </si>
  <si>
    <t>Ywhag</t>
  </si>
  <si>
    <t>tyrosine 3-monooxygenase/tryptophan 5-monooxygenase activation protein, gamma polypeptide [Source:MGI Symbol;Acc:MGI:108109]</t>
  </si>
  <si>
    <t>Trim28</t>
  </si>
  <si>
    <t>tripartite motif-containing 28 [Source:MGI Symbol;Acc:MGI:109274]</t>
  </si>
  <si>
    <t>Btbd3</t>
  </si>
  <si>
    <t>BTB (POZ) domain containing 3 [Source:MGI Symbol;Acc:MGI:2385155]</t>
  </si>
  <si>
    <t>Rab18</t>
  </si>
  <si>
    <t>RAB18, member RAS oncogene family [Source:MGI Symbol;Acc:MGI:102790]</t>
  </si>
  <si>
    <t>Zfp319</t>
  </si>
  <si>
    <t>zinc finger protein 319 [Source:MGI Symbol;Acc:MGI:1890618]</t>
  </si>
  <si>
    <t>Prim1</t>
  </si>
  <si>
    <t>DNA primase, p49 subunit [Source:MGI Symbol;Acc:MGI:97757]</t>
  </si>
  <si>
    <t>Siae</t>
  </si>
  <si>
    <t>sialic acid acetylesterase [Source:MGI Symbol;Acc:MGI:104803]</t>
  </si>
  <si>
    <t>Tango2</t>
  </si>
  <si>
    <t>transport and golgi organization 2 [Source:MGI Symbol;Acc:MGI:101825]</t>
  </si>
  <si>
    <t>Phf23</t>
  </si>
  <si>
    <t>PHD finger protein 23 [Source:MGI Symbol;Acc:MGI:1925496]</t>
  </si>
  <si>
    <t>Slc44a1</t>
  </si>
  <si>
    <t>solute carrier family 44, member 1 [Source:MGI Symbol;Acc:MGI:2140592]</t>
  </si>
  <si>
    <t>Slc25a36</t>
  </si>
  <si>
    <t>solute carrier family 25, member 36 [Source:MGI Symbol;Acc:MGI:1924909]</t>
  </si>
  <si>
    <t>Psme2b</t>
  </si>
  <si>
    <t>protease (prosome, macropain) activator subunit 2B [Source:MGI Symbol;Acc:MGI:1341073]</t>
  </si>
  <si>
    <t>Gtf2f1</t>
  </si>
  <si>
    <t>general transcription factor IIF, polypeptide 1 [Source:MGI Symbol;Acc:MGI:1923848]</t>
  </si>
  <si>
    <t>Fanci</t>
  </si>
  <si>
    <t>Fanconi anemia, complementation group I [Source:MGI Symbol;Acc:MGI:2384790]</t>
  </si>
  <si>
    <t>Zmym1</t>
  </si>
  <si>
    <t>zinc finger, MYM domain containing 1 [Source:MGI Symbol;Acc:MGI:1915560]</t>
  </si>
  <si>
    <t>Manbal</t>
  </si>
  <si>
    <t>mannosidase, beta A, lysosomal-like [Source:MGI Symbol;Acc:MGI:1916411]</t>
  </si>
  <si>
    <t>Uri1</t>
  </si>
  <si>
    <t>URI1, prefoldin-like chaperone [Source:MGI Symbol;Acc:MGI:1342294]</t>
  </si>
  <si>
    <t>Cdca7</t>
  </si>
  <si>
    <t>cell division cycle associated 7 [Source:MGI Symbol;Acc:MGI:1914203]</t>
  </si>
  <si>
    <t>Slc25a44</t>
  </si>
  <si>
    <t>solute carrier family 25, member 44 [Source:MGI Symbol;Acc:MGI:2444391]</t>
  </si>
  <si>
    <t>Nphp4</t>
  </si>
  <si>
    <t>nephronophthisis 4 (juvenile) homolog (human) [Source:MGI Symbol;Acc:MGI:2384210]</t>
  </si>
  <si>
    <t>Crem</t>
  </si>
  <si>
    <t>cAMP responsive element modulator [Source:MGI Symbol;Acc:MGI:88495]</t>
  </si>
  <si>
    <t>2010008C14Rik</t>
  </si>
  <si>
    <t>RIKEN cDNA 2010008C14 gene [Source:MGI Symbol;Acc:MGI:1917109]</t>
  </si>
  <si>
    <t>Scfd1</t>
  </si>
  <si>
    <t>Sec1 family domain containing 1 [Source:MGI Symbol;Acc:MGI:1924233]</t>
  </si>
  <si>
    <t>D1Ertd622e</t>
  </si>
  <si>
    <t>DNA segment, Chr 1, ERATO Doi 622, expressed [Source:MGI Symbol;Acc:MGI:1277184]</t>
  </si>
  <si>
    <t>Kdm7a</t>
  </si>
  <si>
    <t>lysine (K)-specific demethylase 7A [Source:MGI Symbol;Acc:MGI:2443388]</t>
  </si>
  <si>
    <t>Tut7</t>
  </si>
  <si>
    <t>terminal uridylyl transferase 7 [Source:MGI Symbol;Acc:MGI:2387179]</t>
  </si>
  <si>
    <t>Tnfrsf1a</t>
  </si>
  <si>
    <t>tumor necrosis factor receptor superfamily, member 1a [Source:MGI Symbol;Acc:MGI:1314884]</t>
  </si>
  <si>
    <t>Ndufaf7</t>
  </si>
  <si>
    <t>NADH:ubiquinone oxidoreductase complex assembly factor 7 [Source:MGI Symbol;Acc:MGI:1920944]</t>
  </si>
  <si>
    <t>Cbx4</t>
  </si>
  <si>
    <t>chromobox 4 [Source:MGI Symbol;Acc:MGI:1195985]</t>
  </si>
  <si>
    <t>Bdh1</t>
  </si>
  <si>
    <t>3-hydroxybutyrate dehydrogenase, type 1 [Source:MGI Symbol;Acc:MGI:1919161]</t>
  </si>
  <si>
    <t>Patz1</t>
  </si>
  <si>
    <t>POZ (BTB) and AT hook containing zinc finger 1 [Source:MGI Symbol;Acc:MGI:1891832]</t>
  </si>
  <si>
    <t>Cep57</t>
  </si>
  <si>
    <t>centrosomal protein 57 [Source:MGI Symbol;Acc:MGI:1915551]</t>
  </si>
  <si>
    <t>Ncl</t>
  </si>
  <si>
    <t>nucleolin [Source:MGI Symbol;Acc:MGI:97286]</t>
  </si>
  <si>
    <t>Kif7</t>
  </si>
  <si>
    <t>kinesin family member 7 [Source:MGI Symbol;Acc:MGI:1098239]</t>
  </si>
  <si>
    <t>Smc6</t>
  </si>
  <si>
    <t>structural maintenance of chromosomes 6 [Source:MGI Symbol;Acc:MGI:1914491]</t>
  </si>
  <si>
    <t>4933432I03Rik</t>
  </si>
  <si>
    <t>RIKEN cDNA 4933432I03 gene [Source:MGI Symbol;Acc:MGI:1918514]</t>
  </si>
  <si>
    <t>Mmgt2</t>
  </si>
  <si>
    <t>membrane magnesium transporter 2 [Source:MGI Symbol;Acc:MGI:2448491]</t>
  </si>
  <si>
    <t>Myo1e</t>
  </si>
  <si>
    <t>myosin IE [Source:MGI Symbol;Acc:MGI:106621]</t>
  </si>
  <si>
    <t>Ly6e</t>
  </si>
  <si>
    <t>lymphocyte antigen 6 complex, locus E [Source:MGI Symbol;Acc:MGI:106651]</t>
  </si>
  <si>
    <t>Arfgef3</t>
  </si>
  <si>
    <t>ARFGEF family member 3 [Source:MGI Symbol;Acc:MGI:106387]</t>
  </si>
  <si>
    <t>Hs2st1</t>
  </si>
  <si>
    <t>heparan sulfate 2-O-sulfotransferase 1 [Source:MGI Symbol;Acc:MGI:1346049]</t>
  </si>
  <si>
    <t>Cic</t>
  </si>
  <si>
    <t>capicua transcriptional repressor [Source:MGI Symbol;Acc:MGI:1918972]</t>
  </si>
  <si>
    <t>1700066M21Rik</t>
  </si>
  <si>
    <t>RIKEN cDNA 1700066M21 gene [Source:MGI Symbol;Acc:MGI:1920717]</t>
  </si>
  <si>
    <t>Hspa9</t>
  </si>
  <si>
    <t>heat shock protein 9 [Source:MGI Symbol;Acc:MGI:96245]</t>
  </si>
  <si>
    <t>Gbe1</t>
  </si>
  <si>
    <t>glucan (1,4-alpha-), branching enzyme 1 [Source:MGI Symbol;Acc:MGI:1921435]</t>
  </si>
  <si>
    <t>Polr3k</t>
  </si>
  <si>
    <t>polymerase (RNA) III (DNA directed) polypeptide K [Source:MGI Symbol;Acc:MGI:1914255]</t>
  </si>
  <si>
    <t>P2rx4</t>
  </si>
  <si>
    <t>purinergic receptor P2X, ligand-gated ion channel 4 [Source:MGI Symbol;Acc:MGI:1338859]</t>
  </si>
  <si>
    <t>Ldlrad3</t>
  </si>
  <si>
    <t>low density lipoprotein receptor class A domain containing 3 [Source:MGI Symbol;Acc:MGI:2138856]</t>
  </si>
  <si>
    <t>Cep128</t>
  </si>
  <si>
    <t>centrosomal protein 128 [Source:MGI Symbol;Acc:MGI:1922466]</t>
  </si>
  <si>
    <t>F3</t>
  </si>
  <si>
    <t>coagulation factor III [Source:MGI Symbol;Acc:MGI:88381]</t>
  </si>
  <si>
    <t>Dhrs7</t>
  </si>
  <si>
    <t>dehydrogenase/reductase (SDR family) member 7 [Source:MGI Symbol;Acc:MGI:1913625]</t>
  </si>
  <si>
    <t>Rapgef1</t>
  </si>
  <si>
    <t>Rap guanine nucleotide exchange factor (GEF) 1 [Source:MGI Symbol;Acc:MGI:104580]</t>
  </si>
  <si>
    <t>Polg</t>
  </si>
  <si>
    <t>polymerase (DNA directed), gamma [Source:MGI Symbol;Acc:MGI:1196389]</t>
  </si>
  <si>
    <t>Igip</t>
  </si>
  <si>
    <t>IgA inducing protein [Source:MGI Symbol;Acc:MGI:1924271]</t>
  </si>
  <si>
    <t>Hcn2</t>
  </si>
  <si>
    <t>hyperpolarization-activated, cyclic nucleotide-gated K+ 2 [Source:MGI Symbol;Acc:MGI:1298210]</t>
  </si>
  <si>
    <t>Yme1l1</t>
  </si>
  <si>
    <t>YME1-like 1 (S. cerevisiae) [Source:MGI Symbol;Acc:MGI:1351651]</t>
  </si>
  <si>
    <t>Dmpk</t>
  </si>
  <si>
    <t>dystrophia myotonica-protein kinase [Source:MGI Symbol;Acc:MGI:94906]</t>
  </si>
  <si>
    <t>Abcc4</t>
  </si>
  <si>
    <t>ATP-binding cassette, sub-family C (CFTR/MRP), member 4 [Source:MGI Symbol;Acc:MGI:2443111]</t>
  </si>
  <si>
    <t>Stil</t>
  </si>
  <si>
    <t>Scl/Tal1 interrupting locus [Source:MGI Symbol;Acc:MGI:107477]</t>
  </si>
  <si>
    <t>Zkscan17</t>
  </si>
  <si>
    <t>zinc finger with KRAB and SCAN domains 17 [Source:MGI Symbol;Acc:MGI:2679270]</t>
  </si>
  <si>
    <t>Khnyn</t>
  </si>
  <si>
    <t>KH and NYN domain containing [Source:MGI Symbol;Acc:MGI:2451333]</t>
  </si>
  <si>
    <t>Fance</t>
  </si>
  <si>
    <t>Fanconi anemia, complementation group E [Source:MGI Symbol;Acc:MGI:1920025]</t>
  </si>
  <si>
    <t>Trappc5</t>
  </si>
  <si>
    <t>trafficking protein particle complex 5 [Source:MGI Symbol;Acc:MGI:1913932]</t>
  </si>
  <si>
    <t>Il4ra</t>
  </si>
  <si>
    <t>interleukin 4 receptor, alpha [Source:MGI Symbol;Acc:MGI:105367]</t>
  </si>
  <si>
    <t>Pxmp4</t>
  </si>
  <si>
    <t>peroxisomal membrane protein 4 [Source:MGI Symbol;Acc:MGI:1891701]</t>
  </si>
  <si>
    <t>Rmc1</t>
  </si>
  <si>
    <t>regulator of MON1-CCZ1 [Source:MGI Symbol;Acc:MGI:1916528]</t>
  </si>
  <si>
    <t>Slc36a2</t>
  </si>
  <si>
    <t>solute carrier family 36 (proton/amino acid symporter), member 2 [Source:MGI Symbol;Acc:MGI:1891430]</t>
  </si>
  <si>
    <t>Galnt2l</t>
  </si>
  <si>
    <t>polypeptide N-acetylgalactosaminyltransferase 2-like [Source:MGI Symbol;Acc:MGI:5141853]</t>
  </si>
  <si>
    <t>Hunk</t>
  </si>
  <si>
    <t>hormonally upregulated Neu-associated kinase [Source:MGI Symbol;Acc:MGI:1347352]</t>
  </si>
  <si>
    <t>Senp7</t>
  </si>
  <si>
    <t>SUMO1/sentrin specific peptidase 7 [Source:MGI Symbol;Acc:MGI:1913565]</t>
  </si>
  <si>
    <t>Cbx7</t>
  </si>
  <si>
    <t>chromobox 7 [Source:MGI Symbol;Acc:MGI:1196439]</t>
  </si>
  <si>
    <t>Dlgap2</t>
  </si>
  <si>
    <t>DLG associated protein 2 [Source:MGI Symbol;Acc:MGI:2443181]</t>
  </si>
  <si>
    <t>Xntrpc</t>
  </si>
  <si>
    <t>Xndc1-transient receptor potential cation channel, subfamily C, member 2 readthrough [Source:MGI Symbol;Acc:MGI:5546370]</t>
  </si>
  <si>
    <t>Tssc4</t>
  </si>
  <si>
    <t>tumor-suppressing subchromosomal transferable fragment 4 [Source:MGI Symbol;Acc:MGI:1861712]</t>
  </si>
  <si>
    <t>Plekhn1</t>
  </si>
  <si>
    <t>pleckstrin homology domain containing, family N member 1 [Source:MGI Symbol;Acc:MGI:2387630]</t>
  </si>
  <si>
    <t>Srd5a1</t>
  </si>
  <si>
    <t>steroid 5 alpha-reductase 1 [Source:MGI Symbol;Acc:MGI:98400]</t>
  </si>
  <si>
    <t>Gm28875</t>
  </si>
  <si>
    <t>predicted gene 28875 [Source:MGI Symbol;Acc:MGI:5579581]</t>
  </si>
  <si>
    <t>Clcc1</t>
  </si>
  <si>
    <t>chloride channel CLIC-like 1 [Source:MGI Symbol;Acc:MGI:2385186]</t>
  </si>
  <si>
    <t>Rcor2</t>
  </si>
  <si>
    <t>REST corepressor 2 [Source:MGI Symbol;Acc:MGI:1859854]</t>
  </si>
  <si>
    <t>Palb2</t>
  </si>
  <si>
    <t>partner and localizer of BRCA2 [Source:MGI Symbol;Acc:MGI:3040695]</t>
  </si>
  <si>
    <t>Slc9a6</t>
  </si>
  <si>
    <t>solute carrier family 9 (sodium/hydrogen exchanger), member 6 [Source:MGI Symbol;Acc:MGI:2443511]</t>
  </si>
  <si>
    <t>Sp4</t>
  </si>
  <si>
    <t>trans-acting transcription factor 4 [Source:MGI Symbol;Acc:MGI:107595]</t>
  </si>
  <si>
    <t>Tfdp1</t>
  </si>
  <si>
    <t>transcription factor Dp 1 [Source:MGI Symbol;Acc:MGI:101934]</t>
  </si>
  <si>
    <t>Fkbp15</t>
  </si>
  <si>
    <t>FK506 binding protein 15 [Source:MGI Symbol;Acc:MGI:2444782]</t>
  </si>
  <si>
    <t>Sh3bp1</t>
  </si>
  <si>
    <t>SH3-domain binding protein 1 [Source:MGI Symbol;Acc:MGI:104603]</t>
  </si>
  <si>
    <t>Sik1</t>
  </si>
  <si>
    <t>salt inducible kinase 1 [Source:MGI Symbol;Acc:MGI:104754]</t>
  </si>
  <si>
    <t>Ssu72</t>
  </si>
  <si>
    <t>Ssu72 RNA polymerase II CTD phosphatase homolog (yeast) [Source:MGI Symbol;Acc:MGI:1916241]</t>
  </si>
  <si>
    <t>Arid1b</t>
  </si>
  <si>
    <t>AT rich interactive domain 1B (SWI-like) [Source:MGI Symbol;Acc:MGI:1926129]</t>
  </si>
  <si>
    <t>Ptpn11</t>
  </si>
  <si>
    <t>protein tyrosine phosphatase, non-receptor type 11 [Source:MGI Symbol;Acc:MGI:99511]</t>
  </si>
  <si>
    <t>Map4k4</t>
  </si>
  <si>
    <t>mitogen-activated protein kinase kinase kinase kinase 4 [Source:MGI Symbol;Acc:MGI:1349394]</t>
  </si>
  <si>
    <t>Lims2</t>
  </si>
  <si>
    <t>LIM and senescent cell antigen like domains 2 [Source:MGI Symbol;Acc:MGI:2385067]</t>
  </si>
  <si>
    <t>Mrpl34</t>
  </si>
  <si>
    <t>mitochondrial ribosomal protein L34 [Source:MGI Symbol;Acc:MGI:2137227]</t>
  </si>
  <si>
    <t>Ccdc9b</t>
  </si>
  <si>
    <t>coiled-coil domain containing 9B [Source:MGI Symbol;Acc:MGI:2685199]</t>
  </si>
  <si>
    <t>Vcam1</t>
  </si>
  <si>
    <t>vascular cell adhesion molecule 1 [Source:MGI Symbol;Acc:MGI:98926]</t>
  </si>
  <si>
    <t>Bbs12</t>
  </si>
  <si>
    <t>Bardet-Biedl syndrome 12 (human) [Source:MGI Symbol;Acc:MGI:2686651]</t>
  </si>
  <si>
    <t>AI839979</t>
  </si>
  <si>
    <t>expressed sequence AI839979 [Source:MGI Symbol;Acc:MGI:2140975]</t>
  </si>
  <si>
    <t>Map1b</t>
  </si>
  <si>
    <t>microtubule-associated protein 1B [Source:MGI Symbol;Acc:MGI:1306778]</t>
  </si>
  <si>
    <t>Slc35e4</t>
  </si>
  <si>
    <t>solute carrier family 35, member E4 [Source:MGI Symbol;Acc:MGI:2144150]</t>
  </si>
  <si>
    <t>Rabggtb</t>
  </si>
  <si>
    <t>Rab geranylgeranyl transferase, b subunit [Source:MGI Symbol;Acc:MGI:99537]</t>
  </si>
  <si>
    <t>Ccdc85b</t>
  </si>
  <si>
    <t>coiled-coil domain containing 85B [Source:MGI Symbol;Acc:MGI:2147607]</t>
  </si>
  <si>
    <t>Gbgt1</t>
  </si>
  <si>
    <t>globoside alpha-1,3-N-acetylgalactosaminyltransferase 1 [Source:MGI Symbol;Acc:MGI:2449143]</t>
  </si>
  <si>
    <t>Ktn1</t>
  </si>
  <si>
    <t>kinectin 1 [Source:MGI Symbol;Acc:MGI:109153]</t>
  </si>
  <si>
    <t>Wdr6</t>
  </si>
  <si>
    <t>WD repeat domain 6 [Source:MGI Symbol;Acc:MGI:1930140]</t>
  </si>
  <si>
    <t>Gm9833</t>
  </si>
  <si>
    <t>predicted gene 9833 [Source:MGI Symbol;Acc:MGI:3641855]</t>
  </si>
  <si>
    <t>Hyal2</t>
  </si>
  <si>
    <t>hyaluronoglucosaminidase 2 [Source:MGI Symbol;Acc:MGI:1196334]</t>
  </si>
  <si>
    <t>Ethe1</t>
  </si>
  <si>
    <t>ethylmalonic encephalopathy 1 [Source:MGI Symbol;Acc:MGI:1913321]</t>
  </si>
  <si>
    <t>Prss50</t>
  </si>
  <si>
    <t>protease, serine 50 [Source:MGI Symbol;Acc:MGI:2447303]</t>
  </si>
  <si>
    <t>Ipo7</t>
  </si>
  <si>
    <t>importin 7 [Source:MGI Symbol;Acc:MGI:2152414]</t>
  </si>
  <si>
    <t>Ttll5</t>
  </si>
  <si>
    <t>tubulin tyrosine ligase-like family, member 5 [Source:MGI Symbol;Acc:MGI:2443657]</t>
  </si>
  <si>
    <t>Cdk5rap3</t>
  </si>
  <si>
    <t>CDK5 regulatory subunit associated protein 3 [Source:MGI Symbol;Acc:MGI:1933126]</t>
  </si>
  <si>
    <t>Cd200r1</t>
  </si>
  <si>
    <t>CD200 receptor 1 [Source:MGI Symbol;Acc:MGI:1889024]</t>
  </si>
  <si>
    <t>Gprc5c</t>
  </si>
  <si>
    <t>G protein-coupled receptor, family C, group 5, member C [Source:MGI Symbol;Acc:MGI:1917605]</t>
  </si>
  <si>
    <t>Cd80</t>
  </si>
  <si>
    <t>CD80 antigen [Source:MGI Symbol;Acc:MGI:101775]</t>
  </si>
  <si>
    <t>Agap3</t>
  </si>
  <si>
    <t>ArfGAP with GTPase domain, ankyrin repeat and PH domain 3 [Source:MGI Symbol;Acc:MGI:2183446]</t>
  </si>
  <si>
    <t>Plekha5</t>
  </si>
  <si>
    <t>pleckstrin homology domain containing, family A member 5 [Source:MGI Symbol;Acc:MGI:1923802]</t>
  </si>
  <si>
    <t>Pcmtd1</t>
  </si>
  <si>
    <t>protein-L-isoaspartate (D-aspartate) O-methyltransferase domain containing 1 [Source:MGI Symbol;Acc:MGI:2441773]</t>
  </si>
  <si>
    <t>Gm47260</t>
  </si>
  <si>
    <t>predicted gene, 47260 [Source:MGI Symbol;Acc:MGI:6096093]</t>
  </si>
  <si>
    <t>Sphk2</t>
  </si>
  <si>
    <t>sphingosine kinase 2 [Source:MGI Symbol;Acc:MGI:1861380]</t>
  </si>
  <si>
    <t>Mocos</t>
  </si>
  <si>
    <t>molybdenum cofactor sulfurase [Source:MGI Symbol;Acc:MGI:1915841]</t>
  </si>
  <si>
    <t>Plxdc1</t>
  </si>
  <si>
    <t>plexin domain containing 1 [Source:MGI Symbol;Acc:MGI:1919574]</t>
  </si>
  <si>
    <t>AW549877</t>
  </si>
  <si>
    <t>expressed sequence AW549877 [Source:MGI Symbol;Acc:MGI:2146232]</t>
  </si>
  <si>
    <t>Slc30a5</t>
  </si>
  <si>
    <t>solute carrier family 30 (zinc transporter), member 5 [Source:MGI Symbol;Acc:MGI:1916298]</t>
  </si>
  <si>
    <t>Eif2s2</t>
  </si>
  <si>
    <t>eukaryotic translation initiation factor 2, subunit 2 (beta) [Source:MGI Symbol;Acc:MGI:1914454]</t>
  </si>
  <si>
    <t>Spaca9</t>
  </si>
  <si>
    <t>sperm acrosome associated 9 [Source:MGI Symbol;Acc:MGI:1917237]</t>
  </si>
  <si>
    <t>Pmf1</t>
  </si>
  <si>
    <t>polyamine-modulated factor 1 [Source:MGI Symbol;Acc:MGI:1914287]</t>
  </si>
  <si>
    <t>Wdr1</t>
  </si>
  <si>
    <t>WD repeat domain 1 [Source:MGI Symbol;Acc:MGI:1337100]</t>
  </si>
  <si>
    <t>Atf1</t>
  </si>
  <si>
    <t>activating transcription factor 1 [Source:MGI Symbol;Acc:MGI:1298366]</t>
  </si>
  <si>
    <t>Cenpw</t>
  </si>
  <si>
    <t>centromere protein W [Source:MGI Symbol;Acc:MGI:1913561]</t>
  </si>
  <si>
    <t>9330182L06Rik</t>
  </si>
  <si>
    <t>RIKEN cDNA 9330182L06 gene [Source:MGI Symbol;Acc:MGI:2443264]</t>
  </si>
  <si>
    <t>Terf2ip</t>
  </si>
  <si>
    <t>telomeric repeat binding factor 2, interacting protein [Source:MGI Symbol;Acc:MGI:1929871]</t>
  </si>
  <si>
    <t>Psmd1</t>
  </si>
  <si>
    <t>proteasome (prosome, macropain) 26S subunit, non-ATPase, 1 [Source:MGI Symbol;Acc:MGI:1917497]</t>
  </si>
  <si>
    <t>4933427D14Rik</t>
  </si>
  <si>
    <t>RIKEN cDNA 4933427D14 gene [Source:MGI Symbol;Acc:MGI:1921727]</t>
  </si>
  <si>
    <t>Zbtb32</t>
  </si>
  <si>
    <t>zinc finger and BTB domain containing 32 [Source:MGI Symbol;Acc:MGI:1891838]</t>
  </si>
  <si>
    <t>Lcor</t>
  </si>
  <si>
    <t>ligand dependent nuclear receptor corepressor [Source:MGI Symbol;Acc:MGI:2443930]</t>
  </si>
  <si>
    <t>Rab3d</t>
  </si>
  <si>
    <t>RAB3D, member RAS oncogene family [Source:MGI Symbol;Acc:MGI:97844]</t>
  </si>
  <si>
    <t>Plcb4</t>
  </si>
  <si>
    <t>phospholipase C, beta 4 [Source:MGI Symbol;Acc:MGI:107464]</t>
  </si>
  <si>
    <t>Olfr433</t>
  </si>
  <si>
    <t>olfactory receptor 433 [Source:MGI Symbol;Acc:MGI:3030267]</t>
  </si>
  <si>
    <t>Ccdc63</t>
  </si>
  <si>
    <t>coiled-coil domain containing 63 [Source:MGI Symbol;Acc:MGI:3607777]</t>
  </si>
  <si>
    <t>Mrs2</t>
  </si>
  <si>
    <t>MRS2 magnesium transporter [Source:MGI Symbol;Acc:MGI:2685748]</t>
  </si>
  <si>
    <t>Med7</t>
  </si>
  <si>
    <t>mediator complex subunit 7 [Source:MGI Symbol;Acc:MGI:1913463]</t>
  </si>
  <si>
    <t>Nsfl1c</t>
  </si>
  <si>
    <t>NSFL1 (p97) cofactor (p47) [Source:MGI Symbol;Acc:MGI:3042273]</t>
  </si>
  <si>
    <t>Pak1ip1</t>
  </si>
  <si>
    <t>PAK1 interacting protein 1 [Source:MGI Symbol;Acc:MGI:1915333]</t>
  </si>
  <si>
    <t>Ppp1r2</t>
  </si>
  <si>
    <t>protein phosphatase 1, regulatory inhibitor subunit 2 [Source:MGI Symbol;Acc:MGI:1914099]</t>
  </si>
  <si>
    <t>Bicdl1</t>
  </si>
  <si>
    <t>BICD family like cargo adaptor 1 [Source:MGI Symbol;Acc:MGI:1922915]</t>
  </si>
  <si>
    <t>Sacs</t>
  </si>
  <si>
    <t>sacsin [Source:MGI Symbol;Acc:MGI:1354724]</t>
  </si>
  <si>
    <t>Gm13230</t>
  </si>
  <si>
    <t>predicted gene 13230 [Source:MGI Symbol;Acc:MGI:3651934]</t>
  </si>
  <si>
    <t>Pttg1</t>
  </si>
  <si>
    <t>pituitary tumor-transforming gene 1 [Source:MGI Symbol;Acc:MGI:1353578]</t>
  </si>
  <si>
    <t>Slc38a7</t>
  </si>
  <si>
    <t>solute carrier family 38, member 7 [Source:MGI Symbol;Acc:MGI:2679005]</t>
  </si>
  <si>
    <t>Nphp3</t>
  </si>
  <si>
    <t>nephronophthisis 3 (adolescent) [Source:MGI Symbol;Acc:MGI:1921275]</t>
  </si>
  <si>
    <t>Abcb1a</t>
  </si>
  <si>
    <t>ATP-binding cassette, sub-family B (MDR/TAP), member 1A [Source:MGI Symbol;Acc:MGI:97570]</t>
  </si>
  <si>
    <t>Tmem107</t>
  </si>
  <si>
    <t>transmembrane protein 107 [Source:MGI Symbol;Acc:MGI:1914160]</t>
  </si>
  <si>
    <t>Rab28</t>
  </si>
  <si>
    <t>RAB28, member RAS oncogene family [Source:MGI Symbol;Acc:MGI:1917285]</t>
  </si>
  <si>
    <t>Agtrap</t>
  </si>
  <si>
    <t>angiotensin II, type I receptor-associated protein [Source:MGI Symbol;Acc:MGI:1339977]</t>
  </si>
  <si>
    <t>Cep72</t>
  </si>
  <si>
    <t>centrosomal protein 72 [Source:MGI Symbol;Acc:MGI:1921720]</t>
  </si>
  <si>
    <t>Cbx8</t>
  </si>
  <si>
    <t>chromobox 8 [Source:MGI Symbol;Acc:MGI:1353589]</t>
  </si>
  <si>
    <t>Mdc1</t>
  </si>
  <si>
    <t>mediator of DNA damage checkpoint 1 [Source:MGI Symbol;Acc:MGI:3525201]</t>
  </si>
  <si>
    <t>Rps6ka4</t>
  </si>
  <si>
    <t>ribosomal protein S6 kinase, polypeptide 4 [Source:MGI Symbol;Acc:MGI:1930076]</t>
  </si>
  <si>
    <t>Gins2</t>
  </si>
  <si>
    <t>GINS complex subunit 2 (Psf2 homolog) [Source:MGI Symbol;Acc:MGI:1921019]</t>
  </si>
  <si>
    <t>Crk</t>
  </si>
  <si>
    <t>v-crk avian sarcoma virus CT10 oncogene homolog [Source:MGI Symbol;Acc:MGI:88508]</t>
  </si>
  <si>
    <t>Cdt1</t>
  </si>
  <si>
    <t>chromatin licensing and DNA replication factor 1 [Source:MGI Symbol;Acc:MGI:1914427]</t>
  </si>
  <si>
    <t>Rif1</t>
  </si>
  <si>
    <t>replication timing regulatory factor 1 [Source:MGI Symbol;Acc:MGI:1098622]</t>
  </si>
  <si>
    <t>Fancb</t>
  </si>
  <si>
    <t>Fanconi anemia, complementation group B [Source:MGI Symbol;Acc:MGI:2448558]</t>
  </si>
  <si>
    <t>Ezh2</t>
  </si>
  <si>
    <t>enhancer of zeste 2 polycomb repressive complex 2 subunit [Source:MGI Symbol;Acc:MGI:107940]</t>
  </si>
  <si>
    <t>Blvrb</t>
  </si>
  <si>
    <t>biliverdin reductase B (flavin reductase (NADPH)) [Source:MGI Symbol;Acc:MGI:2385271]</t>
  </si>
  <si>
    <t>Galnt2</t>
  </si>
  <si>
    <t>polypeptide N-acetylgalactosaminyltransferase 2 [Source:MGI Symbol;Acc:MGI:894694]</t>
  </si>
  <si>
    <t>Stat5a</t>
  </si>
  <si>
    <t>signal transducer and activator of transcription 5A [Source:MGI Symbol;Acc:MGI:103036]</t>
  </si>
  <si>
    <t>Trp53</t>
  </si>
  <si>
    <t>transformation related protein 53 [Source:MGI Symbol;Acc:MGI:98834]</t>
  </si>
  <si>
    <t>Pimreg</t>
  </si>
  <si>
    <t>PICALM interacting mitotic regulator [Source:MGI Symbol;Acc:MGI:1924434]</t>
  </si>
  <si>
    <t>Alox5ap</t>
  </si>
  <si>
    <t>arachidonate 5-lipoxygenase activating protein [Source:MGI Symbol;Acc:MGI:107505]</t>
  </si>
  <si>
    <t>Rnf115</t>
  </si>
  <si>
    <t>ring finger protein 115 [Source:MGI Symbol;Acc:MGI:1915095]</t>
  </si>
  <si>
    <t>Ccar2</t>
  </si>
  <si>
    <t>cell cycle activator and apoptosis regulator 2 [Source:MGI Symbol;Acc:MGI:2444228]</t>
  </si>
  <si>
    <t>Trim46</t>
  </si>
  <si>
    <t>tripartite motif-containing 46 [Source:MGI Symbol;Acc:MGI:2673000]</t>
  </si>
  <si>
    <t>Csnk1e</t>
  </si>
  <si>
    <t>casein kinase 1, epsilon [Source:MGI Symbol;Acc:MGI:1351660]</t>
  </si>
  <si>
    <t>Mthfd2</t>
  </si>
  <si>
    <t>methylenetetrahydrofolate dehydrogenase (NAD+ dependent), methenyltetrahydrofolate cyclohydrolase [Source:MGI Symbol;Acc:MGI:1338850]</t>
  </si>
  <si>
    <t>Slc9a1</t>
  </si>
  <si>
    <t>solute carrier family 9 (sodium/hydrogen exchanger), member 1 [Source:MGI Symbol;Acc:MGI:102462]</t>
  </si>
  <si>
    <t>Zbed3</t>
  </si>
  <si>
    <t>zinc finger, BED type containing 3 [Source:MGI Symbol;Acc:MGI:1919364]</t>
  </si>
  <si>
    <t>Wdr35</t>
  </si>
  <si>
    <t>WD repeat domain 35 [Source:MGI Symbol;Acc:MGI:1921932]</t>
  </si>
  <si>
    <t>Tax1bp1</t>
  </si>
  <si>
    <t>Tax1 (human T cell leukemia virus type I) binding protein 1 [Source:MGI Symbol;Acc:MGI:1289308]</t>
  </si>
  <si>
    <t>Slc43a2</t>
  </si>
  <si>
    <t>solute carrier family 43, member 2 [Source:MGI Symbol;Acc:MGI:2442746]</t>
  </si>
  <si>
    <t>Zkscan14</t>
  </si>
  <si>
    <t>zinc finger with KRAB and SCAN domains 14 [Source:MGI Symbol;Acc:MGI:1914485]</t>
  </si>
  <si>
    <t>Cbx2</t>
  </si>
  <si>
    <t>chromobox 2 [Source:MGI Symbol;Acc:MGI:88289]</t>
  </si>
  <si>
    <t>Fam49b</t>
  </si>
  <si>
    <t>family with sequence similarity 49, member B [Source:MGI Symbol;Acc:MGI:1923520]</t>
  </si>
  <si>
    <t>Gm5431</t>
  </si>
  <si>
    <t>predicted gene 5431 [Source:MGI Symbol;Acc:MGI:3645205]</t>
  </si>
  <si>
    <t>Myh10</t>
  </si>
  <si>
    <t>myosin, heavy polypeptide 10, non-muscle [Source:MGI Symbol;Acc:MGI:1930780]</t>
  </si>
  <si>
    <t>Cirbp</t>
  </si>
  <si>
    <t>cold inducible RNA binding protein [Source:MGI Symbol;Acc:MGI:893588]</t>
  </si>
  <si>
    <t>2510016D11Rik</t>
  </si>
  <si>
    <t>RIKEN cDNA 2510016D11 gene [Source:MGI Symbol;Acc:MGI:1917539]</t>
  </si>
  <si>
    <t>Scamp5</t>
  </si>
  <si>
    <t>secretory carrier membrane protein 5 [Source:MGI Symbol;Acc:MGI:1928948]</t>
  </si>
  <si>
    <t>Cop1</t>
  </si>
  <si>
    <t>COP1, E3 ubiquitin ligase [Source:MGI Symbol;Acc:MGI:1347046]</t>
  </si>
  <si>
    <t>Snrnp35</t>
  </si>
  <si>
    <t>small nuclear ribonucleoprotein 35 (U11/U12) [Source:MGI Symbol;Acc:MGI:1923417]</t>
  </si>
  <si>
    <t>Pcdh7</t>
  </si>
  <si>
    <t>protocadherin 7 [Source:MGI Symbol;Acc:MGI:1860487]</t>
  </si>
  <si>
    <t>Dtymk</t>
  </si>
  <si>
    <t>deoxythymidylate kinase [Source:MGI Symbol;Acc:MGI:108396]</t>
  </si>
  <si>
    <t>Kif13a</t>
  </si>
  <si>
    <t>kinesin family member 13A [Source:MGI Symbol;Acc:MGI:1098264]</t>
  </si>
  <si>
    <t>Abcb7</t>
  </si>
  <si>
    <t>ATP-binding cassette, sub-family B (MDR/TAP), member 7 [Source:MGI Symbol;Acc:MGI:109533]</t>
  </si>
  <si>
    <t>9930012K11Rik</t>
  </si>
  <si>
    <t>RIKEN cDNA 9930012K11 gene [Source:MGI Symbol;Acc:MGI:2145726]</t>
  </si>
  <si>
    <t>Tec</t>
  </si>
  <si>
    <t>tec protein tyrosine kinase [Source:MGI Symbol;Acc:MGI:98662]</t>
  </si>
  <si>
    <t>Nudt9</t>
  </si>
  <si>
    <t>nudix (nucleoside diphosphate linked moiety X)-type motif 9 [Source:MGI Symbol;Acc:MGI:1921417]</t>
  </si>
  <si>
    <t>Lrch1</t>
  </si>
  <si>
    <t>leucine-rich repeats and calponin homology (CH) domain containing 1 [Source:MGI Symbol;Acc:MGI:2443390]</t>
  </si>
  <si>
    <t>Arhgap18</t>
  </si>
  <si>
    <t>Rho GTPase activating protein 18 [Source:MGI Symbol;Acc:MGI:1921160]</t>
  </si>
  <si>
    <t>Tnfaip8l1</t>
  </si>
  <si>
    <t>tumor necrosis factor, alpha-induced protein 8-like 1 [Source:MGI Symbol;Acc:MGI:1913693]</t>
  </si>
  <si>
    <t>Ric8a</t>
  </si>
  <si>
    <t>RIC8 guanine nucleotide exchange factor A [Source:MGI Symbol;Acc:MGI:2141866]</t>
  </si>
  <si>
    <t>Myl12a</t>
  </si>
  <si>
    <t>myosin, light chain 12A, regulatory, non-sarcomeric [Source:MGI Symbol;Acc:MGI:1914518]</t>
  </si>
  <si>
    <t>Mgat5</t>
  </si>
  <si>
    <t>mannoside acetylglucosaminyltransferase 5 [Source:MGI Symbol;Acc:MGI:894701]</t>
  </si>
  <si>
    <t>Ccnb2</t>
  </si>
  <si>
    <t>cyclin B2 [Source:MGI Symbol;Acc:MGI:88311]</t>
  </si>
  <si>
    <t>Mlx</t>
  </si>
  <si>
    <t>MAX-like protein X [Source:MGI Symbol;Acc:MGI:108398]</t>
  </si>
  <si>
    <t>Fcgr4</t>
  </si>
  <si>
    <t>Fc receptor, IgG, low affinity IV [Source:MGI Symbol;Acc:MGI:2179523]</t>
  </si>
  <si>
    <t>Epas1</t>
  </si>
  <si>
    <t>endothelial PAS domain protein 1 [Source:MGI Symbol;Acc:MGI:109169]</t>
  </si>
  <si>
    <t>Drd1</t>
  </si>
  <si>
    <t>dopamine receptor D1 [Source:MGI Symbol;Acc:MGI:99578]</t>
  </si>
  <si>
    <t>Akr7a5</t>
  </si>
  <si>
    <t>aldo-keto reductase family 7, member A5 (aflatoxin aldehyde reductase) [Source:MGI Symbol;Acc:MGI:107796]</t>
  </si>
  <si>
    <t>Nudcd3</t>
  </si>
  <si>
    <t>NudC domain containing 3 [Source:MGI Symbol;Acc:MGI:2144158]</t>
  </si>
  <si>
    <t>Etv6</t>
  </si>
  <si>
    <t>ets variant 6 [Source:MGI Symbol;Acc:MGI:109336]</t>
  </si>
  <si>
    <t>Dennd11</t>
  </si>
  <si>
    <t>DENN domain containing 11 [Source:MGI Symbol;Acc:MGI:2444256]</t>
  </si>
  <si>
    <t>Nup210</t>
  </si>
  <si>
    <t>nucleoporin 210 [Source:MGI Symbol;Acc:MGI:1859555]</t>
  </si>
  <si>
    <t>Gm38335</t>
  </si>
  <si>
    <t>predicted gene, 38335 [Source:MGI Symbol;Acc:MGI:5611563]</t>
  </si>
  <si>
    <t>Psd3</t>
  </si>
  <si>
    <t>pleckstrin and Sec7 domain containing 3 [Source:MGI Symbol;Acc:MGI:1918215]</t>
  </si>
  <si>
    <t>Lrrc14</t>
  </si>
  <si>
    <t>leucine rich repeat containing 14 [Source:MGI Symbol;Acc:MGI:2445060]</t>
  </si>
  <si>
    <t>Arid3b</t>
  </si>
  <si>
    <t>AT rich interactive domain 3B (BRIGHT-like) [Source:MGI Symbol;Acc:MGI:1930768]</t>
  </si>
  <si>
    <t>Usp4</t>
  </si>
  <si>
    <t>ubiquitin specific peptidase 4 (proto-oncogene) [Source:MGI Symbol;Acc:MGI:98905]</t>
  </si>
  <si>
    <t>Fry</t>
  </si>
  <si>
    <t>FRY microtubule binding protein [Source:MGI Symbol;Acc:MGI:2443895]</t>
  </si>
  <si>
    <t>Cyren</t>
  </si>
  <si>
    <t>cell cycle regulator of NHEJ [Source:MGI Symbol;Acc:MGI:1925662]</t>
  </si>
  <si>
    <t>Cpne2</t>
  </si>
  <si>
    <t>copine II [Source:MGI Symbol;Acc:MGI:2387578]</t>
  </si>
  <si>
    <t>C2cd5</t>
  </si>
  <si>
    <t>C2 calcium-dependent domain containing 5 [Source:MGI Symbol;Acc:MGI:1921991]</t>
  </si>
  <si>
    <t>Inpp5k</t>
  </si>
  <si>
    <t>inositol polyphosphate 5-phosphatase K [Source:MGI Symbol;Acc:MGI:1194899]</t>
  </si>
  <si>
    <t>Serpinb1b</t>
  </si>
  <si>
    <t>serine (or cysteine) peptidase inhibitor, clade B, member 1b [Source:MGI Symbol;Acc:MGI:2445361]</t>
  </si>
  <si>
    <t>Rnd1</t>
  </si>
  <si>
    <t>Rho family GTPase 1 [Source:MGI Symbol;Acc:MGI:2444878]</t>
  </si>
  <si>
    <t>Lrrc41</t>
  </si>
  <si>
    <t>leucine rich repeat containing 41 [Source:MGI Symbol;Acc:MGI:2441984]</t>
  </si>
  <si>
    <t>Eogt</t>
  </si>
  <si>
    <t>EGF domain-specific O-linked N-acetylglucosamine (GlcNAc) transferase [Source:MGI Symbol;Acc:MGI:2141669]</t>
  </si>
  <si>
    <t>Efhd2</t>
  </si>
  <si>
    <t>EF hand domain containing 2 [Source:MGI Symbol;Acc:MGI:106504]</t>
  </si>
  <si>
    <t>Prr5</t>
  </si>
  <si>
    <t>proline rich 5 (renal) [Source:MGI Symbol;Acc:MGI:1924714]</t>
  </si>
  <si>
    <t>Senp2</t>
  </si>
  <si>
    <t>SUMO/sentrin specific peptidase 2 [Source:MGI Symbol;Acc:MGI:1923076]</t>
  </si>
  <si>
    <t>Pdgfa</t>
  </si>
  <si>
    <t>platelet derived growth factor, alpha [Source:MGI Symbol;Acc:MGI:97527]</t>
  </si>
  <si>
    <t>Fbxl17</t>
  </si>
  <si>
    <t>F-box and leucine-rich repeat protein 17 [Source:MGI Symbol;Acc:MGI:1354704]</t>
  </si>
  <si>
    <t>Marf1</t>
  </si>
  <si>
    <t>meiosis regulator and mRNA stability 1 [Source:MGI Symbol;Acc:MGI:2444505]</t>
  </si>
  <si>
    <t>Crebrf</t>
  </si>
  <si>
    <t>CREB3 regulatory factor [Source:MGI Symbol;Acc:MGI:1924378]</t>
  </si>
  <si>
    <t>Rbm19</t>
  </si>
  <si>
    <t>RNA binding motif protein 19 [Source:MGI Symbol;Acc:MGI:1921361]</t>
  </si>
  <si>
    <t>Trp53bp1</t>
  </si>
  <si>
    <t>transformation related protein 53 binding protein 1 [Source:MGI Symbol;Acc:MGI:1351320]</t>
  </si>
  <si>
    <t>Naa40</t>
  </si>
  <si>
    <t>N(alpha)-acetyltransferase 40, NatD catalytic subunit [Source:MGI Symbol;Acc:MGI:1918249]</t>
  </si>
  <si>
    <t>Ppp6r1</t>
  </si>
  <si>
    <t>protein phosphatase 6, regulatory subunit 1 [Source:MGI Symbol;Acc:MGI:2442163]</t>
  </si>
  <si>
    <t>Akap6</t>
  </si>
  <si>
    <t>A kinase (PRKA) anchor protein 6 [Source:MGI Symbol;Acc:MGI:3050566]</t>
  </si>
  <si>
    <t>Ms4a14</t>
  </si>
  <si>
    <t>membrane-spanning 4-domains, subfamily A, member 14 [Source:MGI Symbol;Acc:MGI:2686122]</t>
  </si>
  <si>
    <t>Snx14</t>
  </si>
  <si>
    <t>sorting nexin 14 [Source:MGI Symbol;Acc:MGI:2155664]</t>
  </si>
  <si>
    <t>Apex1</t>
  </si>
  <si>
    <t>apurinic/apyrimidinic endonuclease 1 [Source:MGI Symbol;Acc:MGI:88042]</t>
  </si>
  <si>
    <t>Ankrd50</t>
  </si>
  <si>
    <t>ankyrin repeat domain 50 [Source:MGI Symbol;Acc:MGI:2139777]</t>
  </si>
  <si>
    <t>Stmn4</t>
  </si>
  <si>
    <t>stathmin-like 4 [Source:MGI Symbol;Acc:MGI:1931224]</t>
  </si>
  <si>
    <t>Slc25a17</t>
  </si>
  <si>
    <t>solute carrier family 25 (mitochondrial carrier, peroxisomal membrane protein), member 17 [Source:MGI Symbol;Acc:MGI:1342248]</t>
  </si>
  <si>
    <t>Mrpl49</t>
  </si>
  <si>
    <t>mitochondrial ribosomal protein L49 [Source:MGI Symbol;Acc:MGI:108180]</t>
  </si>
  <si>
    <t>Rubcnl</t>
  </si>
  <si>
    <t>RUN and cysteine rich domain containing beclin 1 interacting protein like [Source:MGI Symbol;Acc:MGI:2685590]</t>
  </si>
  <si>
    <t>Trim62</t>
  </si>
  <si>
    <t>tripartite motif-containing 62 [Source:MGI Symbol;Acc:MGI:1914775]</t>
  </si>
  <si>
    <t>Lpcat4</t>
  </si>
  <si>
    <t>lysophosphatidylcholine acyltransferase 4 [Source:MGI Symbol;Acc:MGI:2138993]</t>
  </si>
  <si>
    <t>Lratd2</t>
  </si>
  <si>
    <t>LRAT domain containing 1 [Source:MGI Symbol;Acc:MGI:3026924]</t>
  </si>
  <si>
    <t>Tbc1d30</t>
  </si>
  <si>
    <t>TBC1 domain family, member 30 [Source:MGI Symbol;Acc:MGI:1921944]</t>
  </si>
  <si>
    <t>Fam3c</t>
  </si>
  <si>
    <t>family with sequence similarity 3, member C [Source:MGI Symbol;Acc:MGI:107892]</t>
  </si>
  <si>
    <t>Fbxl14</t>
  </si>
  <si>
    <t>F-box and leucine-rich repeat protein 14 [Source:MGI Symbol;Acc:MGI:2141676]</t>
  </si>
  <si>
    <t>Atp6v0b</t>
  </si>
  <si>
    <t>ATPase, H+ transporting, lysosomal V0 subunit B [Source:MGI Symbol;Acc:MGI:1890510]</t>
  </si>
  <si>
    <t>Ensa</t>
  </si>
  <si>
    <t>endosulfine alpha [Source:MGI Symbol;Acc:MGI:1891189]</t>
  </si>
  <si>
    <t>B3gnt8</t>
  </si>
  <si>
    <t>UDP-GlcNAc:betaGal beta-1,3-N-acetylglucosaminyltransferase 8 [Source:MGI Symbol;Acc:MGI:2385269]</t>
  </si>
  <si>
    <t>Tmem230</t>
  </si>
  <si>
    <t>transmembrane protein 230 [Source:MGI Symbol;Acc:MGI:1917862]</t>
  </si>
  <si>
    <t>Washc4</t>
  </si>
  <si>
    <t>WASH complex subunit 4 [Source:MGI Symbol;Acc:MGI:2441787]</t>
  </si>
  <si>
    <t>Gm37494</t>
  </si>
  <si>
    <t>predicted gene, 37494 [Source:MGI Symbol;Acc:MGI:5610722]</t>
  </si>
  <si>
    <t>Limk2</t>
  </si>
  <si>
    <t>LIM motif-containing protein kinase 2 [Source:MGI Symbol;Acc:MGI:1197517]</t>
  </si>
  <si>
    <t>Gm12715</t>
  </si>
  <si>
    <t>predicted gene 12715 [Source:MGI Symbol;Acc:MGI:3650759]</t>
  </si>
  <si>
    <t>Lrrcc1</t>
  </si>
  <si>
    <t>leucine rich repeat and coiled-coil domain containing 1 [Source:MGI Symbol;Acc:MGI:1918960]</t>
  </si>
  <si>
    <t>Dab2</t>
  </si>
  <si>
    <t>disabled 2, mitogen-responsive phosphoprotein [Source:MGI Symbol;Acc:MGI:109175]</t>
  </si>
  <si>
    <t>Trem3</t>
  </si>
  <si>
    <t>triggering receptor expressed on myeloid cells 3 [Source:MGI Symbol;Acc:MGI:1930003]</t>
  </si>
  <si>
    <t>Phf2</t>
  </si>
  <si>
    <t>PHD finger protein 2 [Source:MGI Symbol;Acc:MGI:1338034]</t>
  </si>
  <si>
    <t>Tgfb1</t>
  </si>
  <si>
    <t>transforming growth factor, beta 1 [Source:MGI Symbol;Acc:MGI:98725]</t>
  </si>
  <si>
    <t>Polh</t>
  </si>
  <si>
    <t>polymerase (DNA directed), eta (RAD 30 related) [Source:MGI Symbol;Acc:MGI:1891457]</t>
  </si>
  <si>
    <t>Iffo1</t>
  </si>
  <si>
    <t>intermediate filament family orphan 1 [Source:MGI Symbol;Acc:MGI:2444516]</t>
  </si>
  <si>
    <t>Sbf2</t>
  </si>
  <si>
    <t>SET binding factor 2 [Source:MGI Symbol;Acc:MGI:1921831]</t>
  </si>
  <si>
    <t>Katnb1</t>
  </si>
  <si>
    <t>katanin p80 (WD40-containing) subunit B 1 [Source:MGI Symbol;Acc:MGI:1921437]</t>
  </si>
  <si>
    <t>Plekha1</t>
  </si>
  <si>
    <t>pleckstrin homology domain containing, family A (phosphoinositide binding specific) member 1 [Source:MGI Symbol;Acc:MGI:2442213]</t>
  </si>
  <si>
    <t>Tmem168</t>
  </si>
  <si>
    <t>transmembrane protein 168 [Source:MGI Symbol;Acc:MGI:1921794]</t>
  </si>
  <si>
    <t>Gramd4</t>
  </si>
  <si>
    <t>GRAM domain containing 4 [Source:MGI Symbol;Acc:MGI:2676308]</t>
  </si>
  <si>
    <t>Paqr4</t>
  </si>
  <si>
    <t>progestin and adipoQ receptor family member IV [Source:MGI Symbol;Acc:MGI:1923748]</t>
  </si>
  <si>
    <t>Kat2b</t>
  </si>
  <si>
    <t>K(lysine) acetyltransferase 2B [Source:MGI Symbol;Acc:MGI:1343094]</t>
  </si>
  <si>
    <t>Endog</t>
  </si>
  <si>
    <t>endonuclease G [Source:MGI Symbol;Acc:MGI:1261433]</t>
  </si>
  <si>
    <t>Frat1</t>
  </si>
  <si>
    <t>frequently rearranged in advanced T cell lymphomas [Source:MGI Symbol;Acc:MGI:109450]</t>
  </si>
  <si>
    <t>Arhgap9</t>
  </si>
  <si>
    <t>Rho GTPase activating protein 9 [Source:MGI Symbol;Acc:MGI:2143764]</t>
  </si>
  <si>
    <t>Sclt1</t>
  </si>
  <si>
    <t>sodium channel and clathrin linker 1 [Source:MGI Symbol;Acc:MGI:1914411]</t>
  </si>
  <si>
    <t>Aurkb</t>
  </si>
  <si>
    <t>aurora kinase B [Source:MGI Symbol;Acc:MGI:107168]</t>
  </si>
  <si>
    <t>Arhgap4</t>
  </si>
  <si>
    <t>Rho GTPase activating protein 4 [Source:MGI Symbol;Acc:MGI:2159577]</t>
  </si>
  <si>
    <t>Olr1</t>
  </si>
  <si>
    <t>oxidized low density lipoprotein (lectin-like) receptor 1 [Source:MGI Symbol;Acc:MGI:1261434]</t>
  </si>
  <si>
    <t>Syngap1</t>
  </si>
  <si>
    <t>synaptic Ras GTPase activating protein 1 homolog (rat) [Source:MGI Symbol;Acc:MGI:3039785]</t>
  </si>
  <si>
    <t>Cep250</t>
  </si>
  <si>
    <t>centrosomal protein 250 [Source:MGI Symbol;Acc:MGI:108084]</t>
  </si>
  <si>
    <t>Rapgef5</t>
  </si>
  <si>
    <t>Rap guanine nucleotide exchange factor (GEF) 5 [Source:MGI Symbol;Acc:MGI:2444365]</t>
  </si>
  <si>
    <t>Gm16712</t>
  </si>
  <si>
    <t>predicted gene, 16712 [Source:MGI Symbol;Acc:MGI:4439636]</t>
  </si>
  <si>
    <t>Rfk</t>
  </si>
  <si>
    <t>riboflavin kinase [Source:MGI Symbol;Acc:MGI:1914688]</t>
  </si>
  <si>
    <t>Rilpl1</t>
  </si>
  <si>
    <t>Rab interacting lysosomal protein-like 1 [Source:MGI Symbol;Acc:MGI:1922945]</t>
  </si>
  <si>
    <t>Mlycd</t>
  </si>
  <si>
    <t>malonyl-CoA decarboxylase [Source:MGI Symbol;Acc:MGI:1928485]</t>
  </si>
  <si>
    <t>Morc3</t>
  </si>
  <si>
    <t>microrchidia 3 [Source:MGI Symbol;Acc:MGI:2136841]</t>
  </si>
  <si>
    <t>Ipo13</t>
  </si>
  <si>
    <t>importin 13 [Source:MGI Symbol;Acc:MGI:2385205]</t>
  </si>
  <si>
    <t>Il10ra</t>
  </si>
  <si>
    <t>interleukin 10 receptor, alpha [Source:MGI Symbol;Acc:MGI:96538]</t>
  </si>
  <si>
    <t>Snapc1l</t>
  </si>
  <si>
    <t>small nuclear RNA activating complex, polypeptide 1 like [Source:MGI Symbol;Acc:MGI:6121501]</t>
  </si>
  <si>
    <t>Lyar</t>
  </si>
  <si>
    <t>Ly1 antibody reactive clone [Source:MGI Symbol;Acc:MGI:107470]</t>
  </si>
  <si>
    <t>Mast3</t>
  </si>
  <si>
    <t>microtubule associated serine/threonine kinase 3 [Source:MGI Symbol;Acc:MGI:2683541]</t>
  </si>
  <si>
    <t>Rnf26</t>
  </si>
  <si>
    <t>ring finger protein 26 [Source:MGI Symbol;Acc:MGI:2388131]</t>
  </si>
  <si>
    <t>Prkar2a</t>
  </si>
  <si>
    <t>protein kinase, cAMP dependent regulatory, type II alpha [Source:MGI Symbol;Acc:MGI:108025]</t>
  </si>
  <si>
    <t>Smarcc2</t>
  </si>
  <si>
    <t>SWI/SNF related, matrix associated, actin dependent regulator of chromatin, subfamily c, member 2 [Source:MGI Symbol;Acc:MGI:1915344]</t>
  </si>
  <si>
    <t>Traf3ip3</t>
  </si>
  <si>
    <t>TRAF3 interacting protein 3 [Source:MGI Symbol;Acc:MGI:2441706]</t>
  </si>
  <si>
    <t>Recql</t>
  </si>
  <si>
    <t>RecQ protein-like [Source:MGI Symbol;Acc:MGI:103021]</t>
  </si>
  <si>
    <t>Cenph</t>
  </si>
  <si>
    <t>centromere protein H [Source:MGI Symbol;Acc:MGI:1349448]</t>
  </si>
  <si>
    <t>Dynll2</t>
  </si>
  <si>
    <t>dynein light chain LC8-type 2 [Source:MGI Symbol;Acc:MGI:1915347]</t>
  </si>
  <si>
    <t>Chd3</t>
  </si>
  <si>
    <t>chromodomain helicase DNA binding protein 3 [Source:MGI Symbol;Acc:MGI:1344395]</t>
  </si>
  <si>
    <t>Dnajc1</t>
  </si>
  <si>
    <t>DnaJ heat shock protein family (Hsp40) member C1 [Source:MGI Symbol;Acc:MGI:103268]</t>
  </si>
  <si>
    <t>Map6</t>
  </si>
  <si>
    <t>microtubule-associated protein 6 [Source:MGI Symbol;Acc:MGI:1201690]</t>
  </si>
  <si>
    <t>Atp7a</t>
  </si>
  <si>
    <t>ATPase, Cu++ transporting, alpha polypeptide [Source:MGI Symbol;Acc:MGI:99400]</t>
  </si>
  <si>
    <t>Yju2</t>
  </si>
  <si>
    <t>YJU2 splicing factor [Source:MGI Symbol;Acc:MGI:1920136]</t>
  </si>
  <si>
    <t>Tnfsf9</t>
  </si>
  <si>
    <t>tumor necrosis factor (ligand) superfamily, member 9 [Source:MGI Symbol;Acc:MGI:1101058]</t>
  </si>
  <si>
    <t>Sik2</t>
  </si>
  <si>
    <t>salt inducible kinase 2 [Source:MGI Symbol;Acc:MGI:2445031]</t>
  </si>
  <si>
    <t>Gpbp1</t>
  </si>
  <si>
    <t>GC-rich promoter binding protein 1 [Source:MGI Symbol;Acc:MGI:1920524]</t>
  </si>
  <si>
    <t>Klf2</t>
  </si>
  <si>
    <t>Kruppel-like factor 2 (lung) [Source:MGI Symbol;Acc:MGI:1342772]</t>
  </si>
  <si>
    <t>Lancl2</t>
  </si>
  <si>
    <t>LanC (bacterial lantibiotic synthetase component C)-like 2 [Source:MGI Symbol;Acc:MGI:1919085]</t>
  </si>
  <si>
    <t>Cep83</t>
  </si>
  <si>
    <t>centrosomal protein 83 [Source:MGI Symbol;Acc:MGI:1924298]</t>
  </si>
  <si>
    <t>9930111J21Rik2</t>
  </si>
  <si>
    <t>RIKEN cDNA 9930111J21 gene 2 [Source:MGI Symbol;Acc:MGI:3711310]</t>
  </si>
  <si>
    <t>Asxl2</t>
  </si>
  <si>
    <t>additional sex combs like 2, transcriptional regulator [Source:MGI Symbol;Acc:MGI:1922552]</t>
  </si>
  <si>
    <t>Zbtb45</t>
  </si>
  <si>
    <t>zinc finger and BTB domain containing 45 [Source:MGI Symbol;Acc:MGI:2685003]</t>
  </si>
  <si>
    <t>Gm15880</t>
  </si>
  <si>
    <t>predicted gene 15880 [Source:MGI Symbol;Acc:MGI:3802014]</t>
  </si>
  <si>
    <t>Fcer1g</t>
  </si>
  <si>
    <t>Fc receptor, IgE, high affinity I, gamma polypeptide [Source:MGI Symbol;Acc:MGI:95496]</t>
  </si>
  <si>
    <t>Mphosph10</t>
  </si>
  <si>
    <t>M-phase phosphoprotein 10 (U3 small nucleolar ribonucleoprotein) [Source:MGI Symbol;Acc:MGI:1915223]</t>
  </si>
  <si>
    <t>Gpatch4</t>
  </si>
  <si>
    <t>G patch domain containing 4 [Source:MGI Symbol;Acc:MGI:1913864]</t>
  </si>
  <si>
    <t>Exoc3l4</t>
  </si>
  <si>
    <t>exocyst complex component 3-like 4 [Source:MGI Symbol;Acc:MGI:1921363]</t>
  </si>
  <si>
    <t>Bri3</t>
  </si>
  <si>
    <t>brain protein I3 [Source:MGI Symbol;Acc:MGI:1933174]</t>
  </si>
  <si>
    <t>Scmh1</t>
  </si>
  <si>
    <t>sex comb on midleg homolog 1 [Source:MGI Symbol;Acc:MGI:1352762]</t>
  </si>
  <si>
    <t>Fcgr3</t>
  </si>
  <si>
    <t>Fc receptor, IgG, low affinity III [Source:MGI Symbol;Acc:MGI:95500]</t>
  </si>
  <si>
    <t>Atg4a</t>
  </si>
  <si>
    <t>autophagy related 4A, cysteine peptidase [Source:MGI Symbol;Acc:MGI:2147903]</t>
  </si>
  <si>
    <t>Kif15</t>
  </si>
  <si>
    <t>kinesin family member 15 [Source:MGI Symbol;Acc:MGI:1098258]</t>
  </si>
  <si>
    <t>Il1f6</t>
  </si>
  <si>
    <t>interleukin 1 family, member 6 [Source:MGI Symbol;Acc:MGI:1859324]</t>
  </si>
  <si>
    <t>Spata5l1</t>
  </si>
  <si>
    <t>spermatogenesis associated 5-like 1 [Source:MGI Symbol;Acc:MGI:3036261]</t>
  </si>
  <si>
    <t>Blzf1</t>
  </si>
  <si>
    <t>basic leucine zipper nuclear factor 1 [Source:MGI Symbol;Acc:MGI:1201607]</t>
  </si>
  <si>
    <t>Faf2</t>
  </si>
  <si>
    <t>Fas associated factor family member 2 [Source:MGI Symbol;Acc:MGI:1923827]</t>
  </si>
  <si>
    <t>Dcaf5</t>
  </si>
  <si>
    <t>DDB1 and CUL4 associated factor 5 [Source:MGI Symbol;Acc:MGI:2444785]</t>
  </si>
  <si>
    <t>AI467606</t>
  </si>
  <si>
    <t>expressed sequence AI467606 [Source:MGI Symbol;Acc:MGI:2141979]</t>
  </si>
  <si>
    <t>Gata3</t>
  </si>
  <si>
    <t>GATA binding protein 3 [Source:MGI Symbol;Acc:MGI:95663]</t>
  </si>
  <si>
    <t>Ubr4</t>
  </si>
  <si>
    <t>ubiquitin protein ligase E3 component n-recognin 4 [Source:MGI Symbol;Acc:MGI:1916366]</t>
  </si>
  <si>
    <t>Pgd</t>
  </si>
  <si>
    <t>phosphogluconate dehydrogenase [Source:MGI Symbol;Acc:MGI:97553]</t>
  </si>
  <si>
    <t>Olfr56</t>
  </si>
  <si>
    <t>olfactory receptor 56 [Source:MGI Symbol;Acc:MGI:1333785]</t>
  </si>
  <si>
    <t>Zfp422</t>
  </si>
  <si>
    <t>zinc finger protein 422 [Source:MGI Symbol;Acc:MGI:1914505]</t>
  </si>
  <si>
    <t>Ppat</t>
  </si>
  <si>
    <t>phosphoribosyl pyrophosphate amidotransferase [Source:MGI Symbol;Acc:MGI:2387203]</t>
  </si>
  <si>
    <t>Cluap1</t>
  </si>
  <si>
    <t>clusterin associated protein 1 [Source:MGI Symbol;Acc:MGI:1924029]</t>
  </si>
  <si>
    <t>Septin7</t>
  </si>
  <si>
    <t>septin 7 [Source:MGI Symbol;Acc:MGI:1335094]</t>
  </si>
  <si>
    <t>Erp29</t>
  </si>
  <si>
    <t>endoplasmic reticulum protein 29 [Source:MGI Symbol;Acc:MGI:1914647]</t>
  </si>
  <si>
    <t>Mtmr3</t>
  </si>
  <si>
    <t>myotubularin related protein 3 [Source:MGI Symbol;Acc:MGI:1921552]</t>
  </si>
  <si>
    <t>Psmd6</t>
  </si>
  <si>
    <t>proteasome (prosome, macropain) 26S subunit, non-ATPase, 6 [Source:MGI Symbol;Acc:MGI:1913663]</t>
  </si>
  <si>
    <t>Kmo</t>
  </si>
  <si>
    <t>kynurenine 3-monooxygenase (kynurenine 3-hydroxylase) [Source:MGI Symbol;Acc:MGI:2138151]</t>
  </si>
  <si>
    <t>Gm28417</t>
  </si>
  <si>
    <t>predicted gene 28417 [Source:MGI Symbol;Acc:MGI:5579123]</t>
  </si>
  <si>
    <t>Dctn4</t>
  </si>
  <si>
    <t>dynactin 4 [Source:MGI Symbol;Acc:MGI:1914915]</t>
  </si>
  <si>
    <t>Txndc16</t>
  </si>
  <si>
    <t>thioredoxin domain containing 16 [Source:MGI Symbol;Acc:MGI:1917811]</t>
  </si>
  <si>
    <t>Zik1</t>
  </si>
  <si>
    <t>zinc finger protein interacting with K protein 1 [Source:MGI Symbol;Acc:MGI:108070]</t>
  </si>
  <si>
    <t>Nol10</t>
  </si>
  <si>
    <t>nucleolar protein 10 [Source:MGI Symbol;Acc:MGI:2684913]</t>
  </si>
  <si>
    <t>Hdac4</t>
  </si>
  <si>
    <t>histone deacetylase 4 [Source:MGI Symbol;Acc:MGI:3036234]</t>
  </si>
  <si>
    <t>Rraga</t>
  </si>
  <si>
    <t>Ras-related GTP binding A [Source:MGI Symbol;Acc:MGI:1915691]</t>
  </si>
  <si>
    <t>Ifnar1</t>
  </si>
  <si>
    <t>interferon (alpha and beta) receptor 1 [Source:MGI Symbol;Acc:MGI:107658]</t>
  </si>
  <si>
    <t>B4galnt1</t>
  </si>
  <si>
    <t>beta-1,4-N-acetyl-galactosaminyl transferase 1 [Source:MGI Symbol;Acc:MGI:1342057]</t>
  </si>
  <si>
    <t>Cep192</t>
  </si>
  <si>
    <t>centrosomal protein 192 [Source:MGI Symbol;Acc:MGI:1918049]</t>
  </si>
  <si>
    <t>Pwp2</t>
  </si>
  <si>
    <t>PWP2 periodic tryptophan protein homolog (yeast) [Source:MGI Symbol;Acc:MGI:1341200]</t>
  </si>
  <si>
    <t>Ftsj3</t>
  </si>
  <si>
    <t>FtsJ RNA methyltransferase homolog 3 (E. coli) [Source:MGI Symbol;Acc:MGI:1860295]</t>
  </si>
  <si>
    <t>Zyx</t>
  </si>
  <si>
    <t>zyxin [Source:MGI Symbol;Acc:MGI:103072]</t>
  </si>
  <si>
    <t>Hrc</t>
  </si>
  <si>
    <t>histidine rich calcium binding protein [Source:MGI Symbol;Acc:MGI:96226]</t>
  </si>
  <si>
    <t>Smap2</t>
  </si>
  <si>
    <t>small ArfGAP 2 [Source:MGI Symbol;Acc:MGI:1917030]</t>
  </si>
  <si>
    <t>Txlnb</t>
  </si>
  <si>
    <t>taxilin beta [Source:MGI Symbol;Acc:MGI:2671945]</t>
  </si>
  <si>
    <t>Spin1</t>
  </si>
  <si>
    <t>spindlin 1 [Source:MGI Symbol;Acc:MGI:109242]</t>
  </si>
  <si>
    <t>Rit1</t>
  </si>
  <si>
    <t>Ras-like without CAAX 1 [Source:MGI Symbol;Acc:MGI:108053]</t>
  </si>
  <si>
    <t>Noc3l</t>
  </si>
  <si>
    <t>NOC3 like DNA replication regulator [Source:MGI Symbol;Acc:MGI:1932610]</t>
  </si>
  <si>
    <t>Hhex</t>
  </si>
  <si>
    <t>hematopoietically expressed homeobox [Source:MGI Symbol;Acc:MGI:96086]</t>
  </si>
  <si>
    <t>Tdg</t>
  </si>
  <si>
    <t>thymine DNA glycosylase [Source:MGI Symbol;Acc:MGI:108247]</t>
  </si>
  <si>
    <t>Mrps18b</t>
  </si>
  <si>
    <t>mitochondrial ribosomal protein S18B [Source:MGI Symbol;Acc:MGI:1914223]</t>
  </si>
  <si>
    <t>Psmd3</t>
  </si>
  <si>
    <t>proteasome (prosome, macropain) 26S subunit, non-ATPase, 3 [Source:MGI Symbol;Acc:MGI:98858]</t>
  </si>
  <si>
    <t>Uqcc3</t>
  </si>
  <si>
    <t>ubiquinol-cytochrome c reductase complex assembly factor 3 [Source:MGI Symbol;Acc:MGI:2147553]</t>
  </si>
  <si>
    <t>Armc7</t>
  </si>
  <si>
    <t>armadillo repeat containing 7 [Source:MGI Symbol;Acc:MGI:2679719]</t>
  </si>
  <si>
    <t>Nrm</t>
  </si>
  <si>
    <t>nurim (nuclear envelope membrane protein) [Source:MGI Symbol;Acc:MGI:2146855]</t>
  </si>
  <si>
    <t>Mrpl41</t>
  </si>
  <si>
    <t>mitochondrial ribosomal protein L41 [Source:MGI Symbol;Acc:MGI:1333816]</t>
  </si>
  <si>
    <t>Suv39h1</t>
  </si>
  <si>
    <t>suppressor of variegation 3-9 1 [Source:MGI Symbol;Acc:MGI:1099440]</t>
  </si>
  <si>
    <t>Gm49380</t>
  </si>
  <si>
    <t>predicted gene, 49380 [Source:MGI Symbol;Acc:MGI:6121601]</t>
  </si>
  <si>
    <t>Foxn2</t>
  </si>
  <si>
    <t>forkhead box N2 [Source:MGI Symbol;Acc:MGI:1347478]</t>
  </si>
  <si>
    <t>Abhd14b</t>
  </si>
  <si>
    <t>abhydrolase domain containing 14b [Source:MGI Symbol;Acc:MGI:1923741]</t>
  </si>
  <si>
    <t>Slc25a24</t>
  </si>
  <si>
    <t>solute carrier family 25 (mitochondrial carrier, phosphate carrier), member 24 [Source:MGI Symbol;Acc:MGI:1917160]</t>
  </si>
  <si>
    <t>Pradc1</t>
  </si>
  <si>
    <t>protease-associated domain containing 1 [Source:MGI Symbol;Acc:MGI:1920577]</t>
  </si>
  <si>
    <t>Ppp1r26</t>
  </si>
  <si>
    <t>protein phosphatase 1, regulatory subunit 26 [Source:MGI Symbol;Acc:MGI:2685193]</t>
  </si>
  <si>
    <t>Akirin1</t>
  </si>
  <si>
    <t>akirin 1 [Source:MGI Symbol;Acc:MGI:1915300]</t>
  </si>
  <si>
    <t>Slc16a3</t>
  </si>
  <si>
    <t>solute carrier family 16 (monocarboxylic acid transporters), member 3 [Source:MGI Symbol;Acc:MGI:1933438]</t>
  </si>
  <si>
    <t>Gyg</t>
  </si>
  <si>
    <t>glycogenin [Source:MGI Symbol;Acc:MGI:1351614]</t>
  </si>
  <si>
    <t>Fndc10</t>
  </si>
  <si>
    <t>fibronectin type III domain containing 10 [Source:MGI Symbol;Acc:MGI:2444790]</t>
  </si>
  <si>
    <t>Ticam2</t>
  </si>
  <si>
    <t>toll-like receptor adaptor molecule 2 [Source:MGI Symbol;Acc:MGI:3040056]</t>
  </si>
  <si>
    <t>B4galt3</t>
  </si>
  <si>
    <t>UDP-Gal:betaGlcNAc beta 1,4-galactosyltransferase, polypeptide 3 [Source:MGI Symbol;Acc:MGI:1928767]</t>
  </si>
  <si>
    <t>Inpp5a</t>
  </si>
  <si>
    <t>inositol polyphosphate-5-phosphatase A [Source:MGI Symbol;Acc:MGI:2686961]</t>
  </si>
  <si>
    <t>Me1</t>
  </si>
  <si>
    <t>malic enzyme 1, NADP(+)-dependent, cytosolic [Source:MGI Symbol;Acc:MGI:97043]</t>
  </si>
  <si>
    <t>Lars</t>
  </si>
  <si>
    <t>leucyl-tRNA synthetase [Source:MGI Symbol;Acc:MGI:1913808]</t>
  </si>
  <si>
    <t>S1pr1</t>
  </si>
  <si>
    <t>sphingosine-1-phosphate receptor 1 [Source:MGI Symbol;Acc:MGI:1096355]</t>
  </si>
  <si>
    <t>Wapl</t>
  </si>
  <si>
    <t>WAPL cohesin release factor [Source:MGI Symbol;Acc:MGI:2675859]</t>
  </si>
  <si>
    <t>Card9</t>
  </si>
  <si>
    <t>caspase recruitment domain family, member 9 [Source:MGI Symbol;Acc:MGI:2685628]</t>
  </si>
  <si>
    <t>Pcna</t>
  </si>
  <si>
    <t>proliferating cell nuclear antigen [Source:MGI Symbol;Acc:MGI:97503]</t>
  </si>
  <si>
    <t>Gypc</t>
  </si>
  <si>
    <t>glycophorin C [Source:MGI Symbol;Acc:MGI:1098566]</t>
  </si>
  <si>
    <t>Mrgpre</t>
  </si>
  <si>
    <t>MAS-related GPR, member E [Source:MGI Symbol;Acc:MGI:2441884]</t>
  </si>
  <si>
    <t>Gnpat</t>
  </si>
  <si>
    <t>glyceronephosphate O-acyltransferase [Source:MGI Symbol;Acc:MGI:1343460]</t>
  </si>
  <si>
    <t>Zfp503</t>
  </si>
  <si>
    <t>zinc finger protein 503 [Source:MGI Symbol;Acc:MGI:1353644]</t>
  </si>
  <si>
    <t>Selenow</t>
  </si>
  <si>
    <t>selenoprotein W [Source:MGI Symbol;Acc:MGI:1100878]</t>
  </si>
  <si>
    <t>Fcsk</t>
  </si>
  <si>
    <t>fucose kinase [Source:MGI Symbol;Acc:MGI:1916071]</t>
  </si>
  <si>
    <t>Spred1</t>
  </si>
  <si>
    <t>sprouty protein with EVH-1 domain 1, related sequence [Source:MGI Symbol;Acc:MGI:2150016]</t>
  </si>
  <si>
    <t>Dnaja1</t>
  </si>
  <si>
    <t>DnaJ heat shock protein family (Hsp40) member A1 [Source:MGI Symbol;Acc:MGI:1270129]</t>
  </si>
  <si>
    <t>Tubb6</t>
  </si>
  <si>
    <t>tubulin, beta 6 class V [Source:MGI Symbol;Acc:MGI:1915201]</t>
  </si>
  <si>
    <t>Slc9a7</t>
  </si>
  <si>
    <t>solute carrier family 9 (sodium/hydrogen exchanger), member 7 [Source:MGI Symbol;Acc:MGI:2444530]</t>
  </si>
  <si>
    <t>Creb1</t>
  </si>
  <si>
    <t>cAMP responsive element binding protein 1 [Source:MGI Symbol;Acc:MGI:88494]</t>
  </si>
  <si>
    <t>Habp4</t>
  </si>
  <si>
    <t>hyaluronic acid binding protein 4 [Source:MGI Symbol;Acc:MGI:1891713]</t>
  </si>
  <si>
    <t>Cul3</t>
  </si>
  <si>
    <t>cullin 3 [Source:MGI Symbol;Acc:MGI:1347360]</t>
  </si>
  <si>
    <t>Rbfox2</t>
  </si>
  <si>
    <t>RNA binding protein, fox-1 homolog (C. elegans) 2 [Source:MGI Symbol;Acc:MGI:1933973]</t>
  </si>
  <si>
    <t>Gpsm3</t>
  </si>
  <si>
    <t>G-protein signalling modulator 3 (AGS3-like, C. elegans) [Source:MGI Symbol;Acc:MGI:2146785]</t>
  </si>
  <si>
    <t>Acp6</t>
  </si>
  <si>
    <t>acid phosphatase 6, lysophosphatidic [Source:MGI Symbol;Acc:MGI:1931010]</t>
  </si>
  <si>
    <t>Rcbtb2</t>
  </si>
  <si>
    <t>regulator of chromosome condensation (RCC1) and BTB (POZ) domain containing protein 2 [Source:MGI Symbol;Acc:MGI:1917200]</t>
  </si>
  <si>
    <t>Vcpip1</t>
  </si>
  <si>
    <t>valosin containing protein (p97)/p47 complex interacting protein 1 [Source:MGI Symbol;Acc:MGI:1917925]</t>
  </si>
  <si>
    <t>Ccdc59</t>
  </si>
  <si>
    <t>coiled-coil domain containing 59 [Source:MGI Symbol;Acc:MGI:1289302]</t>
  </si>
  <si>
    <t>Serf2</t>
  </si>
  <si>
    <t>small EDRK-rich factor 2 [Source:MGI Symbol;Acc:MGI:1337041]</t>
  </si>
  <si>
    <t>Calcoco1</t>
  </si>
  <si>
    <t>calcium binding and coiled coil domain 1 [Source:MGI Symbol;Acc:MGI:1914738]</t>
  </si>
  <si>
    <t>Golga3</t>
  </si>
  <si>
    <t>golgi autoantigen, golgin subfamily a, 3 [Source:MGI Symbol;Acc:MGI:96958]</t>
  </si>
  <si>
    <t>Glod4</t>
  </si>
  <si>
    <t>glyoxalase domain containing 4 [Source:MGI Symbol;Acc:MGI:1914451]</t>
  </si>
  <si>
    <t>Echdc3</t>
  </si>
  <si>
    <t>enoyl Coenzyme A hydratase domain containing 3 [Source:MGI Symbol;Acc:MGI:1915106]</t>
  </si>
  <si>
    <t>Naif1</t>
  </si>
  <si>
    <t>nuclear apoptosis inducing factor 1 [Source:MGI Symbol;Acc:MGI:1918504]</t>
  </si>
  <si>
    <t>Fam120a</t>
  </si>
  <si>
    <t>family with sequence similarity 120, member A [Source:MGI Symbol;Acc:MGI:2446163]</t>
  </si>
  <si>
    <t>Emp3</t>
  </si>
  <si>
    <t>epithelial membrane protein 3 [Source:MGI Symbol;Acc:MGI:1098729]</t>
  </si>
  <si>
    <t>Plekhf1</t>
  </si>
  <si>
    <t>pleckstrin homology domain containing, family F (with FYVE domain) member 1 [Source:MGI Symbol;Acc:MGI:1919537]</t>
  </si>
  <si>
    <t>Smim14</t>
  </si>
  <si>
    <t>small integral membrane protein 14 [Source:MGI Symbol;Acc:MGI:1915802]</t>
  </si>
  <si>
    <t>R3hdm4</t>
  </si>
  <si>
    <t>R3H domain containing 4 [Source:MGI Symbol;Acc:MGI:1924814]</t>
  </si>
  <si>
    <t>Galnt1</t>
  </si>
  <si>
    <t>polypeptide N-acetylgalactosaminyltransferase 1 [Source:MGI Symbol;Acc:MGI:894693]</t>
  </si>
  <si>
    <t>Gorab</t>
  </si>
  <si>
    <t>golgin, RAB6-interacting [Source:MGI Symbol;Acc:MGI:2138271]</t>
  </si>
  <si>
    <t>Cyhr1</t>
  </si>
  <si>
    <t>cysteine and histidine rich 1 [Source:MGI Symbol;Acc:MGI:1859320]</t>
  </si>
  <si>
    <t>Gm49333</t>
  </si>
  <si>
    <t>predicted gene, 49333 [Source:MGI Symbol;Acc:MGI:6121518]</t>
  </si>
  <si>
    <t>Ddi2</t>
  </si>
  <si>
    <t>DNA-damage inducible protein 2 [Source:MGI Symbol;Acc:MGI:1917244]</t>
  </si>
  <si>
    <t>Golph3</t>
  </si>
  <si>
    <t>golgi phosphoprotein 3 [Source:MGI Symbol;Acc:MGI:1913879]</t>
  </si>
  <si>
    <t>Mllt6</t>
  </si>
  <si>
    <t>myeloid/lymphoid or mixed-lineage leukemia; translocated to, 6 [Source:MGI Symbol;Acc:MGI:1935145]</t>
  </si>
  <si>
    <t>Sik3</t>
  </si>
  <si>
    <t>SIK family kinase 3 [Source:MGI Symbol;Acc:MGI:2446296]</t>
  </si>
  <si>
    <t>Fam185a</t>
  </si>
  <si>
    <t>family with sequence similarity 185, member A [Source:MGI Symbol;Acc:MGI:2140983]</t>
  </si>
  <si>
    <t>Eif2s1</t>
  </si>
  <si>
    <t>eukaryotic translation initiation factor 2, subunit 1 alpha [Source:MGI Symbol;Acc:MGI:95299]</t>
  </si>
  <si>
    <t>Eldr</t>
  </si>
  <si>
    <t>Egfr long non-coding downstream RNA [Source:MGI Symbol;Acc:MGI:1919985]</t>
  </si>
  <si>
    <t>Unc119</t>
  </si>
  <si>
    <t>unc-119 lipid binding chaperone [Source:MGI Symbol;Acc:MGI:1328357]</t>
  </si>
  <si>
    <t>Zfp961</t>
  </si>
  <si>
    <t>zinc finger protein 961 [Source:MGI Symbol;Acc:MGI:3583954]</t>
  </si>
  <si>
    <t>Ddx39</t>
  </si>
  <si>
    <t>DEAD (Asp-Glu-Ala-Asp) box polypeptide 39 [Source:MGI Symbol;Acc:MGI:1915528]</t>
  </si>
  <si>
    <t>Strn3</t>
  </si>
  <si>
    <t>striatin, calmodulin binding protein 3 [Source:MGI Symbol;Acc:MGI:2151064]</t>
  </si>
  <si>
    <t>Zfp120</t>
  </si>
  <si>
    <t>zinc finger protein 120 [Source:MGI Symbol;Acc:MGI:1345179]</t>
  </si>
  <si>
    <t>Slk</t>
  </si>
  <si>
    <t>STE20-like kinase [Source:MGI Symbol;Acc:MGI:103241]</t>
  </si>
  <si>
    <t>Dock2</t>
  </si>
  <si>
    <t>dedicator of cyto-kinesis 2 [Source:MGI Symbol;Acc:MGI:2149010]</t>
  </si>
  <si>
    <t>Cbl</t>
  </si>
  <si>
    <t>Casitas B-lineage lymphoma [Source:MGI Symbol;Acc:MGI:88279]</t>
  </si>
  <si>
    <t>Tox4</t>
  </si>
  <si>
    <t>TOX high mobility group box family member 4 [Source:MGI Symbol;Acc:MGI:1915389]</t>
  </si>
  <si>
    <t>Txnl1</t>
  </si>
  <si>
    <t>thioredoxin-like 1 [Source:MGI Symbol;Acc:MGI:1860078]</t>
  </si>
  <si>
    <t>Vim</t>
  </si>
  <si>
    <t>vimentin [Source:MGI Symbol;Acc:MGI:98932]</t>
  </si>
  <si>
    <t>Ccdc191</t>
  </si>
  <si>
    <t>coiled-coil domain containing 191 [Source:MGI Symbol;Acc:MGI:1922661]</t>
  </si>
  <si>
    <t>Sec61a1</t>
  </si>
  <si>
    <t>Sec61 alpha 1 subunit (S. cerevisiae) [Source:MGI Symbol;Acc:MGI:1858417]</t>
  </si>
  <si>
    <t>Lrrc14b</t>
  </si>
  <si>
    <t>leucine rich repeat containing 14B [Source:MGI Symbol;Acc:MGI:2145269]</t>
  </si>
  <si>
    <t>Tnpo2</t>
  </si>
  <si>
    <t>transportin 2 (importin 3, karyopherin beta 2b) [Source:MGI Symbol;Acc:MGI:2384849]</t>
  </si>
  <si>
    <t>Abcd1</t>
  </si>
  <si>
    <t>ATP-binding cassette, sub-family D (ALD), member 1 [Source:MGI Symbol;Acc:MGI:1349215]</t>
  </si>
  <si>
    <t>Abce1</t>
  </si>
  <si>
    <t>ATP-binding cassette, sub-family E (OABP), member 1 [Source:MGI Symbol;Acc:MGI:1195458]</t>
  </si>
  <si>
    <t>Serping1</t>
  </si>
  <si>
    <t>serine (or cysteine) peptidase inhibitor, clade G, member 1 [Source:MGI Symbol;Acc:MGI:894696]</t>
  </si>
  <si>
    <t>Coq10a</t>
  </si>
  <si>
    <t>coenzyme Q10A [Source:MGI Symbol;Acc:MGI:2684847]</t>
  </si>
  <si>
    <t>Cnst</t>
  </si>
  <si>
    <t>consortin, connexin sorting protein [Source:MGI Symbol;Acc:MGI:2445141]</t>
  </si>
  <si>
    <t>Entpd5</t>
  </si>
  <si>
    <t>ectonucleoside triphosphate diphosphohydrolase 5 [Source:MGI Symbol;Acc:MGI:1321385]</t>
  </si>
  <si>
    <t>Gm2415</t>
  </si>
  <si>
    <t>predicted gene 2415 [Source:MGI Symbol;Acc:MGI:3780582]</t>
  </si>
  <si>
    <t>St8sia4</t>
  </si>
  <si>
    <t>ST8 alpha-N-acetyl-neuraminide alpha-2,8-sialyltransferase 4 [Source:MGI Symbol;Acc:MGI:106018]</t>
  </si>
  <si>
    <t>Trak1</t>
  </si>
  <si>
    <t>trafficking protein, kinesin binding 1 [Source:MGI Symbol;Acc:MGI:1914345]</t>
  </si>
  <si>
    <t>Thrap3</t>
  </si>
  <si>
    <t>thyroid hormone receptor associated protein 3 [Source:MGI Symbol;Acc:MGI:2442637]</t>
  </si>
  <si>
    <t>Josd1</t>
  </si>
  <si>
    <t>Josephin domain containing 1 [Source:MGI Symbol;Acc:MGI:1921408]</t>
  </si>
  <si>
    <t>Bcat1</t>
  </si>
  <si>
    <t>branched chain aminotransferase 1, cytosolic [Source:MGI Symbol;Acc:MGI:104861]</t>
  </si>
  <si>
    <t>Ucp2</t>
  </si>
  <si>
    <t>uncoupling protein 2 (mitochondrial, proton carrier) [Source:MGI Symbol;Acc:MGI:109354]</t>
  </si>
  <si>
    <t>Asf1a</t>
  </si>
  <si>
    <t>anti-silencing function 1A histone chaperone [Source:MGI Symbol;Acc:MGI:1913653]</t>
  </si>
  <si>
    <t>Trappc12</t>
  </si>
  <si>
    <t>trafficking protein particle complex 12 [Source:MGI Symbol;Acc:MGI:2445089]</t>
  </si>
  <si>
    <t>Zfp874b</t>
  </si>
  <si>
    <t>zinc finger protein 874b [Source:MGI Symbol;Acc:MGI:3040702]</t>
  </si>
  <si>
    <t>Hspa4</t>
  </si>
  <si>
    <t>heat shock protein 4 [Source:MGI Symbol;Acc:MGI:1342292]</t>
  </si>
  <si>
    <t>Tns3</t>
  </si>
  <si>
    <t>tensin 3 [Source:MGI Symbol;Acc:MGI:2443012]</t>
  </si>
  <si>
    <t>Cln6</t>
  </si>
  <si>
    <t>ceroid-lipofuscinosis, neuronal 6 [Source:MGI Symbol;Acc:MGI:2159324]</t>
  </si>
  <si>
    <t>Capn5</t>
  </si>
  <si>
    <t>calpain 5 [Source:MGI Symbol;Acc:MGI:1100859]</t>
  </si>
  <si>
    <t>Esf1</t>
  </si>
  <si>
    <t>ESF1 nucleolar pre-rRNA processing protein homolog [Source:MGI Symbol;Acc:MGI:1913830]</t>
  </si>
  <si>
    <t>Foxh1</t>
  </si>
  <si>
    <t>forkhead box H1 [Source:MGI Symbol;Acc:MGI:1347465]</t>
  </si>
  <si>
    <t>Tomm40l</t>
  </si>
  <si>
    <t>translocase of outer mitochondrial membrane 40-like [Source:MGI Symbol;Acc:MGI:3589112]</t>
  </si>
  <si>
    <t>Eif2s3x</t>
  </si>
  <si>
    <t>eukaryotic translation initiation factor 2, subunit 3, structural gene X-linked [Source:MGI Symbol;Acc:MGI:1349431]</t>
  </si>
  <si>
    <t>Ranbp1</t>
  </si>
  <si>
    <t>RAN binding protein 1 [Source:MGI Symbol;Acc:MGI:96269]</t>
  </si>
  <si>
    <t>Xrn2</t>
  </si>
  <si>
    <t>5'-3' exoribonuclease 2 [Source:MGI Symbol;Acc:MGI:894687]</t>
  </si>
  <si>
    <t>Cep19</t>
  </si>
  <si>
    <t>centrosomal protein 19 [Source:MGI Symbol;Acc:MGI:1914244]</t>
  </si>
  <si>
    <t>Zfr</t>
  </si>
  <si>
    <t>zinc finger RNA binding protein [Source:MGI Symbol;Acc:MGI:1341890]</t>
  </si>
  <si>
    <t>Rbbp4</t>
  </si>
  <si>
    <t>retinoblastoma binding protein 4, chromatin remodeling factor [Source:MGI Symbol;Acc:MGI:1194912]</t>
  </si>
  <si>
    <t>Dcun1d4</t>
  </si>
  <si>
    <t>DCN1, defective in cullin neddylation 1, domain containing 4 (S. cerevisiae) [Source:MGI Symbol;Acc:MGI:2140972]</t>
  </si>
  <si>
    <t>Extl3</t>
  </si>
  <si>
    <t>exostosin-like glycosyltransferase 3 [Source:MGI Symbol;Acc:MGI:1860765]</t>
  </si>
  <si>
    <t>Frmd6</t>
  </si>
  <si>
    <t>FERM domain containing 6 [Source:MGI Symbol;Acc:MGI:2442579]</t>
  </si>
  <si>
    <t>Dbnl</t>
  </si>
  <si>
    <t>drebrin-like [Source:MGI Symbol;Acc:MGI:700006]</t>
  </si>
  <si>
    <t>Psme3</t>
  </si>
  <si>
    <t>proteaseome (prosome, macropain) activator subunit 3 (PA28 gamma, Ki) [Source:MGI Symbol;Acc:MGI:1096366]</t>
  </si>
  <si>
    <t>Exosc8</t>
  </si>
  <si>
    <t>exosome component 8 [Source:MGI Symbol;Acc:MGI:1916889]</t>
  </si>
  <si>
    <t>Gm48786</t>
  </si>
  <si>
    <t>predicted gene, 48786 [Source:MGI Symbol;Acc:MGI:6098486]</t>
  </si>
  <si>
    <t>9430015G10Rik</t>
  </si>
  <si>
    <t>RIKEN cDNA 9430015G10 gene [Source:MGI Symbol;Acc:MGI:2444364]</t>
  </si>
  <si>
    <t>Ak6</t>
  </si>
  <si>
    <t>adenylate kinase 6 [Source:MGI Symbol;Acc:MGI:5510732]</t>
  </si>
  <si>
    <t>Ik</t>
  </si>
  <si>
    <t>IK cytokine [Source:MGI Symbol;Acc:MGI:1345142]</t>
  </si>
  <si>
    <t>Zfp629</t>
  </si>
  <si>
    <t>zinc finger protein 629 [Source:MGI Symbol;Acc:MGI:2444524]</t>
  </si>
  <si>
    <t>Ints7</t>
  </si>
  <si>
    <t>integrator complex subunit 7 [Source:MGI Symbol;Acc:MGI:1924315]</t>
  </si>
  <si>
    <t>Xpnpep3</t>
  </si>
  <si>
    <t>X-prolyl aminopeptidase 3, mitochondrial [Source:MGI Symbol;Acc:MGI:2445217]</t>
  </si>
  <si>
    <t>Ppm1b</t>
  </si>
  <si>
    <t>protein phosphatase 1B, magnesium dependent, beta isoform [Source:MGI Symbol;Acc:MGI:101841]</t>
  </si>
  <si>
    <t>Eef2kmt</t>
  </si>
  <si>
    <t>eukaryotic elongation factor 2 lysine methyltransferase [Source:MGI Symbol;Acc:MGI:1917761]</t>
  </si>
  <si>
    <t>Crlf3</t>
  </si>
  <si>
    <t>cytokine receptor-like factor 3 [Source:MGI Symbol;Acc:MGI:1860086]</t>
  </si>
  <si>
    <t>Ccdc181</t>
  </si>
  <si>
    <t>coiled-coil domain containing 181 [Source:MGI Symbol;Acc:MGI:1922145]</t>
  </si>
  <si>
    <t>Ahdc1</t>
  </si>
  <si>
    <t>AT hook, DNA binding motif, containing 1 [Source:MGI Symbol;Acc:MGI:2444218]</t>
  </si>
  <si>
    <t>Map2k3os</t>
  </si>
  <si>
    <t>mitogen-activated protein kinase kinase 3, opposite strand [Source:MGI Symbol;Acc:MGI:1344334]</t>
  </si>
  <si>
    <t>9330175E14Rik</t>
  </si>
  <si>
    <t>RIKEN cDNA 9330175E14 gene [Source:MGI Symbol;Acc:MGI:2443913]</t>
  </si>
  <si>
    <t>Slc25a10</t>
  </si>
  <si>
    <t>solute carrier family 25 (mitochondrial carrier, dicarboxylate transporter), member 10 [Source:MGI Symbol;Acc:MGI:1353497]</t>
  </si>
  <si>
    <t>Mindy4</t>
  </si>
  <si>
    <t>MINDY lysine 48 deubiquitinase 4 [Source:MGI Symbol;Acc:MGI:3583959]</t>
  </si>
  <si>
    <t>Mcrip2</t>
  </si>
  <si>
    <t>MAPK regulated corepressor interacting protein 2 [Source:MGI Symbol;Acc:MGI:1915491]</t>
  </si>
  <si>
    <t>Gm21972</t>
  </si>
  <si>
    <t>predicted gene 21972 [Source:MGI Symbol;Acc:MGI:5439441]</t>
  </si>
  <si>
    <t>Faddos</t>
  </si>
  <si>
    <t>Fas (TNFRSF6)-associated via death domain, opposite strand [Source:MGI Symbol;Acc:MGI:3642460]</t>
  </si>
  <si>
    <t>Dgki</t>
  </si>
  <si>
    <t>diacylglycerol kinase, iota [Source:MGI Symbol;Acc:MGI:2443430]</t>
  </si>
  <si>
    <t>Hspa8</t>
  </si>
  <si>
    <t>heat shock protein 8 [Source:MGI Symbol;Acc:MGI:105384]</t>
  </si>
  <si>
    <t>Pkd1</t>
  </si>
  <si>
    <t>polycystin 1, transient receptor poteintial channel interacting [Source:MGI Symbol;Acc:MGI:97603]</t>
  </si>
  <si>
    <t>Epb41</t>
  </si>
  <si>
    <t>erythrocyte membrane protein band 4.1 [Source:MGI Symbol;Acc:MGI:95401]</t>
  </si>
  <si>
    <t>Rabl3</t>
  </si>
  <si>
    <t>RAB, member RAS oncogene family-like 3 [Source:MGI Symbol;Acc:MGI:1914907]</t>
  </si>
  <si>
    <t>Hsd17b2</t>
  </si>
  <si>
    <t>hydroxysteroid (17-beta) dehydrogenase 2 [Source:MGI Symbol;Acc:MGI:1096386]</t>
  </si>
  <si>
    <t>Ubqln4</t>
  </si>
  <si>
    <t>ubiquilin 4 [Source:MGI Symbol;Acc:MGI:2150152]</t>
  </si>
  <si>
    <t>Mpeg1</t>
  </si>
  <si>
    <t>macrophage expressed gene 1 [Source:MGI Symbol;Acc:MGI:1333743]</t>
  </si>
  <si>
    <t>Gm43351</t>
  </si>
  <si>
    <t>predicted gene 43351 [Source:MGI Symbol;Acc:MGI:5663488]</t>
  </si>
  <si>
    <t>Zdhhc5</t>
  </si>
  <si>
    <t>zinc finger, DHHC domain containing 5 [Source:MGI Symbol;Acc:MGI:1923573]</t>
  </si>
  <si>
    <t>Pkib</t>
  </si>
  <si>
    <t>protein kinase inhibitor beta, cAMP dependent, testis specific [Source:MGI Symbol;Acc:MGI:101937]</t>
  </si>
  <si>
    <t>Slfn1</t>
  </si>
  <si>
    <t>schlafen 1 [Source:MGI Symbol;Acc:MGI:1313259]</t>
  </si>
  <si>
    <t>Ptpa</t>
  </si>
  <si>
    <t>protein phosphatase 2 protein activator [Source:MGI Symbol;Acc:MGI:1346006]</t>
  </si>
  <si>
    <t>Dip2b</t>
  </si>
  <si>
    <t>disco interacting protein 2 homolog B [Source:MGI Symbol;Acc:MGI:2145977]</t>
  </si>
  <si>
    <t>Rmnd5b</t>
  </si>
  <si>
    <t>required for meiotic nuclear division 5 homolog B [Source:MGI Symbol;Acc:MGI:1913339]</t>
  </si>
  <si>
    <t>Bckdha</t>
  </si>
  <si>
    <t>branched chain ketoacid dehydrogenase E1, alpha polypeptide [Source:MGI Symbol;Acc:MGI:107701]</t>
  </si>
  <si>
    <t>Sufu</t>
  </si>
  <si>
    <t>SUFU negative regulator of hedgehog signaling [Source:MGI Symbol;Acc:MGI:1345643]</t>
  </si>
  <si>
    <t>Zfand4</t>
  </si>
  <si>
    <t>zinc finger, AN1-type domain 4 [Source:MGI Symbol;Acc:MGI:1914742]</t>
  </si>
  <si>
    <t>Lpcat2</t>
  </si>
  <si>
    <t>lysophosphatidylcholine acyltransferase 2 [Source:MGI Symbol;Acc:MGI:3606214]</t>
  </si>
  <si>
    <t>Prkrip1</t>
  </si>
  <si>
    <t>Prkr interacting protein 1 (IL11 inducible) [Source:MGI Symbol;Acc:MGI:1914051]</t>
  </si>
  <si>
    <t>Bend4</t>
  </si>
  <si>
    <t>BEN domain containing 4 [Source:MGI Symbol;Acc:MGI:3648414]</t>
  </si>
  <si>
    <t>Unc13a</t>
  </si>
  <si>
    <t>unc-13 homolog A [Source:MGI Symbol;Acc:MGI:3051532]</t>
  </si>
  <si>
    <t>Hibch</t>
  </si>
  <si>
    <t>3-hydroxyisobutyryl-Coenzyme A hydrolase [Source:MGI Symbol;Acc:MGI:1923792]</t>
  </si>
  <si>
    <t>Fsbp</t>
  </si>
  <si>
    <t>fibrinogen silencer binding protein [Source:MGI Symbol;Acc:MGI:5301008]</t>
  </si>
  <si>
    <t>Rnf44</t>
  </si>
  <si>
    <t>ring finger protein 44 [Source:MGI Symbol;Acc:MGI:2145310]</t>
  </si>
  <si>
    <t>Foxj2</t>
  </si>
  <si>
    <t>forkhead box J2 [Source:MGI Symbol;Acc:MGI:1926805]</t>
  </si>
  <si>
    <t>Ncoa7</t>
  </si>
  <si>
    <t>nuclear receptor coactivator 7 [Source:MGI Symbol;Acc:MGI:2444847]</t>
  </si>
  <si>
    <t>Proser3</t>
  </si>
  <si>
    <t>proline and serine rich 3 [Source:MGI Symbol;Acc:MGI:2681861]</t>
  </si>
  <si>
    <t>Ak3</t>
  </si>
  <si>
    <t>adenylate kinase 3 [Source:MGI Symbol;Acc:MGI:1860835]</t>
  </si>
  <si>
    <t>Ttyh2</t>
  </si>
  <si>
    <t>tweety family member 2 [Source:MGI Symbol;Acc:MGI:2157091]</t>
  </si>
  <si>
    <t>Zfyve21</t>
  </si>
  <si>
    <t>zinc finger, FYVE domain containing 21 [Source:MGI Symbol;Acc:MGI:1915770]</t>
  </si>
  <si>
    <t>Cnnm4</t>
  </si>
  <si>
    <t>cyclin M4 [Source:MGI Symbol;Acc:MGI:2151060]</t>
  </si>
  <si>
    <t>Anxa4</t>
  </si>
  <si>
    <t>annexin A4 [Source:MGI Symbol;Acc:MGI:88030]</t>
  </si>
  <si>
    <t>Zfp516</t>
  </si>
  <si>
    <t>zinc finger protein 516 [Source:MGI Symbol;Acc:MGI:2443957]</t>
  </si>
  <si>
    <t>Clcn3</t>
  </si>
  <si>
    <t>chloride channel, voltage-sensitive 3 [Source:MGI Symbol;Acc:MGI:103555]</t>
  </si>
  <si>
    <t>Il1r1</t>
  </si>
  <si>
    <t>interleukin 1 receptor, type I [Source:MGI Symbol;Acc:MGI:96545]</t>
  </si>
  <si>
    <t>Phospho1</t>
  </si>
  <si>
    <t>phosphatase, orphan 1 [Source:MGI Symbol;Acc:MGI:2447348]</t>
  </si>
  <si>
    <t>Rbis</t>
  </si>
  <si>
    <t>ribosomal biogenesis factor [Source:MGI Symbol;Acc:MGI:1916376]</t>
  </si>
  <si>
    <t>Ipmk</t>
  </si>
  <si>
    <t>inositol polyphosphate multikinase [Source:MGI Symbol;Acc:MGI:1916968]</t>
  </si>
  <si>
    <t>Fam13b</t>
  </si>
  <si>
    <t>family with sequence similarity 13, member B [Source:MGI Symbol;Acc:MGI:2447834]</t>
  </si>
  <si>
    <t>Pex12</t>
  </si>
  <si>
    <t>peroxisomal biogenesis factor 12 [Source:MGI Symbol;Acc:MGI:2144177]</t>
  </si>
  <si>
    <t>Zfp703</t>
  </si>
  <si>
    <t>zinc finger protein 703 [Source:MGI Symbol;Acc:MGI:2662729]</t>
  </si>
  <si>
    <t>Cdca2</t>
  </si>
  <si>
    <t>cell division cycle associated 2 [Source:MGI Symbol;Acc:MGI:1919787]</t>
  </si>
  <si>
    <t>Pik3r3</t>
  </si>
  <si>
    <t>phosphoinositide-3-kinase regulatory subunit 3 [Source:MGI Symbol;Acc:MGI:109277]</t>
  </si>
  <si>
    <t>Pcgf5</t>
  </si>
  <si>
    <t>polycomb group ring finger 5 [Source:MGI Symbol;Acc:MGI:1923505]</t>
  </si>
  <si>
    <t>Rrp7a</t>
  </si>
  <si>
    <t>ribosomal RNA processing 7 homolog A (S. cerevisiae) [Source:MGI Symbol;Acc:MGI:1922028]</t>
  </si>
  <si>
    <t>Qser1</t>
  </si>
  <si>
    <t>glutamine and serine rich 1 [Source:MGI Symbol;Acc:MGI:2138986]</t>
  </si>
  <si>
    <t>Zfp367</t>
  </si>
  <si>
    <t>zinc finger protein 367 [Source:MGI Symbol;Acc:MGI:2442266]</t>
  </si>
  <si>
    <t>Plau</t>
  </si>
  <si>
    <t>plasminogen activator, urokinase [Source:MGI Symbol;Acc:MGI:97611]</t>
  </si>
  <si>
    <t>Irf2bp1</t>
  </si>
  <si>
    <t>interferon regulatory factor 2 binding protein 1 [Source:MGI Symbol;Acc:MGI:2442159]</t>
  </si>
  <si>
    <t>Man2a1</t>
  </si>
  <si>
    <t>mannosidase 2, alpha 1 [Source:MGI Symbol;Acc:MGI:104669]</t>
  </si>
  <si>
    <t>Il17ra</t>
  </si>
  <si>
    <t>interleukin 17 receptor A [Source:MGI Symbol;Acc:MGI:107399]</t>
  </si>
  <si>
    <t>Chmp7</t>
  </si>
  <si>
    <t>charged multivesicular body protein 7 [Source:MGI Symbol;Acc:MGI:1913922]</t>
  </si>
  <si>
    <t>Mns1</t>
  </si>
  <si>
    <t>meiosis-specific nuclear structural protein 1 [Source:MGI Symbol;Acc:MGI:107933]</t>
  </si>
  <si>
    <t>Slc35g1</t>
  </si>
  <si>
    <t>solute carrier family 35, member G1 [Source:MGI Symbol;Acc:MGI:2444789]</t>
  </si>
  <si>
    <t>Aggf1</t>
  </si>
  <si>
    <t>angiogenic factor with G patch and FHA domains 1 [Source:MGI Symbol;Acc:MGI:1913799]</t>
  </si>
  <si>
    <t>Fh1</t>
  </si>
  <si>
    <t>fumarate hydratase 1 [Source:MGI Symbol;Acc:MGI:95530]</t>
  </si>
  <si>
    <t>Kcnn4</t>
  </si>
  <si>
    <t>potassium intermediate/small conductance calcium-activated channel, subfamily N, member 4 [Source:MGI Symbol;Acc:MGI:1277957]</t>
  </si>
  <si>
    <t>Ppip5k1</t>
  </si>
  <si>
    <t>diphosphoinositol pentakisphosphate kinase 1 [Source:MGI Symbol;Acc:MGI:2443281]</t>
  </si>
  <si>
    <t>Zfp217</t>
  </si>
  <si>
    <t>zinc finger protein 217 [Source:MGI Symbol;Acc:MGI:2685408]</t>
  </si>
  <si>
    <t>Zfp715</t>
  </si>
  <si>
    <t>zinc finger protein 715 [Source:MGI Symbol;Acc:MGI:1917180]</t>
  </si>
  <si>
    <t>Lck</t>
  </si>
  <si>
    <t>lymphocyte protein tyrosine kinase [Source:MGI Symbol;Acc:MGI:96756]</t>
  </si>
  <si>
    <t>Tnrc6c</t>
  </si>
  <si>
    <t>trinucleotide repeat containing 6C [Source:MGI Symbol;Acc:MGI:2443265]</t>
  </si>
  <si>
    <t>Impdh1</t>
  </si>
  <si>
    <t>inosine monophosphate dehydrogenase 1 [Source:MGI Symbol;Acc:MGI:96567]</t>
  </si>
  <si>
    <t>Braf</t>
  </si>
  <si>
    <t>Braf transforming gene [Source:MGI Symbol;Acc:MGI:88190]</t>
  </si>
  <si>
    <t>2810025M15Rik</t>
  </si>
  <si>
    <t>RIKEN cDNA 2810025M15 gene [Source:MGI Symbol;Acc:MGI:1917203]</t>
  </si>
  <si>
    <t>transcribed_processed_pseudogene</t>
  </si>
  <si>
    <t>AC149090.1</t>
  </si>
  <si>
    <t>Ccp110</t>
  </si>
  <si>
    <t>centriolar coiled coil protein 110 [Source:MGI Symbol;Acc:MGI:2141942]</t>
  </si>
  <si>
    <t>Psrc1</t>
  </si>
  <si>
    <t>proline/serine-rich coiled-coil 1 [Source:MGI Symbol;Acc:MGI:1913099]</t>
  </si>
  <si>
    <t>Gda</t>
  </si>
  <si>
    <t>guanine deaminase [Source:MGI Symbol;Acc:MGI:95678]</t>
  </si>
  <si>
    <t>Cdca3</t>
  </si>
  <si>
    <t>cell division cycle associated 3 [Source:MGI Symbol;Acc:MGI:1315198]</t>
  </si>
  <si>
    <t>Mmp19</t>
  </si>
  <si>
    <t>matrix metallopeptidase 19 [Source:MGI Symbol;Acc:MGI:1927899]</t>
  </si>
  <si>
    <t>Ms4a4c</t>
  </si>
  <si>
    <t>membrane-spanning 4-domains, subfamily A, member 4C [Source:MGI Symbol;Acc:MGI:1927656]</t>
  </si>
  <si>
    <t>Hnrnpr</t>
  </si>
  <si>
    <t>heterogeneous nuclear ribonucleoprotein R [Source:MGI Symbol;Acc:MGI:1891692]</t>
  </si>
  <si>
    <t>Ranbp6</t>
  </si>
  <si>
    <t>RAN binding protein 6 [Source:MGI Symbol;Acc:MGI:2683212]</t>
  </si>
  <si>
    <t>Igf2r</t>
  </si>
  <si>
    <t>insulin-like growth factor 2 receptor [Source:MGI Symbol;Acc:MGI:96435]</t>
  </si>
  <si>
    <t>Rnf157</t>
  </si>
  <si>
    <t>ring finger protein 157 [Source:MGI Symbol;Acc:MGI:2442484]</t>
  </si>
  <si>
    <t>R74862</t>
  </si>
  <si>
    <t>expressed sequence R74862 [Source:MGI Symbol;Acc:MGI:2142382]</t>
  </si>
  <si>
    <t>Efnb1</t>
  </si>
  <si>
    <t>ephrin B1 [Source:MGI Symbol;Acc:MGI:102708]</t>
  </si>
  <si>
    <t>Zdhhc13</t>
  </si>
  <si>
    <t>zinc finger, DHHC domain containing 13 [Source:MGI Symbol;Acc:MGI:1919227]</t>
  </si>
  <si>
    <t>Paxip1</t>
  </si>
  <si>
    <t>PAX interacting (with transcription-activation domain) protein 1 [Source:MGI Symbol;Acc:MGI:1890430]</t>
  </si>
  <si>
    <t>Stx12</t>
  </si>
  <si>
    <t>syntaxin 12 [Source:MGI Symbol;Acc:MGI:1931027]</t>
  </si>
  <si>
    <t>Bag4</t>
  </si>
  <si>
    <t>BCL2-associated athanogene 4 [Source:MGI Symbol;Acc:MGI:1914634]</t>
  </si>
  <si>
    <t>Mr1</t>
  </si>
  <si>
    <t>major histocompatibility complex, class I-related [Source:MGI Symbol;Acc:MGI:1195463]</t>
  </si>
  <si>
    <t>Gm26714</t>
  </si>
  <si>
    <t>predicted gene, 26714 [Source:MGI Symbol;Acc:MGI:5477208]</t>
  </si>
  <si>
    <t>Sp3</t>
  </si>
  <si>
    <t>trans-acting transcription factor 3 [Source:MGI Symbol;Acc:MGI:1277166]</t>
  </si>
  <si>
    <t>Hnrnph2</t>
  </si>
  <si>
    <t>heterogeneous nuclear ribonucleoprotein H2 [Source:MGI Symbol;Acc:MGI:1201779]</t>
  </si>
  <si>
    <t>Hdgfl2</t>
  </si>
  <si>
    <t>HDGF like 2 [Source:MGI Symbol;Acc:MGI:1194492]</t>
  </si>
  <si>
    <t>Ints5</t>
  </si>
  <si>
    <t>integrator complex subunit 5 [Source:MGI Symbol;Acc:MGI:1923578]</t>
  </si>
  <si>
    <t>Plekhj1</t>
  </si>
  <si>
    <t>pleckstrin homology domain containing, family J member 1 [Source:MGI Symbol;Acc:MGI:1925920]</t>
  </si>
  <si>
    <t>Rab15</t>
  </si>
  <si>
    <t>RAB15, member RAS oncogene family [Source:MGI Symbol;Acc:MGI:1916865]</t>
  </si>
  <si>
    <t>Pag1</t>
  </si>
  <si>
    <t>phosphoprotein associated with glycosphingolipid microdomains 1 [Source:MGI Symbol;Acc:MGI:2443160]</t>
  </si>
  <si>
    <t>B230219D22Rik</t>
  </si>
  <si>
    <t>RIKEN cDNA B230219D22 gene [Source:MGI Symbol;Acc:MGI:1925771]</t>
  </si>
  <si>
    <t>Gm20163</t>
  </si>
  <si>
    <t>predicted gene, 20163 [Source:MGI Symbol;Acc:MGI:5012348]</t>
  </si>
  <si>
    <t>Cyb5rl</t>
  </si>
  <si>
    <t>cytochrome b5 reductase-like [Source:MGI Symbol;Acc:MGI:1919657]</t>
  </si>
  <si>
    <t>Prpf4b</t>
  </si>
  <si>
    <t>pre-mRNA processing factor 4B [Source:MGI Symbol;Acc:MGI:109584]</t>
  </si>
  <si>
    <t>Zfp799</t>
  </si>
  <si>
    <t>zinc finger protein 799 [Source:MGI Symbol;Acc:MGI:2443934]</t>
  </si>
  <si>
    <t>Wdr19</t>
  </si>
  <si>
    <t>WD repeat domain 19 [Source:MGI Symbol;Acc:MGI:2443231]</t>
  </si>
  <si>
    <t>Cops8</t>
  </si>
  <si>
    <t>COP9 signalosome subunit 8 [Source:MGI Symbol;Acc:MGI:1915363]</t>
  </si>
  <si>
    <t>4833420G17Rik</t>
  </si>
  <si>
    <t>RIKEN cDNA 4833420G17 gene [Source:MGI Symbol;Acc:MGI:1914642]</t>
  </si>
  <si>
    <t>Cbfb</t>
  </si>
  <si>
    <t>core binding factor beta [Source:MGI Symbol;Acc:MGI:99851]</t>
  </si>
  <si>
    <t>Sh2b1</t>
  </si>
  <si>
    <t>SH2B adaptor protein 1 [Source:MGI Symbol;Acc:MGI:1201407]</t>
  </si>
  <si>
    <t>Hip1r</t>
  </si>
  <si>
    <t>huntingtin interacting protein 1 related [Source:MGI Symbol;Acc:MGI:1352504]</t>
  </si>
  <si>
    <t>Aida</t>
  </si>
  <si>
    <t>axin interactor, dorsalization associated [Source:MGI Symbol;Acc:MGI:1919737]</t>
  </si>
  <si>
    <t>Rad21</t>
  </si>
  <si>
    <t>RAD21 cohesin complex component [Source:MGI Symbol;Acc:MGI:108016]</t>
  </si>
  <si>
    <t>Synrg</t>
  </si>
  <si>
    <t>synergin, gamma [Source:MGI Symbol;Acc:MGI:1354742]</t>
  </si>
  <si>
    <t>Wars</t>
  </si>
  <si>
    <t>tryptophanyl-tRNA synthetase [Source:MGI Symbol;Acc:MGI:104630]</t>
  </si>
  <si>
    <t>Kif13b</t>
  </si>
  <si>
    <t>kinesin family member 13B [Source:MGI Symbol;Acc:MGI:1098265]</t>
  </si>
  <si>
    <t>Setd2</t>
  </si>
  <si>
    <t>SET domain containing 2 [Source:MGI Symbol;Acc:MGI:1918177]</t>
  </si>
  <si>
    <t>Gna13</t>
  </si>
  <si>
    <t>guanine nucleotide binding protein, alpha 13 [Source:MGI Symbol;Acc:MGI:95768]</t>
  </si>
  <si>
    <t>Lrrc45</t>
  </si>
  <si>
    <t>leucine rich repeat containing 45 [Source:MGI Symbol;Acc:MGI:2387183]</t>
  </si>
  <si>
    <t>Ung</t>
  </si>
  <si>
    <t>uracil DNA glycosylase [Source:MGI Symbol;Acc:MGI:109352]</t>
  </si>
  <si>
    <t>Ankrd54</t>
  </si>
  <si>
    <t>ankyrin repeat domain 54 [Source:MGI Symbol;Acc:MGI:2444209]</t>
  </si>
  <si>
    <t>Mospd2</t>
  </si>
  <si>
    <t>motile sperm domain containing 2 [Source:MGI Symbol;Acc:MGI:1924013]</t>
  </si>
  <si>
    <t>Cyp4v3</t>
  </si>
  <si>
    <t>cytochrome P450, family 4, subfamily v, polypeptide 3 [Source:MGI Symbol;Acc:MGI:2142763]</t>
  </si>
  <si>
    <t>Paip2</t>
  </si>
  <si>
    <t>polyadenylate-binding protein-interacting protein 2 [Source:MGI Symbol;Acc:MGI:1915119]</t>
  </si>
  <si>
    <t>Lima1</t>
  </si>
  <si>
    <t>LIM domain and actin binding 1 [Source:MGI Symbol;Acc:MGI:1920992]</t>
  </si>
  <si>
    <t>Retsat</t>
  </si>
  <si>
    <t>retinol saturase (all trans retinol 13,14 reductase) [Source:MGI Symbol;Acc:MGI:1914692]</t>
  </si>
  <si>
    <t>Arl4a</t>
  </si>
  <si>
    <t>ADP-ribosylation factor-like 4A [Source:MGI Symbol;Acc:MGI:99437]</t>
  </si>
  <si>
    <t>Nkain1</t>
  </si>
  <si>
    <t>Na+/K+ transporting ATPase interacting 1 [Source:MGI Symbol;Acc:MGI:1914399]</t>
  </si>
  <si>
    <t>Psmc4</t>
  </si>
  <si>
    <t>proteasome (prosome, macropain) 26S subunit, ATPase, 4 [Source:MGI Symbol;Acc:MGI:1346093]</t>
  </si>
  <si>
    <t>Kcnab1</t>
  </si>
  <si>
    <t>potassium voltage-gated channel, shaker-related subfamily, beta member 1 [Source:MGI Symbol;Acc:MGI:109155]</t>
  </si>
  <si>
    <t>Ksr2</t>
  </si>
  <si>
    <t>kinase suppressor of ras 2 [Source:MGI Symbol;Acc:MGI:3610315]</t>
  </si>
  <si>
    <t>Ube2z</t>
  </si>
  <si>
    <t>ubiquitin-conjugating enzyme E2Z [Source:MGI Symbol;Acc:MGI:1343160]</t>
  </si>
  <si>
    <t>Vapa</t>
  </si>
  <si>
    <t>vesicle-associated membrane protein, associated protein A [Source:MGI Symbol;Acc:MGI:1353561]</t>
  </si>
  <si>
    <t>Impact</t>
  </si>
  <si>
    <t>impact, RWD domain protein [Source:MGI Symbol;Acc:MGI:1098233]</t>
  </si>
  <si>
    <t>Gclm</t>
  </si>
  <si>
    <t>glutamate-cysteine ligase, modifier subunit [Source:MGI Symbol;Acc:MGI:104995]</t>
  </si>
  <si>
    <t>Bicral</t>
  </si>
  <si>
    <t>BRD4 interacting chromatin remodeling complex associated protein like [Source:MGI Symbol;Acc:MGI:2673855]</t>
  </si>
  <si>
    <t>Lmo2</t>
  </si>
  <si>
    <t>LIM domain only 2 [Source:MGI Symbol;Acc:MGI:102811]</t>
  </si>
  <si>
    <t>Cd200r4</t>
  </si>
  <si>
    <t>CD200 receptor 4 [Source:MGI Symbol;Acc:MGI:3036289]</t>
  </si>
  <si>
    <t>Wdr77</t>
  </si>
  <si>
    <t>WD repeat domain 77 [Source:MGI Symbol;Acc:MGI:1917715]</t>
  </si>
  <si>
    <t>Hells</t>
  </si>
  <si>
    <t>helicase, lymphoid specific [Source:MGI Symbol;Acc:MGI:106209]</t>
  </si>
  <si>
    <t>Sh3glb1</t>
  </si>
  <si>
    <t>SH3-domain GRB2-like B1 (endophilin) [Source:MGI Symbol;Acc:MGI:1859730]</t>
  </si>
  <si>
    <t>Zfp275</t>
  </si>
  <si>
    <t>zinc finger protein 275 [Source:MGI Symbol;Acc:MGI:1350985]</t>
  </si>
  <si>
    <t>Stab1</t>
  </si>
  <si>
    <t>stabilin 1 [Source:MGI Symbol;Acc:MGI:2178742]</t>
  </si>
  <si>
    <t>Zfp398</t>
  </si>
  <si>
    <t>zinc finger protein 398 [Source:MGI Symbol;Acc:MGI:1917856]</t>
  </si>
  <si>
    <t>Mrps34</t>
  </si>
  <si>
    <t>mitochondrial ribosomal protein S34 [Source:MGI Symbol;Acc:MGI:1930188]</t>
  </si>
  <si>
    <t>Rab11fip5</t>
  </si>
  <si>
    <t>RAB11 family interacting protein 5 (class I) [Source:MGI Symbol;Acc:MGI:1098586]</t>
  </si>
  <si>
    <t>Tmem218</t>
  </si>
  <si>
    <t>transmembrane protein 218 [Source:MGI Symbol;Acc:MGI:1913529]</t>
  </si>
  <si>
    <t>Psmb7</t>
  </si>
  <si>
    <t>proteasome (prosome, macropain) subunit, beta type 7 [Source:MGI Symbol;Acc:MGI:107637]</t>
  </si>
  <si>
    <t>Zfp608</t>
  </si>
  <si>
    <t>zinc finger protein 608 [Source:MGI Symbol;Acc:MGI:2442338]</t>
  </si>
  <si>
    <t>Tjp3</t>
  </si>
  <si>
    <t>tight junction protein 3 [Source:MGI Symbol;Acc:MGI:1351650]</t>
  </si>
  <si>
    <t>Jaml</t>
  </si>
  <si>
    <t>junction adhesion molecule like [Source:MGI Symbol;Acc:MGI:2685484]</t>
  </si>
  <si>
    <t>Clec12a</t>
  </si>
  <si>
    <t>C-type lectin domain family 12, member a [Source:MGI Symbol;Acc:MGI:3040968]</t>
  </si>
  <si>
    <t>Mmadhc</t>
  </si>
  <si>
    <t>methylmalonic aciduria (cobalamin deficiency) cblD type, with homocystinuria [Source:MGI Symbol;Acc:MGI:1923786]</t>
  </si>
  <si>
    <t>Serpinb8</t>
  </si>
  <si>
    <t>serine (or cysteine) peptidase inhibitor, clade B, member 8 [Source:MGI Symbol;Acc:MGI:894657]</t>
  </si>
  <si>
    <t>Psmd2</t>
  </si>
  <si>
    <t>proteasome (prosome, macropain) 26S subunit, non-ATPase, 2 [Source:MGI Symbol;Acc:MGI:1096584]</t>
  </si>
  <si>
    <t>Pbxip1</t>
  </si>
  <si>
    <t>pre B cell leukemia transcription factor interacting protein 1 [Source:MGI Symbol;Acc:MGI:2441670]</t>
  </si>
  <si>
    <t>Septin3</t>
  </si>
  <si>
    <t>septin 3 [Source:MGI Symbol;Acc:MGI:1345148]</t>
  </si>
  <si>
    <t>Pcx</t>
  </si>
  <si>
    <t>pyruvate carboxylase [Source:MGI Symbol;Acc:MGI:97520]</t>
  </si>
  <si>
    <t>Fbxo8</t>
  </si>
  <si>
    <t>F-box protein 8 [Source:MGI Symbol;Acc:MGI:1354696]</t>
  </si>
  <si>
    <t>Ppp2r2d</t>
  </si>
  <si>
    <t>protein phosphatase 2, regulatory subunit B, delta [Source:MGI Symbol;Acc:MGI:1289252]</t>
  </si>
  <si>
    <t>Aspm</t>
  </si>
  <si>
    <t>abnormal spindle microtubule assembly [Source:MGI Symbol;Acc:MGI:1334448]</t>
  </si>
  <si>
    <t>Cfh</t>
  </si>
  <si>
    <t>complement component factor h [Source:MGI Symbol;Acc:MGI:88385]</t>
  </si>
  <si>
    <t>Snx16</t>
  </si>
  <si>
    <t>sorting nexin 16 [Source:MGI Symbol;Acc:MGI:1921968]</t>
  </si>
  <si>
    <t>Hfe</t>
  </si>
  <si>
    <t>homeostatic iron regulator [Source:MGI Symbol;Acc:MGI:109191]</t>
  </si>
  <si>
    <t>Mid1</t>
  </si>
  <si>
    <t>midline 1 [Source:MGI Symbol;Acc:MGI:1100537]</t>
  </si>
  <si>
    <t>Sestd1</t>
  </si>
  <si>
    <t>SEC14 and spectrin domains 1 [Source:MGI Symbol;Acc:MGI:1916262]</t>
  </si>
  <si>
    <t>Gemin4</t>
  </si>
  <si>
    <t>gem nuclear organelle associated protein 4 [Source:MGI Symbol;Acc:MGI:2449313]</t>
  </si>
  <si>
    <t>Ly75</t>
  </si>
  <si>
    <t>lymphocyte antigen 75 [Source:MGI Symbol;Acc:MGI:106662]</t>
  </si>
  <si>
    <t>Uba1</t>
  </si>
  <si>
    <t>ubiquitin-like modifier activating enzyme 1 [Source:MGI Symbol;Acc:MGI:98890]</t>
  </si>
  <si>
    <t>Atoh8</t>
  </si>
  <si>
    <t>atonal bHLH transcription factor 8 [Source:MGI Symbol;Acc:MGI:1918343]</t>
  </si>
  <si>
    <t>Ppp2r1a</t>
  </si>
  <si>
    <t>protein phosphatase 2, regulatory subunit A, alpha [Source:MGI Symbol;Acc:MGI:1926334]</t>
  </si>
  <si>
    <t>Clca1</t>
  </si>
  <si>
    <t>chloride channel accessory 1 [Source:MGI Symbol;Acc:MGI:1346342]</t>
  </si>
  <si>
    <t>Tsr1</t>
  </si>
  <si>
    <t>TSR1 20S rRNA accumulation [Source:MGI Symbol;Acc:MGI:2144566]</t>
  </si>
  <si>
    <t>Exoc3l2</t>
  </si>
  <si>
    <t>exocyst complex component 3-like 2 [Source:MGI Symbol;Acc:MGI:1921713]</t>
  </si>
  <si>
    <t>Fam122b</t>
  </si>
  <si>
    <t>family with sequence similarity 122, member B [Source:MGI Symbol;Acc:MGI:1926005]</t>
  </si>
  <si>
    <t>Dcaf4</t>
  </si>
  <si>
    <t>DDB1 and CUL4 associated factor 4 [Source:MGI Symbol;Acc:MGI:1921078]</t>
  </si>
  <si>
    <t>Gabpb1</t>
  </si>
  <si>
    <t>GA repeat binding protein, beta 1 [Source:MGI Symbol;Acc:MGI:95611]</t>
  </si>
  <si>
    <t>Gm36486</t>
  </si>
  <si>
    <t>predicted gene, 36486 [Source:MGI Symbol;Acc:MGI:5595645]</t>
  </si>
  <si>
    <t>Trak2</t>
  </si>
  <si>
    <t>trafficking protein, kinesin binding 2 [Source:MGI Symbol;Acc:MGI:1918077]</t>
  </si>
  <si>
    <t>Rab7b</t>
  </si>
  <si>
    <t>RAB7B, member RAS oncogene family [Source:MGI Symbol;Acc:MGI:2442295]</t>
  </si>
  <si>
    <t>Lats1</t>
  </si>
  <si>
    <t>large tumor suppressor [Source:MGI Symbol;Acc:MGI:1333883]</t>
  </si>
  <si>
    <t>Gm38248</t>
  </si>
  <si>
    <t>predicted gene, 38248 [Source:MGI Symbol;Acc:MGI:5611476]</t>
  </si>
  <si>
    <t>Alas1</t>
  </si>
  <si>
    <t>aminolevulinic acid synthase 1 [Source:MGI Symbol;Acc:MGI:87989]</t>
  </si>
  <si>
    <t>Gdi1</t>
  </si>
  <si>
    <t>guanosine diphosphate (GDP) dissociation inhibitor 1 [Source:MGI Symbol;Acc:MGI:99846]</t>
  </si>
  <si>
    <t>Mettl9</t>
  </si>
  <si>
    <t>methyltransferase like 9 [Source:MGI Symbol;Acc:MGI:1914862]</t>
  </si>
  <si>
    <t>Khdrbs1</t>
  </si>
  <si>
    <t>KH domain containing, RNA binding, signal transduction associated 1 [Source:MGI Symbol;Acc:MGI:893579]</t>
  </si>
  <si>
    <t>Zfp791</t>
  </si>
  <si>
    <t>zinc finger protein 791 [Source:MGI Symbol;Acc:MGI:3648473]</t>
  </si>
  <si>
    <t>Pot1a</t>
  </si>
  <si>
    <t>protection of telomeres 1A [Source:MGI Symbol;Acc:MGI:2141503]</t>
  </si>
  <si>
    <t>Snx24</t>
  </si>
  <si>
    <t>sorting nexing 24 [Source:MGI Symbol;Acc:MGI:1916476]</t>
  </si>
  <si>
    <t>Akap11</t>
  </si>
  <si>
    <t>A kinase (PRKA) anchor protein 11 [Source:MGI Symbol;Acc:MGI:2684060]</t>
  </si>
  <si>
    <t>Pms1</t>
  </si>
  <si>
    <t>PMS1 homolog 1, mismatch repair system component [Source:MGI Symbol;Acc:MGI:1202302]</t>
  </si>
  <si>
    <t>Osbpl8</t>
  </si>
  <si>
    <t>oxysterol binding protein-like 8 [Source:MGI Symbol;Acc:MGI:2443807]</t>
  </si>
  <si>
    <t>Armc10</t>
  </si>
  <si>
    <t>armadillo repeat containing 10 [Source:MGI Symbol;Acc:MGI:1914461]</t>
  </si>
  <si>
    <t>Scrib</t>
  </si>
  <si>
    <t>scribbled planar cell polarity [Source:MGI Symbol;Acc:MGI:2145950]</t>
  </si>
  <si>
    <t>Psmf1</t>
  </si>
  <si>
    <t>proteasome (prosome, macropain) inhibitor subunit 1 [Source:MGI Symbol;Acc:MGI:1346072]</t>
  </si>
  <si>
    <t>Slc24a5</t>
  </si>
  <si>
    <t>solute carrier family 24, member 5 [Source:MGI Symbol;Acc:MGI:2677271]</t>
  </si>
  <si>
    <t>Ckap2</t>
  </si>
  <si>
    <t>cytoskeleton associated protein 2 [Source:MGI Symbol;Acc:MGI:1931797]</t>
  </si>
  <si>
    <t>Strn</t>
  </si>
  <si>
    <t>striatin, calmodulin binding protein [Source:MGI Symbol;Acc:MGI:1333757]</t>
  </si>
  <si>
    <t>Gm18852</t>
  </si>
  <si>
    <t>predicted gene, 18852 [Source:MGI Symbol;Acc:MGI:5011037]</t>
  </si>
  <si>
    <t>Rrp12</t>
  </si>
  <si>
    <t>ribosomal RNA processing 12 homolog (S. cerevisiae) [Source:MGI Symbol;Acc:MGI:2147437]</t>
  </si>
  <si>
    <t>Pmm2</t>
  </si>
  <si>
    <t>phosphomannomutase 2 [Source:MGI Symbol;Acc:MGI:1859214]</t>
  </si>
  <si>
    <t>Chpf2</t>
  </si>
  <si>
    <t>chondroitin polymerizing factor 2 [Source:MGI Symbol;Acc:MGI:1917522]</t>
  </si>
  <si>
    <t>Tnfrsf12a</t>
  </si>
  <si>
    <t>tumor necrosis factor receptor superfamily, member 12a [Source:MGI Symbol;Acc:MGI:1351484]</t>
  </si>
  <si>
    <t>Rcl1</t>
  </si>
  <si>
    <t>RNA terminal phosphate cyclase-like 1 [Source:MGI Symbol;Acc:MGI:1913275]</t>
  </si>
  <si>
    <t>Plod1</t>
  </si>
  <si>
    <t>procollagen-lysine, 2-oxoglutarate 5-dioxygenase 1 [Source:MGI Symbol;Acc:MGI:99907]</t>
  </si>
  <si>
    <t>Tyms</t>
  </si>
  <si>
    <t>thymidylate synthase [Source:MGI Symbol;Acc:MGI:98878]</t>
  </si>
  <si>
    <t>Mrpl18</t>
  </si>
  <si>
    <t>mitochondrial ribosomal protein L18 [Source:MGI Symbol;Acc:MGI:1914931]</t>
  </si>
  <si>
    <t>2610507B11Rik</t>
  </si>
  <si>
    <t>RIKEN cDNA 2610507B11 gene [Source:MGI Symbol;Acc:MGI:1919753]</t>
  </si>
  <si>
    <t>Atxn10</t>
  </si>
  <si>
    <t>ataxin 10 [Source:MGI Symbol;Acc:MGI:1859293]</t>
  </si>
  <si>
    <t>Bik</t>
  </si>
  <si>
    <t>BCL2-interacting killer [Source:MGI Symbol;Acc:MGI:1206591]</t>
  </si>
  <si>
    <t>Gab2</t>
  </si>
  <si>
    <t>growth factor receptor bound protein 2-associated protein 2 [Source:MGI Symbol;Acc:MGI:1333854]</t>
  </si>
  <si>
    <t>Phka1</t>
  </si>
  <si>
    <t>phosphorylase kinase alpha 1 [Source:MGI Symbol;Acc:MGI:97576]</t>
  </si>
  <si>
    <t>Mafg</t>
  </si>
  <si>
    <t>v-maf musculoaponeurotic fibrosarcoma oncogene family, protein G (avian) [Source:MGI Symbol;Acc:MGI:96911]</t>
  </si>
  <si>
    <t>Eif4a-ps4</t>
  </si>
  <si>
    <t>eukaryotic translation initiation factor 4A, pseudogene 4 [Source:MGI Symbol;Acc:MGI:1195958]</t>
  </si>
  <si>
    <t>Ppid</t>
  </si>
  <si>
    <t>peptidylprolyl isomerase D (cyclophilin D) [Source:MGI Symbol;Acc:MGI:1914988]</t>
  </si>
  <si>
    <t>Abcb8</t>
  </si>
  <si>
    <t>ATP-binding cassette, sub-family B (MDR/TAP), member 8 [Source:MGI Symbol;Acc:MGI:1351667]</t>
  </si>
  <si>
    <t>Ogdhl</t>
  </si>
  <si>
    <t>oxoglutarate dehydrogenase-like [Source:MGI Symbol;Acc:MGI:3616088]</t>
  </si>
  <si>
    <t>Pja2</t>
  </si>
  <si>
    <t>praja ring finger ubiquitin ligase 2 [Source:MGI Symbol;Acc:MGI:2159342]</t>
  </si>
  <si>
    <t>Zfp141</t>
  </si>
  <si>
    <t>zinc finger protein 141 [Source:MGI Symbol;Acc:MGI:3584269]</t>
  </si>
  <si>
    <t>Pik3r4</t>
  </si>
  <si>
    <t>phosphoinositide-3-kinase regulatory subunit 4 [Source:MGI Symbol;Acc:MGI:1922919]</t>
  </si>
  <si>
    <t>Rnf130</t>
  </si>
  <si>
    <t>ring finger protein 130 [Source:MGI Symbol;Acc:MGI:1891717]</t>
  </si>
  <si>
    <t>Med28</t>
  </si>
  <si>
    <t>mediator complex subunit 28 [Source:MGI Symbol;Acc:MGI:1914249]</t>
  </si>
  <si>
    <t>Ech1</t>
  </si>
  <si>
    <t>enoyl coenzyme A hydratase 1, peroxisomal [Source:MGI Symbol;Acc:MGI:1858208]</t>
  </si>
  <si>
    <t>H2-D1</t>
  </si>
  <si>
    <t>histocompatibility 2, D region locus 1 [Source:MGI Symbol;Acc:MGI:95896]</t>
  </si>
  <si>
    <t>Etfbkmt</t>
  </si>
  <si>
    <t>electron transfer flavoprotein beta subunit lysine methyltransferase [Source:MGI Symbol;Acc:MGI:2443575]</t>
  </si>
  <si>
    <t>St13</t>
  </si>
  <si>
    <t>suppression of tumorigenicity 13 [Source:MGI Symbol;Acc:MGI:1917606]</t>
  </si>
  <si>
    <t>AC113595.1</t>
  </si>
  <si>
    <t>novel transcript, antisense to Apobec3</t>
  </si>
  <si>
    <t>Tubgcp6</t>
  </si>
  <si>
    <t>tubulin, gamma complex associated protein 6 [Source:MGI Symbol;Acc:MGI:2146071]</t>
  </si>
  <si>
    <t>Gemin5</t>
  </si>
  <si>
    <t>gem nuclear organelle associated protein 5 [Source:MGI Symbol;Acc:MGI:2449311]</t>
  </si>
  <si>
    <t>Kif18a</t>
  </si>
  <si>
    <t>kinesin family member 18A [Source:MGI Symbol;Acc:MGI:2446977]</t>
  </si>
  <si>
    <t>Pisd</t>
  </si>
  <si>
    <t>phosphatidylserine decarboxylase [Source:MGI Symbol;Acc:MGI:2445114]</t>
  </si>
  <si>
    <t>AA467197</t>
  </si>
  <si>
    <t>expressed sequence AA467197 [Source:MGI Symbol;Acc:MGI:3034182]</t>
  </si>
  <si>
    <t>Atraid</t>
  </si>
  <si>
    <t>all-trans retinoic acid induced differentiation factor [Source:MGI Symbol;Acc:MGI:1918918]</t>
  </si>
  <si>
    <t>Efcab11</t>
  </si>
  <si>
    <t>EF-hand calcium binding domain 11 [Source:MGI Symbol;Acc:MGI:1926017]</t>
  </si>
  <si>
    <t>Pcf11</t>
  </si>
  <si>
    <t>PCF11 cleavage and polyadenylation factor subunit [Source:MGI Symbol;Acc:MGI:1919579]</t>
  </si>
  <si>
    <t>Zbtb38</t>
  </si>
  <si>
    <t>zinc finger and BTB domain containing 38 [Source:MGI Symbol;Acc:MGI:2442866]</t>
  </si>
  <si>
    <t>Pagr1b</t>
  </si>
  <si>
    <t>PAXIP1 associated glutamate rich protein 1B [Source:MGI Symbol;Acc:MGI:5141883]</t>
  </si>
  <si>
    <t>Stra6l</t>
  </si>
  <si>
    <t>STRA6-like [Source:MGI Symbol;Acc:MGI:1921402]</t>
  </si>
  <si>
    <t>Oit3</t>
  </si>
  <si>
    <t>oncoprotein induced transcript 3 [Source:MGI Symbol;Acc:MGI:1201782]</t>
  </si>
  <si>
    <t>Ccdc38</t>
  </si>
  <si>
    <t>coiled-coil domain containing 38 [Source:MGI Symbol;Acc:MGI:2444738]</t>
  </si>
  <si>
    <t>Myo10</t>
  </si>
  <si>
    <t>myosin X [Source:MGI Symbol;Acc:MGI:107716]</t>
  </si>
  <si>
    <t>Thra</t>
  </si>
  <si>
    <t>thyroid hormone receptor alpha [Source:MGI Symbol;Acc:MGI:98742]</t>
  </si>
  <si>
    <t>Sdc3</t>
  </si>
  <si>
    <t>syndecan 3 [Source:MGI Symbol;Acc:MGI:1349163]</t>
  </si>
  <si>
    <t>Cnpy3</t>
  </si>
  <si>
    <t>canopy FGF signaling regulator 3 [Source:MGI Symbol;Acc:MGI:1919279]</t>
  </si>
  <si>
    <t>Gm47204</t>
  </si>
  <si>
    <t>predicted gene, 47204 [Source:MGI Symbol;Acc:MGI:6096003]</t>
  </si>
  <si>
    <t>Dapk3</t>
  </si>
  <si>
    <t>death-associated protein kinase 3 [Source:MGI Symbol;Acc:MGI:1203520]</t>
  </si>
  <si>
    <t>Anpep</t>
  </si>
  <si>
    <t>alanyl (membrane) aminopeptidase [Source:MGI Symbol;Acc:MGI:5000466]</t>
  </si>
  <si>
    <t>Clasp2</t>
  </si>
  <si>
    <t>CLIP associating protein 2 [Source:MGI Symbol;Acc:MGI:1923749]</t>
  </si>
  <si>
    <t>Tecr</t>
  </si>
  <si>
    <t>trans-2,3-enoyl-CoA reductase [Source:MGI Symbol;Acc:MGI:1915408]</t>
  </si>
  <si>
    <t>Clec5a</t>
  </si>
  <si>
    <t>C-type lectin domain family 5, member a [Source:MGI Symbol;Acc:MGI:1345151]</t>
  </si>
  <si>
    <t>Cluh</t>
  </si>
  <si>
    <t>clustered mitochondria (cluA/CLU1) homolog [Source:MGI Symbol;Acc:MGI:1921398]</t>
  </si>
  <si>
    <t>Fkbp1a</t>
  </si>
  <si>
    <t>FK506 binding protein 1a [Source:MGI Symbol;Acc:MGI:95541]</t>
  </si>
  <si>
    <t>Rfxap</t>
  </si>
  <si>
    <t>regulatory factor X-associated protein [Source:MGI Symbol;Acc:MGI:2180854]</t>
  </si>
  <si>
    <t>Zbtb1</t>
  </si>
  <si>
    <t>zinc finger and BTB domain containing 1 [Source:MGI Symbol;Acc:MGI:2442326]</t>
  </si>
  <si>
    <t>Klhl30</t>
  </si>
  <si>
    <t>kelch-like 30 [Source:MGI Symbol;Acc:MGI:1918038]</t>
  </si>
  <si>
    <t>Atp13a2</t>
  </si>
  <si>
    <t>ATPase type 13A2 [Source:MGI Symbol;Acc:MGI:1922022]</t>
  </si>
  <si>
    <t>Gm20661</t>
  </si>
  <si>
    <t>predicted gene 20661 [Source:MGI Symbol;Acc:MGI:5313108]</t>
  </si>
  <si>
    <t>Vars2</t>
  </si>
  <si>
    <t>valyl-tRNA synthetase 2, mitochondrial [Source:MGI Symbol;Acc:MGI:1916165]</t>
  </si>
  <si>
    <t>Rcsd1</t>
  </si>
  <si>
    <t>RCSD domain containing 1 [Source:MGI Symbol;Acc:MGI:2676394]</t>
  </si>
  <si>
    <t>Tbl2</t>
  </si>
  <si>
    <t>transducin (beta)-like 2 [Source:MGI Symbol;Acc:MGI:1351652]</t>
  </si>
  <si>
    <t>Dvl1</t>
  </si>
  <si>
    <t>dishevelled segment polarity protein 1 [Source:MGI Symbol;Acc:MGI:94941]</t>
  </si>
  <si>
    <t>Slc25a12</t>
  </si>
  <si>
    <t>solute carrier family 25 (mitochondrial carrier, Aralar), member 12 [Source:MGI Symbol;Acc:MGI:1926080]</t>
  </si>
  <si>
    <t>Polg2</t>
  </si>
  <si>
    <t>polymerase (DNA directed), gamma 2, accessory subunit [Source:MGI Symbol;Acc:MGI:1354947]</t>
  </si>
  <si>
    <t>Gm14963</t>
  </si>
  <si>
    <t>predicted gene 14963 [Source:MGI Symbol;Acc:MGI:3705162]</t>
  </si>
  <si>
    <t>Ift27</t>
  </si>
  <si>
    <t>intraflagellar transport 27 [Source:MGI Symbol;Acc:MGI:1914292]</t>
  </si>
  <si>
    <t>Ddn</t>
  </si>
  <si>
    <t>dendrin [Source:MGI Symbol;Acc:MGI:108101]</t>
  </si>
  <si>
    <t>Ntpcr</t>
  </si>
  <si>
    <t>nucleoside-triphosphatase, cancer-related [Source:MGI Symbol;Acc:MGI:1913816]</t>
  </si>
  <si>
    <t>Elavl1</t>
  </si>
  <si>
    <t>ELAV (embryonic lethal, abnormal vision)-like 1 (Hu antigen R) [Source:MGI Symbol;Acc:MGI:1100851]</t>
  </si>
  <si>
    <t>Gm13889</t>
  </si>
  <si>
    <t>predicted gene 13889 [Source:MGI Symbol;Acc:MGI:3652053]</t>
  </si>
  <si>
    <t>Rell1</t>
  </si>
  <si>
    <t>RELT-like 1 [Source:MGI Symbol;Acc:MGI:2140767]</t>
  </si>
  <si>
    <t>Aqp9</t>
  </si>
  <si>
    <t>aquaporin 9 [Source:MGI Symbol;Acc:MGI:1891066]</t>
  </si>
  <si>
    <t>Phc1</t>
  </si>
  <si>
    <t>polyhomeotic 1 [Source:MGI Symbol;Acc:MGI:103248]</t>
  </si>
  <si>
    <t>Ei24</t>
  </si>
  <si>
    <t>etoposide induced 2.4 mRNA [Source:MGI Symbol;Acc:MGI:108090]</t>
  </si>
  <si>
    <t>Tradd</t>
  </si>
  <si>
    <t>TNFRSF1A-associated via death domain [Source:MGI Symbol;Acc:MGI:109200]</t>
  </si>
  <si>
    <t>Mdh1</t>
  </si>
  <si>
    <t>malate dehydrogenase 1, NAD (soluble) [Source:MGI Symbol;Acc:MGI:97051]</t>
  </si>
  <si>
    <t>Ro60</t>
  </si>
  <si>
    <t>Ro60, Y RNA binding protein [Source:MGI Symbol;Acc:MGI:106652]</t>
  </si>
  <si>
    <t>Pink1</t>
  </si>
  <si>
    <t>PTEN induced putative kinase 1 [Source:MGI Symbol;Acc:MGI:1916193]</t>
  </si>
  <si>
    <t>Nxpe1-ps</t>
  </si>
  <si>
    <t>neurexophilin and PC-esterase domain family, member 1, pseudogene [Source:MGI Symbol;Acc:MGI:3646632]</t>
  </si>
  <si>
    <t>Eif3g</t>
  </si>
  <si>
    <t>eukaryotic translation initiation factor 3, subunit G [Source:MGI Symbol;Acc:MGI:1858258]</t>
  </si>
  <si>
    <t>Anxa3</t>
  </si>
  <si>
    <t>annexin A3 [Source:MGI Symbol;Acc:MGI:1201378]</t>
  </si>
  <si>
    <t>Scamp3</t>
  </si>
  <si>
    <t>secretory carrier membrane protein 3 [Source:MGI Symbol;Acc:MGI:1346346]</t>
  </si>
  <si>
    <t>Nprl3</t>
  </si>
  <si>
    <t>nitrogen permease regulator-like 3 [Source:MGI Symbol;Acc:MGI:109258]</t>
  </si>
  <si>
    <t>Ccne2</t>
  </si>
  <si>
    <t>cyclin E2 [Source:MGI Symbol;Acc:MGI:1329034]</t>
  </si>
  <si>
    <t>Ankrd10</t>
  </si>
  <si>
    <t>ankyrin repeat domain 10 [Source:MGI Symbol;Acc:MGI:1921840]</t>
  </si>
  <si>
    <t>Elmod3</t>
  </si>
  <si>
    <t>ELMO/CED-12 domain containing 3 [Source:MGI Symbol;Acc:MGI:2445168]</t>
  </si>
  <si>
    <t>Acox3</t>
  </si>
  <si>
    <t>acyl-Coenzyme A oxidase 3, pristanoyl [Source:MGI Symbol;Acc:MGI:1933156]</t>
  </si>
  <si>
    <t>Pex10</t>
  </si>
  <si>
    <t>peroxisomal biogenesis factor 10 [Source:MGI Symbol;Acc:MGI:2684988]</t>
  </si>
  <si>
    <t>Zbtb8a</t>
  </si>
  <si>
    <t>zinc finger and BTB domain containing 8a [Source:MGI Symbol;Acc:MGI:1920930]</t>
  </si>
  <si>
    <t>Zfp473</t>
  </si>
  <si>
    <t>zinc finger protein 473 [Source:MGI Symbol;Acc:MGI:2442697]</t>
  </si>
  <si>
    <t>Tmtc4</t>
  </si>
  <si>
    <t>transmembrane and tetratricopeptide repeat containing 4 [Source:MGI Symbol;Acc:MGI:1921050]</t>
  </si>
  <si>
    <t>Polrmt</t>
  </si>
  <si>
    <t>polymerase (RNA) mitochondrial (DNA directed) [Source:MGI Symbol;Acc:MGI:1915843]</t>
  </si>
  <si>
    <t>Cstb</t>
  </si>
  <si>
    <t>cystatin B [Source:MGI Symbol;Acc:MGI:109514]</t>
  </si>
  <si>
    <t>5033406O09Rik</t>
  </si>
  <si>
    <t>RIKEN cDNA 5033406O09 gene [Source:MGI Symbol;Acc:MGI:1923205]</t>
  </si>
  <si>
    <t>Cdk20</t>
  </si>
  <si>
    <t>cyclin-dependent kinase 20 [Source:MGI Symbol;Acc:MGI:2145349]</t>
  </si>
  <si>
    <t>Selenot</t>
  </si>
  <si>
    <t>selenoprotein T [Source:MGI Symbol;Acc:MGI:1916477]</t>
  </si>
  <si>
    <t>Arf6</t>
  </si>
  <si>
    <t>ADP-ribosylation factor 6 [Source:MGI Symbol;Acc:MGI:99435]</t>
  </si>
  <si>
    <t>Afp</t>
  </si>
  <si>
    <t>alpha fetoprotein [Source:MGI Symbol;Acc:MGI:87951]</t>
  </si>
  <si>
    <t>Tbkbp1</t>
  </si>
  <si>
    <t>TBK1 binding protein 1 [Source:MGI Symbol;Acc:MGI:1920424]</t>
  </si>
  <si>
    <t>Pfas</t>
  </si>
  <si>
    <t>phosphoribosylformylglycinamidine synthase (FGAR amidotransferase) [Source:MGI Symbol;Acc:MGI:2684864]</t>
  </si>
  <si>
    <t>Pnkd</t>
  </si>
  <si>
    <t>paroxysmal nonkinesiogenic dyskinesia [Source:MGI Symbol;Acc:MGI:1930773]</t>
  </si>
  <si>
    <t>Ireb2</t>
  </si>
  <si>
    <t>iron responsive element binding protein 2 [Source:MGI Symbol;Acc:MGI:1928268]</t>
  </si>
  <si>
    <t>Cuta</t>
  </si>
  <si>
    <t>cutA divalent cation tolerance homolog [Source:MGI Symbol;Acc:MGI:1914925]</t>
  </si>
  <si>
    <t>Cept1</t>
  </si>
  <si>
    <t>choline/ethanolaminephosphotransferase 1 [Source:MGI Symbol;Acc:MGI:2139793]</t>
  </si>
  <si>
    <t>Ugdh</t>
  </si>
  <si>
    <t>UDP-glucose dehydrogenase [Source:MGI Symbol;Acc:MGI:1306785]</t>
  </si>
  <si>
    <t>Map3k12</t>
  </si>
  <si>
    <t>mitogen-activated protein kinase kinase kinase 12 [Source:MGI Symbol;Acc:MGI:1346881]</t>
  </si>
  <si>
    <t>Rfx7</t>
  </si>
  <si>
    <t>regulatory factor X, 7 [Source:MGI Symbol;Acc:MGI:2442675]</t>
  </si>
  <si>
    <t>Slc6a4</t>
  </si>
  <si>
    <t>solute carrier family 6 (neurotransmitter transporter, serotonin), member 4 [Source:MGI Symbol;Acc:MGI:96285]</t>
  </si>
  <si>
    <t>Prkci</t>
  </si>
  <si>
    <t>protein kinase C, iota [Source:MGI Symbol;Acc:MGI:99260]</t>
  </si>
  <si>
    <t>Cog5</t>
  </si>
  <si>
    <t>component of oligomeric golgi complex 5 [Source:MGI Symbol;Acc:MGI:2145130]</t>
  </si>
  <si>
    <t>2610002M06Rik</t>
  </si>
  <si>
    <t>RIKEN cDNA 2610002M06 gene [Source:MGI Symbol;Acc:MGI:1914278]</t>
  </si>
  <si>
    <t>Cd44</t>
  </si>
  <si>
    <t>CD44 antigen [Source:MGI Symbol;Acc:MGI:88338]</t>
  </si>
  <si>
    <t>Gm28539</t>
  </si>
  <si>
    <t>predicted gene 28539 [Source:MGI Symbol;Acc:MGI:5579245]</t>
  </si>
  <si>
    <t>Pdf</t>
  </si>
  <si>
    <t>peptide deformylase (mitochondrial) [Source:MGI Symbol;Acc:MGI:1915273]</t>
  </si>
  <si>
    <t>Slc2a8</t>
  </si>
  <si>
    <t>solute carrier family 2, (facilitated glucose transporter), member 8 [Source:MGI Symbol;Acc:MGI:1860103]</t>
  </si>
  <si>
    <t>Ssbp3</t>
  </si>
  <si>
    <t>single-stranded DNA binding protein 3 [Source:MGI Symbol;Acc:MGI:1919725]</t>
  </si>
  <si>
    <t>Ankrd26</t>
  </si>
  <si>
    <t>ankyrin repeat domain 26 [Source:MGI Symbol;Acc:MGI:1917887]</t>
  </si>
  <si>
    <t>Cd33</t>
  </si>
  <si>
    <t>CD33 antigen [Source:MGI Symbol;Acc:MGI:99440]</t>
  </si>
  <si>
    <t>Psma4</t>
  </si>
  <si>
    <t>proteasome subunit alpha 4 [Source:MGI Symbol;Acc:MGI:1347060]</t>
  </si>
  <si>
    <t>Elf2</t>
  </si>
  <si>
    <t>E74-like factor 2 [Source:MGI Symbol;Acc:MGI:1916507]</t>
  </si>
  <si>
    <t>Gm14270</t>
  </si>
  <si>
    <t>predicted gene 14270 [Source:MGI Symbol;Acc:MGI:3649849]</t>
  </si>
  <si>
    <t>Hilpda</t>
  </si>
  <si>
    <t>hypoxia inducible lipid droplet associated [Source:MGI Symbol;Acc:MGI:1916823]</t>
  </si>
  <si>
    <t>Clasp1</t>
  </si>
  <si>
    <t>CLIP associating protein 1 [Source:MGI Symbol;Acc:MGI:1923957]</t>
  </si>
  <si>
    <t>Gripap1</t>
  </si>
  <si>
    <t>GRIP1 associated protein 1 [Source:MGI Symbol;Acc:MGI:1859616]</t>
  </si>
  <si>
    <t>Zcrb1</t>
  </si>
  <si>
    <t>zinc finger CCHC-type and RNA binding motif 1 [Source:MGI Symbol;Acc:MGI:1914447]</t>
  </si>
  <si>
    <t>Cnot8</t>
  </si>
  <si>
    <t>CCR4-NOT transcription complex, subunit 8 [Source:MGI Symbol;Acc:MGI:1916375]</t>
  </si>
  <si>
    <t>Sap30l</t>
  </si>
  <si>
    <t>SAP30-like [Source:MGI Symbol;Acc:MGI:1354709]</t>
  </si>
  <si>
    <t>Snx21</t>
  </si>
  <si>
    <t>sorting nexin family member 21 [Source:MGI Symbol;Acc:MGI:1917729]</t>
  </si>
  <si>
    <t>Arrdc3</t>
  </si>
  <si>
    <t>arrestin domain containing 3 [Source:MGI Symbol;Acc:MGI:2145242]</t>
  </si>
  <si>
    <t>Sdc1</t>
  </si>
  <si>
    <t>syndecan 1 [Source:MGI Symbol;Acc:MGI:1349162]</t>
  </si>
  <si>
    <t>R3hdm1</t>
  </si>
  <si>
    <t>R3H domain containing 1 [Source:MGI Symbol;Acc:MGI:2448514]</t>
  </si>
  <si>
    <t>Cdc25b</t>
  </si>
  <si>
    <t>cell division cycle 25B [Source:MGI Symbol;Acc:MGI:99701]</t>
  </si>
  <si>
    <t>Zfp462</t>
  </si>
  <si>
    <t>zinc finger protein 462 [Source:MGI Symbol;Acc:MGI:107690]</t>
  </si>
  <si>
    <t>Tsc22d4</t>
  </si>
  <si>
    <t>TSC22 domain family, member 4 [Source:MGI Symbol;Acc:MGI:1926079]</t>
  </si>
  <si>
    <t>Tarbp1</t>
  </si>
  <si>
    <t>TAR RNA binding protein 1 [Source:MGI Symbol;Acc:MGI:4936930]</t>
  </si>
  <si>
    <t>Phf6</t>
  </si>
  <si>
    <t>PHD finger protein 6 [Source:MGI Symbol;Acc:MGI:1918248]</t>
  </si>
  <si>
    <t>Tgfbrap1</t>
  </si>
  <si>
    <t>transforming growth factor, beta receptor associated protein 1 [Source:MGI Symbol;Acc:MGI:2447427]</t>
  </si>
  <si>
    <t>Mttp</t>
  </si>
  <si>
    <t>microsomal triglyceride transfer protein [Source:MGI Symbol;Acc:MGI:106926]</t>
  </si>
  <si>
    <t>Phtf2</t>
  </si>
  <si>
    <t>putative homeodomain transcription factor 2 [Source:MGI Symbol;Acc:MGI:1916020]</t>
  </si>
  <si>
    <t>Myh9</t>
  </si>
  <si>
    <t>myosin, heavy polypeptide 9, non-muscle [Source:MGI Symbol;Acc:MGI:107717]</t>
  </si>
  <si>
    <t>Wdr60</t>
  </si>
  <si>
    <t>WD repeat domain 60 [Source:MGI Symbol;Acc:MGI:2445085]</t>
  </si>
  <si>
    <t>Ddx1</t>
  </si>
  <si>
    <t>DEAD (Asp-Glu-Ala-Asp) box polypeptide 1 [Source:MGI Symbol;Acc:MGI:2144727]</t>
  </si>
  <si>
    <t>Nup50</t>
  </si>
  <si>
    <t>nucleoporin 50 [Source:MGI Symbol;Acc:MGI:1351502]</t>
  </si>
  <si>
    <t>Hira</t>
  </si>
  <si>
    <t>histone cell cycle regulator [Source:MGI Symbol;Acc:MGI:99430]</t>
  </si>
  <si>
    <t>Tnk2</t>
  </si>
  <si>
    <t>tyrosine kinase, non-receptor, 2 [Source:MGI Symbol;Acc:MGI:1858308]</t>
  </si>
  <si>
    <t>Nomo1</t>
  </si>
  <si>
    <t>nodal modulator 1 [Source:MGI Symbol;Acc:MGI:2385850]</t>
  </si>
  <si>
    <t>Gsdmd</t>
  </si>
  <si>
    <t>gasdermin D [Source:MGI Symbol;Acc:MGI:1916396]</t>
  </si>
  <si>
    <t>Plekhh2</t>
  </si>
  <si>
    <t>pleckstrin homology domain containing, family H (with MyTH4 domain) member 2 [Source:MGI Symbol;Acc:MGI:2146813]</t>
  </si>
  <si>
    <t>Fbxo10</t>
  </si>
  <si>
    <t>F-box protein 10 [Source:MGI Symbol;Acc:MGI:2686937]</t>
  </si>
  <si>
    <t>Cit</t>
  </si>
  <si>
    <t>citron [Source:MGI Symbol;Acc:MGI:105313]</t>
  </si>
  <si>
    <t>Mad1l1</t>
  </si>
  <si>
    <t>MAD1 mitotic arrest deficient 1-like 1 [Source:MGI Symbol;Acc:MGI:1341857]</t>
  </si>
  <si>
    <t>Scp2</t>
  </si>
  <si>
    <t>sterol carrier protein 2, liver [Source:MGI Symbol;Acc:MGI:98254]</t>
  </si>
  <si>
    <t>Sec63</t>
  </si>
  <si>
    <t>SEC63-like (S. cerevisiae) [Source:MGI Symbol;Acc:MGI:2155302]</t>
  </si>
  <si>
    <t>Srp72</t>
  </si>
  <si>
    <t>signal recognition particle 72 [Source:MGI Symbol;Acc:MGI:1333795]</t>
  </si>
  <si>
    <t>Copa</t>
  </si>
  <si>
    <t>coatomer protein complex subunit alpha [Source:MGI Symbol;Acc:MGI:1334462]</t>
  </si>
  <si>
    <t>Tnfaip8</t>
  </si>
  <si>
    <t>tumor necrosis factor, alpha-induced protein 8 [Source:MGI Symbol;Acc:MGI:2147191]</t>
  </si>
  <si>
    <t>Acsl3</t>
  </si>
  <si>
    <t>acyl-CoA synthetase long-chain family member 3 [Source:MGI Symbol;Acc:MGI:1921455]</t>
  </si>
  <si>
    <t>Dnajb12</t>
  </si>
  <si>
    <t>DnaJ heat shock protein family (Hsp40) member B12 [Source:MGI Symbol;Acc:MGI:1931881]</t>
  </si>
  <si>
    <t>Aqp11</t>
  </si>
  <si>
    <t>aquaporin 11 [Source:MGI Symbol;Acc:MGI:1913583]</t>
  </si>
  <si>
    <t>Hdlbp</t>
  </si>
  <si>
    <t>high density lipoprotein (HDL) binding protein [Source:MGI Symbol;Acc:MGI:99256]</t>
  </si>
  <si>
    <t>Rab33b</t>
  </si>
  <si>
    <t>RAB33B, member RAS oncogene family [Source:MGI Symbol;Acc:MGI:1330805]</t>
  </si>
  <si>
    <t>Chic2</t>
  </si>
  <si>
    <t>cysteine-rich hydrophobic domain 2 [Source:MGI Symbol;Acc:MGI:1921527]</t>
  </si>
  <si>
    <t>Fbh1</t>
  </si>
  <si>
    <t>F-box DNA helicase 1 [Source:MGI Symbol;Acc:MGI:1354699]</t>
  </si>
  <si>
    <t>Atp23</t>
  </si>
  <si>
    <t>ATP23 metallopeptidase and ATP synthase assembly factor homolog [Source:MGI Symbol;Acc:MGI:1916984]</t>
  </si>
  <si>
    <t>Vps54</t>
  </si>
  <si>
    <t>VPS54 GARP complex subunit [Source:MGI Symbol;Acc:MGI:2178798]</t>
  </si>
  <si>
    <t>BC106179</t>
  </si>
  <si>
    <t>cDNA sequence BC106179 [Source:MGI Symbol;Acc:MGI:3702726]</t>
  </si>
  <si>
    <t>Camk1d</t>
  </si>
  <si>
    <t>calcium/calmodulin-dependent protein kinase ID [Source:MGI Symbol;Acc:MGI:2442190]</t>
  </si>
  <si>
    <t>N4bp3</t>
  </si>
  <si>
    <t>NEDD4 binding protein 3 [Source:MGI Symbol;Acc:MGI:2442218]</t>
  </si>
  <si>
    <t>Bin1</t>
  </si>
  <si>
    <t>bridging integrator 1 [Source:MGI Symbol;Acc:MGI:108092]</t>
  </si>
  <si>
    <t>Tmem30a</t>
  </si>
  <si>
    <t>transmembrane protein 30A [Source:MGI Symbol;Acc:MGI:106402]</t>
  </si>
  <si>
    <t>Gpn2</t>
  </si>
  <si>
    <t>GPN-loop GTPase 2 [Source:MGI Symbol;Acc:MGI:2140368]</t>
  </si>
  <si>
    <t>Tubb1</t>
  </si>
  <si>
    <t>tubulin, beta 1 class VI [Source:MGI Symbol;Acc:MGI:107814]</t>
  </si>
  <si>
    <t>Med22</t>
  </si>
  <si>
    <t>mediator complex subunit 22 [Source:MGI Symbol;Acc:MGI:98446]</t>
  </si>
  <si>
    <t>Hnrnpll</t>
  </si>
  <si>
    <t>heterogeneous nuclear ribonucleoprotein L-like [Source:MGI Symbol;Acc:MGI:1919942]</t>
  </si>
  <si>
    <t>Dars2</t>
  </si>
  <si>
    <t>aspartyl-tRNA synthetase 2 (mitochondrial) [Source:MGI Symbol;Acc:MGI:2442510]</t>
  </si>
  <si>
    <t>Naca</t>
  </si>
  <si>
    <t>nascent polypeptide-associated complex alpha polypeptide [Source:MGI Symbol;Acc:MGI:106095]</t>
  </si>
  <si>
    <t>Dcun1d3</t>
  </si>
  <si>
    <t>DCN1, defective in cullin neddylation 1, domain containing 3 (S. cerevisiae) [Source:MGI Symbol;Acc:MGI:2679003]</t>
  </si>
  <si>
    <t>Zfp869</t>
  </si>
  <si>
    <t>zinc finger protein 869 [Source:MGI Symbol;Acc:MGI:1914119]</t>
  </si>
  <si>
    <t>Lpp</t>
  </si>
  <si>
    <t>LIM domain containing preferred translocation partner in lipoma [Source:MGI Symbol;Acc:MGI:2441849]</t>
  </si>
  <si>
    <t>Nme6</t>
  </si>
  <si>
    <t>NME/NM23 nucleoside diphosphate kinase 6 [Source:MGI Symbol;Acc:MGI:1861676]</t>
  </si>
  <si>
    <t>Zbtb4</t>
  </si>
  <si>
    <t>zinc finger and BTB domain containing 4 [Source:MGI Symbol;Acc:MGI:1922830]</t>
  </si>
  <si>
    <t>Ddb2</t>
  </si>
  <si>
    <t>damage specific DNA binding protein 2 [Source:MGI Symbol;Acc:MGI:1355314]</t>
  </si>
  <si>
    <t>Haus6</t>
  </si>
  <si>
    <t>HAUS augmin-like complex, subunit 6 [Source:MGI Symbol;Acc:MGI:1923389]</t>
  </si>
  <si>
    <t>Khk</t>
  </si>
  <si>
    <t>ketohexokinase [Source:MGI Symbol;Acc:MGI:1096353]</t>
  </si>
  <si>
    <t>Cenpf</t>
  </si>
  <si>
    <t>centromere protein F [Source:MGI Symbol;Acc:MGI:1313302]</t>
  </si>
  <si>
    <t>Csnk2a2</t>
  </si>
  <si>
    <t>casein kinase 2, alpha prime polypeptide [Source:MGI Symbol;Acc:MGI:88547]</t>
  </si>
  <si>
    <t>Ankrd33b</t>
  </si>
  <si>
    <t>ankyrin repeat domain 33B [Source:MGI Symbol;Acc:MGI:1917904]</t>
  </si>
  <si>
    <t>Usf2</t>
  </si>
  <si>
    <t>upstream transcription factor 2 [Source:MGI Symbol;Acc:MGI:99961]</t>
  </si>
  <si>
    <t>Msrb2</t>
  </si>
  <si>
    <t>methionine sulfoxide reductase B2 [Source:MGI Symbol;Acc:MGI:1923717]</t>
  </si>
  <si>
    <t>Srgn</t>
  </si>
  <si>
    <t>serglycin [Source:MGI Symbol;Acc:MGI:97756]</t>
  </si>
  <si>
    <t>Prelid3b</t>
  </si>
  <si>
    <t>PRELI domain containing 3B [Source:MGI Symbol;Acc:MGI:1913640]</t>
  </si>
  <si>
    <t>Crim1</t>
  </si>
  <si>
    <t>cysteine rich transmembrane BMP regulator 1 (chordin like) [Source:MGI Symbol;Acc:MGI:1354756]</t>
  </si>
  <si>
    <t>Mgme1</t>
  </si>
  <si>
    <t>mitochondrial genome maintenance exonuclease 1 [Source:MGI Symbol;Acc:MGI:1921778]</t>
  </si>
  <si>
    <t>Nrde2</t>
  </si>
  <si>
    <t>nrde-2 necessary for RNA interference, domain containing [Source:MGI Symbol;Acc:MGI:2670969]</t>
  </si>
  <si>
    <t>B230217C12Rik</t>
  </si>
  <si>
    <t>RIKEN cDNA B230217C12 gene [Source:MGI Symbol;Acc:MGI:1915377]</t>
  </si>
  <si>
    <t>Gnb5</t>
  </si>
  <si>
    <t>guanine nucleotide binding protein (G protein), beta 5 [Source:MGI Symbol;Acc:MGI:101848]</t>
  </si>
  <si>
    <t>Card14</t>
  </si>
  <si>
    <t>caspase recruitment domain family, member 14 [Source:MGI Symbol;Acc:MGI:2386258]</t>
  </si>
  <si>
    <t>Igbp1</t>
  </si>
  <si>
    <t>immunoglobulin (CD79A) binding protein 1 [Source:MGI Symbol;Acc:MGI:1346500]</t>
  </si>
  <si>
    <t>Dctn2</t>
  </si>
  <si>
    <t>dynactin 2 [Source:MGI Symbol;Acc:MGI:107733]</t>
  </si>
  <si>
    <t>Tln2</t>
  </si>
  <si>
    <t>talin 2 [Source:MGI Symbol;Acc:MGI:1917799]</t>
  </si>
  <si>
    <t>Cd5</t>
  </si>
  <si>
    <t>CD5 antigen [Source:MGI Symbol;Acc:MGI:88340]</t>
  </si>
  <si>
    <t>Pid1</t>
  </si>
  <si>
    <t>phosphotyrosine interaction domain containing 1 [Source:MGI Symbol;Acc:MGI:2138391]</t>
  </si>
  <si>
    <t>Sec23b</t>
  </si>
  <si>
    <t>SEC23 homolog B, COPII coat complex component [Source:MGI Symbol;Acc:MGI:1350925]</t>
  </si>
  <si>
    <t>Ctsz</t>
  </si>
  <si>
    <t>cathepsin Z [Source:MGI Symbol;Acc:MGI:1891190]</t>
  </si>
  <si>
    <t>Ptpn22</t>
  </si>
  <si>
    <t>protein tyrosine phosphatase, non-receptor type 22 (lymphoid) [Source:MGI Symbol;Acc:MGI:107170]</t>
  </si>
  <si>
    <t>Eprs</t>
  </si>
  <si>
    <t>glutamyl-prolyl-tRNA synthetase [Source:MGI Symbol;Acc:MGI:97838]</t>
  </si>
  <si>
    <t>Foxp1</t>
  </si>
  <si>
    <t>forkhead box P1 [Source:MGI Symbol;Acc:MGI:1914004]</t>
  </si>
  <si>
    <t>Nek4</t>
  </si>
  <si>
    <t>NIMA (never in mitosis gene a)-related expressed kinase 4 [Source:MGI Symbol;Acc:MGI:1344404]</t>
  </si>
  <si>
    <t>Slx1b</t>
  </si>
  <si>
    <t>SLX1 structure-specific endonuclease subunit homolog B (S. cerevisiae) [Source:MGI Symbol;Acc:MGI:1915220]</t>
  </si>
  <si>
    <t>Gli1</t>
  </si>
  <si>
    <t>GLI-Kruppel family member GLI1 [Source:MGI Symbol;Acc:MGI:95727]</t>
  </si>
  <si>
    <t>Ccng2</t>
  </si>
  <si>
    <t>cyclin G2 [Source:MGI Symbol;Acc:MGI:1095734]</t>
  </si>
  <si>
    <t>Rfc3</t>
  </si>
  <si>
    <t>replication factor C (activator 1) 3 [Source:MGI Symbol;Acc:MGI:1916513]</t>
  </si>
  <si>
    <t>Atg16l2</t>
  </si>
  <si>
    <t>autophagy related 16-like 2 (S. cerevisiae) [Source:MGI Symbol;Acc:MGI:1920933]</t>
  </si>
  <si>
    <t>Nsa2</t>
  </si>
  <si>
    <t>NSA2 ribosome biogenesis homolog [Source:MGI Symbol;Acc:MGI:1913883]</t>
  </si>
  <si>
    <t>Fancg</t>
  </si>
  <si>
    <t>Fanconi anemia, complementation group G [Source:MGI Symbol;Acc:MGI:1926471]</t>
  </si>
  <si>
    <t>Cct4</t>
  </si>
  <si>
    <t>chaperonin containing Tcp1, subunit 4 (delta) [Source:MGI Symbol;Acc:MGI:104689]</t>
  </si>
  <si>
    <t>BC052040</t>
  </si>
  <si>
    <t>cDNA sequence BC052040 [Source:MGI Symbol;Acc:MGI:3026886]</t>
  </si>
  <si>
    <t>Nploc4</t>
  </si>
  <si>
    <t>NPL4 homolog, ubiquitin recognition factor [Source:MGI Symbol;Acc:MGI:2679787]</t>
  </si>
  <si>
    <t>Gorasp1</t>
  </si>
  <si>
    <t>golgi reassembly stacking protein 1 [Source:MGI Symbol;Acc:MGI:1921748]</t>
  </si>
  <si>
    <t>Psma2</t>
  </si>
  <si>
    <t>proteasome subunit alpha 2 [Source:MGI Symbol;Acc:MGI:104885]</t>
  </si>
  <si>
    <t>Ppfia4</t>
  </si>
  <si>
    <t>protein tyrosine phosphatase, receptor type, f polypeptide (PTPRF), interacting protein (liprin), alpha 4 [Source:MGI Symbol;Acc:MGI:1915757]</t>
  </si>
  <si>
    <t>Stard9</t>
  </si>
  <si>
    <t>START domain containing 9 [Source:MGI Symbol;Acc:MGI:3045258]</t>
  </si>
  <si>
    <t>4933439C10Rik</t>
  </si>
  <si>
    <t>RIKEN cDNA 4933439C10 gene [Source:MGI Symbol;Acc:MGI:1921726]</t>
  </si>
  <si>
    <t>Hvcn1</t>
  </si>
  <si>
    <t>hydrogen voltage-gated channel 1 [Source:MGI Symbol;Acc:MGI:1921346]</t>
  </si>
  <si>
    <t>Ripor3</t>
  </si>
  <si>
    <t>RIPOR family member 3 [Source:MGI Symbol;Acc:MGI:1916803]</t>
  </si>
  <si>
    <t>Tle1</t>
  </si>
  <si>
    <t>transducin-like enhancer of split 1 [Source:MGI Symbol;Acc:MGI:104636]</t>
  </si>
  <si>
    <t>Atxn3</t>
  </si>
  <si>
    <t>ataxin 3 [Source:MGI Symbol;Acc:MGI:1099442]</t>
  </si>
  <si>
    <t>Phkb</t>
  </si>
  <si>
    <t>phosphorylase kinase beta [Source:MGI Symbol;Acc:MGI:97578]</t>
  </si>
  <si>
    <t>Osbpl5</t>
  </si>
  <si>
    <t>oxysterol binding protein-like 5 [Source:MGI Symbol;Acc:MGI:1930265]</t>
  </si>
  <si>
    <t>Nipbl</t>
  </si>
  <si>
    <t>NIPBL cohesin loading factor [Source:MGI Symbol;Acc:MGI:1913976]</t>
  </si>
  <si>
    <t>Becn1</t>
  </si>
  <si>
    <t>beclin 1, autophagy related [Source:MGI Symbol;Acc:MGI:1891828]</t>
  </si>
  <si>
    <t>Eml3</t>
  </si>
  <si>
    <t>echinoderm microtubule associated protein like 3 [Source:MGI Symbol;Acc:MGI:2387612]</t>
  </si>
  <si>
    <t>Vamp8</t>
  </si>
  <si>
    <t>vesicle-associated membrane protein 8 [Source:MGI Symbol;Acc:MGI:1336882]</t>
  </si>
  <si>
    <t>Cmtm6</t>
  </si>
  <si>
    <t>CKLF-like MARVEL transmembrane domain containing 6 [Source:MGI Symbol;Acc:MGI:2447165]</t>
  </si>
  <si>
    <t>Tagap</t>
  </si>
  <si>
    <t>T cell activation Rho GTPase activating protein [Source:MGI Symbol;Acc:MGI:3615484]</t>
  </si>
  <si>
    <t>Cilk1</t>
  </si>
  <si>
    <t>ciliogenesis associated kinase 1 [Source:MGI Symbol;Acc:MGI:1934157]</t>
  </si>
  <si>
    <t>Calhm2</t>
  </si>
  <si>
    <t>calcium homeostasis modulator family member 2 [Source:MGI Symbol;Acc:MGI:1919941]</t>
  </si>
  <si>
    <t>Meaf6</t>
  </si>
  <si>
    <t>MYST/Esa1-associated factor 6 [Source:MGI Symbol;Acc:MGI:1917338]</t>
  </si>
  <si>
    <t>Mettl2</t>
  </si>
  <si>
    <t>methyltransferase like 2 [Source:MGI Symbol;Acc:MGI:1289171]</t>
  </si>
  <si>
    <t>Lrrc8b</t>
  </si>
  <si>
    <t>leucine rich repeat containing 8 family, member B [Source:MGI Symbol;Acc:MGI:2141353]</t>
  </si>
  <si>
    <t>Cp</t>
  </si>
  <si>
    <t>ceruloplasmin [Source:MGI Symbol;Acc:MGI:88476]</t>
  </si>
  <si>
    <t>Ago3</t>
  </si>
  <si>
    <t>argonaute RISC catalytic subunit 3 [Source:MGI Symbol;Acc:MGI:2446634]</t>
  </si>
  <si>
    <t>Zbed5</t>
  </si>
  <si>
    <t>zinc finger, BED type containing 5 [Source:MGI Symbol;Acc:MGI:1919220]</t>
  </si>
  <si>
    <t>Cadm1</t>
  </si>
  <si>
    <t>cell adhesion molecule 1 [Source:MGI Symbol;Acc:MGI:1889272]</t>
  </si>
  <si>
    <t>Gm43055</t>
  </si>
  <si>
    <t>predicted gene 43055 [Source:MGI Symbol;Acc:MGI:5663192]</t>
  </si>
  <si>
    <t>Usp1</t>
  </si>
  <si>
    <t>ubiquitin specific peptidase 1 [Source:MGI Symbol;Acc:MGI:2385198]</t>
  </si>
  <si>
    <t>Shbg</t>
  </si>
  <si>
    <t>sex hormone binding globulin [Source:MGI Symbol;Acc:MGI:98295]</t>
  </si>
  <si>
    <t>Platr16</t>
  </si>
  <si>
    <t>pluripotency associated transcript 16 [Source:MGI Symbol;Acc:MGI:3651931]</t>
  </si>
  <si>
    <t>Fcgr2b</t>
  </si>
  <si>
    <t>Fc receptor, IgG, low affinity IIb [Source:MGI Symbol;Acc:MGI:95499]</t>
  </si>
  <si>
    <t>Rin1</t>
  </si>
  <si>
    <t>Ras and Rab interactor 1 [Source:MGI Symbol;Acc:MGI:2385695]</t>
  </si>
  <si>
    <t>Eif3e</t>
  </si>
  <si>
    <t>eukaryotic translation initiation factor 3, subunit E [Source:MGI Symbol;Acc:MGI:99257]</t>
  </si>
  <si>
    <t>Pes1</t>
  </si>
  <si>
    <t>pescadillo ribosomal biogenesis factor 1 [Source:MGI Symbol;Acc:MGI:1890613]</t>
  </si>
  <si>
    <t>Heatr5b</t>
  </si>
  <si>
    <t>HEAT repeat containing 5B [Source:MGI Symbol;Acc:MGI:2444098]</t>
  </si>
  <si>
    <t>Cdc42bpa</t>
  </si>
  <si>
    <t>CDC42 binding protein kinase alpha [Source:MGI Symbol;Acc:MGI:2441841]</t>
  </si>
  <si>
    <t>Ska3</t>
  </si>
  <si>
    <t>spindle and kinetochore associated complex subunit 3 [Source:MGI Symbol;Acc:MGI:3041235]</t>
  </si>
  <si>
    <t>Smg8</t>
  </si>
  <si>
    <t>smg-8 homolog, nonsense mediated mRNA decay factor (C. elegans) [Source:MGI Symbol;Acc:MGI:1921383]</t>
  </si>
  <si>
    <t>Baz1a</t>
  </si>
  <si>
    <t>bromodomain adjacent to zinc finger domain 1A [Source:MGI Symbol;Acc:MGI:1309478]</t>
  </si>
  <si>
    <t>Selenoi</t>
  </si>
  <si>
    <t>selenoprotein I [Source:MGI Symbol;Acc:MGI:107898]</t>
  </si>
  <si>
    <t>Gm6977</t>
  </si>
  <si>
    <t>predicted gene 6977 [Source:MGI Symbol;Acc:MGI:3647597]</t>
  </si>
  <si>
    <t>Lat</t>
  </si>
  <si>
    <t>linker for activation of T cells [Source:MGI Symbol;Acc:MGI:1342293]</t>
  </si>
  <si>
    <t>AB124611</t>
  </si>
  <si>
    <t>cDNA sequence AB124611 [Source:MGI Symbol;Acc:MGI:3043001]</t>
  </si>
  <si>
    <t>Plekhf2</t>
  </si>
  <si>
    <t>pleckstrin homology domain containing, family F (with FYVE domain) member 2 [Source:MGI Symbol;Acc:MGI:1919051]</t>
  </si>
  <si>
    <t>Fbrsl1</t>
  </si>
  <si>
    <t>fibrosin-like 1 [Source:MGI Symbol;Acc:MGI:1920907]</t>
  </si>
  <si>
    <t>Cul5</t>
  </si>
  <si>
    <t>cullin 5 [Source:MGI Symbol;Acc:MGI:1922967]</t>
  </si>
  <si>
    <t>Llph</t>
  </si>
  <si>
    <t>LLP homolog, long-term synaptic facilitation (Aplysia) [Source:MGI Symbol;Acc:MGI:1913475]</t>
  </si>
  <si>
    <t>Sugp1</t>
  </si>
  <si>
    <t>SURP and G patch domain containing 1 [Source:MGI Symbol;Acc:MGI:1917866]</t>
  </si>
  <si>
    <t>Synj1</t>
  </si>
  <si>
    <t>synaptojanin 1 [Source:MGI Symbol;Acc:MGI:1354961]</t>
  </si>
  <si>
    <t>5830432E09Rik</t>
  </si>
  <si>
    <t>RIKEN cDNA 5830432E09 gene [Source:MGI Symbol;Acc:MGI:1915015]</t>
  </si>
  <si>
    <t>Arrb2</t>
  </si>
  <si>
    <t>arrestin, beta 2 [Source:MGI Symbol;Acc:MGI:99474]</t>
  </si>
  <si>
    <t>Ltc4s</t>
  </si>
  <si>
    <t>leukotriene C4 synthase [Source:MGI Symbol;Acc:MGI:107498]</t>
  </si>
  <si>
    <t>Tedc2</t>
  </si>
  <si>
    <t>tubulin epsilon and delta complex 2 [Source:MGI Symbol;Acc:MGI:1919266]</t>
  </si>
  <si>
    <t>Slc8b1</t>
  </si>
  <si>
    <t>solute carrier family 8 (sodium/lithium/calcium exchanger), member B1 [Source:MGI Symbol;Acc:MGI:2180781]</t>
  </si>
  <si>
    <t>Stradb</t>
  </si>
  <si>
    <t>STE20-related kinase adaptor beta [Source:MGI Symbol;Acc:MGI:2144047]</t>
  </si>
  <si>
    <t>Zcchc9</t>
  </si>
  <si>
    <t>zinc finger, CCHC domain containing 9 [Source:MGI Symbol;Acc:MGI:1916335]</t>
  </si>
  <si>
    <t>Dars</t>
  </si>
  <si>
    <t>aspartyl-tRNA synthetase [Source:MGI Symbol;Acc:MGI:2442544]</t>
  </si>
  <si>
    <t>Ggps1</t>
  </si>
  <si>
    <t>geranylgeranyl diphosphate synthase 1 [Source:MGI Symbol;Acc:MGI:1341724]</t>
  </si>
  <si>
    <t>Cdipt</t>
  </si>
  <si>
    <t>CDP-diacylglycerol--inositol 3-phosphatidyltransferase (phosphatidylinositol synthase) [Source:MGI Symbol;Acc:MGI:105491]</t>
  </si>
  <si>
    <t>Dph6</t>
  </si>
  <si>
    <t>diphthamine biosynthesis 6 [Source:MGI Symbol;Acc:MGI:1913882]</t>
  </si>
  <si>
    <t>Gm17024</t>
  </si>
  <si>
    <t>predicted gene 17024 [Source:MGI Symbol;Acc:MGI:4937851]</t>
  </si>
  <si>
    <t>Acss2</t>
  </si>
  <si>
    <t>acyl-CoA synthetase short-chain family member 2 [Source:MGI Symbol;Acc:MGI:1890410]</t>
  </si>
  <si>
    <t>Mtap</t>
  </si>
  <si>
    <t>methylthioadenosine phosphorylase [Source:MGI Symbol;Acc:MGI:1914152]</t>
  </si>
  <si>
    <t>Gm12764</t>
  </si>
  <si>
    <t>predicted gene 12764 [Source:MGI Symbol;Acc:MGI:3649980]</t>
  </si>
  <si>
    <t>Gm572</t>
  </si>
  <si>
    <t>predicted gene 572 [Source:MGI Symbol;Acc:MGI:2685418]</t>
  </si>
  <si>
    <t>Fam131a</t>
  </si>
  <si>
    <t>family with sequence similarity 131, member A [Source:MGI Symbol;Acc:MGI:1925658]</t>
  </si>
  <si>
    <t>Dimt1</t>
  </si>
  <si>
    <t>DIM1 dimethyladenosine transferase 1-like (S. cerevisiae) [Source:MGI Symbol;Acc:MGI:1913504]</t>
  </si>
  <si>
    <t>Rpusd2</t>
  </si>
  <si>
    <t>RNA pseudouridylate synthase domain containing 2 [Source:MGI Symbol;Acc:MGI:1918066]</t>
  </si>
  <si>
    <t>Dtx4</t>
  </si>
  <si>
    <t>deltex 4, E3 ubiquitin ligase [Source:MGI Symbol;Acc:MGI:2672905]</t>
  </si>
  <si>
    <t>Ift46</t>
  </si>
  <si>
    <t>intraflagellar transport 46 [Source:MGI Symbol;Acc:MGI:1923818]</t>
  </si>
  <si>
    <t>Rnf135</t>
  </si>
  <si>
    <t>ring finger protein 135 [Source:MGI Symbol;Acc:MGI:1919206]</t>
  </si>
  <si>
    <t>Aaas</t>
  </si>
  <si>
    <t>achalasia, adrenocortical insufficiency, alacrimia [Source:MGI Symbol;Acc:MGI:2443767]</t>
  </si>
  <si>
    <t>Tmbim1</t>
  </si>
  <si>
    <t>transmembrane BAX inhibitor motif containing 1 [Source:MGI Symbol;Acc:MGI:1916910]</t>
  </si>
  <si>
    <t>BC031181</t>
  </si>
  <si>
    <t>cDNA sequence BC031181 [Source:MGI Symbol;Acc:MGI:3039614]</t>
  </si>
  <si>
    <t>Ctla2b</t>
  </si>
  <si>
    <t>cytotoxic T lymphocyte-associated protein 2 beta [Source:MGI Symbol;Acc:MGI:88555]</t>
  </si>
  <si>
    <t>Zfp111</t>
  </si>
  <si>
    <t>zinc finger protein 111 [Source:MGI Symbol;Acc:MGI:1929114]</t>
  </si>
  <si>
    <t>Tipin</t>
  </si>
  <si>
    <t>timeless interacting protein [Source:MGI Symbol;Acc:MGI:1921571]</t>
  </si>
  <si>
    <t>Mapk3</t>
  </si>
  <si>
    <t>mitogen-activated protein kinase 3 [Source:MGI Symbol;Acc:MGI:1346859]</t>
  </si>
  <si>
    <t>Vmac</t>
  </si>
  <si>
    <t>vimentin-type intermediate filament associated coiled-coil protein [Source:MGI Symbol;Acc:MGI:2146912]</t>
  </si>
  <si>
    <t>Pcbp2</t>
  </si>
  <si>
    <t>poly(rC) binding protein 2 [Source:MGI Symbol;Acc:MGI:108202]</t>
  </si>
  <si>
    <t>Lrig3</t>
  </si>
  <si>
    <t>leucine-rich repeats and immunoglobulin-like domains 3 [Source:MGI Symbol;Acc:MGI:2443955]</t>
  </si>
  <si>
    <t>Stxbp1</t>
  </si>
  <si>
    <t>syntaxin binding protein 1 [Source:MGI Symbol;Acc:MGI:107363]</t>
  </si>
  <si>
    <t>Rasip1</t>
  </si>
  <si>
    <t>Ras interacting protein 1 [Source:MGI Symbol;Acc:MGI:1917153]</t>
  </si>
  <si>
    <t>Fto</t>
  </si>
  <si>
    <t>fat mass and obesity associated [Source:MGI Symbol;Acc:MGI:1347093]</t>
  </si>
  <si>
    <t>Nrcam</t>
  </si>
  <si>
    <t>neuronal cell adhesion molecule [Source:MGI Symbol;Acc:MGI:104750]</t>
  </si>
  <si>
    <t>Ppp1r16a</t>
  </si>
  <si>
    <t>protein phosphatase 1, regulatory subunit 16A [Source:MGI Symbol;Acc:MGI:1920312]</t>
  </si>
  <si>
    <t>Depdc7</t>
  </si>
  <si>
    <t>DEP domain containing 7 [Source:MGI Symbol;Acc:MGI:2139258]</t>
  </si>
  <si>
    <t>Lztr1</t>
  </si>
  <si>
    <t>leucine-zipper-like transcriptional regulator, 1 [Source:MGI Symbol;Acc:MGI:1914113]</t>
  </si>
  <si>
    <t>Stard4</t>
  </si>
  <si>
    <t>StAR-related lipid transfer (START) domain containing 4 [Source:MGI Symbol;Acc:MGI:2156764]</t>
  </si>
  <si>
    <t>Zfp266</t>
  </si>
  <si>
    <t>zinc finger protein 266 [Source:MGI Symbol;Acc:MGI:1924769]</t>
  </si>
  <si>
    <t>Kctd5</t>
  </si>
  <si>
    <t>potassium channel tetramerisation domain containing 5 [Source:MGI Symbol;Acc:MGI:1916509]</t>
  </si>
  <si>
    <t>Hspa5</t>
  </si>
  <si>
    <t>heat shock protein 5 [Source:MGI Symbol;Acc:MGI:95835]</t>
  </si>
  <si>
    <t>Zer1</t>
  </si>
  <si>
    <t>zyg-11 related, cell cycle regulator [Source:MGI Symbol;Acc:MGI:2442511]</t>
  </si>
  <si>
    <t>Cpt1a</t>
  </si>
  <si>
    <t>carnitine palmitoyltransferase 1a, liver [Source:MGI Symbol;Acc:MGI:1098296]</t>
  </si>
  <si>
    <t>Gtpbp2</t>
  </si>
  <si>
    <t>GTP binding protein 2 [Source:MGI Symbol;Acc:MGI:1860138]</t>
  </si>
  <si>
    <t>Gphn</t>
  </si>
  <si>
    <t>gephyrin [Source:MGI Symbol;Acc:MGI:109602]</t>
  </si>
  <si>
    <t>Nsun2</t>
  </si>
  <si>
    <t>NOL1/NOP2/Sun domain family member 2 [Source:MGI Symbol;Acc:MGI:107252]</t>
  </si>
  <si>
    <t>Tulp4</t>
  </si>
  <si>
    <t>tubby like protein 4 [Source:MGI Symbol;Acc:MGI:1916092]</t>
  </si>
  <si>
    <t>Fbxo38</t>
  </si>
  <si>
    <t>F-box protein 38 [Source:MGI Symbol;Acc:MGI:2444639]</t>
  </si>
  <si>
    <t>Dennd6a</t>
  </si>
  <si>
    <t>DENN/MADD domain containing 6A [Source:MGI Symbol;Acc:MGI:2442980]</t>
  </si>
  <si>
    <t>Ahcyl2</t>
  </si>
  <si>
    <t>S-adenosylhomocysteine hydrolase-like 2 [Source:MGI Symbol;Acc:MGI:1921590]</t>
  </si>
  <si>
    <t>Psma5</t>
  </si>
  <si>
    <t>proteasome subunit alpha 5 [Source:MGI Symbol;Acc:MGI:1347009]</t>
  </si>
  <si>
    <t>Trmt10a</t>
  </si>
  <si>
    <t>tRNA methyltransferase 10A [Source:MGI Symbol;Acc:MGI:1920421]</t>
  </si>
  <si>
    <t>Dhps</t>
  </si>
  <si>
    <t>deoxyhypusine synthase [Source:MGI Symbol;Acc:MGI:2683592]</t>
  </si>
  <si>
    <t>Gm42890</t>
  </si>
  <si>
    <t>predicted gene 42890 [Source:MGI Symbol;Acc:MGI:5663027]</t>
  </si>
  <si>
    <t>Zfp407</t>
  </si>
  <si>
    <t>zinc finger protein 407 [Source:MGI Symbol;Acc:MGI:2685179]</t>
  </si>
  <si>
    <t>Fbxo31</t>
  </si>
  <si>
    <t>F-box protein 31 [Source:MGI Symbol;Acc:MGI:1354708]</t>
  </si>
  <si>
    <t>Cops2</t>
  </si>
  <si>
    <t>COP9 signalosome subunit 2 [Source:MGI Symbol;Acc:MGI:1330276]</t>
  </si>
  <si>
    <t>Kif11</t>
  </si>
  <si>
    <t>kinesin family member 11 [Source:MGI Symbol;Acc:MGI:1098231]</t>
  </si>
  <si>
    <t>Mob1a</t>
  </si>
  <si>
    <t>MOB kinase activator 1A [Source:MGI Symbol;Acc:MGI:2442631]</t>
  </si>
  <si>
    <t>Ccdc112</t>
  </si>
  <si>
    <t>coiled-coil domain containing 112 [Source:MGI Symbol;Acc:MGI:1918800]</t>
  </si>
  <si>
    <t>Arhgef6</t>
  </si>
  <si>
    <t>Rac/Cdc42 guanine nucleotide exchange factor (GEF) 6 [Source:MGI Symbol;Acc:MGI:1920591]</t>
  </si>
  <si>
    <t>U2af2</t>
  </si>
  <si>
    <t>U2 small nuclear ribonucleoprotein auxiliary factor (U2AF) 2 [Source:MGI Symbol;Acc:MGI:98886]</t>
  </si>
  <si>
    <t>Adam33</t>
  </si>
  <si>
    <t>a disintegrin and metallopeptidase domain 33 [Source:MGI Symbol;Acc:MGI:1341813]</t>
  </si>
  <si>
    <t>Camk2n2</t>
  </si>
  <si>
    <t>calcium/calmodulin-dependent protein kinase II inhibitor 2 [Source:MGI Symbol;Acc:MGI:1920297]</t>
  </si>
  <si>
    <t>Bub1b</t>
  </si>
  <si>
    <t>BUB1B, mitotic checkpoint serine/threonine kinase [Source:MGI Symbol;Acc:MGI:1333889]</t>
  </si>
  <si>
    <t>Flnc</t>
  </si>
  <si>
    <t>filamin C, gamma [Source:MGI Symbol;Acc:MGI:95557]</t>
  </si>
  <si>
    <t>Pard6b</t>
  </si>
  <si>
    <t>par-6 family cell polarity regulator beta [Source:MGI Symbol;Acc:MGI:2135605]</t>
  </si>
  <si>
    <t>Chd9</t>
  </si>
  <si>
    <t>chromodomain helicase DNA binding protein 9 [Source:MGI Symbol;Acc:MGI:1924001]</t>
  </si>
  <si>
    <t>Kidins220</t>
  </si>
  <si>
    <t>kinase D-interacting substrate 220 [Source:MGI Symbol;Acc:MGI:1924730]</t>
  </si>
  <si>
    <t>4932438A13Rik</t>
  </si>
  <si>
    <t>RIKEN cDNA 4932438A13 gene [Source:MGI Symbol;Acc:MGI:2444631]</t>
  </si>
  <si>
    <t>Ttc39aos1</t>
  </si>
  <si>
    <t>Ttc39a opposite strand RNA 1 [Source:MGI Symbol;Acc:MGI:3651956]</t>
  </si>
  <si>
    <t>Pik3ca</t>
  </si>
  <si>
    <t>phosphatidylinositol-4,5-bisphosphate 3-kinase catalytic subunit alpha [Source:MGI Symbol;Acc:MGI:1206581]</t>
  </si>
  <si>
    <t>Ttc38</t>
  </si>
  <si>
    <t>tetratricopeptide repeat domain 38 [Source:MGI Symbol;Acc:MGI:2146198]</t>
  </si>
  <si>
    <t>Lgmn</t>
  </si>
  <si>
    <t>legumain [Source:MGI Symbol;Acc:MGI:1330838]</t>
  </si>
  <si>
    <t>Naa15</t>
  </si>
  <si>
    <t>N(alpha)-acetyltransferase 15, NatA auxiliary subunit [Source:MGI Symbol;Acc:MGI:1922088]</t>
  </si>
  <si>
    <t>Gtpbp6</t>
  </si>
  <si>
    <t>GTP binding protein 6 (putative) [Source:MGI Symbol;Acc:MGI:1306825]</t>
  </si>
  <si>
    <t>Eif4enif1</t>
  </si>
  <si>
    <t>eukaryotic translation initiation factor 4E nuclear import factor 1 [Source:MGI Symbol;Acc:MGI:1921453]</t>
  </si>
  <si>
    <t>Ppm1d</t>
  </si>
  <si>
    <t>protein phosphatase 1D magnesium-dependent, delta isoform [Source:MGI Symbol;Acc:MGI:1858214]</t>
  </si>
  <si>
    <t>Wdpcp</t>
  </si>
  <si>
    <t>WD repeat containing planar cell polarity effector [Source:MGI Symbol;Acc:MGI:2144467]</t>
  </si>
  <si>
    <t>Ccna2</t>
  </si>
  <si>
    <t>cyclin A2 [Source:MGI Symbol;Acc:MGI:108069]</t>
  </si>
  <si>
    <t>Tesk2</t>
  </si>
  <si>
    <t>testis-specific kinase 2 [Source:MGI Symbol;Acc:MGI:2385204]</t>
  </si>
  <si>
    <t>Cdk7</t>
  </si>
  <si>
    <t>cyclin-dependent kinase 7 [Source:MGI Symbol;Acc:MGI:102956]</t>
  </si>
  <si>
    <t>Mib1</t>
  </si>
  <si>
    <t>mindbomb E3 ubiquitin protein ligase 1 [Source:MGI Symbol;Acc:MGI:2443157]</t>
  </si>
  <si>
    <t>Slc45a4</t>
  </si>
  <si>
    <t>solute carrier family 45, member 4 [Source:MGI Symbol;Acc:MGI:2146236]</t>
  </si>
  <si>
    <t>Dnaja3</t>
  </si>
  <si>
    <t>DnaJ heat shock protein family (Hsp40) member A3 [Source:MGI Symbol;Acc:MGI:1933786]</t>
  </si>
  <si>
    <t>Pola2</t>
  </si>
  <si>
    <t>polymerase (DNA directed), alpha 2 [Source:MGI Symbol;Acc:MGI:99690]</t>
  </si>
  <si>
    <t>Bccip</t>
  </si>
  <si>
    <t>BRCA2 and CDKN1A interacting protein [Source:MGI Symbol;Acc:MGI:1913415]</t>
  </si>
  <si>
    <t>Paics</t>
  </si>
  <si>
    <t>phosphoribosylaminoimidazole carboxylase, phosphoribosylaminoribosylaminoimidazole, succinocarboxamide synthetase [Source:MGI Symbol;Acc:MGI:1914304]</t>
  </si>
  <si>
    <t>Aqp8</t>
  </si>
  <si>
    <t>aquaporin 8 [Source:MGI Symbol;Acc:MGI:1195271]</t>
  </si>
  <si>
    <t>Rhobtb2</t>
  </si>
  <si>
    <t>Rho-related BTB domain containing 2 [Source:MGI Symbol;Acc:MGI:2180557]</t>
  </si>
  <si>
    <t>Pars2</t>
  </si>
  <si>
    <t>prolyl-tRNA synthetase (mitochondrial)(putative) [Source:MGI Symbol;Acc:MGI:2386296]</t>
  </si>
  <si>
    <t>Slc39a7</t>
  </si>
  <si>
    <t>solute carrier family 39 (zinc transporter), member 7 [Source:MGI Symbol;Acc:MGI:95909]</t>
  </si>
  <si>
    <t>Brd7</t>
  </si>
  <si>
    <t>bromodomain containing 7 [Source:MGI Symbol;Acc:MGI:1349766]</t>
  </si>
  <si>
    <t>Arhgdia</t>
  </si>
  <si>
    <t>Rho GDP dissociation inhibitor (GDI) alpha [Source:MGI Symbol;Acc:MGI:2178103]</t>
  </si>
  <si>
    <t>Vps4b</t>
  </si>
  <si>
    <t>vacuolar protein sorting 4B [Source:MGI Symbol;Acc:MGI:1100499]</t>
  </si>
  <si>
    <t>Ankib1</t>
  </si>
  <si>
    <t>ankyrin repeat and IBR domain containing 1 [Source:MGI Symbol;Acc:MGI:1918047]</t>
  </si>
  <si>
    <t>Pphln1</t>
  </si>
  <si>
    <t>periphilin 1 [Source:MGI Symbol;Acc:MGI:1917029]</t>
  </si>
  <si>
    <t>Slc25a23</t>
  </si>
  <si>
    <t>solute carrier family 25 (mitochondrial carrier; phosphate carrier), member 23 [Source:MGI Symbol;Acc:MGI:1914222]</t>
  </si>
  <si>
    <t>Shc1</t>
  </si>
  <si>
    <t>src homology 2 domain-containing transforming protein C1 [Source:MGI Symbol;Acc:MGI:98296]</t>
  </si>
  <si>
    <t>Homez</t>
  </si>
  <si>
    <t>homeodomain leucine zipper-encoding gene [Source:MGI Symbol;Acc:MGI:2678023]</t>
  </si>
  <si>
    <t>Csf2ra</t>
  </si>
  <si>
    <t>colony stimulating factor 2 receptor, alpha, low-affinity (granulocyte-macrophage) [Source:MGI Symbol;Acc:MGI:1339754]</t>
  </si>
  <si>
    <t>Fzd7</t>
  </si>
  <si>
    <t>frizzled class receptor 7 [Source:MGI Symbol;Acc:MGI:108570]</t>
  </si>
  <si>
    <t>Cnnm2</t>
  </si>
  <si>
    <t>cyclin M2 [Source:MGI Symbol;Acc:MGI:2151054]</t>
  </si>
  <si>
    <t>Aarsd1</t>
  </si>
  <si>
    <t>alanyl-tRNA synthetase domain containing 1 [Source:MGI Symbol;Acc:MGI:1916934]</t>
  </si>
  <si>
    <t>Rnpc3</t>
  </si>
  <si>
    <t>RNA-binding region (RNP1, RRM) containing 3 [Source:MGI Symbol;Acc:MGI:1914475]</t>
  </si>
  <si>
    <t>Ifrd2</t>
  </si>
  <si>
    <t>interferon-related developmental regulator 2 [Source:MGI Symbol;Acc:MGI:1316708]</t>
  </si>
  <si>
    <t>Gm45234</t>
  </si>
  <si>
    <t>predicted gene 45234 [Source:MGI Symbol;Acc:MGI:5753810]</t>
  </si>
  <si>
    <t>Cnot4</t>
  </si>
  <si>
    <t>CCR4-NOT transcription complex, subunit 4 [Source:MGI Symbol;Acc:MGI:1859026]</t>
  </si>
  <si>
    <t>Camp</t>
  </si>
  <si>
    <t>cathelicidin antimicrobial peptide [Source:MGI Symbol;Acc:MGI:108443]</t>
  </si>
  <si>
    <t>Tube1</t>
  </si>
  <si>
    <t>tubulin, epsilon 1 [Source:MGI Symbol;Acc:MGI:1919174]</t>
  </si>
  <si>
    <t>Gm47282</t>
  </si>
  <si>
    <t>predicted gene, 47282 [Source:MGI Symbol;Acc:MGI:6096129]</t>
  </si>
  <si>
    <t>miRNA</t>
  </si>
  <si>
    <t>Cep57l1</t>
  </si>
  <si>
    <t>centrosomal protein 57-like 1 [Source:MGI Symbol;Acc:MGI:1915511]</t>
  </si>
  <si>
    <t>Sord</t>
  </si>
  <si>
    <t>sorbitol dehydrogenase [Source:MGI Symbol;Acc:MGI:98266]</t>
  </si>
  <si>
    <t>Spire1</t>
  </si>
  <si>
    <t>spire type actin nucleation factor 1 [Source:MGI Symbol;Acc:MGI:1915416]</t>
  </si>
  <si>
    <t>Fam8a1</t>
  </si>
  <si>
    <t>family with sequence similarity 8, member A1 [Source:MGI Symbol;Acc:MGI:2145496]</t>
  </si>
  <si>
    <t>Phf3</t>
  </si>
  <si>
    <t>PHD finger protein 3 [Source:MGI Symbol;Acc:MGI:2446126]</t>
  </si>
  <si>
    <t>Wdfy4</t>
  </si>
  <si>
    <t>WD repeat and FYVE domain containing 4 [Source:MGI Symbol;Acc:MGI:3584510]</t>
  </si>
  <si>
    <t>Cenpu</t>
  </si>
  <si>
    <t>centromere protein U [Source:MGI Symbol;Acc:MGI:1919126]</t>
  </si>
  <si>
    <t>Foxp4</t>
  </si>
  <si>
    <t>forkhead box P4 [Source:MGI Symbol;Acc:MGI:1921373]</t>
  </si>
  <si>
    <t>Psmb4</t>
  </si>
  <si>
    <t>proteasome (prosome, macropain) subunit, beta type 4 [Source:MGI Symbol;Acc:MGI:1098257]</t>
  </si>
  <si>
    <t>Polr2c</t>
  </si>
  <si>
    <t>polymerase (RNA) II (DNA directed) polypeptide C [Source:MGI Symbol;Acc:MGI:109299]</t>
  </si>
  <si>
    <t>Fam98c</t>
  </si>
  <si>
    <t>family with sequence similarity 98, member C [Source:MGI Symbol;Acc:MGI:1921083]</t>
  </si>
  <si>
    <t>Haus5</t>
  </si>
  <si>
    <t>HAUS augmin-like complex, subunit 5 [Source:MGI Symbol;Acc:MGI:1919159]</t>
  </si>
  <si>
    <t>Ptprs</t>
  </si>
  <si>
    <t>protein tyrosine phosphatase, receptor type, S [Source:MGI Symbol;Acc:MGI:97815]</t>
  </si>
  <si>
    <t>Snx18</t>
  </si>
  <si>
    <t>sorting nexin 18 [Source:MGI Symbol;Acc:MGI:2137642]</t>
  </si>
  <si>
    <t>Nup155</t>
  </si>
  <si>
    <t>nucleoporin 155 [Source:MGI Symbol;Acc:MGI:2181182]</t>
  </si>
  <si>
    <t>Cd84</t>
  </si>
  <si>
    <t>CD84 antigen [Source:MGI Symbol;Acc:MGI:1336885]</t>
  </si>
  <si>
    <t>Swsap1</t>
  </si>
  <si>
    <t>SWIM type zinc finger 7 associated protein 1 [Source:MGI Symbol;Acc:MGI:1914212]</t>
  </si>
  <si>
    <t>Nuf2</t>
  </si>
  <si>
    <t>NUF2, NDC80 kinetochore complex component [Source:MGI Symbol;Acc:MGI:1914227]</t>
  </si>
  <si>
    <t>Fbn1</t>
  </si>
  <si>
    <t>fibrillin 1 [Source:MGI Symbol;Acc:MGI:95489]</t>
  </si>
  <si>
    <t>Smad1</t>
  </si>
  <si>
    <t>SMAD family member 1 [Source:MGI Symbol;Acc:MGI:109452]</t>
  </si>
  <si>
    <t>Gen1</t>
  </si>
  <si>
    <t>GEN1, Holliday junction 5' flap endonuclease [Source:MGI Symbol;Acc:MGI:2443149]</t>
  </si>
  <si>
    <t>Kifap3</t>
  </si>
  <si>
    <t>kinesin-associated protein 3 [Source:MGI Symbol;Acc:MGI:107566]</t>
  </si>
  <si>
    <t>Spsb3</t>
  </si>
  <si>
    <t>splA/ryanodine receptor domain and SOCS box containing 3 [Source:MGI Symbol;Acc:MGI:1891471]</t>
  </si>
  <si>
    <t>Pik3cd</t>
  </si>
  <si>
    <t>phosphatidylinositol-4,5-bisphosphate 3-kinase catalytic subunit delta [Source:MGI Symbol;Acc:MGI:1098211]</t>
  </si>
  <si>
    <t>Osbpl9</t>
  </si>
  <si>
    <t>oxysterol binding protein-like 9 [Source:MGI Symbol;Acc:MGI:1923784]</t>
  </si>
  <si>
    <t>Fam222a</t>
  </si>
  <si>
    <t>family with sequence similarity 222, member A [Source:MGI Symbol;Acc:MGI:3605543]</t>
  </si>
  <si>
    <t>Srek1ip1</t>
  </si>
  <si>
    <t>splicing regulatory glutamine/lysine-rich protein 1interacting protein 1 [Source:MGI Symbol;Acc:MGI:1914538]</t>
  </si>
  <si>
    <t>Lclat1</t>
  </si>
  <si>
    <t>lysocardiolipin acyltransferase 1 [Source:MGI Symbol;Acc:MGI:2684937]</t>
  </si>
  <si>
    <t>Nme7</t>
  </si>
  <si>
    <t>NME/NM23 family member 7 [Source:MGI Symbol;Acc:MGI:2449121]</t>
  </si>
  <si>
    <t>Lipe</t>
  </si>
  <si>
    <t>lipase, hormone sensitive [Source:MGI Symbol;Acc:MGI:96790]</t>
  </si>
  <si>
    <t>2610008E11Rik</t>
  </si>
  <si>
    <t>RIKEN cDNA 2610008E11 gene [Source:MGI Symbol;Acc:MGI:1919378]</t>
  </si>
  <si>
    <t>Sgo2a</t>
  </si>
  <si>
    <t>shugoshin 2A [Source:MGI Symbol;Acc:MGI:1098767]</t>
  </si>
  <si>
    <t>Bcl10</t>
  </si>
  <si>
    <t>B cell leukemia/lymphoma 10 [Source:MGI Symbol;Acc:MGI:1337994]</t>
  </si>
  <si>
    <t>Myo5a</t>
  </si>
  <si>
    <t>myosin VA [Source:MGI Symbol;Acc:MGI:105976]</t>
  </si>
  <si>
    <t>Rasal1</t>
  </si>
  <si>
    <t>RAS protein activator like 1 (GAP1 like) [Source:MGI Symbol;Acc:MGI:1330842]</t>
  </si>
  <si>
    <t>Amer1</t>
  </si>
  <si>
    <t>APC membrane recruitment 1 [Source:MGI Symbol;Acc:MGI:1919595]</t>
  </si>
  <si>
    <t>Ipp</t>
  </si>
  <si>
    <t>IAP promoted placental gene [Source:MGI Symbol;Acc:MGI:96581]</t>
  </si>
  <si>
    <t>Ddx10</t>
  </si>
  <si>
    <t>DEAD (Asp-Glu-Ala-Asp) box polypeptide 10 [Source:MGI Symbol;Acc:MGI:1924841]</t>
  </si>
  <si>
    <t>Homer1</t>
  </si>
  <si>
    <t>homer scaffolding protein 1 [Source:MGI Symbol;Acc:MGI:1347345]</t>
  </si>
  <si>
    <t>Appbp2</t>
  </si>
  <si>
    <t>amyloid beta precursor protein (cytoplasmic tail) binding protein 2 [Source:MGI Symbol;Acc:MGI:1914134]</t>
  </si>
  <si>
    <t>Chd2</t>
  </si>
  <si>
    <t>chromodomain helicase DNA binding protein 2 [Source:MGI Symbol;Acc:MGI:2448567]</t>
  </si>
  <si>
    <t>Mettl3</t>
  </si>
  <si>
    <t>methyltransferase like 3 [Source:MGI Symbol;Acc:MGI:1927165]</t>
  </si>
  <si>
    <t>Actr3-ps</t>
  </si>
  <si>
    <t>actin related protein 3, pseudogene [Source:MGI Symbol;Acc:MGI:3648640]</t>
  </si>
  <si>
    <t>Ufd1</t>
  </si>
  <si>
    <t>ubiquitin recognition factor in ER-associated degradation 1 [Source:MGI Symbol;Acc:MGI:109353]</t>
  </si>
  <si>
    <t>Lrrc73</t>
  </si>
  <si>
    <t>leucine rich repeat containing 73 [Source:MGI Symbol;Acc:MGI:2684934]</t>
  </si>
  <si>
    <t>Dnttip2</t>
  </si>
  <si>
    <t>deoxynucleotidyltransferase, terminal, interacting protein 2 [Source:MGI Symbol;Acc:MGI:1923173]</t>
  </si>
  <si>
    <t>Cfl1</t>
  </si>
  <si>
    <t>cofilin 1, non-muscle [Source:MGI Symbol;Acc:MGI:101757]</t>
  </si>
  <si>
    <t>Rcor1</t>
  </si>
  <si>
    <t>REST corepressor 1 [Source:MGI Symbol;Acc:MGI:106340]</t>
  </si>
  <si>
    <t>Ttll12</t>
  </si>
  <si>
    <t>tubulin tyrosine ligase-like family, member 12 [Source:MGI Symbol;Acc:MGI:3039573]</t>
  </si>
  <si>
    <t>1110002L01Rik</t>
  </si>
  <si>
    <t>RIKEN cDNA 1110002L01 gene [Source:MGI Symbol;Acc:MGI:1915821]</t>
  </si>
  <si>
    <t>Trim24</t>
  </si>
  <si>
    <t>tripartite motif-containing 24 [Source:MGI Symbol;Acc:MGI:109275]</t>
  </si>
  <si>
    <t>Dhx33</t>
  </si>
  <si>
    <t>DEAH (Asp-Glu-Ala-His) box polypeptide 33 [Source:MGI Symbol;Acc:MGI:2445102]</t>
  </si>
  <si>
    <t>Gnpda1</t>
  </si>
  <si>
    <t>glucosamine-6-phosphate deaminase 1 [Source:MGI Symbol;Acc:MGI:1347054]</t>
  </si>
  <si>
    <t>Gid4</t>
  </si>
  <si>
    <t>GID complex subunit 4, VID24 homolog [Source:MGI Symbol;Acc:MGI:1914021]</t>
  </si>
  <si>
    <t>Gnptab</t>
  </si>
  <si>
    <t>N-acetylglucosamine-1-phosphate transferase, alpha and beta subunits [Source:MGI Symbol;Acc:MGI:3643902]</t>
  </si>
  <si>
    <t>Gm29340</t>
  </si>
  <si>
    <t>predicted gene 29340 [Source:MGI Symbol;Acc:MGI:5580046]</t>
  </si>
  <si>
    <t>2310002L09Rik</t>
  </si>
  <si>
    <t>RIKEN cDNA 2310002L09 gene [Source:MGI Symbol;Acc:MGI:1916780]</t>
  </si>
  <si>
    <t>Myo1g</t>
  </si>
  <si>
    <t>myosin IG [Source:MGI Symbol;Acc:MGI:1927091]</t>
  </si>
  <si>
    <t>Zfp282</t>
  </si>
  <si>
    <t>zinc finger protein 282 [Source:MGI Symbol;Acc:MGI:2141413]</t>
  </si>
  <si>
    <t>Lix1</t>
  </si>
  <si>
    <t>limb and CNS expressed 1 [Source:MGI Symbol;Acc:MGI:1913893]</t>
  </si>
  <si>
    <t>Sgsm3</t>
  </si>
  <si>
    <t>small G protein signaling modulator 3 [Source:MGI Symbol;Acc:MGI:1916329]</t>
  </si>
  <si>
    <t>Hp</t>
  </si>
  <si>
    <t>haptoglobin [Source:MGI Symbol;Acc:MGI:96211]</t>
  </si>
  <si>
    <t>Gm46224</t>
  </si>
  <si>
    <t>predicted gene, 46224 [Source:MGI Symbol;Acc:MGI:5825861]</t>
  </si>
  <si>
    <t>Alkbh8</t>
  </si>
  <si>
    <t>alkB homolog 8, tRNA methyltransferase [Source:MGI Symbol;Acc:MGI:1914917]</t>
  </si>
  <si>
    <t>Atad3a</t>
  </si>
  <si>
    <t>ATPase family, AAA domain containing 3A [Source:MGI Symbol;Acc:MGI:1919214]</t>
  </si>
  <si>
    <t>Dusp6</t>
  </si>
  <si>
    <t>dual specificity phosphatase 6 [Source:MGI Symbol;Acc:MGI:1914853]</t>
  </si>
  <si>
    <t>Arhgap33</t>
  </si>
  <si>
    <t>Rho GTPase activating protein 33 [Source:MGI Symbol;Acc:MGI:2673998]</t>
  </si>
  <si>
    <t>Srm</t>
  </si>
  <si>
    <t>spermidine synthase [Source:MGI Symbol;Acc:MGI:102690]</t>
  </si>
  <si>
    <t>Klhl36</t>
  </si>
  <si>
    <t>kelch-like 36 [Source:MGI Symbol;Acc:MGI:2385305]</t>
  </si>
  <si>
    <t>Yipf7</t>
  </si>
  <si>
    <t>Yip1 domain family, member 7 [Source:MGI Symbol;Acc:MGI:1922831]</t>
  </si>
  <si>
    <t>Crebl2</t>
  </si>
  <si>
    <t>cAMP responsive element binding protein-like 2 [Source:MGI Symbol;Acc:MGI:1889385]</t>
  </si>
  <si>
    <t>Slfn3</t>
  </si>
  <si>
    <t>schlafen 3 [Source:MGI Symbol;Acc:MGI:1329005]</t>
  </si>
  <si>
    <t>Chtop</t>
  </si>
  <si>
    <t>chromatin target of PRMT1 [Source:MGI Symbol;Acc:MGI:1913761]</t>
  </si>
  <si>
    <t>BC048403</t>
  </si>
  <si>
    <t>cDNA sequence BC048403 [Source:MGI Symbol;Acc:MGI:2670984]</t>
  </si>
  <si>
    <t>Kcnb1</t>
  </si>
  <si>
    <t>potassium voltage gated channel, Shab-related subfamily, member 1 [Source:MGI Symbol;Acc:MGI:96666]</t>
  </si>
  <si>
    <t>H2bc8</t>
  </si>
  <si>
    <t>H2B clustered histone 8 [Source:MGI Symbol;Acc:MGI:2448386]</t>
  </si>
  <si>
    <t>Oas1c</t>
  </si>
  <si>
    <t>2'-5' oligoadenylate synthetase 1C [Source:MGI Symbol;Acc:MGI:2149633]</t>
  </si>
  <si>
    <t>Polr3a</t>
  </si>
  <si>
    <t>polymerase (RNA) III (DNA directed) polypeptide A [Source:MGI Symbol;Acc:MGI:2681836]</t>
  </si>
  <si>
    <t>Slc35c2</t>
  </si>
  <si>
    <t>solute carrier family 35, member C2 [Source:MGI Symbol;Acc:MGI:2385166]</t>
  </si>
  <si>
    <t>5031439G07Rik</t>
  </si>
  <si>
    <t>RIKEN cDNA 5031439G07 gene [Source:MGI Symbol;Acc:MGI:2444899]</t>
  </si>
  <si>
    <t>2610044O15Rik8</t>
  </si>
  <si>
    <t>RIKEN cDNA 2610044O15 gene [Source:MGI Symbol;Acc:MGI:1919389]</t>
  </si>
  <si>
    <t>Cd247</t>
  </si>
  <si>
    <t>CD247 antigen [Source:MGI Symbol;Acc:MGI:88334]</t>
  </si>
  <si>
    <t>Etv5</t>
  </si>
  <si>
    <t>ets variant 5 [Source:MGI Symbol;Acc:MGI:1096867]</t>
  </si>
  <si>
    <t>Parvg</t>
  </si>
  <si>
    <t>parvin, gamma [Source:MGI Symbol;Acc:MGI:2158329]</t>
  </si>
  <si>
    <t>Amhr2</t>
  </si>
  <si>
    <t>anti-Mullerian hormone type 2 receptor [Source:MGI Symbol;Acc:MGI:105062]</t>
  </si>
  <si>
    <t>Slc25a42</t>
  </si>
  <si>
    <t>solute carrier family 25, member 42 [Source:MGI Symbol;Acc:MGI:1920345]</t>
  </si>
  <si>
    <t>Usp35</t>
  </si>
  <si>
    <t>ubiquitin specific peptidase 35 [Source:MGI Symbol;Acc:MGI:2685339]</t>
  </si>
  <si>
    <t>Top1</t>
  </si>
  <si>
    <t>topoisomerase (DNA) I [Source:MGI Symbol;Acc:MGI:98788]</t>
  </si>
  <si>
    <t>Gpr107</t>
  </si>
  <si>
    <t>G protein-coupled receptor 107 [Source:MGI Symbol;Acc:MGI:2139054]</t>
  </si>
  <si>
    <t>Ikzf1</t>
  </si>
  <si>
    <t>IKAROS family zinc finger 1 [Source:MGI Symbol;Acc:MGI:1342540]</t>
  </si>
  <si>
    <t>Magef1</t>
  </si>
  <si>
    <t>melanoma antigen family F, 1 [Source:MGI Symbol;Acc:MGI:1923472]</t>
  </si>
  <si>
    <t>Cep89</t>
  </si>
  <si>
    <t>centrosomal protein 89 [Source:MGI Symbol;Acc:MGI:1919390]</t>
  </si>
  <si>
    <t>Gm4951</t>
  </si>
  <si>
    <t>predicted gene 4951 [Source:MGI Symbol;Acc:MGI:3644953]</t>
  </si>
  <si>
    <t>Ocel1</t>
  </si>
  <si>
    <t>occludin/ELL domain containing 1 [Source:MGI Symbol;Acc:MGI:1924340]</t>
  </si>
  <si>
    <t>Per3</t>
  </si>
  <si>
    <t>period circadian clock 3 [Source:MGI Symbol;Acc:MGI:1277134]</t>
  </si>
  <si>
    <t>Itpr3</t>
  </si>
  <si>
    <t>inositol 1,4,5-triphosphate receptor 3 [Source:MGI Symbol;Acc:MGI:96624]</t>
  </si>
  <si>
    <t>Dync1li1</t>
  </si>
  <si>
    <t>dynein cytoplasmic 1 light intermediate chain 1 [Source:MGI Symbol;Acc:MGI:2135610]</t>
  </si>
  <si>
    <t>Psmb5</t>
  </si>
  <si>
    <t>proteasome (prosome, macropain) subunit, beta type 5 [Source:MGI Symbol;Acc:MGI:1194513]</t>
  </si>
  <si>
    <t>Mutyh</t>
  </si>
  <si>
    <t>mutY DNA glycosylase [Source:MGI Symbol;Acc:MGI:1917853]</t>
  </si>
  <si>
    <t>Gnai2</t>
  </si>
  <si>
    <t>guanine nucleotide binding protein (G protein), alpha inhibiting 2 [Source:MGI Symbol;Acc:MGI:95772]</t>
  </si>
  <si>
    <t>Inpp5e</t>
  </si>
  <si>
    <t>inositol polyphosphate-5-phosphatase E [Source:MGI Symbol;Acc:MGI:1927753]</t>
  </si>
  <si>
    <t>Cmip</t>
  </si>
  <si>
    <t>c-Maf inducing protein [Source:MGI Symbol;Acc:MGI:1921690]</t>
  </si>
  <si>
    <t>Taf15</t>
  </si>
  <si>
    <t>TATA-box binding protein associated factor 15 [Source:MGI Symbol;Acc:MGI:1917689]</t>
  </si>
  <si>
    <t>Rpusd1</t>
  </si>
  <si>
    <t>RNA pseudouridylate synthase domain containing 1 [Source:MGI Symbol;Acc:MGI:1919186]</t>
  </si>
  <si>
    <t>Per1</t>
  </si>
  <si>
    <t>period circadian clock 1 [Source:MGI Symbol;Acc:MGI:1098283]</t>
  </si>
  <si>
    <t>Crtc3</t>
  </si>
  <si>
    <t>CREB regulated transcription coactivator 3 [Source:MGI Symbol;Acc:MGI:1917711]</t>
  </si>
  <si>
    <t>Gmpr2</t>
  </si>
  <si>
    <t>guanosine monophosphate reductase 2 [Source:MGI Symbol;Acc:MGI:1917903]</t>
  </si>
  <si>
    <t>Tbc1d9b</t>
  </si>
  <si>
    <t>TBC1 domain family, member 9B [Source:MGI Symbol;Acc:MGI:1924045]</t>
  </si>
  <si>
    <t>Ccdc180</t>
  </si>
  <si>
    <t>coiled-coil domain containing 180 [Source:MGI Symbol;Acc:MGI:2685871]</t>
  </si>
  <si>
    <t>Atpaf2</t>
  </si>
  <si>
    <t>ATP synthase mitochondrial F1 complex assembly factor 2 [Source:MGI Symbol;Acc:MGI:2180561]</t>
  </si>
  <si>
    <t>Naalad2</t>
  </si>
  <si>
    <t>N-acetylated alpha-linked acidic dipeptidase 2 [Source:MGI Symbol;Acc:MGI:1919810]</t>
  </si>
  <si>
    <t>Srprb</t>
  </si>
  <si>
    <t>signal recognition particle receptor, B subunit [Source:MGI Symbol;Acc:MGI:102964]</t>
  </si>
  <si>
    <t>Spice1</t>
  </si>
  <si>
    <t>spindle and centriole associated protein 1 [Source:MGI Symbol;Acc:MGI:1196252]</t>
  </si>
  <si>
    <t>Nlgn2</t>
  </si>
  <si>
    <t>neuroligin 2 [Source:MGI Symbol;Acc:MGI:2681835]</t>
  </si>
  <si>
    <t>Gm11427</t>
  </si>
  <si>
    <t>predicted gene 11427 [Source:MGI Symbol;Acc:MGI:3651774]</t>
  </si>
  <si>
    <t>Adh7</t>
  </si>
  <si>
    <t>alcohol dehydrogenase 7 (class IV), mu or sigma polypeptide [Source:MGI Symbol;Acc:MGI:87926]</t>
  </si>
  <si>
    <t>Tamm41</t>
  </si>
  <si>
    <t>TAM41 mitochondrial translocator assembly and maintenance homolog [Source:MGI Symbol;Acc:MGI:1916221]</t>
  </si>
  <si>
    <t>Rprd1b</t>
  </si>
  <si>
    <t>regulation of nuclear pre-mRNA domain containing 1B [Source:MGI Symbol;Acc:MGI:1917720]</t>
  </si>
  <si>
    <t>Ranbp9</t>
  </si>
  <si>
    <t>RAN binding protein 9 [Source:MGI Symbol;Acc:MGI:1928741]</t>
  </si>
  <si>
    <t>Ripk1</t>
  </si>
  <si>
    <t>receptor (TNFRSF)-interacting serine-threonine kinase 1 [Source:MGI Symbol;Acc:MGI:108212]</t>
  </si>
  <si>
    <t>Mfsd13a</t>
  </si>
  <si>
    <t>major facilitator superfamily domain containing 13a [Source:MGI Symbol;Acc:MGI:1922396]</t>
  </si>
  <si>
    <t>Cdpf1</t>
  </si>
  <si>
    <t>cysteine rich, DPF motif domain containing 1 [Source:MGI Symbol;Acc:MGI:1919605]</t>
  </si>
  <si>
    <t>Hipk2</t>
  </si>
  <si>
    <t>homeodomain interacting protein kinase 2 [Source:MGI Symbol;Acc:MGI:1314872]</t>
  </si>
  <si>
    <t>Kpnb1</t>
  </si>
  <si>
    <t>karyopherin (importin) beta 1 [Source:MGI Symbol;Acc:MGI:107532]</t>
  </si>
  <si>
    <t>Inpp4a</t>
  </si>
  <si>
    <t>inositol polyphosphate-4-phosphatase, type I [Source:MGI Symbol;Acc:MGI:1931123]</t>
  </si>
  <si>
    <t>Usp22</t>
  </si>
  <si>
    <t>ubiquitin specific peptidase 22 [Source:MGI Symbol;Acc:MGI:2144157]</t>
  </si>
  <si>
    <t>Pagr1a</t>
  </si>
  <si>
    <t>PAXIP1 associated glutamate rich protein 1A [Source:MGI Symbol;Acc:MGI:1914528]</t>
  </si>
  <si>
    <t>Sh3bp5l</t>
  </si>
  <si>
    <t>SH3 binding domain protein 5 like [Source:MGI Symbol;Acc:MGI:1933124]</t>
  </si>
  <si>
    <t>Eif3b</t>
  </si>
  <si>
    <t>eukaryotic translation initiation factor 3, subunit B [Source:MGI Symbol;Acc:MGI:106478]</t>
  </si>
  <si>
    <t>AU022793</t>
  </si>
  <si>
    <t>expressed sequence AU022793 [Source:MGI Symbol;Acc:MGI:2146144]</t>
  </si>
  <si>
    <t>Rin3</t>
  </si>
  <si>
    <t>Ras and Rab interactor 3 [Source:MGI Symbol;Acc:MGI:2385708]</t>
  </si>
  <si>
    <t>Med23</t>
  </si>
  <si>
    <t>mediator complex subunit 23 [Source:MGI Symbol;Acc:MGI:1917458]</t>
  </si>
  <si>
    <t>Atic</t>
  </si>
  <si>
    <t>5-aminoimidazole-4-carboxamide ribonucleotide formyltransferase/IMP cyclohydrolase [Source:MGI Symbol;Acc:MGI:1351352]</t>
  </si>
  <si>
    <t>Wtap</t>
  </si>
  <si>
    <t>Wilms tumour 1-associating protein [Source:MGI Symbol;Acc:MGI:1926395]</t>
  </si>
  <si>
    <t>Scfd2</t>
  </si>
  <si>
    <t>Sec1 family domain containing 2 [Source:MGI Symbol;Acc:MGI:2443446]</t>
  </si>
  <si>
    <t>Dbp</t>
  </si>
  <si>
    <t>D site albumin promoter binding protein [Source:MGI Symbol;Acc:MGI:94866]</t>
  </si>
  <si>
    <t>Tbc1d16</t>
  </si>
  <si>
    <t>TBC1 domain family, member 16 [Source:MGI Symbol;Acc:MGI:2652878]</t>
  </si>
  <si>
    <t>Acaa2</t>
  </si>
  <si>
    <t>acetyl-Coenzyme A acyltransferase 2 (mitochondrial 3-oxoacyl-Coenzyme A thiolase) [Source:MGI Symbol;Acc:MGI:1098623]</t>
  </si>
  <si>
    <t>Cish</t>
  </si>
  <si>
    <t>cytokine inducible SH2-containing protein [Source:MGI Symbol;Acc:MGI:103159]</t>
  </si>
  <si>
    <t>S100a10</t>
  </si>
  <si>
    <t>S100 calcium binding protein A10 (calpactin) [Source:MGI Symbol;Acc:MGI:1339468]</t>
  </si>
  <si>
    <t>Sfmbt2</t>
  </si>
  <si>
    <t>Scm-like with four mbt domains 2 [Source:MGI Symbol;Acc:MGI:2447794]</t>
  </si>
  <si>
    <t>Atp6v0e</t>
  </si>
  <si>
    <t>ATPase, H+ transporting, lysosomal V0 subunit E [Source:MGI Symbol;Acc:MGI:1328318]</t>
  </si>
  <si>
    <t>Atp9a</t>
  </si>
  <si>
    <t>ATPase, class II, type 9A [Source:MGI Symbol;Acc:MGI:1330826]</t>
  </si>
  <si>
    <t>Il6st</t>
  </si>
  <si>
    <t>interleukin 6 signal transducer [Source:MGI Symbol;Acc:MGI:96560]</t>
  </si>
  <si>
    <t>Tspyl4</t>
  </si>
  <si>
    <t>TSPY-like 4 [Source:MGI Symbol;Acc:MGI:106393]</t>
  </si>
  <si>
    <t>Ankrd28</t>
  </si>
  <si>
    <t>ankyrin repeat domain 28 [Source:MGI Symbol;Acc:MGI:2145661]</t>
  </si>
  <si>
    <t>Cnbp</t>
  </si>
  <si>
    <t>cellular nucleic acid binding protein [Source:MGI Symbol;Acc:MGI:88431]</t>
  </si>
  <si>
    <t>Hnrnpab</t>
  </si>
  <si>
    <t>heterogeneous nuclear ribonucleoprotein A/B [Source:MGI Symbol;Acc:MGI:1330294]</t>
  </si>
  <si>
    <t>Zbtb7a</t>
  </si>
  <si>
    <t>zinc finger and BTB domain containing 7a [Source:MGI Symbol;Acc:MGI:1335091]</t>
  </si>
  <si>
    <t>Zbtb12</t>
  </si>
  <si>
    <t>zinc finger and BTB domain containing 12 [Source:MGI Symbol;Acc:MGI:88133]</t>
  </si>
  <si>
    <t>Hrob</t>
  </si>
  <si>
    <t>homologous recombination factor with OB-fold [Source:MGI Symbol;Acc:MGI:2387601]</t>
  </si>
  <si>
    <t>1810037I17Rik</t>
  </si>
  <si>
    <t>RIKEN cDNA 1810037I17 gene [Source:MGI Symbol;Acc:MGI:1914954]</t>
  </si>
  <si>
    <t>Bms1</t>
  </si>
  <si>
    <t>BMS1, ribosome biogenesis factor [Source:MGI Symbol;Acc:MGI:2446132]</t>
  </si>
  <si>
    <t>Sdcbp2</t>
  </si>
  <si>
    <t>syndecan binding protein (syntenin) 2 [Source:MGI Symbol;Acc:MGI:2385156]</t>
  </si>
  <si>
    <t>Hebp1</t>
  </si>
  <si>
    <t>heme binding protein 1 [Source:MGI Symbol;Acc:MGI:1333880]</t>
  </si>
  <si>
    <t>Ranbp10</t>
  </si>
  <si>
    <t>RAN binding protein 10 [Source:MGI Symbol;Acc:MGI:1921584]</t>
  </si>
  <si>
    <t>Aqp3</t>
  </si>
  <si>
    <t>aquaporin 3 [Source:MGI Symbol;Acc:MGI:1333777]</t>
  </si>
  <si>
    <t>Ttn</t>
  </si>
  <si>
    <t>titin [Source:MGI Symbol;Acc:MGI:98864]</t>
  </si>
  <si>
    <t>Gm42742</t>
  </si>
  <si>
    <t>predicted gene 42742 [Source:MGI Symbol;Acc:MGI:5662879]</t>
  </si>
  <si>
    <t>St3gal6</t>
  </si>
  <si>
    <t>ST3 beta-galactoside alpha-2,3-sialyltransferase 6 [Source:MGI Symbol;Acc:MGI:1888707]</t>
  </si>
  <si>
    <t>Hpgds</t>
  </si>
  <si>
    <t>hematopoietic prostaglandin D synthase [Source:MGI Symbol;Acc:MGI:1859384]</t>
  </si>
  <si>
    <t>D5Ertd605e</t>
  </si>
  <si>
    <t>DNA segment, Chr 5, ERATO Doi 605, expressed [Source:MGI Symbol;Acc:MGI:1277165]</t>
  </si>
  <si>
    <t>Lap3</t>
  </si>
  <si>
    <t>leucine aminopeptidase 3 [Source:MGI Symbol;Acc:MGI:1914238]</t>
  </si>
  <si>
    <t>Mcm8</t>
  </si>
  <si>
    <t>minichromosome maintenance 8 homologous recombination repair factor [Source:MGI Symbol;Acc:MGI:1913884]</t>
  </si>
  <si>
    <t>Klhdc2</t>
  </si>
  <si>
    <t>kelch domain containing 2 [Source:MGI Symbol;Acc:MGI:1916804]</t>
  </si>
  <si>
    <t>Icos</t>
  </si>
  <si>
    <t>inducible T cell co-stimulator [Source:MGI Symbol;Acc:MGI:1858745]</t>
  </si>
  <si>
    <t>Olfml3</t>
  </si>
  <si>
    <t>olfactomedin-like 3 [Source:MGI Symbol;Acc:MGI:1914877]</t>
  </si>
  <si>
    <t>Baz1b</t>
  </si>
  <si>
    <t>bromodomain adjacent to zinc finger domain, 1B [Source:MGI Symbol;Acc:MGI:1353499]</t>
  </si>
  <si>
    <t>Srsf4</t>
  </si>
  <si>
    <t>serine and arginine-rich splicing factor 4 [Source:MGI Symbol;Acc:MGI:1890577]</t>
  </si>
  <si>
    <t>Dennd4b</t>
  </si>
  <si>
    <t>DENN/MADD domain containing 4B [Source:MGI Symbol;Acc:MGI:2446201]</t>
  </si>
  <si>
    <t>Plaa</t>
  </si>
  <si>
    <t>phospholipase A2, activating protein [Source:MGI Symbol;Acc:MGI:104810]</t>
  </si>
  <si>
    <t>Inpp5b</t>
  </si>
  <si>
    <t>inositol polyphosphate-5-phosphatase B [Source:MGI Symbol;Acc:MGI:103257]</t>
  </si>
  <si>
    <t>Atp6v1c1</t>
  </si>
  <si>
    <t>ATPase, H+ transporting, lysosomal V1 subunit C1 [Source:MGI Symbol;Acc:MGI:1913585]</t>
  </si>
  <si>
    <t>Hdac10</t>
  </si>
  <si>
    <t>histone deacetylase 10 [Source:MGI Symbol;Acc:MGI:2158340]</t>
  </si>
  <si>
    <t>Pfdn2</t>
  </si>
  <si>
    <t>prefoldin 2 [Source:MGI Symbol;Acc:MGI:1276111]</t>
  </si>
  <si>
    <t>Creb3l4</t>
  </si>
  <si>
    <t>cAMP responsive element binding protein 3-like 4 [Source:MGI Symbol;Acc:MGI:1916603]</t>
  </si>
  <si>
    <t>Bicra</t>
  </si>
  <si>
    <t>BRD4 interacting chromatin remodeling complex associated protein [Source:MGI Symbol;Acc:MGI:2154263]</t>
  </si>
  <si>
    <t>Rbm38</t>
  </si>
  <si>
    <t>RNA binding motif protein 38 [Source:MGI Symbol;Acc:MGI:1889294]</t>
  </si>
  <si>
    <t>Nufip2</t>
  </si>
  <si>
    <t>nuclear fragile X mental retardation protein interacting protein 2 [Source:MGI Symbol;Acc:MGI:1915814]</t>
  </si>
  <si>
    <t>Gm50255</t>
  </si>
  <si>
    <t>predicted gene, 50255 [Source:MGI Symbol;Acc:MGI:6303075]</t>
  </si>
  <si>
    <t>Kif20b</t>
  </si>
  <si>
    <t>kinesin family member 20B [Source:MGI Symbol;Acc:MGI:2444576]</t>
  </si>
  <si>
    <t>Cenpk</t>
  </si>
  <si>
    <t>centromere protein K [Source:MGI Symbol;Acc:MGI:1926210]</t>
  </si>
  <si>
    <t>Cox15</t>
  </si>
  <si>
    <t>cytochrome c oxidase assembly protein 15 [Source:MGI Symbol;Acc:MGI:1920112]</t>
  </si>
  <si>
    <t>Psmc2</t>
  </si>
  <si>
    <t>proteasome (prosome, macropain) 26S subunit, ATPase 2 [Source:MGI Symbol;Acc:MGI:109555]</t>
  </si>
  <si>
    <t>Poglut3</t>
  </si>
  <si>
    <t>protein O-glucosyltransferase 3 [Source:MGI Symbol;Acc:MGI:1923765]</t>
  </si>
  <si>
    <t>Trappc3</t>
  </si>
  <si>
    <t>trafficking protein particle complex 3 [Source:MGI Symbol;Acc:MGI:1351486]</t>
  </si>
  <si>
    <t>Rlbp1</t>
  </si>
  <si>
    <t>retinaldehyde binding protein 1 [Source:MGI Symbol;Acc:MGI:97930]</t>
  </si>
  <si>
    <t>Orc4</t>
  </si>
  <si>
    <t>origin recognition complex, subunit 4 [Source:MGI Symbol;Acc:MGI:1347043]</t>
  </si>
  <si>
    <t>Stk4</t>
  </si>
  <si>
    <t>serine/threonine kinase 4 [Source:MGI Symbol;Acc:MGI:1929004]</t>
  </si>
  <si>
    <t>Cbx3</t>
  </si>
  <si>
    <t>chromobox 3 [Source:MGI Symbol;Acc:MGI:108515]</t>
  </si>
  <si>
    <t>Fam98a</t>
  </si>
  <si>
    <t>family with sequence similarity 98, member A [Source:MGI Symbol;Acc:MGI:1919972]</t>
  </si>
  <si>
    <t>Zfp946</t>
  </si>
  <si>
    <t>zinc finger protein 946 [Source:MGI Symbol;Acc:MGI:1921399]</t>
  </si>
  <si>
    <t>Gm47863</t>
  </si>
  <si>
    <t>predicted gene, 47863 [Source:MGI Symbol;Acc:MGI:6097080]</t>
  </si>
  <si>
    <t>Oxnad1</t>
  </si>
  <si>
    <t>oxidoreductase NAD-binding domain containing 1 [Source:MGI Symbol;Acc:MGI:1916953]</t>
  </si>
  <si>
    <t>Pax5</t>
  </si>
  <si>
    <t>paired box 5 [Source:MGI Symbol;Acc:MGI:97489]</t>
  </si>
  <si>
    <t>Ssbp2</t>
  </si>
  <si>
    <t>single-stranded DNA binding protein 2 [Source:MGI Symbol;Acc:MGI:1914220]</t>
  </si>
  <si>
    <t>Brms1l</t>
  </si>
  <si>
    <t>breast cancer metastasis-suppressor 1-like [Source:MGI Symbol;Acc:MGI:1196337]</t>
  </si>
  <si>
    <t>Chd7</t>
  </si>
  <si>
    <t>chromodomain helicase DNA binding protein 7 [Source:MGI Symbol;Acc:MGI:2444748]</t>
  </si>
  <si>
    <t>Borcs6</t>
  </si>
  <si>
    <t>BLOC-1 related complex subunit 6 [Source:MGI Symbol;Acc:MGI:1919173]</t>
  </si>
  <si>
    <t>Gak</t>
  </si>
  <si>
    <t>cyclin G associated kinase [Source:MGI Symbol;Acc:MGI:2442153]</t>
  </si>
  <si>
    <t>Sass6</t>
  </si>
  <si>
    <t>SAS-6 centriolar assembly protein [Source:MGI Symbol;Acc:MGI:1920026]</t>
  </si>
  <si>
    <t>AI427809</t>
  </si>
  <si>
    <t>expressed sequence AI427809 [Source:MGI Symbol;Acc:MGI:2140270]</t>
  </si>
  <si>
    <t>Psmb8</t>
  </si>
  <si>
    <t>proteasome (prosome, macropain) subunit, beta type 8 (large multifunctional peptidase 7) [Source:MGI Symbol;Acc:MGI:1346527]</t>
  </si>
  <si>
    <t>Glrx2</t>
  </si>
  <si>
    <t>glutaredoxin 2 (thioltransferase) [Source:MGI Symbol;Acc:MGI:1916617]</t>
  </si>
  <si>
    <t>Fastkd2</t>
  </si>
  <si>
    <t>FAST kinase domains 2 [Source:MGI Symbol;Acc:MGI:1922869]</t>
  </si>
  <si>
    <t>Arhgap30</t>
  </si>
  <si>
    <t>Rho GTPase activating protein 30 [Source:MGI Symbol;Acc:MGI:2684948]</t>
  </si>
  <si>
    <t>Nudt22</t>
  </si>
  <si>
    <t>nudix (nucleoside diphosphate linked moiety X)-type motif 22 [Source:MGI Symbol;Acc:MGI:1915573]</t>
  </si>
  <si>
    <t>Limk1</t>
  </si>
  <si>
    <t>LIM-domain containing, protein kinase [Source:MGI Symbol;Acc:MGI:104572]</t>
  </si>
  <si>
    <t>Atp1a3</t>
  </si>
  <si>
    <t>ATPase, Na+/K+ transporting, alpha 3 polypeptide [Source:MGI Symbol;Acc:MGI:88107]</t>
  </si>
  <si>
    <t>Lrsam1</t>
  </si>
  <si>
    <t>leucine rich repeat and sterile alpha motif containing 1 [Source:MGI Symbol;Acc:MGI:2684789]</t>
  </si>
  <si>
    <t>Parp4</t>
  </si>
  <si>
    <t>poly (ADP-ribose) polymerase family, member 4 [Source:MGI Symbol;Acc:MGI:2685589]</t>
  </si>
  <si>
    <t>Cd2ap</t>
  </si>
  <si>
    <t>CD2-associated protein [Source:MGI Symbol;Acc:MGI:1330281]</t>
  </si>
  <si>
    <t>Caprin1</t>
  </si>
  <si>
    <t>cell cycle associated protein 1 [Source:MGI Symbol;Acc:MGI:1858234]</t>
  </si>
  <si>
    <t>Ints1</t>
  </si>
  <si>
    <t>integrator complex subunit 1 [Source:MGI Symbol;Acc:MGI:1915760]</t>
  </si>
  <si>
    <t>Gm27029</t>
  </si>
  <si>
    <t>predicted gene, 27029 [Source:MGI Symbol;Acc:MGI:5504144]</t>
  </si>
  <si>
    <t>Padi3</t>
  </si>
  <si>
    <t>peptidyl arginine deiminase, type III [Source:MGI Symbol;Acc:MGI:1338891]</t>
  </si>
  <si>
    <t>Chml</t>
  </si>
  <si>
    <t>choroideremia-like [Source:MGI Symbol;Acc:MGI:101913]</t>
  </si>
  <si>
    <t>4933434E20Rik</t>
  </si>
  <si>
    <t>RIKEN cDNA 4933434E20 gene [Source:MGI Symbol;Acc:MGI:1914027]</t>
  </si>
  <si>
    <t>Lrrc17</t>
  </si>
  <si>
    <t>leucine rich repeat containing 17 [Source:MGI Symbol;Acc:MGI:1921761]</t>
  </si>
  <si>
    <t>Pwp1</t>
  </si>
  <si>
    <t>PWP1 homolog, endonuclein [Source:MGI Symbol;Acc:MGI:1914735]</t>
  </si>
  <si>
    <t>Rwdd2a</t>
  </si>
  <si>
    <t>RWD domain containing 2A [Source:MGI Symbol;Acc:MGI:1916769]</t>
  </si>
  <si>
    <t>Sh2d6</t>
  </si>
  <si>
    <t>SH2 domain containing 6 [Source:MGI Symbol;Acc:MGI:1918380]</t>
  </si>
  <si>
    <t>Gm21926</t>
  </si>
  <si>
    <t>predicted gene, 21926 [Source:MGI Symbol;Acc:MGI:5439378]</t>
  </si>
  <si>
    <t>Ndufb10</t>
  </si>
  <si>
    <t>NADH:ubiquinone oxidoreductase subunit B10 [Source:MGI Symbol;Acc:MGI:1915592]</t>
  </si>
  <si>
    <t>Stx4a</t>
  </si>
  <si>
    <t>syntaxin 4A (placental) [Source:MGI Symbol;Acc:MGI:893577]</t>
  </si>
  <si>
    <t>Gm3325</t>
  </si>
  <si>
    <t>predicted gene 3325 [Source:MGI Symbol;Acc:MGI:3781503]</t>
  </si>
  <si>
    <t>Lgalsl</t>
  </si>
  <si>
    <t>lectin, galactoside binding-like [Source:MGI Symbol;Acc:MGI:1916114]</t>
  </si>
  <si>
    <t>Thumpd3</t>
  </si>
  <si>
    <t>THUMP domain containing 3 [Source:MGI Symbol;Acc:MGI:1277973]</t>
  </si>
  <si>
    <t>Ambra1</t>
  </si>
  <si>
    <t>autophagy/beclin 1 regulator 1 [Source:MGI Symbol;Acc:MGI:2443564]</t>
  </si>
  <si>
    <t>Sigmar1</t>
  </si>
  <si>
    <t>sigma non-opioid intracellular receptor 1 [Source:MGI Symbol;Acc:MGI:1195268]</t>
  </si>
  <si>
    <t>Anks1</t>
  </si>
  <si>
    <t>ankyrin repeat and SAM domain containing 1 [Source:MGI Symbol;Acc:MGI:2446180]</t>
  </si>
  <si>
    <t>Rasa1</t>
  </si>
  <si>
    <t>RAS p21 protein activator 1 [Source:MGI Symbol;Acc:MGI:97860]</t>
  </si>
  <si>
    <t>Sh3bgrl2</t>
  </si>
  <si>
    <t>SH3 domain binding glutamic acid-rich protein like 2 [Source:MGI Symbol;Acc:MGI:1915350]</t>
  </si>
  <si>
    <t>Lmbr1l</t>
  </si>
  <si>
    <t>limb region 1 like [Source:MGI Symbol;Acc:MGI:1289247]</t>
  </si>
  <si>
    <t>Otud5</t>
  </si>
  <si>
    <t>OTU domain containing 5 [Source:MGI Symbol;Acc:MGI:1859615]</t>
  </si>
  <si>
    <t>Mrps26</t>
  </si>
  <si>
    <t>mitochondrial ribosomal protein S26 [Source:MGI Symbol;Acc:MGI:1333830]</t>
  </si>
  <si>
    <t>Katnal2</t>
  </si>
  <si>
    <t>katanin p60 subunit A-like 2 [Source:MGI Symbol;Acc:MGI:1924234]</t>
  </si>
  <si>
    <t>4833438C02Rik</t>
  </si>
  <si>
    <t>RIKEN cDNA 4833438C02 gene [Source:MGI Symbol;Acc:MGI:2147599]</t>
  </si>
  <si>
    <t>Abcc8</t>
  </si>
  <si>
    <t>ATP-binding cassette, sub-family C (CFTR/MRP), member 8 [Source:MGI Symbol;Acc:MGI:1352629]</t>
  </si>
  <si>
    <t>Bphl</t>
  </si>
  <si>
    <t>biphenyl hydrolase-like (serine hydrolase, breast epithelial mucin-associated antigen) [Source:MGI Symbol;Acc:MGI:1915271]</t>
  </si>
  <si>
    <t>Echdc1</t>
  </si>
  <si>
    <t>enoyl Coenzyme A hydratase domain containing 1 [Source:MGI Symbol;Acc:MGI:1277169]</t>
  </si>
  <si>
    <t>Keap1</t>
  </si>
  <si>
    <t>kelch-like ECH-associated protein 1 [Source:MGI Symbol;Acc:MGI:1858732]</t>
  </si>
  <si>
    <t>Tmc6</t>
  </si>
  <si>
    <t>transmembrane channel-like gene family 6 [Source:MGI Symbol;Acc:MGI:1098686]</t>
  </si>
  <si>
    <t>Lcat</t>
  </si>
  <si>
    <t>lecithin cholesterol acyltransferase [Source:MGI Symbol;Acc:MGI:96755]</t>
  </si>
  <si>
    <t>Tarbp2</t>
  </si>
  <si>
    <t>TARBP2, RISC loading complex RNA binding subunit [Source:MGI Symbol;Acc:MGI:103027]</t>
  </si>
  <si>
    <t>Itga7</t>
  </si>
  <si>
    <t>integrin alpha 7 [Source:MGI Symbol;Acc:MGI:102700]</t>
  </si>
  <si>
    <t>Notch2</t>
  </si>
  <si>
    <t>notch 2 [Source:MGI Symbol;Acc:MGI:97364]</t>
  </si>
  <si>
    <t>Cd300lg</t>
  </si>
  <si>
    <t>CD300 molecule like family member G [Source:MGI Symbol;Acc:MGI:1289168]</t>
  </si>
  <si>
    <t>Pigl</t>
  </si>
  <si>
    <t>phosphatidylinositol glycan anchor biosynthesis, class L [Source:MGI Symbol;Acc:MGI:2681271]</t>
  </si>
  <si>
    <t>Suv39h2</t>
  </si>
  <si>
    <t>suppressor of variegation 3-9 2 [Source:MGI Symbol;Acc:MGI:1890396]</t>
  </si>
  <si>
    <t>Eif3l</t>
  </si>
  <si>
    <t>eukaryotic translation initiation factor 3, subunit L [Source:MGI Symbol;Acc:MGI:2386251]</t>
  </si>
  <si>
    <t>Tst</t>
  </si>
  <si>
    <t>thiosulfate sulfurtransferase, mitochondrial [Source:MGI Symbol;Acc:MGI:98852]</t>
  </si>
  <si>
    <t>Aldh3a2</t>
  </si>
  <si>
    <t>aldehyde dehydrogenase family 3, subfamily A2 [Source:MGI Symbol;Acc:MGI:1353452]</t>
  </si>
  <si>
    <t>Pcgf6</t>
  </si>
  <si>
    <t>polycomb group ring finger 6 [Source:MGI Symbol;Acc:MGI:1918291]</t>
  </si>
  <si>
    <t>Gatc</t>
  </si>
  <si>
    <t>glutamyl-tRNA(Gln) amidotransferase, subunit C [Source:MGI Symbol;Acc:MGI:1923776]</t>
  </si>
  <si>
    <t>Rcc2</t>
  </si>
  <si>
    <t>regulator of chromosome condensation 2 [Source:MGI Symbol;Acc:MGI:1919784]</t>
  </si>
  <si>
    <t>Mad2l1</t>
  </si>
  <si>
    <t>MAD2 mitotic arrest deficient-like 1 [Source:MGI Symbol;Acc:MGI:1860374]</t>
  </si>
  <si>
    <t>Mark2</t>
  </si>
  <si>
    <t>MAP/microtubule affinity regulating kinase 2 [Source:MGI Symbol;Acc:MGI:99638]</t>
  </si>
  <si>
    <t>Zfp39</t>
  </si>
  <si>
    <t>zinc finger protein 39 [Source:MGI Symbol;Acc:MGI:99183]</t>
  </si>
  <si>
    <t>Deaf1</t>
  </si>
  <si>
    <t>DEAF1, transcription factor [Source:MGI Symbol;Acc:MGI:1858496]</t>
  </si>
  <si>
    <t>Zfp69</t>
  </si>
  <si>
    <t>zinc finger protein 69 [Source:MGI Symbol;Acc:MGI:107794]</t>
  </si>
  <si>
    <t>Limd1</t>
  </si>
  <si>
    <t>LIM domains containing 1 [Source:MGI Symbol;Acc:MGI:1352502]</t>
  </si>
  <si>
    <t>Ly9</t>
  </si>
  <si>
    <t>lymphocyte antigen 9 [Source:MGI Symbol;Acc:MGI:96885]</t>
  </si>
  <si>
    <t>D830039M14Rik</t>
  </si>
  <si>
    <t>RIKEN cDNA D830039M14 gene [Source:MGI Symbol;Acc:MGI:2445111]</t>
  </si>
  <si>
    <t>Sdcbp</t>
  </si>
  <si>
    <t>syndecan binding protein [Source:MGI Symbol;Acc:MGI:1337026]</t>
  </si>
  <si>
    <t>Echs1</t>
  </si>
  <si>
    <t>enoyl Coenzyme A hydratase, short chain, 1, mitochondrial [Source:MGI Symbol;Acc:MGI:2136460]</t>
  </si>
  <si>
    <t>Pcmtd2</t>
  </si>
  <si>
    <t>protein-L-isoaspartate (D-aspartate) O-methyltransferase domain containing 2 [Source:MGI Symbol;Acc:MGI:1923927]</t>
  </si>
  <si>
    <t>Tpp2</t>
  </si>
  <si>
    <t>tripeptidyl peptidase II [Source:MGI Symbol;Acc:MGI:102724]</t>
  </si>
  <si>
    <t>Tmem138</t>
  </si>
  <si>
    <t>transmembrane protein 138 [Source:MGI Symbol;Acc:MGI:1920232]</t>
  </si>
  <si>
    <t>Gpatch3</t>
  </si>
  <si>
    <t>G patch domain containing 3 [Source:MGI Symbol;Acc:MGI:2442492]</t>
  </si>
  <si>
    <t>Nol7</t>
  </si>
  <si>
    <t>nucleolar protein 7 [Source:MGI Symbol;Acc:MGI:1917328]</t>
  </si>
  <si>
    <t>Hoxb4</t>
  </si>
  <si>
    <t>homeobox B4 [Source:MGI Symbol;Acc:MGI:96185]</t>
  </si>
  <si>
    <t>Atad2b</t>
  </si>
  <si>
    <t>ATPase family, AAA domain containing 2B [Source:MGI Symbol;Acc:MGI:2444798]</t>
  </si>
  <si>
    <t>Psmc1</t>
  </si>
  <si>
    <t>protease (prosome, macropain) 26S subunit, ATPase 1 [Source:MGI Symbol;Acc:MGI:106054]</t>
  </si>
  <si>
    <t>Ywhae</t>
  </si>
  <si>
    <t>tyrosine 3-monooxygenase/tryptophan 5-monooxygenase activation protein, epsilon polypeptide [Source:MGI Symbol;Acc:MGI:894689]</t>
  </si>
  <si>
    <t>Rpl39l</t>
  </si>
  <si>
    <t>ribosomal protein L39-like [Source:MGI Symbol;Acc:MGI:1915422]</t>
  </si>
  <si>
    <t>Dph7</t>
  </si>
  <si>
    <t>diphthamine biosynethesis 7 [Source:MGI Symbol;Acc:MGI:1914478]</t>
  </si>
  <si>
    <t>Nt5dc3</t>
  </si>
  <si>
    <t>5'-nucleotidase domain containing 3 [Source:MGI Symbol;Acc:MGI:3513266]</t>
  </si>
  <si>
    <t>Toe1</t>
  </si>
  <si>
    <t>target of EGR1, member 1 (nuclear) [Source:MGI Symbol;Acc:MGI:1915526]</t>
  </si>
  <si>
    <t>Fes</t>
  </si>
  <si>
    <t>feline sarcoma oncogene [Source:MGI Symbol;Acc:MGI:95514]</t>
  </si>
  <si>
    <t>Slc36a1</t>
  </si>
  <si>
    <t>solute carrier family 36 (proton/amino acid symporter), member 1 [Source:MGI Symbol;Acc:MGI:2445299]</t>
  </si>
  <si>
    <t>Mkrn2</t>
  </si>
  <si>
    <t>makorin, ring finger protein, 2 [Source:MGI Symbol;Acc:MGI:1914277]</t>
  </si>
  <si>
    <t>Satb2</t>
  </si>
  <si>
    <t>special AT-rich sequence binding protein 2 [Source:MGI Symbol;Acc:MGI:2679336]</t>
  </si>
  <si>
    <t>Mpst</t>
  </si>
  <si>
    <t>mercaptopyruvate sulfurtransferase [Source:MGI Symbol;Acc:MGI:2179733]</t>
  </si>
  <si>
    <t>Phtf1</t>
  </si>
  <si>
    <t>putative homeodomain transcription factor 1 [Source:MGI Symbol;Acc:MGI:1332671]</t>
  </si>
  <si>
    <t>Atg12</t>
  </si>
  <si>
    <t>autophagy related 12 [Source:MGI Symbol;Acc:MGI:1914776]</t>
  </si>
  <si>
    <t>Utp14a</t>
  </si>
  <si>
    <t>UTP14A small subunit processome component [Source:MGI Symbol;Acc:MGI:1919804]</t>
  </si>
  <si>
    <t>Ank2</t>
  </si>
  <si>
    <t>ankyrin 2, brain [Source:MGI Symbol;Acc:MGI:88025]</t>
  </si>
  <si>
    <t>Pdcd11</t>
  </si>
  <si>
    <t>programmed cell death 11 [Source:MGI Symbol;Acc:MGI:1341788]</t>
  </si>
  <si>
    <t>Pi4ka</t>
  </si>
  <si>
    <t>phosphatidylinositol 4-kinase alpha [Source:MGI Symbol;Acc:MGI:2448506]</t>
  </si>
  <si>
    <t>Utp23</t>
  </si>
  <si>
    <t>UTP23 small subunit processome component [Source:MGI Symbol;Acc:MGI:1925831]</t>
  </si>
  <si>
    <t>Cenpm</t>
  </si>
  <si>
    <t>centromere protein M [Source:MGI Symbol;Acc:MGI:1913820]</t>
  </si>
  <si>
    <t>Cycs</t>
  </si>
  <si>
    <t>cytochrome c, somatic [Source:MGI Symbol;Acc:MGI:88578]</t>
  </si>
  <si>
    <t>Wnt10b</t>
  </si>
  <si>
    <t>wingless-type MMTV integration site family, member 10B [Source:MGI Symbol;Acc:MGI:108061]</t>
  </si>
  <si>
    <t>Cbfa2t3</t>
  </si>
  <si>
    <t>CBFA2/RUNX1 translocation partner 3 [Source:MGI Symbol;Acc:MGI:1338013]</t>
  </si>
  <si>
    <t>Sfi1</t>
  </si>
  <si>
    <t>Sfi1 homolog, spindle assembly associated (yeast) [Source:MGI Symbol;Acc:MGI:1926137]</t>
  </si>
  <si>
    <t>Numbl</t>
  </si>
  <si>
    <t>numb-like [Source:MGI Symbol;Acc:MGI:894702]</t>
  </si>
  <si>
    <t>Nxn</t>
  </si>
  <si>
    <t>nucleoredoxin [Source:MGI Symbol;Acc:MGI:109331]</t>
  </si>
  <si>
    <t>Rab1a</t>
  </si>
  <si>
    <t>RAB1A, member RAS oncogene family [Source:MGI Symbol;Acc:MGI:97842]</t>
  </si>
  <si>
    <t>Rhot2</t>
  </si>
  <si>
    <t>ras homolog family member T2 [Source:MGI Symbol;Acc:MGI:2384892]</t>
  </si>
  <si>
    <t>Wdr45</t>
  </si>
  <si>
    <t>WD repeat domain 45 [Source:MGI Symbol;Acc:MGI:1859606]</t>
  </si>
  <si>
    <t>Cited2</t>
  </si>
  <si>
    <t>Cbp/p300-interacting transactivator, with Glu/Asp-rich carboxy-terminal domain, 2 [Source:MGI Symbol;Acc:MGI:1306784]</t>
  </si>
  <si>
    <t>Cbr1</t>
  </si>
  <si>
    <t>carbonyl reductase 1 [Source:MGI Symbol;Acc:MGI:88284]</t>
  </si>
  <si>
    <t>Kdm5c</t>
  </si>
  <si>
    <t>lysine (K)-specific demethylase 5C [Source:MGI Symbol;Acc:MGI:99781]</t>
  </si>
  <si>
    <t>Arpc5</t>
  </si>
  <si>
    <t>actin related protein 2/3 complex, subunit 5 [Source:MGI Symbol;Acc:MGI:1915021]</t>
  </si>
  <si>
    <t>Lrp10</t>
  </si>
  <si>
    <t>low-density lipoprotein receptor-related protein 10 [Source:MGI Symbol;Acc:MGI:1929480]</t>
  </si>
  <si>
    <t>Cfap410</t>
  </si>
  <si>
    <t>cilia and flagella associated protein 410 [Source:MGI Symbol;Acc:MGI:1915134]</t>
  </si>
  <si>
    <t>Gm17749</t>
  </si>
  <si>
    <t>predicted gene, 17749 [Source:MGI Symbol;Acc:MGI:5009827]</t>
  </si>
  <si>
    <t>Relt</t>
  </si>
  <si>
    <t>RELT tumor necrosis factor receptor [Source:MGI Symbol;Acc:MGI:2443373]</t>
  </si>
  <si>
    <t>Plekho1</t>
  </si>
  <si>
    <t>pleckstrin homology domain containing, family O member 1 [Source:MGI Symbol;Acc:MGI:1914470]</t>
  </si>
  <si>
    <t>Ift172</t>
  </si>
  <si>
    <t>intraflagellar transport 172 [Source:MGI Symbol;Acc:MGI:2682064]</t>
  </si>
  <si>
    <t>2610203C22Rik</t>
  </si>
  <si>
    <t>RIKEN cDNA 2610203C22 gene [Source:MGI Symbol;Acc:MGI:1919731]</t>
  </si>
  <si>
    <t>Stat6</t>
  </si>
  <si>
    <t>signal transducer and activator of transcription 6 [Source:MGI Symbol;Acc:MGI:103034]</t>
  </si>
  <si>
    <t>Chordc1</t>
  </si>
  <si>
    <t>cysteine and histidine-rich domain (CHORD)-containing, zinc-binding protein 1 [Source:MGI Symbol;Acc:MGI:1914167]</t>
  </si>
  <si>
    <t>Zdhhc8</t>
  </si>
  <si>
    <t>zinc finger, DHHC domain containing 8 [Source:MGI Symbol;Acc:MGI:1338012]</t>
  </si>
  <si>
    <t>Ube2e3</t>
  </si>
  <si>
    <t>ubiquitin-conjugating enzyme E2E 3 [Source:MGI Symbol;Acc:MGI:107412]</t>
  </si>
  <si>
    <t>Pold3</t>
  </si>
  <si>
    <t>polymerase (DNA-directed), delta 3, accessory subunit [Source:MGI Symbol;Acc:MGI:1915217]</t>
  </si>
  <si>
    <t>Klhl9</t>
  </si>
  <si>
    <t>kelch-like 9 [Source:MGI Symbol;Acc:MGI:2180122]</t>
  </si>
  <si>
    <t>Rbl1</t>
  </si>
  <si>
    <t>RB transcriptional corepressor like 1 [Source:MGI Symbol;Acc:MGI:103300]</t>
  </si>
  <si>
    <t>Zfp664</t>
  </si>
  <si>
    <t>zinc finger protein 664 [Source:MGI Symbol;Acc:MGI:2442505]</t>
  </si>
  <si>
    <t>Rgs14</t>
  </si>
  <si>
    <t>regulator of G-protein signaling 14 [Source:MGI Symbol;Acc:MGI:1859709]</t>
  </si>
  <si>
    <t>Psmd14</t>
  </si>
  <si>
    <t>proteasome (prosome, macropain) 26S subunit, non-ATPase, 14 [Source:MGI Symbol;Acc:MGI:1913284]</t>
  </si>
  <si>
    <t>Gadd45a</t>
  </si>
  <si>
    <t>growth arrest and DNA-damage-inducible 45 alpha [Source:MGI Symbol;Acc:MGI:107799]</t>
  </si>
  <si>
    <t>Vps9d1</t>
  </si>
  <si>
    <t>VPS9 domain containing 1 [Source:MGI Symbol;Acc:MGI:1914143]</t>
  </si>
  <si>
    <t>Dpm2</t>
  </si>
  <si>
    <t>dolichol-phosphate (beta-D) mannosyltransferase 2 [Source:MGI Symbol;Acc:MGI:1330238]</t>
  </si>
  <si>
    <t>Taf5</t>
  </si>
  <si>
    <t>TATA-box binding protein associated factor 5 [Source:MGI Symbol;Acc:MGI:2442144]</t>
  </si>
  <si>
    <t>G430095P16Rik</t>
  </si>
  <si>
    <t>RIKEN cDNA G430095P16 gene [Source:MGI Symbol;Acc:MGI:3588227]</t>
  </si>
  <si>
    <t>Irs2</t>
  </si>
  <si>
    <t>insulin receptor substrate 2 [Source:MGI Symbol;Acc:MGI:109334]</t>
  </si>
  <si>
    <t>1190005I06Rik</t>
  </si>
  <si>
    <t>RIKEN cDNA 1190005I06 gene [Source:MGI Symbol;Acc:MGI:1916168]</t>
  </si>
  <si>
    <t>E2f6</t>
  </si>
  <si>
    <t>E2F transcription factor 6 [Source:MGI Symbol;Acc:MGI:1354159]</t>
  </si>
  <si>
    <t>Sgms1</t>
  </si>
  <si>
    <t>sphingomyelin synthase 1 [Source:MGI Symbol;Acc:MGI:2444110]</t>
  </si>
  <si>
    <t>Nr2c2</t>
  </si>
  <si>
    <t>nuclear receptor subfamily 2, group C, member 2 [Source:MGI Symbol;Acc:MGI:1352466]</t>
  </si>
  <si>
    <t>H2ac7</t>
  </si>
  <si>
    <t>H2A clustered histone 7 [Source:MGI Symbol;Acc:MGI:2448289]</t>
  </si>
  <si>
    <t>Birc5</t>
  </si>
  <si>
    <t>baculoviral IAP repeat-containing 5 [Source:MGI Symbol;Acc:MGI:1203517]</t>
  </si>
  <si>
    <t>Cfap20</t>
  </si>
  <si>
    <t>cilia and flagella associated protein 20 [Source:MGI Symbol;Acc:MGI:107428]</t>
  </si>
  <si>
    <t>Ubxn2b</t>
  </si>
  <si>
    <t>UBX domain protein 2B [Source:MGI Symbol;Acc:MGI:1915303]</t>
  </si>
  <si>
    <t>Dnajb2</t>
  </si>
  <si>
    <t>DnaJ heat shock protein family (Hsp40) member B2 [Source:MGI Symbol;Acc:MGI:1928739]</t>
  </si>
  <si>
    <t>Nup133</t>
  </si>
  <si>
    <t>nucleoporin 133 [Source:MGI Symbol;Acc:MGI:2442620]</t>
  </si>
  <si>
    <t>Tmie</t>
  </si>
  <si>
    <t>transmembrane inner ear [Source:MGI Symbol;Acc:MGI:2159400]</t>
  </si>
  <si>
    <t>Wdfy3</t>
  </si>
  <si>
    <t>WD repeat and FYVE domain containing 3 [Source:MGI Symbol;Acc:MGI:1096875]</t>
  </si>
  <si>
    <t>Vamp1</t>
  </si>
  <si>
    <t>vesicle-associated membrane protein 1 [Source:MGI Symbol;Acc:MGI:1313276]</t>
  </si>
  <si>
    <t>Zfp991</t>
  </si>
  <si>
    <t>zinc finger protein 991 [Source:MGI Symbol;Acc:MGI:3701604]</t>
  </si>
  <si>
    <t>Prrg1</t>
  </si>
  <si>
    <t>proline rich Gla (G-carboxyglutamic acid) 1 [Source:MGI Symbol;Acc:MGI:1917364]</t>
  </si>
  <si>
    <t>Mrpl14</t>
  </si>
  <si>
    <t>mitochondrial ribosomal protein L14 [Source:MGI Symbol;Acc:MGI:1333864]</t>
  </si>
  <si>
    <t>Atg4d</t>
  </si>
  <si>
    <t>autophagy related 4D, cysteine peptidase [Source:MGI Symbol;Acc:MGI:2444308]</t>
  </si>
  <si>
    <t>Ttc5</t>
  </si>
  <si>
    <t>tetratricopeptide repeat domain 5 [Source:MGI Symbol;Acc:MGI:2683584]</t>
  </si>
  <si>
    <t>Slc25a28</t>
  </si>
  <si>
    <t>solute carrier family 25, member 28 [Source:MGI Symbol;Acc:MGI:2180509]</t>
  </si>
  <si>
    <t>Cers2</t>
  </si>
  <si>
    <t>ceramide synthase 2 [Source:MGI Symbol;Acc:MGI:1924143]</t>
  </si>
  <si>
    <t>Abcd4</t>
  </si>
  <si>
    <t>ATP-binding cassette, sub-family D (ALD), member 4 [Source:MGI Symbol;Acc:MGI:1349217]</t>
  </si>
  <si>
    <t>Pikfyve</t>
  </si>
  <si>
    <t>phosphoinositide kinase, FYVE type zinc finger containing [Source:MGI Symbol;Acc:MGI:1335106]</t>
  </si>
  <si>
    <t>B3galnt1</t>
  </si>
  <si>
    <t>UDP-GalNAc:betaGlcNAc beta 1,3-galactosaminyltransferase, polypeptide 1 [Source:MGI Symbol;Acc:MGI:1349405]</t>
  </si>
  <si>
    <t>Cenpq</t>
  </si>
  <si>
    <t>centromere protein Q [Source:MGI Symbol;Acc:MGI:1933744]</t>
  </si>
  <si>
    <t>Cfap97</t>
  </si>
  <si>
    <t>cilia and flagella associated protein 97 [Source:MGI Symbol;Acc:MGI:1914006]</t>
  </si>
  <si>
    <t>Foxa1</t>
  </si>
  <si>
    <t>forkhead box A1 [Source:MGI Symbol;Acc:MGI:1347472]</t>
  </si>
  <si>
    <t>Uevld</t>
  </si>
  <si>
    <t>UEV and lactate/malate dehyrogenase domains [Source:MGI Symbol;Acc:MGI:1860490]</t>
  </si>
  <si>
    <t>5730409E04Rik</t>
  </si>
  <si>
    <t>RIKEN cDNA 5730409E04Rik gene [Source:MGI Symbol;Acc:MGI:3609248]</t>
  </si>
  <si>
    <t>Mybpc1</t>
  </si>
  <si>
    <t>myosin binding protein C, slow-type [Source:MGI Symbol;Acc:MGI:1336213]</t>
  </si>
  <si>
    <t>Gm49496</t>
  </si>
  <si>
    <t>predicted gene, 49496 [Source:MGI Symbol;Acc:MGI:6155177]</t>
  </si>
  <si>
    <t>Glul</t>
  </si>
  <si>
    <t>glutamate-ammonia ligase (glutamine synthetase) [Source:MGI Symbol;Acc:MGI:95739]</t>
  </si>
  <si>
    <t>Ybx3</t>
  </si>
  <si>
    <t>Y box protein 3 [Source:MGI Symbol;Acc:MGI:2137670]</t>
  </si>
  <si>
    <t>Srd5a3</t>
  </si>
  <si>
    <t>steroid 5 alpha-reductase 3 [Source:MGI Symbol;Acc:MGI:1930252]</t>
  </si>
  <si>
    <t>Rpe</t>
  </si>
  <si>
    <t>ribulose-5-phosphate-3-epimerase [Source:MGI Symbol;Acc:MGI:1913896]</t>
  </si>
  <si>
    <t>Rfx2</t>
  </si>
  <si>
    <t>regulatory factor X, 2 (influences HLA class II expression) [Source:MGI Symbol;Acc:MGI:106583]</t>
  </si>
  <si>
    <t>Spata5</t>
  </si>
  <si>
    <t>spermatogenesis associated 5 [Source:MGI Symbol;Acc:MGI:1927170]</t>
  </si>
  <si>
    <t>Zmynd19</t>
  </si>
  <si>
    <t>zinc finger, MYND domain containing 19 [Source:MGI Symbol;Acc:MGI:1914437]</t>
  </si>
  <si>
    <t>Ddx54</t>
  </si>
  <si>
    <t>DEAD (Asp-Glu-Ala-Asp) box polypeptide 54 [Source:MGI Symbol;Acc:MGI:1919240]</t>
  </si>
  <si>
    <t>Pwwp2a</t>
  </si>
  <si>
    <t>PWWP domain containing 2A [Source:MGI Symbol;Acc:MGI:1918052]</t>
  </si>
  <si>
    <t>Ffar4</t>
  </si>
  <si>
    <t>free fatty acid receptor 4 [Source:MGI Symbol;Acc:MGI:2147577]</t>
  </si>
  <si>
    <t>Uprt</t>
  </si>
  <si>
    <t>uracil phosphoribosyltransferase [Source:MGI Symbol;Acc:MGI:2685620]</t>
  </si>
  <si>
    <t>Ccdc74a</t>
  </si>
  <si>
    <t>coiled-coil domain containing 74A [Source:MGI Symbol;Acc:MGI:1919565]</t>
  </si>
  <si>
    <t>Evi5</t>
  </si>
  <si>
    <t>ecotropic viral integration site 5 [Source:MGI Symbol;Acc:MGI:104736]</t>
  </si>
  <si>
    <t>Rhno1</t>
  </si>
  <si>
    <t>RAD9-HUS1-RAD1 interacting nuclear orphan 1 [Source:MGI Symbol;Acc:MGI:1915315]</t>
  </si>
  <si>
    <t>Rnf6</t>
  </si>
  <si>
    <t>ring finger protein (C3H2C3 type) 6 [Source:MGI Symbol;Acc:MGI:1921382]</t>
  </si>
  <si>
    <t>Tubg1</t>
  </si>
  <si>
    <t>tubulin, gamma 1 [Source:MGI Symbol;Acc:MGI:101834]</t>
  </si>
  <si>
    <t>Ppm1m</t>
  </si>
  <si>
    <t>protein phosphatase 1M [Source:MGI Symbol;Acc:MGI:1915155]</t>
  </si>
  <si>
    <t>Hmx2</t>
  </si>
  <si>
    <t>H6 homeobox 2 [Source:MGI Symbol;Acc:MGI:107159]</t>
  </si>
  <si>
    <t>Zfp113</t>
  </si>
  <si>
    <t>zinc finger protein 113 [Source:MGI Symbol;Acc:MGI:1929116]</t>
  </si>
  <si>
    <t>Gm43464</t>
  </si>
  <si>
    <t>predicted gene 43464 [Source:MGI Symbol;Acc:MGI:5663601]</t>
  </si>
  <si>
    <t>Ints2</t>
  </si>
  <si>
    <t>integrator complex subunit 2 [Source:MGI Symbol;Acc:MGI:1917672]</t>
  </si>
  <si>
    <t>Dchs1</t>
  </si>
  <si>
    <t>dachsous cadherin related 1 [Source:MGI Symbol;Acc:MGI:2685011]</t>
  </si>
  <si>
    <t>Nip7</t>
  </si>
  <si>
    <t>NIP7, nucleolar pre-rRNA processing protein [Source:MGI Symbol;Acc:MGI:1913414]</t>
  </si>
  <si>
    <t>Foxo3</t>
  </si>
  <si>
    <t>forkhead box O3 [Source:MGI Symbol;Acc:MGI:1890081]</t>
  </si>
  <si>
    <t>Chmp6</t>
  </si>
  <si>
    <t>charged multivesicular body protein 6 [Source:MGI Symbol;Acc:MGI:3583942]</t>
  </si>
  <si>
    <t>Rnf219</t>
  </si>
  <si>
    <t>ring finger protein 219 [Source:MGI Symbol;Acc:MGI:1919736]</t>
  </si>
  <si>
    <t>Galt</t>
  </si>
  <si>
    <t>galactose-1-phosphate uridyl transferase [Source:MGI Symbol;Acc:MGI:95638]</t>
  </si>
  <si>
    <t>Fancd2</t>
  </si>
  <si>
    <t>Fanconi anemia, complementation group D2 [Source:MGI Symbol;Acc:MGI:2448480]</t>
  </si>
  <si>
    <t>Atf6</t>
  </si>
  <si>
    <t>activating transcription factor 6 [Source:MGI Symbol;Acc:MGI:1926157]</t>
  </si>
  <si>
    <t>Mospd1</t>
  </si>
  <si>
    <t>motile sperm domain containing 1 [Source:MGI Symbol;Acc:MGI:1917630]</t>
  </si>
  <si>
    <t>Cyth4</t>
  </si>
  <si>
    <t>cytohesin 4 [Source:MGI Symbol;Acc:MGI:2441702]</t>
  </si>
  <si>
    <t>Txn1</t>
  </si>
  <si>
    <t>thioredoxin 1 [Source:MGI Symbol;Acc:MGI:98874]</t>
  </si>
  <si>
    <t>Pkmyt1</t>
  </si>
  <si>
    <t>protein kinase, membrane associated tyrosine/threonine 1 [Source:MGI Symbol;Acc:MGI:2137630]</t>
  </si>
  <si>
    <t>Ankrd13d</t>
  </si>
  <si>
    <t>ankyrin repeat domain 13 family, member D [Source:MGI Symbol;Acc:MGI:1915673]</t>
  </si>
  <si>
    <t>Tmem132a</t>
  </si>
  <si>
    <t>transmembrane protein 132A [Source:MGI Symbol;Acc:MGI:2147810]</t>
  </si>
  <si>
    <t>Fam98b</t>
  </si>
  <si>
    <t>family with sequence similarity 98, member B [Source:MGI Symbol;Acc:MGI:1915465]</t>
  </si>
  <si>
    <t>Vangl2</t>
  </si>
  <si>
    <t>VANGL planar cell polarity 2 [Source:MGI Symbol;Acc:MGI:2135272]</t>
  </si>
  <si>
    <t>Srpk2</t>
  </si>
  <si>
    <t>serine/arginine-rich protein specific kinase 2 [Source:MGI Symbol;Acc:MGI:1201408]</t>
  </si>
  <si>
    <t>Zfp61</t>
  </si>
  <si>
    <t>zinc finger protein 61 [Source:MGI Symbol;Acc:MGI:99663]</t>
  </si>
  <si>
    <t>Hbs1l</t>
  </si>
  <si>
    <t>Hbs1-like (S. cerevisiae) [Source:MGI Symbol;Acc:MGI:1891704]</t>
  </si>
  <si>
    <t>D2hgdh</t>
  </si>
  <si>
    <t>D-2-hydroxyglutarate dehydrogenase [Source:MGI Symbol;Acc:MGI:2138209]</t>
  </si>
  <si>
    <t>Sgo1</t>
  </si>
  <si>
    <t>shugoshin 1 [Source:MGI Symbol;Acc:MGI:1919665]</t>
  </si>
  <si>
    <t>U90926</t>
  </si>
  <si>
    <t>cDNA sequence U90926 [Source:MGI Symbol;Acc:MGI:1930915]</t>
  </si>
  <si>
    <t>Clk3</t>
  </si>
  <si>
    <t>CDC-like kinase 3 [Source:MGI Symbol;Acc:MGI:1098670]</t>
  </si>
  <si>
    <t>Gpr65</t>
  </si>
  <si>
    <t>G-protein coupled receptor 65 [Source:MGI Symbol;Acc:MGI:108031]</t>
  </si>
  <si>
    <t>Cenpi</t>
  </si>
  <si>
    <t>centromere protein I [Source:MGI Symbol;Acc:MGI:2147897]</t>
  </si>
  <si>
    <t>Gpr18</t>
  </si>
  <si>
    <t>G protein-coupled receptor 18 [Source:MGI Symbol;Acc:MGI:107859]</t>
  </si>
  <si>
    <t>Rwdd2b</t>
  </si>
  <si>
    <t>RWD domain containing 2B [Source:MGI Symbol;Acc:MGI:1858215]</t>
  </si>
  <si>
    <t>Ctnnal1</t>
  </si>
  <si>
    <t>catenin (cadherin associated protein), alpha-like 1 [Source:MGI Symbol;Acc:MGI:1859649]</t>
  </si>
  <si>
    <t>Vipr1</t>
  </si>
  <si>
    <t>vasoactive intestinal peptide receptor 1 [Source:MGI Symbol;Acc:MGI:109272]</t>
  </si>
  <si>
    <t>Mast2</t>
  </si>
  <si>
    <t>microtubule associated serine/threonine kinase 2 [Source:MGI Symbol;Acc:MGI:894676]</t>
  </si>
  <si>
    <t>Tpm3</t>
  </si>
  <si>
    <t>tropomyosin 3, gamma [Source:MGI Symbol;Acc:MGI:1890149]</t>
  </si>
  <si>
    <t>Vta1</t>
  </si>
  <si>
    <t>vesicle (multivesicular body) trafficking 1 [Source:MGI Symbol;Acc:MGI:1913451]</t>
  </si>
  <si>
    <t>Atp8b3</t>
  </si>
  <si>
    <t>ATPase, class I, type 8B, member 3 [Source:MGI Symbol;Acc:MGI:1914581]</t>
  </si>
  <si>
    <t>Bbs1</t>
  </si>
  <si>
    <t>Bardet-Biedl syndrome 1 (human) [Source:MGI Symbol;Acc:MGI:1277215]</t>
  </si>
  <si>
    <t>Ube2j1</t>
  </si>
  <si>
    <t>ubiquitin-conjugating enzyme E2J 1 [Source:MGI Symbol;Acc:MGI:1926245]</t>
  </si>
  <si>
    <t>Eef2</t>
  </si>
  <si>
    <t>eukaryotic translation elongation factor 2 [Source:MGI Symbol;Acc:MGI:95288]</t>
  </si>
  <si>
    <t>Il10rb</t>
  </si>
  <si>
    <t>interleukin 10 receptor, beta [Source:MGI Symbol;Acc:MGI:109380]</t>
  </si>
  <si>
    <t>Klf11</t>
  </si>
  <si>
    <t>Kruppel-like factor 11 [Source:MGI Symbol;Acc:MGI:2653368]</t>
  </si>
  <si>
    <t>Miga2</t>
  </si>
  <si>
    <t>mitoguardin 2 [Source:MGI Symbol;Acc:MGI:1922035]</t>
  </si>
  <si>
    <t>Dnph1</t>
  </si>
  <si>
    <t>2'-deoxynucleoside 5'-phosphate N-hydrolase 1 [Source:MGI Symbol;Acc:MGI:3039376]</t>
  </si>
  <si>
    <t>Samsn1</t>
  </si>
  <si>
    <t>SAM domain, SH3 domain and nuclear localization signals, 1 [Source:MGI Symbol;Acc:MGI:1914992]</t>
  </si>
  <si>
    <t>Cops7a</t>
  </si>
  <si>
    <t>COP9 signalosome subunit 7A [Source:MGI Symbol;Acc:MGI:1349400]</t>
  </si>
  <si>
    <t>Acap1</t>
  </si>
  <si>
    <t>ArfGAP with coiled-coil, ankyrin repeat and PH domains 1 [Source:MGI Symbol;Acc:MGI:2388270]</t>
  </si>
  <si>
    <t>Eif3a</t>
  </si>
  <si>
    <t>eukaryotic translation initiation factor 3, subunit A [Source:MGI Symbol;Acc:MGI:95301]</t>
  </si>
  <si>
    <t>Hnrnpl</t>
  </si>
  <si>
    <t>heterogeneous nuclear ribonucleoprotein L [Source:MGI Symbol;Acc:MGI:104816]</t>
  </si>
  <si>
    <t>Fkbpl</t>
  </si>
  <si>
    <t>FK506 binding protein-like [Source:MGI Symbol;Acc:MGI:1932127]</t>
  </si>
  <si>
    <t>Dennd4c</t>
  </si>
  <si>
    <t>DENN/MADD domain containing 4C [Source:MGI Symbol;Acc:MGI:1914769]</t>
  </si>
  <si>
    <t>Psmd4</t>
  </si>
  <si>
    <t>proteasome (prosome, macropain) 26S subunit, non-ATPase, 4 [Source:MGI Symbol;Acc:MGI:1201670]</t>
  </si>
  <si>
    <t>Napepld</t>
  </si>
  <si>
    <t>N-acyl phosphatidylethanolamine phospholipase D [Source:MGI Symbol;Acc:MGI:2140885]</t>
  </si>
  <si>
    <t>Agfg2</t>
  </si>
  <si>
    <t>ArfGAP with FG repeats 2 [Source:MGI Symbol;Acc:MGI:2443267]</t>
  </si>
  <si>
    <t>Arf4</t>
  </si>
  <si>
    <t>ADP-ribosylation factor 4 [Source:MGI Symbol;Acc:MGI:99433]</t>
  </si>
  <si>
    <t>Map4k2</t>
  </si>
  <si>
    <t>mitogen-activated protein kinase kinase kinase kinase 2 [Source:MGI Symbol;Acc:MGI:1346883]</t>
  </si>
  <si>
    <t>Ddit3</t>
  </si>
  <si>
    <t>DNA-damage inducible transcript 3 [Source:MGI Symbol;Acc:MGI:109247]</t>
  </si>
  <si>
    <t>Pbdc1</t>
  </si>
  <si>
    <t>polysaccharide biosynthesis domain containing 1 [Source:MGI Symbol;Acc:MGI:1914933]</t>
  </si>
  <si>
    <t>Uhmk1</t>
  </si>
  <si>
    <t>U2AF homology motif (UHM) kinase 1 [Source:MGI Symbol;Acc:MGI:1341908]</t>
  </si>
  <si>
    <t>Naip2</t>
  </si>
  <si>
    <t>NLR family, apoptosis inhibitory protein 2 [Source:MGI Symbol;Acc:MGI:1298226]</t>
  </si>
  <si>
    <t>Atp1b3</t>
  </si>
  <si>
    <t>ATPase, Na+/K+ transporting, beta 3 polypeptide [Source:MGI Symbol;Acc:MGI:107788]</t>
  </si>
  <si>
    <t>Hes1</t>
  </si>
  <si>
    <t>hes family bHLH transcription factor 1 [Source:MGI Symbol;Acc:MGI:104853]</t>
  </si>
  <si>
    <t>Zfp638</t>
  </si>
  <si>
    <t>zinc finger protein 638 [Source:MGI Symbol;Acc:MGI:1203484]</t>
  </si>
  <si>
    <t>Prep</t>
  </si>
  <si>
    <t>prolyl endopeptidase [Source:MGI Symbol;Acc:MGI:1270863]</t>
  </si>
  <si>
    <t>Sirt6</t>
  </si>
  <si>
    <t>sirtuin 6 [Source:MGI Symbol;Acc:MGI:1354161]</t>
  </si>
  <si>
    <t>Helz</t>
  </si>
  <si>
    <t>helicase with zinc finger domain [Source:MGI Symbol;Acc:MGI:1925705]</t>
  </si>
  <si>
    <t>Rabl6</t>
  </si>
  <si>
    <t>RAB, member RAS oncogene family-like 6 [Source:MGI Symbol;Acc:MGI:2442633]</t>
  </si>
  <si>
    <t>Uba3</t>
  </si>
  <si>
    <t>ubiquitin-like modifier activating enzyme 3 [Source:MGI Symbol;Acc:MGI:1341217]</t>
  </si>
  <si>
    <t>Gm11200</t>
  </si>
  <si>
    <t>predicted gene 11200 [Source:MGI Symbol;Acc:MGI:3649950]</t>
  </si>
  <si>
    <t>Lrrc40</t>
  </si>
  <si>
    <t>leucine rich repeat containing 40 [Source:MGI Symbol;Acc:MGI:1914394]</t>
  </si>
  <si>
    <t>Cramp1l</t>
  </si>
  <si>
    <t>cramped chromatin regulator homolog 1 [Source:MGI Symbol;Acc:MGI:1930190]</t>
  </si>
  <si>
    <t>Psmc6</t>
  </si>
  <si>
    <t>proteasome (prosome, macropain) 26S subunit, ATPase, 6 [Source:MGI Symbol;Acc:MGI:1914339]</t>
  </si>
  <si>
    <t>Map2k6</t>
  </si>
  <si>
    <t>mitogen-activated protein kinase kinase 6 [Source:MGI Symbol;Acc:MGI:1346870]</t>
  </si>
  <si>
    <t>Zfp94</t>
  </si>
  <si>
    <t>zinc finger protein 94 [Source:MGI Symbol;Acc:MGI:107610]</t>
  </si>
  <si>
    <t>Egr3</t>
  </si>
  <si>
    <t>early growth response 3 [Source:MGI Symbol;Acc:MGI:1306780]</t>
  </si>
  <si>
    <t>Ift122</t>
  </si>
  <si>
    <t>intraflagellar transport 122 [Source:MGI Symbol;Acc:MGI:1932386]</t>
  </si>
  <si>
    <t>Gm14137</t>
  </si>
  <si>
    <t>predicted gene 14137 [Source:MGI Symbol;Acc:MGI:3651144]</t>
  </si>
  <si>
    <t>Socs4</t>
  </si>
  <si>
    <t>suppressor of cytokine signaling 4 [Source:MGI Symbol;Acc:MGI:1914546]</t>
  </si>
  <si>
    <t>Kif3a</t>
  </si>
  <si>
    <t>kinesin family member 3A [Source:MGI Symbol;Acc:MGI:107689]</t>
  </si>
  <si>
    <t>Elf4</t>
  </si>
  <si>
    <t>E74-like factor 4 (ets domain transcription factor) [Source:MGI Symbol;Acc:MGI:1928377]</t>
  </si>
  <si>
    <t>Amn1</t>
  </si>
  <si>
    <t>antagonist of mitotic exit network 1 [Source:MGI Symbol;Acc:MGI:2442933]</t>
  </si>
  <si>
    <t>Pmm1</t>
  </si>
  <si>
    <t>phosphomannomutase 1 [Source:MGI Symbol;Acc:MGI:1353418]</t>
  </si>
  <si>
    <t>Sdad1</t>
  </si>
  <si>
    <t>SDA1 domain containing 1 [Source:MGI Symbol;Acc:MGI:2140779]</t>
  </si>
  <si>
    <t>Actr10</t>
  </si>
  <si>
    <t>ARP10 actin-related protein 10 [Source:MGI Symbol;Acc:MGI:1891654]</t>
  </si>
  <si>
    <t>Lcp1</t>
  </si>
  <si>
    <t>lymphocyte cytosolic protein 1 [Source:MGI Symbol;Acc:MGI:104808]</t>
  </si>
  <si>
    <t>AI504432</t>
  </si>
  <si>
    <t>expressed sequence AI504432 [Source:MGI Symbol;Acc:MGI:2139742]</t>
  </si>
  <si>
    <t>Rnf145</t>
  </si>
  <si>
    <t>ring finger protein 145 [Source:MGI Symbol;Acc:MGI:1921565]</t>
  </si>
  <si>
    <t>Dalrd3</t>
  </si>
  <si>
    <t>DALR anticodon binding domain containing 3 [Source:MGI Symbol;Acc:MGI:1915039]</t>
  </si>
  <si>
    <t>Tmem158</t>
  </si>
  <si>
    <t>transmembrane protein 158 [Source:MGI Symbol;Acc:MGI:1919559]</t>
  </si>
  <si>
    <t>Nceh1</t>
  </si>
  <si>
    <t>neutral cholesterol ester hydrolase 1 [Source:MGI Symbol;Acc:MGI:2443191]</t>
  </si>
  <si>
    <t>Tanc1</t>
  </si>
  <si>
    <t>tetratricopeptide repeat, ankyrin repeat and coiled-coil containing 1 [Source:MGI Symbol;Acc:MGI:1914110]</t>
  </si>
  <si>
    <t>Hars</t>
  </si>
  <si>
    <t>histidyl-tRNA synthetase [Source:MGI Symbol;Acc:MGI:108087]</t>
  </si>
  <si>
    <t>Ccnl2</t>
  </si>
  <si>
    <t>cyclin L2 [Source:MGI Symbol;Acc:MGI:1927119]</t>
  </si>
  <si>
    <t>Rpf1</t>
  </si>
  <si>
    <t>ribosome production factor 1 homolog [Source:MGI Symbol;Acc:MGI:1917535]</t>
  </si>
  <si>
    <t>Rnf20</t>
  </si>
  <si>
    <t>ring finger protein 20 [Source:MGI Symbol;Acc:MGI:1925927]</t>
  </si>
  <si>
    <t>H2-K2</t>
  </si>
  <si>
    <t>histocompatibility 2, K region locus 2 [Source:MGI Symbol;Acc:MGI:95906]</t>
  </si>
  <si>
    <t>Ammecr1l</t>
  </si>
  <si>
    <t>AMME chromosomal region gene 1-like [Source:MGI Symbol;Acc:MGI:2442711]</t>
  </si>
  <si>
    <t>Txndc5</t>
  </si>
  <si>
    <t>thioredoxin domain containing 5 [Source:MGI Symbol;Acc:MGI:2145316]</t>
  </si>
  <si>
    <t>Gne</t>
  </si>
  <si>
    <t>glucosamine (UDP-N-acetyl)-2-epimerase/N-acetylmannosamine kinase [Source:MGI Symbol;Acc:MGI:1354951]</t>
  </si>
  <si>
    <t>Napg</t>
  </si>
  <si>
    <t>N-ethylmaleimide sensitive fusion protein attachment protein gamma [Source:MGI Symbol;Acc:MGI:104561]</t>
  </si>
  <si>
    <t>Pdxp</t>
  </si>
  <si>
    <t>pyridoxal (pyridoxine, vitamin B6) phosphatase [Source:MGI Symbol;Acc:MGI:1919282]</t>
  </si>
  <si>
    <t>Opa3</t>
  </si>
  <si>
    <t>optic atrophy 3 [Source:MGI Symbol;Acc:MGI:2686271]</t>
  </si>
  <si>
    <t>Sprtn</t>
  </si>
  <si>
    <t>SprT-like N-terminal domain [Source:MGI Symbol;Acc:MGI:2685351]</t>
  </si>
  <si>
    <t>Phf20</t>
  </si>
  <si>
    <t>PHD finger protein 20 [Source:MGI Symbol;Acc:MGI:2444148]</t>
  </si>
  <si>
    <t>2610021A01Rik</t>
  </si>
  <si>
    <t>RIKEN cDNA 2610021A01 gene [Source:MGI Symbol;Acc:MGI:1922662]</t>
  </si>
  <si>
    <t>Panx1</t>
  </si>
  <si>
    <t>pannexin 1 [Source:MGI Symbol;Acc:MGI:1860055]</t>
  </si>
  <si>
    <t>Nop16</t>
  </si>
  <si>
    <t>NOP16 nucleolar protein [Source:MGI Symbol;Acc:MGI:107862]</t>
  </si>
  <si>
    <t>Mink1</t>
  </si>
  <si>
    <t>misshapen-like kinase 1 (zebrafish) [Source:MGI Symbol;Acc:MGI:1355329]</t>
  </si>
  <si>
    <t>Bzw2</t>
  </si>
  <si>
    <t>basic leucine zipper and W2 domains 2 [Source:MGI Symbol;Acc:MGI:1914162]</t>
  </si>
  <si>
    <t>Gm13012</t>
  </si>
  <si>
    <t>predicted gene 13012 [Source:MGI Symbol;Acc:MGI:3652270]</t>
  </si>
  <si>
    <t>Sgpl1</t>
  </si>
  <si>
    <t>sphingosine phosphate lyase 1 [Source:MGI Symbol;Acc:MGI:1261415]</t>
  </si>
  <si>
    <t>Glo1</t>
  </si>
  <si>
    <t>glyoxalase 1 [Source:MGI Symbol;Acc:MGI:95742]</t>
  </si>
  <si>
    <t>Gm44574</t>
  </si>
  <si>
    <t>predicted gene 44574 [Source:MGI Symbol;Acc:MGI:5753150]</t>
  </si>
  <si>
    <t>Mblac1</t>
  </si>
  <si>
    <t>metallo-beta-lactamase domain containing 1 [Source:MGI Symbol;Acc:MGI:2679717]</t>
  </si>
  <si>
    <t>Btbd2</t>
  </si>
  <si>
    <t>BTB (POZ) domain containing 2 [Source:MGI Symbol;Acc:MGI:1933831]</t>
  </si>
  <si>
    <t>Ptgr1</t>
  </si>
  <si>
    <t>prostaglandin reductase 1 [Source:MGI Symbol;Acc:MGI:1914353]</t>
  </si>
  <si>
    <t>Acad11</t>
  </si>
  <si>
    <t>acyl-Coenzyme A dehydrogenase family, member 11 [Source:MGI Symbol;Acc:MGI:2143169]</t>
  </si>
  <si>
    <t>Jmjd6</t>
  </si>
  <si>
    <t>jumonji domain containing 6 [Source:MGI Symbol;Acc:MGI:1858910]</t>
  </si>
  <si>
    <t>Ghitm</t>
  </si>
  <si>
    <t>growth hormone inducible transmembrane protein [Source:MGI Symbol;Acc:MGI:1913342]</t>
  </si>
  <si>
    <t>Zfyve19</t>
  </si>
  <si>
    <t>zinc finger, FYVE domain containing 19 [Source:MGI Symbol;Acc:MGI:1919258]</t>
  </si>
  <si>
    <t>Gclc</t>
  </si>
  <si>
    <t>glutamate-cysteine ligase, catalytic subunit [Source:MGI Symbol;Acc:MGI:104990]</t>
  </si>
  <si>
    <t>Pnkp</t>
  </si>
  <si>
    <t>polynucleotide kinase 3'- phosphatase [Source:MGI Symbol;Acc:MGI:1891698]</t>
  </si>
  <si>
    <t>Gm16685</t>
  </si>
  <si>
    <t>predicted gene, 16685 [Source:MGI Symbol;Acc:MGI:4439609]</t>
  </si>
  <si>
    <t>Miip</t>
  </si>
  <si>
    <t>migration and invasion inhibitory protein [Source:MGI Symbol;Acc:MGI:106506]</t>
  </si>
  <si>
    <t>Gm49391</t>
  </si>
  <si>
    <t>predicted gene, 49391 [Source:MGI Symbol;Acc:MGI:6121619]</t>
  </si>
  <si>
    <t>Gm20521</t>
  </si>
  <si>
    <t>predicted gene 20521 [Source:MGI Symbol;Acc:MGI:5141986]</t>
  </si>
  <si>
    <t>Abca6</t>
  </si>
  <si>
    <t>ATP-binding cassette, sub-family A (ABC1), member 6 [Source:MGI Symbol;Acc:MGI:1923434]</t>
  </si>
  <si>
    <t>Clptm1l</t>
  </si>
  <si>
    <t>CLPTM1-like [Source:MGI Symbol;Acc:MGI:2442892]</t>
  </si>
  <si>
    <t>Psmb9</t>
  </si>
  <si>
    <t>proteasome (prosome, macropain) subunit, beta type 9 (large multifunctional peptidase 2) [Source:MGI Symbol;Acc:MGI:1346526]</t>
  </si>
  <si>
    <t>Zfp60</t>
  </si>
  <si>
    <t>zinc finger protein 60 [Source:MGI Symbol;Acc:MGI:99207]</t>
  </si>
  <si>
    <t>Arhgap21</t>
  </si>
  <si>
    <t>Rho GTPase activating protein 21 [Source:MGI Symbol;Acc:MGI:1918685]</t>
  </si>
  <si>
    <t>Rnf111</t>
  </si>
  <si>
    <t>ring finger 111 [Source:MGI Symbol;Acc:MGI:1934919]</t>
  </si>
  <si>
    <t>Atp9b</t>
  </si>
  <si>
    <t>ATPase, class II, type 9B [Source:MGI Symbol;Acc:MGI:1354757]</t>
  </si>
  <si>
    <t>Gnl1</t>
  </si>
  <si>
    <t>guanine nucleotide binding protein-like 1 [Source:MGI Symbol;Acc:MGI:95764]</t>
  </si>
  <si>
    <t>Gprc5d</t>
  </si>
  <si>
    <t>G protein-coupled receptor, family C, group 5, member D [Source:MGI Symbol;Acc:MGI:1935037]</t>
  </si>
  <si>
    <t>Wdr75</t>
  </si>
  <si>
    <t>WD repeat domain 75 [Source:MGI Symbol;Acc:MGI:1920924]</t>
  </si>
  <si>
    <t>Nostrin</t>
  </si>
  <si>
    <t>nitric oxide synthase trafficker [Source:MGI Symbol;Acc:MGI:3606242]</t>
  </si>
  <si>
    <t>Rnf216</t>
  </si>
  <si>
    <t>ring finger protein 216 [Source:MGI Symbol;Acc:MGI:1344349]</t>
  </si>
  <si>
    <t>Dipk2a</t>
  </si>
  <si>
    <t>divergent protein kinase domain 2A [Source:MGI Symbol;Acc:MGI:1916111]</t>
  </si>
  <si>
    <t>Psma3</t>
  </si>
  <si>
    <t>proteasome subunit alpha 3 [Source:MGI Symbol;Acc:MGI:104883]</t>
  </si>
  <si>
    <t>Klhdc4</t>
  </si>
  <si>
    <t>kelch domain containing 4 [Source:MGI Symbol;Acc:MGI:2384569]</t>
  </si>
  <si>
    <t>Bud31</t>
  </si>
  <si>
    <t>BUD31 homolog [Source:MGI Symbol;Acc:MGI:2141291]</t>
  </si>
  <si>
    <t>Capn10</t>
  </si>
  <si>
    <t>calpain 10 [Source:MGI Symbol;Acc:MGI:1344392]</t>
  </si>
  <si>
    <t>Taok1</t>
  </si>
  <si>
    <t>TAO kinase 1 [Source:MGI Symbol;Acc:MGI:1914490]</t>
  </si>
  <si>
    <t>Ap1b1</t>
  </si>
  <si>
    <t>adaptor protein complex AP-1, beta 1 subunit [Source:MGI Symbol;Acc:MGI:1096368]</t>
  </si>
  <si>
    <t>Slc7a6os</t>
  </si>
  <si>
    <t>solute carrier family 7, member 6 opposite strand [Source:MGI Symbol;Acc:MGI:1916951]</t>
  </si>
  <si>
    <t>Eif5a</t>
  </si>
  <si>
    <t>eukaryotic translation initiation factor 5A [Source:MGI Symbol;Acc:MGI:106248]</t>
  </si>
  <si>
    <t>Il1rl2</t>
  </si>
  <si>
    <t>interleukin 1 receptor-like 2 [Source:MGI Symbol;Acc:MGI:1913107]</t>
  </si>
  <si>
    <t>Tasor</t>
  </si>
  <si>
    <t>transcription activation suppressor [Source:MGI Symbol;Acc:MGI:1921694]</t>
  </si>
  <si>
    <t>Tmem65</t>
  </si>
  <si>
    <t>transmembrane protein 65 [Source:MGI Symbol;Acc:MGI:1922118]</t>
  </si>
  <si>
    <t>Fbxo48</t>
  </si>
  <si>
    <t>F-box protein 48 [Source:MGI Symbol;Acc:MGI:2442569]</t>
  </si>
  <si>
    <t>Snx12</t>
  </si>
  <si>
    <t>sorting nexin 12 [Source:MGI Symbol;Acc:MGI:1919331]</t>
  </si>
  <si>
    <t>Gm43661</t>
  </si>
  <si>
    <t>predicted gene 43661 [Source:MGI Symbol;Acc:MGI:5663798]</t>
  </si>
  <si>
    <t>Mri1</t>
  </si>
  <si>
    <t>methylthioribose-1-phosphate isomerase 1 [Source:MGI Symbol;Acc:MGI:1915123]</t>
  </si>
  <si>
    <t>Armc8</t>
  </si>
  <si>
    <t>armadillo repeat containing 8 [Source:MGI Symbol;Acc:MGI:1921375]</t>
  </si>
  <si>
    <t>Myzap</t>
  </si>
  <si>
    <t>myocardial zonula adherens protein [Source:MGI Symbol;Acc:MGI:2142908]</t>
  </si>
  <si>
    <t>Zfp646</t>
  </si>
  <si>
    <t>zinc finger protein 646 [Source:MGI Symbol;Acc:MGI:3665412]</t>
  </si>
  <si>
    <t>Slamf9</t>
  </si>
  <si>
    <t>SLAM family member 9 [Source:MGI Symbol;Acc:MGI:1923692]</t>
  </si>
  <si>
    <t>Bin3</t>
  </si>
  <si>
    <t>bridging integrator 3 [Source:MGI Symbol;Acc:MGI:1929883]</t>
  </si>
  <si>
    <t>Eif5</t>
  </si>
  <si>
    <t>eukaryotic translation initiation factor 5 [Source:MGI Symbol;Acc:MGI:95309]</t>
  </si>
  <si>
    <t>Oscp1</t>
  </si>
  <si>
    <t>organic solute carrier partner 1 [Source:MGI Symbol;Acc:MGI:1916308]</t>
  </si>
  <si>
    <t>Tmbim4</t>
  </si>
  <si>
    <t>transmembrane BAX inhibitor motif containing 4 [Source:MGI Symbol;Acc:MGI:1915462]</t>
  </si>
  <si>
    <t>Gm49387</t>
  </si>
  <si>
    <t>predicted gene, 49387 [Source:MGI Symbol;Acc:MGI:6121612]</t>
  </si>
  <si>
    <t>Ccdc50</t>
  </si>
  <si>
    <t>coiled-coil domain containing 50 [Source:MGI Symbol;Acc:MGI:1914751]</t>
  </si>
  <si>
    <t>Tmem106c</t>
  </si>
  <si>
    <t>transmembrane protein 106C [Source:MGI Symbol;Acc:MGI:1196384]</t>
  </si>
  <si>
    <t>Snx6</t>
  </si>
  <si>
    <t>sorting nexin 6 [Source:MGI Symbol;Acc:MGI:1919433]</t>
  </si>
  <si>
    <t>Gm16675</t>
  </si>
  <si>
    <t>predicted gene, 16675 [Source:MGI Symbol;Acc:MGI:4439599]</t>
  </si>
  <si>
    <t>1110002E22Rik</t>
  </si>
  <si>
    <t>RIKEN cDNA 1110002E22 gene [Source:MGI Symbol;Acc:MGI:1915066]</t>
  </si>
  <si>
    <t>Poldip2</t>
  </si>
  <si>
    <t>polymerase (DNA-directed), delta interacting protein 2 [Source:MGI Symbol;Acc:MGI:1915061]</t>
  </si>
  <si>
    <t>Lztfl1</t>
  </si>
  <si>
    <t>leucine zipper transcription factor-like 1 [Source:MGI Symbol;Acc:MGI:1934860]</t>
  </si>
  <si>
    <t>Coa6</t>
  </si>
  <si>
    <t>cytochrome c oxidase assembly factor 6 [Source:MGI Symbol;Acc:MGI:1915142]</t>
  </si>
  <si>
    <t>Afg3l2</t>
  </si>
  <si>
    <t>AFG3-like AAA ATPase 2 [Source:MGI Symbol;Acc:MGI:1916847]</t>
  </si>
  <si>
    <t>Trim35</t>
  </si>
  <si>
    <t>tripartite motif-containing 35 [Source:MGI Symbol;Acc:MGI:1914104]</t>
  </si>
  <si>
    <t>Retreg3</t>
  </si>
  <si>
    <t>reticulophagy regulator family member 3 [Source:MGI Symbol;Acc:MGI:1915248]</t>
  </si>
  <si>
    <t>Dusp18</t>
  </si>
  <si>
    <t>dual specificity phosphatase 18 [Source:MGI Symbol;Acc:MGI:1922469]</t>
  </si>
  <si>
    <t>Cdadc1</t>
  </si>
  <si>
    <t>cytidine and dCMP deaminase domain containing 1 [Source:MGI Symbol;Acc:MGI:1919141]</t>
  </si>
  <si>
    <t>Ints3</t>
  </si>
  <si>
    <t>integrator complex subunit 3 [Source:MGI Symbol;Acc:MGI:2140050]</t>
  </si>
  <si>
    <t>Gm20427</t>
  </si>
  <si>
    <t>predicted gene 20427 [Source:MGI Symbol;Acc:MGI:5141892]</t>
  </si>
  <si>
    <t>Rhebl1</t>
  </si>
  <si>
    <t>Ras homolog enriched in brain like 1 [Source:MGI Symbol;Acc:MGI:1916409]</t>
  </si>
  <si>
    <t>Zfp74</t>
  </si>
  <si>
    <t>zinc finger protein 74 [Source:MGI Symbol;Acc:MGI:107784]</t>
  </si>
  <si>
    <t>Zfp606</t>
  </si>
  <si>
    <t>zinc finger protein 606 [Source:MGI Symbol;Acc:MGI:1914620]</t>
  </si>
  <si>
    <t>Rpgrip1l</t>
  </si>
  <si>
    <t>Rpgrip1-like [Source:MGI Symbol;Acc:MGI:1920563]</t>
  </si>
  <si>
    <t>Arhgap8</t>
  </si>
  <si>
    <t>Rho GTPase activating protein 8 [Source:MGI Symbol;Acc:MGI:1920417]</t>
  </si>
  <si>
    <t>Gm44672</t>
  </si>
  <si>
    <t>predicted gene 44672 [Source:MGI Symbol;Acc:MGI:5753248]</t>
  </si>
  <si>
    <t>Ankrd13b</t>
  </si>
  <si>
    <t>ankyrin repeat domain 13b [Source:MGI Symbol;Acc:MGI:2144501]</t>
  </si>
  <si>
    <t>Tbc1d8b</t>
  </si>
  <si>
    <t>TBC1 domain family, member 8B [Source:MGI Symbol;Acc:MGI:1918101]</t>
  </si>
  <si>
    <t>Elovl5</t>
  </si>
  <si>
    <t>ELOVL family member 5, elongation of long chain fatty acids (yeast) [Source:MGI Symbol;Acc:MGI:1916051]</t>
  </si>
  <si>
    <t>Ddx11</t>
  </si>
  <si>
    <t>DEAD/H (Asp-Glu-Ala-Asp/His) box helicase 11 [Source:MGI Symbol;Acc:MGI:2443590]</t>
  </si>
  <si>
    <t>Serpina12</t>
  </si>
  <si>
    <t>serine (or cysteine) peptidase inhibitor, clade A (alpha-1 antiproteinase, antitrypsin), member 12 [Source:MGI Symbol;Acc:MGI:1915304]</t>
  </si>
  <si>
    <t>Rab7</t>
  </si>
  <si>
    <t>RAB7, member RAS oncogene family [Source:MGI Symbol;Acc:MGI:105068]</t>
  </si>
  <si>
    <t>Gm15496</t>
  </si>
  <si>
    <t>predicted gene 15496 [Source:MGI Symbol;Acc:MGI:3782942]</t>
  </si>
  <si>
    <t>Gm8801</t>
  </si>
  <si>
    <t>predicted gene 8801 [Source:MGI Symbol;Acc:MGI:3779813]</t>
  </si>
  <si>
    <t>Sos1</t>
  </si>
  <si>
    <t>SOS Ras/Rac guanine nucleotide exchange factor 1 [Source:MGI Symbol;Acc:MGI:98354]</t>
  </si>
  <si>
    <t>Sbf1</t>
  </si>
  <si>
    <t>SET binding factor 1 [Source:MGI Symbol;Acc:MGI:1925230]</t>
  </si>
  <si>
    <t>Acad8</t>
  </si>
  <si>
    <t>acyl-Coenzyme A dehydrogenase family, member 8 [Source:MGI Symbol;Acc:MGI:1914198]</t>
  </si>
  <si>
    <t>Gm15513</t>
  </si>
  <si>
    <t>predicted gene 15513 [Source:MGI Symbol;Acc:MGI:3782961]</t>
  </si>
  <si>
    <t>Ophn1</t>
  </si>
  <si>
    <t>oligophrenin 1 [Source:MGI Symbol;Acc:MGI:2151070]</t>
  </si>
  <si>
    <t>Tnrc6a</t>
  </si>
  <si>
    <t>trinucleotide repeat containing 6a [Source:MGI Symbol;Acc:MGI:2385292]</t>
  </si>
  <si>
    <t>Prorsd1</t>
  </si>
  <si>
    <t>prolyl-tRNA synthetase domain containing 1 [Source:MGI Symbol;Acc:MGI:1915189]</t>
  </si>
  <si>
    <t>Ust</t>
  </si>
  <si>
    <t>uronyl-2-sulfotransferase [Source:MGI Symbol;Acc:MGI:2442406]</t>
  </si>
  <si>
    <t>Gm5086</t>
  </si>
  <si>
    <t>predicted gene 5086 [Source:MGI Symbol;Acc:MGI:3644417]</t>
  </si>
  <si>
    <t>Ttc7b</t>
  </si>
  <si>
    <t>tetratricopeptide repeat domain 7B [Source:MGI Symbol;Acc:MGI:2144724]</t>
  </si>
  <si>
    <t>Ypel2</t>
  </si>
  <si>
    <t>yippee like 2 [Source:MGI Symbol;Acc:MGI:1925114]</t>
  </si>
  <si>
    <t>Znhit2</t>
  </si>
  <si>
    <t>zinc finger, HIT domain containing 2 [Source:MGI Symbol;Acc:MGI:1352481]</t>
  </si>
  <si>
    <t>Gm42635</t>
  </si>
  <si>
    <t>predicted gene 42635 [Source:MGI Symbol;Acc:MGI:5662772]</t>
  </si>
  <si>
    <t>Grasp</t>
  </si>
  <si>
    <t>GRP1 (general receptor for phosphoinositides 1)-associated scaffold protein [Source:MGI Symbol;Acc:MGI:1860303]</t>
  </si>
  <si>
    <t>Tlr6</t>
  </si>
  <si>
    <t>toll-like receptor 6 [Source:MGI Symbol;Acc:MGI:1341296]</t>
  </si>
  <si>
    <t>Kpna6</t>
  </si>
  <si>
    <t>karyopherin (importin) alpha 6 [Source:MGI Symbol;Acc:MGI:1100836]</t>
  </si>
  <si>
    <t>Plekha3</t>
  </si>
  <si>
    <t>pleckstrin homology domain-containing, family A (phosphoinositide binding specific) member 3 [Source:MGI Symbol;Acc:MGI:1932515]</t>
  </si>
  <si>
    <t>Arhgef1</t>
  </si>
  <si>
    <t>Rho guanine nucleotide exchange factor (GEF) 1 [Source:MGI Symbol;Acc:MGI:1353510]</t>
  </si>
  <si>
    <t>Rsl24d1</t>
  </si>
  <si>
    <t>ribosomal L24 domain containing 1 [Source:MGI Symbol;Acc:MGI:2681840]</t>
  </si>
  <si>
    <t>Cxcl3</t>
  </si>
  <si>
    <t>chemokine (C-X-C motif) ligand 3 [Source:MGI Symbol;Acc:MGI:3037818]</t>
  </si>
  <si>
    <t>Gba2</t>
  </si>
  <si>
    <t>glucosidase beta 2 [Source:MGI Symbol;Acc:MGI:2654325]</t>
  </si>
  <si>
    <t>Pinx1</t>
  </si>
  <si>
    <t>PIN2/TERF1 interacting, telomerase inhibitor 1 [Source:MGI Symbol;Acc:MGI:1919650]</t>
  </si>
  <si>
    <t>Pdzd11</t>
  </si>
  <si>
    <t>PDZ domain containing 11 [Source:MGI Symbol;Acc:MGI:1919871]</t>
  </si>
  <si>
    <t>Mbd2</t>
  </si>
  <si>
    <t>methyl-CpG binding domain protein 2 [Source:MGI Symbol;Acc:MGI:1333813]</t>
  </si>
  <si>
    <t>Slirp</t>
  </si>
  <si>
    <t>SRA stem-loop interacting RNA binding protein [Source:MGI Symbol;Acc:MGI:1916394]</t>
  </si>
  <si>
    <t>Orc2</t>
  </si>
  <si>
    <t>origin recognition complex, subunit 2 [Source:MGI Symbol;Acc:MGI:1328306]</t>
  </si>
  <si>
    <t>Dcun1d5</t>
  </si>
  <si>
    <t>DCN1, defective in cullin neddylation 1, domain containing 5 (S. cerevisiae) [Source:MGI Symbol;Acc:MGI:1924113]</t>
  </si>
  <si>
    <t>Arhgap15</t>
  </si>
  <si>
    <t>Rho GTPase activating protein 15 [Source:MGI Symbol;Acc:MGI:1923367]</t>
  </si>
  <si>
    <t>Mindy3</t>
  </si>
  <si>
    <t>MINDY lysine 48 deubiquitinase 3 [Source:MGI Symbol;Acc:MGI:1914210]</t>
  </si>
  <si>
    <t>Sae1</t>
  </si>
  <si>
    <t>SUMO1 activating enzyme subunit 1 [Source:MGI Symbol;Acc:MGI:1929264]</t>
  </si>
  <si>
    <t>Slc25a15</t>
  </si>
  <si>
    <t>solute carrier family 25 (mitochondrial carrier ornithine transporter), member 15 [Source:MGI Symbol;Acc:MGI:1342274]</t>
  </si>
  <si>
    <t>Pbx3</t>
  </si>
  <si>
    <t>pre B cell leukemia homeobox 3 [Source:MGI Symbol;Acc:MGI:97496]</t>
  </si>
  <si>
    <t>H2-M3</t>
  </si>
  <si>
    <t>histocompatibility 2, M region locus 3 [Source:MGI Symbol;Acc:MGI:95915]</t>
  </si>
  <si>
    <t>Gpatch8</t>
  </si>
  <si>
    <t>G patch domain containing 8 [Source:MGI Symbol;Acc:MGI:1918667]</t>
  </si>
  <si>
    <t>Pold2</t>
  </si>
  <si>
    <t>polymerase (DNA directed), delta 2, regulatory subunit [Source:MGI Symbol;Acc:MGI:1097163]</t>
  </si>
  <si>
    <t>Atp8b2</t>
  </si>
  <si>
    <t>ATPase, class I, type 8B, member 2 [Source:MGI Symbol;Acc:MGI:1859660]</t>
  </si>
  <si>
    <t>Gm12085</t>
  </si>
  <si>
    <t>predicted gene 12085 [Source:MGI Symbol;Acc:MGI:3650335]</t>
  </si>
  <si>
    <t>Necap1</t>
  </si>
  <si>
    <t>NECAP endocytosis associated 1 [Source:MGI Symbol;Acc:MGI:1914852]</t>
  </si>
  <si>
    <t>Zbtb10</t>
  </si>
  <si>
    <t>zinc finger and BTB domain containing 10 [Source:MGI Symbol;Acc:MGI:2139883]</t>
  </si>
  <si>
    <t>Cmtm7</t>
  </si>
  <si>
    <t>CKLF-like MARVEL transmembrane domain containing 7 [Source:MGI Symbol;Acc:MGI:2447166]</t>
  </si>
  <si>
    <t>Vps8</t>
  </si>
  <si>
    <t>VPS8 CORVET complex subunit [Source:MGI Symbol;Acc:MGI:2146407]</t>
  </si>
  <si>
    <t>Ms4a6d</t>
  </si>
  <si>
    <t>membrane-spanning 4-domains, subfamily A, member 6D [Source:MGI Symbol;Acc:MGI:1916024]</t>
  </si>
  <si>
    <t>Gm7809</t>
  </si>
  <si>
    <t>predicted gene 7809 [Source:MGI Symbol;Acc:MGI:3643362]</t>
  </si>
  <si>
    <t>Mt2</t>
  </si>
  <si>
    <t>metallothionein 2 [Source:MGI Symbol;Acc:MGI:97172]</t>
  </si>
  <si>
    <t>Cmas</t>
  </si>
  <si>
    <t>cytidine monophospho-N-acetylneuraminic acid synthetase [Source:MGI Symbol;Acc:MGI:1337124]</t>
  </si>
  <si>
    <t>Rab11fip4</t>
  </si>
  <si>
    <t>RAB11 family interacting protein 4 (class II) [Source:MGI Symbol;Acc:MGI:2442920]</t>
  </si>
  <si>
    <t>Gtf3c4</t>
  </si>
  <si>
    <t>general transcription factor IIIC, polypeptide 4 [Source:MGI Symbol;Acc:MGI:2138937]</t>
  </si>
  <si>
    <t>Crybg1</t>
  </si>
  <si>
    <t>crystallin beta-gamma domain containing 1 [Source:MGI Symbol;Acc:MGI:109544]</t>
  </si>
  <si>
    <t>Riok2</t>
  </si>
  <si>
    <t>RIO kinase 2 [Source:MGI Symbol;Acc:MGI:1914295]</t>
  </si>
  <si>
    <t>Gm20667</t>
  </si>
  <si>
    <t>predicted gene 20667 [Source:MGI Symbol;Acc:MGI:5313114]</t>
  </si>
  <si>
    <t>sense_overlapping</t>
  </si>
  <si>
    <t>Trit1</t>
  </si>
  <si>
    <t>tRNA isopentenyltransferase 1 [Source:MGI Symbol;Acc:MGI:1914216]</t>
  </si>
  <si>
    <t>Swt1</t>
  </si>
  <si>
    <t>SWT1 RNA endoribonuclease homolog (S. cerevisiae) [Source:MGI Symbol;Acc:MGI:1914125]</t>
  </si>
  <si>
    <t>Pnpo</t>
  </si>
  <si>
    <t>pyridoxine 5'-phosphate oxidase [Source:MGI Symbol;Acc:MGI:2144151]</t>
  </si>
  <si>
    <t>Zbtb14</t>
  </si>
  <si>
    <t>zinc finger and BTB domain containing 14 [Source:MGI Symbol;Acc:MGI:1195345]</t>
  </si>
  <si>
    <t>Ptk2</t>
  </si>
  <si>
    <t>PTK2 protein tyrosine kinase 2 [Source:MGI Symbol;Acc:MGI:95481]</t>
  </si>
  <si>
    <t>Gm49759</t>
  </si>
  <si>
    <t>predicted gene, 49759 [Source:MGI Symbol;Acc:MGI:6215263]</t>
  </si>
  <si>
    <t>Ndfip2</t>
  </si>
  <si>
    <t>Nedd4 family interacting protein 2 [Source:MGI Symbol;Acc:MGI:1923523]</t>
  </si>
  <si>
    <t>Fip1l1</t>
  </si>
  <si>
    <t>FIP1 like 1 (S. cerevisiae) [Source:MGI Symbol;Acc:MGI:1914149]</t>
  </si>
  <si>
    <t>Abhd12</t>
  </si>
  <si>
    <t>abhydrolase domain containing 12 [Source:MGI Symbol;Acc:MGI:1923442]</t>
  </si>
  <si>
    <t>Wbp1</t>
  </si>
  <si>
    <t>WW domain binding protein 1 [Source:MGI Symbol;Acc:MGI:104710]</t>
  </si>
  <si>
    <t>Phldb3</t>
  </si>
  <si>
    <t>pleckstrin homology like domain, family B, member 3 [Source:MGI Symbol;Acc:MGI:3642959]</t>
  </si>
  <si>
    <t>Pyurf</t>
  </si>
  <si>
    <t>Pigy upstream reading frame [Source:MGI Symbol;Acc:MGI:1913709]</t>
  </si>
  <si>
    <t>Phactr4</t>
  </si>
  <si>
    <t>phosphatase and actin regulator 4 [Source:MGI Symbol;Acc:MGI:2140327]</t>
  </si>
  <si>
    <t>B3gntl1</t>
  </si>
  <si>
    <t>UDP-GlcNAc:betaGal beta-1,3-N-acetylglucosaminyltransferase-like 1 [Source:MGI Symbol;Acc:MGI:2441705]</t>
  </si>
  <si>
    <t>Wdr20rt</t>
  </si>
  <si>
    <t>WD repeat domain 20, retrogene [Source:MGI Symbol;Acc:MGI:1918198]</t>
  </si>
  <si>
    <t>Espnl</t>
  </si>
  <si>
    <t>espin-like [Source:MGI Symbol;Acc:MGI:2685402]</t>
  </si>
  <si>
    <t>Otud1</t>
  </si>
  <si>
    <t>OTU domain containing 1 [Source:MGI Symbol;Acc:MGI:1918448]</t>
  </si>
  <si>
    <t>Il15</t>
  </si>
  <si>
    <t>interleukin 15 [Source:MGI Symbol;Acc:MGI:103014]</t>
  </si>
  <si>
    <t>Mxd1</t>
  </si>
  <si>
    <t>MAX dimerization protein 1 [Source:MGI Symbol;Acc:MGI:96908]</t>
  </si>
  <si>
    <t>Ints12</t>
  </si>
  <si>
    <t>integrator complex subunit 12 [Source:MGI Symbol;Acc:MGI:1919043]</t>
  </si>
  <si>
    <t>Hivep1</t>
  </si>
  <si>
    <t>human immunodeficiency virus type I enhancer binding protein 1 [Source:MGI Symbol;Acc:MGI:96100]</t>
  </si>
  <si>
    <t>Polr2b</t>
  </si>
  <si>
    <t>polymerase (RNA) II (DNA directed) polypeptide B [Source:MGI Symbol;Acc:MGI:2388280]</t>
  </si>
  <si>
    <t>Optn</t>
  </si>
  <si>
    <t>optineurin [Source:MGI Symbol;Acc:MGI:1918898]</t>
  </si>
  <si>
    <t>Eps15</t>
  </si>
  <si>
    <t>epidermal growth factor receptor pathway substrate 15 [Source:MGI Symbol;Acc:MGI:104583]</t>
  </si>
  <si>
    <t>Gm20695</t>
  </si>
  <si>
    <t>predicted gene 20695 [Source:MGI Symbol;Acc:MGI:5313142]</t>
  </si>
  <si>
    <t>Bpgm</t>
  </si>
  <si>
    <t>2,3-bisphosphoglycerate mutase [Source:MGI Symbol;Acc:MGI:1098242]</t>
  </si>
  <si>
    <t>Kynu</t>
  </si>
  <si>
    <t>kynureninase [Source:MGI Symbol;Acc:MGI:1918039]</t>
  </si>
  <si>
    <t>Arhgap12</t>
  </si>
  <si>
    <t>Rho GTPase activating protein 12 [Source:MGI Symbol;Acc:MGI:1922665]</t>
  </si>
  <si>
    <t>Ap5s1</t>
  </si>
  <si>
    <t>adaptor-related protein 5 complex, sigma 1 subunit [Source:MGI Symbol;Acc:MGI:1916846]</t>
  </si>
  <si>
    <t>Atg16l1</t>
  </si>
  <si>
    <t>autophagy related 16-like 1 (S. cerevisiae) [Source:MGI Symbol;Acc:MGI:1924290]</t>
  </si>
  <si>
    <t>Lipn</t>
  </si>
  <si>
    <t>lipase, family member N [Source:MGI Symbol;Acc:MGI:1917416]</t>
  </si>
  <si>
    <t>Selenbp1</t>
  </si>
  <si>
    <t>selenium binding protein 1 [Source:MGI Symbol;Acc:MGI:96825]</t>
  </si>
  <si>
    <t>Ebna1bp2</t>
  </si>
  <si>
    <t>EBNA1 binding protein 2 [Source:MGI Symbol;Acc:MGI:1916322]</t>
  </si>
  <si>
    <t>Tubgcp3</t>
  </si>
  <si>
    <t>tubulin, gamma complex associated protein 3 [Source:MGI Symbol;Acc:MGI:2183752]</t>
  </si>
  <si>
    <t>Sh2b2</t>
  </si>
  <si>
    <t>SH2B adaptor protein 2 [Source:MGI Symbol;Acc:MGI:1345171]</t>
  </si>
  <si>
    <t>Nae1</t>
  </si>
  <si>
    <t>NEDD8 activating enzyme E1 subunit 1 [Source:MGI Symbol;Acc:MGI:2384561]</t>
  </si>
  <si>
    <t>Urod</t>
  </si>
  <si>
    <t>uroporphyrinogen decarboxylase [Source:MGI Symbol;Acc:MGI:98916]</t>
  </si>
  <si>
    <t>Gm8818</t>
  </si>
  <si>
    <t>predicted pseudogene 8818 [Source:MGI Symbol;Acc:MGI:3645903]</t>
  </si>
  <si>
    <t>Prune2</t>
  </si>
  <si>
    <t>prune homolog 2 [Source:MGI Symbol;Acc:MGI:1925004]</t>
  </si>
  <si>
    <t>Shpk</t>
  </si>
  <si>
    <t>sedoheptulokinase [Source:MGI Symbol;Acc:MGI:1921887]</t>
  </si>
  <si>
    <t>Hmbs</t>
  </si>
  <si>
    <t>hydroxymethylbilane synthase [Source:MGI Symbol;Acc:MGI:96112]</t>
  </si>
  <si>
    <t>Ccl22</t>
  </si>
  <si>
    <t>chemokine (C-C motif) ligand 22 [Source:MGI Symbol;Acc:MGI:1306779]</t>
  </si>
  <si>
    <t>Zfp637</t>
  </si>
  <si>
    <t>zinc finger protein 637 [Source:MGI Symbol;Acc:MGI:2448537]</t>
  </si>
  <si>
    <t>Nsd3</t>
  </si>
  <si>
    <t>nuclear receptor binding SET domain protein 3 [Source:MGI Symbol;Acc:MGI:2142581]</t>
  </si>
  <si>
    <t>Cpsf2</t>
  </si>
  <si>
    <t>cleavage and polyadenylation specific factor 2 [Source:MGI Symbol;Acc:MGI:1861601]</t>
  </si>
  <si>
    <t>Tlcd2</t>
  </si>
  <si>
    <t>TLC domain containing 2 [Source:MGI Symbol;Acc:MGI:1917141]</t>
  </si>
  <si>
    <t>Tasp1</t>
  </si>
  <si>
    <t>taspase, threonine aspartase 1 [Source:MGI Symbol;Acc:MGI:1923062]</t>
  </si>
  <si>
    <t>Carhsp1</t>
  </si>
  <si>
    <t>calcium regulated heat stable protein 1 [Source:MGI Symbol;Acc:MGI:1196368]</t>
  </si>
  <si>
    <t>Ptges3</t>
  </si>
  <si>
    <t>prostaglandin E synthase 3 [Source:MGI Symbol;Acc:MGI:1929282]</t>
  </si>
  <si>
    <t>Vcl</t>
  </si>
  <si>
    <t>vinculin [Source:MGI Symbol;Acc:MGI:98927]</t>
  </si>
  <si>
    <t>Mrpl32</t>
  </si>
  <si>
    <t>mitochondrial ribosomal protein L32 [Source:MGI Symbol;Acc:MGI:2137226]</t>
  </si>
  <si>
    <t>Smox</t>
  </si>
  <si>
    <t>spermine oxidase [Source:MGI Symbol;Acc:MGI:2445356]</t>
  </si>
  <si>
    <t>Wdr36</t>
  </si>
  <si>
    <t>WD repeat domain 36 [Source:MGI Symbol;Acc:MGI:1917819]</t>
  </si>
  <si>
    <t>Syvn1</t>
  </si>
  <si>
    <t>synovial apoptosis inhibitor 1, synoviolin [Source:MGI Symbol;Acc:MGI:1921376]</t>
  </si>
  <si>
    <t>Rai1</t>
  </si>
  <si>
    <t>retinoic acid induced 1 [Source:MGI Symbol;Acc:MGI:103291]</t>
  </si>
  <si>
    <t>Syne2</t>
  </si>
  <si>
    <t>spectrin repeat containing, nuclear envelope 2 [Source:MGI Symbol;Acc:MGI:2449316]</t>
  </si>
  <si>
    <t>Ncaph2</t>
  </si>
  <si>
    <t>non-SMC condensin II complex, subunit H2 [Source:MGI Symbol;Acc:MGI:1289164]</t>
  </si>
  <si>
    <t>Gm32200</t>
  </si>
  <si>
    <t>predicted gene, 32200 [Source:MGI Symbol;Acc:MGI:5591359]</t>
  </si>
  <si>
    <t>Idh2</t>
  </si>
  <si>
    <t>isocitrate dehydrogenase 2 (NADP+), mitochondrial [Source:MGI Symbol;Acc:MGI:96414]</t>
  </si>
  <si>
    <t>Lhx2</t>
  </si>
  <si>
    <t>LIM homeobox protein 2 [Source:MGI Symbol;Acc:MGI:96785]</t>
  </si>
  <si>
    <t>Ss18</t>
  </si>
  <si>
    <t>SS18, nBAF chromatin remodeling complex subunit [Source:MGI Symbol;Acc:MGI:107708]</t>
  </si>
  <si>
    <t>Ltn1</t>
  </si>
  <si>
    <t>listerin E3 ubiquitin protein ligase 1 [Source:MGI Symbol;Acc:MGI:1926163]</t>
  </si>
  <si>
    <t>Rnf103</t>
  </si>
  <si>
    <t>ring finger protein 103 [Source:MGI Symbol;Acc:MGI:109483]</t>
  </si>
  <si>
    <t>Lyst</t>
  </si>
  <si>
    <t>lysosomal trafficking regulator [Source:MGI Symbol;Acc:MGI:107448]</t>
  </si>
  <si>
    <t>Zfp318</t>
  </si>
  <si>
    <t>zinc finger protein 318 [Source:MGI Symbol;Acc:MGI:1889348]</t>
  </si>
  <si>
    <t>Htra1</t>
  </si>
  <si>
    <t>HtrA serine peptidase 1 [Source:MGI Symbol;Acc:MGI:1929076]</t>
  </si>
  <si>
    <t>Nob1</t>
  </si>
  <si>
    <t>NIN1/RPN12 binding protein 1 homolog [Source:MGI Symbol;Acc:MGI:1914869]</t>
  </si>
  <si>
    <t>Themis2</t>
  </si>
  <si>
    <t>thymocyte selection associated family member 2 [Source:MGI Symbol;Acc:MGI:2446213]</t>
  </si>
  <si>
    <t>Rnf19a</t>
  </si>
  <si>
    <t>ring finger protein 19A [Source:MGI Symbol;Acc:MGI:1353623]</t>
  </si>
  <si>
    <t>Crcp</t>
  </si>
  <si>
    <t>calcitonin gene-related peptide-receptor component protein [Source:MGI Symbol;Acc:MGI:1100818]</t>
  </si>
  <si>
    <t>Sertad1</t>
  </si>
  <si>
    <t>SERTA domain containing 1 [Source:MGI Symbol;Acc:MGI:1913438]</t>
  </si>
  <si>
    <t>Rpl24</t>
  </si>
  <si>
    <t>ribosomal protein L24 [Source:MGI Symbol;Acc:MGI:1915443]</t>
  </si>
  <si>
    <t>Ormdl1</t>
  </si>
  <si>
    <t>ORM1-like 1 (S. cerevisiae) [Source:MGI Symbol;Acc:MGI:2181669]</t>
  </si>
  <si>
    <t>Ube2g2</t>
  </si>
  <si>
    <t>ubiquitin-conjugating enzyme E2G 2 [Source:MGI Symbol;Acc:MGI:1343188]</t>
  </si>
  <si>
    <t>Mkks</t>
  </si>
  <si>
    <t>McKusick-Kaufman syndrome [Source:MGI Symbol;Acc:MGI:1891836]</t>
  </si>
  <si>
    <t>Zfp692</t>
  </si>
  <si>
    <t>zinc finger protein 692 [Source:MGI Symbol;Acc:MGI:2144276]</t>
  </si>
  <si>
    <t>Bax</t>
  </si>
  <si>
    <t>BCL2-associated X protein [Source:MGI Symbol;Acc:MGI:99702]</t>
  </si>
  <si>
    <t>B4galnt2</t>
  </si>
  <si>
    <t>beta-1,4-N-acetyl-galactosaminyl transferase 2 [Source:MGI Symbol;Acc:MGI:1342058]</t>
  </si>
  <si>
    <t>Ecsit</t>
  </si>
  <si>
    <t>ECSIT signalling integrator [Source:MGI Symbol;Acc:MGI:1349469]</t>
  </si>
  <si>
    <t>Yod1</t>
  </si>
  <si>
    <t>YOD1 deubiquitinase [Source:MGI Symbol;Acc:MGI:2442596]</t>
  </si>
  <si>
    <t>Noc4l</t>
  </si>
  <si>
    <t>NOC4 like [Source:MGI Symbol;Acc:MGI:2140843]</t>
  </si>
  <si>
    <t>Rilpl2</t>
  </si>
  <si>
    <t>Rab interacting lysosomal protein-like 2 [Source:MGI Symbol;Acc:MGI:1933112]</t>
  </si>
  <si>
    <t>Prmt5</t>
  </si>
  <si>
    <t>protein arginine N-methyltransferase 5 [Source:MGI Symbol;Acc:MGI:1351645]</t>
  </si>
  <si>
    <t>Bzw1</t>
  </si>
  <si>
    <t>basic leucine zipper and W2 domains 1 [Source:MGI Symbol;Acc:MGI:1914132]</t>
  </si>
  <si>
    <t>Mrtfb</t>
  </si>
  <si>
    <t>myocardin related transcription factor B [Source:MGI Symbol;Acc:MGI:3050795]</t>
  </si>
  <si>
    <t>Fuca2</t>
  </si>
  <si>
    <t>fucosidase, alpha-L- 2, plasma [Source:MGI Symbol;Acc:MGI:1914098]</t>
  </si>
  <si>
    <t>Dbt</t>
  </si>
  <si>
    <t>dihydrolipoamide branched chain transacylase E2 [Source:MGI Symbol;Acc:MGI:105386]</t>
  </si>
  <si>
    <t>Mmp9</t>
  </si>
  <si>
    <t>matrix metallopeptidase 9 [Source:MGI Symbol;Acc:MGI:97011]</t>
  </si>
  <si>
    <t>Ttll4</t>
  </si>
  <si>
    <t>tubulin tyrosine ligase-like family, member 4 [Source:MGI Symbol;Acc:MGI:1914784]</t>
  </si>
  <si>
    <t>Smim15</t>
  </si>
  <si>
    <t>small integral membrane protein 15 [Source:MGI Symbol;Acc:MGI:1922866]</t>
  </si>
  <si>
    <t>Tmem164</t>
  </si>
  <si>
    <t>transmembrane protein 164 [Source:MGI Symbol;Acc:MGI:2148020]</t>
  </si>
  <si>
    <t>Gatad2b</t>
  </si>
  <si>
    <t>GATA zinc finger domain containing 2B [Source:MGI Symbol;Acc:MGI:2443225]</t>
  </si>
  <si>
    <t>Rest</t>
  </si>
  <si>
    <t>RE1-silencing transcription factor [Source:MGI Symbol;Acc:MGI:104897]</t>
  </si>
  <si>
    <t>Ppt1</t>
  </si>
  <si>
    <t>palmitoyl-protein thioesterase 1 [Source:MGI Symbol;Acc:MGI:1298204]</t>
  </si>
  <si>
    <t>Cacybp</t>
  </si>
  <si>
    <t>calcyclin binding protein [Source:MGI Symbol;Acc:MGI:1270839]</t>
  </si>
  <si>
    <t>Foxn3</t>
  </si>
  <si>
    <t>forkhead box N3 [Source:MGI Symbol;Acc:MGI:1918625]</t>
  </si>
  <si>
    <t>CAAA01066123.1</t>
  </si>
  <si>
    <t>ribosomal protein S6 kinase, polypeptide 4 (Rps6ka4)</t>
  </si>
  <si>
    <t>Pole3</t>
  </si>
  <si>
    <t>polymerase (DNA directed), epsilon 3 (p17 subunit) [Source:MGI Symbol;Acc:MGI:1933378]</t>
  </si>
  <si>
    <t>Gng7</t>
  </si>
  <si>
    <t>guanine nucleotide binding protein (G protein), gamma 7 [Source:MGI Symbol;Acc:MGI:95787]</t>
  </si>
  <si>
    <t>Tbrg4</t>
  </si>
  <si>
    <t>transforming growth factor beta regulated gene 4 [Source:MGI Symbol;Acc:MGI:1100868]</t>
  </si>
  <si>
    <t>Ssh1</t>
  </si>
  <si>
    <t>slingshot protein phosphatase 1 [Source:MGI Symbol;Acc:MGI:2686240]</t>
  </si>
  <si>
    <t>Ogg1</t>
  </si>
  <si>
    <t>8-oxoguanine DNA-glycosylase 1 [Source:MGI Symbol;Acc:MGI:1097693]</t>
  </si>
  <si>
    <t>Hook3</t>
  </si>
  <si>
    <t>hook microtubule tethering protein 3 [Source:MGI Symbol;Acc:MGI:2443554]</t>
  </si>
  <si>
    <t>Pskh1</t>
  </si>
  <si>
    <t>protein serine kinase H1 [Source:MGI Symbol;Acc:MGI:3528383]</t>
  </si>
  <si>
    <t>Tctn1</t>
  </si>
  <si>
    <t>tectonic family member 1 [Source:MGI Symbol;Acc:MGI:3603820]</t>
  </si>
  <si>
    <t>Gm41442</t>
  </si>
  <si>
    <t>predicted gene, 41442 [Source:MGI Symbol;Acc:MGI:5624327]</t>
  </si>
  <si>
    <t>Cxcl9</t>
  </si>
  <si>
    <t>chemokine (C-X-C motif) ligand 9 [Source:MGI Symbol;Acc:MGI:1352449]</t>
  </si>
  <si>
    <t>Apba1</t>
  </si>
  <si>
    <t>amyloid beta (A4) precursor protein binding, family  A, member 1 [Source:MGI Symbol;Acc:MGI:1860297]</t>
  </si>
  <si>
    <t>Luc7l</t>
  </si>
  <si>
    <t>Luc7-like [Source:MGI Symbol;Acc:MGI:1914228]</t>
  </si>
  <si>
    <t>Ephb3</t>
  </si>
  <si>
    <t>Eph receptor B3 [Source:MGI Symbol;Acc:MGI:104770]</t>
  </si>
  <si>
    <t>Ints8</t>
  </si>
  <si>
    <t>integrator complex subunit 8 [Source:MGI Symbol;Acc:MGI:1919906]</t>
  </si>
  <si>
    <t>Amfr</t>
  </si>
  <si>
    <t>autocrine motility factor receptor [Source:MGI Symbol;Acc:MGI:1345634]</t>
  </si>
  <si>
    <t>Fchsd1</t>
  </si>
  <si>
    <t>FCH and double SH3 domains 1 [Source:MGI Symbol;Acc:MGI:2441771]</t>
  </si>
  <si>
    <t>Mllt3</t>
  </si>
  <si>
    <t>myeloid/lymphoid or mixed-lineage leukemia; translocated to, 3 [Source:MGI Symbol;Acc:MGI:1917372]</t>
  </si>
  <si>
    <t>Asl</t>
  </si>
  <si>
    <t>argininosuccinate lyase [Source:MGI Symbol;Acc:MGI:88084]</t>
  </si>
  <si>
    <t>Spc24</t>
  </si>
  <si>
    <t>SPC24, NDC80 kinetochore complex component, homolog (S. cerevisiae) [Source:MGI Symbol;Acc:MGI:1914879]</t>
  </si>
  <si>
    <t>Ptpn1</t>
  </si>
  <si>
    <t>protein tyrosine phosphatase, non-receptor type 1 [Source:MGI Symbol;Acc:MGI:97805]</t>
  </si>
  <si>
    <t>Acads</t>
  </si>
  <si>
    <t>acyl-Coenzyme A dehydrogenase, short chain [Source:MGI Symbol;Acc:MGI:87868]</t>
  </si>
  <si>
    <t>H3f3aos</t>
  </si>
  <si>
    <t>H3.3 histone A, opposite strand [Source:MGI Symbol;Acc:MGI:3802006]</t>
  </si>
  <si>
    <t>Egfl7</t>
  </si>
  <si>
    <t>EGF-like domain 7 [Source:MGI Symbol;Acc:MGI:2449923]</t>
  </si>
  <si>
    <t>Tbc1d2</t>
  </si>
  <si>
    <t>TBC1 domain family, member 2 [Source:MGI Symbol;Acc:MGI:2652885]</t>
  </si>
  <si>
    <t>Samd4</t>
  </si>
  <si>
    <t>sterile alpha motif domain containing 4 [Source:MGI Symbol;Acc:MGI:1921730]</t>
  </si>
  <si>
    <t>Disp3</t>
  </si>
  <si>
    <t>dispatched RND transporter family member 3 [Source:MGI Symbol;Acc:MGI:2444403]</t>
  </si>
  <si>
    <t>Inpp4b</t>
  </si>
  <si>
    <t>inositol polyphosphate-4-phosphatase, type II [Source:MGI Symbol;Acc:MGI:2158925]</t>
  </si>
  <si>
    <t>Tox2</t>
  </si>
  <si>
    <t>TOX high mobility group box family member 2 [Source:MGI Symbol;Acc:MGI:3611233]</t>
  </si>
  <si>
    <t>Adipor2</t>
  </si>
  <si>
    <t>adiponectin receptor 2 [Source:MGI Symbol;Acc:MGI:93830]</t>
  </si>
  <si>
    <t>Tmem143</t>
  </si>
  <si>
    <t>transmembrane protein 143 [Source:MGI Symbol;Acc:MGI:1917459]</t>
  </si>
  <si>
    <t>Orc5</t>
  </si>
  <si>
    <t>origin recognition complex, subunit 5 [Source:MGI Symbol;Acc:MGI:1347044]</t>
  </si>
  <si>
    <t>BC002059</t>
  </si>
  <si>
    <t>cDNA sequence BC002059 [Source:MGI Symbol;Acc:MGI:2384864]</t>
  </si>
  <si>
    <t>Tob2</t>
  </si>
  <si>
    <t>transducer of ERBB2, 2 [Source:MGI Symbol;Acc:MGI:1888525]</t>
  </si>
  <si>
    <t>Kctd2</t>
  </si>
  <si>
    <t>potassium channel tetramerisation domain containing 2 [Source:MGI Symbol;Acc:MGI:1917632]</t>
  </si>
  <si>
    <t>Gabpb2</t>
  </si>
  <si>
    <t>GA repeat binding protein, beta 2 [Source:MGI Symbol;Acc:MGI:95612]</t>
  </si>
  <si>
    <t>Rnf187</t>
  </si>
  <si>
    <t>ring finger protein 187 [Source:MGI Symbol;Acc:MGI:1914224]</t>
  </si>
  <si>
    <t>Tgds</t>
  </si>
  <si>
    <t>TDP-glucose 4,6-dehydratase [Source:MGI Symbol;Acc:MGI:1923605]</t>
  </si>
  <si>
    <t>Dnase1l3</t>
  </si>
  <si>
    <t>deoxyribonuclease 1-like 3 [Source:MGI Symbol;Acc:MGI:1314633]</t>
  </si>
  <si>
    <t>Bag3</t>
  </si>
  <si>
    <t>BCL2-associated athanogene 3 [Source:MGI Symbol;Acc:MGI:1352493]</t>
  </si>
  <si>
    <t>Hoxa5</t>
  </si>
  <si>
    <t>homeobox A5 [Source:MGI Symbol;Acc:MGI:96177]</t>
  </si>
  <si>
    <t>Nfic</t>
  </si>
  <si>
    <t>nuclear factor I/C [Source:MGI Symbol;Acc:MGI:109591]</t>
  </si>
  <si>
    <t>Ttk</t>
  </si>
  <si>
    <t>Ttk protein kinase [Source:MGI Symbol;Acc:MGI:1194921]</t>
  </si>
  <si>
    <t>Polk</t>
  </si>
  <si>
    <t>polymerase (DNA directed), kappa [Source:MGI Symbol;Acc:MGI:1349767]</t>
  </si>
  <si>
    <t>Fam50a</t>
  </si>
  <si>
    <t>family with sequence similarity 50, member A [Source:MGI Symbol;Acc:MGI:1351626]</t>
  </si>
  <si>
    <t>Bola1</t>
  </si>
  <si>
    <t>bolA-like 1 (E. coli) [Source:MGI Symbol;Acc:MGI:1916418]</t>
  </si>
  <si>
    <t>Metrnl</t>
  </si>
  <si>
    <t>meteorin, glial cell differentiation regulator-like [Source:MGI Symbol;Acc:MGI:2384806]</t>
  </si>
  <si>
    <t>Hspd1</t>
  </si>
  <si>
    <t>heat shock protein 1 (chaperonin) [Source:MGI Symbol;Acc:MGI:96242]</t>
  </si>
  <si>
    <t>Spata7</t>
  </si>
  <si>
    <t>spermatogenesis associated 7 [Source:MGI Symbol;Acc:MGI:2144877]</t>
  </si>
  <si>
    <t>Rpap1</t>
  </si>
  <si>
    <t>RNA polymerase II associated protein 1 [Source:MGI Symbol;Acc:MGI:1916175]</t>
  </si>
  <si>
    <t>Slc39a3</t>
  </si>
  <si>
    <t>solute carrier family 39 (zinc transporter), member 3 [Source:MGI Symbol;Acc:MGI:2147269]</t>
  </si>
  <si>
    <t>Map4k5</t>
  </si>
  <si>
    <t>mitogen-activated protein kinase kinase kinase kinase 5 [Source:MGI Symbol;Acc:MGI:1925503]</t>
  </si>
  <si>
    <t>Ncapg</t>
  </si>
  <si>
    <t>non-SMC condensin I complex, subunit G [Source:MGI Symbol;Acc:MGI:1930197]</t>
  </si>
  <si>
    <t>Bcs1l</t>
  </si>
  <si>
    <t>BCS1-like (yeast) [Source:MGI Symbol;Acc:MGI:1914071]</t>
  </si>
  <si>
    <t>Arf1</t>
  </si>
  <si>
    <t>ADP-ribosylation factor 1 [Source:MGI Symbol;Acc:MGI:99431]</t>
  </si>
  <si>
    <t>Ipo5</t>
  </si>
  <si>
    <t>importin 5 [Source:MGI Symbol;Acc:MGI:1917822]</t>
  </si>
  <si>
    <t>Gtf3c1</t>
  </si>
  <si>
    <t>general transcription factor III C 1 [Source:MGI Symbol;Acc:MGI:107887]</t>
  </si>
  <si>
    <t>Snn</t>
  </si>
  <si>
    <t>stannin [Source:MGI Symbol;Acc:MGI:1276549]</t>
  </si>
  <si>
    <t>Srf</t>
  </si>
  <si>
    <t>serum response factor [Source:MGI Symbol;Acc:MGI:106658]</t>
  </si>
  <si>
    <t>AI597479</t>
  </si>
  <si>
    <t>expressed sequence AI597479 [Source:MGI Symbol;Acc:MGI:2138299]</t>
  </si>
  <si>
    <t>Trappc8</t>
  </si>
  <si>
    <t>trafficking protein particle complex 8 [Source:MGI Symbol;Acc:MGI:2443008]</t>
  </si>
  <si>
    <t>Mettl16</t>
  </si>
  <si>
    <t>methyltransferase like 16 [Source:MGI Symbol;Acc:MGI:1914743]</t>
  </si>
  <si>
    <t>Pip4k2a</t>
  </si>
  <si>
    <t>phosphatidylinositol-5-phosphate 4-kinase, type II, alpha [Source:MGI Symbol;Acc:MGI:1298206]</t>
  </si>
  <si>
    <t>Smim12</t>
  </si>
  <si>
    <t>small integral membrane protein 12 [Source:MGI Symbol;Acc:MGI:1933141]</t>
  </si>
  <si>
    <t>Ncbp3</t>
  </si>
  <si>
    <t>nuclear cap binding subunit 3 [Source:MGI Symbol;Acc:MGI:1914124]</t>
  </si>
  <si>
    <t>Abraxas1</t>
  </si>
  <si>
    <t>BRCA1 A complex subunit [Source:MGI Symbol;Acc:MGI:1917931]</t>
  </si>
  <si>
    <t>Nars</t>
  </si>
  <si>
    <t>asparaginyl-tRNA synthetase [Source:MGI Symbol;Acc:MGI:1917473]</t>
  </si>
  <si>
    <t>Gm15326</t>
  </si>
  <si>
    <t>predicted gene 15326 [Source:MGI Symbol;Acc:MGI:3705205]</t>
  </si>
  <si>
    <t>Erc1</t>
  </si>
  <si>
    <t>ELKS/RAB6-interacting/CAST family member 1 [Source:MGI Symbol;Acc:MGI:2151013]</t>
  </si>
  <si>
    <t>Pole4</t>
  </si>
  <si>
    <t>polymerase (DNA-directed), epsilon 4 (p12 subunit) [Source:MGI Symbol;Acc:MGI:1914229]</t>
  </si>
  <si>
    <t>Eif3m</t>
  </si>
  <si>
    <t>eukaryotic translation initiation factor 3, subunit M [Source:MGI Symbol;Acc:MGI:1351744]</t>
  </si>
  <si>
    <t>Myom3</t>
  </si>
  <si>
    <t>myomesin family, member 3 [Source:MGI Symbol;Acc:MGI:2685280]</t>
  </si>
  <si>
    <t>Agbl5</t>
  </si>
  <si>
    <t>ATP/GTP binding protein-like 5 [Source:MGI Symbol;Acc:MGI:2441745]</t>
  </si>
  <si>
    <t>Uspl1</t>
  </si>
  <si>
    <t>ubiquitin specific peptidase like 1 [Source:MGI Symbol;Acc:MGI:2442342]</t>
  </si>
  <si>
    <t>Gm43737</t>
  </si>
  <si>
    <t>predicted gene 43737 [Source:MGI Symbol;Acc:MGI:5663874]</t>
  </si>
  <si>
    <t>Rgs3</t>
  </si>
  <si>
    <t>regulator of G-protein signaling 3 [Source:MGI Symbol;Acc:MGI:1354734]</t>
  </si>
  <si>
    <t>Mzt2</t>
  </si>
  <si>
    <t>mitotic spindle organizing protein 2 [Source:MGI Symbol;Acc:MGI:1922845]</t>
  </si>
  <si>
    <t>Zfp322a</t>
  </si>
  <si>
    <t>zinc finger protein 322A [Source:MGI Symbol;Acc:MGI:2442566]</t>
  </si>
  <si>
    <t>Brpf1</t>
  </si>
  <si>
    <t>bromodomain and PHD finger containing, 1 [Source:MGI Symbol;Acc:MGI:1926033]</t>
  </si>
  <si>
    <t>Mrm2</t>
  </si>
  <si>
    <t>mitochondrial rRNA methyltransferase 2 [Source:MGI Symbol;Acc:MGI:1915267]</t>
  </si>
  <si>
    <t>Timeless</t>
  </si>
  <si>
    <t>timeless circadian clock 1 [Source:MGI Symbol;Acc:MGI:1321393]</t>
  </si>
  <si>
    <t>Hacl1</t>
  </si>
  <si>
    <t>2-hydroxyacyl-CoA lyase 1 [Source:MGI Symbol;Acc:MGI:1929657]</t>
  </si>
  <si>
    <t>Trim33</t>
  </si>
  <si>
    <t>tripartite motif-containing 33 [Source:MGI Symbol;Acc:MGI:2137357]</t>
  </si>
  <si>
    <t>Afg3l1</t>
  </si>
  <si>
    <t>AFG3-like AAA ATPase 1 [Source:MGI Symbol;Acc:MGI:1928277]</t>
  </si>
  <si>
    <t>Acap3</t>
  </si>
  <si>
    <t>ArfGAP with coiled-coil, ankyrin repeat and PH domains 3 [Source:MGI Symbol;Acc:MGI:2153589]</t>
  </si>
  <si>
    <t>Tspyl1</t>
  </si>
  <si>
    <t>testis-specific protein, Y-encoded-like 1 [Source:MGI Symbol;Acc:MGI:1298395]</t>
  </si>
  <si>
    <t>Necap2</t>
  </si>
  <si>
    <t>NECAP endocytosis associated 2 [Source:MGI Symbol;Acc:MGI:1913397]</t>
  </si>
  <si>
    <t>Dpy30</t>
  </si>
  <si>
    <t>dpy-30, histone methyltransferase complex regulatory subunit [Source:MGI Symbol;Acc:MGI:1913560]</t>
  </si>
  <si>
    <t>Mindy1</t>
  </si>
  <si>
    <t>MINDY lysine 48 deubiquitinase 1 [Source:MGI Symbol;Acc:MGI:1922257]</t>
  </si>
  <si>
    <t>Tmem204</t>
  </si>
  <si>
    <t>transmembrane protein 204 [Source:MGI Symbol;Acc:MGI:3039635]</t>
  </si>
  <si>
    <t>Pld1</t>
  </si>
  <si>
    <t>phospholipase D1 [Source:MGI Symbol;Acc:MGI:109585]</t>
  </si>
  <si>
    <t>Zfp763</t>
  </si>
  <si>
    <t>zinc finger protein 763 [Source:MGI Symbol;Acc:MGI:1920701]</t>
  </si>
  <si>
    <t>Trmt13</t>
  </si>
  <si>
    <t>tRNA methyltransferase 13 [Source:MGI Symbol;Acc:MGI:1925219]</t>
  </si>
  <si>
    <t>Gemin8</t>
  </si>
  <si>
    <t>gem nuclear organelle associated protein 8 [Source:MGI Symbol;Acc:MGI:2384300]</t>
  </si>
  <si>
    <t>Epm2aip1</t>
  </si>
  <si>
    <t>EPM2A (laforin) interacting protein 1 [Source:MGI Symbol;Acc:MGI:1925031]</t>
  </si>
  <si>
    <t>Fbf1</t>
  </si>
  <si>
    <t>Fas (TNFRSF6) binding factor 1 [Source:MGI Symbol;Acc:MGI:1922033]</t>
  </si>
  <si>
    <t>Fam133b</t>
  </si>
  <si>
    <t>family with sequence similarity 133, member B [Source:MGI Symbol;Acc:MGI:1915402]</t>
  </si>
  <si>
    <t>Hrh1</t>
  </si>
  <si>
    <t>histamine receptor H1 [Source:MGI Symbol;Acc:MGI:107619]</t>
  </si>
  <si>
    <t>Dsn1</t>
  </si>
  <si>
    <t>DSN1 homolog, MIS12 kinetochore complex component [Source:MGI Symbol;Acc:MGI:1914184]</t>
  </si>
  <si>
    <t>Fbxl8</t>
  </si>
  <si>
    <t>F-box and leucine-rich repeat protein 8 [Source:MGI Symbol;Acc:MGI:1354697]</t>
  </si>
  <si>
    <t>Cltc</t>
  </si>
  <si>
    <t>clathrin, heavy polypeptide (Hc) [Source:MGI Symbol;Acc:MGI:2388633]</t>
  </si>
  <si>
    <t>9830132P13Rik</t>
  </si>
  <si>
    <t>RIKEN cDNA 9830132P13 gene [Source:MGI Symbol;Acc:MGI:5439414]</t>
  </si>
  <si>
    <t>Pou4f1</t>
  </si>
  <si>
    <t>POU domain, class 4, transcription factor 1 [Source:MGI Symbol;Acc:MGI:102525]</t>
  </si>
  <si>
    <t>Zcchc24</t>
  </si>
  <si>
    <t>zinc finger, CCHC domain containing 24 [Source:MGI Symbol;Acc:MGI:1919168]</t>
  </si>
  <si>
    <t>Mmp12</t>
  </si>
  <si>
    <t>matrix metallopeptidase 12 [Source:MGI Symbol;Acc:MGI:97005]</t>
  </si>
  <si>
    <t>Adam8</t>
  </si>
  <si>
    <t>a disintegrin and metallopeptidase domain 8 [Source:MGI Symbol;Acc:MGI:107825]</t>
  </si>
  <si>
    <t>Rras</t>
  </si>
  <si>
    <t>related RAS viral (r-ras) oncogene [Source:MGI Symbol;Acc:MGI:98179]</t>
  </si>
  <si>
    <t>Mapkapk3</t>
  </si>
  <si>
    <t>mitogen-activated protein kinase-activated protein kinase 3 [Source:MGI Symbol;Acc:MGI:2143163]</t>
  </si>
  <si>
    <t>Oard1</t>
  </si>
  <si>
    <t>O-acyl-ADP-ribose deacylase 1 [Source:MGI Symbol;Acc:MGI:2146818]</t>
  </si>
  <si>
    <t>Uxs1</t>
  </si>
  <si>
    <t>UDP-glucuronate decarboxylase 1 [Source:MGI Symbol;Acc:MGI:1915133]</t>
  </si>
  <si>
    <t>Edem3</t>
  </si>
  <si>
    <t>ER degradation enhancer, mannosidase alpha-like 3 [Source:MGI Symbol;Acc:MGI:1914217]</t>
  </si>
  <si>
    <t>Zbtb2</t>
  </si>
  <si>
    <t>zinc finger and BTB domain containing 2 [Source:MGI Symbol;Acc:MGI:2685949]</t>
  </si>
  <si>
    <t>Usp32</t>
  </si>
  <si>
    <t>ubiquitin specific peptidase 32 [Source:MGI Symbol;Acc:MGI:2144475]</t>
  </si>
  <si>
    <t>Ube2l3</t>
  </si>
  <si>
    <t>ubiquitin-conjugating enzyme E2L 3 [Source:MGI Symbol;Acc:MGI:109240]</t>
  </si>
  <si>
    <t>Gm23419</t>
  </si>
  <si>
    <t>predicted gene, 23419 [Source:MGI Symbol;Acc:MGI:5453196]</t>
  </si>
  <si>
    <t>Pigb</t>
  </si>
  <si>
    <t>phosphatidylinositol glycan anchor biosynthesis, class B [Source:MGI Symbol;Acc:MGI:1891825]</t>
  </si>
  <si>
    <t>Pcyt1a</t>
  </si>
  <si>
    <t>phosphate cytidylyltransferase 1, choline, alpha isoform [Source:MGI Symbol;Acc:MGI:88557]</t>
  </si>
  <si>
    <t>Nudt7</t>
  </si>
  <si>
    <t>nudix (nucleoside diphosphate linked moiety X)-type motif 7 [Source:MGI Symbol;Acc:MGI:1914778]</t>
  </si>
  <si>
    <t>Guf1</t>
  </si>
  <si>
    <t>GUF1 homolog, GTPase [Source:MGI Symbol;Acc:MGI:2140726]</t>
  </si>
  <si>
    <t>Tnfsf15</t>
  </si>
  <si>
    <t>tumor necrosis factor (ligand) superfamily, member 15 [Source:MGI Symbol;Acc:MGI:2180140]</t>
  </si>
  <si>
    <t>Armc2</t>
  </si>
  <si>
    <t>armadillo repeat containing 2 [Source:MGI Symbol;Acc:MGI:1916449]</t>
  </si>
  <si>
    <t>Tpgs1</t>
  </si>
  <si>
    <t>tubulin polyglutamylase complex subunit 1 [Source:MGI Symbol;Acc:MGI:106618]</t>
  </si>
  <si>
    <t>Uba2</t>
  </si>
  <si>
    <t>ubiquitin-like modifier activating enzyme 2 [Source:MGI Symbol;Acc:MGI:1858313]</t>
  </si>
  <si>
    <t>Eri1</t>
  </si>
  <si>
    <t>exoribonuclease 1 [Source:MGI Symbol;Acc:MGI:1914526]</t>
  </si>
  <si>
    <t>Gm46430</t>
  </si>
  <si>
    <t>predicted gene, 46430 [Source:MGI Symbol;Acc:MGI:5826067]</t>
  </si>
  <si>
    <t>Nans</t>
  </si>
  <si>
    <t>N-acetylneuraminic acid synthase (sialic acid synthase) [Source:MGI Symbol;Acc:MGI:2149820]</t>
  </si>
  <si>
    <t>Fbxo34</t>
  </si>
  <si>
    <t>F-box protein 34 [Source:MGI Symbol;Acc:MGI:1926188]</t>
  </si>
  <si>
    <t>Lman2l</t>
  </si>
  <si>
    <t>lectin, mannose-binding 2-like [Source:MGI Symbol;Acc:MGI:2443010]</t>
  </si>
  <si>
    <t>Lin54</t>
  </si>
  <si>
    <t>lin-54 homolog (C. elegans) [Source:MGI Symbol;Acc:MGI:2140902]</t>
  </si>
  <si>
    <t>Nup98</t>
  </si>
  <si>
    <t>nucleoporin 98 [Source:MGI Symbol;Acc:MGI:109404]</t>
  </si>
  <si>
    <t>Aldh9a1</t>
  </si>
  <si>
    <t>aldehyde dehydrogenase 9, subfamily A1 [Source:MGI Symbol;Acc:MGI:1861622]</t>
  </si>
  <si>
    <t>Rap1gap</t>
  </si>
  <si>
    <t>Rap1 GTPase-activating protein [Source:MGI Symbol;Acc:MGI:109338]</t>
  </si>
  <si>
    <t>Tgtp1</t>
  </si>
  <si>
    <t>T cell specific GTPase 1 [Source:MGI Symbol;Acc:MGI:98734]</t>
  </si>
  <si>
    <t>Exosc7</t>
  </si>
  <si>
    <t>exosome component 7 [Source:MGI Symbol;Acc:MGI:1913696]</t>
  </si>
  <si>
    <t>Ranbp2</t>
  </si>
  <si>
    <t>RAN binding protein 2 [Source:MGI Symbol;Acc:MGI:894323]</t>
  </si>
  <si>
    <t>Lrrc27</t>
  </si>
  <si>
    <t>leucine rich repeat containing 27 [Source:MGI Symbol;Acc:MGI:1923862]</t>
  </si>
  <si>
    <t>Gpn3</t>
  </si>
  <si>
    <t>GPN-loop GTPase 3 [Source:MGI Symbol;Acc:MGI:1289326]</t>
  </si>
  <si>
    <t>Rnf121</t>
  </si>
  <si>
    <t>ring finger protein 121 [Source:MGI Symbol;Acc:MGI:1922462]</t>
  </si>
  <si>
    <t>Rpl7</t>
  </si>
  <si>
    <t>ribosomal protein L7 [Source:MGI Symbol;Acc:MGI:98073]</t>
  </si>
  <si>
    <t>Tbl1x</t>
  </si>
  <si>
    <t>transducin (beta)-like 1 X-linked [Source:MGI Symbol;Acc:MGI:1336172]</t>
  </si>
  <si>
    <t>Rhoa</t>
  </si>
  <si>
    <t>ras homolog family member A [Source:MGI Symbol;Acc:MGI:1096342]</t>
  </si>
  <si>
    <t>Prkra</t>
  </si>
  <si>
    <t>protein kinase, interferon inducible double stranded RNA dependent activator [Source:MGI Symbol;Acc:MGI:1344375]</t>
  </si>
  <si>
    <t>Nf1</t>
  </si>
  <si>
    <t>neurofibromin 1 [Source:MGI Symbol;Acc:MGI:97306]</t>
  </si>
  <si>
    <t>Taf9</t>
  </si>
  <si>
    <t>TATA-box binding protein associated factor 9 [Source:MGI Symbol;Acc:MGI:1888697]</t>
  </si>
  <si>
    <t>Tmem238</t>
  </si>
  <si>
    <t>transmembrane protein 238 [Source:MGI Symbol;Acc:MGI:1922935]</t>
  </si>
  <si>
    <t>Dicer1</t>
  </si>
  <si>
    <t>dicer 1, ribonuclease type III [Source:MGI Symbol;Acc:MGI:2177178]</t>
  </si>
  <si>
    <t>Marchf7</t>
  </si>
  <si>
    <t>membrane associated ring-CH-type finger 7 [Source:MGI Symbol;Acc:MGI:1931053]</t>
  </si>
  <si>
    <t>Rab11fip3</t>
  </si>
  <si>
    <t>RAB11 family interacting protein 3 (class II) [Source:MGI Symbol;Acc:MGI:2444431]</t>
  </si>
  <si>
    <t>Gm20517</t>
  </si>
  <si>
    <t>predicted gene 20517 [Source:MGI Symbol;Acc:MGI:5141982]</t>
  </si>
  <si>
    <t>Surf2</t>
  </si>
  <si>
    <t>surfeit gene 2 [Source:MGI Symbol;Acc:MGI:98444]</t>
  </si>
  <si>
    <t>Fads6</t>
  </si>
  <si>
    <t>fatty acid desaturase domain family, member 6 [Source:MGI Symbol;Acc:MGI:3039592]</t>
  </si>
  <si>
    <t>Atn1</t>
  </si>
  <si>
    <t>atrophin 1 [Source:MGI Symbol;Acc:MGI:104725]</t>
  </si>
  <si>
    <t>Rbm25</t>
  </si>
  <si>
    <t>RNA binding motif protein 25 [Source:MGI Symbol;Acc:MGI:1914289]</t>
  </si>
  <si>
    <t>A530017D24Rik</t>
  </si>
  <si>
    <t>RIKEN cDNA A530017D24 gene [Source:MGI Symbol;Acc:MGI:2144320]</t>
  </si>
  <si>
    <t>Trrap</t>
  </si>
  <si>
    <t>transformation/transcription domain-associated protein [Source:MGI Symbol;Acc:MGI:2153272]</t>
  </si>
  <si>
    <t>Phf13</t>
  </si>
  <si>
    <t>PHD finger protein 13 [Source:MGI Symbol;Acc:MGI:2446217]</t>
  </si>
  <si>
    <t>Ttc8</t>
  </si>
  <si>
    <t>tetratricopeptide repeat domain 8 [Source:MGI Symbol;Acc:MGI:1923510]</t>
  </si>
  <si>
    <t>Gpr19</t>
  </si>
  <si>
    <t>G protein-coupled receptor 19 [Source:MGI Symbol;Acc:MGI:892973]</t>
  </si>
  <si>
    <t>Lamtor3</t>
  </si>
  <si>
    <t>late endosomal/lysosomal adaptor, MAPK and MTOR activator 3 [Source:MGI Symbol;Acc:MGI:1929467]</t>
  </si>
  <si>
    <t>Rnmt</t>
  </si>
  <si>
    <t>RNA (guanine-7-) methyltransferase [Source:MGI Symbol;Acc:MGI:1915147]</t>
  </si>
  <si>
    <t>Slc25a16</t>
  </si>
  <si>
    <t>solute carrier family 25 (mitochondrial carrier, Graves disease autoantigen), member 16 [Source:MGI Symbol;Acc:MGI:1920382]</t>
  </si>
  <si>
    <t>Ostm1</t>
  </si>
  <si>
    <t>osteopetrosis associated transmembrane protein 1 [Source:MGI Symbol;Acc:MGI:2655574]</t>
  </si>
  <si>
    <t>2010001K21Rik</t>
  </si>
  <si>
    <t>RIKEN cDNA 2010001K21 gene [Source:MGI Symbol;Acc:MGI:1917079]</t>
  </si>
  <si>
    <t>Acp5</t>
  </si>
  <si>
    <t>acid phosphatase 5, tartrate resistant [Source:MGI Symbol;Acc:MGI:87883]</t>
  </si>
  <si>
    <t>Snx15</t>
  </si>
  <si>
    <t>sorting nexin 15 [Source:MGI Symbol;Acc:MGI:1916274]</t>
  </si>
  <si>
    <t>Fbxo4</t>
  </si>
  <si>
    <t>F-box protein 4 [Source:MGI Symbol;Acc:MGI:2146220]</t>
  </si>
  <si>
    <t>Rpia</t>
  </si>
  <si>
    <t>ribose 5-phosphate isomerase A [Source:MGI Symbol;Acc:MGI:103254]</t>
  </si>
  <si>
    <t>Zfp956</t>
  </si>
  <si>
    <t>zinc finger protein 956 [Source:MGI Symbol;Acc:MGI:2141515]</t>
  </si>
  <si>
    <t>Slc39a4</t>
  </si>
  <si>
    <t>solute carrier family 39 (zinc transporter), member 4 [Source:MGI Symbol;Acc:MGI:1919277]</t>
  </si>
  <si>
    <t>Mex3b</t>
  </si>
  <si>
    <t>mex3 RNA binding family member B [Source:MGI Symbol;Acc:MGI:1918252]</t>
  </si>
  <si>
    <t>2900089D17Rik</t>
  </si>
  <si>
    <t>RIKEN cDNA 2900089D17 gene [Source:MGI Symbol;Acc:MGI:1914527]</t>
  </si>
  <si>
    <t>Adcy9</t>
  </si>
  <si>
    <t>adenylate cyclase 9 [Source:MGI Symbol;Acc:MGI:108450]</t>
  </si>
  <si>
    <t>Dnajb1</t>
  </si>
  <si>
    <t>DnaJ heat shock protein family (Hsp40) member B1 [Source:MGI Symbol;Acc:MGI:1931874]</t>
  </si>
  <si>
    <t>Cradd</t>
  </si>
  <si>
    <t>CASP2 and RIPK1 domain containing adaptor with death domain [Source:MGI Symbol;Acc:MGI:1336168]</t>
  </si>
  <si>
    <t>Zhx1</t>
  </si>
  <si>
    <t>zinc fingers and homeoboxes 1 [Source:MGI Symbol;Acc:MGI:109271]</t>
  </si>
  <si>
    <t>Clec10a</t>
  </si>
  <si>
    <t>C-type lectin domain family 10, member A [Source:MGI Symbol;Acc:MGI:96975]</t>
  </si>
  <si>
    <t>Dgcr2</t>
  </si>
  <si>
    <t>DiGeorge syndrome critical region gene 2 [Source:MGI Symbol;Acc:MGI:892866]</t>
  </si>
  <si>
    <t>Rsc1a1</t>
  </si>
  <si>
    <t>regulatory solute carrier protein, family 1, member 1 [Source:MGI Symbol;Acc:MGI:3526447]</t>
  </si>
  <si>
    <t>Trappc6b</t>
  </si>
  <si>
    <t>trafficking protein particle complex 6B [Source:MGI Symbol;Acc:MGI:1925482]</t>
  </si>
  <si>
    <t>Pcgf2</t>
  </si>
  <si>
    <t>polycomb group ring finger 2 [Source:MGI Symbol;Acc:MGI:99161]</t>
  </si>
  <si>
    <t>Itpka</t>
  </si>
  <si>
    <t>inositol 1,4,5-trisphosphate 3-kinase A [Source:MGI Symbol;Acc:MGI:1333822]</t>
  </si>
  <si>
    <t>Igsf11</t>
  </si>
  <si>
    <t>immunoglobulin superfamily, member 11 [Source:MGI Symbol;Acc:MGI:2388477]</t>
  </si>
  <si>
    <t>Zfp382</t>
  </si>
  <si>
    <t>zinc finger protein 382 [Source:MGI Symbol;Acc:MGI:3588204]</t>
  </si>
  <si>
    <t>Ldlr</t>
  </si>
  <si>
    <t>low density lipoprotein receptor [Source:MGI Symbol;Acc:MGI:96765]</t>
  </si>
  <si>
    <t>Setdb1</t>
  </si>
  <si>
    <t>SET domain, bifurcated 1 [Source:MGI Symbol;Acc:MGI:1934229]</t>
  </si>
  <si>
    <t>Usp48</t>
  </si>
  <si>
    <t>ubiquitin specific peptidase 48 [Source:MGI Symbol;Acc:MGI:2158502]</t>
  </si>
  <si>
    <t>Cd300e</t>
  </si>
  <si>
    <t>CD300E molecule [Source:MGI Symbol;Acc:MGI:2387602]</t>
  </si>
  <si>
    <t>Il7r</t>
  </si>
  <si>
    <t>interleukin 7 receptor [Source:MGI Symbol;Acc:MGI:96562]</t>
  </si>
  <si>
    <t>Bod1l</t>
  </si>
  <si>
    <t>biorientation of chromosomes in cell division 1-like [Source:MGI Symbol;Acc:MGI:2444804]</t>
  </si>
  <si>
    <t>Chmp5</t>
  </si>
  <si>
    <t>charged multivesicular body protein 5 [Source:MGI Symbol;Acc:MGI:1924209]</t>
  </si>
  <si>
    <t>Gm28037</t>
  </si>
  <si>
    <t>predicted gene, 28037 [Source:MGI Symbol;Acc:MGI:5547773]</t>
  </si>
  <si>
    <t>Abcb4</t>
  </si>
  <si>
    <t>ATP-binding cassette, sub-family B (MDR/TAP), member 4 [Source:MGI Symbol;Acc:MGI:97569]</t>
  </si>
  <si>
    <t>Tmod3</t>
  </si>
  <si>
    <t>tropomodulin 3 [Source:MGI Symbol;Acc:MGI:1355315]</t>
  </si>
  <si>
    <t>Kcnab2</t>
  </si>
  <si>
    <t>potassium voltage-gated channel, shaker-related subfamily, beta member 2 [Source:MGI Symbol;Acc:MGI:109239]</t>
  </si>
  <si>
    <t>H2-T10</t>
  </si>
  <si>
    <t>histocompatibility 2, T region locus 10 [Source:MGI Symbol;Acc:MGI:95942]</t>
  </si>
  <si>
    <t>Slc36a1os</t>
  </si>
  <si>
    <t>solute carrier family 36 (proton/amino acid symporter), member 1, opposite strand [Source:MGI Symbol;Acc:MGI:1921295]</t>
  </si>
  <si>
    <t>Slc7a2</t>
  </si>
  <si>
    <t>solute carrier family 7 (cationic amino acid transporter, y+ system), member 2 [Source:MGI Symbol;Acc:MGI:99828]</t>
  </si>
  <si>
    <t>2810006K23Rik</t>
  </si>
  <si>
    <t>RIKEN cDNA 2810006K23 gene [Source:MGI Symbol;Acc:MGI:1919900]</t>
  </si>
  <si>
    <t>Prmt2</t>
  </si>
  <si>
    <t>protein arginine N-methyltransferase 2 [Source:MGI Symbol;Acc:MGI:1316652]</t>
  </si>
  <si>
    <t>Gm40723</t>
  </si>
  <si>
    <t>predicted gene, 40723 [Source:MGI Symbol;Acc:MGI:5623608]</t>
  </si>
  <si>
    <t>Nxpe4</t>
  </si>
  <si>
    <t>neurexophilin and PC-esterase domain family, member 4 [Source:MGI Symbol;Acc:MGI:1924792]</t>
  </si>
  <si>
    <t>Tchp</t>
  </si>
  <si>
    <t>trichoplein, keratin filament binding [Source:MGI Symbol;Acc:MGI:1925082]</t>
  </si>
  <si>
    <t>Rbpj-ps3</t>
  </si>
  <si>
    <t>recombination signal binding protein for immunoglobulin kappa J region, pseudogene 3 [Source:MGI Symbol;Acc:MGI:96525]</t>
  </si>
  <si>
    <t>Cdkn2aipnl</t>
  </si>
  <si>
    <t>CDKN2A interacting protein N-terminal like [Source:MGI Symbol;Acc:MGI:1261797]</t>
  </si>
  <si>
    <t>Fahd1</t>
  </si>
  <si>
    <t>fumarylacetoacetate hydrolase domain containing 1 [Source:MGI Symbol;Acc:MGI:1915886]</t>
  </si>
  <si>
    <t>Tmem219</t>
  </si>
  <si>
    <t>transmembrane protein 219 [Source:MGI Symbol;Acc:MGI:1915992]</t>
  </si>
  <si>
    <t>Rassf8</t>
  </si>
  <si>
    <t>Ras association (RalGDS/AF-6) domain family (N-terminal) member 8 [Source:MGI Symbol;Acc:MGI:1918573]</t>
  </si>
  <si>
    <t>Ccdc51</t>
  </si>
  <si>
    <t>coiled-coil domain containing 51 [Source:MGI Symbol;Acc:MGI:1913908]</t>
  </si>
  <si>
    <t>Map3k3</t>
  </si>
  <si>
    <t>mitogen-activated protein kinase kinase kinase 3 [Source:MGI Symbol;Acc:MGI:1346874]</t>
  </si>
  <si>
    <t>Tmem248</t>
  </si>
  <si>
    <t>transmembrane protein 248 [Source:MGI Symbol;Acc:MGI:1918917]</t>
  </si>
  <si>
    <t>Cep152</t>
  </si>
  <si>
    <t>centrosomal protein 152 [Source:MGI Symbol;Acc:MGI:2139083]</t>
  </si>
  <si>
    <t>Nrg4</t>
  </si>
  <si>
    <t>neuregulin 4 [Source:MGI Symbol;Acc:MGI:1933833]</t>
  </si>
  <si>
    <t>Rab5a</t>
  </si>
  <si>
    <t>RAB5A, member RAS oncogene family [Source:MGI Symbol;Acc:MGI:105926]</t>
  </si>
  <si>
    <t>Gadd45g</t>
  </si>
  <si>
    <t>growth arrest and DNA-damage-inducible 45 gamma [Source:MGI Symbol;Acc:MGI:1346325]</t>
  </si>
  <si>
    <t>Ttc21a</t>
  </si>
  <si>
    <t>tetratricopeptide repeat domain 21A [Source:MGI Symbol;Acc:MGI:1921302]</t>
  </si>
  <si>
    <t>Thnsl1</t>
  </si>
  <si>
    <t>threonine synthase-like 1 (bacterial) [Source:MGI Symbol;Acc:MGI:2139347]</t>
  </si>
  <si>
    <t>Upf3b</t>
  </si>
  <si>
    <t>UPF3 regulator of nonsense transcripts homolog B (yeast) [Source:MGI Symbol;Acc:MGI:1915384]</t>
  </si>
  <si>
    <t>Tor1b</t>
  </si>
  <si>
    <t>torsin family 1, member B [Source:MGI Symbol;Acc:MGI:1353605]</t>
  </si>
  <si>
    <t>Armcx3</t>
  </si>
  <si>
    <t>armadillo repeat containing, X-linked 3 [Source:MGI Symbol;Acc:MGI:1918953]</t>
  </si>
  <si>
    <t>Gm49337</t>
  </si>
  <si>
    <t>predicted gene, 49337 [Source:MGI Symbol;Acc:MGI:6121526]</t>
  </si>
  <si>
    <t>Bet1l</t>
  </si>
  <si>
    <t>Bet1 golgi vesicular membrane trafficking protein like [Source:MGI Symbol;Acc:MGI:1913128]</t>
  </si>
  <si>
    <t>Ly96</t>
  </si>
  <si>
    <t>lymphocyte antigen 96 [Source:MGI Symbol;Acc:MGI:1341909]</t>
  </si>
  <si>
    <t>Dse</t>
  </si>
  <si>
    <t>dermatan sulfate epimerase [Source:MGI Symbol;Acc:MGI:2443455]</t>
  </si>
  <si>
    <t>Mex3a</t>
  </si>
  <si>
    <t>mex3 RNA binding family member A [Source:MGI Symbol;Acc:MGI:1919890]</t>
  </si>
  <si>
    <t>Polr1d</t>
  </si>
  <si>
    <t>polymerase (RNA) I polypeptide D [Source:MGI Symbol;Acc:MGI:108403]</t>
  </si>
  <si>
    <t>Zfp800</t>
  </si>
  <si>
    <t>zinc finger protein 800 [Source:MGI Symbol;Acc:MGI:1889334]</t>
  </si>
  <si>
    <t>Ubr2</t>
  </si>
  <si>
    <t>ubiquitin protein ligase E3 component n-recognin 2 [Source:MGI Symbol;Acc:MGI:1861099]</t>
  </si>
  <si>
    <t>Sars</t>
  </si>
  <si>
    <t>seryl-aminoacyl-tRNA synthetase [Source:MGI Symbol;Acc:MGI:102809]</t>
  </si>
  <si>
    <t>Hdhd5</t>
  </si>
  <si>
    <t>haloacid dehalogenase like hydrolase domain containing 5 [Source:MGI Symbol;Acc:MGI:2136976]</t>
  </si>
  <si>
    <t>Rras2</t>
  </si>
  <si>
    <t>related RAS viral (r-ras) oncogene 2 [Source:MGI Symbol;Acc:MGI:1914172]</t>
  </si>
  <si>
    <t>Zfp808</t>
  </si>
  <si>
    <t>zinc finger protein 808 [Source:MGI Symbol;Acc:MGI:3704127]</t>
  </si>
  <si>
    <t>Ssr3</t>
  </si>
  <si>
    <t>signal sequence receptor, gamma [Source:MGI Symbol;Acc:MGI:1914687]</t>
  </si>
  <si>
    <t>Smyd1</t>
  </si>
  <si>
    <t>SET and MYND domain containing 1 [Source:MGI Symbol;Acc:MGI:104790]</t>
  </si>
  <si>
    <t>Ap1g1</t>
  </si>
  <si>
    <t>adaptor protein complex AP-1, gamma 1 subunit [Source:MGI Symbol;Acc:MGI:101919]</t>
  </si>
  <si>
    <t>Mtmr4</t>
  </si>
  <si>
    <t>myotubularin related protein 4 [Source:MGI Symbol;Acc:MGI:2180699]</t>
  </si>
  <si>
    <t>Suz12</t>
  </si>
  <si>
    <t>SUZ12 polycomb repressive complex 2 subunit [Source:MGI Symbol;Acc:MGI:1261758]</t>
  </si>
  <si>
    <t>Nptn</t>
  </si>
  <si>
    <t>neuroplastin [Source:MGI Symbol;Acc:MGI:108077]</t>
  </si>
  <si>
    <t>Dclre1a</t>
  </si>
  <si>
    <t>DNA cross-link repair 1A [Source:MGI Symbol;Acc:MGI:1930042]</t>
  </si>
  <si>
    <t>Taf1a</t>
  </si>
  <si>
    <t>TATA-box binding protein associated factor, RNA polymerase I, A [Source:MGI Symbol;Acc:MGI:109578]</t>
  </si>
  <si>
    <t>Limd2</t>
  </si>
  <si>
    <t>LIM domain containing 2 [Source:MGI Symbol;Acc:MGI:1915053]</t>
  </si>
  <si>
    <t>AL731706.1</t>
  </si>
  <si>
    <t>novel protein</t>
  </si>
  <si>
    <t>Oser1</t>
  </si>
  <si>
    <t>oxidative stress responsive serine rich 1 [Source:MGI Symbol;Acc:MGI:1913930]</t>
  </si>
  <si>
    <t>Lmbr1</t>
  </si>
  <si>
    <t>limb region 1 [Source:MGI Symbol;Acc:MGI:1861746]</t>
  </si>
  <si>
    <t>Rabepk</t>
  </si>
  <si>
    <t>Rab9 effector protein with kelch motifs [Source:MGI Symbol;Acc:MGI:2139530]</t>
  </si>
  <si>
    <t>Ndufv3</t>
  </si>
  <si>
    <t>NADH:ubiquinone oxidoreductase core subunit V3 [Source:MGI Symbol;Acc:MGI:1890894]</t>
  </si>
  <si>
    <t>Sltm</t>
  </si>
  <si>
    <t>SAFB-like, transcription modulator [Source:MGI Symbol;Acc:MGI:1913910]</t>
  </si>
  <si>
    <t>Errfi1</t>
  </si>
  <si>
    <t>ERBB receptor feedback inhibitor 1 [Source:MGI Symbol;Acc:MGI:1921405]</t>
  </si>
  <si>
    <t>Afap1</t>
  </si>
  <si>
    <t>actin filament associated protein 1 [Source:MGI Symbol;Acc:MGI:1917542]</t>
  </si>
  <si>
    <t>Ppp1r13b</t>
  </si>
  <si>
    <t>protein phosphatase 1, regulatory subunit 13B [Source:MGI Symbol;Acc:MGI:1336199]</t>
  </si>
  <si>
    <t>Hid1</t>
  </si>
  <si>
    <t>HID1 domain containing [Source:MGI Symbol;Acc:MGI:2445087]</t>
  </si>
  <si>
    <t>Tmed5</t>
  </si>
  <si>
    <t>transmembrane p24 trafficking protein 5 [Source:MGI Symbol;Acc:MGI:1921586]</t>
  </si>
  <si>
    <t>Cabin1</t>
  </si>
  <si>
    <t>calcineurin binding protein 1 [Source:MGI Symbol;Acc:MGI:1298375]</t>
  </si>
  <si>
    <t>Ufm1</t>
  </si>
  <si>
    <t>ubiquitin-fold modifier 1 [Source:MGI Symbol;Acc:MGI:1915140]</t>
  </si>
  <si>
    <t>Naa60</t>
  </si>
  <si>
    <t>N(alpha)-acetyltransferase 60, NatF catalytic subunit [Source:MGI Symbol;Acc:MGI:1922013]</t>
  </si>
  <si>
    <t>Wdr12</t>
  </si>
  <si>
    <t>WD repeat domain 12 [Source:MGI Symbol;Acc:MGI:1927241]</t>
  </si>
  <si>
    <t>Chm</t>
  </si>
  <si>
    <t>choroidermia (RAB escort protein 1) [Source:MGI Symbol;Acc:MGI:892979]</t>
  </si>
  <si>
    <t>Zc3h15</t>
  </si>
  <si>
    <t>zinc finger CCCH-type containing 15 [Source:MGI Symbol;Acc:MGI:1919747]</t>
  </si>
  <si>
    <t>Zc3h11a</t>
  </si>
  <si>
    <t>zinc finger CCCH type containing 11A [Source:MGI Symbol;Acc:MGI:1917829]</t>
  </si>
  <si>
    <t>Epb41l5</t>
  </si>
  <si>
    <t>erythrocyte membrane protein band 4.1 like 5 [Source:MGI Symbol;Acc:MGI:103006]</t>
  </si>
  <si>
    <t>Smtn</t>
  </si>
  <si>
    <t>smoothelin [Source:MGI Symbol;Acc:MGI:1354727]</t>
  </si>
  <si>
    <t>Lsm12</t>
  </si>
  <si>
    <t>LSM12 homolog [Source:MGI Symbol;Acc:MGI:1919592]</t>
  </si>
  <si>
    <t>Trabd</t>
  </si>
  <si>
    <t>TraB domain containing [Source:MGI Symbol;Acc:MGI:1915226]</t>
  </si>
  <si>
    <t>Dcps</t>
  </si>
  <si>
    <t>decapping enzyme, scavenger [Source:MGI Symbol;Acc:MGI:1916555]</t>
  </si>
  <si>
    <t>Gm11632</t>
  </si>
  <si>
    <t>predicted gene 11632 [Source:MGI Symbol;Acc:MGI:3705198]</t>
  </si>
  <si>
    <t>Ankrd66</t>
  </si>
  <si>
    <t>ankyrin repeat domain 66 [Source:MGI Symbol;Acc:MGI:1925106]</t>
  </si>
  <si>
    <t>Tbck</t>
  </si>
  <si>
    <t>TBC1 domain containing kinase [Source:MGI Symbol;Acc:MGI:2445052]</t>
  </si>
  <si>
    <t>Zfp324</t>
  </si>
  <si>
    <t>zinc finger protein 324 [Source:MGI Symbol;Acc:MGI:2444641]</t>
  </si>
  <si>
    <t>Coro1b</t>
  </si>
  <si>
    <t>coronin, actin binding protein 1B [Source:MGI Symbol;Acc:MGI:1345963]</t>
  </si>
  <si>
    <t>Ppp3cc</t>
  </si>
  <si>
    <t>protein phosphatase 3, catalytic subunit, gamma isoform [Source:MGI Symbol;Acc:MGI:107162]</t>
  </si>
  <si>
    <t>Dtwd1</t>
  </si>
  <si>
    <t>DTW domain containing 1 [Source:MGI Symbol;Acc:MGI:1916435]</t>
  </si>
  <si>
    <t>Knstrn</t>
  </si>
  <si>
    <t>kinetochore-localized astrin/SPAG5 binding [Source:MGI Symbol;Acc:MGI:1289298]</t>
  </si>
  <si>
    <t>Ip6k2</t>
  </si>
  <si>
    <t>inositol hexaphosphate kinase 2 [Source:MGI Symbol;Acc:MGI:1923750]</t>
  </si>
  <si>
    <t>Fbxw5</t>
  </si>
  <si>
    <t>F-box and WD-40 domain protein 5 [Source:MGI Symbol;Acc:MGI:1354731]</t>
  </si>
  <si>
    <t>Dcaf1</t>
  </si>
  <si>
    <t>DDB1 and CUL4 associated factor 1 [Source:MGI Symbol;Acc:MGI:2445220]</t>
  </si>
  <si>
    <t>Pabpc4</t>
  </si>
  <si>
    <t>poly(A) binding protein, cytoplasmic 4 [Source:MGI Symbol;Acc:MGI:2385206]</t>
  </si>
  <si>
    <t>Heatr9</t>
  </si>
  <si>
    <t>HEAT repeat containing 9 [Source:MGI Symbol;Acc:MGI:3650286]</t>
  </si>
  <si>
    <t>Plppr3</t>
  </si>
  <si>
    <t>phospholipid phosphatase related 3 [Source:MGI Symbol;Acc:MGI:2388640]</t>
  </si>
  <si>
    <t>Naa80</t>
  </si>
  <si>
    <t>N(alpha)-acetyltransferase 80, NatH catalytic subunit [Source:MGI Symbol;Acc:MGI:1888902]</t>
  </si>
  <si>
    <t>Cgas</t>
  </si>
  <si>
    <t>cyclic GMP-AMP synthase [Source:MGI Symbol;Acc:MGI:2442261]</t>
  </si>
  <si>
    <t>Scn11a</t>
  </si>
  <si>
    <t>sodium channel, voltage-gated, type XI, alpha [Source:MGI Symbol;Acc:MGI:1345149]</t>
  </si>
  <si>
    <t>Cebpz</t>
  </si>
  <si>
    <t>CCAAT/enhancer binding protein zeta [Source:MGI Symbol;Acc:MGI:109386]</t>
  </si>
  <si>
    <t>H2ax</t>
  </si>
  <si>
    <t>H2A.X variant histone [Source:MGI Symbol;Acc:MGI:102688]</t>
  </si>
  <si>
    <t>Ssna1</t>
  </si>
  <si>
    <t>SS nuclear autoantigen 1 [Source:MGI Symbol;Acc:MGI:1915725]</t>
  </si>
  <si>
    <t>Usp36</t>
  </si>
  <si>
    <t>ubiquitin specific peptidase 36 [Source:MGI Symbol;Acc:MGI:1919594]</t>
  </si>
  <si>
    <t>Rtf1</t>
  </si>
  <si>
    <t>RTF1, Paf1/RNA polymerase II complex component [Source:MGI Symbol;Acc:MGI:1309480]</t>
  </si>
  <si>
    <t>Uck1</t>
  </si>
  <si>
    <t>uridine-cytidine kinase 1 [Source:MGI Symbol;Acc:MGI:98904]</t>
  </si>
  <si>
    <t>Ap3d1</t>
  </si>
  <si>
    <t>adaptor-related protein complex 3, delta 1 subunit [Source:MGI Symbol;Acc:MGI:107734]</t>
  </si>
  <si>
    <t>C1galt1c1</t>
  </si>
  <si>
    <t>C1GALT1-specific chaperone 1 [Source:MGI Symbol;Acc:MGI:1913493]</t>
  </si>
  <si>
    <t>Etfdh</t>
  </si>
  <si>
    <t>electron transferring flavoprotein, dehydrogenase [Source:MGI Symbol;Acc:MGI:106100]</t>
  </si>
  <si>
    <t>Akap8l</t>
  </si>
  <si>
    <t>A kinase (PRKA) anchor protein 8-like [Source:MGI Symbol;Acc:MGI:1860606]</t>
  </si>
  <si>
    <t>Rnf8</t>
  </si>
  <si>
    <t>ring finger protein 8 [Source:MGI Symbol;Acc:MGI:1929069]</t>
  </si>
  <si>
    <t>Gm21860</t>
  </si>
  <si>
    <t>predicted gene, 21860 [Source:MGI Symbol;Acc:MGI:5434024]</t>
  </si>
  <si>
    <t>F2r</t>
  </si>
  <si>
    <t>coagulation factor II (thrombin) receptor [Source:MGI Symbol;Acc:MGI:101802]</t>
  </si>
  <si>
    <t>Tgoln1</t>
  </si>
  <si>
    <t>trans-golgi network protein [Source:MGI Symbol;Acc:MGI:105080]</t>
  </si>
  <si>
    <t>Nin</t>
  </si>
  <si>
    <t>ninein [Source:MGI Symbol;Acc:MGI:105108]</t>
  </si>
  <si>
    <t>Grb2</t>
  </si>
  <si>
    <t>growth factor receptor bound protein 2 [Source:MGI Symbol;Acc:MGI:95805]</t>
  </si>
  <si>
    <t>Irf5</t>
  </si>
  <si>
    <t>interferon regulatory factor 5 [Source:MGI Symbol;Acc:MGI:1350924]</t>
  </si>
  <si>
    <t>Pja1</t>
  </si>
  <si>
    <t>praja ring finger ubiquitin ligase 1 [Source:MGI Symbol;Acc:MGI:1101765]</t>
  </si>
  <si>
    <t>Erp44</t>
  </si>
  <si>
    <t>endoplasmic reticulum protein 44 [Source:MGI Symbol;Acc:MGI:1923549]</t>
  </si>
  <si>
    <t>AC168977.1</t>
  </si>
  <si>
    <t>sp110 nuclear body protein-like [Source:NCBI gene;Acc:102638047]</t>
  </si>
  <si>
    <t>Gm19412</t>
  </si>
  <si>
    <t>predicted gene, 19412 [Source:MGI Symbol;Acc:MGI:5011597]</t>
  </si>
  <si>
    <t>Arhgap25</t>
  </si>
  <si>
    <t>Rho GTPase activating protein 25 [Source:MGI Symbol;Acc:MGI:2443687]</t>
  </si>
  <si>
    <t>Vps18</t>
  </si>
  <si>
    <t>VPS18 CORVET/HOPS core subunit [Source:MGI Symbol;Acc:MGI:2443626]</t>
  </si>
  <si>
    <t>Usp19</t>
  </si>
  <si>
    <t>ubiquitin specific peptidase 19 [Source:MGI Symbol;Acc:MGI:1918722]</t>
  </si>
  <si>
    <t>Tnfrsf13b</t>
  </si>
  <si>
    <t>tumor necrosis factor receptor superfamily, member 13b [Source:MGI Symbol;Acc:MGI:1889411]</t>
  </si>
  <si>
    <t>Arl6ip6</t>
  </si>
  <si>
    <t>ADP-ribosylation factor-like 6 interacting protein 6 [Source:MGI Symbol;Acc:MGI:1929507]</t>
  </si>
  <si>
    <t>Ppp1r8</t>
  </si>
  <si>
    <t>protein phosphatase 1, regulatory subunit 8 [Source:MGI Symbol;Acc:MGI:2140494]</t>
  </si>
  <si>
    <t>Exosc10</t>
  </si>
  <si>
    <t>exosome component 10 [Source:MGI Symbol;Acc:MGI:1355322]</t>
  </si>
  <si>
    <t>Prag1</t>
  </si>
  <si>
    <t>PEAK1 related kinase activating pseudokinase 1 [Source:MGI Symbol;Acc:MGI:1196223]</t>
  </si>
  <si>
    <t>Helq</t>
  </si>
  <si>
    <t>helicase, POLQ-like [Source:MGI Symbol;Acc:MGI:2176740]</t>
  </si>
  <si>
    <t>Zfand1</t>
  </si>
  <si>
    <t>zinc finger, AN1-type domain 1 [Source:MGI Symbol;Acc:MGI:1913611]</t>
  </si>
  <si>
    <t>Csnk2b</t>
  </si>
  <si>
    <t>casein kinase 2, beta polypeptide [Source:MGI Symbol;Acc:MGI:88548]</t>
  </si>
  <si>
    <t>Tmem191c</t>
  </si>
  <si>
    <t>transmembrane protein 191C [Source:MGI Symbol;Acc:MGI:107238]</t>
  </si>
  <si>
    <t>Ewsr1</t>
  </si>
  <si>
    <t>Ewing sarcoma breakpoint region 1 [Source:MGI Symbol;Acc:MGI:99960]</t>
  </si>
  <si>
    <t>Knl1</t>
  </si>
  <si>
    <t>kinetochore scaffold 1 [Source:MGI Symbol;Acc:MGI:1923714]</t>
  </si>
  <si>
    <t>Mettl26</t>
  </si>
  <si>
    <t>methyltransferase like 26 [Source:MGI Symbol;Acc:MGI:1915597]</t>
  </si>
  <si>
    <t>Atf4</t>
  </si>
  <si>
    <t>activating transcription factor 4 [Source:MGI Symbol;Acc:MGI:88096]</t>
  </si>
  <si>
    <t>Amacr</t>
  </si>
  <si>
    <t>alpha-methylacyl-CoA racemase [Source:MGI Symbol;Acc:MGI:1098273]</t>
  </si>
  <si>
    <t>D230025D16Rik</t>
  </si>
  <si>
    <t>RIKEN cDNA D230025D16 gene [Source:MGI Symbol;Acc:MGI:2443049]</t>
  </si>
  <si>
    <t>Zfp101</t>
  </si>
  <si>
    <t>zinc finger protein 101 [Source:MGI Symbol;Acc:MGI:107547]</t>
  </si>
  <si>
    <t>Retreg1</t>
  </si>
  <si>
    <t>reticulophagy regulator 1 [Source:MGI Symbol;Acc:MGI:1913520]</t>
  </si>
  <si>
    <t>Gm32089</t>
  </si>
  <si>
    <t>predicted gene, 32089 [Source:MGI Symbol;Acc:MGI:5591248]</t>
  </si>
  <si>
    <t>Gnb2</t>
  </si>
  <si>
    <t>guanine nucleotide binding protein (G protein), beta 2 [Source:MGI Symbol;Acc:MGI:95784]</t>
  </si>
  <si>
    <t>Bckdk</t>
  </si>
  <si>
    <t>branched chain ketoacid dehydrogenase kinase [Source:MGI Symbol;Acc:MGI:1276121]</t>
  </si>
  <si>
    <t>Zfyve28</t>
  </si>
  <si>
    <t>zinc finger, FYVE domain containing 28 [Source:MGI Symbol;Acc:MGI:2684992]</t>
  </si>
  <si>
    <t>Rps9</t>
  </si>
  <si>
    <t>ribosomal protein S9 [Source:MGI Symbol;Acc:MGI:1924096]</t>
  </si>
  <si>
    <t>Sptan1</t>
  </si>
  <si>
    <t>spectrin alpha, non-erythrocytic 1 [Source:MGI Symbol;Acc:MGI:98386]</t>
  </si>
  <si>
    <t>Usp33</t>
  </si>
  <si>
    <t>ubiquitin specific peptidase 33 [Source:MGI Symbol;Acc:MGI:2159711]</t>
  </si>
  <si>
    <t>Pgk1</t>
  </si>
  <si>
    <t>phosphoglycerate kinase 1 [Source:MGI Symbol;Acc:MGI:97555]</t>
  </si>
  <si>
    <t>Rcn1</t>
  </si>
  <si>
    <t>reticulocalbin 1 [Source:MGI Symbol;Acc:MGI:104559]</t>
  </si>
  <si>
    <t>Tfg</t>
  </si>
  <si>
    <t>Trk-fused gene [Source:MGI Symbol;Acc:MGI:1338041]</t>
  </si>
  <si>
    <t>Ttc30b</t>
  </si>
  <si>
    <t>tetratricopeptide repeat domain 30B [Source:MGI Symbol;Acc:MGI:1919671]</t>
  </si>
  <si>
    <t>Gucy2g</t>
  </si>
  <si>
    <t>guanylate cyclase 2g [Source:MGI Symbol;Acc:MGI:106025]</t>
  </si>
  <si>
    <t>Gm45837</t>
  </si>
  <si>
    <t>predicted gene 45837 [Source:MGI Symbol;Acc:MGI:5804952]</t>
  </si>
  <si>
    <t>Slc50a1</t>
  </si>
  <si>
    <t>solute carrier family 50 (sugar transporter), member 1 [Source:MGI Symbol;Acc:MGI:107417]</t>
  </si>
  <si>
    <t>2810002D19Rik</t>
  </si>
  <si>
    <t>RIKEN cDNA 2810002D19 gene [Source:MGI Symbol;Acc:MGI:1913707]</t>
  </si>
  <si>
    <t>Extl1</t>
  </si>
  <si>
    <t>exostosin-like glycosyltransferase 1 [Source:MGI Symbol;Acc:MGI:1888742]</t>
  </si>
  <si>
    <t>Cog7</t>
  </si>
  <si>
    <t>component of oligomeric golgi complex 7 [Source:MGI Symbol;Acc:MGI:2685013]</t>
  </si>
  <si>
    <t>Pnpla8</t>
  </si>
  <si>
    <t>patatin-like phospholipase domain containing 8 [Source:MGI Symbol;Acc:MGI:1914702]</t>
  </si>
  <si>
    <t>Maml3</t>
  </si>
  <si>
    <t>mastermind like transcriptional coactivator 3 [Source:MGI Symbol;Acc:MGI:2389461]</t>
  </si>
  <si>
    <t>Cdc34</t>
  </si>
  <si>
    <t>cell division cycle 34 [Source:MGI Symbol;Acc:MGI:102657]</t>
  </si>
  <si>
    <t>Pou2f1</t>
  </si>
  <si>
    <t>POU domain, class 2, transcription factor 1 [Source:MGI Symbol;Acc:MGI:101898]</t>
  </si>
  <si>
    <t>Sdhd</t>
  </si>
  <si>
    <t>succinate dehydrogenase complex, subunit D, integral membrane protein [Source:MGI Symbol;Acc:MGI:1914175]</t>
  </si>
  <si>
    <t>Zic2</t>
  </si>
  <si>
    <t>zinc finger protein of the cerebellum 2 [Source:MGI Symbol;Acc:MGI:106679]</t>
  </si>
  <si>
    <t>Prdm2</t>
  </si>
  <si>
    <t>PR domain containing 2, with ZNF domain [Source:MGI Symbol;Acc:MGI:107628]</t>
  </si>
  <si>
    <t>Sp1</t>
  </si>
  <si>
    <t>trans-acting transcription factor 1 [Source:MGI Symbol;Acc:MGI:98372]</t>
  </si>
  <si>
    <t>Brat1</t>
  </si>
  <si>
    <t>BRCA1-associated ATM activator 1 [Source:MGI Symbol;Acc:MGI:1891679]</t>
  </si>
  <si>
    <t>Nmt1</t>
  </si>
  <si>
    <t>N-myristoyltransferase 1 [Source:MGI Symbol;Acc:MGI:102579]</t>
  </si>
  <si>
    <t>Capg</t>
  </si>
  <si>
    <t>capping protein (actin filament), gelsolin-like [Source:MGI Symbol;Acc:MGI:1098259]</t>
  </si>
  <si>
    <t>D130017N08Rik</t>
  </si>
  <si>
    <t>RIKEN cDNA D130017N08 gene [Source:MGI Symbol;Acc:MGI:2443273]</t>
  </si>
  <si>
    <t>Vegfb</t>
  </si>
  <si>
    <t>vascular endothelial growth factor B [Source:MGI Symbol;Acc:MGI:106199]</t>
  </si>
  <si>
    <t>Spidr</t>
  </si>
  <si>
    <t>scaffolding protein involved in DNA repair [Source:MGI Symbol;Acc:MGI:1924834]</t>
  </si>
  <si>
    <t>Gm43430</t>
  </si>
  <si>
    <t>predicted gene 43430 [Source:MGI Symbol;Acc:MGI:5663567]</t>
  </si>
  <si>
    <t>Arrdc4</t>
  </si>
  <si>
    <t>arrestin domain containing 4 [Source:MGI Symbol;Acc:MGI:1913662]</t>
  </si>
  <si>
    <t>Abcf2</t>
  </si>
  <si>
    <t>ATP-binding cassette, sub-family F (GCN20), member 2 [Source:MGI Symbol;Acc:MGI:1351657]</t>
  </si>
  <si>
    <t>Sorl1</t>
  </si>
  <si>
    <t>sortilin-related receptor, LDLR class A repeats-containing [Source:MGI Symbol;Acc:MGI:1202296]</t>
  </si>
  <si>
    <t>Oxsm</t>
  </si>
  <si>
    <t>3-oxoacyl-ACP synthase, mitochondrial [Source:MGI Symbol;Acc:MGI:1918397]</t>
  </si>
  <si>
    <t>Pus3</t>
  </si>
  <si>
    <t>pseudouridine synthase 3 [Source:MGI Symbol;Acc:MGI:1914299]</t>
  </si>
  <si>
    <t>Shc4</t>
  </si>
  <si>
    <t>SHC (Src homology 2 domain containing) family, member 4 [Source:MGI Symbol;Acc:MGI:2655364]</t>
  </si>
  <si>
    <t>Hpf1</t>
  </si>
  <si>
    <t>histone PARylation factor 1 [Source:MGI Symbol;Acc:MGI:1919862]</t>
  </si>
  <si>
    <t>Tram1</t>
  </si>
  <si>
    <t>translocating chain-associating membrane protein 1 [Source:MGI Symbol;Acc:MGI:1919515]</t>
  </si>
  <si>
    <t>Etv3</t>
  </si>
  <si>
    <t>ets variant 3 [Source:MGI Symbol;Acc:MGI:1350926]</t>
  </si>
  <si>
    <t>Cggbp1</t>
  </si>
  <si>
    <t>CGG triplet repeat binding protein 1 [Source:MGI Symbol;Acc:MGI:2146370]</t>
  </si>
  <si>
    <t>Ptprn</t>
  </si>
  <si>
    <t>protein tyrosine phosphatase, receptor type, N [Source:MGI Symbol;Acc:MGI:102765]</t>
  </si>
  <si>
    <t>Coq8b</t>
  </si>
  <si>
    <t>coenzyme Q8B [Source:MGI Symbol;Acc:MGI:1924139]</t>
  </si>
  <si>
    <t>Ephx1</t>
  </si>
  <si>
    <t>epoxide hydrolase 1, microsomal [Source:MGI Symbol;Acc:MGI:95405]</t>
  </si>
  <si>
    <t>Atp6v1b2</t>
  </si>
  <si>
    <t>ATPase, H+ transporting, lysosomal V1 subunit B2 [Source:MGI Symbol;Acc:MGI:109618]</t>
  </si>
  <si>
    <t>Fundc1</t>
  </si>
  <si>
    <t>FUN14 domain containing 1 [Source:MGI Symbol;Acc:MGI:1919268]</t>
  </si>
  <si>
    <t>F730311O21Rik</t>
  </si>
  <si>
    <t>RIKEN cDNA F730311O21 gene [Source:MGI Symbol;Acc:MGI:3643355]</t>
  </si>
  <si>
    <t>Thap6</t>
  </si>
  <si>
    <t>THAP domain containing 6 [Source:MGI Symbol;Acc:MGI:1922436]</t>
  </si>
  <si>
    <t>Aldoa</t>
  </si>
  <si>
    <t>aldolase A, fructose-bisphosphate [Source:MGI Symbol;Acc:MGI:87994]</t>
  </si>
  <si>
    <t>Npepps</t>
  </si>
  <si>
    <t>aminopeptidase puromycin sensitive [Source:MGI Symbol;Acc:MGI:1101358]</t>
  </si>
  <si>
    <t>Rexo2</t>
  </si>
  <si>
    <t>RNA exonuclease 2 [Source:MGI Symbol;Acc:MGI:1888981]</t>
  </si>
  <si>
    <t>AI662270</t>
  </si>
  <si>
    <t>expressed sequence AI662270 [Source:MGI Symbol;Acc:MGI:2144254]</t>
  </si>
  <si>
    <t>Ifnlr1</t>
  </si>
  <si>
    <t>interferon lambda receptor 1 [Source:MGI Symbol;Acc:MGI:2429859]</t>
  </si>
  <si>
    <t>Shmt1</t>
  </si>
  <si>
    <t>serine hydroxymethyltransferase 1 (soluble) [Source:MGI Symbol;Acc:MGI:98299]</t>
  </si>
  <si>
    <t>Zfp558</t>
  </si>
  <si>
    <t>zinc finger protein 558 [Source:MGI Symbol;Acc:MGI:1921681]</t>
  </si>
  <si>
    <t>9930111J21Rik1</t>
  </si>
  <si>
    <t>RIKEN cDNA 9930111J21 gene 1 [Source:MGI Symbol;Acc:MGI:3041173]</t>
  </si>
  <si>
    <t>Parp2</t>
  </si>
  <si>
    <t>poly (ADP-ribose) polymerase family, member 2 [Source:MGI Symbol;Acc:MGI:1341112]</t>
  </si>
  <si>
    <t>Usp15</t>
  </si>
  <si>
    <t>ubiquitin specific peptidase 15 [Source:MGI Symbol;Acc:MGI:101857]</t>
  </si>
  <si>
    <t>Pgrmc2</t>
  </si>
  <si>
    <t>progesterone receptor membrane component 2 [Source:MGI Symbol;Acc:MGI:1918054]</t>
  </si>
  <si>
    <t>Fdx2</t>
  </si>
  <si>
    <t>ferredoxin 2 [Source:MGI Symbol;Acc:MGI:1915415]</t>
  </si>
  <si>
    <t>Pafah1b2</t>
  </si>
  <si>
    <t>platelet-activating factor acetylhydrolase, isoform 1b, subunit 2 [Source:MGI Symbol;Acc:MGI:108415]</t>
  </si>
  <si>
    <t>Myorg</t>
  </si>
  <si>
    <t>myogenesis regulating glycosidase (putative) [Source:MGI Symbol;Acc:MGI:2140300]</t>
  </si>
  <si>
    <t>Map3k5</t>
  </si>
  <si>
    <t>mitogen-activated protein kinase kinase kinase 5 [Source:MGI Symbol;Acc:MGI:1346876]</t>
  </si>
  <si>
    <t>Trmt1l</t>
  </si>
  <si>
    <t>tRNA methyltransferase 1 like [Source:MGI Symbol;Acc:MGI:1916185]</t>
  </si>
  <si>
    <t>Kat6b</t>
  </si>
  <si>
    <t>K(lysine) acetyltransferase 6B [Source:MGI Symbol;Acc:MGI:1858746]</t>
  </si>
  <si>
    <t>Rad51b</t>
  </si>
  <si>
    <t>RAD51 paralog B [Source:MGI Symbol;Acc:MGI:1099436]</t>
  </si>
  <si>
    <t>Derl2</t>
  </si>
  <si>
    <t>Der1-like domain family, member 2 [Source:MGI Symbol;Acc:MGI:2151483]</t>
  </si>
  <si>
    <t>Pcif1</t>
  </si>
  <si>
    <t>PDX1 C-terminal inhibiting factor 1 [Source:MGI Symbol;Acc:MGI:2443858]</t>
  </si>
  <si>
    <t>Sstr5</t>
  </si>
  <si>
    <t>somatostatin receptor 5 [Source:MGI Symbol;Acc:MGI:894282]</t>
  </si>
  <si>
    <t>Ankle2</t>
  </si>
  <si>
    <t>ankyrin repeat and LEM domain containing 2 [Source:MGI Symbol;Acc:MGI:1261856]</t>
  </si>
  <si>
    <t>Epg5</t>
  </si>
  <si>
    <t>ectopic P-granules autophagy protein 5 homolog (C. elegans) [Source:MGI Symbol;Acc:MGI:1918673]</t>
  </si>
  <si>
    <t>Syngr1</t>
  </si>
  <si>
    <t>synaptogyrin 1 [Source:MGI Symbol;Acc:MGI:1328323]</t>
  </si>
  <si>
    <t>Tfcp2l1</t>
  </si>
  <si>
    <t>transcription factor CP2-like 1 [Source:MGI Symbol;Acc:MGI:2444691]</t>
  </si>
  <si>
    <t>A930024E05Rik</t>
  </si>
  <si>
    <t>RIKEN cDNA A930024E05 gene [Source:MGI Symbol;Acc:MGI:1924414]</t>
  </si>
  <si>
    <t>Zfp810</t>
  </si>
  <si>
    <t>zinc finger protein 810 [Source:MGI Symbol;Acc:MGI:2384563]</t>
  </si>
  <si>
    <t>Gm32296</t>
  </si>
  <si>
    <t>predicted gene, 32296 [Source:MGI Symbol;Acc:MGI:5591455]</t>
  </si>
  <si>
    <t>Ctu2</t>
  </si>
  <si>
    <t>cytosolic thiouridylase subunit 2 [Source:MGI Symbol;Acc:MGI:1914215]</t>
  </si>
  <si>
    <t>Hnrnpm</t>
  </si>
  <si>
    <t>heterogeneous nuclear ribonucleoprotein M [Source:MGI Symbol;Acc:MGI:1926465]</t>
  </si>
  <si>
    <t>Avpi1</t>
  </si>
  <si>
    <t>arginine vasopressin-induced 1 [Source:MGI Symbol;Acc:MGI:1916784]</t>
  </si>
  <si>
    <t>Rheb</t>
  </si>
  <si>
    <t>Ras homolog enriched in brain [Source:MGI Symbol;Acc:MGI:97912]</t>
  </si>
  <si>
    <t>Sema6b</t>
  </si>
  <si>
    <t>sema domain, transmembrane domain (TM), and cytoplasmic domain, (semaphorin) 6B [Source:MGI Symbol;Acc:MGI:1202889]</t>
  </si>
  <si>
    <t>Gm49776</t>
  </si>
  <si>
    <t>predicted gene, 49776 [Source:MGI Symbol;Acc:MGI:6215291]</t>
  </si>
  <si>
    <t>Cryl1</t>
  </si>
  <si>
    <t>crystallin, lambda 1 [Source:MGI Symbol;Acc:MGI:1915881]</t>
  </si>
  <si>
    <t>Foxd2</t>
  </si>
  <si>
    <t>forkhead box D2 [Source:MGI Symbol;Acc:MGI:1347471]</t>
  </si>
  <si>
    <t>Gabarap</t>
  </si>
  <si>
    <t>gamma-aminobutyric acid receptor associated protein [Source:MGI Symbol;Acc:MGI:1861742]</t>
  </si>
  <si>
    <t>Dym</t>
  </si>
  <si>
    <t>dymeclin [Source:MGI Symbol;Acc:MGI:1918480]</t>
  </si>
  <si>
    <t>Slc12a2</t>
  </si>
  <si>
    <t>solute carrier family 12, member 2 [Source:MGI Symbol;Acc:MGI:101924]</t>
  </si>
  <si>
    <t>Cryz</t>
  </si>
  <si>
    <t>crystallin, zeta [Source:MGI Symbol;Acc:MGI:88527]</t>
  </si>
  <si>
    <t>H2-Q6</t>
  </si>
  <si>
    <t>histocompatibility 2, Q region locus 6 [Source:MGI Symbol;Acc:MGI:95935]</t>
  </si>
  <si>
    <t>Mrpl53</t>
  </si>
  <si>
    <t>mitochondrial ribosomal protein L53 [Source:MGI Symbol;Acc:MGI:1915749]</t>
  </si>
  <si>
    <t>Utp15</t>
  </si>
  <si>
    <t>UTP15 small subunit processome component [Source:MGI Symbol;Acc:MGI:2145443]</t>
  </si>
  <si>
    <t>Ppic</t>
  </si>
  <si>
    <t>peptidylprolyl isomerase C [Source:MGI Symbol;Acc:MGI:97751]</t>
  </si>
  <si>
    <t>Fam204a</t>
  </si>
  <si>
    <t>family with sequence similarity 204, member A [Source:MGI Symbol;Acc:MGI:1289174]</t>
  </si>
  <si>
    <t>Dnajc7</t>
  </si>
  <si>
    <t>DnaJ heat shock protein family (Hsp40) member C7 [Source:MGI Symbol;Acc:MGI:1928373]</t>
  </si>
  <si>
    <t>Gm5487</t>
  </si>
  <si>
    <t>predicted gene 5487 [Source:MGI Symbol;Acc:MGI:3647872]</t>
  </si>
  <si>
    <t>Atxn1l</t>
  </si>
  <si>
    <t>ataxin 1-like [Source:MGI Symbol;Acc:MGI:3694797]</t>
  </si>
  <si>
    <t>Aff4</t>
  </si>
  <si>
    <t>AF4/FMR2 family, member 4 [Source:MGI Symbol;Acc:MGI:2136171]</t>
  </si>
  <si>
    <t>Gm32568</t>
  </si>
  <si>
    <t>predicted gene, 32568 [Source:MGI Symbol;Acc:MGI:5591727]</t>
  </si>
  <si>
    <t>Cchcr1</t>
  </si>
  <si>
    <t>coiled-coil alpha-helical rod protein 1 [Source:MGI Symbol;Acc:MGI:2385321]</t>
  </si>
  <si>
    <t>2010013B24Rik</t>
  </si>
  <si>
    <t>RIKEN cDNA 2010013B24 gene [Source:MGI Symbol;Acc:MGI:1919329]</t>
  </si>
  <si>
    <t>Clpx</t>
  </si>
  <si>
    <t>caseinolytic mitochondrial matrix peptidase chaperone subunit [Source:MGI Symbol;Acc:MGI:1346017]</t>
  </si>
  <si>
    <t>Lpar6</t>
  </si>
  <si>
    <t>lysophosphatidic acid receptor 6 [Source:MGI Symbol;Acc:MGI:1914418]</t>
  </si>
  <si>
    <t>Plpp6</t>
  </si>
  <si>
    <t>phospholipid phosphatase 6 [Source:MGI Symbol;Acc:MGI:1921661]</t>
  </si>
  <si>
    <t>G3bp1</t>
  </si>
  <si>
    <t>GTPase activating protein (SH3 domain) binding protein 1 [Source:MGI Symbol;Acc:MGI:1351465]</t>
  </si>
  <si>
    <t>Gm30541</t>
  </si>
  <si>
    <t>predicted gene, 30541 [Source:MGI Symbol;Acc:MGI:5589700]</t>
  </si>
  <si>
    <t>Ercc4</t>
  </si>
  <si>
    <t>excision repair cross-complementing rodent repair deficiency, complementation group 4 [Source:MGI Symbol;Acc:MGI:1354163]</t>
  </si>
  <si>
    <t>Platr25</t>
  </si>
  <si>
    <t>pluripotency associated transcript 25 [Source:MGI Symbol;Acc:MGI:3645613]</t>
  </si>
  <si>
    <t>Zbtb34</t>
  </si>
  <si>
    <t>zinc finger and BTB domain containing 34 [Source:MGI Symbol;Acc:MGI:2685195]</t>
  </si>
  <si>
    <t>Nbr1</t>
  </si>
  <si>
    <t>NBR1, autophagy cargo receptor [Source:MGI Symbol;Acc:MGI:108498]</t>
  </si>
  <si>
    <t>Col4a3bp</t>
  </si>
  <si>
    <t>collagen, type IV, alpha 3 (Goodpasture antigen) binding protein [Source:MGI Symbol;Acc:MGI:1915268]</t>
  </si>
  <si>
    <t>Gcc1</t>
  </si>
  <si>
    <t>golgi coiled coil 1 [Source:MGI Symbol;Acc:MGI:1921625]</t>
  </si>
  <si>
    <t>Pold4</t>
  </si>
  <si>
    <t>polymerase (DNA-directed), delta 4 [Source:MGI Symbol;Acc:MGI:1916995]</t>
  </si>
  <si>
    <t>Klhl38</t>
  </si>
  <si>
    <t>kelch-like 38 [Source:MGI Symbol;Acc:MGI:3045310]</t>
  </si>
  <si>
    <t>Asah2</t>
  </si>
  <si>
    <t>N-acylsphingosine amidohydrolase 2 [Source:MGI Symbol;Acc:MGI:1859310]</t>
  </si>
  <si>
    <t>Cars2</t>
  </si>
  <si>
    <t>cysteinyl-tRNA synthetase 2 (mitochondrial)(putative) [Source:MGI Symbol;Acc:MGI:1919191]</t>
  </si>
  <si>
    <t>Myl6</t>
  </si>
  <si>
    <t>myosin, light polypeptide 6, alkali, smooth muscle and non-muscle [Source:MGI Symbol;Acc:MGI:109318]</t>
  </si>
  <si>
    <t>Msrb1</t>
  </si>
  <si>
    <t>methionine sulfoxide reductase B1 [Source:MGI Symbol;Acc:MGI:1351642]</t>
  </si>
  <si>
    <t>Slc37a3</t>
  </si>
  <si>
    <t>solute carrier family 37 (glycerol-3-phosphate transporter), member 3 [Source:MGI Symbol;Acc:MGI:1919394]</t>
  </si>
  <si>
    <t>Sppl3</t>
  </si>
  <si>
    <t>signal peptide peptidase 3 [Source:MGI Symbol;Acc:MGI:1891433]</t>
  </si>
  <si>
    <t>Clip2</t>
  </si>
  <si>
    <t>CAP-GLY domain containing linker protein 2 [Source:MGI Symbol;Acc:MGI:1313136]</t>
  </si>
  <si>
    <t>Srbd1</t>
  </si>
  <si>
    <t>S1 RNA binding domain 1 [Source:MGI Symbol;Acc:MGI:1925836]</t>
  </si>
  <si>
    <t>Trim47</t>
  </si>
  <si>
    <t>tripartite motif-containing 47 [Source:MGI Symbol;Acc:MGI:1917374]</t>
  </si>
  <si>
    <t>Pde8b</t>
  </si>
  <si>
    <t>phosphodiesterase 8B [Source:MGI Symbol;Acc:MGI:2443999]</t>
  </si>
  <si>
    <t>2810455O05Rik</t>
  </si>
  <si>
    <t>RIKEN cDNA 2810455O05 gene [Source:MGI Symbol;Acc:MGI:1920072]</t>
  </si>
  <si>
    <t>Ect2</t>
  </si>
  <si>
    <t>ect2 oncogene [Source:MGI Symbol;Acc:MGI:95281]</t>
  </si>
  <si>
    <t>Gm13571</t>
  </si>
  <si>
    <t>predicted gene 13571 [Source:MGI Symbol;Acc:MGI:3652223]</t>
  </si>
  <si>
    <t>Bcas2</t>
  </si>
  <si>
    <t>breast carcinoma amplified sequence 2 [Source:MGI Symbol;Acc:MGI:1915433]</t>
  </si>
  <si>
    <t>Nectin2</t>
  </si>
  <si>
    <t>nectin cell adhesion molecule 2 [Source:MGI Symbol;Acc:MGI:97822]</t>
  </si>
  <si>
    <t>Hscb</t>
  </si>
  <si>
    <t>HscB iron-sulfur cluster co-chaperone [Source:MGI Symbol;Acc:MGI:2141135]</t>
  </si>
  <si>
    <t>Pkm</t>
  </si>
  <si>
    <t>pyruvate kinase, muscle [Source:MGI Symbol;Acc:MGI:97591]</t>
  </si>
  <si>
    <t>Zfp446</t>
  </si>
  <si>
    <t>zinc finger protein 446 [Source:MGI Symbol;Acc:MGI:2442185]</t>
  </si>
  <si>
    <t>Tbcel</t>
  </si>
  <si>
    <t>tubulin folding cofactor E-like [Source:MGI Symbol;Acc:MGI:1925543]</t>
  </si>
  <si>
    <t>Wdr91</t>
  </si>
  <si>
    <t>WD repeat domain 91 [Source:MGI Symbol;Acc:MGI:2141558]</t>
  </si>
  <si>
    <t>Mir7688</t>
  </si>
  <si>
    <t>microRNA 7688 [Source:MGI Symbol;Acc:MGI:5531256]</t>
  </si>
  <si>
    <t>Twf2</t>
  </si>
  <si>
    <t>twinfilin actin binding protein 2 [Source:MGI Symbol;Acc:MGI:1346078]</t>
  </si>
  <si>
    <t>Inafm2</t>
  </si>
  <si>
    <t>InaF motif containing 2 [Source:MGI Symbol;Acc:MGI:1915354]</t>
  </si>
  <si>
    <t>Wdcp</t>
  </si>
  <si>
    <t>WD repeat and coiled coil containing [Source:MGI Symbol;Acc:MGI:3040699]</t>
  </si>
  <si>
    <t>Pam</t>
  </si>
  <si>
    <t>peptidylglycine alpha-amidating monooxygenase [Source:MGI Symbol;Acc:MGI:97475]</t>
  </si>
  <si>
    <t>Tfam</t>
  </si>
  <si>
    <t>transcription factor A, mitochondrial [Source:MGI Symbol;Acc:MGI:107810]</t>
  </si>
  <si>
    <t>Ptchd1</t>
  </si>
  <si>
    <t>patched domain containing 1 [Source:MGI Symbol;Acc:MGI:2685233]</t>
  </si>
  <si>
    <t>Zfp710</t>
  </si>
  <si>
    <t>zinc finger protein 710 [Source:MGI Symbol;Acc:MGI:1921747]</t>
  </si>
  <si>
    <t>Fv1</t>
  </si>
  <si>
    <t>Friend virus susceptibility 1 [Source:MGI Symbol;Acc:MGI:95595]</t>
  </si>
  <si>
    <t>Rbm12</t>
  </si>
  <si>
    <t>RNA binding motif protein 12 [Source:MGI Symbol;Acc:MGI:1922960]</t>
  </si>
  <si>
    <t>Pnrc1</t>
  </si>
  <si>
    <t>proline-rich nuclear receptor coactivator 1 [Source:MGI Symbol;Acc:MGI:1917838]</t>
  </si>
  <si>
    <t>Vbp1</t>
  </si>
  <si>
    <t>von Hippel-Lindau binding protein 1 [Source:MGI Symbol;Acc:MGI:1333804]</t>
  </si>
  <si>
    <t>Stimate</t>
  </si>
  <si>
    <t>STIM activating enhancer [Source:MGI Symbol;Acc:MGI:1921500]</t>
  </si>
  <si>
    <t>Rrm2b</t>
  </si>
  <si>
    <t>ribonucleotide reductase M2 B (TP53 inducible) [Source:MGI Symbol;Acc:MGI:2155865]</t>
  </si>
  <si>
    <t>Mmab</t>
  </si>
  <si>
    <t>methylmalonic aciduria (cobalamin deficiency) cblB type homolog (human) [Source:MGI Symbol;Acc:MGI:1924947]</t>
  </si>
  <si>
    <t>Mtarc2</t>
  </si>
  <si>
    <t>mitochondrial amidoxime reducing component 2 [Source:MGI Symbol;Acc:MGI:1914497]</t>
  </si>
  <si>
    <t>Rab3a</t>
  </si>
  <si>
    <t>RAB3A, member RAS oncogene family [Source:MGI Symbol;Acc:MGI:97843]</t>
  </si>
  <si>
    <t>Col4a1</t>
  </si>
  <si>
    <t>collagen, type IV, alpha 1 [Source:MGI Symbol;Acc:MGI:88454]</t>
  </si>
  <si>
    <t>Brix1</t>
  </si>
  <si>
    <t>BRX1, biogenesis of ribosomes [Source:MGI Symbol;Acc:MGI:1915082]</t>
  </si>
  <si>
    <t>4833439L19Rik</t>
  </si>
  <si>
    <t>RIKEN cDNA 4833439L19 gene [Source:MGI Symbol;Acc:MGI:1921162]</t>
  </si>
  <si>
    <t>Rnaseh2a</t>
  </si>
  <si>
    <t>ribonuclease H2, large subunit [Source:MGI Symbol;Acc:MGI:1916974]</t>
  </si>
  <si>
    <t>Alg2</t>
  </si>
  <si>
    <t>asparagine-linked glycosylation 2 (alpha-1,3-mannosyltransferase) [Source:MGI Symbol;Acc:MGI:1914731]</t>
  </si>
  <si>
    <t>Ngdn</t>
  </si>
  <si>
    <t>neuroguidin, EIF4E binding protein [Source:MGI Symbol;Acc:MGI:1916216]</t>
  </si>
  <si>
    <t>Tcim</t>
  </si>
  <si>
    <t>transcriptional and immune response regulator [Source:MGI Symbol;Acc:MGI:1916318]</t>
  </si>
  <si>
    <t>Rnf183</t>
  </si>
  <si>
    <t>ring finger protein 183 [Source:MGI Symbol;Acc:MGI:1923322]</t>
  </si>
  <si>
    <t>Gm7497</t>
  </si>
  <si>
    <t>predicted gene 7497 [Source:MGI Symbol;Acc:MGI:3646548]</t>
  </si>
  <si>
    <t>Hbp1</t>
  </si>
  <si>
    <t>high mobility group box transcription factor 1 [Source:MGI Symbol;Acc:MGI:894659]</t>
  </si>
  <si>
    <t>Maoa</t>
  </si>
  <si>
    <t>monoamine oxidase A [Source:MGI Symbol;Acc:MGI:96915]</t>
  </si>
  <si>
    <t>Misp</t>
  </si>
  <si>
    <t>mitotic spindle positioning [Source:MGI Symbol;Acc:MGI:1926156]</t>
  </si>
  <si>
    <t>Arid4a</t>
  </si>
  <si>
    <t>AT rich interactive domain 4A (RBP1-like) [Source:MGI Symbol;Acc:MGI:2444354]</t>
  </si>
  <si>
    <t>Rfx1</t>
  </si>
  <si>
    <t>regulatory factor X, 1 (influences HLA class II expression) [Source:MGI Symbol;Acc:MGI:105982]</t>
  </si>
  <si>
    <t>Pomt1</t>
  </si>
  <si>
    <t>protein-O-mannosyltransferase 1 [Source:MGI Symbol;Acc:MGI:2138994]</t>
  </si>
  <si>
    <t>Cdc42ep4</t>
  </si>
  <si>
    <t>CDC42 effector protein (Rho GTPase binding) 4 [Source:MGI Symbol;Acc:MGI:1929760]</t>
  </si>
  <si>
    <t>Gins3</t>
  </si>
  <si>
    <t>GINS complex subunit 3 (Psf3 homolog) [Source:MGI Symbol;Acc:MGI:1926083]</t>
  </si>
  <si>
    <t>Plcl2</t>
  </si>
  <si>
    <t>phospholipase C-like 2 [Source:MGI Symbol;Acc:MGI:1352756]</t>
  </si>
  <si>
    <t>Slc30a4</t>
  </si>
  <si>
    <t>solute carrier family 30 (zinc transporter), member 4 [Source:MGI Symbol;Acc:MGI:1345282]</t>
  </si>
  <si>
    <t>Rnpepl1</t>
  </si>
  <si>
    <t>arginyl aminopeptidase (aminopeptidase B)-like 1 [Source:MGI Symbol;Acc:MGI:1914170]</t>
  </si>
  <si>
    <t>Sacm1l</t>
  </si>
  <si>
    <t>SAC1 suppressor of actin mutations 1-like (yeast) [Source:MGI Symbol;Acc:MGI:1933169]</t>
  </si>
  <si>
    <t>Abca3</t>
  </si>
  <si>
    <t>ATP-binding cassette, sub-family A (ABC1), member 3 [Source:MGI Symbol;Acc:MGI:1351617]</t>
  </si>
  <si>
    <t>Mab21l3</t>
  </si>
  <si>
    <t>mab-21-like 3 [Source:MGI Symbol;Acc:MGI:2446273]</t>
  </si>
  <si>
    <t>Mlph</t>
  </si>
  <si>
    <t>melanophilin [Source:MGI Symbol;Acc:MGI:2176380]</t>
  </si>
  <si>
    <t>Gm14321</t>
  </si>
  <si>
    <t>predicted gene 14321 [Source:MGI Symbol;Acc:MGI:3701951]</t>
  </si>
  <si>
    <t>Fam172a</t>
  </si>
  <si>
    <t>family with sequence similarity 172, member A [Source:MGI Symbol;Acc:MGI:1915925]</t>
  </si>
  <si>
    <t>Btg3</t>
  </si>
  <si>
    <t>BTG anti-proliferation factor 3 [Source:MGI Symbol;Acc:MGI:109532]</t>
  </si>
  <si>
    <t>Csnk1a1</t>
  </si>
  <si>
    <t>casein kinase 1, alpha 1 [Source:MGI Symbol;Acc:MGI:1934950]</t>
  </si>
  <si>
    <t>Rab5c</t>
  </si>
  <si>
    <t>RAB5C, member RAS oncogene family [Source:MGI Symbol;Acc:MGI:105306]</t>
  </si>
  <si>
    <t>Arfip1</t>
  </si>
  <si>
    <t>ADP-ribosylation factor interacting protein 1 [Source:MGI Symbol;Acc:MGI:1277120]</t>
  </si>
  <si>
    <t>Ahr</t>
  </si>
  <si>
    <t>aryl-hydrocarbon receptor [Source:MGI Symbol;Acc:MGI:105043]</t>
  </si>
  <si>
    <t>Gm49373</t>
  </si>
  <si>
    <t>predicted gene, 49373 [Source:MGI Symbol;Acc:MGI:6121591]</t>
  </si>
  <si>
    <t>2300009A05Rik</t>
  </si>
  <si>
    <t>RIKEN cDNA 2300009A05 gene [Source:MGI Symbol;Acc:MGI:1916728]</t>
  </si>
  <si>
    <t>Atg2b</t>
  </si>
  <si>
    <t>autophagy related 2B [Source:MGI Symbol;Acc:MGI:1923809]</t>
  </si>
  <si>
    <t>AU040320</t>
  </si>
  <si>
    <t>expressed sequence AU040320 [Source:MGI Symbol;Acc:MGI:2140475]</t>
  </si>
  <si>
    <t>Gm14204</t>
  </si>
  <si>
    <t>predicted gene 14204 [Source:MGI Symbol;Acc:MGI:3651576]</t>
  </si>
  <si>
    <t>Ephb4</t>
  </si>
  <si>
    <t>Eph receptor B4 [Source:MGI Symbol;Acc:MGI:104757]</t>
  </si>
  <si>
    <t>Phf21b</t>
  </si>
  <si>
    <t>PHD finger protein 21B [Source:MGI Symbol;Acc:MGI:2443812]</t>
  </si>
  <si>
    <t>Dtx1</t>
  </si>
  <si>
    <t>deltex 1, E3 ubiquitin ligase [Source:MGI Symbol;Acc:MGI:1352744]</t>
  </si>
  <si>
    <t>Cops5</t>
  </si>
  <si>
    <t>COP9 signalosome subunit 5 [Source:MGI Symbol;Acc:MGI:1349415]</t>
  </si>
  <si>
    <t>Exoc5</t>
  </si>
  <si>
    <t>exocyst complex component 5 [Source:MGI Symbol;Acc:MGI:2145645]</t>
  </si>
  <si>
    <t>Prmt3</t>
  </si>
  <si>
    <t>protein arginine N-methyltransferase 3 [Source:MGI Symbol;Acc:MGI:1919224]</t>
  </si>
  <si>
    <t>Psmb2</t>
  </si>
  <si>
    <t>proteasome (prosome, macropain) subunit, beta type 2 [Source:MGI Symbol;Acc:MGI:1347045]</t>
  </si>
  <si>
    <t>Nme4</t>
  </si>
  <si>
    <t>NME/NM23 nucleoside diphosphate kinase 4 [Source:MGI Symbol;Acc:MGI:1931148]</t>
  </si>
  <si>
    <t>Kif26b</t>
  </si>
  <si>
    <t>kinesin family member 26B [Source:MGI Symbol;Acc:MGI:2447076]</t>
  </si>
  <si>
    <t>Chuk</t>
  </si>
  <si>
    <t>conserved helix-loop-helix ubiquitous kinase [Source:MGI Symbol;Acc:MGI:99484]</t>
  </si>
  <si>
    <t>Anxa1</t>
  </si>
  <si>
    <t>annexin A1 [Source:MGI Symbol;Acc:MGI:96819]</t>
  </si>
  <si>
    <t>Dtnb</t>
  </si>
  <si>
    <t>dystrobrevin, beta [Source:MGI Symbol;Acc:MGI:1203728]</t>
  </si>
  <si>
    <t>Slc9a4</t>
  </si>
  <si>
    <t>solute carrier family 9 (sodium/hydrogen exchanger), member 4 [Source:MGI Symbol;Acc:MGI:105074]</t>
  </si>
  <si>
    <t>Usp21</t>
  </si>
  <si>
    <t>ubiquitin specific peptidase 21 [Source:MGI Symbol;Acc:MGI:1353665]</t>
  </si>
  <si>
    <t>Fam102a</t>
  </si>
  <si>
    <t>family with sequence similarity 102, member A [Source:MGI Symbol;Acc:MGI:2138935]</t>
  </si>
  <si>
    <t>Farsa</t>
  </si>
  <si>
    <t>phenylalanyl-tRNA synthetase, alpha subunit [Source:MGI Symbol;Acc:MGI:1913840]</t>
  </si>
  <si>
    <t>Mzf1</t>
  </si>
  <si>
    <t>myeloid zinc finger 1 [Source:MGI Symbol;Acc:MGI:107457]</t>
  </si>
  <si>
    <t>Cacna2d1</t>
  </si>
  <si>
    <t>calcium channel, voltage-dependent, alpha2/delta subunit 1 [Source:MGI Symbol;Acc:MGI:88295]</t>
  </si>
  <si>
    <t>Gm19076</t>
  </si>
  <si>
    <t>predicted gene, 19076 [Source:MGI Symbol;Acc:MGI:5011261]</t>
  </si>
  <si>
    <t>Tbc1d17</t>
  </si>
  <si>
    <t>TBC1 domain family, member 17 [Source:MGI Symbol;Acc:MGI:2449973]</t>
  </si>
  <si>
    <t>Gtf2h2</t>
  </si>
  <si>
    <t>general transcription factor II H, polypeptide 2 [Source:MGI Symbol;Acc:MGI:1345669]</t>
  </si>
  <si>
    <t>Snrnp27</t>
  </si>
  <si>
    <t>small nuclear ribonucleoprotein 27 (U4/U6.U5) [Source:MGI Symbol;Acc:MGI:1913868]</t>
  </si>
  <si>
    <t>Igf1</t>
  </si>
  <si>
    <t>insulin-like growth factor 1 [Source:MGI Symbol;Acc:MGI:96432]</t>
  </si>
  <si>
    <t>Hsf4</t>
  </si>
  <si>
    <t>heat shock transcription factor 4 [Source:MGI Symbol;Acc:MGI:1347058]</t>
  </si>
  <si>
    <t>Tymp</t>
  </si>
  <si>
    <t>thymidine phosphorylase [Source:MGI Symbol;Acc:MGI:1920212]</t>
  </si>
  <si>
    <t>Ak2</t>
  </si>
  <si>
    <t>adenylate kinase 2 [Source:MGI Symbol;Acc:MGI:87978]</t>
  </si>
  <si>
    <t>Ccdc61</t>
  </si>
  <si>
    <t>coiled-coil domain containing 61 [Source:MGI Symbol;Acc:MGI:2685005]</t>
  </si>
  <si>
    <t>Arl1</t>
  </si>
  <si>
    <t>ADP-ribosylation factor-like 1 [Source:MGI Symbol;Acc:MGI:99436]</t>
  </si>
  <si>
    <t>Gm20683</t>
  </si>
  <si>
    <t>predicted gene 20683 [Source:MGI Symbol;Acc:MGI:5313130]</t>
  </si>
  <si>
    <t>Trmt112</t>
  </si>
  <si>
    <t>tRNA methyltransferase 11-2 [Source:MGI Symbol;Acc:MGI:1914924]</t>
  </si>
  <si>
    <t>Zfp330</t>
  </si>
  <si>
    <t>zinc finger protein 330 [Source:MGI Symbol;Acc:MGI:1353574]</t>
  </si>
  <si>
    <t>Krcc1</t>
  </si>
  <si>
    <t>lysine-rich coiled-coil 1 [Source:MGI Symbol;Acc:MGI:1889377]</t>
  </si>
  <si>
    <t>Vat1</t>
  </si>
  <si>
    <t>vesicle amine transport 1 [Source:MGI Symbol;Acc:MGI:1349450]</t>
  </si>
  <si>
    <t>Gm44260</t>
  </si>
  <si>
    <t>predicted gene, 44260 [Source:MGI Symbol;Acc:MGI:5690652]</t>
  </si>
  <si>
    <t>Naga</t>
  </si>
  <si>
    <t>N-acetyl galactosaminidase, alpha [Source:MGI Symbol;Acc:MGI:1261422]</t>
  </si>
  <si>
    <t>4933409D19Rik</t>
  </si>
  <si>
    <t>RIKEN cDNA 4933409D19 gene [Source:MGI Symbol;Acc:MGI:1918334]</t>
  </si>
  <si>
    <t>Gm16537</t>
  </si>
  <si>
    <t>predicted gene 16537 [Source:MGI Symbol;Acc:MGI:4414957]</t>
  </si>
  <si>
    <t>Tnfrsf23</t>
  </si>
  <si>
    <t>tumor necrosis factor receptor superfamily, member 23 [Source:MGI Symbol;Acc:MGI:1930269]</t>
  </si>
  <si>
    <t>Apex2</t>
  </si>
  <si>
    <t>apurinic/apyrimidinic endonuclease 2 [Source:MGI Symbol;Acc:MGI:1924872]</t>
  </si>
  <si>
    <t>Xpo1</t>
  </si>
  <si>
    <t>exportin 1 [Source:MGI Symbol;Acc:MGI:2144013]</t>
  </si>
  <si>
    <t>Mrpl2</t>
  </si>
  <si>
    <t>mitochondrial ribosomal protein L2 [Source:MGI Symbol;Acc:MGI:1351622]</t>
  </si>
  <si>
    <t>Smim7</t>
  </si>
  <si>
    <t>small integral membrane protein 7 [Source:MGI Symbol;Acc:MGI:1914068]</t>
  </si>
  <si>
    <t>Cebpzos</t>
  </si>
  <si>
    <t>CCAAT/enhancer binding protein (C/EBP), zeta, opposite strand [Source:MGI Symbol;Acc:MGI:1915804]</t>
  </si>
  <si>
    <t>Map2k2</t>
  </si>
  <si>
    <t>mitogen-activated protein kinase kinase 2 [Source:MGI Symbol;Acc:MGI:1346867]</t>
  </si>
  <si>
    <t>Dennd5a</t>
  </si>
  <si>
    <t>DENN/MADD domain containing 5A [Source:MGI Symbol;Acc:MGI:1201681]</t>
  </si>
  <si>
    <t>Ddx31</t>
  </si>
  <si>
    <t>DEAD/H (Asp-Glu-Ala-Asp/His) box polypeptide 31 [Source:MGI Symbol;Acc:MGI:2682639]</t>
  </si>
  <si>
    <t>Ndrg3</t>
  </si>
  <si>
    <t>N-myc downstream regulated gene 3 [Source:MGI Symbol;Acc:MGI:1352499]</t>
  </si>
  <si>
    <t>Ak1</t>
  </si>
  <si>
    <t>adenylate kinase 1 [Source:MGI Symbol;Acc:MGI:87977]</t>
  </si>
  <si>
    <t>Serbp1</t>
  </si>
  <si>
    <t>serpine1 mRNA binding protein 1 [Source:MGI Symbol;Acc:MGI:1914120]</t>
  </si>
  <si>
    <t>Serinc1</t>
  </si>
  <si>
    <t>serine incorporator 1 [Source:MGI Symbol;Acc:MGI:1926228]</t>
  </si>
  <si>
    <t>Spr</t>
  </si>
  <si>
    <t>sepiapterin reductase [Source:MGI Symbol;Acc:MGI:103078]</t>
  </si>
  <si>
    <t>Pdcl</t>
  </si>
  <si>
    <t>phosducin-like [Source:MGI Symbol;Acc:MGI:1914716]</t>
  </si>
  <si>
    <t>Gtpbp1</t>
  </si>
  <si>
    <t>GTP binding protein 1 [Source:MGI Symbol;Acc:MGI:109443]</t>
  </si>
  <si>
    <t>Tor4a</t>
  </si>
  <si>
    <t>torsin family 4, member A [Source:MGI Symbol;Acc:MGI:2442720]</t>
  </si>
  <si>
    <t>Atm</t>
  </si>
  <si>
    <t>ataxia telangiectasia mutated [Source:MGI Symbol;Acc:MGI:107202]</t>
  </si>
  <si>
    <t>Gm20655</t>
  </si>
  <si>
    <t>predicted gene 20655 [Source:MGI Symbol;Acc:MGI:5313102]</t>
  </si>
  <si>
    <t>Slc35b2</t>
  </si>
  <si>
    <t>solute carrier family 35, member B2 [Source:MGI Symbol;Acc:MGI:1921086]</t>
  </si>
  <si>
    <t>Pld4</t>
  </si>
  <si>
    <t>phospholipase D family, member 4 [Source:MGI Symbol;Acc:MGI:2144765]</t>
  </si>
  <si>
    <t>Acot7</t>
  </si>
  <si>
    <t>acyl-CoA thioesterase 7 [Source:MGI Symbol;Acc:MGI:1917275]</t>
  </si>
  <si>
    <t>Hmgn1</t>
  </si>
  <si>
    <t>high mobility group nucleosomal binding domain 1 [Source:MGI Symbol;Acc:MGI:96120]</t>
  </si>
  <si>
    <t>Tada2a</t>
  </si>
  <si>
    <t>transcriptional adaptor 2A [Source:MGI Symbol;Acc:MGI:2144471]</t>
  </si>
  <si>
    <t>Gm20507</t>
  </si>
  <si>
    <t>predicted gene 20507 [Source:MGI Symbol;Acc:MGI:5141972]</t>
  </si>
  <si>
    <t>Zmym5</t>
  </si>
  <si>
    <t>zinc finger, MYM-type 5 [Source:MGI Symbol;Acc:MGI:3041170]</t>
  </si>
  <si>
    <t>Rpl21-ps1</t>
  </si>
  <si>
    <t>ribosomal protein 21, pseudogene 1 [Source:MGI Symbol;Acc:MGI:3647596]</t>
  </si>
  <si>
    <t>Mpg</t>
  </si>
  <si>
    <t>N-methylpurine-DNA glycosylase [Source:MGI Symbol;Acc:MGI:97073]</t>
  </si>
  <si>
    <t>Smyd5</t>
  </si>
  <si>
    <t>SET and MYND domain containing 5 [Source:MGI Symbol;Acc:MGI:108048]</t>
  </si>
  <si>
    <t>Adarb1</t>
  </si>
  <si>
    <t>adenosine deaminase, RNA-specific, B1 [Source:MGI Symbol;Acc:MGI:891999]</t>
  </si>
  <si>
    <t>Tnfrsf14</t>
  </si>
  <si>
    <t>tumor necrosis factor receptor superfamily, member 14 (herpesvirus entry mediator) [Source:MGI Symbol;Acc:MGI:2675303]</t>
  </si>
  <si>
    <t>Hmgxb4</t>
  </si>
  <si>
    <t>HMG box domain containing 4 [Source:MGI Symbol;Acc:MGI:1918073]</t>
  </si>
  <si>
    <t>Nln</t>
  </si>
  <si>
    <t>neurolysin (metallopeptidase M3 family) [Source:MGI Symbol;Acc:MGI:1923055]</t>
  </si>
  <si>
    <t>Cnot10</t>
  </si>
  <si>
    <t>CCR4-NOT transcription complex, subunit 10 [Source:MGI Symbol;Acc:MGI:1926143]</t>
  </si>
  <si>
    <t>Prkag1</t>
  </si>
  <si>
    <t>protein kinase, AMP-activated, gamma 1 non-catalytic subunit [Source:MGI Symbol;Acc:MGI:108411]</t>
  </si>
  <si>
    <t>Brd8</t>
  </si>
  <si>
    <t>bromodomain containing 8 [Source:MGI Symbol;Acc:MGI:1925906]</t>
  </si>
  <si>
    <t>0610038B21Rik</t>
  </si>
  <si>
    <t>RIKEN cDNA 0610038B21 gene [Source:MGI Symbol;Acc:MGI:1917595]</t>
  </si>
  <si>
    <t>Ppp1r12a</t>
  </si>
  <si>
    <t>protein phosphatase 1, regulatory subunit 12A [Source:MGI Symbol;Acc:MGI:1309528]</t>
  </si>
  <si>
    <t>Tagln2</t>
  </si>
  <si>
    <t>transgelin 2 [Source:MGI Symbol;Acc:MGI:1312985]</t>
  </si>
  <si>
    <t>Gm32856</t>
  </si>
  <si>
    <t>predicted gene, 32856 [Source:MGI Symbol;Acc:MGI:5592015]</t>
  </si>
  <si>
    <t>Armc6</t>
  </si>
  <si>
    <t>armadillo repeat containing 6 [Source:MGI Symbol;Acc:MGI:1924063]</t>
  </si>
  <si>
    <t>Rpa3</t>
  </si>
  <si>
    <t>replication protein A3 [Source:MGI Symbol;Acc:MGI:1915490]</t>
  </si>
  <si>
    <t>Pias2</t>
  </si>
  <si>
    <t>protein inhibitor of activated STAT 2 [Source:MGI Symbol;Acc:MGI:1096566]</t>
  </si>
  <si>
    <t>Arl15</t>
  </si>
  <si>
    <t>ADP-ribosylation factor-like 15 [Source:MGI Symbol;Acc:MGI:2442308]</t>
  </si>
  <si>
    <t>Rgs10</t>
  </si>
  <si>
    <t>regulator of G-protein signalling 10 [Source:MGI Symbol;Acc:MGI:1915115]</t>
  </si>
  <si>
    <t>Rbm8a</t>
  </si>
  <si>
    <t>RNA binding motif protein 8a [Source:MGI Symbol;Acc:MGI:1913129]</t>
  </si>
  <si>
    <t>1600012H06Rik</t>
  </si>
  <si>
    <t>RIKEN cDNA 1600012H06 gene [Source:MGI Symbol;Acc:MGI:1915162]</t>
  </si>
  <si>
    <t>Nckipsd</t>
  </si>
  <si>
    <t>NCK interacting protein with SH3 domain [Source:MGI Symbol;Acc:MGI:1931834]</t>
  </si>
  <si>
    <t>Rdh10</t>
  </si>
  <si>
    <t>retinol dehydrogenase 10 (all-trans) [Source:MGI Symbol;Acc:MGI:1924238]</t>
  </si>
  <si>
    <t>Snrnp48</t>
  </si>
  <si>
    <t>small nuclear ribonucleoprotein 48 (U11/U12) [Source:MGI Symbol;Acc:MGI:1915047]</t>
  </si>
  <si>
    <t>9130230L23Rik</t>
  </si>
  <si>
    <t>RIKEN cDNA 9130230L23 gene [Source:MGI Symbol;Acc:MGI:3041166]</t>
  </si>
  <si>
    <t>Il7</t>
  </si>
  <si>
    <t>interleukin 7 [Source:MGI Symbol;Acc:MGI:96561]</t>
  </si>
  <si>
    <t>Septin6</t>
  </si>
  <si>
    <t>septin 6 [Source:MGI Symbol;Acc:MGI:1888939]</t>
  </si>
  <si>
    <t>Ift80</t>
  </si>
  <si>
    <t>intraflagellar transport 80 [Source:MGI Symbol;Acc:MGI:1915509]</t>
  </si>
  <si>
    <t>Cct5</t>
  </si>
  <si>
    <t>chaperonin containing Tcp1, subunit 5 (epsilon) [Source:MGI Symbol;Acc:MGI:107185]</t>
  </si>
  <si>
    <t>Pomgnt1</t>
  </si>
  <si>
    <t>protein O-linked mannose beta 1,2-N-acetylglucosaminyltransferase [Source:MGI Symbol;Acc:MGI:1915523]</t>
  </si>
  <si>
    <t>Phlpp1</t>
  </si>
  <si>
    <t>PH domain and leucine rich repeat protein phosphatase 1 [Source:MGI Symbol;Acc:MGI:2138327]</t>
  </si>
  <si>
    <t>Acaca</t>
  </si>
  <si>
    <t>acetyl-Coenzyme A carboxylase alpha [Source:MGI Symbol;Acc:MGI:108451]</t>
  </si>
  <si>
    <t>Dkc1</t>
  </si>
  <si>
    <t>dyskeratosis congenita 1, dyskerin [Source:MGI Symbol;Acc:MGI:1861727]</t>
  </si>
  <si>
    <t>Tnfrsf26</t>
  </si>
  <si>
    <t>tumor necrosis factor receptor superfamily, member 26 [Source:MGI Symbol;Acc:MGI:2651928]</t>
  </si>
  <si>
    <t>Neurl1b</t>
  </si>
  <si>
    <t>neuralized E3 ubiquitin protein ligase 1B [Source:MGI Symbol;Acc:MGI:3643092]</t>
  </si>
  <si>
    <t>Ap2a2</t>
  </si>
  <si>
    <t>adaptor-related protein complex 2, alpha 2 subunit [Source:MGI Symbol;Acc:MGI:101920]</t>
  </si>
  <si>
    <t>Zfp759</t>
  </si>
  <si>
    <t>zinc finger protein 759 [Source:MGI Symbol;Acc:MGI:2446280]</t>
  </si>
  <si>
    <t>Gm45753</t>
  </si>
  <si>
    <t>predicted gene 45753 [Source:MGI Symbol;Acc:MGI:5804868]</t>
  </si>
  <si>
    <t>Gm50388</t>
  </si>
  <si>
    <t>predicted gene, 50388 [Source:MGI Symbol;Acc:MGI:6303291]</t>
  </si>
  <si>
    <t>Shcbp1l</t>
  </si>
  <si>
    <t>Shc SH2-domain binding protein 1-like [Source:MGI Symbol;Acc:MGI:1919086]</t>
  </si>
  <si>
    <t>Azin1</t>
  </si>
  <si>
    <t>antizyme inhibitor 1 [Source:MGI Symbol;Acc:MGI:1859169]</t>
  </si>
  <si>
    <t>Sirpa</t>
  </si>
  <si>
    <t>signal-regulatory protein alpha [Source:MGI Symbol;Acc:MGI:108563]</t>
  </si>
  <si>
    <t>P3h3</t>
  </si>
  <si>
    <t>prolyl 3-hydroxylase 3 [Source:MGI Symbol;Acc:MGI:1315208]</t>
  </si>
  <si>
    <t>Shb</t>
  </si>
  <si>
    <t>src homology 2 domain-containing transforming protein B [Source:MGI Symbol;Acc:MGI:98294]</t>
  </si>
  <si>
    <t>Mrps27</t>
  </si>
  <si>
    <t>mitochondrial ribosomal protein S27 [Source:MGI Symbol;Acc:MGI:1919064]</t>
  </si>
  <si>
    <t>Odc1</t>
  </si>
  <si>
    <t>ornithine decarboxylase, structural 1 [Source:MGI Symbol;Acc:MGI:97402]</t>
  </si>
  <si>
    <t>Mrm1</t>
  </si>
  <si>
    <t>mitochondrial rRNA methyltransferase 1 [Source:MGI Symbol;Acc:MGI:2443470]</t>
  </si>
  <si>
    <t>Prpf38a</t>
  </si>
  <si>
    <t>PRP38 pre-mRNA processing factor 38 (yeast) domain containing A [Source:MGI Symbol;Acc:MGI:1916962]</t>
  </si>
  <si>
    <t>1110002J07Rik</t>
  </si>
  <si>
    <t>RIKEN cDNA 1110002J07 gene [Source:MGI Symbol;Acc:MGI:1915738]</t>
  </si>
  <si>
    <t>Fhad1</t>
  </si>
  <si>
    <t>forkhead-associated (FHA) phosphopeptide binding domain 1 [Source:MGI Symbol;Acc:MGI:1920323]</t>
  </si>
  <si>
    <t>Ctcf</t>
  </si>
  <si>
    <t>CCCTC-binding factor [Source:MGI Symbol;Acc:MGI:109447]</t>
  </si>
  <si>
    <t>Tyw5</t>
  </si>
  <si>
    <t>tRNA-yW synthesizing protein 5 [Source:MGI Symbol;Acc:MGI:1915986]</t>
  </si>
  <si>
    <t>Vps13b</t>
  </si>
  <si>
    <t>vacuolar protein sorting 13B [Source:MGI Symbol;Acc:MGI:1916380]</t>
  </si>
  <si>
    <t>Aifm1</t>
  </si>
  <si>
    <t>apoptosis-inducing factor, mitochondrion-associated 1 [Source:MGI Symbol;Acc:MGI:1349419]</t>
  </si>
  <si>
    <t>Magi3</t>
  </si>
  <si>
    <t>membrane associated guanylate kinase, WW and PDZ domain containing 3 [Source:MGI Symbol;Acc:MGI:1923484]</t>
  </si>
  <si>
    <t>Gm30042</t>
  </si>
  <si>
    <t>predicted gene, 30042 [Source:MGI Symbol;Acc:MGI:5589201]</t>
  </si>
  <si>
    <t>Rbm10</t>
  </si>
  <si>
    <t>RNA binding motif protein 10 [Source:MGI Symbol;Acc:MGI:2384310]</t>
  </si>
  <si>
    <t>Strn4</t>
  </si>
  <si>
    <t>striatin, calmodulin binding protein 4 [Source:MGI Symbol;Acc:MGI:2142346]</t>
  </si>
  <si>
    <t>Dlgap3</t>
  </si>
  <si>
    <t>DLG associated protein 3 [Source:MGI Symbol;Acc:MGI:3039563]</t>
  </si>
  <si>
    <t>Slc2a9</t>
  </si>
  <si>
    <t>solute carrier family 2 (facilitated glucose transporter), member 9 [Source:MGI Symbol;Acc:MGI:2152844]</t>
  </si>
  <si>
    <t>Pstk</t>
  </si>
  <si>
    <t>phosphoseryl-tRNA kinase [Source:MGI Symbol;Acc:MGI:2685945]</t>
  </si>
  <si>
    <t>Coro1a</t>
  </si>
  <si>
    <t>coronin, actin binding protein 1A [Source:MGI Symbol;Acc:MGI:1345961]</t>
  </si>
  <si>
    <t>Traf4</t>
  </si>
  <si>
    <t>TNF receptor associated factor 4 [Source:MGI Symbol;Acc:MGI:1202880]</t>
  </si>
  <si>
    <t>Degs1</t>
  </si>
  <si>
    <t>delta(4)-desaturase, sphingolipid 1 [Source:MGI Symbol;Acc:MGI:1097711]</t>
  </si>
  <si>
    <t>Capn3</t>
  </si>
  <si>
    <t>calpain 3 [Source:MGI Symbol;Acc:MGI:107437]</t>
  </si>
  <si>
    <t>Racgap1</t>
  </si>
  <si>
    <t>Rac GTPase-activating protein 1 [Source:MGI Symbol;Acc:MGI:1349423]</t>
  </si>
  <si>
    <t>Zfp385a</t>
  </si>
  <si>
    <t>zinc finger protein 385A [Source:MGI Symbol;Acc:MGI:1352495]</t>
  </si>
  <si>
    <t>Vcp</t>
  </si>
  <si>
    <t>valosin containing protein [Source:MGI Symbol;Acc:MGI:99919]</t>
  </si>
  <si>
    <t>Insyn2a</t>
  </si>
  <si>
    <t>inhibitory synaptic factor 2A [Source:MGI Symbol;Acc:MGI:3605068]</t>
  </si>
  <si>
    <t>Mif</t>
  </si>
  <si>
    <t>macrophage migration inhibitory factor (glycosylation-inhibiting factor) [Source:MGI Symbol;Acc:MGI:96982]</t>
  </si>
  <si>
    <t>Ciapin1</t>
  </si>
  <si>
    <t>cytokine induced apoptosis inhibitor 1 [Source:MGI Symbol;Acc:MGI:1922083]</t>
  </si>
  <si>
    <t>Ccnc</t>
  </si>
  <si>
    <t>cyclin C [Source:MGI Symbol;Acc:MGI:1858199]</t>
  </si>
  <si>
    <t>Eid1</t>
  </si>
  <si>
    <t>EP300 interacting inhibitor of differentiation 1 [Source:MGI Symbol;Acc:MGI:1889651]</t>
  </si>
  <si>
    <t>Samd8</t>
  </si>
  <si>
    <t>sterile alpha motif domain containing 8 [Source:MGI Symbol;Acc:MGI:1914880]</t>
  </si>
  <si>
    <t>Rpain</t>
  </si>
  <si>
    <t>RPA interacting protein [Source:MGI Symbol;Acc:MGI:1916973]</t>
  </si>
  <si>
    <t>Ino80b</t>
  </si>
  <si>
    <t>INO80 complex subunit B [Source:MGI Symbol;Acc:MGI:1917270]</t>
  </si>
  <si>
    <t>Klhl28</t>
  </si>
  <si>
    <t>kelch-like 28 [Source:MGI Symbol;Acc:MGI:1913939]</t>
  </si>
  <si>
    <t>Orc6</t>
  </si>
  <si>
    <t>origin recognition complex, subunit 6 [Source:MGI Symbol;Acc:MGI:1929285]</t>
  </si>
  <si>
    <t>Zrsr2</t>
  </si>
  <si>
    <t>zinc finger (CCCH type), RNA binding motif and serine/arginine rich 2 [Source:MGI Symbol;Acc:MGI:103287]</t>
  </si>
  <si>
    <t>Parl</t>
  </si>
  <si>
    <t>presenilin associated, rhomboid-like [Source:MGI Symbol;Acc:MGI:1277152]</t>
  </si>
  <si>
    <t>Sco2</t>
  </si>
  <si>
    <t>SCO2 cytochrome c oxidase assembly protein [Source:MGI Symbol;Acc:MGI:3818630]</t>
  </si>
  <si>
    <t>Ythdf1</t>
  </si>
  <si>
    <t>YTH N6-methyladenosine RNA binding protein 1 [Source:MGI Symbol;Acc:MGI:1917431]</t>
  </si>
  <si>
    <t>Gm6611</t>
  </si>
  <si>
    <t>predicted gene 6611 [Source:MGI Symbol;Acc:MGI:3645568]</t>
  </si>
  <si>
    <t>Prkcsh</t>
  </si>
  <si>
    <t>protein kinase C substrate 80K-H [Source:MGI Symbol;Acc:MGI:107877]</t>
  </si>
  <si>
    <t>Lrrc39</t>
  </si>
  <si>
    <t>leucine rich repeat containing 39 [Source:MGI Symbol;Acc:MGI:1924557]</t>
  </si>
  <si>
    <t>Slc30a7</t>
  </si>
  <si>
    <t>solute carrier family 30 (zinc transporter), member 7 [Source:MGI Symbol;Acc:MGI:1913750]</t>
  </si>
  <si>
    <t>Psap</t>
  </si>
  <si>
    <t>prosaposin [Source:MGI Symbol;Acc:MGI:97783]</t>
  </si>
  <si>
    <t>Gm15728</t>
  </si>
  <si>
    <t>predicted gene 15728 [Source:MGI Symbol;Acc:MGI:3783171]</t>
  </si>
  <si>
    <t>Pgam5</t>
  </si>
  <si>
    <t>phosphoglycerate mutase family member 5 [Source:MGI Symbol;Acc:MGI:1919792]</t>
  </si>
  <si>
    <t>Cds2</t>
  </si>
  <si>
    <t>CDP-diacylglycerol synthase (phosphatidate cytidylyltransferase) 2 [Source:MGI Symbol;Acc:MGI:1332236]</t>
  </si>
  <si>
    <t>Cox18</t>
  </si>
  <si>
    <t>cytochrome c oxidase assembly protein 18 [Source:MGI Symbol;Acc:MGI:2448532]</t>
  </si>
  <si>
    <t>Itsn1</t>
  </si>
  <si>
    <t>intersectin 1 (SH3 domain protein 1A) [Source:MGI Symbol;Acc:MGI:1338069]</t>
  </si>
  <si>
    <t>Timm21</t>
  </si>
  <si>
    <t>translocase of inner mitochondrial membrane 21 [Source:MGI Symbol;Acc:MGI:1920595]</t>
  </si>
  <si>
    <t>Rbms1</t>
  </si>
  <si>
    <t>RNA binding motif, single stranded interacting protein 1 [Source:MGI Symbol;Acc:MGI:1861774]</t>
  </si>
  <si>
    <t>Rnf220</t>
  </si>
  <si>
    <t>ring finger protein 220 [Source:MGI Symbol;Acc:MGI:1913993]</t>
  </si>
  <si>
    <t>Kmt5a</t>
  </si>
  <si>
    <t>lysine methyltransferase 5A [Source:MGI Symbol;Acc:MGI:1915206]</t>
  </si>
  <si>
    <t>Ube2d2a</t>
  </si>
  <si>
    <t>ubiquitin-conjugating enzyme E2D 2A [Source:MGI Symbol;Acc:MGI:1930715]</t>
  </si>
  <si>
    <t>Uchl1</t>
  </si>
  <si>
    <t>ubiquitin carboxy-terminal hydrolase L1 [Source:MGI Symbol;Acc:MGI:103149]</t>
  </si>
  <si>
    <t>Eri2</t>
  </si>
  <si>
    <t>exoribonuclease 2 [Source:MGI Symbol;Acc:MGI:1918401]</t>
  </si>
  <si>
    <t>Mrpl28</t>
  </si>
  <si>
    <t>mitochondrial ribosomal protein L28 [Source:MGI Symbol;Acc:MGI:1915861]</t>
  </si>
  <si>
    <t>Atp6v1f</t>
  </si>
  <si>
    <t>ATPase, H+ transporting, lysosomal V1 subunit F [Source:MGI Symbol;Acc:MGI:1913394]</t>
  </si>
  <si>
    <t>Rnf126</t>
  </si>
  <si>
    <t>ring finger protein 126 [Source:MGI Symbol;Acc:MGI:1917544]</t>
  </si>
  <si>
    <t>Sf3b1</t>
  </si>
  <si>
    <t>splicing factor 3b, subunit 1 [Source:MGI Symbol;Acc:MGI:1932339]</t>
  </si>
  <si>
    <t>Irf8</t>
  </si>
  <si>
    <t>interferon regulatory factor 8 [Source:MGI Symbol;Acc:MGI:96395]</t>
  </si>
  <si>
    <t>Zdhhc6</t>
  </si>
  <si>
    <t>zinc finger, DHHC domain containing 6 [Source:MGI Symbol;Acc:MGI:1914230]</t>
  </si>
  <si>
    <t>Klhl22</t>
  </si>
  <si>
    <t>kelch-like 22 [Source:MGI Symbol;Acc:MGI:1337995]</t>
  </si>
  <si>
    <t>Nr0b2</t>
  </si>
  <si>
    <t>nuclear receptor subfamily 0, group B, member 2 [Source:MGI Symbol;Acc:MGI:1346344]</t>
  </si>
  <si>
    <t>Irak4</t>
  </si>
  <si>
    <t>interleukin-1 receptor-associated kinase 4 [Source:MGI Symbol;Acc:MGI:2182474]</t>
  </si>
  <si>
    <t>Ddx50</t>
  </si>
  <si>
    <t>DEAD (Asp-Glu-Ala-Asp) box polypeptide 50 [Source:MGI Symbol;Acc:MGI:2182303]</t>
  </si>
  <si>
    <t>Gm45640</t>
  </si>
  <si>
    <t>predicted gene 45640 [Source:MGI Symbol;Acc:MGI:5791476]</t>
  </si>
  <si>
    <t>Ezh1</t>
  </si>
  <si>
    <t>enhancer of zeste 1 polycomb repressive complex 2 subunit [Source:MGI Symbol;Acc:MGI:1097695]</t>
  </si>
  <si>
    <t>Leng1</t>
  </si>
  <si>
    <t>leukocyte receptor cluster (LRC) member 1 [Source:MGI Symbol;Acc:MGI:1917007]</t>
  </si>
  <si>
    <t>Dpf1</t>
  </si>
  <si>
    <t>D4, zinc and double PHD fingers family 1 [Source:MGI Symbol;Acc:MGI:1352748]</t>
  </si>
  <si>
    <t>Glmp</t>
  </si>
  <si>
    <t>glycosylated lysosomal membrane protein [Source:MGI Symbol;Acc:MGI:1913318]</t>
  </si>
  <si>
    <t>Gle1</t>
  </si>
  <si>
    <t>GLE1 RNA export mediator (yeast) [Source:MGI Symbol;Acc:MGI:1921662]</t>
  </si>
  <si>
    <t>U2af1</t>
  </si>
  <si>
    <t>U2 small nuclear ribonucleoprotein auxiliary factor (U2AF) 1 [Source:MGI Symbol;Acc:MGI:98884]</t>
  </si>
  <si>
    <t>Ppox</t>
  </si>
  <si>
    <t>protoporphyrinogen oxidase [Source:MGI Symbol;Acc:MGI:104968]</t>
  </si>
  <si>
    <t>Plbd2</t>
  </si>
  <si>
    <t>phospholipase B domain containing 2 [Source:MGI Symbol;Acc:MGI:1919022]</t>
  </si>
  <si>
    <t>H2ac6</t>
  </si>
  <si>
    <t>H2A clustered histone 6 [Source:MGI Symbol;Acc:MGI:2448287]</t>
  </si>
  <si>
    <t>Ndufs7</t>
  </si>
  <si>
    <t>NADH:ubiquinone oxidoreductase core subunit S7 [Source:MGI Symbol;Acc:MGI:1922656]</t>
  </si>
  <si>
    <t>Mks1</t>
  </si>
  <si>
    <t>Meckel syndrome, type 1 [Source:MGI Symbol;Acc:MGI:3584243]</t>
  </si>
  <si>
    <t>Btf3</t>
  </si>
  <si>
    <t>basic transcription factor 3 [Source:MGI Symbol;Acc:MGI:1202875]</t>
  </si>
  <si>
    <t>Serpinf1</t>
  </si>
  <si>
    <t>serine (or cysteine) peptidase inhibitor, clade F, member 1 [Source:MGI Symbol;Acc:MGI:108080]</t>
  </si>
  <si>
    <t>Capn7</t>
  </si>
  <si>
    <t>calpain 7 [Source:MGI Symbol;Acc:MGI:1338030]</t>
  </si>
  <si>
    <t>Tep1</t>
  </si>
  <si>
    <t>telomerase associated protein 1 [Source:MGI Symbol;Acc:MGI:109573]</t>
  </si>
  <si>
    <t>Tcea1</t>
  </si>
  <si>
    <t>transcription elongation factor A (SII) 1 [Source:MGI Symbol;Acc:MGI:1196624]</t>
  </si>
  <si>
    <t>Nudt16l1</t>
  </si>
  <si>
    <t>nudix (nucleoside diphosphate linked moiety X)-type motif 16-like 1 [Source:MGI Symbol;Acc:MGI:1914161]</t>
  </si>
  <si>
    <t>Rpl21</t>
  </si>
  <si>
    <t>ribosomal protein L21 [Source:MGI Symbol;Acc:MGI:1278340]</t>
  </si>
  <si>
    <t>Mon1b</t>
  </si>
  <si>
    <t>MON1 homolog B, secretory traffciking associated [Source:MGI Symbol;Acc:MGI:1923231]</t>
  </si>
  <si>
    <t>Mindy2</t>
  </si>
  <si>
    <t>MINDY lysine 48 deubiquitinase 2 [Source:MGI Symbol;Acc:MGI:2443086]</t>
  </si>
  <si>
    <t>Atp6v0d1</t>
  </si>
  <si>
    <t>ATPase, H+ transporting, lysosomal V0 subunit D1 [Source:MGI Symbol;Acc:MGI:1201778]</t>
  </si>
  <si>
    <t>Sdccag8</t>
  </si>
  <si>
    <t>serologically defined colon cancer antigen 8 [Source:MGI Symbol;Acc:MGI:1924066]</t>
  </si>
  <si>
    <t>Gmppb</t>
  </si>
  <si>
    <t>GDP-mannose pyrophosphorylase B [Source:MGI Symbol;Acc:MGI:2660880]</t>
  </si>
  <si>
    <t>Ppwd1</t>
  </si>
  <si>
    <t>peptidylprolyl isomerase domain and WD repeat containing 1 [Source:MGI Symbol;Acc:MGI:2443069]</t>
  </si>
  <si>
    <t>Gm9892</t>
  </si>
  <si>
    <t>predicted gene 9892 [Source:MGI Symbol;Acc:MGI:3701610]</t>
  </si>
  <si>
    <t>Pdcd6ip</t>
  </si>
  <si>
    <t>programmed cell death 6 interacting protein [Source:MGI Symbol;Acc:MGI:1333753]</t>
  </si>
  <si>
    <t>4930455G09Rik</t>
  </si>
  <si>
    <t>RIKEN cDNA 4930455G09 gene [Source:MGI Symbol;Acc:MGI:1926167]</t>
  </si>
  <si>
    <t>Rab11fip4os1</t>
  </si>
  <si>
    <t>RAB11 family interacting protein 4 (class II), opposite strand 1 [Source:MGI Symbol;Acc:MGI:3650027]</t>
  </si>
  <si>
    <t>Pcid2</t>
  </si>
  <si>
    <t>PCI domain containing 2 [Source:MGI Symbol;Acc:MGI:2443003]</t>
  </si>
  <si>
    <t>2310022A10Rik</t>
  </si>
  <si>
    <t>RIKEN cDNA 2310022A10 gene [Source:MGI Symbol;Acc:MGI:1913617]</t>
  </si>
  <si>
    <t>Rps6ka3</t>
  </si>
  <si>
    <t>ribosomal protein S6 kinase polypeptide 3 [Source:MGI Symbol;Acc:MGI:104557]</t>
  </si>
  <si>
    <t>Gm23450</t>
  </si>
  <si>
    <t>predicted gene, 23450 [Source:MGI Symbol;Acc:MGI:5453227]</t>
  </si>
  <si>
    <t>Arid2</t>
  </si>
  <si>
    <t>AT rich interactive domain 2 (ARID, RFX-like) [Source:MGI Symbol;Acc:MGI:1924294]</t>
  </si>
  <si>
    <t>Nicn1</t>
  </si>
  <si>
    <t>nicolin 1 [Source:MGI Symbol;Acc:MGI:1913507]</t>
  </si>
  <si>
    <t>Adck1</t>
  </si>
  <si>
    <t>aarF domain containing kinase 1 [Source:MGI Symbol;Acc:MGI:1919363]</t>
  </si>
  <si>
    <t>Mapk14</t>
  </si>
  <si>
    <t>mitogen-activated protein kinase 14 [Source:MGI Symbol;Acc:MGI:1346865]</t>
  </si>
  <si>
    <t>Nfxl1</t>
  </si>
  <si>
    <t>nuclear transcription factor, X-box binding-like 1 [Source:MGI Symbol;Acc:MGI:1923646]</t>
  </si>
  <si>
    <t>Polr1a</t>
  </si>
  <si>
    <t>polymerase (RNA) I polypeptide A [Source:MGI Symbol;Acc:MGI:1096397]</t>
  </si>
  <si>
    <t>Gm10384</t>
  </si>
  <si>
    <t>predicted gene 10384 [Source:MGI Symbol;Acc:MGI:3641812]</t>
  </si>
  <si>
    <t>Gm20234</t>
  </si>
  <si>
    <t>predicted gene, 20234 [Source:MGI Symbol;Acc:MGI:5012419]</t>
  </si>
  <si>
    <t>Edf1</t>
  </si>
  <si>
    <t>endothelial differentiation-related factor 1 [Source:MGI Symbol;Acc:MGI:1891227]</t>
  </si>
  <si>
    <t>Ccdc57</t>
  </si>
  <si>
    <t>coiled-coil domain containing 57 [Source:MGI Symbol;Acc:MGI:1918526]</t>
  </si>
  <si>
    <t>Rictor</t>
  </si>
  <si>
    <t>RPTOR independent companion of MTOR, complex 2 [Source:MGI Symbol;Acc:MGI:1926007]</t>
  </si>
  <si>
    <t>Trub1</t>
  </si>
  <si>
    <t>TruB pseudouridine (psi) synthase family member 1 [Source:MGI Symbol;Acc:MGI:1919383]</t>
  </si>
  <si>
    <t>Cog3</t>
  </si>
  <si>
    <t>component of oligomeric golgi complex 3 [Source:MGI Symbol;Acc:MGI:2450151]</t>
  </si>
  <si>
    <t>Tcp11l1</t>
  </si>
  <si>
    <t>t-complex 11 like 1 [Source:MGI Symbol;Acc:MGI:2444263]</t>
  </si>
  <si>
    <t>Mre11a</t>
  </si>
  <si>
    <t>MRE11A homolog A, double strand break repair nuclease [Source:MGI Symbol;Acc:MGI:1100512]</t>
  </si>
  <si>
    <t>Zfp358</t>
  </si>
  <si>
    <t>zinc finger protein 358 [Source:MGI Symbol;Acc:MGI:2153740]</t>
  </si>
  <si>
    <t>Tmem128</t>
  </si>
  <si>
    <t>transmembrane protein 128 [Source:MGI Symbol;Acc:MGI:1913559]</t>
  </si>
  <si>
    <t>Gm37240</t>
  </si>
  <si>
    <t>predicted gene, 37240 [Source:MGI Symbol;Acc:MGI:5610468]</t>
  </si>
  <si>
    <t>Gm10432</t>
  </si>
  <si>
    <t>predicted gene 10432 [Source:MGI Symbol;Acc:MGI:3642011]</t>
  </si>
  <si>
    <t>BC023105</t>
  </si>
  <si>
    <t>cDNA sequence BC023105 [Source:MGI Symbol;Acc:MGI:2384767]</t>
  </si>
  <si>
    <t>Ubqln2</t>
  </si>
  <si>
    <t>ubiquilin 2 [Source:MGI Symbol;Acc:MGI:1860283]</t>
  </si>
  <si>
    <t>6230400D17Rik</t>
  </si>
  <si>
    <t>RIKEN cDNA 6230400D17 gene [Source:MGI Symbol;Acc:MGI:1923383]</t>
  </si>
  <si>
    <t>Zfx</t>
  </si>
  <si>
    <t>zinc finger protein X-linked [Source:MGI Symbol;Acc:MGI:99211]</t>
  </si>
  <si>
    <t>Shprh</t>
  </si>
  <si>
    <t>SNF2 histone linker PHD RING helicase [Source:MGI Symbol;Acc:MGI:1917581]</t>
  </si>
  <si>
    <t>Efr3b</t>
  </si>
  <si>
    <t>EFR3 homolog B [Source:MGI Symbol;Acc:MGI:2444851]</t>
  </si>
  <si>
    <t>Dgcr8</t>
  </si>
  <si>
    <t>DGCR8, microprocessor complex subunit [Source:MGI Symbol;Acc:MGI:2151114]</t>
  </si>
  <si>
    <t>Septin9</t>
  </si>
  <si>
    <t>septin 9 [Source:MGI Symbol;Acc:MGI:1858222]</t>
  </si>
  <si>
    <t>Eloc</t>
  </si>
  <si>
    <t>elongin C [Source:MGI Symbol;Acc:MGI:1915173]</t>
  </si>
  <si>
    <t>Nos1</t>
  </si>
  <si>
    <t>nitric oxide synthase 1, neuronal [Source:MGI Symbol;Acc:MGI:97360]</t>
  </si>
  <si>
    <t>Gm3320</t>
  </si>
  <si>
    <t>predicted pseudogene 3320 [Source:MGI Symbol;Acc:MGI:3781498]</t>
  </si>
  <si>
    <t>Cdc123</t>
  </si>
  <si>
    <t>cell division cycle 123 [Source:MGI Symbol;Acc:MGI:2138811]</t>
  </si>
  <si>
    <t>Nemp1</t>
  </si>
  <si>
    <t>nuclear envelope integral membrane protein 1 [Source:MGI Symbol;Acc:MGI:2446113]</t>
  </si>
  <si>
    <t>4930402H24Rik</t>
  </si>
  <si>
    <t>RIKEN cDNA 4930402H24 gene [Source:MGI Symbol;Acc:MGI:1923029]</t>
  </si>
  <si>
    <t>Chmp2a</t>
  </si>
  <si>
    <t>charged multivesicular body protein 2A [Source:MGI Symbol;Acc:MGI:1916203]</t>
  </si>
  <si>
    <t>Aspscr1</t>
  </si>
  <si>
    <t>alveolar soft part sarcoma chromosome region, candidate 1 (human) [Source:MGI Symbol;Acc:MGI:1916188]</t>
  </si>
  <si>
    <t>Raf1</t>
  </si>
  <si>
    <t>v-raf-leukemia viral oncogene 1 [Source:MGI Symbol;Acc:MGI:97847]</t>
  </si>
  <si>
    <t>Pin1</t>
  </si>
  <si>
    <t>protein (peptidyl-prolyl cis/trans isomerase) NIMA-interacting 1 [Source:MGI Symbol;Acc:MGI:1346036]</t>
  </si>
  <si>
    <t>Nlrp1b</t>
  </si>
  <si>
    <t>NLR family, pyrin domain containing 1B [Source:MGI Symbol;Acc:MGI:3582959]</t>
  </si>
  <si>
    <t>Gm43679</t>
  </si>
  <si>
    <t>predicted gene 43679 [Source:MGI Symbol;Acc:MGI:5663816]</t>
  </si>
  <si>
    <t>Parvb</t>
  </si>
  <si>
    <t>parvin, beta [Source:MGI Symbol;Acc:MGI:2153063]</t>
  </si>
  <si>
    <t>Gm37498</t>
  </si>
  <si>
    <t>predicted gene, 37498 [Source:MGI Symbol;Acc:MGI:5610726]</t>
  </si>
  <si>
    <t>Dok4</t>
  </si>
  <si>
    <t>docking protein 4 [Source:MGI Symbol;Acc:MGI:2148865]</t>
  </si>
  <si>
    <t>Kif22</t>
  </si>
  <si>
    <t>kinesin family member 22 [Source:MGI Symbol;Acc:MGI:109233]</t>
  </si>
  <si>
    <t>Mrps23</t>
  </si>
  <si>
    <t>mitochondrial ribosomal protein S23 [Source:MGI Symbol;Acc:MGI:1928138]</t>
  </si>
  <si>
    <t>Ascc1</t>
  </si>
  <si>
    <t>activating signal cointegrator 1 complex subunit 1 [Source:MGI Symbol;Acc:MGI:1916340]</t>
  </si>
  <si>
    <t>Lancl1</t>
  </si>
  <si>
    <t>LanC (bacterial lantibiotic synthetase component C)-like 1 [Source:MGI Symbol;Acc:MGI:1336997]</t>
  </si>
  <si>
    <t>Gm6377</t>
  </si>
  <si>
    <t>predicted gene 6377 [Source:MGI Symbol;Acc:MGI:3647255]</t>
  </si>
  <si>
    <t>Impad1</t>
  </si>
  <si>
    <t>inositol monophosphatase domain containing 1 [Source:MGI Symbol;Acc:MGI:1915720]</t>
  </si>
  <si>
    <t>Psmg2</t>
  </si>
  <si>
    <t>proteasome (prosome, macropain) assembly chaperone 2 [Source:MGI Symbol;Acc:MGI:1922901]</t>
  </si>
  <si>
    <t>2700033N17Rik</t>
  </si>
  <si>
    <t>RIKEN cDNA 2700033N17 gene [Source:MGI Symbol;Acc:MGI:1919853]</t>
  </si>
  <si>
    <t>Ccdc43</t>
  </si>
  <si>
    <t>coiled-coil domain containing 43 [Source:MGI Symbol;Acc:MGI:1289318]</t>
  </si>
  <si>
    <t>Zfp335</t>
  </si>
  <si>
    <t>zinc finger protein 335 [Source:MGI Symbol;Acc:MGI:2682313]</t>
  </si>
  <si>
    <t>Slc38a6</t>
  </si>
  <si>
    <t>solute carrier family 38, member 6 [Source:MGI Symbol;Acc:MGI:3648156]</t>
  </si>
  <si>
    <t>Ercc5</t>
  </si>
  <si>
    <t>excision repair cross-complementing rodent repair deficiency, complementation group 5 [Source:MGI Symbol;Acc:MGI:103582]</t>
  </si>
  <si>
    <t>Cmss1</t>
  </si>
  <si>
    <t>cms small ribosomal subunit 1 [Source:MGI Symbol;Acc:MGI:1913747]</t>
  </si>
  <si>
    <t>Gaa</t>
  </si>
  <si>
    <t>glucosidase, alpha, acid [Source:MGI Symbol;Acc:MGI:95609]</t>
  </si>
  <si>
    <t>Dennd2c</t>
  </si>
  <si>
    <t>DENN/MADD domain containing 2C [Source:MGI Symbol;Acc:MGI:3036254]</t>
  </si>
  <si>
    <t>Rpl10</t>
  </si>
  <si>
    <t>ribosomal protein L10 [Source:MGI Symbol;Acc:MGI:105943]</t>
  </si>
  <si>
    <t>Mki67</t>
  </si>
  <si>
    <t>antigen identified by monoclonal antibody Ki 67 [Source:MGI Symbol;Acc:MGI:106035]</t>
  </si>
  <si>
    <t>Znf41-ps</t>
  </si>
  <si>
    <t>ZNF41, pseudogene [Source:MGI Symbol;Acc:MGI:1917255]</t>
  </si>
  <si>
    <t>Hlx</t>
  </si>
  <si>
    <t>H2.0-like homeobox [Source:MGI Symbol;Acc:MGI:96109]</t>
  </si>
  <si>
    <t>Ergic2</t>
  </si>
  <si>
    <t>ERGIC and golgi 2 [Source:MGI Symbol;Acc:MGI:1914706]</t>
  </si>
  <si>
    <t>Clta</t>
  </si>
  <si>
    <t>clathrin, light polypeptide (Lca) [Source:MGI Symbol;Acc:MGI:894297]</t>
  </si>
  <si>
    <t>Stx5a</t>
  </si>
  <si>
    <t>syntaxin 5A [Source:MGI Symbol;Acc:MGI:1928483]</t>
  </si>
  <si>
    <t>Antxr1</t>
  </si>
  <si>
    <t>anthrax toxin receptor 1 [Source:MGI Symbol;Acc:MGI:1916788]</t>
  </si>
  <si>
    <t>Sting1</t>
  </si>
  <si>
    <t>stimulator of interferon response cGAMP interactor 1 [Source:MGI Symbol;Acc:MGI:1919762]</t>
  </si>
  <si>
    <t>Slc48a1</t>
  </si>
  <si>
    <t>solute carrier family 48 (heme transporter), member 1 [Source:MGI Symbol;Acc:MGI:1914989]</t>
  </si>
  <si>
    <t>BC005537</t>
  </si>
  <si>
    <t>cDNA sequence BC005537 [Source:MGI Symbol;Acc:MGI:2441726]</t>
  </si>
  <si>
    <t>Prr5l</t>
  </si>
  <si>
    <t>proline rich 5 like [Source:MGI Symbol;Acc:MGI:1919696]</t>
  </si>
  <si>
    <t>Tpd52l2</t>
  </si>
  <si>
    <t>tumor protein D52-like 2 [Source:MGI Symbol;Acc:MGI:1913564]</t>
  </si>
  <si>
    <t>Taf1d</t>
  </si>
  <si>
    <t>TATA-box binding protein associated factor, RNA polymerase I, D [Source:MGI Symbol;Acc:MGI:1922566]</t>
  </si>
  <si>
    <t>Hars2</t>
  </si>
  <si>
    <t>histidyl-tRNA synthetase 2 [Source:MGI Symbol;Acc:MGI:1918041]</t>
  </si>
  <si>
    <t>Pi4kb</t>
  </si>
  <si>
    <t>phosphatidylinositol 4-kinase beta [Source:MGI Symbol;Acc:MGI:1334433]</t>
  </si>
  <si>
    <t>Rab5b</t>
  </si>
  <si>
    <t>RAB5B, member RAS oncogene family [Source:MGI Symbol;Acc:MGI:105938]</t>
  </si>
  <si>
    <t>Vash1</t>
  </si>
  <si>
    <t>vasohibin 1 [Source:MGI Symbol;Acc:MGI:2442543]</t>
  </si>
  <si>
    <t>Slc26a6</t>
  </si>
  <si>
    <t>solute carrier family 26, member 6 [Source:MGI Symbol;Acc:MGI:2159728]</t>
  </si>
  <si>
    <t>Arc</t>
  </si>
  <si>
    <t>activity regulated cytoskeletal-associated protein [Source:MGI Symbol;Acc:MGI:88067]</t>
  </si>
  <si>
    <t>Zfp598</t>
  </si>
  <si>
    <t>zinc finger protein 598 [Source:MGI Symbol;Acc:MGI:2670965]</t>
  </si>
  <si>
    <t>Poc1a</t>
  </si>
  <si>
    <t>POC1 centriolar protein A [Source:MGI Symbol;Acc:MGI:1917485]</t>
  </si>
  <si>
    <t>Stom</t>
  </si>
  <si>
    <t>stomatin [Source:MGI Symbol;Acc:MGI:95403]</t>
  </si>
  <si>
    <t>Nfs1</t>
  </si>
  <si>
    <t>nitrogen fixation gene 1 (S. cerevisiae) [Source:MGI Symbol;Acc:MGI:1316706]</t>
  </si>
  <si>
    <t>Fgfr1op</t>
  </si>
  <si>
    <t>Fgfr1 oncogene partner [Source:MGI Symbol;Acc:MGI:1922546]</t>
  </si>
  <si>
    <t>Nrd1</t>
  </si>
  <si>
    <t>nardilysin, N-arginine dibasic convertase, NRD convertase 1 [Source:MGI Symbol;Acc:MGI:1201386]</t>
  </si>
  <si>
    <t>Traf7</t>
  </si>
  <si>
    <t>TNF receptor-associated factor 7 [Source:MGI Symbol;Acc:MGI:3042141]</t>
  </si>
  <si>
    <t>Wdyhv1</t>
  </si>
  <si>
    <t>WDYHV motif containing 1 [Source:MGI Symbol;Acc:MGI:1924023]</t>
  </si>
  <si>
    <t>Glrx</t>
  </si>
  <si>
    <t>glutaredoxin [Source:MGI Symbol;Acc:MGI:2135625]</t>
  </si>
  <si>
    <t>Angpt2</t>
  </si>
  <si>
    <t>angiopoietin 2 [Source:MGI Symbol;Acc:MGI:1202890]</t>
  </si>
  <si>
    <t>Kcnq1ot1</t>
  </si>
  <si>
    <t>KCNQ1 overlapping transcript 1 [Source:MGI Symbol;Acc:MGI:1926855]</t>
  </si>
  <si>
    <t>Tmem67</t>
  </si>
  <si>
    <t>transmembrane protein 67 [Source:MGI Symbol;Acc:MGI:1923928]</t>
  </si>
  <si>
    <t>Nup107</t>
  </si>
  <si>
    <t>nucleoporin 107 [Source:MGI Symbol;Acc:MGI:2143854]</t>
  </si>
  <si>
    <t>Hddc3</t>
  </si>
  <si>
    <t>HD domain containing 3 [Source:MGI Symbol;Acc:MGI:1915945]</t>
  </si>
  <si>
    <t>Smg6</t>
  </si>
  <si>
    <t>Smg-6 homolog, nonsense mediated mRNA decay factor (C. elegans) [Source:MGI Symbol;Acc:MGI:2144117]</t>
  </si>
  <si>
    <t>Tbca</t>
  </si>
  <si>
    <t>tubulin cofactor A [Source:MGI Symbol;Acc:MGI:107549]</t>
  </si>
  <si>
    <t>Gm49392</t>
  </si>
  <si>
    <t>predicted gene, 49392 [Source:MGI Symbol;Acc:MGI:6121621]</t>
  </si>
  <si>
    <t>Uhrf1bp1</t>
  </si>
  <si>
    <t>UHRF1 (ICBP90) binding protein 1 [Source:MGI Symbol;Acc:MGI:3041238]</t>
  </si>
  <si>
    <t>Capn1</t>
  </si>
  <si>
    <t>calpain 1 [Source:MGI Symbol;Acc:MGI:88263]</t>
  </si>
  <si>
    <t>Exosc9</t>
  </si>
  <si>
    <t>exosome component 9 [Source:MGI Symbol;Acc:MGI:1355319]</t>
  </si>
  <si>
    <t>Rpusd3</t>
  </si>
  <si>
    <t>RNA pseudouridylate synthase domain containing 3 [Source:MGI Symbol;Acc:MGI:2141440]</t>
  </si>
  <si>
    <t>Bcar1</t>
  </si>
  <si>
    <t>breast cancer anti-estrogen resistance 1 [Source:MGI Symbol;Acc:MGI:108091]</t>
  </si>
  <si>
    <t>Csad</t>
  </si>
  <si>
    <t>cysteine sulfinic acid decarboxylase [Source:MGI Symbol;Acc:MGI:2180098]</t>
  </si>
  <si>
    <t>Rgs19</t>
  </si>
  <si>
    <t>regulator of G-protein signaling 19 [Source:MGI Symbol;Acc:MGI:1915153]</t>
  </si>
  <si>
    <t>4930471E15Rik</t>
  </si>
  <si>
    <t>RIKEN cDNA 4930471E15 gene [Source:MGI Symbol;Acc:MGI:1922270]</t>
  </si>
  <si>
    <t>Fam160b1</t>
  </si>
  <si>
    <t>family with sequence similarity 160, member B1 [Source:MGI Symbol;Acc:MGI:2147545]</t>
  </si>
  <si>
    <t>Prpf31</t>
  </si>
  <si>
    <t>pre-mRNA processing factor 31 [Source:MGI Symbol;Acc:MGI:1916238]</t>
  </si>
  <si>
    <t>Gpsm2</t>
  </si>
  <si>
    <t>G-protein signalling modulator 2 (AGS3-like, C. elegans) [Source:MGI Symbol;Acc:MGI:1923373]</t>
  </si>
  <si>
    <t>Hacd2</t>
  </si>
  <si>
    <t>3-hydroxyacyl-CoA dehydratase 2 [Source:MGI Symbol;Acc:MGI:1918007]</t>
  </si>
  <si>
    <t>Pdcl3</t>
  </si>
  <si>
    <t>phosducin-like 3 [Source:MGI Symbol;Acc:MGI:1916083]</t>
  </si>
  <si>
    <t>Ccdc93</t>
  </si>
  <si>
    <t>coiled-coil domain containing 93 [Source:MGI Symbol;Acc:MGI:1918079]</t>
  </si>
  <si>
    <t>L3mbtl3</t>
  </si>
  <si>
    <t>L3MBTL3 histone methyl-lysine binding protein [Source:MGI Symbol;Acc:MGI:2143628]</t>
  </si>
  <si>
    <t>Notch1</t>
  </si>
  <si>
    <t>notch 1 [Source:MGI Symbol;Acc:MGI:97363]</t>
  </si>
  <si>
    <t>Ing1</t>
  </si>
  <si>
    <t>inhibitor of growth family, member 1 [Source:MGI Symbol;Acc:MGI:1349481]</t>
  </si>
  <si>
    <t>Faim</t>
  </si>
  <si>
    <t>Fas apoptotic inhibitory molecule [Source:MGI Symbol;Acc:MGI:1344387]</t>
  </si>
  <si>
    <t>Gm10521</t>
  </si>
  <si>
    <t>predicted gene 10521 [Source:MGI Symbol;Acc:MGI:3642358]</t>
  </si>
  <si>
    <t>Radx</t>
  </si>
  <si>
    <t>RPA1 related single stranded DNA binding protein, X-linked [Source:MGI Symbol;Acc:MGI:2147848]</t>
  </si>
  <si>
    <t>Ndufb1-ps</t>
  </si>
  <si>
    <t>NADH:ubiquinone oxidoreductase subunit B1 [Source:MGI Symbol;Acc:MGI:3780865]</t>
  </si>
  <si>
    <t>Seh1l</t>
  </si>
  <si>
    <t>SEH1-like (S. cerevisiae [Source:MGI Symbol;Acc:MGI:1919374]</t>
  </si>
  <si>
    <t>Tlr13</t>
  </si>
  <si>
    <t>toll-like receptor 13 [Source:MGI Symbol;Acc:MGI:3045213]</t>
  </si>
  <si>
    <t>Slc30a6</t>
  </si>
  <si>
    <t>solute carrier family 30 (zinc transporter), member 6 [Source:MGI Symbol;Acc:MGI:2386741]</t>
  </si>
  <si>
    <t>Pdp1</t>
  </si>
  <si>
    <t>pyruvate dehyrogenase phosphatase catalytic subunit 1 [Source:MGI Symbol;Acc:MGI:2685870]</t>
  </si>
  <si>
    <t>Poli</t>
  </si>
  <si>
    <t>polymerase (DNA directed), iota [Source:MGI Symbol;Acc:MGI:1347081]</t>
  </si>
  <si>
    <t>Zfp526</t>
  </si>
  <si>
    <t>zinc finger protein 526 [Source:MGI Symbol;Acc:MGI:2445181]</t>
  </si>
  <si>
    <t>Hdac6</t>
  </si>
  <si>
    <t>histone deacetylase 6 [Source:MGI Symbol;Acc:MGI:1333752]</t>
  </si>
  <si>
    <t>Cd109</t>
  </si>
  <si>
    <t>CD109 antigen [Source:MGI Symbol;Acc:MGI:2445221]</t>
  </si>
  <si>
    <t>Rapsn</t>
  </si>
  <si>
    <t>receptor-associated protein of the synapse [Source:MGI Symbol;Acc:MGI:99422]</t>
  </si>
  <si>
    <t>P2ry12</t>
  </si>
  <si>
    <t>purinergic receptor P2Y, G-protein coupled 12 [Source:MGI Symbol;Acc:MGI:1918089]</t>
  </si>
  <si>
    <t>Anapc5</t>
  </si>
  <si>
    <t>anaphase-promoting complex subunit 5 [Source:MGI Symbol;Acc:MGI:1929722]</t>
  </si>
  <si>
    <t>Ifi213</t>
  </si>
  <si>
    <t>interferon activated gene 213 [Source:MGI Symbol;Acc:MGI:3695276]</t>
  </si>
  <si>
    <t>Ddx56</t>
  </si>
  <si>
    <t>DEAD (Asp-Glu-Ala-Asp) box polypeptide 56 [Source:MGI Symbol;Acc:MGI:1277172]</t>
  </si>
  <si>
    <t>Nemf</t>
  </si>
  <si>
    <t>nuclear export mediator factor [Source:MGI Symbol;Acc:MGI:1918305]</t>
  </si>
  <si>
    <t>Ube2q2</t>
  </si>
  <si>
    <t>ubiquitin-conjugating enzyme E2Q family member 2 [Source:MGI Symbol;Acc:MGI:2388672]</t>
  </si>
  <si>
    <t>Scd2</t>
  </si>
  <si>
    <t>stearoyl-Coenzyme A desaturase 2 [Source:MGI Symbol;Acc:MGI:98240]</t>
  </si>
  <si>
    <t>Alg9</t>
  </si>
  <si>
    <t>asparagine-linked glycosylation 9 (alpha 1,2 mannosyltransferase) [Source:MGI Symbol;Acc:MGI:1924753]</t>
  </si>
  <si>
    <t>Prrg4</t>
  </si>
  <si>
    <t>proline rich Gla (G-carboxyglutamic acid) 4 (transmembrane) [Source:MGI Symbol;Acc:MGI:2442211]</t>
  </si>
  <si>
    <t>Aars</t>
  </si>
  <si>
    <t>alanyl-tRNA synthetase [Source:MGI Symbol;Acc:MGI:2384560]</t>
  </si>
  <si>
    <t>Runx3</t>
  </si>
  <si>
    <t>runt related transcription factor 3 [Source:MGI Symbol;Acc:MGI:102672]</t>
  </si>
  <si>
    <t>Gpatch2l</t>
  </si>
  <si>
    <t>G patch domain containing 2 like [Source:MGI Symbol;Acc:MGI:1917623]</t>
  </si>
  <si>
    <t>Tatdn1</t>
  </si>
  <si>
    <t>TatD DNase domain containing 1 [Source:MGI Symbol;Acc:MGI:1916944]</t>
  </si>
  <si>
    <t>Thap12</t>
  </si>
  <si>
    <t>THAP domain containing 12 [Source:MGI Symbol;Acc:MGI:1920231]</t>
  </si>
  <si>
    <t>Pop7</t>
  </si>
  <si>
    <t>processing of precursor 7, ribonuclease P family, (S. cerevisiae) [Source:MGI Symbol;Acc:MGI:1921347]</t>
  </si>
  <si>
    <t>Grpel2</t>
  </si>
  <si>
    <t>GrpE-like 2, mitochondrial [Source:MGI Symbol;Acc:MGI:1334416]</t>
  </si>
  <si>
    <t>Slf1</t>
  </si>
  <si>
    <t>SMC5-SMC6 complex localization factor 1 [Source:MGI Symbol;Acc:MGI:2145448]</t>
  </si>
  <si>
    <t>Hccs</t>
  </si>
  <si>
    <t>holocytochrome c synthetase [Source:MGI Symbol;Acc:MGI:106911]</t>
  </si>
  <si>
    <t>Gm14221</t>
  </si>
  <si>
    <t>predicted gene 14221 [Source:MGI Symbol;Acc:MGI:3650696]</t>
  </si>
  <si>
    <t>Ddx47</t>
  </si>
  <si>
    <t>DEAD (Asp-Glu-Ala-Asp) box polypeptide 47 [Source:MGI Symbol;Acc:MGI:1915005]</t>
  </si>
  <si>
    <t>Klra2</t>
  </si>
  <si>
    <t>killer cell lectin-like receptor, subfamily A, member 2 [Source:MGI Symbol;Acc:MGI:101906]</t>
  </si>
  <si>
    <t>Lnpep</t>
  </si>
  <si>
    <t>leucyl/cystinyl aminopeptidase [Source:MGI Symbol;Acc:MGI:2387123]</t>
  </si>
  <si>
    <t>Zcchc8</t>
  </si>
  <si>
    <t>zinc finger, CCHC domain containing 8 [Source:MGI Symbol;Acc:MGI:1917900]</t>
  </si>
  <si>
    <t>Fbxo45</t>
  </si>
  <si>
    <t>F-box protein 45 [Source:MGI Symbol;Acc:MGI:2447775]</t>
  </si>
  <si>
    <t>Armc9</t>
  </si>
  <si>
    <t>armadillo repeat containing 9 [Source:MGI Symbol;Acc:MGI:1926045]</t>
  </si>
  <si>
    <t>Cyp26c1</t>
  </si>
  <si>
    <t>cytochrome P450, family 26, subfamily c, polypeptide 1 [Source:MGI Symbol;Acc:MGI:2679699]</t>
  </si>
  <si>
    <t>Aplf</t>
  </si>
  <si>
    <t>aprataxin and PNKP like factor [Source:MGI Symbol;Acc:MGI:1919353]</t>
  </si>
  <si>
    <t>Etv1</t>
  </si>
  <si>
    <t>ets variant 1 [Source:MGI Symbol;Acc:MGI:99254]</t>
  </si>
  <si>
    <t>Inpp5f</t>
  </si>
  <si>
    <t>inositol polyphosphate-5-phosphatase F [Source:MGI Symbol;Acc:MGI:2141867]</t>
  </si>
  <si>
    <t>Phc2</t>
  </si>
  <si>
    <t>polyhomeotic 2 [Source:MGI Symbol;Acc:MGI:1860454]</t>
  </si>
  <si>
    <t>5031425F14Rik</t>
  </si>
  <si>
    <t>RIKEN cDNA 5031425F14 gene [Source:MGI Symbol;Acc:MGI:2442533]</t>
  </si>
  <si>
    <t>Taf4</t>
  </si>
  <si>
    <t>TATA-box binding protein associated factor 4 [Source:MGI Symbol;Acc:MGI:2152346]</t>
  </si>
  <si>
    <t>Atp2b4</t>
  </si>
  <si>
    <t>ATPase, Ca++ transporting, plasma membrane 4 [Source:MGI Symbol;Acc:MGI:88111]</t>
  </si>
  <si>
    <t>Rnps1</t>
  </si>
  <si>
    <t>RNA binding protein with serine rich domain 1 [Source:MGI Symbol;Acc:MGI:97960]</t>
  </si>
  <si>
    <t>Bbs5</t>
  </si>
  <si>
    <t>Bardet-Biedl syndrome 5 (human) [Source:MGI Symbol;Acc:MGI:1919819]</t>
  </si>
  <si>
    <t>Mpp5</t>
  </si>
  <si>
    <t>membrane protein, palmitoylated 5 (MAGUK p55 subfamily member 5) [Source:MGI Symbol;Acc:MGI:1927339]</t>
  </si>
  <si>
    <t>Ccni</t>
  </si>
  <si>
    <t>cyclin I [Source:MGI Symbol;Acc:MGI:1341077]</t>
  </si>
  <si>
    <t>Tmem19</t>
  </si>
  <si>
    <t>transmembrane protein 19 [Source:MGI Symbol;Acc:MGI:1914476]</t>
  </si>
  <si>
    <t>Setd5</t>
  </si>
  <si>
    <t>SET domain containing 5 [Source:MGI Symbol;Acc:MGI:1920145]</t>
  </si>
  <si>
    <t>Eef1g</t>
  </si>
  <si>
    <t>eukaryotic translation elongation factor 1 gamma [Source:MGI Symbol;Acc:MGI:1914410]</t>
  </si>
  <si>
    <t>Prdm4</t>
  </si>
  <si>
    <t>PR domain containing 4 [Source:MGI Symbol;Acc:MGI:1920093]</t>
  </si>
  <si>
    <t>Tmem245</t>
  </si>
  <si>
    <t>transmembrane protein 245 [Source:MGI Symbol;Acc:MGI:2445107]</t>
  </si>
  <si>
    <t>Eme1</t>
  </si>
  <si>
    <t>essential meiotic structure-specific endonuclease 1 [Source:MGI Symbol;Acc:MGI:3576783]</t>
  </si>
  <si>
    <t>Lmtk3</t>
  </si>
  <si>
    <t>lemur tyrosine kinase 3 [Source:MGI Symbol;Acc:MGI:3039582]</t>
  </si>
  <si>
    <t>Eif3h</t>
  </si>
  <si>
    <t>eukaryotic translation initiation factor 3, subunit H [Source:MGI Symbol;Acc:MGI:1915385]</t>
  </si>
  <si>
    <t>Pygo2</t>
  </si>
  <si>
    <t>pygopus 2 [Source:MGI Symbol;Acc:MGI:1916161]</t>
  </si>
  <si>
    <t>Elk3</t>
  </si>
  <si>
    <t>ELK3, member of ETS oncogene family [Source:MGI Symbol;Acc:MGI:101762]</t>
  </si>
  <si>
    <t>Evi2b</t>
  </si>
  <si>
    <t>ecotropic viral integration site 2b [Source:MGI Symbol;Acc:MGI:1890682]</t>
  </si>
  <si>
    <t>Dstn</t>
  </si>
  <si>
    <t>destrin [Source:MGI Symbol;Acc:MGI:1929270]</t>
  </si>
  <si>
    <t>Slc43a3</t>
  </si>
  <si>
    <t>solute carrier family 43, member 3 [Source:MGI Symbol;Acc:MGI:1931054]</t>
  </si>
  <si>
    <t>Gm18853</t>
  </si>
  <si>
    <t>predicted gene, 18853 [Source:MGI Symbol;Acc:MGI:5011038]</t>
  </si>
  <si>
    <t>Tle6</t>
  </si>
  <si>
    <t>transducin-like enhancer of split 6 [Source:MGI Symbol;Acc:MGI:2149593]</t>
  </si>
  <si>
    <t>Tcf7l2</t>
  </si>
  <si>
    <t>transcription factor 7 like 2, T cell specific, HMG box [Source:MGI Symbol;Acc:MGI:1202879]</t>
  </si>
  <si>
    <t>P2ry13</t>
  </si>
  <si>
    <t>purinergic receptor P2Y, G-protein coupled 13 [Source:MGI Symbol;Acc:MGI:1921441]</t>
  </si>
  <si>
    <t>Elovl1</t>
  </si>
  <si>
    <t>elongation of very long chain fatty acids (FEN1/Elo2, SUR4/Elo3, yeast)-like 1 [Source:MGI Symbol;Acc:MGI:1858959]</t>
  </si>
  <si>
    <t>Atg9a</t>
  </si>
  <si>
    <t>autophagy related 9A [Source:MGI Symbol;Acc:MGI:2138446]</t>
  </si>
  <si>
    <t>Zfp235</t>
  </si>
  <si>
    <t>zinc finger protein 235 [Source:MGI Symbol;Acc:MGI:1929117]</t>
  </si>
  <si>
    <t>Zfp512b</t>
  </si>
  <si>
    <t>zinc finger protein 512B [Source:MGI Symbol;Acc:MGI:2685478]</t>
  </si>
  <si>
    <t>Prrc2c</t>
  </si>
  <si>
    <t>proline-rich coiled-coil 2C [Source:MGI Symbol;Acc:MGI:1913754]</t>
  </si>
  <si>
    <t>Rpgrip1</t>
  </si>
  <si>
    <t>retinitis pigmentosa GTPase regulator interacting protein 1 [Source:MGI Symbol;Acc:MGI:1932134]</t>
  </si>
  <si>
    <t>Apba3</t>
  </si>
  <si>
    <t>amyloid beta (A4) precursor protein-binding, family A, member 3 [Source:MGI Symbol;Acc:MGI:1888527]</t>
  </si>
  <si>
    <t>Itgal</t>
  </si>
  <si>
    <t>integrin alpha L [Source:MGI Symbol;Acc:MGI:96606]</t>
  </si>
  <si>
    <t>Gpr68</t>
  </si>
  <si>
    <t>G protein-coupled receptor 68 [Source:MGI Symbol;Acc:MGI:2441763]</t>
  </si>
  <si>
    <t>Rabgap1l</t>
  </si>
  <si>
    <t>RAB GTPase activating protein 1-like [Source:MGI Symbol;Acc:MGI:1352507]</t>
  </si>
  <si>
    <t>Spata33</t>
  </si>
  <si>
    <t>spermatogenesis associated 33 [Source:MGI Symbol;Acc:MGI:2444920]</t>
  </si>
  <si>
    <t>Xrra1</t>
  </si>
  <si>
    <t>X-ray radiation resistance associated 1 [Source:MGI Symbol;Acc:MGI:2181647]</t>
  </si>
  <si>
    <t>Gm27505</t>
  </si>
  <si>
    <t>predicted gene, 27505 [Source:MGI Symbol;Acc:MGI:5530887]</t>
  </si>
  <si>
    <t>misc_RNA</t>
  </si>
  <si>
    <t>Celf1</t>
  </si>
  <si>
    <t>CUGBP, Elav-like family member 1 [Source:MGI Symbol;Acc:MGI:1342295]</t>
  </si>
  <si>
    <t>Bag5</t>
  </si>
  <si>
    <t>BCL2-associated athanogene 5 [Source:MGI Symbol;Acc:MGI:1917619]</t>
  </si>
  <si>
    <t>Ap1m2</t>
  </si>
  <si>
    <t>adaptor protein complex AP-1, mu 2 subunit [Source:MGI Symbol;Acc:MGI:1336974]</t>
  </si>
  <si>
    <t>Ap5m1</t>
  </si>
  <si>
    <t>adaptor-related protein complex 5, mu 1 subunit [Source:MGI Symbol;Acc:MGI:1921635]</t>
  </si>
  <si>
    <t>Gm20939</t>
  </si>
  <si>
    <t>predicted gene, 20939 [Source:MGI Symbol;Acc:MGI:5434295]</t>
  </si>
  <si>
    <t>Eif4a2</t>
  </si>
  <si>
    <t>eukaryotic translation initiation factor 4A2 [Source:MGI Symbol;Acc:MGI:106906]</t>
  </si>
  <si>
    <t>Kyat1</t>
  </si>
  <si>
    <t>kynurenine aminotransferase 1 [Source:MGI Symbol;Acc:MGI:1917516]</t>
  </si>
  <si>
    <t>Ppp1r15b</t>
  </si>
  <si>
    <t>protein phosphatase 1, regulatory subunit 15B [Source:MGI Symbol;Acc:MGI:2444211]</t>
  </si>
  <si>
    <t>Adgre1</t>
  </si>
  <si>
    <t>adhesion G protein-coupled receptor E1 [Source:MGI Symbol;Acc:MGI:106912]</t>
  </si>
  <si>
    <t>Slc49a4</t>
  </si>
  <si>
    <t>solute carrier family 49 member 4 [Source:MGI Symbol;Acc:MGI:2387188]</t>
  </si>
  <si>
    <t>Casp9</t>
  </si>
  <si>
    <t>caspase 9 [Source:MGI Symbol;Acc:MGI:1277950]</t>
  </si>
  <si>
    <t>Ube2a</t>
  </si>
  <si>
    <t>ubiquitin-conjugating enzyme E2A [Source:MGI Symbol;Acc:MGI:102959]</t>
  </si>
  <si>
    <t>Bnip2</t>
  </si>
  <si>
    <t>BCL2/adenovirus E1B interacting protein 2 [Source:MGI Symbol;Acc:MGI:109327]</t>
  </si>
  <si>
    <t>Mis18bp1</t>
  </si>
  <si>
    <t>MIS18 binding protein 1 [Source:MGI Symbol;Acc:MGI:2145099]</t>
  </si>
  <si>
    <t>Rnf25</t>
  </si>
  <si>
    <t>ring finger protein 25 [Source:MGI Symbol;Acc:MGI:1890215]</t>
  </si>
  <si>
    <t>Ccdc130</t>
  </si>
  <si>
    <t>coiled-coil domain containing 130 [Source:MGI Symbol;Acc:MGI:1914986]</t>
  </si>
  <si>
    <t>Gm43215</t>
  </si>
  <si>
    <t>predicted gene 43215 [Source:MGI Symbol;Acc:MGI:5663352]</t>
  </si>
  <si>
    <t>2610507I01Rik</t>
  </si>
  <si>
    <t>RIKEN cDNA 2610507I01 gene [Source:MGI Symbol;Acc:MGI:1919453]</t>
  </si>
  <si>
    <t>Dok7</t>
  </si>
  <si>
    <t>docking protein 7 [Source:MGI Symbol;Acc:MGI:3584043]</t>
  </si>
  <si>
    <t>Lasp1</t>
  </si>
  <si>
    <t>LIM and SH3 protein 1 [Source:MGI Symbol;Acc:MGI:109656]</t>
  </si>
  <si>
    <t>Mtx1</t>
  </si>
  <si>
    <t>metaxin 1 [Source:MGI Symbol;Acc:MGI:103025]</t>
  </si>
  <si>
    <t>Acd</t>
  </si>
  <si>
    <t>adrenocortical dysplasia [Source:MGI Symbol;Acc:MGI:87873]</t>
  </si>
  <si>
    <t>Jmjd8</t>
  </si>
  <si>
    <t>jumonji domain containing 8 [Source:MGI Symbol;Acc:MGI:1919356]</t>
  </si>
  <si>
    <t>Zc3h3</t>
  </si>
  <si>
    <t>zinc finger CCCH type containing 3 [Source:MGI Symbol;Acc:MGI:2663721]</t>
  </si>
  <si>
    <t>Pigyl</t>
  </si>
  <si>
    <t>phosphatidylinositol glycan anchor biosynthesis, class Y-like [Source:MGI Symbol;Acc:MGI:1913518]</t>
  </si>
  <si>
    <t>Klhl5</t>
  </si>
  <si>
    <t>kelch-like 5 [Source:MGI Symbol;Acc:MGI:1919028]</t>
  </si>
  <si>
    <t>Snu13</t>
  </si>
  <si>
    <t>SNU13 homolog, small nuclear ribonucleoprotein (U4/U6.U5) [Source:MGI Symbol;Acc:MGI:893586]</t>
  </si>
  <si>
    <t>Sumo1</t>
  </si>
  <si>
    <t>small ubiquitin-like modifier 1 [Source:MGI Symbol;Acc:MGI:1197010]</t>
  </si>
  <si>
    <t>Ccdc106</t>
  </si>
  <si>
    <t>coiled-coil domain containing 106 [Source:MGI Symbol;Acc:MGI:2385900]</t>
  </si>
  <si>
    <t>Wdr34</t>
  </si>
  <si>
    <t>WD repeat domain 34 [Source:MGI Symbol;Acc:MGI:1919070]</t>
  </si>
  <si>
    <t>Dynll1</t>
  </si>
  <si>
    <t>dynein light chain LC8-type 1 [Source:MGI Symbol;Acc:MGI:1861457]</t>
  </si>
  <si>
    <t>4632427E13Rik</t>
  </si>
  <si>
    <t>RIKEN cDNA 4632427E13 gene [Source:MGI Symbol;Acc:MGI:1915436]</t>
  </si>
  <si>
    <t>Mier1</t>
  </si>
  <si>
    <t>MEIR1 treanscription regulator [Source:MGI Symbol;Acc:MGI:1918398]</t>
  </si>
  <si>
    <t>Ube2v1</t>
  </si>
  <si>
    <t>ubiquitin-conjugating enzyme E2 variant 1 [Source:MGI Symbol;Acc:MGI:1913839]</t>
  </si>
  <si>
    <t>H2-DMa</t>
  </si>
  <si>
    <t>histocompatibility 2, class II, locus DMa [Source:MGI Symbol;Acc:MGI:95921]</t>
  </si>
  <si>
    <t>Dffb</t>
  </si>
  <si>
    <t>DNA fragmentation factor, beta subunit [Source:MGI Symbol;Acc:MGI:1196287]</t>
  </si>
  <si>
    <t>Scrn2</t>
  </si>
  <si>
    <t>secernin 2 [Source:MGI Symbol;Acc:MGI:1343092]</t>
  </si>
  <si>
    <t>4921529L05Rik</t>
  </si>
  <si>
    <t>RIKEN cDNA 4921529L05 gene [Source:MGI Symbol;Acc:MGI:2443531]</t>
  </si>
  <si>
    <t>Batf3</t>
  </si>
  <si>
    <t>basic leucine zipper transcription factor, ATF-like 3 [Source:MGI Symbol;Acc:MGI:1925491]</t>
  </si>
  <si>
    <t>Hmgb1</t>
  </si>
  <si>
    <t>high mobility group box 1 [Source:MGI Symbol;Acc:MGI:96113]</t>
  </si>
  <si>
    <t>Eif1ad</t>
  </si>
  <si>
    <t>eukaryotic translation initiation factor 1A domain containing [Source:MGI Symbol;Acc:MGI:1917110]</t>
  </si>
  <si>
    <t>Efl1</t>
  </si>
  <si>
    <t>elongation factor like GTPase 1 [Source:MGI Symbol;Acc:MGI:2141969]</t>
  </si>
  <si>
    <t>Tmem81</t>
  </si>
  <si>
    <t>transmembrane protein 81 [Source:MGI Symbol;Acc:MGI:1921876]</t>
  </si>
  <si>
    <t>Fam216a</t>
  </si>
  <si>
    <t>family with sequence similarity 216, member A [Source:MGI Symbol;Acc:MGI:1916198]</t>
  </si>
  <si>
    <t>Zzz3</t>
  </si>
  <si>
    <t>zinc finger, ZZ domain containing 3 [Source:MGI Symbol;Acc:MGI:1920453]</t>
  </si>
  <si>
    <t>Klrg2</t>
  </si>
  <si>
    <t>killer cell lectin-like receptor subfamily G, member 2 [Source:MGI Symbol;Acc:MGI:1921503]</t>
  </si>
  <si>
    <t>Ms4a4b</t>
  </si>
  <si>
    <t>membrane-spanning 4-domains, subfamily A, member 4B [Source:MGI Symbol;Acc:MGI:1913083]</t>
  </si>
  <si>
    <t>Ehd4</t>
  </si>
  <si>
    <t>EH-domain containing 4 [Source:MGI Symbol;Acc:MGI:1919619]</t>
  </si>
  <si>
    <t>Rbbp9</t>
  </si>
  <si>
    <t>retinoblastoma binding protein 9, serine hydrolase [Source:MGI Symbol;Acc:MGI:1347074]</t>
  </si>
  <si>
    <t>Brd1</t>
  </si>
  <si>
    <t>bromodomain containing 1 [Source:MGI Symbol;Acc:MGI:1924161]</t>
  </si>
  <si>
    <t>Col18a1</t>
  </si>
  <si>
    <t>collagen, type XVIII, alpha 1 [Source:MGI Symbol;Acc:MGI:88451]</t>
  </si>
  <si>
    <t>Pknox1</t>
  </si>
  <si>
    <t>Pbx/knotted 1 homeobox [Source:MGI Symbol;Acc:MGI:1201409]</t>
  </si>
  <si>
    <t>Ldah</t>
  </si>
  <si>
    <t>lipid droplet associated hydrolase [Source:MGI Symbol;Acc:MGI:1916082]</t>
  </si>
  <si>
    <t>C87436</t>
  </si>
  <si>
    <t>expressed sequence C87436 [Source:MGI Symbol;Acc:MGI:2141787]</t>
  </si>
  <si>
    <t>Arhgap27</t>
  </si>
  <si>
    <t>Rho GTPase activating protein 27 [Source:MGI Symbol;Acc:MGI:1916903]</t>
  </si>
  <si>
    <t>Fus</t>
  </si>
  <si>
    <t>fused in sarcoma [Source:MGI Symbol;Acc:MGI:1353633]</t>
  </si>
  <si>
    <t>Opa1</t>
  </si>
  <si>
    <t>OPA1, mitochondrial dynamin like GTPase [Source:MGI Symbol;Acc:MGI:1921393]</t>
  </si>
  <si>
    <t>Gm20658</t>
  </si>
  <si>
    <t>predicted gene 20658 [Source:MGI Symbol;Acc:MGI:5313105]</t>
  </si>
  <si>
    <t>Gm38431</t>
  </si>
  <si>
    <t>predicted gene, 38431 [Source:MGI Symbol;Acc:MGI:5621316]</t>
  </si>
  <si>
    <t>Tsn</t>
  </si>
  <si>
    <t>translin [Source:MGI Symbol;Acc:MGI:109263]</t>
  </si>
  <si>
    <t>Zfp934</t>
  </si>
  <si>
    <t>zinc finger protein 934 [Source:MGI Symbol;Acc:MGI:1924367]</t>
  </si>
  <si>
    <t>Oxsr1</t>
  </si>
  <si>
    <t>oxidative-stress responsive 1 [Source:MGI Symbol;Acc:MGI:1917378]</t>
  </si>
  <si>
    <t>Vash2</t>
  </si>
  <si>
    <t>vasohibin 2 [Source:MGI Symbol;Acc:MGI:2444826]</t>
  </si>
  <si>
    <t>Parn</t>
  </si>
  <si>
    <t>poly(A)-specific ribonuclease (deadenylation nuclease) [Source:MGI Symbol;Acc:MGI:1921358]</t>
  </si>
  <si>
    <t>Ptpn2</t>
  </si>
  <si>
    <t>protein tyrosine phosphatase, non-receptor type 2 [Source:MGI Symbol;Acc:MGI:97806]</t>
  </si>
  <si>
    <t>Gm5648</t>
  </si>
  <si>
    <t>predicted pseudogene 5648 [Source:MGI Symbol;Acc:MGI:3647868]</t>
  </si>
  <si>
    <t>Cntd1</t>
  </si>
  <si>
    <t>cyclin N-terminal domain containing 1 [Source:MGI Symbol;Acc:MGI:1923965]</t>
  </si>
  <si>
    <t>Pigz</t>
  </si>
  <si>
    <t>phosphatidylinositol glycan anchor biosynthesis, class Z [Source:MGI Symbol;Acc:MGI:2443822]</t>
  </si>
  <si>
    <t>Plcd3</t>
  </si>
  <si>
    <t>phospholipase C, delta 3 [Source:MGI Symbol;Acc:MGI:107451]</t>
  </si>
  <si>
    <t>Tnni2</t>
  </si>
  <si>
    <t>troponin I, skeletal, fast 2 [Source:MGI Symbol;Acc:MGI:105070]</t>
  </si>
  <si>
    <t>Osbp</t>
  </si>
  <si>
    <t>oxysterol binding protein [Source:MGI Symbol;Acc:MGI:97447]</t>
  </si>
  <si>
    <t>Zfp326</t>
  </si>
  <si>
    <t>zinc finger protein 326 [Source:MGI Symbol;Acc:MGI:1927246]</t>
  </si>
  <si>
    <t>Csnk1g1</t>
  </si>
  <si>
    <t>casein kinase 1, gamma 1 [Source:MGI Symbol;Acc:MGI:2660884]</t>
  </si>
  <si>
    <t>Eif2a</t>
  </si>
  <si>
    <t>eukaryotic translation initiation factor 2A [Source:MGI Symbol;Acc:MGI:1098684]</t>
  </si>
  <si>
    <t>Mlh1</t>
  </si>
  <si>
    <t>mutL homolog 1 [Source:MGI Symbol;Acc:MGI:101938]</t>
  </si>
  <si>
    <t>Tlr7</t>
  </si>
  <si>
    <t>toll-like receptor 7 [Source:MGI Symbol;Acc:MGI:2176882]</t>
  </si>
  <si>
    <t>Traf5</t>
  </si>
  <si>
    <t>TNF receptor-associated factor 5 [Source:MGI Symbol;Acc:MGI:107548]</t>
  </si>
  <si>
    <t>Mars2</t>
  </si>
  <si>
    <t>methionine-tRNA synthetase 2 (mitochondrial) [Source:MGI Symbol;Acc:MGI:2444136]</t>
  </si>
  <si>
    <t>Fam57a</t>
  </si>
  <si>
    <t>family with sequence similarity 57, member A [Source:MGI Symbol;Acc:MGI:2151840]</t>
  </si>
  <si>
    <t>Mccc1</t>
  </si>
  <si>
    <t>methylcrotonoyl-Coenzyme A carboxylase 1 (alpha) [Source:MGI Symbol;Acc:MGI:1919289]</t>
  </si>
  <si>
    <t>Birc2</t>
  </si>
  <si>
    <t>baculoviral IAP repeat-containing 2 [Source:MGI Symbol;Acc:MGI:1197009]</t>
  </si>
  <si>
    <t>Ccr9</t>
  </si>
  <si>
    <t>chemokine (C-C motif) receptor 9 [Source:MGI Symbol;Acc:MGI:1341902]</t>
  </si>
  <si>
    <t>Mllt10</t>
  </si>
  <si>
    <t>myeloid/lymphoid or mixed-lineage leukemia; translocated to, 10 [Source:MGI Symbol;Acc:MGI:1329038]</t>
  </si>
  <si>
    <t>Parpbp</t>
  </si>
  <si>
    <t>PARP1 binding protein [Source:MGI Symbol;Acc:MGI:1922567]</t>
  </si>
  <si>
    <t>Mlh3</t>
  </si>
  <si>
    <t>mutL homolog 3 [Source:MGI Symbol;Acc:MGI:1353455]</t>
  </si>
  <si>
    <t>Neurl4</t>
  </si>
  <si>
    <t>neuralized E3 ubiquitin protein ligase 4 [Source:MGI Symbol;Acc:MGI:1921092]</t>
  </si>
  <si>
    <t>Rsf1</t>
  </si>
  <si>
    <t>remodeling and spacing factor 1 [Source:MGI Symbol;Acc:MGI:2682305]</t>
  </si>
  <si>
    <t>Mbd5</t>
  </si>
  <si>
    <t>methyl-CpG binding domain protein 5 [Source:MGI Symbol;Acc:MGI:2138934]</t>
  </si>
  <si>
    <t>Espl1</t>
  </si>
  <si>
    <t>extra spindle pole bodies 1, separase [Source:MGI Symbol;Acc:MGI:2146156]</t>
  </si>
  <si>
    <t>Eefsec</t>
  </si>
  <si>
    <t>eukaryotic elongation factor, selenocysteine-tRNA-specific [Source:MGI Symbol;Acc:MGI:2137092]</t>
  </si>
  <si>
    <t>Neil1</t>
  </si>
  <si>
    <t>nei endonuclease VIII-like 1 (E. coli) [Source:MGI Symbol;Acc:MGI:1920024]</t>
  </si>
  <si>
    <t>Fam32a</t>
  </si>
  <si>
    <t>family with sequence similarity 32, member A [Source:MGI Symbol;Acc:MGI:1915172]</t>
  </si>
  <si>
    <t>Timp2</t>
  </si>
  <si>
    <t>tissue inhibitor of metalloproteinase 2 [Source:MGI Symbol;Acc:MGI:98753]</t>
  </si>
  <si>
    <t>Snhg15</t>
  </si>
  <si>
    <t>small nucleolar RNA host gene 15 [Source:MGI Symbol;Acc:MGI:3650059]</t>
  </si>
  <si>
    <t>Abhd2</t>
  </si>
  <si>
    <t>abhydrolase domain containing 2 [Source:MGI Symbol;Acc:MGI:1914344]</t>
  </si>
  <si>
    <t>Mrc1</t>
  </si>
  <si>
    <t>mannose receptor, C type 1 [Source:MGI Symbol;Acc:MGI:97142]</t>
  </si>
  <si>
    <t>Riox1</t>
  </si>
  <si>
    <t>ribosomal oxygenase 1 [Source:MGI Symbol;Acc:MGI:1919202]</t>
  </si>
  <si>
    <t>Als2</t>
  </si>
  <si>
    <t>alsin Rho guanine nucleotide exchange factor [Source:MGI Symbol;Acc:MGI:1921268]</t>
  </si>
  <si>
    <t>Copg1</t>
  </si>
  <si>
    <t>coatomer protein complex, subunit gamma 1 [Source:MGI Symbol;Acc:MGI:1858696]</t>
  </si>
  <si>
    <t>Naa35</t>
  </si>
  <si>
    <t>N(alpha)-acetyltransferase 35, NatC auxiliary subunit [Source:MGI Symbol;Acc:MGI:1925939]</t>
  </si>
  <si>
    <t>Map3k13</t>
  </si>
  <si>
    <t>mitogen-activated protein kinase kinase kinase 13 [Source:MGI Symbol;Acc:MGI:2444243]</t>
  </si>
  <si>
    <t>Lrrfip1</t>
  </si>
  <si>
    <t>leucine rich repeat (in FLII) interacting protein 1 [Source:MGI Symbol;Acc:MGI:1342770]</t>
  </si>
  <si>
    <t>Zfp414</t>
  </si>
  <si>
    <t>zinc finger protein 414 [Source:MGI Symbol;Acc:MGI:1915641]</t>
  </si>
  <si>
    <t>Gzf1</t>
  </si>
  <si>
    <t>GDNF-inducible zinc finger protein 1 [Source:MGI Symbol;Acc:MGI:1921783]</t>
  </si>
  <si>
    <t>Slain2</t>
  </si>
  <si>
    <t>SLAIN motif family, member 2 [Source:MGI Symbol;Acc:MGI:1923241]</t>
  </si>
  <si>
    <t>Polr3c</t>
  </si>
  <si>
    <t>polymerase (RNA) III (DNA directed) polypeptide C [Source:MGI Symbol;Acc:MGI:1921664]</t>
  </si>
  <si>
    <t>Atg7</t>
  </si>
  <si>
    <t>autophagy related 7 [Source:MGI Symbol;Acc:MGI:1921494]</t>
  </si>
  <si>
    <t>Pts</t>
  </si>
  <si>
    <t>6-pyruvoyl-tetrahydropterin synthase [Source:MGI Symbol;Acc:MGI:1338783]</t>
  </si>
  <si>
    <t>Cr1l</t>
  </si>
  <si>
    <t>complement component (3b/4b) receptor 1-like [Source:MGI Symbol;Acc:MGI:88513]</t>
  </si>
  <si>
    <t>Rassf3</t>
  </si>
  <si>
    <t>Ras association (RalGDS/AF-6) domain family member 3 [Source:MGI Symbol;Acc:MGI:2179722]</t>
  </si>
  <si>
    <t>Lbr</t>
  </si>
  <si>
    <t>lamin B receptor [Source:MGI Symbol;Acc:MGI:2138281]</t>
  </si>
  <si>
    <t>Pabpn1</t>
  </si>
  <si>
    <t>poly(A) binding protein, nuclear 1 [Source:MGI Symbol;Acc:MGI:1859158]</t>
  </si>
  <si>
    <t>Galk2</t>
  </si>
  <si>
    <t>galactokinase 2 [Source:MGI Symbol;Acc:MGI:1917226]</t>
  </si>
  <si>
    <t>Pex26</t>
  </si>
  <si>
    <t>peroxisomal biogenesis factor 26 [Source:MGI Symbol;Acc:MGI:1921293]</t>
  </si>
  <si>
    <t>Utp11</t>
  </si>
  <si>
    <t>UTP11 small subunit processome component [Source:MGI Symbol;Acc:MGI:1914455]</t>
  </si>
  <si>
    <t>Vgf</t>
  </si>
  <si>
    <t>VGF nerve growth factor inducible [Source:MGI Symbol;Acc:MGI:1343180]</t>
  </si>
  <si>
    <t>Gapdh</t>
  </si>
  <si>
    <t>glyceraldehyde-3-phosphate dehydrogenase [Source:MGI Symbol;Acc:MGI:95640]</t>
  </si>
  <si>
    <t>Fryl</t>
  </si>
  <si>
    <t>FRY like transcription coactivator [Source:MGI Symbol;Acc:MGI:1919563]</t>
  </si>
  <si>
    <t>Ppp3ca</t>
  </si>
  <si>
    <t>protein phosphatase 3, catalytic subunit, alpha isoform [Source:MGI Symbol;Acc:MGI:107164]</t>
  </si>
  <si>
    <t>Dolk</t>
  </si>
  <si>
    <t>dolichol kinase [Source:MGI Symbol;Acc:MGI:2677836]</t>
  </si>
  <si>
    <t>Nudt14</t>
  </si>
  <si>
    <t>nudix (nucleoside diphosphate linked moiety X)-type motif 14 [Source:MGI Symbol;Acc:MGI:1913424]</t>
  </si>
  <si>
    <t>Cnot11</t>
  </si>
  <si>
    <t>CCR4-NOT transcription complex, subunit 11 [Source:MGI Symbol;Acc:MGI:106580]</t>
  </si>
  <si>
    <t>Dhrs13</t>
  </si>
  <si>
    <t>dehydrogenase/reductase (SDR family) member 13 [Source:MGI Symbol;Acc:MGI:1917701]</t>
  </si>
  <si>
    <t>Tex12</t>
  </si>
  <si>
    <t>testis expressed 12 [Source:MGI Symbol;Acc:MGI:1913904]</t>
  </si>
  <si>
    <t>Tram2</t>
  </si>
  <si>
    <t>translocating chain-associating membrane protein 2 [Source:MGI Symbol;Acc:MGI:1924817]</t>
  </si>
  <si>
    <t>Selplg</t>
  </si>
  <si>
    <t>selectin, platelet (p-selectin) ligand [Source:MGI Symbol;Acc:MGI:106689]</t>
  </si>
  <si>
    <t>Dpp8</t>
  </si>
  <si>
    <t>dipeptidylpeptidase 8 [Source:MGI Symbol;Acc:MGI:1921638]</t>
  </si>
  <si>
    <t>P3h2</t>
  </si>
  <si>
    <t>prolyl 3-hydroxylase 2 [Source:MGI Symbol;Acc:MGI:2146663]</t>
  </si>
  <si>
    <t>Pram1</t>
  </si>
  <si>
    <t>PML-RAR alpha-regulated adaptor molecule 1 [Source:MGI Symbol;Acc:MGI:3576625]</t>
  </si>
  <si>
    <t>Tctex1d2</t>
  </si>
  <si>
    <t>Tctex1 domain containing 2 [Source:MGI Symbol;Acc:MGI:1913311]</t>
  </si>
  <si>
    <t>Rbm18</t>
  </si>
  <si>
    <t>RNA binding motif protein 18 [Source:MGI Symbol;Acc:MGI:1915139]</t>
  </si>
  <si>
    <t>Nsrp1</t>
  </si>
  <si>
    <t>nuclear speckle regulatory protein 1 [Source:MGI Symbol;Acc:MGI:2144305]</t>
  </si>
  <si>
    <t>Mgrn1</t>
  </si>
  <si>
    <t>mahogunin, ring finger 1 [Source:MGI Symbol;Acc:MGI:2447670]</t>
  </si>
  <si>
    <t>Il1bos</t>
  </si>
  <si>
    <t>interleukin 1 beta, opposite strand [Source:MGI Symbol;Acc:MGI:3650458]</t>
  </si>
  <si>
    <t>Abcc10</t>
  </si>
  <si>
    <t>ATP-binding cassette, sub-family C (CFTR/MRP), member 10 [Source:MGI Symbol;Acc:MGI:2386976]</t>
  </si>
  <si>
    <t>Fn3krp</t>
  </si>
  <si>
    <t>fructosamine 3 kinase related protein [Source:MGI Symbol;Acc:MGI:2679256]</t>
  </si>
  <si>
    <t>Mtus1</t>
  </si>
  <si>
    <t>mitochondrial tumor suppressor 1 [Source:MGI Symbol;Acc:MGI:2142572]</t>
  </si>
  <si>
    <t>Gm28006</t>
  </si>
  <si>
    <t>predicted gene, 28006 [Source:MGI Symbol;Acc:MGI:5531388]</t>
  </si>
  <si>
    <t>Smad2</t>
  </si>
  <si>
    <t>SMAD family member 2 [Source:MGI Symbol;Acc:MGI:108051]</t>
  </si>
  <si>
    <t>Myg1</t>
  </si>
  <si>
    <t>melanocyte proliferating gene 1 [Source:MGI Symbol;Acc:MGI:1929864]</t>
  </si>
  <si>
    <t>Aprt</t>
  </si>
  <si>
    <t>adenine phosphoribosyl transferase [Source:MGI Symbol;Acc:MGI:88061]</t>
  </si>
  <si>
    <t>Gm32591</t>
  </si>
  <si>
    <t>predicted gene, 32591 [Source:MGI Symbol;Acc:MGI:5591750]</t>
  </si>
  <si>
    <t>Chd4</t>
  </si>
  <si>
    <t>chromodomain helicase DNA binding protein 4 [Source:MGI Symbol;Acc:MGI:1344380]</t>
  </si>
  <si>
    <t>H3c4</t>
  </si>
  <si>
    <t>H3 clustered histone 4 [Source:MGI Symbol;Acc:MGI:2448322]</t>
  </si>
  <si>
    <t>Arhgef3</t>
  </si>
  <si>
    <t>Rho guanine nucleotide exchange factor (GEF) 3 [Source:MGI Symbol;Acc:MGI:1918954]</t>
  </si>
  <si>
    <t>Elp2</t>
  </si>
  <si>
    <t>elongator acetyltransferase complex subunit 2 [Source:MGI Symbol;Acc:MGI:1889642]</t>
  </si>
  <si>
    <t>Greb1</t>
  </si>
  <si>
    <t>gene regulated by estrogen in breast cancer protein [Source:MGI Symbol;Acc:MGI:2149712]</t>
  </si>
  <si>
    <t>Pde2a</t>
  </si>
  <si>
    <t>phosphodiesterase 2A, cGMP-stimulated [Source:MGI Symbol;Acc:MGI:2446107]</t>
  </si>
  <si>
    <t>Prrc1</t>
  </si>
  <si>
    <t>proline-rich coiled-coil 1 [Source:MGI Symbol;Acc:MGI:1916106]</t>
  </si>
  <si>
    <t>Gipr</t>
  </si>
  <si>
    <t>gastric inhibitory polypeptide receptor [Source:MGI Symbol;Acc:MGI:1352753]</t>
  </si>
  <si>
    <t>Ppp4c</t>
  </si>
  <si>
    <t>protein phosphatase 4, catalytic subunit [Source:MGI Symbol;Acc:MGI:1891763]</t>
  </si>
  <si>
    <t>Fcor</t>
  </si>
  <si>
    <t>Foxo1 corepressor [Source:MGI Symbol;Acc:MGI:1915484]</t>
  </si>
  <si>
    <t>Klhl21</t>
  </si>
  <si>
    <t>kelch-like 21 [Source:MGI Symbol;Acc:MGI:1919288]</t>
  </si>
  <si>
    <t>Plekhg2</t>
  </si>
  <si>
    <t>pleckstrin homology domain containing, family G (with RhoGef domain) member 2 [Source:MGI Symbol;Acc:MGI:2141874]</t>
  </si>
  <si>
    <t>Fndc7</t>
  </si>
  <si>
    <t>fibronectin type III domain containing 7 [Source:MGI Symbol;Acc:MGI:2443535]</t>
  </si>
  <si>
    <t>Cgn</t>
  </si>
  <si>
    <t>cingulin [Source:MGI Symbol;Acc:MGI:1927237]</t>
  </si>
  <si>
    <t>Slc5a3</t>
  </si>
  <si>
    <t>solute carrier family 5 (inositol transporters), member 3 [Source:MGI Symbol;Acc:MGI:1858226]</t>
  </si>
  <si>
    <t>Sin3b</t>
  </si>
  <si>
    <t>transcriptional regulator, SIN3B (yeast) [Source:MGI Symbol;Acc:MGI:107158]</t>
  </si>
  <si>
    <t>Cops4</t>
  </si>
  <si>
    <t>COP9 signalosome subunit 4 [Source:MGI Symbol;Acc:MGI:1349414]</t>
  </si>
  <si>
    <t>Tnfrsf9</t>
  </si>
  <si>
    <t>tumor necrosis factor receptor superfamily, member 9 [Source:MGI Symbol;Acc:MGI:1101059]</t>
  </si>
  <si>
    <t>Bcl7b</t>
  </si>
  <si>
    <t>B cell CLL/lymphoma 7B [Source:MGI Symbol;Acc:MGI:1332238]</t>
  </si>
  <si>
    <t>Ints6l</t>
  </si>
  <si>
    <t>integrator complex subunit 6 like [Source:MGI Symbol;Acc:MGI:2442593]</t>
  </si>
  <si>
    <t>Msh3</t>
  </si>
  <si>
    <t>mutS homolog 3 [Source:MGI Symbol;Acc:MGI:109519]</t>
  </si>
  <si>
    <t>Fcgrt</t>
  </si>
  <si>
    <t>Fc receptor, IgG, alpha chain transporter [Source:MGI Symbol;Acc:MGI:103017]</t>
  </si>
  <si>
    <t>Lins1</t>
  </si>
  <si>
    <t>lines homolog 1 [Source:MGI Symbol;Acc:MGI:1919885]</t>
  </si>
  <si>
    <t>Spag4</t>
  </si>
  <si>
    <t>sperm associated antigen 4 [Source:MGI Symbol;Acc:MGI:2444120]</t>
  </si>
  <si>
    <t>Hspb6</t>
  </si>
  <si>
    <t>heat shock protein, alpha-crystallin-related, B6 [Source:MGI Symbol;Acc:MGI:2685325]</t>
  </si>
  <si>
    <t>Rmdn2</t>
  </si>
  <si>
    <t>regulator of microtubule dynamics 2 [Source:MGI Symbol;Acc:MGI:2147043]</t>
  </si>
  <si>
    <t>Kif16b</t>
  </si>
  <si>
    <t>kinesin family member 16B [Source:MGI Symbol;Acc:MGI:1098240]</t>
  </si>
  <si>
    <t>Il16</t>
  </si>
  <si>
    <t>interleukin 16 [Source:MGI Symbol;Acc:MGI:1270855]</t>
  </si>
  <si>
    <t>Akr1b8</t>
  </si>
  <si>
    <t>aldo-keto reductase family 1, member B8 [Source:MGI Symbol;Acc:MGI:107673]</t>
  </si>
  <si>
    <t>Btbd10</t>
  </si>
  <si>
    <t>BTB (POZ) domain containing 10 [Source:MGI Symbol;Acc:MGI:1916065]</t>
  </si>
  <si>
    <t>Gm11696</t>
  </si>
  <si>
    <t>predicted gene 11696 [Source:MGI Symbol;Acc:MGI:3701776]</t>
  </si>
  <si>
    <t>Ptdss2</t>
  </si>
  <si>
    <t>phosphatidylserine synthase 2 [Source:MGI Symbol;Acc:MGI:1351664]</t>
  </si>
  <si>
    <t>Med13l</t>
  </si>
  <si>
    <t>mediator complex subunit 13-like [Source:MGI Symbol;Acc:MGI:2670178]</t>
  </si>
  <si>
    <t>Slc45a3</t>
  </si>
  <si>
    <t>solute carrier family 45, member 3 [Source:MGI Symbol;Acc:MGI:1922082]</t>
  </si>
  <si>
    <t>Kctd12b</t>
  </si>
  <si>
    <t>potassium channel tetramerisation domain containing 12b [Source:MGI Symbol;Acc:MGI:2444667]</t>
  </si>
  <si>
    <t>Kmt2c</t>
  </si>
  <si>
    <t>lysine (K)-specific methyltransferase 2C [Source:MGI Symbol;Acc:MGI:2444959]</t>
  </si>
  <si>
    <t>Ubn2</t>
  </si>
  <si>
    <t>ubinuclein 2 [Source:MGI Symbol;Acc:MGI:2444236]</t>
  </si>
  <si>
    <t>Yeats2</t>
  </si>
  <si>
    <t>YEATS domain containing 2 [Source:MGI Symbol;Acc:MGI:2447762]</t>
  </si>
  <si>
    <t>Fkrp</t>
  </si>
  <si>
    <t>fukutin related protein [Source:MGI Symbol;Acc:MGI:2447586]</t>
  </si>
  <si>
    <t>Faah</t>
  </si>
  <si>
    <t>fatty acid amide hydrolase [Source:MGI Symbol;Acc:MGI:109609]</t>
  </si>
  <si>
    <t>Gm30873</t>
  </si>
  <si>
    <t>predicted gene, 30873 [Source:MGI Symbol;Acc:MGI:5590032]</t>
  </si>
  <si>
    <t>Rcbtb1</t>
  </si>
  <si>
    <t>regulator of chromosome condensation (RCC1) and BTB (POZ) domain containing protein 1 [Source:MGI Symbol;Acc:MGI:1918580]</t>
  </si>
  <si>
    <t>Arl8b</t>
  </si>
  <si>
    <t>ADP-ribosylation factor-like 8B [Source:MGI Symbol;Acc:MGI:1914416]</t>
  </si>
  <si>
    <t>Fam110b</t>
  </si>
  <si>
    <t>family with sequence similarity 110, member B [Source:MGI Symbol;Acc:MGI:1916593]</t>
  </si>
  <si>
    <t>Cd180</t>
  </si>
  <si>
    <t>CD180 antigen [Source:MGI Symbol;Acc:MGI:1194924]</t>
  </si>
  <si>
    <t>Entpd1</t>
  </si>
  <si>
    <t>ectonucleoside triphosphate diphosphohydrolase 1 [Source:MGI Symbol;Acc:MGI:102805]</t>
  </si>
  <si>
    <t>D7Ertd443e</t>
  </si>
  <si>
    <t>DNA segment, Chr 7, ERATO Doi 443, expressed [Source:MGI Symbol;Acc:MGI:1196431]</t>
  </si>
  <si>
    <t>Irx5</t>
  </si>
  <si>
    <t>Iroquois homeobox 5 [Source:MGI Symbol;Acc:MGI:1859086]</t>
  </si>
  <si>
    <t>Med10</t>
  </si>
  <si>
    <t>mediator complex subunit 10 [Source:MGI Symbol;Acc:MGI:106331]</t>
  </si>
  <si>
    <t>Slc25a43</t>
  </si>
  <si>
    <t>solute carrier family 25, member 43 [Source:MGI Symbol;Acc:MGI:2684854]</t>
  </si>
  <si>
    <t>Mmp25</t>
  </si>
  <si>
    <t>matrix metallopeptidase 25 [Source:MGI Symbol;Acc:MGI:2443938]</t>
  </si>
  <si>
    <t>Ankrd9</t>
  </si>
  <si>
    <t>ankyrin repeat domain 9 [Source:MGI Symbol;Acc:MGI:1921501]</t>
  </si>
  <si>
    <t>Usp47</t>
  </si>
  <si>
    <t>ubiquitin specific peptidase 47 [Source:MGI Symbol;Acc:MGI:1922246]</t>
  </si>
  <si>
    <t>Gm20619</t>
  </si>
  <si>
    <t>predicted gene 20619 [Source:MGI Symbol;Acc:MGI:5313066]</t>
  </si>
  <si>
    <t>Dhrs3</t>
  </si>
  <si>
    <t>dehydrogenase/reductase (SDR family) member 3 [Source:MGI Symbol;Acc:MGI:1315215]</t>
  </si>
  <si>
    <t>Btrc</t>
  </si>
  <si>
    <t>beta-transducin repeat containing protein [Source:MGI Symbol;Acc:MGI:1338871]</t>
  </si>
  <si>
    <t>Nsmce3</t>
  </si>
  <si>
    <t>NSE3 homolog, SMC5-SMC6 complex component [Source:MGI Symbol;Acc:MGI:1913897]</t>
  </si>
  <si>
    <t>Gm38137</t>
  </si>
  <si>
    <t>predicted gene, 38137 [Source:MGI Symbol;Acc:MGI:5611365]</t>
  </si>
  <si>
    <t>Accsl</t>
  </si>
  <si>
    <t>1-aminocyclopropane-1-carboxylate synthase (non-functional)-like [Source:MGI Symbol;Acc:MGI:3584519]</t>
  </si>
  <si>
    <t>Fnbp4</t>
  </si>
  <si>
    <t>formin binding protein 4 [Source:MGI Symbol;Acc:MGI:1860513]</t>
  </si>
  <si>
    <t>Gm27021</t>
  </si>
  <si>
    <t>predicted gene, 27021 [Source:MGI Symbol;Acc:MGI:5504136]</t>
  </si>
  <si>
    <t>Ebp</t>
  </si>
  <si>
    <t>phenylalkylamine Ca2+ antagonist (emopamil) binding protein [Source:MGI Symbol;Acc:MGI:107822]</t>
  </si>
  <si>
    <t>Aacs</t>
  </si>
  <si>
    <t>acetoacetyl-CoA synthetase [Source:MGI Symbol;Acc:MGI:1926144]</t>
  </si>
  <si>
    <t>Atxn7l1</t>
  </si>
  <si>
    <t>ataxin 7-like 1 [Source:MGI Symbol;Acc:MGI:3584458]</t>
  </si>
  <si>
    <t>Tmub2</t>
  </si>
  <si>
    <t>transmembrane and ubiquitin-like domain containing 2 [Source:MGI Symbol;Acc:MGI:1919303]</t>
  </si>
  <si>
    <t>Gm43682</t>
  </si>
  <si>
    <t>predicted gene 43682 [Source:MGI Symbol;Acc:MGI:5663819]</t>
  </si>
  <si>
    <t>Ccnf</t>
  </si>
  <si>
    <t>cyclin F [Source:MGI Symbol;Acc:MGI:102551]</t>
  </si>
  <si>
    <t>Incenp</t>
  </si>
  <si>
    <t>inner centromere protein [Source:MGI Symbol;Acc:MGI:1313288]</t>
  </si>
  <si>
    <t>Akr1a1</t>
  </si>
  <si>
    <t>aldo-keto reductase family 1, member A1 (aldehyde reductase) [Source:MGI Symbol;Acc:MGI:1929955]</t>
  </si>
  <si>
    <t>Fam76a</t>
  </si>
  <si>
    <t>family with sequence similarity 76, member A [Source:MGI Symbol;Acc:MGI:2385211]</t>
  </si>
  <si>
    <t>Golga7</t>
  </si>
  <si>
    <t>golgi autoantigen, golgin subfamily a, 7 [Source:MGI Symbol;Acc:MGI:1931029]</t>
  </si>
  <si>
    <t>Dnajb5</t>
  </si>
  <si>
    <t>DnaJ heat shock protein family (Hsp40) member B5 [Source:MGI Symbol;Acc:MGI:1930018]</t>
  </si>
  <si>
    <t>1810062G17Rik</t>
  </si>
  <si>
    <t>RIKEN cDNA 1810062G17 gene [Source:MGI Symbol;Acc:MGI:1919532]</t>
  </si>
  <si>
    <t>Gm15753</t>
  </si>
  <si>
    <t>predicted gene 15753 [Source:MGI Symbol;Acc:MGI:3783195]</t>
  </si>
  <si>
    <t>Sugt1</t>
  </si>
  <si>
    <t>SGT1, suppressor of G2 allele of SKP1 (S. cerevisiae) [Source:MGI Symbol;Acc:MGI:1915205]</t>
  </si>
  <si>
    <t>Sipa1l3</t>
  </si>
  <si>
    <t>signal-induced proliferation-associated 1 like 3 [Source:MGI Symbol;Acc:MGI:1921456]</t>
  </si>
  <si>
    <t>Uba5</t>
  </si>
  <si>
    <t>ubiquitin-like modifier activating enzyme 5 [Source:MGI Symbol;Acc:MGI:1913913]</t>
  </si>
  <si>
    <t>Supt6</t>
  </si>
  <si>
    <t>SPT6, histone chaperone and transcription elongation factor [Source:MGI Symbol;Acc:MGI:107726]</t>
  </si>
  <si>
    <t>Gm49527</t>
  </si>
  <si>
    <t>predicted gene, 49527 [Source:MGI Symbol;Acc:MGI:6155227]</t>
  </si>
  <si>
    <t>Haus1</t>
  </si>
  <si>
    <t>HAUS augmin-like complex, subunit 1 [Source:MGI Symbol;Acc:MGI:2385076]</t>
  </si>
  <si>
    <t>2510039O18Rik</t>
  </si>
  <si>
    <t>RIKEN cDNA 2510039O18 gene [Source:MGI Symbol;Acc:MGI:1924284]</t>
  </si>
  <si>
    <t>Prrc2a</t>
  </si>
  <si>
    <t>proline-rich coiled-coil 2A [Source:MGI Symbol;Acc:MGI:1915467]</t>
  </si>
  <si>
    <t>Il23r</t>
  </si>
  <si>
    <t>interleukin 23 receptor [Source:MGI Symbol;Acc:MGI:2181693]</t>
  </si>
  <si>
    <t>Hsdl2</t>
  </si>
  <si>
    <t>hydroxysteroid dehydrogenase like 2 [Source:MGI Symbol;Acc:MGI:1919729]</t>
  </si>
  <si>
    <t>Wdr45b</t>
  </si>
  <si>
    <t>WD repeat domain 45B [Source:MGI Symbol;Acc:MGI:1914090]</t>
  </si>
  <si>
    <t>Ppp3cb</t>
  </si>
  <si>
    <t>protein phosphatase 3, catalytic subunit, beta isoform [Source:MGI Symbol;Acc:MGI:107163]</t>
  </si>
  <si>
    <t>Gorasp2</t>
  </si>
  <si>
    <t>golgi reassembly stacking protein 2 [Source:MGI Symbol;Acc:MGI:2135962]</t>
  </si>
  <si>
    <t>Gm10069</t>
  </si>
  <si>
    <t>predicted gene 10069 [Source:MGI Symbol;Acc:MGI:3641875]</t>
  </si>
  <si>
    <t>Ndufv2</t>
  </si>
  <si>
    <t>NADH:ubiquinone oxidoreductase core subunit V2 [Source:MGI Symbol;Acc:MGI:1920150]</t>
  </si>
  <si>
    <t>Luc7l2</t>
  </si>
  <si>
    <t>LUC7-like 2 (S. cerevisiae) [Source:MGI Symbol;Acc:MGI:2183260]</t>
  </si>
  <si>
    <t>Eif2b1</t>
  </si>
  <si>
    <t>eukaryotic translation initiation factor 2B, subunit 1 (alpha) [Source:MGI Symbol;Acc:MGI:2384802]</t>
  </si>
  <si>
    <t>Akap1</t>
  </si>
  <si>
    <t>A kinase (PRKA) anchor protein 1 [Source:MGI Symbol;Acc:MGI:104729]</t>
  </si>
  <si>
    <t>Myo1c</t>
  </si>
  <si>
    <t>myosin IC [Source:MGI Symbol;Acc:MGI:106612]</t>
  </si>
  <si>
    <t>Nudt12</t>
  </si>
  <si>
    <t>nudix (nucleoside diphosphate linked moiety X)-type motif 12 [Source:MGI Symbol;Acc:MGI:1915243]</t>
  </si>
  <si>
    <t>Tbce</t>
  </si>
  <si>
    <t>tubulin-specific chaperone E [Source:MGI Symbol;Acc:MGI:1917680]</t>
  </si>
  <si>
    <t>Mfsd5</t>
  </si>
  <si>
    <t>major facilitator superfamily domain containing 5 [Source:MGI Symbol;Acc:MGI:2145901]</t>
  </si>
  <si>
    <t>Gm15459</t>
  </si>
  <si>
    <t>predicted gene 15459 [Source:MGI Symbol;Acc:MGI:3705702]</t>
  </si>
  <si>
    <t>Mybl1</t>
  </si>
  <si>
    <t>myeloblastosis oncogene-like 1 [Source:MGI Symbol;Acc:MGI:99925]</t>
  </si>
  <si>
    <t>Jmjd4</t>
  </si>
  <si>
    <t>jumonji domain containing 4 [Source:MGI Symbol;Acc:MGI:2144404]</t>
  </si>
  <si>
    <t>Rab29</t>
  </si>
  <si>
    <t>RAB29, member RAS oncogene family [Source:MGI Symbol;Acc:MGI:2385107]</t>
  </si>
  <si>
    <t>Rtn4ip1</t>
  </si>
  <si>
    <t>reticulon 4 interacting protein 1 [Source:MGI Symbol;Acc:MGI:2178759]</t>
  </si>
  <si>
    <t>Coq7</t>
  </si>
  <si>
    <t>demethyl-Q 7 [Source:MGI Symbol;Acc:MGI:107207]</t>
  </si>
  <si>
    <t>Dvl3</t>
  </si>
  <si>
    <t>dishevelled segment polarity protein 3 [Source:MGI Symbol;Acc:MGI:108100]</t>
  </si>
  <si>
    <t>Purb</t>
  </si>
  <si>
    <t>purine rich element binding protein B [Source:MGI Symbol;Acc:MGI:1338779]</t>
  </si>
  <si>
    <t>Slc7a1</t>
  </si>
  <si>
    <t>solute carrier family 7 (cationic amino acid transporter, y+ system), member 1 [Source:MGI Symbol;Acc:MGI:88117]</t>
  </si>
  <si>
    <t>Tmf1</t>
  </si>
  <si>
    <t>TATA element modulatory factor 1 [Source:MGI Symbol;Acc:MGI:2684999]</t>
  </si>
  <si>
    <t>1700109H08Rik</t>
  </si>
  <si>
    <t>RIKEN cDNA 1700109H08 gene [Source:MGI Symbol;Acc:MGI:1924286]</t>
  </si>
  <si>
    <t>Rfx3</t>
  </si>
  <si>
    <t>regulatory factor X, 3 (influences HLA class II expression) [Source:MGI Symbol;Acc:MGI:106582]</t>
  </si>
  <si>
    <t>Dglucy</t>
  </si>
  <si>
    <t>D-glutamate cyclase [Source:MGI Symbol;Acc:MGI:2444813]</t>
  </si>
  <si>
    <t>Ptbp1</t>
  </si>
  <si>
    <t>polypyrimidine tract binding protein 1 [Source:MGI Symbol;Acc:MGI:97791]</t>
  </si>
  <si>
    <t>Zfp438</t>
  </si>
  <si>
    <t>zinc finger protein 438 [Source:MGI Symbol;Acc:MGI:2444919]</t>
  </si>
  <si>
    <t>Mccc2</t>
  </si>
  <si>
    <t>methylcrotonoyl-Coenzyme A carboxylase 2 (beta) [Source:MGI Symbol;Acc:MGI:1925288]</t>
  </si>
  <si>
    <t>Noct</t>
  </si>
  <si>
    <t>nocturnin [Source:MGI Symbol;Acc:MGI:109382]</t>
  </si>
  <si>
    <t>Tmem151a</t>
  </si>
  <si>
    <t>transmembrane protein 151A [Source:MGI Symbol;Acc:MGI:2147713]</t>
  </si>
  <si>
    <t>Gm49358</t>
  </si>
  <si>
    <t>predicted gene, 49358 [Source:MGI Symbol;Acc:MGI:6121566]</t>
  </si>
  <si>
    <t>Dctpp1</t>
  </si>
  <si>
    <t>dCTP pyrophosphatase 1 [Source:MGI Symbol;Acc:MGI:1913672]</t>
  </si>
  <si>
    <t>Fam20b</t>
  </si>
  <si>
    <t>family with sequence similarity 20, member B [Source:MGI Symbol;Acc:MGI:2443990]</t>
  </si>
  <si>
    <t>Med1</t>
  </si>
  <si>
    <t>mediator complex subunit 1 [Source:MGI Symbol;Acc:MGI:1100846]</t>
  </si>
  <si>
    <t>Sema4c</t>
  </si>
  <si>
    <t>sema domain, immunoglobulin domain (Ig), transmembrane domain (TM) and short cytoplasmic domain, (semaphorin) 4C [Source:MGI Symbol;Acc:MGI:109252]</t>
  </si>
  <si>
    <t>Adrb2</t>
  </si>
  <si>
    <t>adrenergic receptor, beta 2 [Source:MGI Symbol;Acc:MGI:87938]</t>
  </si>
  <si>
    <t>Gm49602</t>
  </si>
  <si>
    <t>predicted gene, 49602 [Source:MGI Symbol;Acc:MGI:6215013]</t>
  </si>
  <si>
    <t>Upf3a</t>
  </si>
  <si>
    <t>UPF3 regulator of nonsense transcripts homolog A (yeast) [Source:MGI Symbol;Acc:MGI:1914281]</t>
  </si>
  <si>
    <t>Prkcg</t>
  </si>
  <si>
    <t>protein kinase C, gamma [Source:MGI Symbol;Acc:MGI:97597]</t>
  </si>
  <si>
    <t>Irf2bp2</t>
  </si>
  <si>
    <t>interferon regulatory factor 2 binding protein 2 [Source:MGI Symbol;Acc:MGI:2443921]</t>
  </si>
  <si>
    <t>Orc1</t>
  </si>
  <si>
    <t>origin recognition complex, subunit 1 [Source:MGI Symbol;Acc:MGI:1328337]</t>
  </si>
  <si>
    <t>Kif2c</t>
  </si>
  <si>
    <t>kinesin family member 2C [Source:MGI Symbol;Acc:MGI:1921054]</t>
  </si>
  <si>
    <t>Gm9920</t>
  </si>
  <si>
    <t>predicted gene 9920 [Source:MGI Symbol;Acc:MGI:3642228]</t>
  </si>
  <si>
    <t>AA465934</t>
  </si>
  <si>
    <t>expressed sequence AA465934 [Source:MGI Symbol;Acc:MGI:2671018]</t>
  </si>
  <si>
    <t>Acer3</t>
  </si>
  <si>
    <t>alkaline ceramidase 3 [Source:MGI Symbol;Acc:MGI:1913440]</t>
  </si>
  <si>
    <t>Kctd12</t>
  </si>
  <si>
    <t>potassium channel tetramerisation domain containing 12 [Source:MGI Symbol;Acc:MGI:2145823]</t>
  </si>
  <si>
    <t>Xrn1</t>
  </si>
  <si>
    <t>5'-3' exoribonuclease 1 [Source:MGI Symbol;Acc:MGI:891964]</t>
  </si>
  <si>
    <t>Pgrmc1</t>
  </si>
  <si>
    <t>progesterone receptor membrane component 1 [Source:MGI Symbol;Acc:MGI:1858305]</t>
  </si>
  <si>
    <t>Xab2</t>
  </si>
  <si>
    <t>XPA binding protein 2 [Source:MGI Symbol;Acc:MGI:1914689]</t>
  </si>
  <si>
    <t>Eif4e3</t>
  </si>
  <si>
    <t>eukaryotic translation initiation factor 4E member 3 [Source:MGI Symbol;Acc:MGI:1914142]</t>
  </si>
  <si>
    <t>Tmem40</t>
  </si>
  <si>
    <t>transmembrane protein 40 [Source:MGI Symbol;Acc:MGI:2137870]</t>
  </si>
  <si>
    <t>Plec</t>
  </si>
  <si>
    <t>plectin [Source:MGI Symbol;Acc:MGI:1277961]</t>
  </si>
  <si>
    <t>Arih2</t>
  </si>
  <si>
    <t>ariadne RBR E3 ubiquitin protein ligase 2 [Source:MGI Symbol;Acc:MGI:1344361]</t>
  </si>
  <si>
    <t>Zfp239</t>
  </si>
  <si>
    <t>zinc finger protein 239 [Source:MGI Symbol;Acc:MGI:1306812]</t>
  </si>
  <si>
    <t>Cul7</t>
  </si>
  <si>
    <t>cullin 7 [Source:MGI Symbol;Acc:MGI:1913765]</t>
  </si>
  <si>
    <t>Prpf38b</t>
  </si>
  <si>
    <t>PRP38 pre-mRNA processing factor 38 (yeast) domain containing B [Source:MGI Symbol;Acc:MGI:1914171]</t>
  </si>
  <si>
    <t>Dipk1b</t>
  </si>
  <si>
    <t>divergent protein kinase domain 1B [Source:MGI Symbol;Acc:MGI:1927576]</t>
  </si>
  <si>
    <t>Isyna1</t>
  </si>
  <si>
    <t>myo-inositol 1-phosphate synthase A1 [Source:MGI Symbol;Acc:MGI:1919030]</t>
  </si>
  <si>
    <t>Atp11b</t>
  </si>
  <si>
    <t>ATPase, class VI, type 11B [Source:MGI Symbol;Acc:MGI:1923545]</t>
  </si>
  <si>
    <t>Gm37198</t>
  </si>
  <si>
    <t>predicted gene, 37198 [Source:MGI Symbol;Acc:MGI:5610426]</t>
  </si>
  <si>
    <t>Ccdc194</t>
  </si>
  <si>
    <t>coiled-coil domain containing 194 [Source:MGI Symbol;Acc:MGI:3588239]</t>
  </si>
  <si>
    <t>Poll</t>
  </si>
  <si>
    <t>polymerase (DNA directed), lambda [Source:MGI Symbol;Acc:MGI:1889000]</t>
  </si>
  <si>
    <t>Lpxn</t>
  </si>
  <si>
    <t>leupaxin [Source:MGI Symbol;Acc:MGI:2147677]</t>
  </si>
  <si>
    <t>Zmat1</t>
  </si>
  <si>
    <t>zinc finger, matrin type 1 [Source:MGI Symbol;Acc:MGI:2442284]</t>
  </si>
  <si>
    <t>Nek9</t>
  </si>
  <si>
    <t>NIMA (never in mitosis gene a)-related expressed kinase 9 [Source:MGI Symbol;Acc:MGI:2387995]</t>
  </si>
  <si>
    <t>Mir1892</t>
  </si>
  <si>
    <t>microRNA 1892 [Source:MGI Symbol;Acc:MGI:3811416]</t>
  </si>
  <si>
    <t>Kansl2</t>
  </si>
  <si>
    <t>KAT8 regulatory NSL complex subunit 2 [Source:MGI Symbol;Acc:MGI:1916862]</t>
  </si>
  <si>
    <t>Mastl</t>
  </si>
  <si>
    <t>microtubule associated serine/threonine kinase-like [Source:MGI Symbol;Acc:MGI:1914371]</t>
  </si>
  <si>
    <t>Elfn1</t>
  </si>
  <si>
    <t>leucine rich repeat and fibronectin type III, extracellular 1 [Source:MGI Symbol;Acc:MGI:2442479]</t>
  </si>
  <si>
    <t>AL935121.1</t>
  </si>
  <si>
    <t>Epop</t>
  </si>
  <si>
    <t>elongin BC and polycomb repressive complex 2 associated protein [Source:MGI Symbol;Acc:MGI:2143991]</t>
  </si>
  <si>
    <t>Zfp523</t>
  </si>
  <si>
    <t>zinc finger protein 523 [Source:MGI Symbol;Acc:MGI:2687278]</t>
  </si>
  <si>
    <t>2210408I21Rik</t>
  </si>
  <si>
    <t>RIKEN cDNA 2210408I21 gene [Source:MGI Symbol;Acc:MGI:1919621]</t>
  </si>
  <si>
    <t>Them6</t>
  </si>
  <si>
    <t>thioesterase superfamily member 6 [Source:MGI Symbol;Acc:MGI:1925301]</t>
  </si>
  <si>
    <t>Tmem26</t>
  </si>
  <si>
    <t>transmembrane protein 26 [Source:MGI Symbol;Acc:MGI:2143537]</t>
  </si>
  <si>
    <t>Slc41a3</t>
  </si>
  <si>
    <t>solute carrier family 41, member 3 [Source:MGI Symbol;Acc:MGI:1918949]</t>
  </si>
  <si>
    <t>Tk2</t>
  </si>
  <si>
    <t>thymidine kinase 2, mitochondrial [Source:MGI Symbol;Acc:MGI:1913266]</t>
  </si>
  <si>
    <t>Zfp143</t>
  </si>
  <si>
    <t>zinc finger protein 143 [Source:MGI Symbol;Acc:MGI:1277969]</t>
  </si>
  <si>
    <t>Dlx1</t>
  </si>
  <si>
    <t>distal-less homeobox 1 [Source:MGI Symbol;Acc:MGI:94901]</t>
  </si>
  <si>
    <t>Gm7204</t>
  </si>
  <si>
    <t>predicted pseudogene 7204 [Source:MGI Symbol;Acc:MGI:3645884]</t>
  </si>
  <si>
    <t>Gm42600</t>
  </si>
  <si>
    <t>predicted gene 42600 [Source:MGI Symbol;Acc:MGI:5662737]</t>
  </si>
  <si>
    <t>Cdh24</t>
  </si>
  <si>
    <t>cadherin-like 24 [Source:MGI Symbol;Acc:MGI:1928330]</t>
  </si>
  <si>
    <t>Tbx10</t>
  </si>
  <si>
    <t>T-box 10 [Source:MGI Symbol;Acc:MGI:1261436]</t>
  </si>
  <si>
    <t>Hmg20b</t>
  </si>
  <si>
    <t>high mobility group 20B [Source:MGI Symbol;Acc:MGI:1341190]</t>
  </si>
  <si>
    <t>Med27</t>
  </si>
  <si>
    <t>mediator complex subunit 27 [Source:MGI Symbol;Acc:MGI:1916225]</t>
  </si>
  <si>
    <t>Got1</t>
  </si>
  <si>
    <t>glutamic-oxaloacetic transaminase 1, soluble [Source:MGI Symbol;Acc:MGI:95791]</t>
  </si>
  <si>
    <t>Rbm28</t>
  </si>
  <si>
    <t>RNA binding motif protein 28 [Source:MGI Symbol;Acc:MGI:2655711]</t>
  </si>
  <si>
    <t>Gm15478</t>
  </si>
  <si>
    <t>predicted gene 15478 [Source:MGI Symbol;Acc:MGI:3705145]</t>
  </si>
  <si>
    <t>Abl2</t>
  </si>
  <si>
    <t>v-abl Abelson murine leukemia viral oncogene 2 (arg, Abelson-related gene) [Source:MGI Symbol;Acc:MGI:87860]</t>
  </si>
  <si>
    <t>Acot13</t>
  </si>
  <si>
    <t>acyl-CoA thioesterase 13 [Source:MGI Symbol;Acc:MGI:1914084]</t>
  </si>
  <si>
    <t>Snx1</t>
  </si>
  <si>
    <t>sorting nexin 1 [Source:MGI Symbol;Acc:MGI:1928395]</t>
  </si>
  <si>
    <t>Id1</t>
  </si>
  <si>
    <t>inhibitor of DNA binding 1, HLH protein [Source:MGI Symbol;Acc:MGI:96396]</t>
  </si>
  <si>
    <t>Gm12216</t>
  </si>
  <si>
    <t>predicted gene 12216 [Source:MGI Symbol;Acc:MGI:3650088]</t>
  </si>
  <si>
    <t>Ydjc</t>
  </si>
  <si>
    <t>YdjC homolog (bacterial) [Source:MGI Symbol;Acc:MGI:1916351]</t>
  </si>
  <si>
    <t>Mrpl43</t>
  </si>
  <si>
    <t>mitochondrial ribosomal protein L43 [Source:MGI Symbol;Acc:MGI:2137229]</t>
  </si>
  <si>
    <t>Hic2</t>
  </si>
  <si>
    <t>hypermethylated in cancer 2 [Source:MGI Symbol;Acc:MGI:1929869]</t>
  </si>
  <si>
    <t>Prcc</t>
  </si>
  <si>
    <t>papillary renal cell carcinoma (translocation-associated) [Source:MGI Symbol;Acc:MGI:2137738]</t>
  </si>
  <si>
    <t>Zfp964</t>
  </si>
  <si>
    <t>zinc finger protein 964 [Source:MGI Symbol;Acc:MGI:3646490]</t>
  </si>
  <si>
    <t>Tfe3</t>
  </si>
  <si>
    <t>transcription factor E3 [Source:MGI Symbol;Acc:MGI:98511]</t>
  </si>
  <si>
    <t>Spout1</t>
  </si>
  <si>
    <t>SPOUT domain containing methyltransferase 1 [Source:MGI Symbol;Acc:MGI:106544]</t>
  </si>
  <si>
    <t>Mrps12</t>
  </si>
  <si>
    <t>mitochondrial ribosomal protein S12 [Source:MGI Symbol;Acc:MGI:1346333]</t>
  </si>
  <si>
    <t>Rab3gap2</t>
  </si>
  <si>
    <t>RAB3 GTPase activating protein subunit 2 [Source:MGI Symbol;Acc:MGI:1916043]</t>
  </si>
  <si>
    <t>Mff</t>
  </si>
  <si>
    <t>mitochondrial fission factor [Source:MGI Symbol;Acc:MGI:1922984]</t>
  </si>
  <si>
    <t>Apeh</t>
  </si>
  <si>
    <t>acylpeptide hydrolase [Source:MGI Symbol;Acc:MGI:88041]</t>
  </si>
  <si>
    <t>Gm37933</t>
  </si>
  <si>
    <t>predicted gene, 37933 [Source:MGI Symbol;Acc:MGI:5611161]</t>
  </si>
  <si>
    <t>Rsrc1</t>
  </si>
  <si>
    <t>arginine/serine-rich coiled-coil 1 [Source:MGI Symbol;Acc:MGI:1914130]</t>
  </si>
  <si>
    <t>Gm43552</t>
  </si>
  <si>
    <t>predicted gene 43552 [Source:MGI Symbol;Acc:MGI:5663689]</t>
  </si>
  <si>
    <t>AL607142.1</t>
  </si>
  <si>
    <t>Dpagt1</t>
  </si>
  <si>
    <t>dolichyl-phosphate (UDP-N-acetylglucosamine) acetylglucosaminephosphotransferase 1 (GlcNAc-1-P transferase) [Source:MGI Symbol;Acc:MGI:1196396]</t>
  </si>
  <si>
    <t>2010016I18Rik</t>
  </si>
  <si>
    <t>RIKEN cDNA 2010016I18 gene [Source:MGI Symbol;Acc:MGI:1916456]</t>
  </si>
  <si>
    <t>B3gnt3</t>
  </si>
  <si>
    <t>UDP-GlcNAc:betaGal beta-1,3-N-acetylglucosaminyltransferase 3 [Source:MGI Symbol;Acc:MGI:2152535]</t>
  </si>
  <si>
    <t>Clic1</t>
  </si>
  <si>
    <t>chloride intracellular channel 1 [Source:MGI Symbol;Acc:MGI:2148924]</t>
  </si>
  <si>
    <t>Sesn2</t>
  </si>
  <si>
    <t>sestrin 2 [Source:MGI Symbol;Acc:MGI:2651874]</t>
  </si>
  <si>
    <t>Hmgb3</t>
  </si>
  <si>
    <t>high mobility group box 3 [Source:MGI Symbol;Acc:MGI:1098219]</t>
  </si>
  <si>
    <t>Hoxa1</t>
  </si>
  <si>
    <t>homeobox A1 [Source:MGI Symbol;Acc:MGI:96170]</t>
  </si>
  <si>
    <t>Mgst2</t>
  </si>
  <si>
    <t>microsomal glutathione S-transferase 2 [Source:MGI Symbol;Acc:MGI:2448481]</t>
  </si>
  <si>
    <t>Pdxdc1</t>
  </si>
  <si>
    <t>pyridoxal-dependent decarboxylase domain containing 1 [Source:MGI Symbol;Acc:MGI:1920909]</t>
  </si>
  <si>
    <t>Ctsh</t>
  </si>
  <si>
    <t>cathepsin H [Source:MGI Symbol;Acc:MGI:107285]</t>
  </si>
  <si>
    <t>Zcchc10</t>
  </si>
  <si>
    <t>zinc finger, CCHC domain containing 10 [Source:MGI Symbol;Acc:MGI:1196228]</t>
  </si>
  <si>
    <t>Senp1</t>
  </si>
  <si>
    <t>SUMO1/sentrin specific peptidase 1 [Source:MGI Symbol;Acc:MGI:2445054]</t>
  </si>
  <si>
    <t>Gm15537</t>
  </si>
  <si>
    <t>predicted gene 15537 [Source:MGI Symbol;Acc:MGI:3782985]</t>
  </si>
  <si>
    <t>Acrbp</t>
  </si>
  <si>
    <t>proacrosin binding protein [Source:MGI Symbol;Acc:MGI:1859515]</t>
  </si>
  <si>
    <t>Gm20390</t>
  </si>
  <si>
    <t>predicted gene 20390 [Source:MGI Symbol;Acc:MGI:5141855]</t>
  </si>
  <si>
    <t>Renbp</t>
  </si>
  <si>
    <t>renin binding protein [Source:MGI Symbol;Acc:MGI:105940]</t>
  </si>
  <si>
    <t>Serinc2</t>
  </si>
  <si>
    <t>serine incorporator 2 [Source:MGI Symbol;Acc:MGI:1919132]</t>
  </si>
  <si>
    <t>Atp2c1</t>
  </si>
  <si>
    <t>ATPase, Ca++-sequestering [Source:MGI Symbol;Acc:MGI:1889008]</t>
  </si>
  <si>
    <t>Ctnnb1</t>
  </si>
  <si>
    <t>catenin (cadherin associated protein), beta 1 [Source:MGI Symbol;Acc:MGI:88276]</t>
  </si>
  <si>
    <t>Serpinc1</t>
  </si>
  <si>
    <t>serine (or cysteine) peptidase inhibitor, clade C (antithrombin), member 1 [Source:MGI Symbol;Acc:MGI:88095]</t>
  </si>
  <si>
    <t>Glce</t>
  </si>
  <si>
    <t>glucuronyl C5-epimerase [Source:MGI Symbol;Acc:MGI:2136405]</t>
  </si>
  <si>
    <t>1700034H15Rik</t>
  </si>
  <si>
    <t>RIKEN cDNA 1700034H15 gene [Source:MGI Symbol;Acc:MGI:1921515]</t>
  </si>
  <si>
    <t>Nlrp1a</t>
  </si>
  <si>
    <t>NLR family, pyrin domain containing 1A [Source:MGI Symbol;Acc:MGI:2684861]</t>
  </si>
  <si>
    <t>C1qa</t>
  </si>
  <si>
    <t>complement component 1, q subcomponent, alpha polypeptide [Source:MGI Symbol;Acc:MGI:88223]</t>
  </si>
  <si>
    <t>Hhat</t>
  </si>
  <si>
    <t>hedgehog acyltransferase [Source:MGI Symbol;Acc:MGI:2444681]</t>
  </si>
  <si>
    <t>Socs5</t>
  </si>
  <si>
    <t>suppressor of cytokine signaling 5 [Source:MGI Symbol;Acc:MGI:2385459]</t>
  </si>
  <si>
    <t>Irgq</t>
  </si>
  <si>
    <t>immunity-related GTPase family, Q [Source:MGI Symbol;Acc:MGI:2667176]</t>
  </si>
  <si>
    <t>Tmcc1</t>
  </si>
  <si>
    <t>transmembrane and coiled coil domains 1 [Source:MGI Symbol;Acc:MGI:2442368]</t>
  </si>
  <si>
    <t>Slc25a38</t>
  </si>
  <si>
    <t>solute carrier family 25, member 38 [Source:MGI Symbol;Acc:MGI:2384782]</t>
  </si>
  <si>
    <t>Selenop</t>
  </si>
  <si>
    <t>selenoprotein P [Source:MGI Symbol;Acc:MGI:894288]</t>
  </si>
  <si>
    <t>H2aj</t>
  </si>
  <si>
    <t>H2J.A histone [Source:MGI Symbol;Acc:MGI:3606192]</t>
  </si>
  <si>
    <t>Slc46a1</t>
  </si>
  <si>
    <t>solute carrier family 46, member 1 [Source:MGI Symbol;Acc:MGI:1098733]</t>
  </si>
  <si>
    <t>Herc1</t>
  </si>
  <si>
    <t>HECT and RLD domain containing E3 ubiquitin protein ligase family member 1 [Source:MGI Symbol;Acc:MGI:2384589]</t>
  </si>
  <si>
    <t>Spag7</t>
  </si>
  <si>
    <t>sperm associated antigen 7 [Source:MGI Symbol;Acc:MGI:107380]</t>
  </si>
  <si>
    <t>Ttc28</t>
  </si>
  <si>
    <t>tetratricopeptide repeat domain 28 [Source:MGI Symbol;Acc:MGI:2140873]</t>
  </si>
  <si>
    <t>Hsd17b10</t>
  </si>
  <si>
    <t>hydroxysteroid (17-beta) dehydrogenase 10 [Source:MGI Symbol;Acc:MGI:1333871]</t>
  </si>
  <si>
    <t>Zfp653</t>
  </si>
  <si>
    <t>zinc finger protein 653 [Source:MGI Symbol;Acc:MGI:2442362]</t>
  </si>
  <si>
    <t>Crnde</t>
  </si>
  <si>
    <t>colorectal neoplasia differentially expressed (non-protein coding) [Source:MGI Symbol;Acc:MGI:1918546]</t>
  </si>
  <si>
    <t>Gm14236</t>
  </si>
  <si>
    <t>predicted gene 14236 [Source:MGI Symbol;Acc:MGI:3651467]</t>
  </si>
  <si>
    <t>Gm6206</t>
  </si>
  <si>
    <t>predicted pseudogene 6206 [Source:MGI Symbol;Acc:MGI:3644890]</t>
  </si>
  <si>
    <t>Rb1cc1</t>
  </si>
  <si>
    <t>RB1-inducible coiled-coil 1 [Source:MGI Symbol;Acc:MGI:1341850]</t>
  </si>
  <si>
    <t>Fbxl18</t>
  </si>
  <si>
    <t>F-box and leucine-rich repeat protein 18 [Source:MGI Symbol;Acc:MGI:2444450]</t>
  </si>
  <si>
    <t>Thoc5</t>
  </si>
  <si>
    <t>THO complex 5 [Source:MGI Symbol;Acc:MGI:1351333]</t>
  </si>
  <si>
    <t>Rprd2</t>
  </si>
  <si>
    <t>regulation of nuclear pre-mRNA domain containing 2 [Source:MGI Symbol;Acc:MGI:1922387]</t>
  </si>
  <si>
    <t>Dedd</t>
  </si>
  <si>
    <t>death effector domain-containing [Source:MGI Symbol;Acc:MGI:1333874]</t>
  </si>
  <si>
    <t>Rps26</t>
  </si>
  <si>
    <t>ribosomal protein S26 [Source:MGI Symbol;Acc:MGI:1351628]</t>
  </si>
  <si>
    <t>Macrod2</t>
  </si>
  <si>
    <t>mono-ADP ribosylhydrolase 2 [Source:MGI Symbol;Acc:MGI:1920149]</t>
  </si>
  <si>
    <t>Alg5</t>
  </si>
  <si>
    <t>asparagine-linked glycosylation 5 (dolichyl-phosphate beta-glucosyltransferase) [Source:MGI Symbol;Acc:MGI:1913498]</t>
  </si>
  <si>
    <t>Ralgps1</t>
  </si>
  <si>
    <t>Ral GEF with PH domain and SH3 binding motif 1 [Source:MGI Symbol;Acc:MGI:1922008]</t>
  </si>
  <si>
    <t>Ube4b</t>
  </si>
  <si>
    <t>ubiquitination factor E4B [Source:MGI Symbol;Acc:MGI:1927086]</t>
  </si>
  <si>
    <t>Eif1a</t>
  </si>
  <si>
    <t>eukaryotic translation initiation factor 1A [Source:MGI Symbol;Acc:MGI:95298]</t>
  </si>
  <si>
    <t>Dhrs9</t>
  </si>
  <si>
    <t>dehydrogenase/reductase (SDR family) member 9 [Source:MGI Symbol;Acc:MGI:2442798]</t>
  </si>
  <si>
    <t>Gmeb2</t>
  </si>
  <si>
    <t>glucocorticoid modulatory element binding protein 2 [Source:MGI Symbol;Acc:MGI:2652836]</t>
  </si>
  <si>
    <t>Rmdn3</t>
  </si>
  <si>
    <t>regulator of microtubule dynamics 3 [Source:MGI Symbol;Acc:MGI:1915059]</t>
  </si>
  <si>
    <t>Rab40c</t>
  </si>
  <si>
    <t>Rab40C, member RAS oncogene family [Source:MGI Symbol;Acc:MGI:2183454]</t>
  </si>
  <si>
    <t>Apaf1</t>
  </si>
  <si>
    <t>apoptotic peptidase activating factor 1 [Source:MGI Symbol;Acc:MGI:1306796]</t>
  </si>
  <si>
    <t>Gm28778</t>
  </si>
  <si>
    <t>predicted gene 28778 [Source:MGI Symbol;Acc:MGI:5579484]</t>
  </si>
  <si>
    <t>Cyp26a1</t>
  </si>
  <si>
    <t>cytochrome P450, family 26, subfamily a, polypeptide 1 [Source:MGI Symbol;Acc:MGI:1096359]</t>
  </si>
  <si>
    <t>Gm7964</t>
  </si>
  <si>
    <t>predicted gene 7964 [Source:MGI Symbol;Acc:MGI:3646150]</t>
  </si>
  <si>
    <t>Vps26b</t>
  </si>
  <si>
    <t>VPS26 retromer complex component B [Source:MGI Symbol;Acc:MGI:1917656]</t>
  </si>
  <si>
    <t>Mrm3</t>
  </si>
  <si>
    <t>mitochondrial rRNA methyltransferase 3 [Source:MGI Symbol;Acc:MGI:1914640]</t>
  </si>
  <si>
    <t>Tmem14c</t>
  </si>
  <si>
    <t>transmembrane protein 14C [Source:MGI Symbol;Acc:MGI:1913404]</t>
  </si>
  <si>
    <t>Gm45908</t>
  </si>
  <si>
    <t>predicted gene 45908 [Source:MGI Symbol;Acc:MGI:5805023]</t>
  </si>
  <si>
    <t>Ccdc32</t>
  </si>
  <si>
    <t>coiled-coil domain containing 32 [Source:MGI Symbol;Acc:MGI:2685477]</t>
  </si>
  <si>
    <t>Pxmp2</t>
  </si>
  <si>
    <t>peroxisomal membrane protein 2 [Source:MGI Symbol;Acc:MGI:107487]</t>
  </si>
  <si>
    <t>Gm15726</t>
  </si>
  <si>
    <t>predicted gene 15726 [Source:MGI Symbol;Acc:MGI:3783169]</t>
  </si>
  <si>
    <t>Evi2</t>
  </si>
  <si>
    <t>ecotropic viral integration site 2 [Source:MGI Symbol;Acc:MGI:5439444]</t>
  </si>
  <si>
    <t>Lockd</t>
  </si>
  <si>
    <t>lncRNA downstream of Cdkn1b [Source:MGI Symbol;Acc:MGI:1915081]</t>
  </si>
  <si>
    <t>Ostf1</t>
  </si>
  <si>
    <t>osteoclast stimulating factor 1 [Source:MGI Symbol;Acc:MGI:700012]</t>
  </si>
  <si>
    <t>Pom121</t>
  </si>
  <si>
    <t>nuclear pore membrane protein 121 [Source:MGI Symbol;Acc:MGI:2137624]</t>
  </si>
  <si>
    <t>Axdnd1</t>
  </si>
  <si>
    <t>axonemal dynein light chain domain containing 1 [Source:MGI Symbol;Acc:MGI:1924602]</t>
  </si>
  <si>
    <t>Urb1</t>
  </si>
  <si>
    <t>URB1 ribosome biogenesis 1 homolog (S. cerevisiae) [Source:MGI Symbol;Acc:MGI:2146468]</t>
  </si>
  <si>
    <t>Gm38394</t>
  </si>
  <si>
    <t>predicted gene, 38394 [Source:MGI Symbol;Acc:MGI:5614057]</t>
  </si>
  <si>
    <t>Fscn1</t>
  </si>
  <si>
    <t>fascin actin-bundling protein 1 [Source:MGI Symbol;Acc:MGI:1352745]</t>
  </si>
  <si>
    <t>Mtg2</t>
  </si>
  <si>
    <t>mitochondrial ribosome associated GTPase 2 [Source:MGI Symbol;Acc:MGI:106565]</t>
  </si>
  <si>
    <t>Nudt13</t>
  </si>
  <si>
    <t>nudix (nucleoside diphosphate linked moiety X)-type motif 13 [Source:MGI Symbol;Acc:MGI:1914975]</t>
  </si>
  <si>
    <t>Farsb</t>
  </si>
  <si>
    <t>phenylalanyl-tRNA synthetase, beta subunit [Source:MGI Symbol;Acc:MGI:1346035]</t>
  </si>
  <si>
    <t>Iars</t>
  </si>
  <si>
    <t>isoleucine-tRNA synthetase [Source:MGI Symbol;Acc:MGI:2145219]</t>
  </si>
  <si>
    <t>C1qc</t>
  </si>
  <si>
    <t>complement component 1, q subcomponent, C chain [Source:MGI Symbol;Acc:MGI:88225]</t>
  </si>
  <si>
    <t>4930599N23Rik</t>
  </si>
  <si>
    <t>RIKEN cDNA 4930599N23 gene [Source:MGI Symbol;Acc:MGI:1922629]</t>
  </si>
  <si>
    <t>Trim59</t>
  </si>
  <si>
    <t>tripartite motif-containing 59 [Source:MGI Symbol;Acc:MGI:1914199]</t>
  </si>
  <si>
    <t>Zfp458</t>
  </si>
  <si>
    <t>zinc finger protein 458 [Source:MGI Symbol;Acc:MGI:3040691]</t>
  </si>
  <si>
    <t>Strap</t>
  </si>
  <si>
    <t>serine/threonine kinase receptor associated protein [Source:MGI Symbol;Acc:MGI:1329037]</t>
  </si>
  <si>
    <t>Dennd5b</t>
  </si>
  <si>
    <t>DENN/MADD domain containing 5B [Source:MGI Symbol;Acc:MGI:2444273]</t>
  </si>
  <si>
    <t>Dbr1</t>
  </si>
  <si>
    <t>debranching RNA lariats 1 [Source:MGI Symbol;Acc:MGI:1931520]</t>
  </si>
  <si>
    <t>Arv1</t>
  </si>
  <si>
    <t>ARV1 homolog, fatty acid homeostasis modulator [Source:MGI Symbol;Acc:MGI:1916115]</t>
  </si>
  <si>
    <t>Pura</t>
  </si>
  <si>
    <t>purine rich element binding protein A [Source:MGI Symbol;Acc:MGI:103079]</t>
  </si>
  <si>
    <t>Gm47766</t>
  </si>
  <si>
    <t>predicted gene, 47766 [Source:MGI Symbol;Acc:MGI:6096919]</t>
  </si>
  <si>
    <t>Cxxc1</t>
  </si>
  <si>
    <t>CXXC finger 1 (PHD domain) [Source:MGI Symbol;Acc:MGI:1921572]</t>
  </si>
  <si>
    <t>Arfgap2</t>
  </si>
  <si>
    <t>ADP-ribosylation factor GTPase activating protein 2 [Source:MGI Symbol;Acc:MGI:1924288]</t>
  </si>
  <si>
    <t>Txndc12</t>
  </si>
  <si>
    <t>thioredoxin domain containing 12 (endoplasmic reticulum) [Source:MGI Symbol;Acc:MGI:1913323]</t>
  </si>
  <si>
    <t>Rarg</t>
  </si>
  <si>
    <t>retinoic acid receptor, gamma [Source:MGI Symbol;Acc:MGI:97858]</t>
  </si>
  <si>
    <t>Apbb1ip</t>
  </si>
  <si>
    <t>amyloid beta (A4) precursor protein-binding, family B, member 1 interacting protein [Source:MGI Symbol;Acc:MGI:1861354]</t>
  </si>
  <si>
    <t>Zfp518a</t>
  </si>
  <si>
    <t>zinc finger protein 518A [Source:MGI Symbol;Acc:MGI:1919922]</t>
  </si>
  <si>
    <t>Pkd1l2</t>
  </si>
  <si>
    <t>polycystic kidney disease 1 like 2 [Source:MGI Symbol;Acc:MGI:2664668]</t>
  </si>
  <si>
    <t>Hnrnpa1</t>
  </si>
  <si>
    <t>heterogeneous nuclear ribonucleoprotein A1 [Source:MGI Symbol;Acc:MGI:104820]</t>
  </si>
  <si>
    <t>Pde12</t>
  </si>
  <si>
    <t>phosphodiesterase 12 [Source:MGI Symbol;Acc:MGI:2443226]</t>
  </si>
  <si>
    <t>Lrp8os3</t>
  </si>
  <si>
    <t>low density lipoprotein receptor-related protein 8, apolipoprotein e receptor, opposite strand 3 [Source:MGI Symbol;Acc:MGI:3651133]</t>
  </si>
  <si>
    <t>Rpl7l1</t>
  </si>
  <si>
    <t>ribosomal protein L7-like 1 [Source:MGI Symbol;Acc:MGI:1913479]</t>
  </si>
  <si>
    <t>Gm49463</t>
  </si>
  <si>
    <t>predicted gene, 49463 [Source:MGI Symbol;Acc:MGI:6155122]</t>
  </si>
  <si>
    <t>Lair1</t>
  </si>
  <si>
    <t>leukocyte-associated Ig-like receptor 1 [Source:MGI Symbol;Acc:MGI:105492]</t>
  </si>
  <si>
    <t>Zkscan6</t>
  </si>
  <si>
    <t>zinc finger with KRAB and SCAN domains 6 [Source:MGI Symbol;Acc:MGI:1289293]</t>
  </si>
  <si>
    <t>Rph3a</t>
  </si>
  <si>
    <t>rabphilin 3A [Source:MGI Symbol;Acc:MGI:102788]</t>
  </si>
  <si>
    <t>Hps6</t>
  </si>
  <si>
    <t>HPS6, biogenesis of lysosomal organelles complex 2 subunit 3 [Source:MGI Symbol;Acc:MGI:2181763]</t>
  </si>
  <si>
    <t>Pomgnt2</t>
  </si>
  <si>
    <t>protein O-linked mannose beta 1,4-N-acetylglucosaminyltransferase 2 [Source:MGI Symbol;Acc:MGI:2143424]</t>
  </si>
  <si>
    <t>Sepsecs</t>
  </si>
  <si>
    <t>Sep (O-phosphoserine) tRNA:Sec (selenocysteine) tRNA synthase [Source:MGI Symbol;Acc:MGI:1098791]</t>
  </si>
  <si>
    <t>Ttbk2</t>
  </si>
  <si>
    <t>tau tubulin kinase 2 [Source:MGI Symbol;Acc:MGI:2155779]</t>
  </si>
  <si>
    <t>Cnot7</t>
  </si>
  <si>
    <t>CCR4-NOT transcription complex, subunit 7 [Source:MGI Symbol;Acc:MGI:1298230]</t>
  </si>
  <si>
    <t>Cisd1</t>
  </si>
  <si>
    <t>CDGSH iron sulfur domain 1 [Source:MGI Symbol;Acc:MGI:1261855]</t>
  </si>
  <si>
    <t>Spc25</t>
  </si>
  <si>
    <t>SPC25, NDC80 kinetochore complex component, homolog (S. cerevisiae) [Source:MGI Symbol;Acc:MGI:1913692]</t>
  </si>
  <si>
    <t>Gtf2h3</t>
  </si>
  <si>
    <t>general transcription factor IIH, polypeptide 3 [Source:MGI Symbol;Acc:MGI:1277143]</t>
  </si>
  <si>
    <t>Ccdc15</t>
  </si>
  <si>
    <t>coiled-coil domain containing 15 [Source:MGI Symbol;Acc:MGI:2444488]</t>
  </si>
  <si>
    <t>Lmtk2</t>
  </si>
  <si>
    <t>lemur tyrosine kinase 2 [Source:MGI Symbol;Acc:MGI:3036247]</t>
  </si>
  <si>
    <t>Prpsap1</t>
  </si>
  <si>
    <t>phosphoribosyl pyrophosphate synthetase-associated protein 1 [Source:MGI Symbol;Acc:MGI:1915013]</t>
  </si>
  <si>
    <t>Agbl3</t>
  </si>
  <si>
    <t>ATP/GTP binding protein-like 3 [Source:MGI Symbol;Acc:MGI:1923473]</t>
  </si>
  <si>
    <t>Gm43255</t>
  </si>
  <si>
    <t>predicted gene 43255 [Source:MGI Symbol;Acc:MGI:5663392]</t>
  </si>
  <si>
    <t>Mtfr2</t>
  </si>
  <si>
    <t>mitochondrial fission regulator 2 [Source:MGI Symbol;Acc:MGI:1919054]</t>
  </si>
  <si>
    <t>Gm43420</t>
  </si>
  <si>
    <t>predicted gene 43420 [Source:MGI Symbol;Acc:MGI:5663557]</t>
  </si>
  <si>
    <t>Prpf40a</t>
  </si>
  <si>
    <t>pre-mRNA processing factor 40A [Source:MGI Symbol;Acc:MGI:1860512]</t>
  </si>
  <si>
    <t>Amigo3</t>
  </si>
  <si>
    <t>adhesion molecule with Ig like domain 3 [Source:MGI Symbol;Acc:MGI:2444854]</t>
  </si>
  <si>
    <t>Ctnnd2</t>
  </si>
  <si>
    <t>catenin (cadherin associated protein), delta 2 [Source:MGI Symbol;Acc:MGI:1195966]</t>
  </si>
  <si>
    <t>Gm27533</t>
  </si>
  <si>
    <t>predicted gene, 27533 [Source:MGI Symbol;Acc:MGI:5530915]</t>
  </si>
  <si>
    <t>Mia3</t>
  </si>
  <si>
    <t>melanoma inhibitory activity 3 [Source:MGI Symbol;Acc:MGI:2443183]</t>
  </si>
  <si>
    <t>Letmd1</t>
  </si>
  <si>
    <t>LETM1 domain containing 1 [Source:MGI Symbol;Acc:MGI:1915864]</t>
  </si>
  <si>
    <t>Atmin</t>
  </si>
  <si>
    <t>ATM interactor [Source:MGI Symbol;Acc:MGI:2682328]</t>
  </si>
  <si>
    <t>Trir</t>
  </si>
  <si>
    <t>telomerase RNA component interacting RNase [Source:MGI Symbol;Acc:MGI:1922833]</t>
  </si>
  <si>
    <t>Lrrn4cl</t>
  </si>
  <si>
    <t>LRRN4 C-terminal like [Source:MGI Symbol;Acc:MGI:1916102]</t>
  </si>
  <si>
    <t>Dhdh</t>
  </si>
  <si>
    <t>dihydrodiol dehydrogenase (dimeric) [Source:MGI Symbol;Acc:MGI:1919005]</t>
  </si>
  <si>
    <t>Calu</t>
  </si>
  <si>
    <t>calumenin [Source:MGI Symbol;Acc:MGI:1097158]</t>
  </si>
  <si>
    <t>BC017158</t>
  </si>
  <si>
    <t>cDNA sequence BC017158 [Source:MGI Symbol;Acc:MGI:2384572]</t>
  </si>
  <si>
    <t>Sinhcaf</t>
  </si>
  <si>
    <t>SIN3-HDAC complex associated factor [Source:MGI Symbol;Acc:MGI:1929091]</t>
  </si>
  <si>
    <t>Gm43660</t>
  </si>
  <si>
    <t>predicted gene 43660 [Source:MGI Symbol;Acc:MGI:5663797]</t>
  </si>
  <si>
    <t>Tpk1</t>
  </si>
  <si>
    <t>thiamine pyrophosphokinase [Source:MGI Symbol;Acc:MGI:1352500]</t>
  </si>
  <si>
    <t>Rhobtb1</t>
  </si>
  <si>
    <t>Rho-related BTB domain containing 1 [Source:MGI Symbol;Acc:MGI:1916538]</t>
  </si>
  <si>
    <t>Pisd-ps1</t>
  </si>
  <si>
    <t>phosphatidylserine decarboxylase, pseudogene 1 [Source:MGI Symbol;Acc:MGI:3842428]</t>
  </si>
  <si>
    <t>Tnfrsf18</t>
  </si>
  <si>
    <t>tumor necrosis factor receptor superfamily, member 18 [Source:MGI Symbol;Acc:MGI:894675]</t>
  </si>
  <si>
    <t>Nt5c</t>
  </si>
  <si>
    <t>5',3'-nucleotidase, cytosolic [Source:MGI Symbol;Acc:MGI:1354954]</t>
  </si>
  <si>
    <t>Rps13</t>
  </si>
  <si>
    <t>ribosomal protein S13 [Source:MGI Symbol;Acc:MGI:1915302]</t>
  </si>
  <si>
    <t>Zfp974</t>
  </si>
  <si>
    <t>zinc finger protein 974 [Source:MGI Symbol;Acc:MGI:1920680]</t>
  </si>
  <si>
    <t>Hist1h4n</t>
  </si>
  <si>
    <t>histone cluster 1, H4n [Source:MGI Symbol;Acc:MGI:4843992]</t>
  </si>
  <si>
    <t>Gm50419</t>
  </si>
  <si>
    <t>predicted gene, 50419 [Source:MGI Symbol;Acc:MGI:6303343]</t>
  </si>
  <si>
    <t>Ctnna1</t>
  </si>
  <si>
    <t>catenin (cadherin associated protein), alpha 1 [Source:MGI Symbol;Acc:MGI:88274]</t>
  </si>
  <si>
    <t>Osgin1</t>
  </si>
  <si>
    <t>oxidative stress induced growth inhibitor 1 [Source:MGI Symbol;Acc:MGI:1919089]</t>
  </si>
  <si>
    <t>Rab39</t>
  </si>
  <si>
    <t>RAB39, member RAS oncogene family [Source:MGI Symbol;Acc:MGI:2442855]</t>
  </si>
  <si>
    <t>Nudt19</t>
  </si>
  <si>
    <t>nudix (nucleoside diphosphate linked moiety X)-type motif 19 [Source:MGI Symbol;Acc:MGI:94203]</t>
  </si>
  <si>
    <t>Mphosph9</t>
  </si>
  <si>
    <t>M-phase phosphoprotein 9 [Source:MGI Symbol;Acc:MGI:2443138]</t>
  </si>
  <si>
    <t>Dnajb11</t>
  </si>
  <si>
    <t>DnaJ heat shock protein family (Hsp40) member B11 [Source:MGI Symbol;Acc:MGI:1915088]</t>
  </si>
  <si>
    <t>Gpr31c</t>
  </si>
  <si>
    <t>G protein-coupled receptor 31, D17Leh66c region [Source:MGI Symbol;Acc:MGI:1354371]</t>
  </si>
  <si>
    <t>Loxl3</t>
  </si>
  <si>
    <t>lysyl oxidase-like 3 [Source:MGI Symbol;Acc:MGI:1337004]</t>
  </si>
  <si>
    <t>Gm12346</t>
  </si>
  <si>
    <t>predicted gene 12346 [Source:MGI Symbol;Acc:MGI:3649810]</t>
  </si>
  <si>
    <t>Twsg1</t>
  </si>
  <si>
    <t>twisted gastrulation BMP signaling modulator 1 [Source:MGI Symbol;Acc:MGI:2137520]</t>
  </si>
  <si>
    <t>Snx25</t>
  </si>
  <si>
    <t>sorting nexin 25 [Source:MGI Symbol;Acc:MGI:2142610]</t>
  </si>
  <si>
    <t>Heatr3</t>
  </si>
  <si>
    <t>HEAT repeat containing 3 [Source:MGI Symbol;Acc:MGI:2444491]</t>
  </si>
  <si>
    <t>Utp18</t>
  </si>
  <si>
    <t>UTP18 small subunit processome component [Source:MGI Symbol;Acc:MGI:1923402]</t>
  </si>
  <si>
    <t>Pdzd8</t>
  </si>
  <si>
    <t>PDZ domain containing 8 [Source:MGI Symbol;Acc:MGI:2677270]</t>
  </si>
  <si>
    <t>4930405A21Rik</t>
  </si>
  <si>
    <t>RIKEN cDNA 4930405A21 gene [Source:MGI Symbol;Acc:MGI:1922096]</t>
  </si>
  <si>
    <t>C330024C12Rik</t>
  </si>
  <si>
    <t>RIKEN cDNA C330024C12 gene [Source:MGI Symbol;Acc:MGI:3026976]</t>
  </si>
  <si>
    <t>Rnft1</t>
  </si>
  <si>
    <t>ring finger protein, transmembrane 1 [Source:MGI Symbol;Acc:MGI:1924142]</t>
  </si>
  <si>
    <t>Itpr2</t>
  </si>
  <si>
    <t>inositol 1,4,5-triphosphate receptor 2 [Source:MGI Symbol;Acc:MGI:99418]</t>
  </si>
  <si>
    <t>Kifc5b</t>
  </si>
  <si>
    <t>kinesin family member C5B [Source:MGI Symbol;Acc:MGI:2137414]</t>
  </si>
  <si>
    <t>Dennd1b</t>
  </si>
  <si>
    <t>DENN/MADD domain containing 1B [Source:MGI Symbol;Acc:MGI:2447812]</t>
  </si>
  <si>
    <t>Pigo</t>
  </si>
  <si>
    <t>phosphatidylinositol glycan anchor biosynthesis, class O [Source:MGI Symbol;Acc:MGI:1861452]</t>
  </si>
  <si>
    <t>Ppp4r1l-ps</t>
  </si>
  <si>
    <t>protein phosphatase 4, regulatory subunit 1-like, pseudogene [Source:MGI Symbol;Acc:MGI:1924560]</t>
  </si>
  <si>
    <t>Tab1</t>
  </si>
  <si>
    <t>TGF-beta activated kinase 1/MAP3K7 binding protein 1 [Source:MGI Symbol;Acc:MGI:1913763]</t>
  </si>
  <si>
    <t>A330074K22Rik</t>
  </si>
  <si>
    <t>RIKEN cDNA A330074K22 gene [Source:MGI Symbol;Acc:MGI:3045392]</t>
  </si>
  <si>
    <t>Luc7l3</t>
  </si>
  <si>
    <t>LUC7-like 3 (S. cerevisiae) [Source:MGI Symbol;Acc:MGI:1914934]</t>
  </si>
  <si>
    <t>A330023F24Rik</t>
  </si>
  <si>
    <t>RIKEN cDNA A330023F24 gene [Source:MGI Symbol;Acc:MGI:2443958]</t>
  </si>
  <si>
    <t>Bcas3</t>
  </si>
  <si>
    <t>breast carcinoma amplified sequence 3 [Source:MGI Symbol;Acc:MGI:2385848]</t>
  </si>
  <si>
    <t>Slc35b1</t>
  </si>
  <si>
    <t>solute carrier family 35, member B1 [Source:MGI Symbol;Acc:MGI:1343133]</t>
  </si>
  <si>
    <t>Sac3d1</t>
  </si>
  <si>
    <t>SAC3 domain containing 1 [Source:MGI Symbol;Acc:MGI:1913656]</t>
  </si>
  <si>
    <t>Natd1</t>
  </si>
  <si>
    <t>N-acetyltransferase domain containing 1 [Source:MGI Symbol;Acc:MGI:1344388]</t>
  </si>
  <si>
    <t>2410006H16Rik</t>
  </si>
  <si>
    <t>RIKEN cDNA 2410006H16 gene [Source:MGI Symbol;Acc:MGI:1916471]</t>
  </si>
  <si>
    <t>Psen1</t>
  </si>
  <si>
    <t>presenilin 1 [Source:MGI Symbol;Acc:MGI:1202717]</t>
  </si>
  <si>
    <t>Efna2</t>
  </si>
  <si>
    <t>ephrin A2 [Source:MGI Symbol;Acc:MGI:102707]</t>
  </si>
  <si>
    <t>Kcnab3</t>
  </si>
  <si>
    <t>potassium voltage-gated channel, shaker-related subfamily, beta member 3 [Source:MGI Symbol;Acc:MGI:1336208]</t>
  </si>
  <si>
    <t>Prmt1</t>
  </si>
  <si>
    <t>protein arginine N-methyltransferase 1 [Source:MGI Symbol;Acc:MGI:107846]</t>
  </si>
  <si>
    <t>Zfp180</t>
  </si>
  <si>
    <t>zinc finger protein 180 [Source:MGI Symbol;Acc:MGI:1923701]</t>
  </si>
  <si>
    <t>Dido1</t>
  </si>
  <si>
    <t>death inducer-obliterator 1 [Source:MGI Symbol;Acc:MGI:1344352]</t>
  </si>
  <si>
    <t>Khsrp</t>
  </si>
  <si>
    <t>KH-type splicing regulatory protein [Source:MGI Symbol;Acc:MGI:1336214]</t>
  </si>
  <si>
    <t>Cd164</t>
  </si>
  <si>
    <t>CD164 antigen [Source:MGI Symbol;Acc:MGI:1859568]</t>
  </si>
  <si>
    <t>Frmd4a</t>
  </si>
  <si>
    <t>FERM domain containing 4A [Source:MGI Symbol;Acc:MGI:1919850]</t>
  </si>
  <si>
    <t>Cpt1b</t>
  </si>
  <si>
    <t>carnitine palmitoyltransferase 1b, muscle [Source:MGI Symbol;Acc:MGI:1098297]</t>
  </si>
  <si>
    <t>Gm44428</t>
  </si>
  <si>
    <t>predicted gene, 44428 [Source:MGI Symbol;Acc:MGI:5690820]</t>
  </si>
  <si>
    <t>Dnal4</t>
  </si>
  <si>
    <t>dynein, axonemal, light chain 4 [Source:MGI Symbol;Acc:MGI:1859217]</t>
  </si>
  <si>
    <t>Def6</t>
  </si>
  <si>
    <t>differentially expressed in FDCP 6 [Source:MGI Symbol;Acc:MGI:1346328]</t>
  </si>
  <si>
    <t>Gm10614</t>
  </si>
  <si>
    <t>predicted gene 10614 [Source:MGI Symbol;Acc:MGI:3642104]</t>
  </si>
  <si>
    <t>Gm21970</t>
  </si>
  <si>
    <t>predicted gene 21970 [Source:MGI Symbol;Acc:MGI:5439439]</t>
  </si>
  <si>
    <t>Snx13</t>
  </si>
  <si>
    <t>sorting nexin 13 [Source:MGI Symbol;Acc:MGI:2661416]</t>
  </si>
  <si>
    <t>Ubc</t>
  </si>
  <si>
    <t>ubiquitin C [Source:MGI Symbol;Acc:MGI:98889]</t>
  </si>
  <si>
    <t>E130308A19Rik</t>
  </si>
  <si>
    <t>RIKEN cDNA E130308A19 gene [Source:MGI Symbol;Acc:MGI:2442164]</t>
  </si>
  <si>
    <t>Mettl18</t>
  </si>
  <si>
    <t>methyltransferase like 18 [Source:MGI Symbol;Acc:MGI:1917212]</t>
  </si>
  <si>
    <t>Gna11</t>
  </si>
  <si>
    <t>guanine nucleotide binding protein, alpha 11 [Source:MGI Symbol;Acc:MGI:95766]</t>
  </si>
  <si>
    <t>Mon2</t>
  </si>
  <si>
    <t>MON2 homolog, regulator of endosome to Golgi trafficking [Source:MGI Symbol;Acc:MGI:1914324]</t>
  </si>
  <si>
    <t>Gosr1</t>
  </si>
  <si>
    <t>golgi SNAP receptor complex member 1 [Source:MGI Symbol;Acc:MGI:1858260]</t>
  </si>
  <si>
    <t>Pdzd2</t>
  </si>
  <si>
    <t>PDZ domain containing 2 [Source:MGI Symbol;Acc:MGI:1922394]</t>
  </si>
  <si>
    <t>Srsf2</t>
  </si>
  <si>
    <t>serine and arginine-rich splicing factor 2 [Source:MGI Symbol;Acc:MGI:98284]</t>
  </si>
  <si>
    <t>Col6a1</t>
  </si>
  <si>
    <t>collagen, type VI, alpha 1 [Source:MGI Symbol;Acc:MGI:88459]</t>
  </si>
  <si>
    <t>Foxo6</t>
  </si>
  <si>
    <t>forkhead box O6 [Source:MGI Symbol;Acc:MGI:2676586]</t>
  </si>
  <si>
    <t>Pced1a</t>
  </si>
  <si>
    <t>PC-esterase domain containing 1A [Source:MGI Symbol;Acc:MGI:2442177]</t>
  </si>
  <si>
    <t>Rps4x</t>
  </si>
  <si>
    <t>ribosomal protein S4, X-linked [Source:MGI Symbol;Acc:MGI:98158]</t>
  </si>
  <si>
    <t>Ptges2</t>
  </si>
  <si>
    <t>prostaglandin E synthase 2 [Source:MGI Symbol;Acc:MGI:1917592]</t>
  </si>
  <si>
    <t>Celsr3</t>
  </si>
  <si>
    <t>cadherin, EGF LAG seven-pass G-type receptor 3 [Source:MGI Symbol;Acc:MGI:1858236]</t>
  </si>
  <si>
    <t>Zfp91</t>
  </si>
  <si>
    <t>zinc finger protein 91 [Source:MGI Symbol;Acc:MGI:104854]</t>
  </si>
  <si>
    <t>Scaf4</t>
  </si>
  <si>
    <t>SR-related CTD-associated factor 4 [Source:MGI Symbol;Acc:MGI:2146350]</t>
  </si>
  <si>
    <t>Mcub</t>
  </si>
  <si>
    <t>mitochondrial calcium uniporter dominant negative beta subunit [Source:MGI Symbol;Acc:MGI:1914065]</t>
  </si>
  <si>
    <t>Atxn7l2</t>
  </si>
  <si>
    <t>ataxin 7-like 2 [Source:MGI Symbol;Acc:MGI:1919772]</t>
  </si>
  <si>
    <t>Blm</t>
  </si>
  <si>
    <t>Bloom syndrome, RecQ like helicase [Source:MGI Symbol;Acc:MGI:1328362]</t>
  </si>
  <si>
    <t>Fcrlb</t>
  </si>
  <si>
    <t>Fc receptor-like B [Source:MGI Symbol;Acc:MGI:3576487]</t>
  </si>
  <si>
    <t>Msantd4</t>
  </si>
  <si>
    <t>Myb/SANT-like DNA-binding domain containing 4 with coiled-coils [Source:MGI Symbol;Acc:MGI:1925350]</t>
  </si>
  <si>
    <t>Nme2</t>
  </si>
  <si>
    <t>NME/NM23 nucleoside diphosphate kinase 2 [Source:MGI Symbol;Acc:MGI:97356]</t>
  </si>
  <si>
    <t>Hipk3</t>
  </si>
  <si>
    <t>homeodomain interacting protein kinase 3 [Source:MGI Symbol;Acc:MGI:1314882]</t>
  </si>
  <si>
    <t>Ap3s1</t>
  </si>
  <si>
    <t>adaptor-related protein complex 3, sigma 1 subunit [Source:MGI Symbol;Acc:MGI:1337062]</t>
  </si>
  <si>
    <t>Hyou1</t>
  </si>
  <si>
    <t>hypoxia up-regulated 1 [Source:MGI Symbol;Acc:MGI:108030]</t>
  </si>
  <si>
    <t>Wdfy2</t>
  </si>
  <si>
    <t>WD repeat and FYVE domain containing 2 [Source:MGI Symbol;Acc:MGI:2442811]</t>
  </si>
  <si>
    <t>H2bc6</t>
  </si>
  <si>
    <t>H2B clustered histone 6 [Source:MGI Symbol;Acc:MGI:2448380]</t>
  </si>
  <si>
    <t>Tdp1</t>
  </si>
  <si>
    <t>tyrosyl-DNA phosphodiesterase 1 [Source:MGI Symbol;Acc:MGI:1920036]</t>
  </si>
  <si>
    <t>Metap2</t>
  </si>
  <si>
    <t>methionine aminopeptidase 2 [Source:MGI Symbol;Acc:MGI:1929701]</t>
  </si>
  <si>
    <t>Gm7327</t>
  </si>
  <si>
    <t>predicted gene 7327 [Source:MGI Symbol;Acc:MGI:3646274]</t>
  </si>
  <si>
    <t>Tmem167</t>
  </si>
  <si>
    <t>transmembrane protein 167 [Source:MGI Symbol;Acc:MGI:1913324]</t>
  </si>
  <si>
    <t>Pcsk4</t>
  </si>
  <si>
    <t>proprotein convertase subtilisin/kexin type 4 [Source:MGI Symbol;Acc:MGI:97514]</t>
  </si>
  <si>
    <t>Mfsd4b4</t>
  </si>
  <si>
    <t>major facilitator superfamily domain containing 4B4 [Source:MGI Symbol;Acc:MGI:3035041]</t>
  </si>
  <si>
    <t>Ifnb1</t>
  </si>
  <si>
    <t>interferon beta 1, fibroblast [Source:MGI Symbol;Acc:MGI:107657]</t>
  </si>
  <si>
    <t>Arih1</t>
  </si>
  <si>
    <t>ariadne RBR E3 ubiquitin protein ligase 1 [Source:MGI Symbol;Acc:MGI:1344363]</t>
  </si>
  <si>
    <t>Slc6a19</t>
  </si>
  <si>
    <t>solute carrier family 6 (neurotransmitter transporter), member 19 [Source:MGI Symbol;Acc:MGI:1921588]</t>
  </si>
  <si>
    <t>Unc93b1</t>
  </si>
  <si>
    <t>unc-93 homolog B1, TLR signaling regulator [Source:MGI Symbol;Acc:MGI:1859307]</t>
  </si>
  <si>
    <t>B230216N24Rik</t>
  </si>
  <si>
    <t>RIKEN cDNA B230216N24 gene [Source:MGI Symbol;Acc:MGI:1925853]</t>
  </si>
  <si>
    <t>Eno3</t>
  </si>
  <si>
    <t>enolase 3, beta muscle [Source:MGI Symbol;Acc:MGI:95395]</t>
  </si>
  <si>
    <t>Rpl6</t>
  </si>
  <si>
    <t>ribosomal protein L6 [Source:MGI Symbol;Acc:MGI:108057]</t>
  </si>
  <si>
    <t>Lox</t>
  </si>
  <si>
    <t>lysyl oxidase [Source:MGI Symbol;Acc:MGI:96817]</t>
  </si>
  <si>
    <t>Mnt</t>
  </si>
  <si>
    <t>max binding protein [Source:MGI Symbol;Acc:MGI:109150]</t>
  </si>
  <si>
    <t>Ccdc142</t>
  </si>
  <si>
    <t>coiled-coil domain containing 142 [Source:MGI Symbol;Acc:MGI:3045292]</t>
  </si>
  <si>
    <t>9530068E07Rik</t>
  </si>
  <si>
    <t>RIKEN cDNA 9530068E07 gene [Source:MGI Symbol;Acc:MGI:2654705]</t>
  </si>
  <si>
    <t>Mpv17</t>
  </si>
  <si>
    <t>MpV17 mitochondrial inner membrane protein [Source:MGI Symbol;Acc:MGI:97138]</t>
  </si>
  <si>
    <t>Tnfrsf11a</t>
  </si>
  <si>
    <t>tumor necrosis factor receptor superfamily, member 11a, NFKB activator [Source:MGI Symbol;Acc:MGI:1314891]</t>
  </si>
  <si>
    <t>Dnmt3c</t>
  </si>
  <si>
    <t>DNA methyltransferase 3C [Source:MGI Symbol;Acc:MGI:3649996]</t>
  </si>
  <si>
    <t>4930581F22Rik</t>
  </si>
  <si>
    <t>RIKEN cDNA 4930581F22 gene [Source:MGI Symbol;Acc:MGI:1926184]</t>
  </si>
  <si>
    <t>E430018J23Rik</t>
  </si>
  <si>
    <t>RIKEN cDNA E430018J23 gene [Source:MGI Symbol;Acc:MGI:2141981]</t>
  </si>
  <si>
    <t>Zfp280c</t>
  </si>
  <si>
    <t>zinc finger protein 280C [Source:MGI Symbol;Acc:MGI:2387585]</t>
  </si>
  <si>
    <t>Maz</t>
  </si>
  <si>
    <t>MYC-associated zinc finger protein (purine-binding transcription factor) [Source:MGI Symbol;Acc:MGI:1338823]</t>
  </si>
  <si>
    <t>Mogat1</t>
  </si>
  <si>
    <t>monoacylglycerol O-acyltransferase 1 [Source:MGI Symbol;Acc:MGI:1915643]</t>
  </si>
  <si>
    <t>Gm24727</t>
  </si>
  <si>
    <t>predicted gene, 24727 [Source:MGI Symbol;Acc:MGI:5454504]</t>
  </si>
  <si>
    <t>snoRNA</t>
  </si>
  <si>
    <t>Slc12a7</t>
  </si>
  <si>
    <t>solute carrier family 12, member 7 [Source:MGI Symbol;Acc:MGI:1342283]</t>
  </si>
  <si>
    <t>Thumpd1</t>
  </si>
  <si>
    <t>THUMP domain containing 1 [Source:MGI Symbol;Acc:MGI:2444479]</t>
  </si>
  <si>
    <t>Arl5a</t>
  </si>
  <si>
    <t>ADP-ribosylation factor-like 5A [Source:MGI Symbol;Acc:MGI:1922673]</t>
  </si>
  <si>
    <t>Cad</t>
  </si>
  <si>
    <t>carbamoyl-phosphate synthetase 2, aspartate transcarbamylase, and dihydroorotase [Source:MGI Symbol;Acc:MGI:1916969]</t>
  </si>
  <si>
    <t>4930522L14Rik</t>
  </si>
  <si>
    <t>RIKEN cDNA 4930522L14 gene [Source:MGI Symbol;Acc:MGI:1925270]</t>
  </si>
  <si>
    <t>Tmem177</t>
  </si>
  <si>
    <t>transmembrane protein 177 [Source:MGI Symbol;Acc:MGI:1913593]</t>
  </si>
  <si>
    <t>Cplane1</t>
  </si>
  <si>
    <t>ciliogenesis and planar polarity effector 1 [Source:MGI Symbol;Acc:MGI:1920942]</t>
  </si>
  <si>
    <t>Pggt1b</t>
  </si>
  <si>
    <t>protein geranylgeranyltransferase type I, beta subunit [Source:MGI Symbol;Acc:MGI:1917514]</t>
  </si>
  <si>
    <t>Mrpl38</t>
  </si>
  <si>
    <t>mitochondrial ribosomal protein L38 [Source:MGI Symbol;Acc:MGI:1926269]</t>
  </si>
  <si>
    <t>Adck5</t>
  </si>
  <si>
    <t>aarF domain containing kinase 5 [Source:MGI Symbol;Acc:MGI:2679274]</t>
  </si>
  <si>
    <t>Mzt1</t>
  </si>
  <si>
    <t>mitotic spindle organizing protein 1 [Source:MGI Symbol;Acc:MGI:1924039]</t>
  </si>
  <si>
    <t>Wdr3</t>
  </si>
  <si>
    <t>WD repeat domain 3 [Source:MGI Symbol;Acc:MGI:2443143]</t>
  </si>
  <si>
    <t>Gm26586</t>
  </si>
  <si>
    <t>predicted gene, 26586 [Source:MGI Symbol;Acc:MGI:5477080]</t>
  </si>
  <si>
    <t>Pla2g6</t>
  </si>
  <si>
    <t>phospholipase A2, group VI [Source:MGI Symbol;Acc:MGI:1859152]</t>
  </si>
  <si>
    <t>Maco1</t>
  </si>
  <si>
    <t>macoilin 1 [Source:MGI Symbol;Acc:MGI:1913396]</t>
  </si>
  <si>
    <t>Gm43088</t>
  </si>
  <si>
    <t>predicted gene 43088 [Source:MGI Symbol;Acc:MGI:5663225]</t>
  </si>
  <si>
    <t>Tmem59</t>
  </si>
  <si>
    <t>transmembrane protein 59 [Source:MGI Symbol;Acc:MGI:1929278]</t>
  </si>
  <si>
    <t>Utp20</t>
  </si>
  <si>
    <t>UTP20 small subunit processome component [Source:MGI Symbol;Acc:MGI:1917933]</t>
  </si>
  <si>
    <t>Dhodh</t>
  </si>
  <si>
    <t>dihydroorotate dehydrogenase [Source:MGI Symbol;Acc:MGI:1928378]</t>
  </si>
  <si>
    <t>Pkn2</t>
  </si>
  <si>
    <t>protein kinase N2 [Source:MGI Symbol;Acc:MGI:109211]</t>
  </si>
  <si>
    <t>Lman1</t>
  </si>
  <si>
    <t>lectin, mannose-binding, 1 [Source:MGI Symbol;Acc:MGI:1917611]</t>
  </si>
  <si>
    <t>Acbd5</t>
  </si>
  <si>
    <t>acyl-Coenzyme A binding domain containing 5 [Source:MGI Symbol;Acc:MGI:1921409]</t>
  </si>
  <si>
    <t>Cmtm4</t>
  </si>
  <si>
    <t>CKLF-like MARVEL transmembrane domain containing 4 [Source:MGI Symbol;Acc:MGI:2142888]</t>
  </si>
  <si>
    <t>C1ra</t>
  </si>
  <si>
    <t>complement component 1, r subcomponent A [Source:MGI Symbol;Acc:MGI:1355313]</t>
  </si>
  <si>
    <t>Gm23722</t>
  </si>
  <si>
    <t>predicted gene, 23722 [Source:MGI Symbol;Acc:MGI:5453499]</t>
  </si>
  <si>
    <t>Btbd1</t>
  </si>
  <si>
    <t>BTB (POZ) domain containing 1 [Source:MGI Symbol;Acc:MGI:1933765]</t>
  </si>
  <si>
    <t>Tubgcp5</t>
  </si>
  <si>
    <t>tubulin, gamma complex associated protein 5 [Source:MGI Symbol;Acc:MGI:2178836]</t>
  </si>
  <si>
    <t>Nme1</t>
  </si>
  <si>
    <t>NME/NM23 nucleoside diphosphate kinase 1 [Source:MGI Symbol;Acc:MGI:97355]</t>
  </si>
  <si>
    <t>Rint1</t>
  </si>
  <si>
    <t>RAD50 interactor 1 [Source:MGI Symbol;Acc:MGI:1916233]</t>
  </si>
  <si>
    <t>Zfp346</t>
  </si>
  <si>
    <t>zinc finger protein 346 [Source:MGI Symbol;Acc:MGI:1349417]</t>
  </si>
  <si>
    <t>Rpp38</t>
  </si>
  <si>
    <t>ribonuclease P/MRP 38 subunit [Source:MGI Symbol;Acc:MGI:2443607]</t>
  </si>
  <si>
    <t>Gm32312</t>
  </si>
  <si>
    <t>predicted gene, 32312 [Source:MGI Symbol;Acc:MGI:5591471]</t>
  </si>
  <si>
    <t>Kif5c</t>
  </si>
  <si>
    <t>kinesin family member 5C [Source:MGI Symbol;Acc:MGI:1098269]</t>
  </si>
  <si>
    <t>Cenpc1</t>
  </si>
  <si>
    <t>centromere protein C1 [Source:MGI Symbol;Acc:MGI:99700]</t>
  </si>
  <si>
    <t>Dnajc2</t>
  </si>
  <si>
    <t>DnaJ heat shock protein family (Hsp40) member C2 [Source:MGI Symbol;Acc:MGI:99470]</t>
  </si>
  <si>
    <t>Mrpl17</t>
  </si>
  <si>
    <t>mitochondrial ribosomal protein L17 [Source:MGI Symbol;Acc:MGI:1351608]</t>
  </si>
  <si>
    <t>Ada</t>
  </si>
  <si>
    <t>adenosine deaminase [Source:MGI Symbol;Acc:MGI:87916]</t>
  </si>
  <si>
    <t>Cfap126</t>
  </si>
  <si>
    <t>cilia and flagella associated protein 126 [Source:MGI Symbol;Acc:MGI:1922722]</t>
  </si>
  <si>
    <t>Gm9118</t>
  </si>
  <si>
    <t>predicted gene 9118 [Source:MGI Symbol;Acc:MGI:3648185]</t>
  </si>
  <si>
    <t>Wdr18</t>
  </si>
  <si>
    <t>WD repeat domain 18 [Source:MGI Symbol;Acc:MGI:2158400]</t>
  </si>
  <si>
    <t>Itgb2</t>
  </si>
  <si>
    <t>integrin beta 2 [Source:MGI Symbol;Acc:MGI:96611]</t>
  </si>
  <si>
    <t>Med18</t>
  </si>
  <si>
    <t>mediator complex subunit 18 [Source:MGI Symbol;Acc:MGI:1914469]</t>
  </si>
  <si>
    <t>Zfp846</t>
  </si>
  <si>
    <t>zinc finger protein 846 [Source:MGI Symbol;Acc:MGI:1924012]</t>
  </si>
  <si>
    <t>Spry2</t>
  </si>
  <si>
    <t>sprouty RTK signaling antagonist 2 [Source:MGI Symbol;Acc:MGI:1345138]</t>
  </si>
  <si>
    <t>Atp6v0c-ps2</t>
  </si>
  <si>
    <t>ATPase, H+ transporting, lysosomal V0 subunit C, pseudogene 2 [Source:MGI Symbol;Acc:MGI:2151816]</t>
  </si>
  <si>
    <t>Nelfb</t>
  </si>
  <si>
    <t>negative elongation factor complex member B [Source:MGI Symbol;Acc:MGI:1931035]</t>
  </si>
  <si>
    <t>Tmem198</t>
  </si>
  <si>
    <t>transmembrane protein 198 [Source:MGI Symbol;Acc:MGI:2443133]</t>
  </si>
  <si>
    <t>Dennd6b</t>
  </si>
  <si>
    <t>DENN/MADD domain containing 6B [Source:MGI Symbol;Acc:MGI:1916690]</t>
  </si>
  <si>
    <t>Gm20560</t>
  </si>
  <si>
    <t>predicted gene, 20560 [Source:MGI Symbol;Acc:MGI:5295667]</t>
  </si>
  <si>
    <t>Bbs9</t>
  </si>
  <si>
    <t>Bardet-Biedl syndrome 9 (human) [Source:MGI Symbol;Acc:MGI:2442833]</t>
  </si>
  <si>
    <t>Tti1</t>
  </si>
  <si>
    <t>TELO2 interacting protein 1 [Source:MGI Symbol;Acc:MGI:1922675]</t>
  </si>
  <si>
    <t>Lat2</t>
  </si>
  <si>
    <t>linker for activation of T cells family, member 2 [Source:MGI Symbol;Acc:MGI:1926479]</t>
  </si>
  <si>
    <t>Fam207a</t>
  </si>
  <si>
    <t>family with sequence similarity 207, member A [Source:MGI Symbol;Acc:MGI:1916334]</t>
  </si>
  <si>
    <t>Sec13</t>
  </si>
  <si>
    <t>SEC13 homolog, nuclear pore and COPII coat complex component [Source:MGI Symbol;Acc:MGI:99832]</t>
  </si>
  <si>
    <t>Rps20</t>
  </si>
  <si>
    <t>ribosomal protein S20 [Source:MGI Symbol;Acc:MGI:1914677]</t>
  </si>
  <si>
    <t>Mdn1</t>
  </si>
  <si>
    <t>midasin AAA ATPase 1 [Source:MGI Symbol;Acc:MGI:1926159]</t>
  </si>
  <si>
    <t>Pla2g15</t>
  </si>
  <si>
    <t>phospholipase A2, group XV [Source:MGI Symbol;Acc:MGI:2178076]</t>
  </si>
  <si>
    <t>3110001I22Rik</t>
  </si>
  <si>
    <t>RIKEN cDNA 3110001I22 gene [Source:MGI Symbol;Acc:MGI:1913848]</t>
  </si>
  <si>
    <t>Scn4a</t>
  </si>
  <si>
    <t>sodium channel, voltage-gated, type IV, alpha [Source:MGI Symbol;Acc:MGI:98250]</t>
  </si>
  <si>
    <t>Commd5</t>
  </si>
  <si>
    <t>COMM domain containing 5 [Source:MGI Symbol;Acc:MGI:1913648]</t>
  </si>
  <si>
    <t>Snapin</t>
  </si>
  <si>
    <t>SNAP-associated protein [Source:MGI Symbol;Acc:MGI:1333745]</t>
  </si>
  <si>
    <t>Cdk17</t>
  </si>
  <si>
    <t>cyclin-dependent kinase 17 [Source:MGI Symbol;Acc:MGI:97517]</t>
  </si>
  <si>
    <t>Acap2</t>
  </si>
  <si>
    <t>ArfGAP with coiled-coil, ankyrin repeat and PH domains 2 [Source:MGI Symbol;Acc:MGI:1925868]</t>
  </si>
  <si>
    <t>Cyb561</t>
  </si>
  <si>
    <t>cytochrome b-561 [Source:MGI Symbol;Acc:MGI:103253]</t>
  </si>
  <si>
    <t>Gm32552</t>
  </si>
  <si>
    <t>predicted gene, 32552 [Source:MGI Symbol;Acc:MGI:5591711]</t>
  </si>
  <si>
    <t>Prss46</t>
  </si>
  <si>
    <t>protease, serine 46 [Source:MGI Symbol;Acc:MGI:1921556]</t>
  </si>
  <si>
    <t>Cep85</t>
  </si>
  <si>
    <t>centrosomal protein 85 [Source:MGI Symbol;Acc:MGI:1917262]</t>
  </si>
  <si>
    <t>Pdk3</t>
  </si>
  <si>
    <t>pyruvate dehydrogenase kinase, isoenzyme 3 [Source:MGI Symbol;Acc:MGI:2384308]</t>
  </si>
  <si>
    <t>Mcmdc2</t>
  </si>
  <si>
    <t>minichromosome maintenance domain containing 2 [Source:MGI Symbol;Acc:MGI:3045334]</t>
  </si>
  <si>
    <t>Kansl1</t>
  </si>
  <si>
    <t>KAT8 regulatory NSL complex subunit 1 [Source:MGI Symbol;Acc:MGI:1923969]</t>
  </si>
  <si>
    <t>2010110E17Rik</t>
  </si>
  <si>
    <t>RIKEN cDNA 2010110E17 gene [Source:MGI Symbol;Acc:MGI:1923941]</t>
  </si>
  <si>
    <t>Akap7</t>
  </si>
  <si>
    <t>A kinase (PRKA) anchor protein 7 [Source:MGI Symbol;Acc:MGI:1859150]</t>
  </si>
  <si>
    <t>Ercc3</t>
  </si>
  <si>
    <t>excision repair cross-complementing rodent repair deficiency, complementation group 3 [Source:MGI Symbol;Acc:MGI:95414]</t>
  </si>
  <si>
    <t>Elf1</t>
  </si>
  <si>
    <t>E74-like factor 1 [Source:MGI Symbol;Acc:MGI:107180]</t>
  </si>
  <si>
    <t>Ppp1r3e</t>
  </si>
  <si>
    <t>protein phosphatase 1, regulatory subunit 3E [Source:MGI Symbol;Acc:MGI:2145790]</t>
  </si>
  <si>
    <t>Kcnh2</t>
  </si>
  <si>
    <t>potassium voltage-gated channel, subfamily H (eag-related), member 2 [Source:MGI Symbol;Acc:MGI:1341722]</t>
  </si>
  <si>
    <t>Rpl18</t>
  </si>
  <si>
    <t>ribosomal protein L18 [Source:MGI Symbol;Acc:MGI:98003]</t>
  </si>
  <si>
    <t>Brf1</t>
  </si>
  <si>
    <t>BRF1, RNA polymerase III transcription initiation factor 90 kDa subunit [Source:MGI Symbol;Acc:MGI:1919558]</t>
  </si>
  <si>
    <t>Setd3</t>
  </si>
  <si>
    <t>SET domain containing 3 [Source:MGI Symbol;Acc:MGI:1289184]</t>
  </si>
  <si>
    <t>Ankrd55</t>
  </si>
  <si>
    <t>ankyrin repeat domain 55 [Source:MGI Symbol;Acc:MGI:1924568]</t>
  </si>
  <si>
    <t>Cript</t>
  </si>
  <si>
    <t>cysteine-rich PDZ-binding protein [Source:MGI Symbol;Acc:MGI:1929655]</t>
  </si>
  <si>
    <t>Snapc4</t>
  </si>
  <si>
    <t>small nuclear RNA activating complex, polypeptide 4 [Source:MGI Symbol;Acc:MGI:2443935]</t>
  </si>
  <si>
    <t>Zbtb33</t>
  </si>
  <si>
    <t>zinc finger and BTB domain containing 33 [Source:MGI Symbol;Acc:MGI:1927290]</t>
  </si>
  <si>
    <t>Epb41l1</t>
  </si>
  <si>
    <t>erythrocyte membrane protein band 4.1 like 1 [Source:MGI Symbol;Acc:MGI:103010]</t>
  </si>
  <si>
    <t>Efcab6</t>
  </si>
  <si>
    <t>EF-hand calcium binding domain 6 [Source:MGI Symbol;Acc:MGI:1924877]</t>
  </si>
  <si>
    <t>Bbof1</t>
  </si>
  <si>
    <t>basal body orientation factor 1 [Source:MGI Symbol;Acc:MGI:1920123]</t>
  </si>
  <si>
    <t>Snhg1</t>
  </si>
  <si>
    <t>small nucleolar RNA host gene 1 [Source:MGI Symbol;Acc:MGI:3763743]</t>
  </si>
  <si>
    <t>Cebpg</t>
  </si>
  <si>
    <t>CCAAT/enhancer binding protein (C/EBP), gamma [Source:MGI Symbol;Acc:MGI:104982]</t>
  </si>
  <si>
    <t>Zfp639</t>
  </si>
  <si>
    <t>zinc finger protein 639 [Source:MGI Symbol;Acc:MGI:1915028]</t>
  </si>
  <si>
    <t>Casp8</t>
  </si>
  <si>
    <t>caspase 8 [Source:MGI Symbol;Acc:MGI:1261423]</t>
  </si>
  <si>
    <t>H2-Q5</t>
  </si>
  <si>
    <t>histocompatibility 2, Q region locus 5 [Source:MGI Symbol;Acc:MGI:95934]</t>
  </si>
  <si>
    <t>Phyhd1</t>
  </si>
  <si>
    <t>phytanoyl-CoA dioxygenase domain containing 1 [Source:MGI Symbol;Acc:MGI:3612860]</t>
  </si>
  <si>
    <t>Ppp2r5c</t>
  </si>
  <si>
    <t>protein phosphatase 2, regulatory subunit B', gamma [Source:MGI Symbol;Acc:MGI:1349475]</t>
  </si>
  <si>
    <t>Borcs8</t>
  </si>
  <si>
    <t>BLOC-1 related complex subunit 8 [Source:MGI Symbol;Acc:MGI:1919618]</t>
  </si>
  <si>
    <t>Poglut2</t>
  </si>
  <si>
    <t>protein O-glucosyltransferase 2 [Source:MGI Symbol;Acc:MGI:1919300]</t>
  </si>
  <si>
    <t>Cmbl</t>
  </si>
  <si>
    <t>carboxymethylenebutenolidase-like (Pseudomonas) [Source:MGI Symbol;Acc:MGI:1916824]</t>
  </si>
  <si>
    <t>Fblim1</t>
  </si>
  <si>
    <t>filamin binding LIM protein 1 [Source:MGI Symbol;Acc:MGI:1921452]</t>
  </si>
  <si>
    <t>Top1mt</t>
  </si>
  <si>
    <t>DNA topoisomerase 1, mitochondrial [Source:MGI Symbol;Acc:MGI:1920210]</t>
  </si>
  <si>
    <t>Map2k4</t>
  </si>
  <si>
    <t>mitogen-activated protein kinase kinase 4 [Source:MGI Symbol;Acc:MGI:1346869]</t>
  </si>
  <si>
    <t>Zfp830</t>
  </si>
  <si>
    <t>zinc finger protein 830 [Source:MGI Symbol;Acc:MGI:1914233]</t>
  </si>
  <si>
    <t>Grsf1</t>
  </si>
  <si>
    <t>G-rich RNA sequence binding factor 1 [Source:MGI Symbol;Acc:MGI:106479]</t>
  </si>
  <si>
    <t>Fam192a</t>
  </si>
  <si>
    <t>family with sequence similarity 192, member A [Source:MGI Symbol;Acc:MGI:1919637]</t>
  </si>
  <si>
    <t>Hsf2</t>
  </si>
  <si>
    <t>heat shock factor 2 [Source:MGI Symbol;Acc:MGI:96239]</t>
  </si>
  <si>
    <t>Tpm3-rs7</t>
  </si>
  <si>
    <t>tropomyosin 3, related sequence 7 [Source:MGI Symbol;Acc:MGI:99705]</t>
  </si>
  <si>
    <t>Tigd5</t>
  </si>
  <si>
    <t>tigger transposable element derived 5 [Source:MGI Symbol;Acc:MGI:2145902]</t>
  </si>
  <si>
    <t>Gm44698</t>
  </si>
  <si>
    <t>predicted gene 44698 [Source:MGI Symbol;Acc:MGI:5753274]</t>
  </si>
  <si>
    <t>Ankhd1</t>
  </si>
  <si>
    <t>ankyrin repeat and KH domain containing 1 [Source:MGI Symbol;Acc:MGI:1921733]</t>
  </si>
  <si>
    <t>Rabl2</t>
  </si>
  <si>
    <t>RAB, member RAS oncogene family-like 2 [Source:MGI Symbol;Acc:MGI:1915958]</t>
  </si>
  <si>
    <t>Zfp157</t>
  </si>
  <si>
    <t>zinc finger protein 157 [Source:MGI Symbol;Acc:MGI:1919404]</t>
  </si>
  <si>
    <t>Odf2l</t>
  </si>
  <si>
    <t>outer dense fiber of sperm tails 2-like [Source:MGI Symbol;Acc:MGI:1098600]</t>
  </si>
  <si>
    <t>Zfp160</t>
  </si>
  <si>
    <t>zinc finger protein 160 [Source:MGI Symbol;Acc:MGI:108187]</t>
  </si>
  <si>
    <t>3830432H09Rik</t>
  </si>
  <si>
    <t>RIKEN cDNA 3830432H09 gene [Source:MGI Symbol;Acc:MGI:2443278]</t>
  </si>
  <si>
    <t>Tlk1</t>
  </si>
  <si>
    <t>tousled-like kinase 1 [Source:MGI Symbol;Acc:MGI:2441683]</t>
  </si>
  <si>
    <t>Emsy</t>
  </si>
  <si>
    <t>EMSY, BRCA2-interacting transcriptional repressor [Source:MGI Symbol;Acc:MGI:1924203]</t>
  </si>
  <si>
    <t>Ranbp3</t>
  </si>
  <si>
    <t>RAN binding protein 3 [Source:MGI Symbol;Acc:MGI:1919060]</t>
  </si>
  <si>
    <t>Brk1</t>
  </si>
  <si>
    <t>BRICK1, SCAR/WAVE actin-nucleating complex subunit [Source:MGI Symbol;Acc:MGI:1915406]</t>
  </si>
  <si>
    <t>Gpr89</t>
  </si>
  <si>
    <t>G protein-coupled receptor 89 [Source:MGI Symbol;Acc:MGI:1914799]</t>
  </si>
  <si>
    <t>Coq6</t>
  </si>
  <si>
    <t>coenzyme Q6 monooxygenase [Source:MGI Symbol;Acc:MGI:1924408]</t>
  </si>
  <si>
    <t>Gm13657</t>
  </si>
  <si>
    <t>predicted gene 13657 [Source:MGI Symbol;Acc:MGI:3650031]</t>
  </si>
  <si>
    <t>Dop1a</t>
  </si>
  <si>
    <t>DOP1 leucine zipper like protein A [Source:MGI Symbol;Acc:MGI:1289294]</t>
  </si>
  <si>
    <t>Dpm3</t>
  </si>
  <si>
    <t>dolichyl-phosphate mannosyltransferase polypeptide 3 [Source:MGI Symbol;Acc:MGI:1915813]</t>
  </si>
  <si>
    <t>Gigyf1</t>
  </si>
  <si>
    <t>GRB10 interacting GYF protein 1 [Source:MGI Symbol;Acc:MGI:1888677]</t>
  </si>
  <si>
    <t>Twf1</t>
  </si>
  <si>
    <t>twinfilin actin binding protein 1 [Source:MGI Symbol;Acc:MGI:1100520]</t>
  </si>
  <si>
    <t>Yy2</t>
  </si>
  <si>
    <t>Yy2 transcription factor [Source:MGI Symbol;Acc:MGI:3837947]</t>
  </si>
  <si>
    <t>Zfp644</t>
  </si>
  <si>
    <t>zinc finger protein 644 [Source:MGI Symbol;Acc:MGI:1277212]</t>
  </si>
  <si>
    <t>Osgep</t>
  </si>
  <si>
    <t>O-sialoglycoprotein endopeptidase [Source:MGI Symbol;Acc:MGI:1913496]</t>
  </si>
  <si>
    <t>Pacsin3</t>
  </si>
  <si>
    <t>protein kinase C and casein kinase substrate in neurons 3 [Source:MGI Symbol;Acc:MGI:1891410]</t>
  </si>
  <si>
    <t>Sfpq</t>
  </si>
  <si>
    <t>splicing factor proline/glutamine rich (polypyrimidine tract binding protein associated) [Source:MGI Symbol;Acc:MGI:1918764]</t>
  </si>
  <si>
    <t>Ints13</t>
  </si>
  <si>
    <t>integrator complex subunit 13 [Source:MGI Symbol;Acc:MGI:1918427]</t>
  </si>
  <si>
    <t>Cyp20a1</t>
  </si>
  <si>
    <t>cytochrome P450, family 20, subfamily a, polypeptide 1 [Source:MGI Symbol;Acc:MGI:1925201]</t>
  </si>
  <si>
    <t>Tmem109</t>
  </si>
  <si>
    <t>transmembrane protein 109 [Source:MGI Symbol;Acc:MGI:1915789]</t>
  </si>
  <si>
    <t>2310040G24Rik</t>
  </si>
  <si>
    <t>RIKEN cDNA 2310040G24 gene [Source:MGI Symbol;Acc:MGI:1916897]</t>
  </si>
  <si>
    <t>Psmb3</t>
  </si>
  <si>
    <t>proteasome (prosome, macropain) subunit, beta type 3 [Source:MGI Symbol;Acc:MGI:1347014]</t>
  </si>
  <si>
    <t>Tmem260</t>
  </si>
  <si>
    <t>transmembrane protein 260 [Source:MGI Symbol;Acc:MGI:2443219]</t>
  </si>
  <si>
    <t>Aatk</t>
  </si>
  <si>
    <t>apoptosis-associated tyrosine kinase [Source:MGI Symbol;Acc:MGI:1197518]</t>
  </si>
  <si>
    <t>Chac1</t>
  </si>
  <si>
    <t>ChaC, cation transport regulator 1 [Source:MGI Symbol;Acc:MGI:1916315]</t>
  </si>
  <si>
    <t>Bloc1s6</t>
  </si>
  <si>
    <t>biogenesis of lysosomal organelles complex-1, subunit 6, pallidin [Source:MGI Symbol;Acc:MGI:1927580]</t>
  </si>
  <si>
    <t>Stxbp5</t>
  </si>
  <si>
    <t>syntaxin binding protein 5 (tomosyn) [Source:MGI Symbol;Acc:MGI:1926058]</t>
  </si>
  <si>
    <t>Arl5c</t>
  </si>
  <si>
    <t>ADP-ribosylation factor-like 5C [Source:MGI Symbol;Acc:MGI:3028577]</t>
  </si>
  <si>
    <t>Rpl4</t>
  </si>
  <si>
    <t>ribosomal protein L4 [Source:MGI Symbol;Acc:MGI:1915141]</t>
  </si>
  <si>
    <t>Syne1</t>
  </si>
  <si>
    <t>spectrin repeat containing, nuclear envelope 1 [Source:MGI Symbol;Acc:MGI:1927152]</t>
  </si>
  <si>
    <t>Lrrc63</t>
  </si>
  <si>
    <t>leucine rich repeat containing 63 [Source:MGI Symbol;Acc:MGI:1918109]</t>
  </si>
  <si>
    <t>Fyco1</t>
  </si>
  <si>
    <t>FYVE and coiled-coil domain containing 1 [Source:MGI Symbol;Acc:MGI:107277]</t>
  </si>
  <si>
    <t>Ajuba</t>
  </si>
  <si>
    <t>ajuba LIM protein [Source:MGI Symbol;Acc:MGI:1341886]</t>
  </si>
  <si>
    <t>Nudt1</t>
  </si>
  <si>
    <t>nudix (nucleoside diphosphate linked moiety X)-type motif 1 [Source:MGI Symbol;Acc:MGI:109280]</t>
  </si>
  <si>
    <t>Zfp944</t>
  </si>
  <si>
    <t>zinc finger protein 944 [Source:MGI Symbol;Acc:MGI:2442394]</t>
  </si>
  <si>
    <t>Pigq</t>
  </si>
  <si>
    <t>phosphatidylinositol glycan anchor biosynthesis, class Q [Source:MGI Symbol;Acc:MGI:1333114]</t>
  </si>
  <si>
    <t>Mrpl54</t>
  </si>
  <si>
    <t>mitochondrial ribosomal protein L54 [Source:MGI Symbol;Acc:MGI:1913297]</t>
  </si>
  <si>
    <t>Gm17084</t>
  </si>
  <si>
    <t>predicted gene 17084 [Source:MGI Symbol;Acc:MGI:4937911]</t>
  </si>
  <si>
    <t>Sumo3</t>
  </si>
  <si>
    <t>small ubiquitin-like modifier 3 [Source:MGI Symbol;Acc:MGI:1336201]</t>
  </si>
  <si>
    <t>Cfdp1</t>
  </si>
  <si>
    <t>craniofacial development protein 1 [Source:MGI Symbol;Acc:MGI:1344403]</t>
  </si>
  <si>
    <t>Morf4l1</t>
  </si>
  <si>
    <t>mortality factor 4 like 1 [Source:MGI Symbol;Acc:MGI:1096551]</t>
  </si>
  <si>
    <t>Ccdc167</t>
  </si>
  <si>
    <t>coiled-coil domain containing 167 [Source:MGI Symbol;Acc:MGI:1915847]</t>
  </si>
  <si>
    <t>Rpl7a</t>
  </si>
  <si>
    <t>ribosomal protein L7A [Source:MGI Symbol;Acc:MGI:1353472]</t>
  </si>
  <si>
    <t>Nol11</t>
  </si>
  <si>
    <t>nucleolar protein 11 [Source:MGI Symbol;Acc:MGI:1916229]</t>
  </si>
  <si>
    <t>Pop1</t>
  </si>
  <si>
    <t>processing of precursor 1, ribonuclease P/MRP family, (S. cerevisiae) [Source:MGI Symbol;Acc:MGI:1914974]</t>
  </si>
  <si>
    <t>Prpf40b</t>
  </si>
  <si>
    <t>pre-mRNA processing factor 40B [Source:MGI Symbol;Acc:MGI:1925583]</t>
  </si>
  <si>
    <t>Zbtb20</t>
  </si>
  <si>
    <t>zinc finger and BTB domain containing 20 [Source:MGI Symbol;Acc:MGI:1929213]</t>
  </si>
  <si>
    <t>Zfp942</t>
  </si>
  <si>
    <t>zinc finger protein 942 [Source:MGI Symbol;Acc:MGI:1920483]</t>
  </si>
  <si>
    <t>Klhdc3</t>
  </si>
  <si>
    <t>kelch domain containing 3 [Source:MGI Symbol;Acc:MGI:2651568]</t>
  </si>
  <si>
    <t>Vps33b</t>
  </si>
  <si>
    <t>vacuolar protein sorting 33B [Source:MGI Symbol;Acc:MGI:2446237]</t>
  </si>
  <si>
    <t>Rpl27</t>
  </si>
  <si>
    <t>ribosomal protein L27 [Source:MGI Symbol;Acc:MGI:98036]</t>
  </si>
  <si>
    <t>Adipor1</t>
  </si>
  <si>
    <t>adiponectin receptor 1 [Source:MGI Symbol;Acc:MGI:1919924]</t>
  </si>
  <si>
    <t>Gm9845</t>
  </si>
  <si>
    <t>predicted pseudogene 9845 [Source:MGI Symbol;Acc:MGI:3704215]</t>
  </si>
  <si>
    <t>Pmpcb</t>
  </si>
  <si>
    <t>peptidase (mitochondrial processing) beta [Source:MGI Symbol;Acc:MGI:1920328]</t>
  </si>
  <si>
    <t>Trim12c</t>
  </si>
  <si>
    <t>tripartite motif-containing 12C [Source:MGI Symbol;Acc:MGI:4821183]</t>
  </si>
  <si>
    <t>Lyrm7</t>
  </si>
  <si>
    <t>LYR motif containing 7 [Source:MGI Symbol;Acc:MGI:1922780]</t>
  </si>
  <si>
    <t>Rbm47</t>
  </si>
  <si>
    <t>RNA binding motif protein 47 [Source:MGI Symbol;Acc:MGI:2384294]</t>
  </si>
  <si>
    <t>Ccdc18</t>
  </si>
  <si>
    <t>coiled-coil domain containing 18 [Source:MGI Symbol;Acc:MGI:1922974]</t>
  </si>
  <si>
    <t>Asb7</t>
  </si>
  <si>
    <t>ankyrin repeat and SOCS box-containing 7 [Source:MGI Symbol;Acc:MGI:2152835]</t>
  </si>
  <si>
    <t>Adat1</t>
  </si>
  <si>
    <t>adenosine deaminase, tRNA-specific 1 [Source:MGI Symbol;Acc:MGI:1353631]</t>
  </si>
  <si>
    <t>Eif2ak1</t>
  </si>
  <si>
    <t>eukaryotic translation initiation factor 2 alpha kinase 1 [Source:MGI Symbol;Acc:MGI:1353448]</t>
  </si>
  <si>
    <t>Megf8</t>
  </si>
  <si>
    <t>multiple EGF-like-domains 8 [Source:MGI Symbol;Acc:MGI:2446294]</t>
  </si>
  <si>
    <t>Vps37a</t>
  </si>
  <si>
    <t>vacuolar protein sorting 37A [Source:MGI Symbol;Acc:MGI:1261835]</t>
  </si>
  <si>
    <t>Tfap2a</t>
  </si>
  <si>
    <t>transcription factor AP-2, alpha [Source:MGI Symbol;Acc:MGI:104671]</t>
  </si>
  <si>
    <t>BC022960</t>
  </si>
  <si>
    <t>cDNA sequence BC022960 [Source:MGI Symbol;Acc:MGI:2670977]</t>
  </si>
  <si>
    <t>Chd1</t>
  </si>
  <si>
    <t>chromodomain helicase DNA binding protein 1 [Source:MGI Symbol;Acc:MGI:88393]</t>
  </si>
  <si>
    <t>Mtch1</t>
  </si>
  <si>
    <t>mitochondrial carrier 1 [Source:MGI Symbol;Acc:MGI:1929261]</t>
  </si>
  <si>
    <t>Gpcpd1</t>
  </si>
  <si>
    <t>glycerophosphocholine phosphodiesterase 1 [Source:MGI Symbol;Acc:MGI:104898]</t>
  </si>
  <si>
    <t>Gm48978</t>
  </si>
  <si>
    <t>predicted gene, 48978 [Source:MGI Symbol;Acc:MGI:6118322]</t>
  </si>
  <si>
    <t>Gm41409</t>
  </si>
  <si>
    <t>predicted gene, 41409 [Source:MGI Symbol;Acc:MGI:5624294]</t>
  </si>
  <si>
    <t>Atg101</t>
  </si>
  <si>
    <t>autophagy related 101 [Source:MGI Symbol;Acc:MGI:1915368]</t>
  </si>
  <si>
    <t>Gfpt2</t>
  </si>
  <si>
    <t>glutamine fructose-6-phosphate transaminase 2 [Source:MGI Symbol;Acc:MGI:1338883]</t>
  </si>
  <si>
    <t>Gm12743</t>
  </si>
  <si>
    <t>predicted gene 12743 [Source:MGI Symbol;Acc:MGI:3651449]</t>
  </si>
  <si>
    <t>Mir6963</t>
  </si>
  <si>
    <t>microRNA 6963 [Source:MGI Symbol;Acc:MGI:5531106]</t>
  </si>
  <si>
    <t>Gm29629</t>
  </si>
  <si>
    <t>predicted gene 29629 [Source:MGI Symbol;Acc:MGI:5580335]</t>
  </si>
  <si>
    <t>Wnk1</t>
  </si>
  <si>
    <t>WNK lysine deficient protein kinase 1 [Source:MGI Symbol;Acc:MGI:2442092]</t>
  </si>
  <si>
    <t>Gm20544</t>
  </si>
  <si>
    <t>predicted gene 20544 [Source:MGI Symbol;Acc:MGI:5142009]</t>
  </si>
  <si>
    <t>Zfp280d</t>
  </si>
  <si>
    <t>zinc finger protein 280D [Source:MGI Symbol;Acc:MGI:2384583]</t>
  </si>
  <si>
    <t>Smg9</t>
  </si>
  <si>
    <t>smg-9 homolog, nonsense mediated mRNA decay factor (C. elegans) [Source:MGI Symbol;Acc:MGI:1919247]</t>
  </si>
  <si>
    <t>Rlf</t>
  </si>
  <si>
    <t>rearranged L-myc fusion sequence [Source:MGI Symbol;Acc:MGI:1924705]</t>
  </si>
  <si>
    <t>Ift81</t>
  </si>
  <si>
    <t>intraflagellar transport 81 [Source:MGI Symbol;Acc:MGI:1098597]</t>
  </si>
  <si>
    <t>Dcp1a</t>
  </si>
  <si>
    <t>decapping mRNA 1A [Source:MGI Symbol;Acc:MGI:1923151]</t>
  </si>
  <si>
    <t>Camsap1</t>
  </si>
  <si>
    <t>calmodulin regulated spectrin-associated protein 1 [Source:MGI Symbol;Acc:MGI:3036242]</t>
  </si>
  <si>
    <t>Hnrnpd</t>
  </si>
  <si>
    <t>heterogeneous nuclear ribonucleoprotein D [Source:MGI Symbol;Acc:MGI:101947]</t>
  </si>
  <si>
    <t>Hmgn5</t>
  </si>
  <si>
    <t>high-mobility group nucleosome binding domain 5 [Source:MGI Symbol;Acc:MGI:1355295]</t>
  </si>
  <si>
    <t>C230013L11Rik</t>
  </si>
  <si>
    <t>RIKEN cDNA C230013L11 gene [Source:MGI Symbol;Acc:MGI:2442581]</t>
  </si>
  <si>
    <t>Ccdc84</t>
  </si>
  <si>
    <t>coiled-coil domain containing 84 [Source:MGI Symbol;Acc:MGI:2685960]</t>
  </si>
  <si>
    <t>Rassf7</t>
  </si>
  <si>
    <t>Ras association (RalGDS/AF-6) domain family (N-terminal) member 7 [Source:MGI Symbol;Acc:MGI:1914235]</t>
  </si>
  <si>
    <t>Ptprcap</t>
  </si>
  <si>
    <t>protein tyrosine phosphatase, receptor type, C polypeptide-associated protein [Source:MGI Symbol;Acc:MGI:97811]</t>
  </si>
  <si>
    <t>Uvrag</t>
  </si>
  <si>
    <t>UV radiation resistance associated gene [Source:MGI Symbol;Acc:MGI:1925860]</t>
  </si>
  <si>
    <t>Sema5a</t>
  </si>
  <si>
    <t>sema domain, seven thrombospondin repeats (type 1 and type 1-like), transmembrane domain (TM) and short cytoplasmic domain, (semaphorin) 5A [Source:MGI Symbol;Acc:MGI:107556]</t>
  </si>
  <si>
    <t>Adck2</t>
  </si>
  <si>
    <t>aarF domain containing kinase 2 [Source:MGI Symbol;Acc:MGI:1889336]</t>
  </si>
  <si>
    <t>Zbtb8os</t>
  </si>
  <si>
    <t>zinc finger and BTB domain containing 8 opposite strand [Source:MGI Symbol;Acc:MGI:1914356]</t>
  </si>
  <si>
    <t>Gm6061</t>
  </si>
  <si>
    <t>predicted gene 6061 [Source:MGI Symbol;Acc:MGI:3648621]</t>
  </si>
  <si>
    <t>Nup210l</t>
  </si>
  <si>
    <t>nucleoporin 210-like [Source:MGI Symbol;Acc:MGI:1924845]</t>
  </si>
  <si>
    <t>Grina</t>
  </si>
  <si>
    <t>glutamate receptor, ionotropic, N-methyl D-aspartate-associated protein 1 (glutamate binding) [Source:MGI Symbol;Acc:MGI:1913418]</t>
  </si>
  <si>
    <t>Ext2</t>
  </si>
  <si>
    <t>exostosin glycosyltransferase 2 [Source:MGI Symbol;Acc:MGI:108050]</t>
  </si>
  <si>
    <t>Itgb3bp</t>
  </si>
  <si>
    <t>integrin beta 3 binding protein (beta3-endonexin) [Source:MGI Symbol;Acc:MGI:1914983]</t>
  </si>
  <si>
    <t>Foxred2</t>
  </si>
  <si>
    <t>FAD-dependent oxidoreductase domain containing 2 [Source:MGI Symbol;Acc:MGI:106315]</t>
  </si>
  <si>
    <t>Bach2os</t>
  </si>
  <si>
    <t>BTB and CNC homology 2, opposite strand [Source:MGI Symbol;Acc:MGI:3041246]</t>
  </si>
  <si>
    <t>Manea</t>
  </si>
  <si>
    <t>mannosidase, endo-alpha [Source:MGI Symbol;Acc:MGI:2444484]</t>
  </si>
  <si>
    <t>Golga4</t>
  </si>
  <si>
    <t>golgi autoantigen, golgin subfamily a, 4 [Source:MGI Symbol;Acc:MGI:1859646]</t>
  </si>
  <si>
    <t>Sel1l</t>
  </si>
  <si>
    <t>sel-1 suppressor of lin-12-like (C. elegans) [Source:MGI Symbol;Acc:MGI:1329016]</t>
  </si>
  <si>
    <t>Rer1</t>
  </si>
  <si>
    <t>retention in endoplasmic reticulum sorting receptor 1 [Source:MGI Symbol;Acc:MGI:1915080]</t>
  </si>
  <si>
    <t>Sirpb1c</t>
  </si>
  <si>
    <t>signal-regulatory protein beta 1C [Source:MGI Symbol;Acc:MGI:3807521]</t>
  </si>
  <si>
    <t>Snx27</t>
  </si>
  <si>
    <t>sorting nexin family member 27 [Source:MGI Symbol;Acc:MGI:1923992]</t>
  </si>
  <si>
    <t>Phc3</t>
  </si>
  <si>
    <t>polyhomeotic 3 [Source:MGI Symbol;Acc:MGI:2181434]</t>
  </si>
  <si>
    <t>Slmap</t>
  </si>
  <si>
    <t>sarcolemma associated protein [Source:MGI Symbol;Acc:MGI:1933549]</t>
  </si>
  <si>
    <t>Desi1</t>
  </si>
  <si>
    <t>desumoylating isopeptidase 1 [Source:MGI Symbol;Acc:MGI:106313]</t>
  </si>
  <si>
    <t>Trem2</t>
  </si>
  <si>
    <t>triggering receptor expressed on myeloid cells 2 [Source:MGI Symbol;Acc:MGI:1913150]</t>
  </si>
  <si>
    <t>Gapt</t>
  </si>
  <si>
    <t>Grb2-binding adaptor, transmembrane [Source:MGI Symbol;Acc:MGI:3608341]</t>
  </si>
  <si>
    <t>Exog</t>
  </si>
  <si>
    <t>endo/exonuclease (5'-3'), endonuclease G-like [Source:MGI Symbol;Acc:MGI:2143333]</t>
  </si>
  <si>
    <t>Srr</t>
  </si>
  <si>
    <t>serine racemase [Source:MGI Symbol;Acc:MGI:1351636]</t>
  </si>
  <si>
    <t>Prss56</t>
  </si>
  <si>
    <t>protease, serine 56 [Source:MGI Symbol;Acc:MGI:1916703]</t>
  </si>
  <si>
    <t>Rgs9bp</t>
  </si>
  <si>
    <t>regulator of G-protein signalling 9 binding protein [Source:MGI Symbol;Acc:MGI:2384418]</t>
  </si>
  <si>
    <t>Mrpl12</t>
  </si>
  <si>
    <t>mitochondrial ribosomal protein L12 [Source:MGI Symbol;Acc:MGI:1926273]</t>
  </si>
  <si>
    <t>Il18rap</t>
  </si>
  <si>
    <t>interleukin 18 receptor accessory protein [Source:MGI Symbol;Acc:MGI:1338888]</t>
  </si>
  <si>
    <t>Gtf2a1</t>
  </si>
  <si>
    <t>general transcription factor II A, 1 [Source:MGI Symbol;Acc:MGI:1933277]</t>
  </si>
  <si>
    <t>Nme3</t>
  </si>
  <si>
    <t>NME/NM23 nucleoside diphosphate kinase 3 [Source:MGI Symbol;Acc:MGI:1930182]</t>
  </si>
  <si>
    <t>Axin1</t>
  </si>
  <si>
    <t>axin 1 [Source:MGI Symbol;Acc:MGI:1096327]</t>
  </si>
  <si>
    <t>Timm23</t>
  </si>
  <si>
    <t>translocase of inner mitochondrial membrane 23 [Source:MGI Symbol;Acc:MGI:1858317]</t>
  </si>
  <si>
    <t>Gm45883</t>
  </si>
  <si>
    <t>predicted gene 45883 [Source:MGI Symbol;Acc:MGI:5804998]</t>
  </si>
  <si>
    <t>Brox</t>
  </si>
  <si>
    <t>BRO1 domain and CAAX motif containing [Source:MGI Symbol;Acc:MGI:1918928]</t>
  </si>
  <si>
    <t>Ncbp2</t>
  </si>
  <si>
    <t>nuclear cap binding protein subunit 2 [Source:MGI Symbol;Acc:MGI:1915342]</t>
  </si>
  <si>
    <t>Gpx4</t>
  </si>
  <si>
    <t>glutathione peroxidase 4 [Source:MGI Symbol;Acc:MGI:104767]</t>
  </si>
  <si>
    <t>Zfp281</t>
  </si>
  <si>
    <t>zinc finger protein 281 [Source:MGI Symbol;Acc:MGI:3029290]</t>
  </si>
  <si>
    <t>Slc36a4</t>
  </si>
  <si>
    <t>solute carrier family 36 (proton/amino acid symporter), member 4 [Source:MGI Symbol;Acc:MGI:2442595]</t>
  </si>
  <si>
    <t>Eif4h</t>
  </si>
  <si>
    <t>eukaryotic translation initiation factor 4H [Source:MGI Symbol;Acc:MGI:1341822]</t>
  </si>
  <si>
    <t>Cdk2ap2</t>
  </si>
  <si>
    <t>CDK2-associated protein 2 [Source:MGI Symbol;Acc:MGI:1098779]</t>
  </si>
  <si>
    <t>Efcab7</t>
  </si>
  <si>
    <t>EF-hand calcium binding domain 7 [Source:MGI Symbol;Acc:MGI:2385199]</t>
  </si>
  <si>
    <t>Lemd3</t>
  </si>
  <si>
    <t>LEM domain containing 3 [Source:MGI Symbol;Acc:MGI:3580376]</t>
  </si>
  <si>
    <t>Ppcdc</t>
  </si>
  <si>
    <t>phosphopantothenoylcysteine decarboxylase [Source:MGI Symbol;Acc:MGI:1914062]</t>
  </si>
  <si>
    <t>Spryd3</t>
  </si>
  <si>
    <t>SPRY domain containing 3 [Source:MGI Symbol;Acc:MGI:2446175]</t>
  </si>
  <si>
    <t>Nbeal2</t>
  </si>
  <si>
    <t>neurobeachin-like 2 [Source:MGI Symbol;Acc:MGI:2448554]</t>
  </si>
  <si>
    <t>Cd2</t>
  </si>
  <si>
    <t>CD2 antigen [Source:MGI Symbol;Acc:MGI:88320]</t>
  </si>
  <si>
    <t>Ipo8</t>
  </si>
  <si>
    <t>importin 8 [Source:MGI Symbol;Acc:MGI:2444611]</t>
  </si>
  <si>
    <t>Tmem104</t>
  </si>
  <si>
    <t>transmembrane protein 104 [Source:MGI Symbol;Acc:MGI:2444222]</t>
  </si>
  <si>
    <t>Gas2</t>
  </si>
  <si>
    <t>growth arrest specific 2 [Source:MGI Symbol;Acc:MGI:95657]</t>
  </si>
  <si>
    <t>Slc1a2</t>
  </si>
  <si>
    <t>solute carrier family 1 (glial high affinity glutamate transporter), member 2 [Source:MGI Symbol;Acc:MGI:101931]</t>
  </si>
  <si>
    <t>Bach1</t>
  </si>
  <si>
    <t>BTB and CNC homology 1, basic leucine zipper transcription factor 1 [Source:MGI Symbol;Acc:MGI:894680]</t>
  </si>
  <si>
    <t>Zc3h8</t>
  </si>
  <si>
    <t>zinc finger CCCH type containing 8 [Source:MGI Symbol;Acc:MGI:1930128]</t>
  </si>
  <si>
    <t>Ano6</t>
  </si>
  <si>
    <t>anoctamin 6 [Source:MGI Symbol;Acc:MGI:2145890]</t>
  </si>
  <si>
    <t>Vsig10</t>
  </si>
  <si>
    <t>V-set and immunoglobulin domain containing 10 [Source:MGI Symbol;Acc:MGI:2448533]</t>
  </si>
  <si>
    <t>BC025920</t>
  </si>
  <si>
    <t>cDNA sequence BC025920 [Source:MGI Symbol;Acc:MGI:2670983]</t>
  </si>
  <si>
    <t>Gm14275</t>
  </si>
  <si>
    <t>predicted gene 14275 [Source:MGI Symbol;Acc:MGI:3649537]</t>
  </si>
  <si>
    <t>Gm28809</t>
  </si>
  <si>
    <t>predicted gene 28809 [Source:MGI Symbol;Acc:MGI:5579515]</t>
  </si>
  <si>
    <t>Ppcs</t>
  </si>
  <si>
    <t>phosphopantothenoylcysteine synthetase [Source:MGI Symbol;Acc:MGI:1915237]</t>
  </si>
  <si>
    <t>Rad1</t>
  </si>
  <si>
    <t>RAD1 checkpoint DNA exonuclease [Source:MGI Symbol;Acc:MGI:1316678]</t>
  </si>
  <si>
    <t>Nudt4</t>
  </si>
  <si>
    <t>nudix (nucleoside diphosphate linked moiety X)-type motif 4 [Source:MGI Symbol;Acc:MGI:1918457]</t>
  </si>
  <si>
    <t>Selenbp2</t>
  </si>
  <si>
    <t>selenium binding protein 2 [Source:MGI Symbol;Acc:MGI:104859]</t>
  </si>
  <si>
    <t>Pdcd10</t>
  </si>
  <si>
    <t>programmed cell death 10 [Source:MGI Symbol;Acc:MGI:1928396]</t>
  </si>
  <si>
    <t>Itgb8</t>
  </si>
  <si>
    <t>integrin beta 8 [Source:MGI Symbol;Acc:MGI:1338035]</t>
  </si>
  <si>
    <t>Hdac8</t>
  </si>
  <si>
    <t>histone deacetylase 8 [Source:MGI Symbol;Acc:MGI:1917565]</t>
  </si>
  <si>
    <t>Sgsm1</t>
  </si>
  <si>
    <t>small G protein signaling modulator 1 [Source:MGI Symbol;Acc:MGI:107320]</t>
  </si>
  <si>
    <t>Pdcd1</t>
  </si>
  <si>
    <t>programmed cell death 1 [Source:MGI Symbol;Acc:MGI:104879]</t>
  </si>
  <si>
    <t>Aifm2</t>
  </si>
  <si>
    <t>apoptosis-inducing factor, mitochondrion-associated 2 [Source:MGI Symbol;Acc:MGI:1918611]</t>
  </si>
  <si>
    <t>Psmc3ip</t>
  </si>
  <si>
    <t>proteasome (prosome, macropain) 26S subunit, ATPase 3, interacting protein [Source:MGI Symbol;Acc:MGI:1098610]</t>
  </si>
  <si>
    <t>Phf11</t>
  </si>
  <si>
    <t>PHD finger protein 11 [Source:MGI Symbol;Acc:MGI:3644962]</t>
  </si>
  <si>
    <t>Ltb</t>
  </si>
  <si>
    <t>lymphotoxin B [Source:MGI Symbol;Acc:MGI:104796]</t>
  </si>
  <si>
    <t>Timm22</t>
  </si>
  <si>
    <t>translocase of inner mitochondrial membrane 22 [Source:MGI Symbol;Acc:MGI:1929742]</t>
  </si>
  <si>
    <t>Dnaaf5</t>
  </si>
  <si>
    <t>dynein, axonemal assembly factor 5 [Source:MGI Symbol;Acc:MGI:3616079]</t>
  </si>
  <si>
    <t>Gm15361</t>
  </si>
  <si>
    <t>predicted pseudogene 15361 [Source:MGI Symbol;Acc:MGI:3642247]</t>
  </si>
  <si>
    <t>Atf7ip</t>
  </si>
  <si>
    <t>activating transcription factor 7 interacting protein [Source:MGI Symbol;Acc:MGI:1858965]</t>
  </si>
  <si>
    <t>Chmp2b</t>
  </si>
  <si>
    <t>charged multivesicular body protein 2B [Source:MGI Symbol;Acc:MGI:1916192]</t>
  </si>
  <si>
    <t>2310015A10Rik</t>
  </si>
  <si>
    <t>RIKEN cDNA 2310015A10 gene [Source:MGI Symbol;Acc:MGI:1916798]</t>
  </si>
  <si>
    <t>Clip1</t>
  </si>
  <si>
    <t>CAP-GLY domain containing linker protein 1 [Source:MGI Symbol;Acc:MGI:1928401]</t>
  </si>
  <si>
    <t>Otud7b</t>
  </si>
  <si>
    <t>OTU domain containing 7B [Source:MGI Symbol;Acc:MGI:2654703]</t>
  </si>
  <si>
    <t>Gls</t>
  </si>
  <si>
    <t>glutaminase [Source:MGI Symbol;Acc:MGI:95752]</t>
  </si>
  <si>
    <t>Mybpc3</t>
  </si>
  <si>
    <t>myosin binding protein C, cardiac [Source:MGI Symbol;Acc:MGI:102844]</t>
  </si>
  <si>
    <t>Dnajc11</t>
  </si>
  <si>
    <t>DnaJ heat shock protein family (Hsp40) member C11 [Source:MGI Symbol;Acc:MGI:2443386]</t>
  </si>
  <si>
    <t>2810457G06Rik</t>
  </si>
  <si>
    <t>RIKEN cDNA 2810457G06 gene [Source:MGI Symbol;Acc:MGI:1920074]</t>
  </si>
  <si>
    <t>Cnih1</t>
  </si>
  <si>
    <t>cornichon family AMPA receptor auxiliary protein 1 [Source:MGI Symbol;Acc:MGI:1277202]</t>
  </si>
  <si>
    <t>Gm12454</t>
  </si>
  <si>
    <t>predicted gene 12454 [Source:MGI Symbol;Acc:MGI:3649695]</t>
  </si>
  <si>
    <t>Ak4</t>
  </si>
  <si>
    <t>adenylate kinase 4 [Source:MGI Symbol;Acc:MGI:87979]</t>
  </si>
  <si>
    <t>Stc2</t>
  </si>
  <si>
    <t>stanniocalcin 2 [Source:MGI Symbol;Acc:MGI:1316731]</t>
  </si>
  <si>
    <t>Rybp</t>
  </si>
  <si>
    <t>RING1 and YY1 binding protein [Source:MGI Symbol;Acc:MGI:1929059]</t>
  </si>
  <si>
    <t>Eef1d</t>
  </si>
  <si>
    <t>eukaryotic translation elongation factor 1 delta (guanine nucleotide exchange protein) [Source:MGI Symbol;Acc:MGI:1913906]</t>
  </si>
  <si>
    <t>Gm49482</t>
  </si>
  <si>
    <t>predicted gene, 49482 [Source:MGI Symbol;Acc:MGI:6155155]</t>
  </si>
  <si>
    <t>Lyrm1</t>
  </si>
  <si>
    <t>LYR motif containing 1 [Source:MGI Symbol;Acc:MGI:1921169]</t>
  </si>
  <si>
    <t>Acvr1b</t>
  </si>
  <si>
    <t>activin A receptor, type 1B [Source:MGI Symbol;Acc:MGI:1338944]</t>
  </si>
  <si>
    <t>E130309D02Rik</t>
  </si>
  <si>
    <t>RIKEN cDNA E130309D02 gene [Source:MGI Symbol;Acc:MGI:2442621]</t>
  </si>
  <si>
    <t>Ilkap</t>
  </si>
  <si>
    <t>integrin-linked kinase-associated serine/threonine phosphatase 2C [Source:MGI Symbol;Acc:MGI:1914694]</t>
  </si>
  <si>
    <t>Dusp11</t>
  </si>
  <si>
    <t>dual specificity phosphatase 11 (RNA/RNP complex 1-interacting) [Source:MGI Symbol;Acc:MGI:1919352]</t>
  </si>
  <si>
    <t>Nono</t>
  </si>
  <si>
    <t>non-POU-domain-containing, octamer binding protein [Source:MGI Symbol;Acc:MGI:1855692]</t>
  </si>
  <si>
    <t>Kptn</t>
  </si>
  <si>
    <t>kaptin [Source:MGI Symbol;Acc:MGI:1890380]</t>
  </si>
  <si>
    <t>Hdac1-ps</t>
  </si>
  <si>
    <t>histone deacetylase 1, pseudogene [Source:MGI Symbol;Acc:MGI:3704479]</t>
  </si>
  <si>
    <t>Bora</t>
  </si>
  <si>
    <t>bora, aurora kinase A activator [Source:MGI Symbol;Acc:MGI:1924994]</t>
  </si>
  <si>
    <t>Hephl1</t>
  </si>
  <si>
    <t>hephaestin-like 1 [Source:MGI Symbol;Acc:MGI:2685355]</t>
  </si>
  <si>
    <t>Fbxl3</t>
  </si>
  <si>
    <t>F-box and leucine-rich repeat protein 3 [Source:MGI Symbol;Acc:MGI:1354702]</t>
  </si>
  <si>
    <t>Fam89b</t>
  </si>
  <si>
    <t>family with sequence similarity 89, member B [Source:MGI Symbol;Acc:MGI:106595]</t>
  </si>
  <si>
    <t>Fmn1</t>
  </si>
  <si>
    <t>formin 1 [Source:MGI Symbol;Acc:MGI:101815]</t>
  </si>
  <si>
    <t>Hnrnpc</t>
  </si>
  <si>
    <t>heterogeneous nuclear ribonucleoprotein C [Source:MGI Symbol;Acc:MGI:107795]</t>
  </si>
  <si>
    <t>Tpcn2</t>
  </si>
  <si>
    <t>two pore segment channel 2 [Source:MGI Symbol;Acc:MGI:2385297]</t>
  </si>
  <si>
    <t>Rps19</t>
  </si>
  <si>
    <t>ribosomal protein S19 [Source:MGI Symbol;Acc:MGI:1333780]</t>
  </si>
  <si>
    <t>Zscan22</t>
  </si>
  <si>
    <t>zinc finger and SCAN domain containing 22 [Source:MGI Symbol;Acc:MGI:2443312]</t>
  </si>
  <si>
    <t>Kbtbd4</t>
  </si>
  <si>
    <t>kelch repeat and BTB (POZ) domain containing 4 [Source:MGI Symbol;Acc:MGI:1914386]</t>
  </si>
  <si>
    <t>Rapgefl1</t>
  </si>
  <si>
    <t>Rap guanine nucleotide exchange factor (GEF)-like 1 [Source:MGI Symbol;Acc:MGI:3611446]</t>
  </si>
  <si>
    <t>Srebf1</t>
  </si>
  <si>
    <t>sterol regulatory element binding transcription factor 1 [Source:MGI Symbol;Acc:MGI:107606]</t>
  </si>
  <si>
    <t>Tacc1</t>
  </si>
  <si>
    <t>transforming, acidic coiled-coil containing protein 1 [Source:MGI Symbol;Acc:MGI:2443510]</t>
  </si>
  <si>
    <t>Chst7</t>
  </si>
  <si>
    <t>carbohydrate (N-acetylglucosamino) sulfotransferase 7 [Source:MGI Symbol;Acc:MGI:1891767]</t>
  </si>
  <si>
    <t>Hsd17b4</t>
  </si>
  <si>
    <t>hydroxysteroid (17-beta) dehydrogenase 4 [Source:MGI Symbol;Acc:MGI:105089]</t>
  </si>
  <si>
    <t>Lnx1</t>
  </si>
  <si>
    <t>ligand of numb-protein X 1 [Source:MGI Symbol;Acc:MGI:1278335]</t>
  </si>
  <si>
    <t>Rnft2</t>
  </si>
  <si>
    <t>ring finger protein, transmembrane 2 [Source:MGI Symbol;Acc:MGI:2442859]</t>
  </si>
  <si>
    <t>Arl4d</t>
  </si>
  <si>
    <t>ADP-ribosylation factor-like 4D [Source:MGI Symbol;Acc:MGI:1933155]</t>
  </si>
  <si>
    <t>Eng</t>
  </si>
  <si>
    <t>endoglin [Source:MGI Symbol;Acc:MGI:95392]</t>
  </si>
  <si>
    <t>Specc1l</t>
  </si>
  <si>
    <t>sperm antigen with calponin homology and coiled-coil domains 1-like [Source:MGI Symbol;Acc:MGI:1921642]</t>
  </si>
  <si>
    <t>Micu3</t>
  </si>
  <si>
    <t>mitochondrial calcium uptake family, member 3 [Source:MGI Symbol;Acc:MGI:1925756]</t>
  </si>
  <si>
    <t>Snhg3</t>
  </si>
  <si>
    <t>small nucleolar RNA host gene 3 [Source:MGI Symbol;Acc:MGI:2684817]</t>
  </si>
  <si>
    <t>Rpl9</t>
  </si>
  <si>
    <t>ribosomal protein L9 [Source:MGI Symbol;Acc:MGI:1298373]</t>
  </si>
  <si>
    <t>Trabd2b</t>
  </si>
  <si>
    <t>TraB domain containing 2B [Source:MGI Symbol;Acc:MGI:3650152]</t>
  </si>
  <si>
    <t>Asxl1</t>
  </si>
  <si>
    <t>additional sex combs like 1 [Source:MGI Symbol;Acc:MGI:2684063]</t>
  </si>
  <si>
    <t>Nrn1</t>
  </si>
  <si>
    <t>neuritin 1 [Source:MGI Symbol;Acc:MGI:1915654]</t>
  </si>
  <si>
    <t>Gm49254</t>
  </si>
  <si>
    <t>predicted gene, 49254 [Source:MGI Symbol;Acc:MGI:6118725]</t>
  </si>
  <si>
    <t>Hddc2</t>
  </si>
  <si>
    <t>HD domain containing 2 [Source:MGI Symbol;Acc:MGI:1916942]</t>
  </si>
  <si>
    <t>Gpd1</t>
  </si>
  <si>
    <t>glycerol-3-phosphate dehydrogenase 1 (soluble) [Source:MGI Symbol;Acc:MGI:95679]</t>
  </si>
  <si>
    <t>Elp3</t>
  </si>
  <si>
    <t>elongator acetyltransferase complex subunit 3 [Source:MGI Symbol;Acc:MGI:1921445]</t>
  </si>
  <si>
    <t>Zfp65</t>
  </si>
  <si>
    <t>zinc finger protein 65 [Source:MGI Symbol;Acc:MGI:107769]</t>
  </si>
  <si>
    <t>Apopt1</t>
  </si>
  <si>
    <t>apoptogenic, mitochondrial 1 [Source:MGI Symbol;Acc:MGI:1915270]</t>
  </si>
  <si>
    <t>Hs1bp3</t>
  </si>
  <si>
    <t>HCLS1 binding protein 3 [Source:MGI Symbol;Acc:MGI:1913224]</t>
  </si>
  <si>
    <t>Sash1</t>
  </si>
  <si>
    <t>SAM and SH3 domain containing 1 [Source:MGI Symbol;Acc:MGI:1917347]</t>
  </si>
  <si>
    <t>9230111E07Rik</t>
  </si>
  <si>
    <t>RIKEN cDNA 9230111E07 gene [Source:MGI Symbol;Acc:MGI:1924998]</t>
  </si>
  <si>
    <t>Thoc1</t>
  </si>
  <si>
    <t>THO complex 1 [Source:MGI Symbol;Acc:MGI:1919668]</t>
  </si>
  <si>
    <t>Lman2</t>
  </si>
  <si>
    <t>lectin, mannose-binding 2 [Source:MGI Symbol;Acc:MGI:1914140]</t>
  </si>
  <si>
    <t>Gm14224</t>
  </si>
  <si>
    <t>predicted gene 14224 [Source:MGI Symbol;Acc:MGI:3649242]</t>
  </si>
  <si>
    <t>Rps27a</t>
  </si>
  <si>
    <t>ribosomal protein S27A [Source:MGI Symbol;Acc:MGI:1925544]</t>
  </si>
  <si>
    <t>Crtc2</t>
  </si>
  <si>
    <t>CREB regulated transcription coactivator 2 [Source:MGI Symbol;Acc:MGI:1921593]</t>
  </si>
  <si>
    <t>2510002D24Rik</t>
  </si>
  <si>
    <t>RIKEN cDNA 2510002D24 gene [Source:MGI Symbol;Acc:MGI:1919557]</t>
  </si>
  <si>
    <t>Gm44507</t>
  </si>
  <si>
    <t>predicted gene 44507 [Source:MGI Symbol;Acc:MGI:5753083]</t>
  </si>
  <si>
    <t>0610009B22Rik</t>
  </si>
  <si>
    <t>RIKEN cDNA 0610009B22 gene [Source:MGI Symbol;Acc:MGI:1913300]</t>
  </si>
  <si>
    <t>Gpkow</t>
  </si>
  <si>
    <t>G patch domain and KOW motifs [Source:MGI Symbol;Acc:MGI:1859610]</t>
  </si>
  <si>
    <t>Fam83h</t>
  </si>
  <si>
    <t>family with sequence similarity 83, member H [Source:MGI Symbol;Acc:MGI:2145900]</t>
  </si>
  <si>
    <t>Irak1bp1</t>
  </si>
  <si>
    <t>interleukin-1 receptor-associated kinase 1 binding protein 1 [Source:MGI Symbol;Acc:MGI:1929475]</t>
  </si>
  <si>
    <t>Klhl15</t>
  </si>
  <si>
    <t>kelch-like 15 [Source:MGI Symbol;Acc:MGI:1923400]</t>
  </si>
  <si>
    <t>Elob</t>
  </si>
  <si>
    <t>elongin B [Source:MGI Symbol;Acc:MGI:1914923]</t>
  </si>
  <si>
    <t>Gm8399</t>
  </si>
  <si>
    <t>predicted gene 8399 [Source:MGI Symbol;Acc:MGI:3647971]</t>
  </si>
  <si>
    <t>Zc3h6</t>
  </si>
  <si>
    <t>zinc finger CCCH type containing 6 [Source:MGI Symbol;Acc:MGI:1926001]</t>
  </si>
  <si>
    <t>Lhx9</t>
  </si>
  <si>
    <t>LIM homeobox protein 9 [Source:MGI Symbol;Acc:MGI:1316721]</t>
  </si>
  <si>
    <t>Ctif</t>
  </si>
  <si>
    <t>CBP80/20-dependent translation initiation factor [Source:MGI Symbol;Acc:MGI:2685518]</t>
  </si>
  <si>
    <t>Dolpp1</t>
  </si>
  <si>
    <t>dolichyl pyrophosphate phosphatase 1 [Source:MGI Symbol;Acc:MGI:1914093]</t>
  </si>
  <si>
    <t>Arhgap5</t>
  </si>
  <si>
    <t>Rho GTPase activating protein 5 [Source:MGI Symbol;Acc:MGI:1332637]</t>
  </si>
  <si>
    <t>Chmp1a</t>
  </si>
  <si>
    <t>charged multivesicular body protein 1A [Source:MGI Symbol;Acc:MGI:1920159]</t>
  </si>
  <si>
    <t>Dusp10</t>
  </si>
  <si>
    <t>dual specificity phosphatase 10 [Source:MGI Symbol;Acc:MGI:1927070]</t>
  </si>
  <si>
    <t>Ccdc186</t>
  </si>
  <si>
    <t>coiled-coil domain containing 186 [Source:MGI Symbol;Acc:MGI:2445022]</t>
  </si>
  <si>
    <t>Polr2g</t>
  </si>
  <si>
    <t>polymerase (RNA) II (DNA directed) polypeptide G [Source:MGI Symbol;Acc:MGI:1914960]</t>
  </si>
  <si>
    <t>Gm16217</t>
  </si>
  <si>
    <t>predicted gene 16217 [Source:MGI Symbol;Acc:MGI:3801959]</t>
  </si>
  <si>
    <t>Septin10</t>
  </si>
  <si>
    <t>septin 10 [Source:MGI Symbol;Acc:MGI:1918110]</t>
  </si>
  <si>
    <t>Srsf6</t>
  </si>
  <si>
    <t>serine and arginine-rich splicing factor 6 [Source:MGI Symbol;Acc:MGI:1915246]</t>
  </si>
  <si>
    <t>Med16</t>
  </si>
  <si>
    <t>mediator complex subunit 16 [Source:MGI Symbol;Acc:MGI:2158394]</t>
  </si>
  <si>
    <t>Wdr46</t>
  </si>
  <si>
    <t>WD repeat domain 46 [Source:MGI Symbol;Acc:MGI:1931871]</t>
  </si>
  <si>
    <t>Tbx15</t>
  </si>
  <si>
    <t>T-box 15 [Source:MGI Symbol;Acc:MGI:1277234]</t>
  </si>
  <si>
    <t>Myl6b</t>
  </si>
  <si>
    <t>myosin, light polypeptide 6B [Source:MGI Symbol;Acc:MGI:1917789]</t>
  </si>
  <si>
    <t>Nphp1</t>
  </si>
  <si>
    <t>nephronophthisis 1 (juvenile) homolog (human) [Source:MGI Symbol;Acc:MGI:1858233]</t>
  </si>
  <si>
    <t>Il20rb</t>
  </si>
  <si>
    <t>interleukin 20 receptor beta [Source:MGI Symbol;Acc:MGI:2143266]</t>
  </si>
  <si>
    <t>1110012L19Rik</t>
  </si>
  <si>
    <t>RIKEN cDNA 1110012L19 gene [Source:MGI Symbol;Acc:MGI:1915868]</t>
  </si>
  <si>
    <t>Gm27517</t>
  </si>
  <si>
    <t>predicted gene, 27517 [Source:MGI Symbol;Acc:MGI:5530899]</t>
  </si>
  <si>
    <t>Ska1</t>
  </si>
  <si>
    <t>spindle and kinetochore associated complex subunit 1 [Source:MGI Symbol;Acc:MGI:1913718]</t>
  </si>
  <si>
    <t>Rap1gds1</t>
  </si>
  <si>
    <t>RAP1, GTP-GDP dissociation stimulator 1 [Source:MGI Symbol;Acc:MGI:2385189]</t>
  </si>
  <si>
    <t>Snapc2</t>
  </si>
  <si>
    <t>small nuclear RNA activating complex, polypeptide 2 [Source:MGI Symbol;Acc:MGI:1914861]</t>
  </si>
  <si>
    <t>Vps39</t>
  </si>
  <si>
    <t>VPS39 HOPS complex subunit [Source:MGI Symbol;Acc:MGI:2443189]</t>
  </si>
  <si>
    <t>Gtf2ird2</t>
  </si>
  <si>
    <t>GTF2I repeat domain containing 2 [Source:MGI Symbol;Acc:MGI:2149780]</t>
  </si>
  <si>
    <t>Zan</t>
  </si>
  <si>
    <t>zonadhesin [Source:MGI Symbol;Acc:MGI:106656]</t>
  </si>
  <si>
    <t>Gstt4</t>
  </si>
  <si>
    <t>glutathione S-transferase, theta 4 [Source:MGI Symbol;Acc:MGI:1923136]</t>
  </si>
  <si>
    <t>Nop53</t>
  </si>
  <si>
    <t>NOP53 ribosome biogenesis factor [Source:MGI Symbol;Acc:MGI:2154441]</t>
  </si>
  <si>
    <t>Cyp26b1</t>
  </si>
  <si>
    <t>cytochrome P450, family 26, subfamily b, polypeptide 1 [Source:MGI Symbol;Acc:MGI:2176159]</t>
  </si>
  <si>
    <t>Zcchc4</t>
  </si>
  <si>
    <t>zinc finger, CCHC domain containing 4 [Source:MGI Symbol;Acc:MGI:1926046]</t>
  </si>
  <si>
    <t>Sec24a</t>
  </si>
  <si>
    <t>Sec24 related gene family, member A (S. cerevisiae) [Source:MGI Symbol;Acc:MGI:1924621]</t>
  </si>
  <si>
    <t>Ap5b1</t>
  </si>
  <si>
    <t>adaptor-related protein complex 5, beta 1 subunit [Source:MGI Symbol;Acc:MGI:2685808]</t>
  </si>
  <si>
    <t>Lactb2</t>
  </si>
  <si>
    <t>lactamase, beta 2 [Source:MGI Symbol;Acc:MGI:2442551]</t>
  </si>
  <si>
    <t>Tmed7</t>
  </si>
  <si>
    <t>transmembrane p24 trafficking protein 7 [Source:MGI Symbol;Acc:MGI:1913926]</t>
  </si>
  <si>
    <t>Fcgr1</t>
  </si>
  <si>
    <t>Fc receptor, IgG, high affinity I [Source:MGI Symbol;Acc:MGI:95498]</t>
  </si>
  <si>
    <t>Scg2</t>
  </si>
  <si>
    <t>secretogranin II [Source:MGI Symbol;Acc:MGI:103033]</t>
  </si>
  <si>
    <t>Alad</t>
  </si>
  <si>
    <t>aminolevulinate, delta-, dehydratase [Source:MGI Symbol;Acc:MGI:96853]</t>
  </si>
  <si>
    <t>Hmg20a</t>
  </si>
  <si>
    <t>high mobility group 20A [Source:MGI Symbol;Acc:MGI:1914117]</t>
  </si>
  <si>
    <t>Pomt2</t>
  </si>
  <si>
    <t>protein-O-mannosyltransferase 2 [Source:MGI Symbol;Acc:MGI:2444430]</t>
  </si>
  <si>
    <t>Magi1</t>
  </si>
  <si>
    <t>membrane associated guanylate kinase, WW and PDZ domain containing 1 [Source:MGI Symbol;Acc:MGI:1203522]</t>
  </si>
  <si>
    <t>Adpgk</t>
  </si>
  <si>
    <t>ADP-dependent glucokinase [Source:MGI Symbol;Acc:MGI:1919391]</t>
  </si>
  <si>
    <t>Casc3</t>
  </si>
  <si>
    <t>cancer susceptibility candidate 3 [Source:MGI Symbol;Acc:MGI:2179723]</t>
  </si>
  <si>
    <t>Gm20406</t>
  </si>
  <si>
    <t>predicted gene 20406 [Source:MGI Symbol;Acc:MGI:5141871]</t>
  </si>
  <si>
    <t>Osgepl1</t>
  </si>
  <si>
    <t>O-sialoglycoprotein endopeptidase-like 1 [Source:MGI Symbol;Acc:MGI:1919335]</t>
  </si>
  <si>
    <t>Snx17</t>
  </si>
  <si>
    <t>sorting nexin 17 [Source:MGI Symbol;Acc:MGI:2387801]</t>
  </si>
  <si>
    <t>Rfng</t>
  </si>
  <si>
    <t>RFNG O-fucosylpeptide 3-beta-N-acetylglucosaminyltransferase [Source:MGI Symbol;Acc:MGI:894275]</t>
  </si>
  <si>
    <t>A730011C13Rik</t>
  </si>
  <si>
    <t>RIKEN cDNA A730011C13 gene [Source:MGI Symbol;Acc:MGI:2442973]</t>
  </si>
  <si>
    <t>Zfp809</t>
  </si>
  <si>
    <t>zinc finger protein 809 [Source:MGI Symbol;Acc:MGI:2143362]</t>
  </si>
  <si>
    <t>Spp1</t>
  </si>
  <si>
    <t>secreted phosphoprotein 1 [Source:MGI Symbol;Acc:MGI:98389]</t>
  </si>
  <si>
    <t>Tceanc2</t>
  </si>
  <si>
    <t>transcription elongation factor A (SII) N-terminal and central domain containing 2 [Source:MGI Symbol;Acc:MGI:1913776]</t>
  </si>
  <si>
    <t>Kcnj9</t>
  </si>
  <si>
    <t>potassium inwardly-rectifying channel, subfamily J, member 9 [Source:MGI Symbol;Acc:MGI:108007]</t>
  </si>
  <si>
    <t>Fam189a2</t>
  </si>
  <si>
    <t>family with sequence similarity 189, member A2 [Source:MGI Symbol;Acc:MGI:2685813]</t>
  </si>
  <si>
    <t>Tmed9</t>
  </si>
  <si>
    <t>transmembrane p24 trafficking protein 9 [Source:MGI Symbol;Acc:MGI:1914761]</t>
  </si>
  <si>
    <t>Usp20</t>
  </si>
  <si>
    <t>ubiquitin specific peptidase 20 [Source:MGI Symbol;Acc:MGI:1921520]</t>
  </si>
  <si>
    <t>Map3k4</t>
  </si>
  <si>
    <t>mitogen-activated protein kinase kinase kinase 4 [Source:MGI Symbol;Acc:MGI:1346875]</t>
  </si>
  <si>
    <t>Pcp4l1</t>
  </si>
  <si>
    <t>Purkinje cell protein 4-like 1 [Source:MGI Symbol;Acc:MGI:1913675]</t>
  </si>
  <si>
    <t>Fam187b</t>
  </si>
  <si>
    <t>family with sequence similarity 187, member B [Source:MGI Symbol;Acc:MGI:1923665]</t>
  </si>
  <si>
    <t>Arhgef25</t>
  </si>
  <si>
    <t>Rho guanine nucleotide exchange factor (GEF) 25 [Source:MGI Symbol;Acc:MGI:1277173]</t>
  </si>
  <si>
    <t>Prdx6</t>
  </si>
  <si>
    <t>peroxiredoxin 6 [Source:MGI Symbol;Acc:MGI:894320]</t>
  </si>
  <si>
    <t>Gm43162</t>
  </si>
  <si>
    <t>predicted gene 43162 [Source:MGI Symbol;Acc:MGI:5663299]</t>
  </si>
  <si>
    <t>Srp54c</t>
  </si>
  <si>
    <t>signal recognition particle 54C [Source:MGI Symbol;Acc:MGI:3714359]</t>
  </si>
  <si>
    <t>Tmem242</t>
  </si>
  <si>
    <t>transmembrane protein 242 [Source:MGI Symbol;Acc:MGI:1917794]</t>
  </si>
  <si>
    <t>2310034O05Rik</t>
  </si>
  <si>
    <t>RIKEN cDNA 2310034O05 gene [Source:MGI Symbol;Acc:MGI:1916821]</t>
  </si>
  <si>
    <t>Pogz</t>
  </si>
  <si>
    <t>pogo transposable element with ZNF domain [Source:MGI Symbol;Acc:MGI:2442117]</t>
  </si>
  <si>
    <t>Gga1</t>
  </si>
  <si>
    <t>golgi associated, gamma adaptin ear containing, ARF binding protein 1 [Source:MGI Symbol;Acc:MGI:2146207]</t>
  </si>
  <si>
    <t>Rgsl1</t>
  </si>
  <si>
    <t>regulator of G-protein signaling like 1 [Source:MGI Symbol;Acc:MGI:2685048]</t>
  </si>
  <si>
    <t>Zdhhc20</t>
  </si>
  <si>
    <t>zinc finger, DHHC domain containing 20 [Source:MGI Symbol;Acc:MGI:1923215]</t>
  </si>
  <si>
    <t>Ska2</t>
  </si>
  <si>
    <t>spindle and kinetochore associated complex subunit 2 [Source:MGI Symbol;Acc:MGI:1913390]</t>
  </si>
  <si>
    <t>Cpsf6</t>
  </si>
  <si>
    <t>cleavage and polyadenylation specific factor 6 [Source:MGI Symbol;Acc:MGI:1913948]</t>
  </si>
  <si>
    <t>Timm10b</t>
  </si>
  <si>
    <t>translocase of inner mitochondrial membrane 10B [Source:MGI Symbol;Acc:MGI:1315196]</t>
  </si>
  <si>
    <t>Synpo</t>
  </si>
  <si>
    <t>synaptopodin [Source:MGI Symbol;Acc:MGI:1099446]</t>
  </si>
  <si>
    <t>Rpl27a</t>
  </si>
  <si>
    <t>ribosomal protein L27A [Source:MGI Symbol;Acc:MGI:1347076]</t>
  </si>
  <si>
    <t>Zfp335os</t>
  </si>
  <si>
    <t>zinc finger protein 335, opposite strand [Source:MGI Symbol;Acc:MGI:3649775]</t>
  </si>
  <si>
    <t>D330041H03Rik</t>
  </si>
  <si>
    <t>RIKEN cDNA D330041H03 gene [Source:MGI Symbol;Acc:MGI:3603827]</t>
  </si>
  <si>
    <t>Adam1a</t>
  </si>
  <si>
    <t>a disintegrin and metallopeptidase domain 1a [Source:MGI Symbol;Acc:MGI:2429504]</t>
  </si>
  <si>
    <t>1810059H22Rik</t>
  </si>
  <si>
    <t>RIKEN cDNA 1810059H22 gene [Source:MGI Symbol;Acc:MGI:1917070]</t>
  </si>
  <si>
    <t>Zkscan5</t>
  </si>
  <si>
    <t>zinc finger with KRAB and SCAN domains 5 [Source:MGI Symbol;Acc:MGI:107533]</t>
  </si>
  <si>
    <t>Polr2e</t>
  </si>
  <si>
    <t>polymerase (RNA) II (DNA directed) polypeptide E [Source:MGI Symbol;Acc:MGI:1913670]</t>
  </si>
  <si>
    <t>Gm47922</t>
  </si>
  <si>
    <t>predicted gene, 47922 [Source:MGI Symbol;Acc:MGI:6097178]</t>
  </si>
  <si>
    <t>Tab2</t>
  </si>
  <si>
    <t>TGF-beta activated kinase 1/MAP3K7 binding protein 2 [Source:MGI Symbol;Acc:MGI:1915902]</t>
  </si>
  <si>
    <t>Ppif</t>
  </si>
  <si>
    <t>peptidylprolyl isomerase F (cyclophilin F) [Source:MGI Symbol;Acc:MGI:2145814]</t>
  </si>
  <si>
    <t>4930486L24Rik</t>
  </si>
  <si>
    <t>RIKEN cDNA 4930486L24 gene [Source:MGI Symbol;Acc:MGI:1922258]</t>
  </si>
  <si>
    <t>Vcp-rs</t>
  </si>
  <si>
    <t>valosin containing protein, related sequence [Source:MGI Symbol;Acc:MGI:894298]</t>
  </si>
  <si>
    <t>Ptpdc1</t>
  </si>
  <si>
    <t>protein tyrosine phosphatase domain containing 1 [Source:MGI Symbol;Acc:MGI:2145430]</t>
  </si>
  <si>
    <t>Gtpbp3</t>
  </si>
  <si>
    <t>GTP binding protein 3 [Source:MGI Symbol;Acc:MGI:1917609]</t>
  </si>
  <si>
    <t>Mta1</t>
  </si>
  <si>
    <t>metastasis associated 1 [Source:MGI Symbol;Acc:MGI:2150037]</t>
  </si>
  <si>
    <t>4732471J01Rik</t>
  </si>
  <si>
    <t>RIKEN cDNA 4732471J01 gene [Source:MGI Symbol;Acc:MGI:3603586]</t>
  </si>
  <si>
    <t>Gfod1</t>
  </si>
  <si>
    <t>glucose-fructose oxidoreductase domain containing 1 [Source:MGI Symbol;Acc:MGI:2145304]</t>
  </si>
  <si>
    <t>Atp5c1</t>
  </si>
  <si>
    <t>ATP synthase, H+ transporting, mitochondrial F1 complex, gamma polypeptide 1 [Source:MGI Symbol;Acc:MGI:1261437]</t>
  </si>
  <si>
    <t>Slc25a14</t>
  </si>
  <si>
    <t>solute carrier family 25 (mitochondrial carrier, brain), member 14 [Source:MGI Symbol;Acc:MGI:1330823]</t>
  </si>
  <si>
    <t>Arhgap44</t>
  </si>
  <si>
    <t>Rho GTPase activating protein 44 [Source:MGI Symbol;Acc:MGI:2144423]</t>
  </si>
  <si>
    <t>Raver1</t>
  </si>
  <si>
    <t>ribonucleoprotein, PTB-binding 1 [Source:MGI Symbol;Acc:MGI:1919016]</t>
  </si>
  <si>
    <t>Odf2</t>
  </si>
  <si>
    <t>outer dense fiber of sperm tails 2 [Source:MGI Symbol;Acc:MGI:1098824]</t>
  </si>
  <si>
    <t>Crtc1</t>
  </si>
  <si>
    <t>CREB regulated transcription coactivator 1 [Source:MGI Symbol;Acc:MGI:2142523]</t>
  </si>
  <si>
    <t>Zfp868</t>
  </si>
  <si>
    <t>zinc finger protein 868 [Source:MGI Symbol;Acc:MGI:2142546]</t>
  </si>
  <si>
    <t>Ctbs</t>
  </si>
  <si>
    <t>chitobiase [Source:MGI Symbol;Acc:MGI:1921495]</t>
  </si>
  <si>
    <t>Mrpl51</t>
  </si>
  <si>
    <t>mitochondrial ribosomal protein L51 [Source:MGI Symbol;Acc:MGI:1913743]</t>
  </si>
  <si>
    <t>Tmem209</t>
  </si>
  <si>
    <t>transmembrane protein 209 [Source:MGI Symbol;Acc:MGI:1919899]</t>
  </si>
  <si>
    <t>Evi2a</t>
  </si>
  <si>
    <t>ecotropic viral integration site 2a [Source:MGI Symbol;Acc:MGI:95458]</t>
  </si>
  <si>
    <t>Atp6ap2</t>
  </si>
  <si>
    <t>ATPase, H+ transporting, lysosomal accessory protein 2 [Source:MGI Symbol;Acc:MGI:1917745]</t>
  </si>
  <si>
    <t>Sigirr</t>
  </si>
  <si>
    <t>single immunoglobulin and toll-interleukin 1 receptor (TIR) domain [Source:MGI Symbol;Acc:MGI:1344402]</t>
  </si>
  <si>
    <t>Ino80c</t>
  </si>
  <si>
    <t>INO80 complex subunit C [Source:MGI Symbol;Acc:MGI:2443014]</t>
  </si>
  <si>
    <t>Zfp106</t>
  </si>
  <si>
    <t>zinc finger protein 106 [Source:MGI Symbol;Acc:MGI:1270153]</t>
  </si>
  <si>
    <t>Nqo1</t>
  </si>
  <si>
    <t>NAD(P)H dehydrogenase, quinone 1 [Source:MGI Symbol;Acc:MGI:103187]</t>
  </si>
  <si>
    <t>Eftud2</t>
  </si>
  <si>
    <t>elongation factor Tu GTP binding domain containing 2 [Source:MGI Symbol;Acc:MGI:1336880]</t>
  </si>
  <si>
    <t>Gxylt2</t>
  </si>
  <si>
    <t>glucoside xylosyltransferase 2 [Source:MGI Symbol;Acc:MGI:2682940]</t>
  </si>
  <si>
    <t>Gm14048</t>
  </si>
  <si>
    <t>predicted gene 14048 [Source:MGI Symbol;Acc:MGI:3650660]</t>
  </si>
  <si>
    <t>Tiam2</t>
  </si>
  <si>
    <t>T cell lymphoma invasion and metastasis 2 [Source:MGI Symbol;Acc:MGI:1344338]</t>
  </si>
  <si>
    <t>Thbs3</t>
  </si>
  <si>
    <t>thrombospondin 3 [Source:MGI Symbol;Acc:MGI:98739]</t>
  </si>
  <si>
    <t>Tmx1</t>
  </si>
  <si>
    <t>thioredoxin-related transmembrane protein 1 [Source:MGI Symbol;Acc:MGI:1919986]</t>
  </si>
  <si>
    <t>Gm13091</t>
  </si>
  <si>
    <t>predicted gene 13091 [Source:MGI Symbol;Acc:MGI:3649653]</t>
  </si>
  <si>
    <t>Gm37199</t>
  </si>
  <si>
    <t>predicted gene, 37199 [Source:MGI Symbol;Acc:MGI:5610427]</t>
  </si>
  <si>
    <t>C030006K11Rik</t>
  </si>
  <si>
    <t>RIKEN cDNA C030006K11 gene [Source:MGI Symbol;Acc:MGI:1925941]</t>
  </si>
  <si>
    <t>Sar1a</t>
  </si>
  <si>
    <t>secretion associated Ras related GTPase 1A [Source:MGI Symbol;Acc:MGI:98230]</t>
  </si>
  <si>
    <t>Tbc1d20</t>
  </si>
  <si>
    <t>TBC1 domain family, member 20 [Source:MGI Symbol;Acc:MGI:1914481]</t>
  </si>
  <si>
    <t>Cep63</t>
  </si>
  <si>
    <t>centrosomal protein 63 [Source:MGI Symbol;Acc:MGI:2158560]</t>
  </si>
  <si>
    <t>Dbf4</t>
  </si>
  <si>
    <t>DBF4 zinc finger [Source:MGI Symbol;Acc:MGI:1351328]</t>
  </si>
  <si>
    <t>Elmsan1</t>
  </si>
  <si>
    <t>ELM2 and Myb/SANT-like domain containing 1 [Source:MGI Symbol;Acc:MGI:2685106]</t>
  </si>
  <si>
    <t>Got2</t>
  </si>
  <si>
    <t>glutamatic-oxaloacetic transaminase 2, mitochondrial [Source:MGI Symbol;Acc:MGI:95792]</t>
  </si>
  <si>
    <t>B3galt5</t>
  </si>
  <si>
    <t>UDP-Gal:betaGlcNAc beta 1,3-galactosyltransferase, polypeptide 5 [Source:MGI Symbol;Acc:MGI:2136878]</t>
  </si>
  <si>
    <t>Gtpbp8</t>
  </si>
  <si>
    <t>GTP-binding protein 8 (putative) [Source:MGI Symbol;Acc:MGI:1913317]</t>
  </si>
  <si>
    <t>Igf2bp3</t>
  </si>
  <si>
    <t>insulin-like growth factor 2 mRNA binding protein 3 [Source:MGI Symbol;Acc:MGI:1890359]</t>
  </si>
  <si>
    <t>Ppp6r2</t>
  </si>
  <si>
    <t>protein phosphatase 6, regulatory subunit 2 [Source:MGI Symbol;Acc:MGI:1918724]</t>
  </si>
  <si>
    <t>Pde8a</t>
  </si>
  <si>
    <t>phosphodiesterase 8A [Source:MGI Symbol;Acc:MGI:1277116]</t>
  </si>
  <si>
    <t>Cir1</t>
  </si>
  <si>
    <t>corepressor interacting with RBPJ, 1 [Source:MGI Symbol;Acc:MGI:1914185]</t>
  </si>
  <si>
    <t>Ankrd39</t>
  </si>
  <si>
    <t>ankyrin repeat domain 39 [Source:MGI Symbol;Acc:MGI:1914816]</t>
  </si>
  <si>
    <t>H2ac14</t>
  </si>
  <si>
    <t>H2A clustered histone 14 [Source:MGI Symbol;Acc:MGI:2448312]</t>
  </si>
  <si>
    <t>Abhd11</t>
  </si>
  <si>
    <t>abhydrolase domain containing 11 [Source:MGI Symbol;Acc:MGI:1916008]</t>
  </si>
  <si>
    <t>Tm2d3</t>
  </si>
  <si>
    <t>TM2 domain containing 3 [Source:MGI Symbol;Acc:MGI:1915884]</t>
  </si>
  <si>
    <t>2210412B16Rik</t>
  </si>
  <si>
    <t>RIKEN cDNA 2210412B16 gene [Source:MGI Symbol;Acc:MGI:1919625]</t>
  </si>
  <si>
    <t>Pgap2</t>
  </si>
  <si>
    <t>post-GPI attachment to proteins 2 [Source:MGI Symbol;Acc:MGI:2385286]</t>
  </si>
  <si>
    <t>Strbp</t>
  </si>
  <si>
    <t>spermatid perinuclear RNA binding protein [Source:MGI Symbol;Acc:MGI:104626]</t>
  </si>
  <si>
    <t>Smc1a</t>
  </si>
  <si>
    <t>structural maintenance of chromosomes 1A [Source:MGI Symbol;Acc:MGI:1344345]</t>
  </si>
  <si>
    <t>Casz1</t>
  </si>
  <si>
    <t>castor zinc finger 1 [Source:MGI Symbol;Acc:MGI:1196251]</t>
  </si>
  <si>
    <t>Setd7</t>
  </si>
  <si>
    <t>SET domain containing (lysine methyltransferase) 7 [Source:MGI Symbol;Acc:MGI:1920501]</t>
  </si>
  <si>
    <t>Tpmt</t>
  </si>
  <si>
    <t>thiopurine methyltransferase [Source:MGI Symbol;Acc:MGI:98812]</t>
  </si>
  <si>
    <t>Nthl1</t>
  </si>
  <si>
    <t>nth (endonuclease III)-like 1 (E.coli) [Source:MGI Symbol;Acc:MGI:1313275]</t>
  </si>
  <si>
    <t>Tpgs2</t>
  </si>
  <si>
    <t>tubulin polyglutamylase complex subunit 2 [Source:MGI Symbol;Acc:MGI:1913898]</t>
  </si>
  <si>
    <t>Rack1</t>
  </si>
  <si>
    <t>receptor for activated C kinase 1 [Source:MGI Symbol;Acc:MGI:101849]</t>
  </si>
  <si>
    <t>Unc80</t>
  </si>
  <si>
    <t>unc-80, NALCN activator [Source:MGI Symbol;Acc:MGI:2652882]</t>
  </si>
  <si>
    <t>Piwil2</t>
  </si>
  <si>
    <t>piwi-like RNA-mediated gene silencing 2 [Source:MGI Symbol;Acc:MGI:1930036]</t>
  </si>
  <si>
    <t>Rsbn1l</t>
  </si>
  <si>
    <t>round spermatid basic protein 1-like [Source:MGI Symbol;Acc:MGI:3036237]</t>
  </si>
  <si>
    <t>Gm19026</t>
  </si>
  <si>
    <t>predicted gene, 19026 [Source:MGI Symbol;Acc:MGI:5011211]</t>
  </si>
  <si>
    <t>9130604C24Rik</t>
  </si>
  <si>
    <t>RIKEN cDNA 9130604C24 gene [Source:MGI Symbol;Acc:MGI:1924957]</t>
  </si>
  <si>
    <t>Nectin4</t>
  </si>
  <si>
    <t>nectin cell adhesion molecule 4 [Source:MGI Symbol;Acc:MGI:1918990]</t>
  </si>
  <si>
    <t>Ndst3</t>
  </si>
  <si>
    <t>N-deacetylase/N-sulfotransferase (heparan glucosaminyl) 3 [Source:MGI Symbol;Acc:MGI:1932544]</t>
  </si>
  <si>
    <t>Bdp1</t>
  </si>
  <si>
    <t>B double prime 1, subunit of RNA polymerase III transcription initiation factor IIIB [Source:MGI Symbol;Acc:MGI:1347077]</t>
  </si>
  <si>
    <t>Pstpip1</t>
  </si>
  <si>
    <t>proline-serine-threonine phosphatase-interacting protein 1 [Source:MGI Symbol;Acc:MGI:1321396]</t>
  </si>
  <si>
    <t>Necab3</t>
  </si>
  <si>
    <t>N-terminal EF-hand calcium binding protein 3 [Source:MGI Symbol;Acc:MGI:1861721]</t>
  </si>
  <si>
    <t>Umps</t>
  </si>
  <si>
    <t>uridine monophosphate synthetase [Source:MGI Symbol;Acc:MGI:1298388]</t>
  </si>
  <si>
    <t>Mfsd11</t>
  </si>
  <si>
    <t>major facilitator superfamily domain containing 11 [Source:MGI Symbol;Acc:MGI:1917150]</t>
  </si>
  <si>
    <t>Ptcd1</t>
  </si>
  <si>
    <t>pentatricopeptide repeat domain 1 [Source:MGI Symbol;Acc:MGI:1919049]</t>
  </si>
  <si>
    <t>Zbtb40</t>
  </si>
  <si>
    <t>zinc finger and BTB domain containing 40 [Source:MGI Symbol;Acc:MGI:2682254]</t>
  </si>
  <si>
    <t>Rusc1</t>
  </si>
  <si>
    <t>RUN and SH3 domain containing 1 [Source:MGI Symbol;Acc:MGI:1919546]</t>
  </si>
  <si>
    <t>Clgn</t>
  </si>
  <si>
    <t>calmegin [Source:MGI Symbol;Acc:MGI:107472]</t>
  </si>
  <si>
    <t>Adamts17</t>
  </si>
  <si>
    <t>a disintegrin-like and metallopeptidase (reprolysin type) with thrombospondin type 1 motif, 17 [Source:MGI Symbol;Acc:MGI:3588195]</t>
  </si>
  <si>
    <t>Siglec1</t>
  </si>
  <si>
    <t>sialic acid binding Ig-like lectin 1, sialoadhesin [Source:MGI Symbol;Acc:MGI:99668]</t>
  </si>
  <si>
    <t>Ppme1</t>
  </si>
  <si>
    <t>protein phosphatase methylesterase 1 [Source:MGI Symbol;Acc:MGI:1919840]</t>
  </si>
  <si>
    <t>Oxld1</t>
  </si>
  <si>
    <t>oxidoreductase like domain containing 1 [Source:MGI Symbol;Acc:MGI:1913681]</t>
  </si>
  <si>
    <t>Pcdhgc5</t>
  </si>
  <si>
    <t>protocadherin gamma subfamily C, 5 [Source:MGI Symbol;Acc:MGI:1935205]</t>
  </si>
  <si>
    <t>Pyroxd2</t>
  </si>
  <si>
    <t>pyridine nucleotide-disulphide oxidoreductase domain 2 [Source:MGI Symbol;Acc:MGI:1921830]</t>
  </si>
  <si>
    <t>Fnbp1</t>
  </si>
  <si>
    <t>formin binding protein 1 [Source:MGI Symbol;Acc:MGI:109606]</t>
  </si>
  <si>
    <t>Wdr66</t>
  </si>
  <si>
    <t>WD repeat domain 66 [Source:MGI Symbol;Acc:MGI:1918495]</t>
  </si>
  <si>
    <t>Atg3</t>
  </si>
  <si>
    <t>autophagy related 3 [Source:MGI Symbol;Acc:MGI:1915091]</t>
  </si>
  <si>
    <t>Cdc14b</t>
  </si>
  <si>
    <t>CDC14 cell division cycle 14B [Source:MGI Symbol;Acc:MGI:2441808]</t>
  </si>
  <si>
    <t>Sh3kbp1</t>
  </si>
  <si>
    <t>SH3-domain kinase binding protein 1 [Source:MGI Symbol;Acc:MGI:1889583]</t>
  </si>
  <si>
    <t>Hyls1</t>
  </si>
  <si>
    <t>HYLS1, centriolar and ciliogenesis associated [Source:MGI Symbol;Acc:MGI:1924082]</t>
  </si>
  <si>
    <t>Exoc6</t>
  </si>
  <si>
    <t>exocyst complex component 6 [Source:MGI Symbol;Acc:MGI:1351611]</t>
  </si>
  <si>
    <t>Lage3</t>
  </si>
  <si>
    <t>L antigen family, member 3 [Source:MGI Symbol;Acc:MGI:1913442]</t>
  </si>
  <si>
    <t>Gm9706</t>
  </si>
  <si>
    <t>predicted gene 9706 [Source:MGI Symbol;Acc:MGI:3780113]</t>
  </si>
  <si>
    <t>Rpl23</t>
  </si>
  <si>
    <t>ribosomal protein L23 [Source:MGI Symbol;Acc:MGI:1929455]</t>
  </si>
  <si>
    <t>Gm2102</t>
  </si>
  <si>
    <t>predicted gene 2102 [Source:MGI Symbol;Acc:MGI:3780270]</t>
  </si>
  <si>
    <t>Kctd11</t>
  </si>
  <si>
    <t>potassium channel tetramerisation domain containing 11 [Source:MGI Symbol;Acc:MGI:2448712]</t>
  </si>
  <si>
    <t>Thoc6</t>
  </si>
  <si>
    <t>THO complex 6 [Source:MGI Symbol;Acc:MGI:2677480]</t>
  </si>
  <si>
    <t>Gan</t>
  </si>
  <si>
    <t>giant axonal neuropathy [Source:MGI Symbol;Acc:MGI:1890619]</t>
  </si>
  <si>
    <t>Oxct1</t>
  </si>
  <si>
    <t>3-oxoacid CoA transferase 1 [Source:MGI Symbol;Acc:MGI:1914291]</t>
  </si>
  <si>
    <t>Glipr2</t>
  </si>
  <si>
    <t>GLI pathogenesis-related 2 [Source:MGI Symbol;Acc:MGI:1917770]</t>
  </si>
  <si>
    <t>Anapc11</t>
  </si>
  <si>
    <t>anaphase promoting complex subunit 11 [Source:MGI Symbol;Acc:MGI:1913406]</t>
  </si>
  <si>
    <t>Capns2</t>
  </si>
  <si>
    <t>calpain, small subunit 2 [Source:MGI Symbol;Acc:MGI:1916793]</t>
  </si>
  <si>
    <t>Gmps</t>
  </si>
  <si>
    <t>guanine monophosphate synthetase [Source:MGI Symbol;Acc:MGI:2448526]</t>
  </si>
  <si>
    <t>Pvrig</t>
  </si>
  <si>
    <t>poliovirus receptor related immunoglobulin domain containing [Source:MGI Symbol;Acc:MGI:5596028]</t>
  </si>
  <si>
    <t>Kctd9</t>
  </si>
  <si>
    <t>potassium channel tetramerisation domain containing 9 [Source:MGI Symbol;Acc:MGI:2145579]</t>
  </si>
  <si>
    <t>Sf3b3</t>
  </si>
  <si>
    <t>splicing factor 3b, subunit 3 [Source:MGI Symbol;Acc:MGI:1289341]</t>
  </si>
  <si>
    <t>BC051226</t>
  </si>
  <si>
    <t>cDNA sequence BC051226 [Source:MGI Symbol;Acc:MGI:3039585]</t>
  </si>
  <si>
    <t>Polr2j</t>
  </si>
  <si>
    <t>polymerase (RNA) II (DNA directed) polypeptide J [Source:MGI Symbol;Acc:MGI:109582]</t>
  </si>
  <si>
    <t>Tinf2</t>
  </si>
  <si>
    <t>Terf1 (TRF1)-interacting nuclear factor 2 [Source:MGI Symbol;Acc:MGI:107246]</t>
  </si>
  <si>
    <t>Ecpas</t>
  </si>
  <si>
    <t>Ecm29 proteasome adaptor and scaffold [Source:MGI Symbol;Acc:MGI:2140220]</t>
  </si>
  <si>
    <t>Taf7</t>
  </si>
  <si>
    <t>TATA-box binding protein associated factor 7 [Source:MGI Symbol;Acc:MGI:1346348]</t>
  </si>
  <si>
    <t>Pam16</t>
  </si>
  <si>
    <t>presequence translocase-asssociated motor 16 homolog (S. cerevisiae) [Source:MGI Symbol;Acc:MGI:1913699]</t>
  </si>
  <si>
    <t>Gpaa1</t>
  </si>
  <si>
    <t>GPI anchor attachment protein 1 [Source:MGI Symbol;Acc:MGI:1202392]</t>
  </si>
  <si>
    <t>AW554918</t>
  </si>
  <si>
    <t>expressed sequence AW554918 [Source:MGI Symbol;Acc:MGI:2147376]</t>
  </si>
  <si>
    <t>Nbas</t>
  </si>
  <si>
    <t>neuroblastoma amplified sequence [Source:MGI Symbol;Acc:MGI:1918419]</t>
  </si>
  <si>
    <t>Klf13</t>
  </si>
  <si>
    <t>Kruppel-like factor 13 [Source:MGI Symbol;Acc:MGI:1354948]</t>
  </si>
  <si>
    <t>Cul2</t>
  </si>
  <si>
    <t>cullin 2 [Source:MGI Symbol;Acc:MGI:1918995]</t>
  </si>
  <si>
    <t>Eml2</t>
  </si>
  <si>
    <t>echinoderm microtubule associated protein like 2 [Source:MGI Symbol;Acc:MGI:1919455]</t>
  </si>
  <si>
    <t>Eif5b</t>
  </si>
  <si>
    <t>eukaryotic translation initiation factor 5B [Source:MGI Symbol;Acc:MGI:2441772]</t>
  </si>
  <si>
    <t>4833419F23Rik</t>
  </si>
  <si>
    <t>RIKEN cDNA 4833419F23 gene [Source:MGI Symbol;Acc:MGI:1921165]</t>
  </si>
  <si>
    <t>Ppfia3</t>
  </si>
  <si>
    <t>protein tyrosine phosphatase, receptor type, f polypeptide (PTPRF), interacting protein (liprin), alpha 3 [Source:MGI Symbol;Acc:MGI:1924037]</t>
  </si>
  <si>
    <t>Gm47469</t>
  </si>
  <si>
    <t>predicted gene, 47469 [Source:MGI Symbol;Acc:MGI:6096437]</t>
  </si>
  <si>
    <t>Uba6</t>
  </si>
  <si>
    <t>ubiquitin-like modifier activating enzyme 6 [Source:MGI Symbol;Acc:MGI:1913894]</t>
  </si>
  <si>
    <t>Fgf13</t>
  </si>
  <si>
    <t>fibroblast growth factor 13 [Source:MGI Symbol;Acc:MGI:109178]</t>
  </si>
  <si>
    <t>Tlr9</t>
  </si>
  <si>
    <t>toll-like receptor 9 [Source:MGI Symbol;Acc:MGI:1932389]</t>
  </si>
  <si>
    <t>Vps4a</t>
  </si>
  <si>
    <t>vacuolar protein sorting 4A [Source:MGI Symbol;Acc:MGI:1890520]</t>
  </si>
  <si>
    <t>Smndc1</t>
  </si>
  <si>
    <t>survival motor neuron domain containing 1 [Source:MGI Symbol;Acc:MGI:1923729]</t>
  </si>
  <si>
    <t>Zwilch</t>
  </si>
  <si>
    <t>zwilch kinetochore protein [Source:MGI Symbol;Acc:MGI:1915264]</t>
  </si>
  <si>
    <t>Olfm1</t>
  </si>
  <si>
    <t>olfactomedin 1 [Source:MGI Symbol;Acc:MGI:1860437]</t>
  </si>
  <si>
    <t>Calhm6</t>
  </si>
  <si>
    <t>calcium homeostasis modulator family member 6 [Source:MGI Symbol;Acc:MGI:2443082]</t>
  </si>
  <si>
    <t>Herpud1</t>
  </si>
  <si>
    <t>homocysteine-inducible, endoplasmic reticulum stress-inducible, ubiquitin-like domain member 1 [Source:MGI Symbol;Acc:MGI:1927406]</t>
  </si>
  <si>
    <t>Rnf185</t>
  </si>
  <si>
    <t>ring finger protein 185 [Source:MGI Symbol;Acc:MGI:1922078]</t>
  </si>
  <si>
    <t>Tsnax</t>
  </si>
  <si>
    <t>translin-associated factor X [Source:MGI Symbol;Acc:MGI:1855672]</t>
  </si>
  <si>
    <t>Gm40893</t>
  </si>
  <si>
    <t>predicted gene, 40893 [Source:MGI Symbol;Acc:MGI:5623778]</t>
  </si>
  <si>
    <t>Kcnk6</t>
  </si>
  <si>
    <t>potassium inwardly-rectifying channel, subfamily K, member 6 [Source:MGI Symbol;Acc:MGI:1891291]</t>
  </si>
  <si>
    <t>Rundc1</t>
  </si>
  <si>
    <t>RUN domain containing 1 [Source:MGI Symbol;Acc:MGI:2144506]</t>
  </si>
  <si>
    <t>Thap3</t>
  </si>
  <si>
    <t>THAP domain containing, apoptosis associated protein 3 [Source:MGI Symbol;Acc:MGI:1917126]</t>
  </si>
  <si>
    <t>Gcdh</t>
  </si>
  <si>
    <t>glutaryl-Coenzyme A dehydrogenase [Source:MGI Symbol;Acc:MGI:104541]</t>
  </si>
  <si>
    <t>Sugp2</t>
  </si>
  <si>
    <t>SURP and G patch domain containing 2 [Source:MGI Symbol;Acc:MGI:2678085]</t>
  </si>
  <si>
    <t>Tmem141</t>
  </si>
  <si>
    <t>transmembrane protein 141 [Source:MGI Symbol;Acc:MGI:1098773]</t>
  </si>
  <si>
    <t>Crebzf</t>
  </si>
  <si>
    <t>CREB/ATF bZIP transcription factor [Source:MGI Symbol;Acc:MGI:2675296]</t>
  </si>
  <si>
    <t>Cep295</t>
  </si>
  <si>
    <t>centrosomal protein 295 [Source:MGI Symbol;Acc:MGI:2442521]</t>
  </si>
  <si>
    <t>Pomp</t>
  </si>
  <si>
    <t>proteasome maturation protein [Source:MGI Symbol;Acc:MGI:1913787]</t>
  </si>
  <si>
    <t>Zmym6</t>
  </si>
  <si>
    <t>zinc finger, MYM-type 6 [Source:MGI Symbol;Acc:MGI:106505]</t>
  </si>
  <si>
    <t>Myo19</t>
  </si>
  <si>
    <t>myosin XIX [Source:MGI Symbol;Acc:MGI:1913446]</t>
  </si>
  <si>
    <t>Sall3</t>
  </si>
  <si>
    <t>spalt like transcription factor 3 [Source:MGI Symbol;Acc:MGI:109295]</t>
  </si>
  <si>
    <t>Smim26</t>
  </si>
  <si>
    <t>small integral membrane protein 26 [Source:MGI Symbol;Acc:MGI:2685407]</t>
  </si>
  <si>
    <t>Sf1</t>
  </si>
  <si>
    <t>splicing factor 1 [Source:MGI Symbol;Acc:MGI:1095403]</t>
  </si>
  <si>
    <t>Tbpl1</t>
  </si>
  <si>
    <t>TATA box binding protein-like 1 [Source:MGI Symbol;Acc:MGI:1339946]</t>
  </si>
  <si>
    <t>Cdkl3</t>
  </si>
  <si>
    <t>cyclin-dependent kinase-like 3 [Source:MGI Symbol;Acc:MGI:2388268]</t>
  </si>
  <si>
    <t>Cenpa</t>
  </si>
  <si>
    <t>centromere protein A [Source:MGI Symbol;Acc:MGI:88375]</t>
  </si>
  <si>
    <t>Rwdd4a</t>
  </si>
  <si>
    <t>RWD domain containing 4A [Source:MGI Symbol;Acc:MGI:2681000]</t>
  </si>
  <si>
    <t>Agl</t>
  </si>
  <si>
    <t>amylo-1,6-glucosidase, 4-alpha-glucanotransferase [Source:MGI Symbol;Acc:MGI:1924809]</t>
  </si>
  <si>
    <t>Tbc1d22a</t>
  </si>
  <si>
    <t>TBC1 domain family, member 22a [Source:MGI Symbol;Acc:MGI:1289265]</t>
  </si>
  <si>
    <t>Gm364</t>
  </si>
  <si>
    <t>predicted gene 364 [Source:MGI Symbol;Acc:MGI:2685210]</t>
  </si>
  <si>
    <t>Bbip1</t>
  </si>
  <si>
    <t>BBSome interacting protein 1 [Source:MGI Symbol;Acc:MGI:1913610]</t>
  </si>
  <si>
    <t>Cops3</t>
  </si>
  <si>
    <t>COP9 signalosome subunit 3 [Source:MGI Symbol;Acc:MGI:1349409]</t>
  </si>
  <si>
    <t>Lta4h</t>
  </si>
  <si>
    <t>leukotriene A4 hydrolase [Source:MGI Symbol;Acc:MGI:96836]</t>
  </si>
  <si>
    <t>Gm11574</t>
  </si>
  <si>
    <t>predicted gene 11574 [Source:MGI Symbol;Acc:MGI:3705166]</t>
  </si>
  <si>
    <t>Gpsm1</t>
  </si>
  <si>
    <t>G-protein signalling modulator 1 (AGS3-like, C. elegans) [Source:MGI Symbol;Acc:MGI:1915089]</t>
  </si>
  <si>
    <t>Dlgap5</t>
  </si>
  <si>
    <t>DLG associated protein 5 [Source:MGI Symbol;Acc:MGI:2183453]</t>
  </si>
  <si>
    <t>Cpsf3</t>
  </si>
  <si>
    <t>cleavage and polyadenylation specificity factor 3 [Source:MGI Symbol;Acc:MGI:1859328]</t>
  </si>
  <si>
    <t>Yipf5</t>
  </si>
  <si>
    <t>Yip1 domain family, member 5 [Source:MGI Symbol;Acc:MGI:1914430]</t>
  </si>
  <si>
    <t>Vwa8</t>
  </si>
  <si>
    <t>von Willebrand factor A domain containing 8 [Source:MGI Symbol;Acc:MGI:1919008]</t>
  </si>
  <si>
    <t>Noc2l</t>
  </si>
  <si>
    <t>NOC2 like nucleolar associated transcriptional repressor [Source:MGI Symbol;Acc:MGI:1931051]</t>
  </si>
  <si>
    <t>Card6</t>
  </si>
  <si>
    <t>caspase recruitment domain family, member 6 [Source:MGI Symbol;Acc:MGI:3032959]</t>
  </si>
  <si>
    <t>Fkbp4</t>
  </si>
  <si>
    <t>FK506 binding protein 4 [Source:MGI Symbol;Acc:MGI:95543]</t>
  </si>
  <si>
    <t>Tspo</t>
  </si>
  <si>
    <t>translocator protein [Source:MGI Symbol;Acc:MGI:88222]</t>
  </si>
  <si>
    <t>Eef1a1</t>
  </si>
  <si>
    <t>eukaryotic translation elongation factor 1 alpha 1 [Source:MGI Symbol;Acc:MGI:1096881]</t>
  </si>
  <si>
    <t>Fam173a</t>
  </si>
  <si>
    <t>family with sequence similarity 173, member A [Source:MGI Symbol;Acc:MGI:2384888]</t>
  </si>
  <si>
    <t>Lst1</t>
  </si>
  <si>
    <t>leukocyte specific transcript 1 [Source:MGI Symbol;Acc:MGI:1096324]</t>
  </si>
  <si>
    <t>Fam110a</t>
  </si>
  <si>
    <t>family with sequence similarity 110, member A [Source:MGI Symbol;Acc:MGI:1921097]</t>
  </si>
  <si>
    <t>CAAA01118383.1</t>
  </si>
  <si>
    <t>dehydrogenase/reductase (SDR family) X chromosome [Source:NCBI gene;Acc:236082]</t>
  </si>
  <si>
    <t>Mnd1</t>
  </si>
  <si>
    <t>meiotic nuclear divisions 1 [Source:MGI Symbol;Acc:MGI:1924165]</t>
  </si>
  <si>
    <t>Alg12</t>
  </si>
  <si>
    <t>asparagine-linked glycosylation 12 (alpha-1,6-mannosyltransferase) [Source:MGI Symbol;Acc:MGI:2385025]</t>
  </si>
  <si>
    <t>Usp46</t>
  </si>
  <si>
    <t>ubiquitin specific peptidase 46 [Source:MGI Symbol;Acc:MGI:1916977]</t>
  </si>
  <si>
    <t>2900041M22Rik</t>
  </si>
  <si>
    <t>RIKEN cDNA 2900041M22 gene [Source:MGI Symbol;Acc:MGI:1925653]</t>
  </si>
  <si>
    <t>Dennd2d</t>
  </si>
  <si>
    <t>DENN/MADD domain containing 2D [Source:MGI Symbol;Acc:MGI:2181193]</t>
  </si>
  <si>
    <t>Ddx28</t>
  </si>
  <si>
    <t>DEAD (Asp-Glu-Ala-Asp) box polypeptide 28 [Source:MGI Symbol;Acc:MGI:1919236]</t>
  </si>
  <si>
    <t>Rabggta</t>
  </si>
  <si>
    <t>Rab geranylgeranyl transferase, a subunit [Source:MGI Symbol;Acc:MGI:1860443]</t>
  </si>
  <si>
    <t>Akt3</t>
  </si>
  <si>
    <t>thymoma viral proto-oncogene 3 [Source:MGI Symbol;Acc:MGI:1345147]</t>
  </si>
  <si>
    <t>Foxk1</t>
  </si>
  <si>
    <t>forkhead box K1 [Source:MGI Symbol;Acc:MGI:1347488]</t>
  </si>
  <si>
    <t>Eri3</t>
  </si>
  <si>
    <t>exoribonuclease 3 [Source:MGI Symbol;Acc:MGI:2153887]</t>
  </si>
  <si>
    <t>Chp1</t>
  </si>
  <si>
    <t>calcineurin-like EF hand protein 1 [Source:MGI Symbol;Acc:MGI:1927185]</t>
  </si>
  <si>
    <t>Spic</t>
  </si>
  <si>
    <t>Spi-C transcription factor (Spi-1/PU.1 related) [Source:MGI Symbol;Acc:MGI:1341168]</t>
  </si>
  <si>
    <t>A230005M16Rik</t>
  </si>
  <si>
    <t>RIKEN cDNA A230005M16 gene [Source:MGI Symbol;Acc:MGI:3603401]</t>
  </si>
  <si>
    <t>2700029L08Rik</t>
  </si>
  <si>
    <t>RIKEN cDNA 2700029L08 gene [Source:MGI Symbol;Acc:MGI:1924056]</t>
  </si>
  <si>
    <t>Spef2</t>
  </si>
  <si>
    <t>sperm flagellar 2 [Source:MGI Symbol;Acc:MGI:2443727]</t>
  </si>
  <si>
    <t>Notch4</t>
  </si>
  <si>
    <t>notch 4 [Source:MGI Symbol;Acc:MGI:107471]</t>
  </si>
  <si>
    <t>Slc16a1</t>
  </si>
  <si>
    <t>solute carrier family 16 (monocarboxylic acid transporters), member 1 [Source:MGI Symbol;Acc:MGI:106013]</t>
  </si>
  <si>
    <t>Pdxk</t>
  </si>
  <si>
    <t>pyridoxal (pyridoxine, vitamin B6) kinase [Source:MGI Symbol;Acc:MGI:1351869]</t>
  </si>
  <si>
    <t>Mcts2</t>
  </si>
  <si>
    <t>malignant T cell amplified sequence 2 [Source:MGI Symbol;Acc:MGI:1913655]</t>
  </si>
  <si>
    <t>Mrps9</t>
  </si>
  <si>
    <t>mitochondrial ribosomal protein S9 [Source:MGI Symbol;Acc:MGI:1916777]</t>
  </si>
  <si>
    <t>Copg2</t>
  </si>
  <si>
    <t>coatomer protein complex, subunit gamma 2 [Source:MGI Symbol;Acc:MGI:1858683]</t>
  </si>
  <si>
    <t>Zfp408</t>
  </si>
  <si>
    <t>zinc finger protein 408 [Source:MGI Symbol;Acc:MGI:2685857]</t>
  </si>
  <si>
    <t>Dync2li1</t>
  </si>
  <si>
    <t>dynein cytoplasmic 2 light intermediate chain 1 [Source:MGI Symbol;Acc:MGI:1913996]</t>
  </si>
  <si>
    <t>Ice2</t>
  </si>
  <si>
    <t>interactor of little elongation complex ELL subunit 2 [Source:MGI Symbol;Acc:MGI:2135947]</t>
  </si>
  <si>
    <t>Ankrd11</t>
  </si>
  <si>
    <t>ankyrin repeat domain 11 [Source:MGI Symbol;Acc:MGI:1924337]</t>
  </si>
  <si>
    <t>AC139347.1</t>
  </si>
  <si>
    <t>zinc finger protein 75a (ZNF75A) pseudogene</t>
  </si>
  <si>
    <t>unitary_pseudogene</t>
  </si>
  <si>
    <t>Slc35e3</t>
  </si>
  <si>
    <t>solute carrier family 35, member E3 [Source:MGI Symbol;Acc:MGI:2448489]</t>
  </si>
  <si>
    <t>Ncoa3</t>
  </si>
  <si>
    <t>nuclear receptor coactivator 3 [Source:MGI Symbol;Acc:MGI:1276535]</t>
  </si>
  <si>
    <t>Ccdc171</t>
  </si>
  <si>
    <t>coiled-coil domain containing 171 [Source:MGI Symbol;Acc:MGI:1922152]</t>
  </si>
  <si>
    <t>Serf1</t>
  </si>
  <si>
    <t>small EDRK-rich factor 1 [Source:MGI Symbol;Acc:MGI:1337114]</t>
  </si>
  <si>
    <t>Airn</t>
  </si>
  <si>
    <t>antisense Igf2r RNA [Source:MGI Symbol;Acc:MGI:1353471]</t>
  </si>
  <si>
    <t>Elk4</t>
  </si>
  <si>
    <t>ELK4, member of ETS oncogene family [Source:MGI Symbol;Acc:MGI:102853]</t>
  </si>
  <si>
    <t>Tbc1d12</t>
  </si>
  <si>
    <t>TBC1D12: TBC1 domain family, member 12 [Source:MGI Symbol;Acc:MGI:2384803]</t>
  </si>
  <si>
    <t>Ndor1</t>
  </si>
  <si>
    <t>NADPH dependent diflavin oxidoreductase 1 [Source:MGI Symbol;Acc:MGI:1926047]</t>
  </si>
  <si>
    <t>Dmac2l</t>
  </si>
  <si>
    <t>distal membrane arm assembly complex 2 like [Source:MGI Symbol;Acc:MGI:1915305]</t>
  </si>
  <si>
    <t>Sf3a2</t>
  </si>
  <si>
    <t>splicing factor 3a, subunit 2 [Source:MGI Symbol;Acc:MGI:104912]</t>
  </si>
  <si>
    <t>St3gal2</t>
  </si>
  <si>
    <t>ST3 beta-galactoside alpha-2,3-sialyltransferase 2 [Source:MGI Symbol;Acc:MGI:99427]</t>
  </si>
  <si>
    <t>Clpp</t>
  </si>
  <si>
    <t>caseinolytic mitochondrial matrix peptidase proteolytic subunit [Source:MGI Symbol;Acc:MGI:1858213]</t>
  </si>
  <si>
    <t>Gm27624</t>
  </si>
  <si>
    <t>predicted gene, 27624 [Source:MGI Symbol;Acc:MGI:5531006]</t>
  </si>
  <si>
    <t>Zmynd11</t>
  </si>
  <si>
    <t>zinc finger, MYND domain containing 11 [Source:MGI Symbol;Acc:MGI:1913755]</t>
  </si>
  <si>
    <t>Cnot1</t>
  </si>
  <si>
    <t>CCR4-NOT transcription complex, subunit 1 [Source:MGI Symbol;Acc:MGI:2442402]</t>
  </si>
  <si>
    <t>Zfp182</t>
  </si>
  <si>
    <t>zinc finger protein 182 [Source:MGI Symbol;Acc:MGI:2442220]</t>
  </si>
  <si>
    <t>Gm20498</t>
  </si>
  <si>
    <t>predicted gene 20498 [Source:MGI Symbol;Acc:MGI:5141963]</t>
  </si>
  <si>
    <t>Mboat7</t>
  </si>
  <si>
    <t>membrane bound O-acyltransferase domain containing 7 [Source:MGI Symbol;Acc:MGI:1924832]</t>
  </si>
  <si>
    <t>Pnpla2</t>
  </si>
  <si>
    <t>patatin-like phospholipase domain containing 2 [Source:MGI Symbol;Acc:MGI:1914103]</t>
  </si>
  <si>
    <t>Ankrd40</t>
  </si>
  <si>
    <t>ankyrin repeat domain 40 [Source:MGI Symbol;Acc:MGI:1918702]</t>
  </si>
  <si>
    <t>Wdr26</t>
  </si>
  <si>
    <t>WD repeat domain 26 [Source:MGI Symbol;Acc:MGI:1923825]</t>
  </si>
  <si>
    <t>Cbll1</t>
  </si>
  <si>
    <t>Casitas B-lineage lymphoma-like 1 [Source:MGI Symbol;Acc:MGI:2144842]</t>
  </si>
  <si>
    <t>Kdm5b</t>
  </si>
  <si>
    <t>lysine (K)-specific demethylase 5B [Source:MGI Symbol;Acc:MGI:1922855]</t>
  </si>
  <si>
    <t>Ppie</t>
  </si>
  <si>
    <t>peptidylprolyl isomerase E (cyclophilin E) [Source:MGI Symbol;Acc:MGI:1917118]</t>
  </si>
  <si>
    <t>Plpp7</t>
  </si>
  <si>
    <t>phospholipid phosphatase 7 (inactive) [Source:MGI Symbol;Acc:MGI:2445183]</t>
  </si>
  <si>
    <t>Lipt2</t>
  </si>
  <si>
    <t>lipoyl(octanoyl) transferase 2 (putative) [Source:MGI Symbol;Acc:MGI:1914414]</t>
  </si>
  <si>
    <t>9130221H12Rik</t>
  </si>
  <si>
    <t>RIKEN cDNA 9130221H12 gene [Source:MGI Symbol;Acc:MGI:1924374]</t>
  </si>
  <si>
    <t>Arhgdib</t>
  </si>
  <si>
    <t>Rho, GDP dissociation inhibitor (GDI) beta [Source:MGI Symbol;Acc:MGI:101940]</t>
  </si>
  <si>
    <t>Trub2</t>
  </si>
  <si>
    <t>TruB pseudouridine (psi) synthase family member 2 [Source:MGI Symbol;Acc:MGI:2442186]</t>
  </si>
  <si>
    <t>8030453O22Rik</t>
  </si>
  <si>
    <t>RIKEN cDNA 8030453O22 gene [Source:MGI Symbol;Acc:MGI:1924459]</t>
  </si>
  <si>
    <t>Gm23201</t>
  </si>
  <si>
    <t>predicted gene, 23201 [Source:MGI Symbol;Acc:MGI:5452978]</t>
  </si>
  <si>
    <t>Ccdc120</t>
  </si>
  <si>
    <t>coiled-coil domain containing 120 [Source:MGI Symbol;Acc:MGI:1859619]</t>
  </si>
  <si>
    <t>Mical2</t>
  </si>
  <si>
    <t>microtubule associated monooxygenase, calponin and LIM domain containing 2 [Source:MGI Symbol;Acc:MGI:2444947]</t>
  </si>
  <si>
    <t>Lrrc57</t>
  </si>
  <si>
    <t>leucine rich repeat containing 57 [Source:MGI Symbol;Acc:MGI:1913856]</t>
  </si>
  <si>
    <t>Vrk1</t>
  </si>
  <si>
    <t>vaccinia related kinase 1 [Source:MGI Symbol;Acc:MGI:1261847]</t>
  </si>
  <si>
    <t>Timm29</t>
  </si>
  <si>
    <t>translocase of inner mitochondrial membrane 29 [Source:MGI Symbol;Acc:MGI:1917023]</t>
  </si>
  <si>
    <t>1810014B01Rik</t>
  </si>
  <si>
    <t>RIKEN cDNA 1810014B01 gene [Source:MGI Symbol;Acc:MGI:1913513]</t>
  </si>
  <si>
    <t>Gm25555</t>
  </si>
  <si>
    <t>predicted gene, 25555 [Source:MGI Symbol;Acc:MGI:5455332]</t>
  </si>
  <si>
    <t>rRNA</t>
  </si>
  <si>
    <t>Ctps</t>
  </si>
  <si>
    <t>cytidine 5'-triphosphate synthase [Source:MGI Symbol;Acc:MGI:1858304]</t>
  </si>
  <si>
    <t>Hsd17b7</t>
  </si>
  <si>
    <t>hydroxysteroid (17-beta) dehydrogenase 7 [Source:MGI Symbol;Acc:MGI:1330808]</t>
  </si>
  <si>
    <t>Zfp110</t>
  </si>
  <si>
    <t>zinc finger protein 110 [Source:MGI Symbol;Acc:MGI:1890378]</t>
  </si>
  <si>
    <t>Zfp108</t>
  </si>
  <si>
    <t>zinc finger protein 108 [Source:MGI Symbol;Acc:MGI:1891198]</t>
  </si>
  <si>
    <t>Smg5</t>
  </si>
  <si>
    <t>Smg-5 homolog, nonsense mediated mRNA decay factor (C. elegans) [Source:MGI Symbol;Acc:MGI:2447364]</t>
  </si>
  <si>
    <t>P2rx7</t>
  </si>
  <si>
    <t>purinergic receptor P2X, ligand-gated ion channel, 7 [Source:MGI Symbol;Acc:MGI:1339957]</t>
  </si>
  <si>
    <t>Fau</t>
  </si>
  <si>
    <t>Finkel-Biskis-Reilly murine sarcoma virus (FBR-MuSV) ubiquitously expressed (fox derived) [Source:MGI Symbol;Acc:MGI:102547]</t>
  </si>
  <si>
    <t>Virma</t>
  </si>
  <si>
    <t>vir like m6A methyltransferase associated [Source:MGI Symbol;Acc:MGI:1913435]</t>
  </si>
  <si>
    <t>Mlxipl</t>
  </si>
  <si>
    <t>MLX interacting protein-like [Source:MGI Symbol;Acc:MGI:1927999]</t>
  </si>
  <si>
    <t>Bcat2</t>
  </si>
  <si>
    <t>branched chain aminotransferase 2, mitochondrial [Source:MGI Symbol;Acc:MGI:1276534]</t>
  </si>
  <si>
    <t>Gm20671</t>
  </si>
  <si>
    <t>predicted gene 20671 [Source:MGI Symbol;Acc:MGI:5313118]</t>
  </si>
  <si>
    <t>Rpl8</t>
  </si>
  <si>
    <t>ribosomal protein L8 [Source:MGI Symbol;Acc:MGI:1350927]</t>
  </si>
  <si>
    <t>Gm44135</t>
  </si>
  <si>
    <t>predicted gene, 44135 [Source:MGI Symbol;Acc:MGI:5690527]</t>
  </si>
  <si>
    <t>Nprl2</t>
  </si>
  <si>
    <t>NPR2 like, GATOR1 complex subunit [Source:MGI Symbol;Acc:MGI:1914482]</t>
  </si>
  <si>
    <t>Cenpl</t>
  </si>
  <si>
    <t>centromere protein L [Source:MGI Symbol;Acc:MGI:1917704]</t>
  </si>
  <si>
    <t>Fastkd5</t>
  </si>
  <si>
    <t>FAST kinase domains 5 [Source:MGI Symbol;Acc:MGI:2139469]</t>
  </si>
  <si>
    <t>Mtmr1</t>
  </si>
  <si>
    <t>myotubularin related protein 1 [Source:MGI Symbol;Acc:MGI:1858271]</t>
  </si>
  <si>
    <t>Cep55</t>
  </si>
  <si>
    <t>centrosomal protein 55 [Source:MGI Symbol;Acc:MGI:1921357]</t>
  </si>
  <si>
    <t>Rsl1</t>
  </si>
  <si>
    <t>regulator of sex limited protein 1 [Source:MGI Symbol;Acc:MGI:3044162]</t>
  </si>
  <si>
    <t>Mcph1</t>
  </si>
  <si>
    <t>microcephaly, primary autosomal recessive 1 [Source:MGI Symbol;Acc:MGI:2443308]</t>
  </si>
  <si>
    <t>Ube2m</t>
  </si>
  <si>
    <t>ubiquitin-conjugating enzyme E2M [Source:MGI Symbol;Acc:MGI:108278]</t>
  </si>
  <si>
    <t>Syt7</t>
  </si>
  <si>
    <t>synaptotagmin VII [Source:MGI Symbol;Acc:MGI:1859545]</t>
  </si>
  <si>
    <t>Gsta3</t>
  </si>
  <si>
    <t>glutathione S-transferase, alpha 3 [Source:MGI Symbol;Acc:MGI:95856]</t>
  </si>
  <si>
    <t>Cc2d1b</t>
  </si>
  <si>
    <t>coiled-coil and C2 domain containing 1B [Source:MGI Symbol;Acc:MGI:2443076]</t>
  </si>
  <si>
    <t>Gm20257</t>
  </si>
  <si>
    <t>predicted gene, 20257 [Source:MGI Symbol;Acc:MGI:5012442]</t>
  </si>
  <si>
    <t>Fam162a</t>
  </si>
  <si>
    <t>family with sequence similarity 162, member A [Source:MGI Symbol;Acc:MGI:1917436]</t>
  </si>
  <si>
    <t>Nkx1-1</t>
  </si>
  <si>
    <t>NK1 homeobox 1 [Source:MGI Symbol;Acc:MGI:109346]</t>
  </si>
  <si>
    <t>Cdk15</t>
  </si>
  <si>
    <t>cyclin-dependent kinase 15 [Source:MGI Symbol;Acc:MGI:3583944]</t>
  </si>
  <si>
    <t>Eif3j2</t>
  </si>
  <si>
    <t>eukaryotic translation initiation factor 3, subunit J2 [Source:MGI Symbol;Acc:MGI:3704486]</t>
  </si>
  <si>
    <t>Tmem184c</t>
  </si>
  <si>
    <t>transmembrane protein 184C [Source:MGI Symbol;Acc:MGI:2384562]</t>
  </si>
  <si>
    <t>Mfsd1</t>
  </si>
  <si>
    <t>major facilitator superfamily domain containing 1 [Source:MGI Symbol;Acc:MGI:1914118]</t>
  </si>
  <si>
    <t>Nosip</t>
  </si>
  <si>
    <t>nitric oxide synthase interacting protein [Source:MGI Symbol;Acc:MGI:1913644]</t>
  </si>
  <si>
    <t>Atp6v1d</t>
  </si>
  <si>
    <t>ATPase, H+ transporting, lysosomal V1 subunit D [Source:MGI Symbol;Acc:MGI:1921084]</t>
  </si>
  <si>
    <t>Myh11</t>
  </si>
  <si>
    <t>myosin, heavy polypeptide 11, smooth muscle [Source:MGI Symbol;Acc:MGI:102643]</t>
  </si>
  <si>
    <t>Fbxo46</t>
  </si>
  <si>
    <t>F-box protein 46 [Source:MGI Symbol;Acc:MGI:2444918]</t>
  </si>
  <si>
    <t>Med25</t>
  </si>
  <si>
    <t>mediator complex subunit 25 [Source:MGI Symbol;Acc:MGI:1922863]</t>
  </si>
  <si>
    <t>Gfi1b</t>
  </si>
  <si>
    <t>growth factor independent 1B [Source:MGI Symbol;Acc:MGI:1276578]</t>
  </si>
  <si>
    <t>Dnal1</t>
  </si>
  <si>
    <t>dynein, axonemal, light chain 1 [Source:MGI Symbol;Acc:MGI:1921462]</t>
  </si>
  <si>
    <t>Kdm1b</t>
  </si>
  <si>
    <t>lysine (K)-specific demethylase 1B [Source:MGI Symbol;Acc:MGI:2145261]</t>
  </si>
  <si>
    <t>Chac2</t>
  </si>
  <si>
    <t>ChaC, cation transport regulator 2 [Source:MGI Symbol;Acc:MGI:1915294]</t>
  </si>
  <si>
    <t>Tmem86b</t>
  </si>
  <si>
    <t>transmembrane protein 86B [Source:MGI Symbol;Acc:MGI:1915505]</t>
  </si>
  <si>
    <t>Tomm22</t>
  </si>
  <si>
    <t>translocase of outer mitochondrial membrane 22 [Source:MGI Symbol;Acc:MGI:2450248]</t>
  </si>
  <si>
    <t>Zfp772</t>
  </si>
  <si>
    <t>zinc finger protein 772 [Source:MGI Symbol;Acc:MGI:2385265]</t>
  </si>
  <si>
    <t>Ccdc58</t>
  </si>
  <si>
    <t>coiled-coil domain containing 58 [Source:MGI Symbol;Acc:MGI:2146423]</t>
  </si>
  <si>
    <t>AI506816</t>
  </si>
  <si>
    <t>expressed sequence AI506816 [Source:MGI Symbol;Acc:MGI:2140929]</t>
  </si>
  <si>
    <t>Polr3h</t>
  </si>
  <si>
    <t>polymerase (RNA) III (DNA directed) polypeptide H [Source:MGI Symbol;Acc:MGI:1926179]</t>
  </si>
  <si>
    <t>Smchd1</t>
  </si>
  <si>
    <t>SMC hinge domain containing 1 [Source:MGI Symbol;Acc:MGI:1921605]</t>
  </si>
  <si>
    <t>Pip4p2</t>
  </si>
  <si>
    <t>phosphatidylinositol-4,5-bisphosphate 4-phosphatase 2 [Source:MGI Symbol;Acc:MGI:1919769]</t>
  </si>
  <si>
    <t>Fut11</t>
  </si>
  <si>
    <t>fucosyltransferase 11 [Source:MGI Symbol;Acc:MGI:1920318]</t>
  </si>
  <si>
    <t>Smim20</t>
  </si>
  <si>
    <t>small integral membrane protein 20 [Source:MGI Symbol;Acc:MGI:1913528]</t>
  </si>
  <si>
    <t>Gm23833</t>
  </si>
  <si>
    <t>predicted gene, 23833 [Source:MGI Symbol;Acc:MGI:5453610]</t>
  </si>
  <si>
    <t>Rps3a1</t>
  </si>
  <si>
    <t>ribosomal protein S3A1 [Source:MGI Symbol;Acc:MGI:1202063]</t>
  </si>
  <si>
    <t>Asb3</t>
  </si>
  <si>
    <t>ankyrin repeat and SOCS box-containing 3 [Source:MGI Symbol;Acc:MGI:1929749]</t>
  </si>
  <si>
    <t>Pcna-ps2</t>
  </si>
  <si>
    <t>proliferating cell nuclear antigen pseudogene 2 [Source:MGI Symbol;Acc:MGI:97505]</t>
  </si>
  <si>
    <t>1500015A07Rik</t>
  </si>
  <si>
    <t>RIKEN cDNA 1500015A07 gene [Source:MGI Symbol;Acc:MGI:1916232]</t>
  </si>
  <si>
    <t>Lmbrd1</t>
  </si>
  <si>
    <t>LMBR1 domain containing 1 [Source:MGI Symbol;Acc:MGI:1915671]</t>
  </si>
  <si>
    <t>Gcfc2</t>
  </si>
  <si>
    <t>GC-rich sequence DNA binding factor 2 [Source:MGI Symbol;Acc:MGI:2141656]</t>
  </si>
  <si>
    <t>Cks1b</t>
  </si>
  <si>
    <t>CDC28 protein kinase 1b [Source:MGI Symbol;Acc:MGI:1889208]</t>
  </si>
  <si>
    <t>Dusp27</t>
  </si>
  <si>
    <t>dual specificity phosphatase 27 (putative) [Source:MGI Symbol;Acc:MGI:2685055]</t>
  </si>
  <si>
    <t>Trim67</t>
  </si>
  <si>
    <t>tripartite motif-containing 67 [Source:MGI Symbol;Acc:MGI:3045323]</t>
  </si>
  <si>
    <t>Serpinb1c</t>
  </si>
  <si>
    <t>serine (or cysteine) peptidase inhibitor, clade B, member 1c [Source:MGI Symbol;Acc:MGI:2445363]</t>
  </si>
  <si>
    <t>Rfxank</t>
  </si>
  <si>
    <t>regulatory factor X-associated ankyrin-containing protein [Source:MGI Symbol;Acc:MGI:1333865]</t>
  </si>
  <si>
    <t>Ip6k1</t>
  </si>
  <si>
    <t>inositol hexaphosphate kinase 1 [Source:MGI Symbol;Acc:MGI:1351633]</t>
  </si>
  <si>
    <t>Bak1</t>
  </si>
  <si>
    <t>BCL2-antagonist/killer 1 [Source:MGI Symbol;Acc:MGI:1097161]</t>
  </si>
  <si>
    <t>Ythdf2</t>
  </si>
  <si>
    <t>YTH N6-methyladenosine RNA binding protein 2 [Source:MGI Symbol;Acc:MGI:2444233]</t>
  </si>
  <si>
    <t>2410004B18Rik</t>
  </si>
  <si>
    <t>RIKEN cDNA 2410004B18 gene [Source:MGI Symbol;Acc:MGI:1913671]</t>
  </si>
  <si>
    <t>Rpl15</t>
  </si>
  <si>
    <t>ribosomal protein L15 [Source:MGI Symbol;Acc:MGI:1913730]</t>
  </si>
  <si>
    <t>Plekhg4</t>
  </si>
  <si>
    <t>pleckstrin homology domain containing, family G (with RhoGef domain) member 4 [Source:MGI Symbol;Acc:MGI:2142544]</t>
  </si>
  <si>
    <t>Rps6ka2</t>
  </si>
  <si>
    <t>ribosomal protein S6 kinase, polypeptide 2 [Source:MGI Symbol;Acc:MGI:1342290]</t>
  </si>
  <si>
    <t>Creb3</t>
  </si>
  <si>
    <t>cAMP responsive element binding protein 3 [Source:MGI Symbol;Acc:MGI:99946]</t>
  </si>
  <si>
    <t>Mafa</t>
  </si>
  <si>
    <t>v-maf musculoaponeurotic fibrosarcoma oncogene family, protein A (avian) [Source:MGI Symbol;Acc:MGI:2673307]</t>
  </si>
  <si>
    <t>Zbtb18</t>
  </si>
  <si>
    <t>zinc finger and BTB domain containing 18 [Source:MGI Symbol;Acc:MGI:1353609]</t>
  </si>
  <si>
    <t>Decr2</t>
  </si>
  <si>
    <t>2-4-dienoyl-Coenzyme A reductase 2, peroxisomal [Source:MGI Symbol;Acc:MGI:1347059]</t>
  </si>
  <si>
    <t>Sart3</t>
  </si>
  <si>
    <t>squamous cell carcinoma antigen recognized by T cells 3 [Source:MGI Symbol;Acc:MGI:1858230]</t>
  </si>
  <si>
    <t>Lonrf1</t>
  </si>
  <si>
    <t>LON peptidase N-terminal domain and ring finger 1 [Source:MGI Symbol;Acc:MGI:3609241]</t>
  </si>
  <si>
    <t>Abhd14a</t>
  </si>
  <si>
    <t>abhydrolase domain containing 14A [Source:MGI Symbol;Acc:MGI:1915894]</t>
  </si>
  <si>
    <t>1110004F10Rik</t>
  </si>
  <si>
    <t>RIKEN cDNA 1110004F10 gene [Source:MGI Symbol;Acc:MGI:1929274]</t>
  </si>
  <si>
    <t>Fcrls</t>
  </si>
  <si>
    <t>Fc receptor-like S, scavenger receptor [Source:MGI Symbol;Acc:MGI:1933397]</t>
  </si>
  <si>
    <t>C1qbp</t>
  </si>
  <si>
    <t>complement component 1, q subcomponent binding protein [Source:MGI Symbol;Acc:MGI:1194505]</t>
  </si>
  <si>
    <t>Epc2</t>
  </si>
  <si>
    <t>enhancer of polycomb homolog 2 [Source:MGI Symbol;Acc:MGI:1278321]</t>
  </si>
  <si>
    <t>2310061I04Rik</t>
  </si>
  <si>
    <t>RIKEN cDNA 2310061I04 gene [Source:MGI Symbol;Acc:MGI:1916912]</t>
  </si>
  <si>
    <t>Cnih4</t>
  </si>
  <si>
    <t>cornichon family AMPA receptor auxiliary protein 4 [Source:MGI Symbol;Acc:MGI:1925828]</t>
  </si>
  <si>
    <t>Meak7</t>
  </si>
  <si>
    <t>MTOR associated protein , eak-7 homolog [Source:MGI Symbol;Acc:MGI:1921597]</t>
  </si>
  <si>
    <t>Timm9</t>
  </si>
  <si>
    <t>translocase of inner mitochondrial membrane 9 [Source:MGI Symbol;Acc:MGI:1353436]</t>
  </si>
  <si>
    <t>Ubr1</t>
  </si>
  <si>
    <t>ubiquitin protein ligase E3 component n-recognin 1 [Source:MGI Symbol;Acc:MGI:1277977]</t>
  </si>
  <si>
    <t>Vipas39</t>
  </si>
  <si>
    <t>VPS33B interacting protein, apical-basolateral polarity regulator, spe-39 homolog [Source:MGI Symbol;Acc:MGI:2144805]</t>
  </si>
  <si>
    <t>Gm42868</t>
  </si>
  <si>
    <t>predicted gene 42868 [Source:MGI Symbol;Acc:MGI:5663005]</t>
  </si>
  <si>
    <t>Frs3</t>
  </si>
  <si>
    <t>fibroblast growth factor receptor substrate 3 [Source:MGI Symbol;Acc:MGI:2135965]</t>
  </si>
  <si>
    <t>Wrn</t>
  </si>
  <si>
    <t>Werner syndrome RecQ like helicase [Source:MGI Symbol;Acc:MGI:109635]</t>
  </si>
  <si>
    <t>Wdr83</t>
  </si>
  <si>
    <t>WD repeat domain containing 83 [Source:MGI Symbol;Acc:MGI:1915086]</t>
  </si>
  <si>
    <t>Cklf</t>
  </si>
  <si>
    <t>chemokine-like factor [Source:MGI Symbol;Acc:MGI:1922708]</t>
  </si>
  <si>
    <t>Clybl</t>
  </si>
  <si>
    <t>citrate lyase beta like [Source:MGI Symbol;Acc:MGI:1916884]</t>
  </si>
  <si>
    <t>Plpp5</t>
  </si>
  <si>
    <t>phospholipid phosphatase 5 [Source:MGI Symbol;Acc:MGI:1919160]</t>
  </si>
  <si>
    <t>Pip5k1c</t>
  </si>
  <si>
    <t>phosphatidylinositol-4-phosphate 5-kinase, type 1 gamma [Source:MGI Symbol;Acc:MGI:1298224]</t>
  </si>
  <si>
    <t>Slc29a3</t>
  </si>
  <si>
    <t>solute carrier family 29 (nucleoside transporters), member 3 [Source:MGI Symbol;Acc:MGI:1918529]</t>
  </si>
  <si>
    <t>Nr2f1</t>
  </si>
  <si>
    <t>nuclear receptor subfamily 2, group F, member 1 [Source:MGI Symbol;Acc:MGI:1352451]</t>
  </si>
  <si>
    <t>Terf1</t>
  </si>
  <si>
    <t>telomeric repeat binding factor 1 [Source:MGI Symbol;Acc:MGI:109634]</t>
  </si>
  <si>
    <t>Hotairm1</t>
  </si>
  <si>
    <t>Hoxa transcript antisense RNA, myeloid-specific 1 [Source:MGI Symbol;Acc:MGI:3705155]</t>
  </si>
  <si>
    <t>Slc24a3</t>
  </si>
  <si>
    <t>solute carrier family 24 (sodium/potassium/calcium exchanger), member 3 [Source:MGI Symbol;Acc:MGI:2137513]</t>
  </si>
  <si>
    <t>Fam189b</t>
  </si>
  <si>
    <t>family with sequence similarity 189, member B [Source:MGI Symbol;Acc:MGI:1915771]</t>
  </si>
  <si>
    <t>Gm20634</t>
  </si>
  <si>
    <t>predicted gene 20634 [Source:MGI Symbol;Acc:MGI:5313081]</t>
  </si>
  <si>
    <t>Selenom</t>
  </si>
  <si>
    <t>selenoprotein M [Source:MGI Symbol;Acc:MGI:2149786]</t>
  </si>
  <si>
    <t>AW146154</t>
  </si>
  <si>
    <t>expressed sequence AW146154 [Source:MGI Symbol;Acc:MGI:2142212]</t>
  </si>
  <si>
    <t>Rnaseh2b</t>
  </si>
  <si>
    <t>ribonuclease H2, subunit B [Source:MGI Symbol;Acc:MGI:1914403]</t>
  </si>
  <si>
    <t>Ctso</t>
  </si>
  <si>
    <t>cathepsin O [Source:MGI Symbol;Acc:MGI:2139628]</t>
  </si>
  <si>
    <t>Sema4a</t>
  </si>
  <si>
    <t>sema domain, immunoglobulin domain (Ig), transmembrane domain (TM) and short cytoplasmic domain, (semaphorin) 4A [Source:MGI Symbol;Acc:MGI:107560]</t>
  </si>
  <si>
    <t>Trp53bp2</t>
  </si>
  <si>
    <t>transformation related protein 53 binding protein 2 [Source:MGI Symbol;Acc:MGI:2138319]</t>
  </si>
  <si>
    <t>R3hcc1</t>
  </si>
  <si>
    <t>R3H domain and coiled-coil containing 1 [Source:MGI Symbol;Acc:MGI:1919093]</t>
  </si>
  <si>
    <t>Pde4d</t>
  </si>
  <si>
    <t>phosphodiesterase 4D, cAMP specific [Source:MGI Symbol;Acc:MGI:99555]</t>
  </si>
  <si>
    <t>Nudt3</t>
  </si>
  <si>
    <t>nudix (nucleotide diphosphate linked moiety X)-type motif 3 [Source:MGI Symbol;Acc:MGI:1928484]</t>
  </si>
  <si>
    <t>Lamp2</t>
  </si>
  <si>
    <t>lysosomal-associated membrane protein 2 [Source:MGI Symbol;Acc:MGI:96748]</t>
  </si>
  <si>
    <t>Dennd1c</t>
  </si>
  <si>
    <t>DENN/MADD domain containing 1C [Source:MGI Symbol;Acc:MGI:1918035]</t>
  </si>
  <si>
    <t>Rps5</t>
  </si>
  <si>
    <t>ribosomal protein S5 [Source:MGI Symbol;Acc:MGI:1097682]</t>
  </si>
  <si>
    <t>Tmem60</t>
  </si>
  <si>
    <t>transmembrane protein 60 [Source:MGI Symbol;Acc:MGI:2673965]</t>
  </si>
  <si>
    <t>Ralgapb</t>
  </si>
  <si>
    <t>Ral GTPase activating protein, beta subunit (non-catalytic) [Source:MGI Symbol;Acc:MGI:2444531]</t>
  </si>
  <si>
    <t>Rbbp7</t>
  </si>
  <si>
    <t>retinoblastoma binding protein 7, chromatin remodeling factor [Source:MGI Symbol;Acc:MGI:1194910]</t>
  </si>
  <si>
    <t>Usp31</t>
  </si>
  <si>
    <t>ubiquitin specific peptidase 31 [Source:MGI Symbol;Acc:MGI:1923429]</t>
  </si>
  <si>
    <t>Fermt3</t>
  </si>
  <si>
    <t>fermitin family member 3 [Source:MGI Symbol;Acc:MGI:2147790]</t>
  </si>
  <si>
    <t>Fktn</t>
  </si>
  <si>
    <t>fukutin [Source:MGI Symbol;Acc:MGI:2179507]</t>
  </si>
  <si>
    <t>Rnd2</t>
  </si>
  <si>
    <t>Rho family GTPase 2 [Source:MGI Symbol;Acc:MGI:1338755]</t>
  </si>
  <si>
    <t>Tmem9</t>
  </si>
  <si>
    <t>transmembrane protein 9 [Source:MGI Symbol;Acc:MGI:1913491]</t>
  </si>
  <si>
    <t>Ube2cbp</t>
  </si>
  <si>
    <t>ubiquitin-conjugating enzyme E2C binding protein [Source:MGI Symbol;Acc:MGI:1917598]</t>
  </si>
  <si>
    <t>Tm2d2</t>
  </si>
  <si>
    <t>TM2 domain containing 2 [Source:MGI Symbol;Acc:MGI:1916992]</t>
  </si>
  <si>
    <t>Fzd2</t>
  </si>
  <si>
    <t>frizzled class receptor 2 [Source:MGI Symbol;Acc:MGI:1888513]</t>
  </si>
  <si>
    <t>Tmem120a</t>
  </si>
  <si>
    <t>transmembrane protein 120A [Source:MGI Symbol;Acc:MGI:2686991]</t>
  </si>
  <si>
    <t>Dhrs13os</t>
  </si>
  <si>
    <t>dehydrogenase/reductase (SDR family) member 13, opposite strand [Source:MGI Symbol;Acc:MGI:1924478]</t>
  </si>
  <si>
    <t>Gab3</t>
  </si>
  <si>
    <t>growth factor receptor bound protein 2-associated protein 3 [Source:MGI Symbol;Acc:MGI:2387324]</t>
  </si>
  <si>
    <t>Ccr10</t>
  </si>
  <si>
    <t>chemokine (C-C motif) receptor 10 [Source:MGI Symbol;Acc:MGI:1096320]</t>
  </si>
  <si>
    <t>Flt1</t>
  </si>
  <si>
    <t>FMS-like tyrosine kinase 1 [Source:MGI Symbol;Acc:MGI:95558]</t>
  </si>
  <si>
    <t>Primpol</t>
  </si>
  <si>
    <t>primase and polymerase (DNA-directed) [Source:MGI Symbol;Acc:MGI:3603756]</t>
  </si>
  <si>
    <t>Actr5</t>
  </si>
  <si>
    <t>ARP5 actin-related protein 5 [Source:MGI Symbol;Acc:MGI:1924748]</t>
  </si>
  <si>
    <t>Sdha</t>
  </si>
  <si>
    <t>succinate dehydrogenase complex, subunit A, flavoprotein (Fp) [Source:MGI Symbol;Acc:MGI:1914195]</t>
  </si>
  <si>
    <t>Gm17034</t>
  </si>
  <si>
    <t>predicted gene 17034 [Source:MGI Symbol;Acc:MGI:4937861]</t>
  </si>
  <si>
    <t>Dlx4</t>
  </si>
  <si>
    <t>distal-less homeobox 4 [Source:MGI Symbol;Acc:MGI:94904]</t>
  </si>
  <si>
    <t>Arhgef12</t>
  </si>
  <si>
    <t>Rho guanine nucleotide exchange factor (GEF) 12 [Source:MGI Symbol;Acc:MGI:1916882]</t>
  </si>
  <si>
    <t>Tmem175</t>
  </si>
  <si>
    <t>transmembrane protein 175 [Source:MGI Symbol;Acc:MGI:1919642]</t>
  </si>
  <si>
    <t>Mob3b</t>
  </si>
  <si>
    <t>MOB kinase activator 3B [Source:MGI Symbol;Acc:MGI:2664539]</t>
  </si>
  <si>
    <t>Gm26712</t>
  </si>
  <si>
    <t>predicted gene, 26712 [Source:MGI Symbol;Acc:MGI:5477206]</t>
  </si>
  <si>
    <t>Cabp4</t>
  </si>
  <si>
    <t>calcium binding protein 4 [Source:MGI Symbol;Acc:MGI:1920910]</t>
  </si>
  <si>
    <t>Dnajc15</t>
  </si>
  <si>
    <t>DnaJ heat shock protein family (Hsp40) member C15 [Source:MGI Symbol;Acc:MGI:1913398]</t>
  </si>
  <si>
    <t>Gm36401</t>
  </si>
  <si>
    <t>predicted gene, 36401 [Source:MGI Symbol;Acc:MGI:5595560]</t>
  </si>
  <si>
    <t>Nrg2</t>
  </si>
  <si>
    <t>neuregulin 2 [Source:MGI Symbol;Acc:MGI:1098246]</t>
  </si>
  <si>
    <t>Pdlim2</t>
  </si>
  <si>
    <t>PDZ and LIM domain 2 [Source:MGI Symbol;Acc:MGI:2384850]</t>
  </si>
  <si>
    <t>Cab39l</t>
  </si>
  <si>
    <t>calcium binding protein 39-like [Source:MGI Symbol;Acc:MGI:1914081]</t>
  </si>
  <si>
    <t>Cyba</t>
  </si>
  <si>
    <t>cytochrome b-245, alpha polypeptide [Source:MGI Symbol;Acc:MGI:1316658]</t>
  </si>
  <si>
    <t>Tomm20</t>
  </si>
  <si>
    <t>translocase of outer mitochondrial membrane 20 [Source:MGI Symbol;Acc:MGI:1915202]</t>
  </si>
  <si>
    <t>Elac1</t>
  </si>
  <si>
    <t>elaC ribonuclease Z 1 [Source:MGI Symbol;Acc:MGI:1890495]</t>
  </si>
  <si>
    <t>Pdap1</t>
  </si>
  <si>
    <t>PDGFA associated protein 1 [Source:MGI Symbol;Acc:MGI:2448536]</t>
  </si>
  <si>
    <t>Gm5526</t>
  </si>
  <si>
    <t>predicted pseudogene 5526 [Source:MGI Symbol;Acc:MGI:3643066]</t>
  </si>
  <si>
    <t>Mtln</t>
  </si>
  <si>
    <t>mitoregulin [Source:MGI Symbol;Acc:MGI:1915135]</t>
  </si>
  <si>
    <t>Ap3m1</t>
  </si>
  <si>
    <t>adaptor-related protein complex 3, mu 1 subunit [Source:MGI Symbol;Acc:MGI:1929212]</t>
  </si>
  <si>
    <t>Atat1</t>
  </si>
  <si>
    <t>alpha tubulin acetyltransferase 1 [Source:MGI Symbol;Acc:MGI:1913869]</t>
  </si>
  <si>
    <t>Ogfod2</t>
  </si>
  <si>
    <t>2-oxoglutarate and iron-dependent oxygenase domain containing 2 [Source:MGI Symbol;Acc:MGI:1913877]</t>
  </si>
  <si>
    <t>Polr1b</t>
  </si>
  <si>
    <t>polymerase (RNA) I polypeptide B [Source:MGI Symbol;Acc:MGI:108014]</t>
  </si>
  <si>
    <t>Zbtb11</t>
  </si>
  <si>
    <t>zinc finger and BTB domain containing 11 [Source:MGI Symbol;Acc:MGI:2443876]</t>
  </si>
  <si>
    <t>Nek8</t>
  </si>
  <si>
    <t>NIMA (never in mitosis gene a)-related expressed kinase 8 [Source:MGI Symbol;Acc:MGI:1890646]</t>
  </si>
  <si>
    <t>H1f2</t>
  </si>
  <si>
    <t>H1.2 linker histone, cluster member [Source:MGI Symbol;Acc:MGI:1931526]</t>
  </si>
  <si>
    <t>Farp2</t>
  </si>
  <si>
    <t>FERM, RhoGEF and pleckstrin domain protein 2 [Source:MGI Symbol;Acc:MGI:2385126]</t>
  </si>
  <si>
    <t>Aars2</t>
  </si>
  <si>
    <t>alanyl-tRNA synthetase 2, mitochondrial [Source:MGI Symbol;Acc:MGI:2681839]</t>
  </si>
  <si>
    <t>Stkld1</t>
  </si>
  <si>
    <t>serine/threonine kinase-like domain containing 1 [Source:MGI Symbol;Acc:MGI:2685557]</t>
  </si>
  <si>
    <t>Adamtsl4</t>
  </si>
  <si>
    <t>ADAMTS-like 4 [Source:MGI Symbol;Acc:MGI:2389008]</t>
  </si>
  <si>
    <t>Zkscan1</t>
  </si>
  <si>
    <t>zinc finger with KRAB and SCAN domains 1 [Source:MGI Symbol;Acc:MGI:1921820]</t>
  </si>
  <si>
    <t>Brd4</t>
  </si>
  <si>
    <t>bromodomain containing 4 [Source:MGI Symbol;Acc:MGI:1888520]</t>
  </si>
  <si>
    <t>Mrpl40</t>
  </si>
  <si>
    <t>mitochondrial ribosomal protein L40 [Source:MGI Symbol;Acc:MGI:1332635]</t>
  </si>
  <si>
    <t>Fbxo30</t>
  </si>
  <si>
    <t>F-box protein 30 [Source:MGI Symbol;Acc:MGI:1919115]</t>
  </si>
  <si>
    <t>Idh3b</t>
  </si>
  <si>
    <t>isocitrate dehydrogenase 3 (NAD+) beta [Source:MGI Symbol;Acc:MGI:2158650]</t>
  </si>
  <si>
    <t>Slc30a9</t>
  </si>
  <si>
    <t>solute carrier family 30 (zinc transporter), member 9 [Source:MGI Symbol;Acc:MGI:1923690]</t>
  </si>
  <si>
    <t>Snrpd3</t>
  </si>
  <si>
    <t>small nuclear ribonucleoprotein D3 [Source:MGI Symbol;Acc:MGI:1914582]</t>
  </si>
  <si>
    <t>Spag1</t>
  </si>
  <si>
    <t>sperm associated antigen 1 [Source:MGI Symbol;Acc:MGI:1349387]</t>
  </si>
  <si>
    <t>Exoc8</t>
  </si>
  <si>
    <t>exocyst complex component 8 [Source:MGI Symbol;Acc:MGI:2142527]</t>
  </si>
  <si>
    <t>Stn1</t>
  </si>
  <si>
    <t>STN1, CST complex subunit [Source:MGI Symbol;Acc:MGI:1915581]</t>
  </si>
  <si>
    <t>Tecpr1</t>
  </si>
  <si>
    <t>tectonin beta-propeller repeat containing 1 [Source:MGI Symbol;Acc:MGI:1917631]</t>
  </si>
  <si>
    <t>Tspan31</t>
  </si>
  <si>
    <t>tetraspanin 31 [Source:MGI Symbol;Acc:MGI:1914375]</t>
  </si>
  <si>
    <t>Trim12a</t>
  </si>
  <si>
    <t>tripartite motif-containing 12A [Source:MGI Symbol;Acc:MGI:1923931]</t>
  </si>
  <si>
    <t>Atp6v1a</t>
  </si>
  <si>
    <t>ATPase, H+ transporting, lysosomal V1 subunit A [Source:MGI Symbol;Acc:MGI:1201780]</t>
  </si>
  <si>
    <t>Acta2</t>
  </si>
  <si>
    <t>actin, alpha 2, smooth muscle, aorta [Source:MGI Symbol;Acc:MGI:87909]</t>
  </si>
  <si>
    <t>Eif2b2</t>
  </si>
  <si>
    <t>eukaryotic translation initiation factor 2B, subunit 2 beta [Source:MGI Symbol;Acc:MGI:2145118]</t>
  </si>
  <si>
    <t>Il18bp</t>
  </si>
  <si>
    <t>interleukin 18 binding protein [Source:MGI Symbol;Acc:MGI:1333800]</t>
  </si>
  <si>
    <t>Ptpro</t>
  </si>
  <si>
    <t>protein tyrosine phosphatase, receptor type, O [Source:MGI Symbol;Acc:MGI:1097152]</t>
  </si>
  <si>
    <t>Atg14</t>
  </si>
  <si>
    <t>autophagy related 14 [Source:MGI Symbol;Acc:MGI:1261775]</t>
  </si>
  <si>
    <t>Snap47</t>
  </si>
  <si>
    <t>synaptosomal-associated protein, 47 [Source:MGI Symbol;Acc:MGI:1915076]</t>
  </si>
  <si>
    <t>Rad17</t>
  </si>
  <si>
    <t>RAD17 checkpoint clamp loader component [Source:MGI Symbol;Acc:MGI:1333807]</t>
  </si>
  <si>
    <t>Tmem101</t>
  </si>
  <si>
    <t>transmembrane protein 101 [Source:MGI Symbol;Acc:MGI:1923797]</t>
  </si>
  <si>
    <t>Naa50</t>
  </si>
  <si>
    <t>N(alpha)-acetyltransferase 50, NatE catalytic subunit [Source:MGI Symbol;Acc:MGI:1919367]</t>
  </si>
  <si>
    <t>Coq2</t>
  </si>
  <si>
    <t>coenzyme Q2 4-hydroxybenzoate polyprenyltransferase [Source:MGI Symbol;Acc:MGI:1919133]</t>
  </si>
  <si>
    <t>Gm12020</t>
  </si>
  <si>
    <t>predicted gene 12020 [Source:MGI Symbol;Acc:MGI:3650978]</t>
  </si>
  <si>
    <t>Lrwd1</t>
  </si>
  <si>
    <t>leucine-rich repeats and WD repeat domain containing 1 [Source:MGI Symbol;Acc:MGI:1918985]</t>
  </si>
  <si>
    <t>Gm5831</t>
  </si>
  <si>
    <t>predicted gene 5831 [Source:MGI Symbol;Acc:MGI:3779529]</t>
  </si>
  <si>
    <t>Itm2c</t>
  </si>
  <si>
    <t>integral membrane protein 2C [Source:MGI Symbol;Acc:MGI:1927594]</t>
  </si>
  <si>
    <t>Bex6</t>
  </si>
  <si>
    <t>brain expressed family member 6 [Source:MGI Symbol;Acc:MGI:3588247]</t>
  </si>
  <si>
    <t>Nes</t>
  </si>
  <si>
    <t>nestin [Source:MGI Symbol;Acc:MGI:101784]</t>
  </si>
  <si>
    <t>Dcaf17</t>
  </si>
  <si>
    <t>DDB1 and CUL4 associated factor 17 [Source:MGI Symbol;Acc:MGI:1923013]</t>
  </si>
  <si>
    <t>Gm43513</t>
  </si>
  <si>
    <t>predicted gene 43513 [Source:MGI Symbol;Acc:MGI:5663650]</t>
  </si>
  <si>
    <t>Prpf39</t>
  </si>
  <si>
    <t>pre-mRNA processing factor 39 [Source:MGI Symbol;Acc:MGI:104602]</t>
  </si>
  <si>
    <t>Kdm4c</t>
  </si>
  <si>
    <t>lysine (K)-specific demethylase 4C [Source:MGI Symbol;Acc:MGI:1924054]</t>
  </si>
  <si>
    <t>Plod3</t>
  </si>
  <si>
    <t>procollagen-lysine, 2-oxoglutarate 5-dioxygenase 3 [Source:MGI Symbol;Acc:MGI:1347008]</t>
  </si>
  <si>
    <t>Ppib</t>
  </si>
  <si>
    <t>peptidylprolyl isomerase B [Source:MGI Symbol;Acc:MGI:97750]</t>
  </si>
  <si>
    <t>Psma7</t>
  </si>
  <si>
    <t>proteasome subunit alpha 7 [Source:MGI Symbol;Acc:MGI:1347070]</t>
  </si>
  <si>
    <t>Ubxn8</t>
  </si>
  <si>
    <t>UBX domain protein 8 [Source:MGI Symbol;Acc:MGI:1337129]</t>
  </si>
  <si>
    <t>Idua</t>
  </si>
  <si>
    <t>iduronidase, alpha-L [Source:MGI Symbol;Acc:MGI:96418]</t>
  </si>
  <si>
    <t>Gm38357</t>
  </si>
  <si>
    <t>predicted gene, 38357 [Source:MGI Symbol;Acc:MGI:5611585]</t>
  </si>
  <si>
    <t>Ppil2</t>
  </si>
  <si>
    <t>peptidylprolyl isomerase (cyclophilin)-like 2 [Source:MGI Symbol;Acc:MGI:2447857]</t>
  </si>
  <si>
    <t>Gm42878</t>
  </si>
  <si>
    <t>predicted gene 42878 [Source:MGI Symbol;Acc:MGI:5663015]</t>
  </si>
  <si>
    <t>Gm36445</t>
  </si>
  <si>
    <t>predicted gene, 36445 [Source:MGI Symbol;Acc:MGI:5595604]</t>
  </si>
  <si>
    <t>Mapkapk5</t>
  </si>
  <si>
    <t>MAP kinase-activated protein kinase 5 [Source:MGI Symbol;Acc:MGI:1333110]</t>
  </si>
  <si>
    <t>Creg2</t>
  </si>
  <si>
    <t>cellular repressor of E1A-stimulated genes 2 [Source:MGI Symbol;Acc:MGI:1928333]</t>
  </si>
  <si>
    <t>Wbp1l</t>
  </si>
  <si>
    <t>WW domain binding protein 1 like [Source:MGI Symbol;Acc:MGI:107577]</t>
  </si>
  <si>
    <t>Caml</t>
  </si>
  <si>
    <t>calcium modulating ligand [Source:MGI Symbol;Acc:MGI:104728]</t>
  </si>
  <si>
    <t>Nipsnap1</t>
  </si>
  <si>
    <t>nipsnap homolog 1 [Source:MGI Symbol;Acc:MGI:1278344]</t>
  </si>
  <si>
    <t>Wiz</t>
  </si>
  <si>
    <t>widely-interspaced zinc finger motifs [Source:MGI Symbol;Acc:MGI:1332638]</t>
  </si>
  <si>
    <t>Slc7a6</t>
  </si>
  <si>
    <t>solute carrier family 7 (cationic amino acid transporter, y+ system), member 6 [Source:MGI Symbol;Acc:MGI:2142598]</t>
  </si>
  <si>
    <t>Zfp467</t>
  </si>
  <si>
    <t>zinc finger protein 467 [Source:MGI Symbol;Acc:MGI:1916160]</t>
  </si>
  <si>
    <t>Trib3</t>
  </si>
  <si>
    <t>tribbles pseudokinase 3 [Source:MGI Symbol;Acc:MGI:1345675]</t>
  </si>
  <si>
    <t>Pan3</t>
  </si>
  <si>
    <t>PAN3 poly(A) specific ribonuclease subunit [Source:MGI Symbol;Acc:MGI:1919837]</t>
  </si>
  <si>
    <t>Med14</t>
  </si>
  <si>
    <t>mediator complex subunit 14 [Source:MGI Symbol;Acc:MGI:1349442]</t>
  </si>
  <si>
    <t>Tnfrsf10b</t>
  </si>
  <si>
    <t>tumor necrosis factor receptor superfamily, member 10b [Source:MGI Symbol;Acc:MGI:1341090]</t>
  </si>
  <si>
    <t>Zbtb46</t>
  </si>
  <si>
    <t>zinc finger and BTB domain containing 46 [Source:MGI Symbol;Acc:MGI:1919397]</t>
  </si>
  <si>
    <t>Cwc25</t>
  </si>
  <si>
    <t>CWC25 spliceosome-associated protein [Source:MGI Symbol;Acc:MGI:1914730]</t>
  </si>
  <si>
    <t>Snx30</t>
  </si>
  <si>
    <t>sorting nexin family member 30 [Source:MGI Symbol;Acc:MGI:2443882]</t>
  </si>
  <si>
    <t>Arhgef4</t>
  </si>
  <si>
    <t>Rho guanine nucleotide exchange factor (GEF) 4 [Source:MGI Symbol;Acc:MGI:2442507]</t>
  </si>
  <si>
    <t>Mecr</t>
  </si>
  <si>
    <t>mitochondrial trans-2-enoyl-CoA reductase [Source:MGI Symbol;Acc:MGI:1349441]</t>
  </si>
  <si>
    <t>Tmem273</t>
  </si>
  <si>
    <t>transmembrane protein 273 [Source:MGI Symbol;Acc:MGI:1916319]</t>
  </si>
  <si>
    <t>Txndc15</t>
  </si>
  <si>
    <t>thioredoxin domain containing 15 [Source:MGI Symbol;Acc:MGI:1916922]</t>
  </si>
  <si>
    <t>Zfp316</t>
  </si>
  <si>
    <t>zinc finger protein 316 [Source:MGI Symbol;Acc:MGI:1860402]</t>
  </si>
  <si>
    <t>Arfgap3</t>
  </si>
  <si>
    <t>ADP-ribosylation factor GTPase activating protein 3 [Source:MGI Symbol;Acc:MGI:1913501]</t>
  </si>
  <si>
    <t>Pds5a</t>
  </si>
  <si>
    <t>PDS5 cohesin associated factor A [Source:MGI Symbol;Acc:MGI:1918771]</t>
  </si>
  <si>
    <t>Gm8493</t>
  </si>
  <si>
    <t>predicted gene 8493 [Source:MGI Symbol;Acc:MGI:3779800]</t>
  </si>
  <si>
    <t>Gm29707</t>
  </si>
  <si>
    <t>predicted gene, 29707 [Source:MGI Symbol;Acc:MGI:5588866]</t>
  </si>
  <si>
    <t>Il12rb2</t>
  </si>
  <si>
    <t>interleukin 12 receptor, beta 2 [Source:MGI Symbol;Acc:MGI:1270861]</t>
  </si>
  <si>
    <t>Gm37285</t>
  </si>
  <si>
    <t>predicted gene, 37285 [Source:MGI Symbol;Acc:MGI:5610513]</t>
  </si>
  <si>
    <t>Osbpl1a</t>
  </si>
  <si>
    <t>oxysterol binding protein-like 1A [Source:MGI Symbol;Acc:MGI:1927551]</t>
  </si>
  <si>
    <t>Gm19385</t>
  </si>
  <si>
    <t>predicted gene, 19385 [Source:MGI Symbol;Acc:MGI:5011570]</t>
  </si>
  <si>
    <t>Baz2a</t>
  </si>
  <si>
    <t>bromodomain adjacent to zinc finger domain, 2A [Source:MGI Symbol;Acc:MGI:2151152]</t>
  </si>
  <si>
    <t>Tfcp2</t>
  </si>
  <si>
    <t>transcription factor CP2 [Source:MGI Symbol;Acc:MGI:98509]</t>
  </si>
  <si>
    <t>Eef1b2</t>
  </si>
  <si>
    <t>eukaryotic translation elongation factor 1 beta 2 [Source:MGI Symbol;Acc:MGI:1929520]</t>
  </si>
  <si>
    <t>Rbak</t>
  </si>
  <si>
    <t>RB-associated KRAB zinc finger [Source:MGI Symbol;Acc:MGI:1927369]</t>
  </si>
  <si>
    <t>Fbxl6</t>
  </si>
  <si>
    <t>F-box and leucine-rich repeat protein 6 [Source:MGI Symbol;Acc:MGI:1354705]</t>
  </si>
  <si>
    <t>Gm14494</t>
  </si>
  <si>
    <t>predicted gene 14494 [Source:MGI Symbol;Acc:MGI:3704210]</t>
  </si>
  <si>
    <t>Rpl3</t>
  </si>
  <si>
    <t>ribosomal protein L3 [Source:MGI Symbol;Acc:MGI:1351605]</t>
  </si>
  <si>
    <t>Pop5</t>
  </si>
  <si>
    <t>processing of precursor 5, ribonuclease P/MRP family (S. cerevisiae) [Source:MGI Symbol;Acc:MGI:2151221]</t>
  </si>
  <si>
    <t>Fosb</t>
  </si>
  <si>
    <t>FBJ osteosarcoma oncogene B [Source:MGI Symbol;Acc:MGI:95575]</t>
  </si>
  <si>
    <t>1700030J22Rik</t>
  </si>
  <si>
    <t>RIKEN cDNA 1700030J22 gene [Source:MGI Symbol;Acc:MGI:1916778]</t>
  </si>
  <si>
    <t>Zfp428</t>
  </si>
  <si>
    <t>zinc finger protein 428 [Source:MGI Symbol;Acc:MGI:1916463]</t>
  </si>
  <si>
    <t>Hadhb</t>
  </si>
  <si>
    <t>hydroxyacyl-CoA dehydrogenase trifunctional multienzyme complex subunit beta [Source:MGI Symbol;Acc:MGI:2136381]</t>
  </si>
  <si>
    <t>Lrrc42</t>
  </si>
  <si>
    <t>leucine rich repeat containing 42 [Source:MGI Symbol;Acc:MGI:1925059]</t>
  </si>
  <si>
    <t>Bcdin3d</t>
  </si>
  <si>
    <t>BCDIN3 domain containing [Source:MGI Symbol;Acc:MGI:1922534]</t>
  </si>
  <si>
    <t>Tcf20</t>
  </si>
  <si>
    <t>transcription factor 20 [Source:MGI Symbol;Acc:MGI:108399]</t>
  </si>
  <si>
    <t>Gm29154</t>
  </si>
  <si>
    <t>predicted gene 29154 [Source:MGI Symbol;Acc:MGI:5579860]</t>
  </si>
  <si>
    <t>Pitpna</t>
  </si>
  <si>
    <t>phosphatidylinositol transfer protein, alpha [Source:MGI Symbol;Acc:MGI:99887]</t>
  </si>
  <si>
    <t>Sfxn5</t>
  </si>
  <si>
    <t>sideroflexin 5 [Source:MGI Symbol;Acc:MGI:2137681]</t>
  </si>
  <si>
    <t>Nat9</t>
  </si>
  <si>
    <t>N-acetyltransferase 9 (GCN5-related, putative) [Source:MGI Symbol;Acc:MGI:1913426]</t>
  </si>
  <si>
    <t>4933433H22Rik</t>
  </si>
  <si>
    <t>RIKEN cDNA 4933433H22 gene [Source:MGI Symbol;Acc:MGI:1921723]</t>
  </si>
  <si>
    <t>Gm20712</t>
  </si>
  <si>
    <t>predicted gene 20712 [Source:MGI Symbol;Acc:MGI:5313159]</t>
  </si>
  <si>
    <t>Dhcr7</t>
  </si>
  <si>
    <t>7-dehydrocholesterol reductase [Source:MGI Symbol;Acc:MGI:1298378]</t>
  </si>
  <si>
    <t>Kat7</t>
  </si>
  <si>
    <t>K(lysine) acetyltransferase 7 [Source:MGI Symbol;Acc:MGI:2182799]</t>
  </si>
  <si>
    <t>Ptgs2os</t>
  </si>
  <si>
    <t>prostaglandin-endoperoxide synthase 2, opposite strand [Source:MGI Symbol;Acc:MGI:2443180]</t>
  </si>
  <si>
    <t>Tbc1d10b</t>
  </si>
  <si>
    <t>TBC1 domain family, member 10b [Source:MGI Symbol;Acc:MGI:1915699]</t>
  </si>
  <si>
    <t>Cd2bp2</t>
  </si>
  <si>
    <t>CD2 cytoplasmic tail binding protein 2 [Source:MGI Symbol;Acc:MGI:1917483]</t>
  </si>
  <si>
    <t>C8g</t>
  </si>
  <si>
    <t>complement component 8, gamma polypeptide [Source:MGI Symbol;Acc:MGI:88237]</t>
  </si>
  <si>
    <t>Hirip3</t>
  </si>
  <si>
    <t>HIRA interacting protein 3 [Source:MGI Symbol;Acc:MGI:2142364]</t>
  </si>
  <si>
    <t>Pck2</t>
  </si>
  <si>
    <t>phosphoenolpyruvate carboxykinase 2 (mitochondrial) [Source:MGI Symbol;Acc:MGI:1860456]</t>
  </si>
  <si>
    <t>Sec22b</t>
  </si>
  <si>
    <t>SEC22 homolog B, vesicle trafficking protein [Source:MGI Symbol;Acc:MGI:1338759]</t>
  </si>
  <si>
    <t>Tia1</t>
  </si>
  <si>
    <t>cytotoxic granule-associated RNA binding protein 1 [Source:MGI Symbol;Acc:MGI:107914]</t>
  </si>
  <si>
    <t>Gm29397</t>
  </si>
  <si>
    <t>predicted gene 29397 [Source:MGI Symbol;Acc:MGI:5580103]</t>
  </si>
  <si>
    <t>Gm47218</t>
  </si>
  <si>
    <t>predicted gene, 47218 [Source:MGI Symbol;Acc:MGI:6096027]</t>
  </si>
  <si>
    <t>Guk1</t>
  </si>
  <si>
    <t>guanylate kinase 1 [Source:MGI Symbol;Acc:MGI:95871]</t>
  </si>
  <si>
    <t>Card19</t>
  </si>
  <si>
    <t>caspase recruitment domain family, member 19 [Source:MGI Symbol;Acc:MGI:1915730]</t>
  </si>
  <si>
    <t>Scx</t>
  </si>
  <si>
    <t>scleraxis [Source:MGI Symbol;Acc:MGI:102934]</t>
  </si>
  <si>
    <t>Usp30</t>
  </si>
  <si>
    <t>ubiquitin specific peptidase 30 [Source:MGI Symbol;Acc:MGI:2140991]</t>
  </si>
  <si>
    <t>Kifc1</t>
  </si>
  <si>
    <t>kinesin family member C1 [Source:MGI Symbol;Acc:MGI:109596]</t>
  </si>
  <si>
    <t>Ermp1</t>
  </si>
  <si>
    <t>endoplasmic reticulum metallopeptidase 1 [Source:MGI Symbol;Acc:MGI:106250]</t>
  </si>
  <si>
    <t>Zfp661</t>
  </si>
  <si>
    <t>zinc finger protein 661 [Source:MGI Symbol;Acc:MGI:1919430]</t>
  </si>
  <si>
    <t>Tmem240</t>
  </si>
  <si>
    <t>transmembrane protein 240 [Source:MGI Symbol;Acc:MGI:3648074]</t>
  </si>
  <si>
    <t>2410002F23Rik</t>
  </si>
  <si>
    <t>RIKEN cDNA 2410002F23 gene [Source:MGI Symbol;Acc:MGI:1914226]</t>
  </si>
  <si>
    <t>Srcin1</t>
  </si>
  <si>
    <t>SRC kinase signaling inhibitor 1 [Source:MGI Symbol;Acc:MGI:1933179]</t>
  </si>
  <si>
    <t>Cactin</t>
  </si>
  <si>
    <t>cactin, spliceosome C complex subunit [Source:MGI Symbol;Acc:MGI:1917562]</t>
  </si>
  <si>
    <t>Exosc1</t>
  </si>
  <si>
    <t>exosome component 1 [Source:MGI Symbol;Acc:MGI:1913833]</t>
  </si>
  <si>
    <t>Scoc</t>
  </si>
  <si>
    <t>short coiled-coil protein [Source:MGI Symbol;Acc:MGI:1927654]</t>
  </si>
  <si>
    <t>Erlin1</t>
  </si>
  <si>
    <t>ER lipid raft associated 1 [Source:MGI Symbol;Acc:MGI:2387613]</t>
  </si>
  <si>
    <t>Evi5l</t>
  </si>
  <si>
    <t>ecotropic viral integration site 5 like [Source:MGI Symbol;Acc:MGI:2442167]</t>
  </si>
  <si>
    <t>4921524J17Rik</t>
  </si>
  <si>
    <t>RIKEN cDNA 4921524J17 gene [Source:MGI Symbol;Acc:MGI:1913964]</t>
  </si>
  <si>
    <t>H2az1</t>
  </si>
  <si>
    <t>H2A.Z variant histone 1 [Source:MGI Symbol;Acc:MGI:1888388]</t>
  </si>
  <si>
    <t>Hras</t>
  </si>
  <si>
    <t>Harvey rat sarcoma virus oncogene [Source:MGI Symbol;Acc:MGI:96224]</t>
  </si>
  <si>
    <t>Sorbs1</t>
  </si>
  <si>
    <t>sorbin and SH3 domain containing 1 [Source:MGI Symbol;Acc:MGI:700014]</t>
  </si>
  <si>
    <t>Nudcd1</t>
  </si>
  <si>
    <t>NudC domain containing 1 [Source:MGI Symbol;Acc:MGI:1914679]</t>
  </si>
  <si>
    <t>Gm26725</t>
  </si>
  <si>
    <t>predicted gene, 26725 [Source:MGI Symbol;Acc:MGI:5477219]</t>
  </si>
  <si>
    <t>Tafa3</t>
  </si>
  <si>
    <t>TAFA chemokine like family member 3 [Source:MGI Symbol;Acc:MGI:3046463]</t>
  </si>
  <si>
    <t>Lyplal1</t>
  </si>
  <si>
    <t>lysophospholipase-like 1 [Source:MGI Symbol;Acc:MGI:2385115]</t>
  </si>
  <si>
    <t>Thg1l</t>
  </si>
  <si>
    <t>tRNA-histidine guanylyltransferase 1-like (S. cerevisiae) [Source:MGI Symbol;Acc:MGI:1913878]</t>
  </si>
  <si>
    <t>Eif2b4</t>
  </si>
  <si>
    <t>eukaryotic translation initiation factor 2B, subunit 4 delta [Source:MGI Symbol;Acc:MGI:95300]</t>
  </si>
  <si>
    <t>Ythdf3</t>
  </si>
  <si>
    <t>YTH N6-methyladenosine RNA binding protein 3 [Source:MGI Symbol;Acc:MGI:1918850]</t>
  </si>
  <si>
    <t>Hpx</t>
  </si>
  <si>
    <t>hemopexin [Source:MGI Symbol;Acc:MGI:105112]</t>
  </si>
  <si>
    <t>Polb</t>
  </si>
  <si>
    <t>polymerase (DNA directed), beta [Source:MGI Symbol;Acc:MGI:97740]</t>
  </si>
  <si>
    <t>7530414M10Rik</t>
  </si>
  <si>
    <t>RIKEN cDNA 7530414M10 gene [Source:MGI Symbol;Acc:MGI:2443906]</t>
  </si>
  <si>
    <t>Crebbp</t>
  </si>
  <si>
    <t>CREB binding protein [Source:MGI Symbol;Acc:MGI:1098280]</t>
  </si>
  <si>
    <t>Sec24d</t>
  </si>
  <si>
    <t>Sec24 related gene family, member D (S. cerevisiae) [Source:MGI Symbol;Acc:MGI:1916858]</t>
  </si>
  <si>
    <t>Maskbp3</t>
  </si>
  <si>
    <t>multiple ankyrin repeats single KH domain binding protein 3 [Source:MGI Symbol;Acc:MGI:3845902]</t>
  </si>
  <si>
    <t>Urgcp</t>
  </si>
  <si>
    <t>upregulator of cell proliferation [Source:MGI Symbol;Acc:MGI:1919296]</t>
  </si>
  <si>
    <t>Bag6</t>
  </si>
  <si>
    <t>BCL2-associated athanogene 6 [Source:MGI Symbol;Acc:MGI:1919439]</t>
  </si>
  <si>
    <t>Gm6542</t>
  </si>
  <si>
    <t>predicted gene 6542 [Source:MGI Symbol;Acc:MGI:3644649]</t>
  </si>
  <si>
    <t>Umad1</t>
  </si>
  <si>
    <t>UMAP1-MVP12 associated (UMA) domain containing 1 [Source:MGI Symbol;Acc:MGI:3840148]</t>
  </si>
  <si>
    <t>Ormdl3</t>
  </si>
  <si>
    <t>ORM1-like 3 (S. cerevisiae) [Source:MGI Symbol;Acc:MGI:1913862]</t>
  </si>
  <si>
    <t>N4bp2os</t>
  </si>
  <si>
    <t>NEDD4 binding protein 2, opposite strand [Source:MGI Symbol;Acc:MGI:1921484]</t>
  </si>
  <si>
    <t>G2e3</t>
  </si>
  <si>
    <t>G2/M-phase specific E3 ubiquitin ligase [Source:MGI Symbol;Acc:MGI:2444298]</t>
  </si>
  <si>
    <t>Pqlc3</t>
  </si>
  <si>
    <t>PQ loop repeat containing [Source:MGI Symbol;Acc:MGI:2444067]</t>
  </si>
  <si>
    <t>Trmt44</t>
  </si>
  <si>
    <t>tRNA methyltransferase 44 [Source:MGI Symbol;Acc:MGI:1926140]</t>
  </si>
  <si>
    <t>5530601H04Rik</t>
  </si>
  <si>
    <t>RIKEN cDNA 5530601H04 gene [Source:MGI Symbol;Acc:MGI:1918695]</t>
  </si>
  <si>
    <t>Myof</t>
  </si>
  <si>
    <t>myoferlin [Source:MGI Symbol;Acc:MGI:1919192]</t>
  </si>
  <si>
    <t>Hgf</t>
  </si>
  <si>
    <t>hepatocyte growth factor [Source:MGI Symbol;Acc:MGI:96079]</t>
  </si>
  <si>
    <t>Rps6</t>
  </si>
  <si>
    <t>ribosomal protein S6 [Source:MGI Symbol;Acc:MGI:98159]</t>
  </si>
  <si>
    <t>Plcd1</t>
  </si>
  <si>
    <t>phospholipase C, delta 1 [Source:MGI Symbol;Acc:MGI:97614]</t>
  </si>
  <si>
    <t>Trps1</t>
  </si>
  <si>
    <t>transcriptional repressor GATA binding 1 [Source:MGI Symbol;Acc:MGI:1927616]</t>
  </si>
  <si>
    <t>Cd200r2</t>
  </si>
  <si>
    <t>Cd200 receptor 2 [Source:MGI Symbol;Acc:MGI:3042847]</t>
  </si>
  <si>
    <t>Bad</t>
  </si>
  <si>
    <t>BCL2-associated agonist of cell death [Source:MGI Symbol;Acc:MGI:1096330]</t>
  </si>
  <si>
    <t>Klhl12</t>
  </si>
  <si>
    <t>kelch-like 12 [Source:MGI Symbol;Acc:MGI:2385619]</t>
  </si>
  <si>
    <t>Mib2</t>
  </si>
  <si>
    <t>mindbomb E3 ubiquitin protein ligase 2 [Source:MGI Symbol;Acc:MGI:2679684]</t>
  </si>
  <si>
    <t>Bcl2l12</t>
  </si>
  <si>
    <t>BCL2-like 12 (proline rich) [Source:MGI Symbol;Acc:MGI:1922986]</t>
  </si>
  <si>
    <t>Ppig</t>
  </si>
  <si>
    <t>peptidyl-prolyl isomerase G (cyclophilin G) [Source:MGI Symbol;Acc:MGI:2445173]</t>
  </si>
  <si>
    <t>C430042M11Rik</t>
  </si>
  <si>
    <t>RIKEN cDNA C430042M11 gene [Source:MGI Symbol;Acc:MGI:2443186]</t>
  </si>
  <si>
    <t>Plb1</t>
  </si>
  <si>
    <t>phospholipase B1 [Source:MGI Symbol;Acc:MGI:1922406]</t>
  </si>
  <si>
    <t>Gm16174</t>
  </si>
  <si>
    <t>predicted gene 16174 [Source:MGI Symbol;Acc:MGI:3801857]</t>
  </si>
  <si>
    <t>Rab3ip</t>
  </si>
  <si>
    <t>RAB3A interacting protein [Source:MGI Symbol;Acc:MGI:105933]</t>
  </si>
  <si>
    <t>Pogk</t>
  </si>
  <si>
    <t>pogo transposable element with KRAB domain [Source:MGI Symbol;Acc:MGI:1918842]</t>
  </si>
  <si>
    <t>Gfm2</t>
  </si>
  <si>
    <t>G elongation factor, mitochondrial 2 [Source:MGI Symbol;Acc:MGI:2444783]</t>
  </si>
  <si>
    <t>Bap1</t>
  </si>
  <si>
    <t>Brca1 associated protein 1 [Source:MGI Symbol;Acc:MGI:1206586]</t>
  </si>
  <si>
    <t>Szrd1</t>
  </si>
  <si>
    <t>SUZ RNA binding domain containing 1 [Source:MGI Symbol;Acc:MGI:1098672]</t>
  </si>
  <si>
    <t>Wls</t>
  </si>
  <si>
    <t>wntless WNT ligand secretion mediator [Source:MGI Symbol;Acc:MGI:1915401]</t>
  </si>
  <si>
    <t>Snora41</t>
  </si>
  <si>
    <t>small nucleolar RNA, H/ACA box 41 [Source:MGI Symbol;Acc:MGI:3819505]</t>
  </si>
  <si>
    <t>Zfhx3</t>
  </si>
  <si>
    <t>zinc finger homeobox 3 [Source:MGI Symbol;Acc:MGI:99948]</t>
  </si>
  <si>
    <t>Lrguk</t>
  </si>
  <si>
    <t>leucine-rich repeats and guanylate kinase domain containing [Source:MGI Symbol;Acc:MGI:1921604]</t>
  </si>
  <si>
    <t>Alpk2</t>
  </si>
  <si>
    <t>alpha-kinase 2 [Source:MGI Symbol;Acc:MGI:2449492]</t>
  </si>
  <si>
    <t>Cep120</t>
  </si>
  <si>
    <t>centrosomal protein 120 [Source:MGI Symbol;Acc:MGI:2147298]</t>
  </si>
  <si>
    <t>Tmem203</t>
  </si>
  <si>
    <t>transmembrane protein 203 [Source:MGI Symbol;Acc:MGI:2443597]</t>
  </si>
  <si>
    <t>Mtf2</t>
  </si>
  <si>
    <t>metal response element binding transcription factor 2 [Source:MGI Symbol;Acc:MGI:105050]</t>
  </si>
  <si>
    <t>Gm6093</t>
  </si>
  <si>
    <t>predicted gene 6093 [Source:MGI Symbol;Acc:MGI:3648840]</t>
  </si>
  <si>
    <t>Gpalpp1</t>
  </si>
  <si>
    <t>GPALPP motifs containing 1 [Source:MGI Symbol;Acc:MGI:1914717]</t>
  </si>
  <si>
    <t>Hnrnpdl</t>
  </si>
  <si>
    <t>heterogeneous nuclear ribonucleoprotein D-like [Source:MGI Symbol;Acc:MGI:1355299]</t>
  </si>
  <si>
    <t>Ccpg1os</t>
  </si>
  <si>
    <t>cell cycle progression 1, opposite strand [Source:MGI Symbol;Acc:MGI:3648770]</t>
  </si>
  <si>
    <t>Lrrc49</t>
  </si>
  <si>
    <t>leucine rich repeat containing 49 [Source:MGI Symbol;Acc:MGI:2442689]</t>
  </si>
  <si>
    <t>Zfp442</t>
  </si>
  <si>
    <t>zinc finger protein 442 [Source:MGI Symbol;Acc:MGI:3651999]</t>
  </si>
  <si>
    <t>Hnrnpul2</t>
  </si>
  <si>
    <t>heterogeneous nuclear ribonucleoprotein U-like 2 [Source:MGI Symbol;Acc:MGI:1915943]</t>
  </si>
  <si>
    <t>Gm39460</t>
  </si>
  <si>
    <t>predicted gene, 39460 [Source:MGI Symbol;Acc:MGI:5622345]</t>
  </si>
  <si>
    <t>Gm45091</t>
  </si>
  <si>
    <t>predicted gene 45091 [Source:MGI Symbol;Acc:MGI:5753667]</t>
  </si>
  <si>
    <t>Acaa1a</t>
  </si>
  <si>
    <t>acetyl-Coenzyme A acyltransferase 1A [Source:MGI Symbol;Acc:MGI:2148491]</t>
  </si>
  <si>
    <t>Adprhl2</t>
  </si>
  <si>
    <t>ADP-ribosylhydrolase like 2 [Source:MGI Symbol;Acc:MGI:2140364]</t>
  </si>
  <si>
    <t>Spata13</t>
  </si>
  <si>
    <t>spermatogenesis associated 13 [Source:MGI Symbol;Acc:MGI:104838]</t>
  </si>
  <si>
    <t>Dexi</t>
  </si>
  <si>
    <t>dexamethasone-induced transcript [Source:MGI Symbol;Acc:MGI:1926236]</t>
  </si>
  <si>
    <t>Gm14681</t>
  </si>
  <si>
    <t>predicted gene 14681 [Source:MGI Symbol;Acc:MGI:3705734]</t>
  </si>
  <si>
    <t>Flvcr1</t>
  </si>
  <si>
    <t>feline leukemia virus subgroup C cellular receptor 1 [Source:MGI Symbol;Acc:MGI:2444881]</t>
  </si>
  <si>
    <t>Pank2</t>
  </si>
  <si>
    <t>pantothenate kinase 2 [Source:MGI Symbol;Acc:MGI:1921700]</t>
  </si>
  <si>
    <t>Ap1s3</t>
  </si>
  <si>
    <t>adaptor-related protein complex AP-1, sigma 3 [Source:MGI Symbol;Acc:MGI:1891304]</t>
  </si>
  <si>
    <t>Pigh</t>
  </si>
  <si>
    <t>phosphatidylinositol glycan anchor biosynthesis, class H [Source:MGI Symbol;Acc:MGI:99463]</t>
  </si>
  <si>
    <t>Nek2</t>
  </si>
  <si>
    <t>NIMA (never in mitosis gene a)-related expressed kinase 2 [Source:MGI Symbol;Acc:MGI:109359]</t>
  </si>
  <si>
    <t>Sardh</t>
  </si>
  <si>
    <t>sarcosine dehydrogenase [Source:MGI Symbol;Acc:MGI:2183102]</t>
  </si>
  <si>
    <t>Nt5m</t>
  </si>
  <si>
    <t>5',3'-nucleotidase, mitochondrial [Source:MGI Symbol;Acc:MGI:1917127]</t>
  </si>
  <si>
    <t>Nfatc2ip</t>
  </si>
  <si>
    <t>nuclear factor of activated T cells, cytoplasmic, calcineurin dependent 2 interacting protein [Source:MGI Symbol;Acc:MGI:1329015]</t>
  </si>
  <si>
    <t>Zfp746</t>
  </si>
  <si>
    <t>zinc finger protein 746 [Source:MGI Symbol;Acc:MGI:1916478]</t>
  </si>
  <si>
    <t>Kitl</t>
  </si>
  <si>
    <t>kit ligand [Source:MGI Symbol;Acc:MGI:96974]</t>
  </si>
  <si>
    <t>Pdk2</t>
  </si>
  <si>
    <t>pyruvate dehydrogenase kinase, isoenzyme 2 [Source:MGI Symbol;Acc:MGI:1343087]</t>
  </si>
  <si>
    <t>Mea1</t>
  </si>
  <si>
    <t>male enhanced antigen 1 [Source:MGI Symbol;Acc:MGI:96957]</t>
  </si>
  <si>
    <t>Gm44658</t>
  </si>
  <si>
    <t>predicted gene 44658 [Source:MGI Symbol;Acc:MGI:5753234]</t>
  </si>
  <si>
    <t>Cpt2</t>
  </si>
  <si>
    <t>carnitine palmitoyltransferase 2 [Source:MGI Symbol;Acc:MGI:109176]</t>
  </si>
  <si>
    <t>Alkbh5</t>
  </si>
  <si>
    <t>alkB homolog 5, RNA demethylase [Source:MGI Symbol;Acc:MGI:2144489]</t>
  </si>
  <si>
    <t>Melk</t>
  </si>
  <si>
    <t>maternal embryonic leucine zipper kinase [Source:MGI Symbol;Acc:MGI:106924]</t>
  </si>
  <si>
    <t>Tmem214</t>
  </si>
  <si>
    <t>transmembrane protein 214 [Source:MGI Symbol;Acc:MGI:1916046]</t>
  </si>
  <si>
    <t>Ube2k</t>
  </si>
  <si>
    <t>ubiquitin-conjugating enzyme E2K [Source:MGI Symbol;Acc:MGI:1858216]</t>
  </si>
  <si>
    <t>Inf2</t>
  </si>
  <si>
    <t>inverted formin, FH2 and WH2 domain containing [Source:MGI Symbol;Acc:MGI:1917685]</t>
  </si>
  <si>
    <t>Ran</t>
  </si>
  <si>
    <t>RAN, member RAS oncogene family [Source:MGI Symbol;Acc:MGI:1333112]</t>
  </si>
  <si>
    <t>Sirt7</t>
  </si>
  <si>
    <t>sirtuin 7 [Source:MGI Symbol;Acc:MGI:2385849]</t>
  </si>
  <si>
    <t>Ltbp4</t>
  </si>
  <si>
    <t>latent transforming growth factor beta binding protein 4 [Source:MGI Symbol;Acc:MGI:1321395]</t>
  </si>
  <si>
    <t>9430037O13Rik</t>
  </si>
  <si>
    <t>RIKEN cDNA 9430037O13 gene [Source:MGI Symbol;Acc:MGI:1924535]</t>
  </si>
  <si>
    <t>Kif18b</t>
  </si>
  <si>
    <t>kinesin family member 18B [Source:MGI Symbol;Acc:MGI:2446979]</t>
  </si>
  <si>
    <t>Gm20532</t>
  </si>
  <si>
    <t>predicted gene 20532 [Source:MGI Symbol;Acc:MGI:5141997]</t>
  </si>
  <si>
    <t>Gm5970</t>
  </si>
  <si>
    <t>predicted gene 5970 [Source:MGI Symbol;Acc:MGI:3646761]</t>
  </si>
  <si>
    <t>Ikbip</t>
  </si>
  <si>
    <t>IKBKB interacting protein [Source:MGI Symbol;Acc:MGI:1914704]</t>
  </si>
  <si>
    <t>Gm2774</t>
  </si>
  <si>
    <t>predicted gene 2774 [Source:MGI Symbol;Acc:MGI:3780943]</t>
  </si>
  <si>
    <t>Wipf2</t>
  </si>
  <si>
    <t>WAS/WASL interacting protein family, member 2 [Source:MGI Symbol;Acc:MGI:1924462]</t>
  </si>
  <si>
    <t>Cpsf1</t>
  </si>
  <si>
    <t>cleavage and polyadenylation specific factor 1 [Source:MGI Symbol;Acc:MGI:2679722]</t>
  </si>
  <si>
    <t>Senp6</t>
  </si>
  <si>
    <t>SUMO/sentrin specific peptidase 6 [Source:MGI Symbol;Acc:MGI:1922075]</t>
  </si>
  <si>
    <t>Ypel5</t>
  </si>
  <si>
    <t>yippee like 5 [Source:MGI Symbol;Acc:MGI:1916937]</t>
  </si>
  <si>
    <t>Gm7334</t>
  </si>
  <si>
    <t>predicted gene 7334 [Source:MGI Symbol;Acc:MGI:3647393]</t>
  </si>
  <si>
    <t>Ddx23</t>
  </si>
  <si>
    <t>DEAD (Asp-Glu-Ala-Asp) box polypeptide 23 [Source:MGI Symbol;Acc:MGI:1921601]</t>
  </si>
  <si>
    <t>Stk10</t>
  </si>
  <si>
    <t>serine/threonine kinase 10 [Source:MGI Symbol;Acc:MGI:1099439]</t>
  </si>
  <si>
    <t>Gnpda2</t>
  </si>
  <si>
    <t>glucosamine-6-phosphate deaminase 2 [Source:MGI Symbol;Acc:MGI:1915230]</t>
  </si>
  <si>
    <t>Neat1</t>
  </si>
  <si>
    <t>nuclear paraspeckle assembly transcript 1 (non-protein coding) [Source:MGI Symbol;Acc:MGI:1914211]</t>
  </si>
  <si>
    <t>Zfp131</t>
  </si>
  <si>
    <t>zinc finger protein 131 [Source:MGI Symbol;Acc:MGI:1919715]</t>
  </si>
  <si>
    <t>B230208H11Rik</t>
  </si>
  <si>
    <t>RIKEN cDNA B230208H11 gene [Source:MGI Symbol;Acc:MGI:2443719]</t>
  </si>
  <si>
    <t>Psma1</t>
  </si>
  <si>
    <t>proteasome subunit alpha 1 [Source:MGI Symbol;Acc:MGI:1347005]</t>
  </si>
  <si>
    <t>Ddx6</t>
  </si>
  <si>
    <t>DEAD (Asp-Glu-Ala-Asp) box polypeptide 6 [Source:MGI Symbol;Acc:MGI:104976]</t>
  </si>
  <si>
    <t>Sfxn1</t>
  </si>
  <si>
    <t>sideroflexin 1 [Source:MGI Symbol;Acc:MGI:2137677]</t>
  </si>
  <si>
    <t>Gipc1</t>
  </si>
  <si>
    <t>GIPC PDZ domain containing family, member 1 [Source:MGI Symbol;Acc:MGI:1926252]</t>
  </si>
  <si>
    <t>Bckdhb</t>
  </si>
  <si>
    <t>branched chain ketoacid dehydrogenase E1, beta polypeptide [Source:MGI Symbol;Acc:MGI:88137]</t>
  </si>
  <si>
    <t>Tgfbi</t>
  </si>
  <si>
    <t>transforming growth factor, beta induced [Source:MGI Symbol;Acc:MGI:99959]</t>
  </si>
  <si>
    <t>Rabif</t>
  </si>
  <si>
    <t>RAB interacting factor [Source:MGI Symbol;Acc:MGI:2138605]</t>
  </si>
  <si>
    <t>Apool</t>
  </si>
  <si>
    <t>apolipoprotein O-like [Source:MGI Symbol;Acc:MGI:1915367]</t>
  </si>
  <si>
    <t>Aox1</t>
  </si>
  <si>
    <t>aldehyde oxidase 1 [Source:MGI Symbol;Acc:MGI:88035]</t>
  </si>
  <si>
    <t>Bend3</t>
  </si>
  <si>
    <t>BEN domain containing 3 [Source:MGI Symbol;Acc:MGI:2677212]</t>
  </si>
  <si>
    <t>Galnt11</t>
  </si>
  <si>
    <t>polypeptide N-acetylgalactosaminyltransferase 11 [Source:MGI Symbol;Acc:MGI:2444392]</t>
  </si>
  <si>
    <t>Ccnk</t>
  </si>
  <si>
    <t>cyclin K [Source:MGI Symbol;Acc:MGI:1276106]</t>
  </si>
  <si>
    <t>Mettl23</t>
  </si>
  <si>
    <t>methyltransferase like 23 [Source:MGI Symbol;Acc:MGI:1921569]</t>
  </si>
  <si>
    <t>Hsbp1</t>
  </si>
  <si>
    <t>heat shock factor binding protein 1 [Source:MGI Symbol;Acc:MGI:1915446]</t>
  </si>
  <si>
    <t>Strip1</t>
  </si>
  <si>
    <t>striatin interacting protein 1 [Source:MGI Symbol;Acc:MGI:2443884]</t>
  </si>
  <si>
    <t>Pdcd5</t>
  </si>
  <si>
    <t>programmed cell death 5 [Source:MGI Symbol;Acc:MGI:1913538]</t>
  </si>
  <si>
    <t>Ppm1j</t>
  </si>
  <si>
    <t>protein phosphatase 1J [Source:MGI Symbol;Acc:MGI:1919137]</t>
  </si>
  <si>
    <t>Naaa</t>
  </si>
  <si>
    <t>N-acylethanolamine acid amidase [Source:MGI Symbol;Acc:MGI:1914361]</t>
  </si>
  <si>
    <t>Dcun1d2</t>
  </si>
  <si>
    <t>DCN1, defective in cullin neddylation 1, domain containing 2 (S. cerevisiae) [Source:MGI Symbol;Acc:MGI:2142792]</t>
  </si>
  <si>
    <t>Snhg17</t>
  </si>
  <si>
    <t>small nucleolar RNA host gene 17 [Source:MGI Symbol;Acc:MGI:1915358]</t>
  </si>
  <si>
    <t>Aco1</t>
  </si>
  <si>
    <t>aconitase 1 [Source:MGI Symbol;Acc:MGI:87879]</t>
  </si>
  <si>
    <t>Tet3</t>
  </si>
  <si>
    <t>tet methylcytosine dioxygenase 3 [Source:MGI Symbol;Acc:MGI:2446229]</t>
  </si>
  <si>
    <t>Zpr1</t>
  </si>
  <si>
    <t>ZPR1 zinc finger [Source:MGI Symbol;Acc:MGI:1330262]</t>
  </si>
  <si>
    <t>Arl13b</t>
  </si>
  <si>
    <t>ADP-ribosylation factor-like 13B [Source:MGI Symbol;Acc:MGI:1915396]</t>
  </si>
  <si>
    <t>Sf3b4</t>
  </si>
  <si>
    <t>splicing factor 3b, subunit 4 [Source:MGI Symbol;Acc:MGI:109580]</t>
  </si>
  <si>
    <t>Irf2</t>
  </si>
  <si>
    <t>interferon regulatory factor 2 [Source:MGI Symbol;Acc:MGI:96591]</t>
  </si>
  <si>
    <t>Mpp1</t>
  </si>
  <si>
    <t>membrane protein, palmitoylated [Source:MGI Symbol;Acc:MGI:105941]</t>
  </si>
  <si>
    <t>AC159819.1</t>
  </si>
  <si>
    <t>ubiquitin-conjugating enzyme E2S (Ube2s) retrogene</t>
  </si>
  <si>
    <t>AA388235</t>
  </si>
  <si>
    <t>expressed sequence AA388235 [Source:MGI Symbol;Acc:MGI:3035178]</t>
  </si>
  <si>
    <t>Gm14040</t>
  </si>
  <si>
    <t>predicted gene 14040 [Source:MGI Symbol;Acc:MGI:3651082]</t>
  </si>
  <si>
    <t>Cdk5</t>
  </si>
  <si>
    <t>cyclin-dependent kinase 5 [Source:MGI Symbol;Acc:MGI:101765]</t>
  </si>
  <si>
    <t>Traf3ip1</t>
  </si>
  <si>
    <t>TRAF3 interacting protein 1 [Source:MGI Symbol;Acc:MGI:1921269]</t>
  </si>
  <si>
    <t>Nxt1</t>
  </si>
  <si>
    <t>NTF2-related export protein 1 [Source:MGI Symbol;Acc:MGI:1929619]</t>
  </si>
  <si>
    <t>Mrpl30</t>
  </si>
  <si>
    <t>mitochondrial ribosomal protein L30 [Source:MGI Symbol;Acc:MGI:1333820]</t>
  </si>
  <si>
    <t>Mrtfa</t>
  </si>
  <si>
    <t>myocardin related transcription factor A [Source:MGI Symbol;Acc:MGI:2384495]</t>
  </si>
  <si>
    <t>Adssl1</t>
  </si>
  <si>
    <t>adenylosuccinate synthetase like 1 [Source:MGI Symbol;Acc:MGI:87947]</t>
  </si>
  <si>
    <t>Slc7a14</t>
  </si>
  <si>
    <t>solute carrier family 7 (cationic amino acid transporter, y+ system), member 14 [Source:MGI Symbol;Acc:MGI:3040688]</t>
  </si>
  <si>
    <t>Krit1</t>
  </si>
  <si>
    <t>KRIT1, ankyrin repeat containing [Source:MGI Symbol;Acc:MGI:1930618]</t>
  </si>
  <si>
    <t>Zfp317</t>
  </si>
  <si>
    <t>zinc finger protein 317 [Source:MGI Symbol;Acc:MGI:107775]</t>
  </si>
  <si>
    <t>Kntc1</t>
  </si>
  <si>
    <t>kinetochore associated 1 [Source:MGI Symbol;Acc:MGI:2673709]</t>
  </si>
  <si>
    <t>AL731706.2</t>
  </si>
  <si>
    <t>Pex1</t>
  </si>
  <si>
    <t>peroxisomal biogenesis factor 1 [Source:MGI Symbol;Acc:MGI:1918632]</t>
  </si>
  <si>
    <t>Elk1</t>
  </si>
  <si>
    <t>ELK1, member of ETS oncogene family [Source:MGI Symbol;Acc:MGI:101833]</t>
  </si>
  <si>
    <t>Rita1</t>
  </si>
  <si>
    <t>RBPJ interacting and tubulin associated 1 [Source:MGI Symbol;Acc:MGI:1922021]</t>
  </si>
  <si>
    <t>Dnajb9</t>
  </si>
  <si>
    <t>DnaJ heat shock protein family (Hsp40) member B9 [Source:MGI Symbol;Acc:MGI:1351618]</t>
  </si>
  <si>
    <t>Zfp651</t>
  </si>
  <si>
    <t>zinc finger protein 651 [Source:MGI Symbol;Acc:MGI:2670992]</t>
  </si>
  <si>
    <t>Wbp2</t>
  </si>
  <si>
    <t>WW domain binding protein 2 [Source:MGI Symbol;Acc:MGI:104709]</t>
  </si>
  <si>
    <t>Sarnp</t>
  </si>
  <si>
    <t>SAP domain containing ribonucleoprotein [Source:MGI Symbol;Acc:MGI:1913368]</t>
  </si>
  <si>
    <t>Ufsp2</t>
  </si>
  <si>
    <t>UFM1-specific peptidase 2 [Source:MGI Symbol;Acc:MGI:1913679]</t>
  </si>
  <si>
    <t>Larp1b</t>
  </si>
  <si>
    <t>La ribonucleoprotein domain family, member 1B [Source:MGI Symbol;Acc:MGI:1914604]</t>
  </si>
  <si>
    <t>2310011J03Rik</t>
  </si>
  <si>
    <t>RIKEN cDNA 2310011J03 gene [Source:MGI Symbol;Acc:MGI:1913624]</t>
  </si>
  <si>
    <t>Tnks2</t>
  </si>
  <si>
    <t>tankyrase, TRF1-interacting ankyrin-related ADP-ribose polymerase 2 [Source:MGI Symbol;Acc:MGI:1921743]</t>
  </si>
  <si>
    <t>Olfr111</t>
  </si>
  <si>
    <t>olfactory receptor 111 [Source:MGI Symbol;Acc:MGI:2177494]</t>
  </si>
  <si>
    <t>Amz2</t>
  </si>
  <si>
    <t>archaelysin family metallopeptidase 2 [Source:MGI Symbol;Acc:MGI:104837]</t>
  </si>
  <si>
    <t>Mrpl21</t>
  </si>
  <si>
    <t>mitochondrial ribosomal protein L21 [Source:MGI Symbol;Acc:MGI:2660674]</t>
  </si>
  <si>
    <t>Psd</t>
  </si>
  <si>
    <t>pleckstrin and Sec7 domain containing [Source:MGI Symbol;Acc:MGI:1920978]</t>
  </si>
  <si>
    <t>Fth-ps3</t>
  </si>
  <si>
    <t>ferritin heavy chain, pseudogene 3 [Source:MGI Symbol;Acc:MGI:104623]</t>
  </si>
  <si>
    <t>Ier3ip1</t>
  </si>
  <si>
    <t>immediate early response 3 interacting protein 1 [Source:MGI Symbol;Acc:MGI:1913441]</t>
  </si>
  <si>
    <t>3830403N18Rik</t>
  </si>
  <si>
    <t>RIKEN cDNA 3830403N18 gene [Source:MGI Symbol;Acc:MGI:1917941]</t>
  </si>
  <si>
    <t>Slc38a9</t>
  </si>
  <si>
    <t>solute carrier family 38, member 9 [Source:MGI Symbol;Acc:MGI:1918839]</t>
  </si>
  <si>
    <t>Haus2</t>
  </si>
  <si>
    <t>HAUS augmin-like complex, subunit 2 [Source:MGI Symbol;Acc:MGI:1913546]</t>
  </si>
  <si>
    <t>Mpc2</t>
  </si>
  <si>
    <t>mitochondrial pyruvate carrier 2 [Source:MGI Symbol;Acc:MGI:1917706]</t>
  </si>
  <si>
    <t>Srp19</t>
  </si>
  <si>
    <t>signal recognition particle 19 [Source:MGI Symbol;Acc:MGI:1913634]</t>
  </si>
  <si>
    <t>Tmed2</t>
  </si>
  <si>
    <t>transmembrane p24 trafficking protein 2 [Source:MGI Symbol;Acc:MGI:1929269]</t>
  </si>
  <si>
    <t>Cox14</t>
  </si>
  <si>
    <t>cytochrome c oxidase assembly protein 14 [Source:MGI Symbol;Acc:MGI:1913629]</t>
  </si>
  <si>
    <t>Men1</t>
  </si>
  <si>
    <t>multiple endocrine neoplasia 1 [Source:MGI Symbol;Acc:MGI:1316736]</t>
  </si>
  <si>
    <t>Akap10</t>
  </si>
  <si>
    <t>A kinase (PRKA) anchor protein 10 [Source:MGI Symbol;Acc:MGI:1890218]</t>
  </si>
  <si>
    <t>Upp2</t>
  </si>
  <si>
    <t>uridine phosphorylase 2 [Source:MGI Symbol;Acc:MGI:1923904]</t>
  </si>
  <si>
    <t>Anxa11os</t>
  </si>
  <si>
    <t>annexin A11, opposite strand [Source:MGI Symbol;Acc:MGI:3642737]</t>
  </si>
  <si>
    <t>Dnajc14</t>
  </si>
  <si>
    <t>DnaJ heat shock protein family (Hsp40) member C14 [Source:MGI Symbol;Acc:MGI:1921580]</t>
  </si>
  <si>
    <t>Ptges3-ps</t>
  </si>
  <si>
    <t>prostaglandin E synthase 3, pseudogene [Source:MGI Symbol;Acc:MGI:3704271]</t>
  </si>
  <si>
    <t>Gm16098</t>
  </si>
  <si>
    <t>predicted gene 16098 [Source:MGI Symbol;Acc:MGI:3801762]</t>
  </si>
  <si>
    <t>Gm23294</t>
  </si>
  <si>
    <t>predicted gene, 23294 [Source:MGI Symbol;Acc:MGI:5453071]</t>
  </si>
  <si>
    <t>snRNA</t>
  </si>
  <si>
    <t>Qtrt1</t>
  </si>
  <si>
    <t>queuine tRNA-ribosyltransferase catalytic subunit 1 [Source:MGI Symbol;Acc:MGI:1931441]</t>
  </si>
  <si>
    <t>Lrrc10b</t>
  </si>
  <si>
    <t>leucine rich repeat containing 10B [Source:MGI Symbol;Acc:MGI:2685551]</t>
  </si>
  <si>
    <t>Prxl2a</t>
  </si>
  <si>
    <t>peroxiredoxin like 2A [Source:MGI Symbol;Acc:MGI:1917814]</t>
  </si>
  <si>
    <t>Tor1a</t>
  </si>
  <si>
    <t>torsin family 1, member A (torsin A) [Source:MGI Symbol;Acc:MGI:1353568]</t>
  </si>
  <si>
    <t>Il34</t>
  </si>
  <si>
    <t>interleukin 34 [Source:MGI Symbol;Acc:MGI:1923777]</t>
  </si>
  <si>
    <t>Adal</t>
  </si>
  <si>
    <t>adenosine deaminase-like [Source:MGI Symbol;Acc:MGI:1923144]</t>
  </si>
  <si>
    <t>Kalrn</t>
  </si>
  <si>
    <t>kalirin, RhoGEF kinase [Source:MGI Symbol;Acc:MGI:2685385]</t>
  </si>
  <si>
    <t>Rbm3</t>
  </si>
  <si>
    <t>RNA binding motif (RNP1, RRM) protein 3 [Source:MGI Symbol;Acc:MGI:1099460]</t>
  </si>
  <si>
    <t>Stab2</t>
  </si>
  <si>
    <t>stabilin 2 [Source:MGI Symbol;Acc:MGI:2178743]</t>
  </si>
  <si>
    <t>Blvra</t>
  </si>
  <si>
    <t>biliverdin reductase A [Source:MGI Symbol;Acc:MGI:88170]</t>
  </si>
  <si>
    <t>Gm49318</t>
  </si>
  <si>
    <t>predicted gene, 49318 [Source:MGI Symbol;Acc:MGI:6121495]</t>
  </si>
  <si>
    <t>Isca1</t>
  </si>
  <si>
    <t>iron-sulfur cluster assembly 1 [Source:MGI Symbol;Acc:MGI:1916296]</t>
  </si>
  <si>
    <t>Med11</t>
  </si>
  <si>
    <t>mediator complex subunit 11 [Source:MGI Symbol;Acc:MGI:1913422]</t>
  </si>
  <si>
    <t>Trp53rkb</t>
  </si>
  <si>
    <t>transformation related protein 53 regulating kinase B [Source:MGI Symbol;Acc:MGI:1914050]</t>
  </si>
  <si>
    <t>Hp1bp3</t>
  </si>
  <si>
    <t>heterochromatin protein 1, binding protein 3 [Source:MGI Symbol;Acc:MGI:109369]</t>
  </si>
  <si>
    <t>Ubr3</t>
  </si>
  <si>
    <t>ubiquitin protein ligase E3 component n-recognin 3 [Source:MGI Symbol;Acc:MGI:1861100]</t>
  </si>
  <si>
    <t>Tns4</t>
  </si>
  <si>
    <t>tensin 4 [Source:MGI Symbol;Acc:MGI:2144377]</t>
  </si>
  <si>
    <t>Mterf3</t>
  </si>
  <si>
    <t>mitochondrial transcription termination factor 3 [Source:MGI Symbol;Acc:MGI:1913660]</t>
  </si>
  <si>
    <t>Zfp51</t>
  </si>
  <si>
    <t>zinc finger protein 51 [Source:MGI Symbol;Acc:MGI:99198]</t>
  </si>
  <si>
    <t>Vkorc1l1</t>
  </si>
  <si>
    <t>vitamin K epoxide reductase complex, subunit 1-like 1 [Source:MGI Symbol;Acc:MGI:1916818]</t>
  </si>
  <si>
    <t>4932441J04Rik</t>
  </si>
  <si>
    <t>RIKEN cDNA 4932441J04 gene [Source:MGI Symbol;Acc:MGI:2441691]</t>
  </si>
  <si>
    <t>Pgam1</t>
  </si>
  <si>
    <t>phosphoglycerate mutase 1 [Source:MGI Symbol;Acc:MGI:97552]</t>
  </si>
  <si>
    <t>Nlrp1c-ps</t>
  </si>
  <si>
    <t>NLR family, pyrin domain containing 1C, pseudogene [Source:MGI Symbol;Acc:MGI:3582962]</t>
  </si>
  <si>
    <t>Mbtps1</t>
  </si>
  <si>
    <t>membrane-bound transcription factor peptidase, site 1 [Source:MGI Symbol;Acc:MGI:1927235]</t>
  </si>
  <si>
    <t>Mid1-ps1</t>
  </si>
  <si>
    <t>midline 1, pseudogene 1 [Source:MGI Symbol;Acc:MGI:5780070]</t>
  </si>
  <si>
    <t>Wdr54</t>
  </si>
  <si>
    <t>WD repeat domain 54 [Source:MGI Symbol;Acc:MGI:1922909]</t>
  </si>
  <si>
    <t>Icam2</t>
  </si>
  <si>
    <t>intercellular adhesion molecule 2 [Source:MGI Symbol;Acc:MGI:96394]</t>
  </si>
  <si>
    <t>Paip1</t>
  </si>
  <si>
    <t>polyadenylate binding protein-interacting protein 1 [Source:MGI Symbol;Acc:MGI:2384993]</t>
  </si>
  <si>
    <t>Tmem156</t>
  </si>
  <si>
    <t>transmembrane protein 156 [Source:MGI Symbol;Acc:MGI:2685292]</t>
  </si>
  <si>
    <t>Kcna3</t>
  </si>
  <si>
    <t>potassium voltage-gated channel, shaker-related subfamily, member 3 [Source:MGI Symbol;Acc:MGI:96660]</t>
  </si>
  <si>
    <t>Hpse</t>
  </si>
  <si>
    <t>heparanase [Source:MGI Symbol;Acc:MGI:1343124]</t>
  </si>
  <si>
    <t>Oscar</t>
  </si>
  <si>
    <t>osteoclast associated receptor [Source:MGI Symbol;Acc:MGI:2179720]</t>
  </si>
  <si>
    <t>Rhbdd2</t>
  </si>
  <si>
    <t>rhomboid domain containing 2 [Source:MGI Symbol;Acc:MGI:1915612]</t>
  </si>
  <si>
    <t>Gm44116</t>
  </si>
  <si>
    <t>predicted gene, 44116 [Source:MGI Symbol;Acc:MGI:5690508]</t>
  </si>
  <si>
    <t>Car7</t>
  </si>
  <si>
    <t>carbonic anhydrase 7 [Source:MGI Symbol;Acc:MGI:103100]</t>
  </si>
  <si>
    <t>Rps11</t>
  </si>
  <si>
    <t>ribosomal protein S11 [Source:MGI Symbol;Acc:MGI:1351329]</t>
  </si>
  <si>
    <t>Orai3</t>
  </si>
  <si>
    <t>ORAI calcium release-activated calcium modulator 3 [Source:MGI Symbol;Acc:MGI:3039586]</t>
  </si>
  <si>
    <t>Synj2bp</t>
  </si>
  <si>
    <t>synaptojanin 2 binding protein [Source:MGI Symbol;Acc:MGI:1344347]</t>
  </si>
  <si>
    <t>Ccdc174</t>
  </si>
  <si>
    <t>coiled-coil domain containing 174 [Source:MGI Symbol;Acc:MGI:2444652]</t>
  </si>
  <si>
    <t>Tmem181a</t>
  </si>
  <si>
    <t>transmembrane protein 181A [Source:MGI Symbol;Acc:MGI:1924356]</t>
  </si>
  <si>
    <t>Htra2</t>
  </si>
  <si>
    <t>HtrA serine peptidase 2 [Source:MGI Symbol;Acc:MGI:1928676]</t>
  </si>
  <si>
    <t>Ptcd2</t>
  </si>
  <si>
    <t>pentatricopeptide repeat domain 2 [Source:MGI Symbol;Acc:MGI:1916177]</t>
  </si>
  <si>
    <t>Tnpo1</t>
  </si>
  <si>
    <t>transportin 1 [Source:MGI Symbol;Acc:MGI:2681523]</t>
  </si>
  <si>
    <t>Slc25a51</t>
  </si>
  <si>
    <t>solute carrier family 25, member 51 [Source:MGI Symbol;Acc:MGI:2684984]</t>
  </si>
  <si>
    <t>Slc35f3</t>
  </si>
  <si>
    <t>solute carrier family 35, member F3 [Source:MGI Symbol;Acc:MGI:2444426]</t>
  </si>
  <si>
    <t>Tal2</t>
  </si>
  <si>
    <t>T cell acute lymphocytic leukemia 2 [Source:MGI Symbol;Acc:MGI:99540]</t>
  </si>
  <si>
    <t>Gng5</t>
  </si>
  <si>
    <t>guanine nucleotide binding protein (G protein), gamma 5 [Source:MGI Symbol;Acc:MGI:109164]</t>
  </si>
  <si>
    <t>Adgb</t>
  </si>
  <si>
    <t>androglobin [Source:MGI Symbol;Acc:MGI:3605549]</t>
  </si>
  <si>
    <t>Wac</t>
  </si>
  <si>
    <t>WW domain containing adaptor with coiled-coil [Source:MGI Symbol;Acc:MGI:2387357]</t>
  </si>
  <si>
    <t>Ercc6</t>
  </si>
  <si>
    <t>excision repair cross-complementing rodent repair deficiency, complementation group 6 [Source:MGI Symbol;Acc:MGI:1100494]</t>
  </si>
  <si>
    <t>Snhg6</t>
  </si>
  <si>
    <t>small nucleolar RNA host gene 6 [Source:MGI Symbol;Acc:MGI:1921074]</t>
  </si>
  <si>
    <t>Mylk2</t>
  </si>
  <si>
    <t>myosin, light polypeptide kinase 2, skeletal muscle [Source:MGI Symbol;Acc:MGI:2139434]</t>
  </si>
  <si>
    <t>Trappc2</t>
  </si>
  <si>
    <t>trafficking protein particle complex 2 [Source:MGI Symbol;Acc:MGI:1913476]</t>
  </si>
  <si>
    <t>Gm16378</t>
  </si>
  <si>
    <t>predicted gene 16378 [Source:MGI Symbol;Acc:MGI:3646886]</t>
  </si>
  <si>
    <t>Rbm22</t>
  </si>
  <si>
    <t>RNA binding motif protein 22 [Source:MGI Symbol;Acc:MGI:1914060]</t>
  </si>
  <si>
    <t>Ddx17</t>
  </si>
  <si>
    <t>DEAD (Asp-Glu-Ala-Asp) box polypeptide 17 [Source:MGI Symbol;Acc:MGI:1914290]</t>
  </si>
  <si>
    <t>Ftsj1</t>
  </si>
  <si>
    <t>FtsJ RNA methyltransferase homolog 1 (E. coli) [Source:MGI Symbol;Acc:MGI:1859648]</t>
  </si>
  <si>
    <t>Cwf19l1</t>
  </si>
  <si>
    <t>CWF19-like 1, cell cycle control (S. pombe) [Source:MGI Symbol;Acc:MGI:1919752]</t>
  </si>
  <si>
    <t>Cdk8</t>
  </si>
  <si>
    <t>cyclin-dependent kinase 8 [Source:MGI Symbol;Acc:MGI:1196224]</t>
  </si>
  <si>
    <t>Olfm2</t>
  </si>
  <si>
    <t>olfactomedin 2 [Source:MGI Symbol;Acc:MGI:3045350]</t>
  </si>
  <si>
    <t>3300005D01Rik</t>
  </si>
  <si>
    <t>RIKEN cDNA 3300005D01 gene [Source:MGI Symbol;Acc:MGI:1925762]</t>
  </si>
  <si>
    <t>Fbxw10</t>
  </si>
  <si>
    <t>F-box and WD-40 domain protein 10 [Source:MGI Symbol;Acc:MGI:3052463]</t>
  </si>
  <si>
    <t>Tdrkh</t>
  </si>
  <si>
    <t>tudor and KH domain containing protein [Source:MGI Symbol;Acc:MGI:1919884]</t>
  </si>
  <si>
    <t>Khdc4</t>
  </si>
  <si>
    <t>KH domain containing 4, pre-mRNA splicing factor [Source:MGI Symbol;Acc:MGI:1921450]</t>
  </si>
  <si>
    <t>Prpf19</t>
  </si>
  <si>
    <t>pre-mRNA processing factor 19 [Source:MGI Symbol;Acc:MGI:106247]</t>
  </si>
  <si>
    <t>Kantr</t>
  </si>
  <si>
    <t>Kdm5c adjacent non-coding transcript [Source:MGI Symbol;Acc:MGI:1920247]</t>
  </si>
  <si>
    <t>Snord49b</t>
  </si>
  <si>
    <t>small nucleolar RNA, C/D box 49B [Source:MGI Symbol;Acc:MGI:3819539]</t>
  </si>
  <si>
    <t>Col6a3</t>
  </si>
  <si>
    <t>collagen, type VI, alpha 3 [Source:MGI Symbol;Acc:MGI:88461]</t>
  </si>
  <si>
    <t>Paqr3</t>
  </si>
  <si>
    <t>progestin and adipoQ receptor family member III [Source:MGI Symbol;Acc:MGI:2679683]</t>
  </si>
  <si>
    <t>Aldh4a1</t>
  </si>
  <si>
    <t>aldehyde dehydrogenase 4 family, member A1 [Source:MGI Symbol;Acc:MGI:2443883]</t>
  </si>
  <si>
    <t>Gm50367</t>
  </si>
  <si>
    <t>predicted gene, 50367 [Source:MGI Symbol;Acc:MGI:6303257]</t>
  </si>
  <si>
    <t>Usp6nl</t>
  </si>
  <si>
    <t>USP6 N-terminal like [Source:MGI Symbol;Acc:MGI:2138893]</t>
  </si>
  <si>
    <t>Pcyt2</t>
  </si>
  <si>
    <t>phosphate cytidylyltransferase 2, ethanolamine [Source:MGI Symbol;Acc:MGI:1915921]</t>
  </si>
  <si>
    <t>Mrip-ps</t>
  </si>
  <si>
    <t>Mom radiation induced polyposis, pseudogene [Source:MGI Symbol;Acc:MGI:3645947]</t>
  </si>
  <si>
    <t>Gm31522</t>
  </si>
  <si>
    <t>predicted gene, 31522 [Source:MGI Symbol;Acc:MGI:5590681]</t>
  </si>
  <si>
    <t>Pvt1</t>
  </si>
  <si>
    <t>Pvt1 oncogene [Source:MGI Symbol;Acc:MGI:97824]</t>
  </si>
  <si>
    <t>Rbm45</t>
  </si>
  <si>
    <t>RNA binding motif protein 45 [Source:MGI Symbol;Acc:MGI:2387367]</t>
  </si>
  <si>
    <t>Strip2</t>
  </si>
  <si>
    <t>striatin interacting protein 2 [Source:MGI Symbol;Acc:MGI:2444363]</t>
  </si>
  <si>
    <t>Gm39459</t>
  </si>
  <si>
    <t>predicted gene, 39459 [Source:MGI Symbol;Acc:MGI:5622344]</t>
  </si>
  <si>
    <t>Coq8a</t>
  </si>
  <si>
    <t>coenzyme Q8A [Source:MGI Symbol;Acc:MGI:1914676]</t>
  </si>
  <si>
    <t>Samd10</t>
  </si>
  <si>
    <t>sterile alpha motif domain containing 10 [Source:MGI Symbol;Acc:MGI:2443872]</t>
  </si>
  <si>
    <t>Gm17087</t>
  </si>
  <si>
    <t>predicted gene 17087 [Source:MGI Symbol;Acc:MGI:4937914]</t>
  </si>
  <si>
    <t>Syt11</t>
  </si>
  <si>
    <t>synaptotagmin XI [Source:MGI Symbol;Acc:MGI:1859547]</t>
  </si>
  <si>
    <t>Fbxw7</t>
  </si>
  <si>
    <t>F-box and WD-40 domain protein 7 [Source:MGI Symbol;Acc:MGI:1354695]</t>
  </si>
  <si>
    <t>Tbc1d15</t>
  </si>
  <si>
    <t>TBC1 domain family, member 15 [Source:MGI Symbol;Acc:MGI:1913937]</t>
  </si>
  <si>
    <t>Tert</t>
  </si>
  <si>
    <t>telomerase reverse transcriptase [Source:MGI Symbol;Acc:MGI:1202709]</t>
  </si>
  <si>
    <t>Slc25a40</t>
  </si>
  <si>
    <t>solute carrier family 25, member 40 [Source:MGI Symbol;Acc:MGI:2442486]</t>
  </si>
  <si>
    <t>Borcs5</t>
  </si>
  <si>
    <t>BLOC-1 related complex subunit 5 [Source:MGI Symbol;Acc:MGI:1915024]</t>
  </si>
  <si>
    <t>Pex5</t>
  </si>
  <si>
    <t>peroxisomal biogenesis factor 5 [Source:MGI Symbol;Acc:MGI:1098808]</t>
  </si>
  <si>
    <t>Edem2</t>
  </si>
  <si>
    <t>ER degradation enhancer, mannosidase alpha-like 2 [Source:MGI Symbol;Acc:MGI:1915540]</t>
  </si>
  <si>
    <t>Ctps2</t>
  </si>
  <si>
    <t>cytidine 5'-triphosphate synthase 2 [Source:MGI Symbol;Acc:MGI:1933185]</t>
  </si>
  <si>
    <t>Abcb1b</t>
  </si>
  <si>
    <t>ATP-binding cassette, sub-family B (MDR/TAP), member 1B [Source:MGI Symbol;Acc:MGI:97568]</t>
  </si>
  <si>
    <t>Spag5</t>
  </si>
  <si>
    <t>sperm associated antigen 5 [Source:MGI Symbol;Acc:MGI:1927470]</t>
  </si>
  <si>
    <t>Pard6a</t>
  </si>
  <si>
    <t>par-6 family cell polarity regulator alpha [Source:MGI Symbol;Acc:MGI:1927223]</t>
  </si>
  <si>
    <t>Pex2</t>
  </si>
  <si>
    <t>peroxisomal biogenesis factor 2 [Source:MGI Symbol;Acc:MGI:107486]</t>
  </si>
  <si>
    <t>Rgs11</t>
  </si>
  <si>
    <t>regulator of G-protein signaling 11 [Source:MGI Symbol;Acc:MGI:1354739]</t>
  </si>
  <si>
    <t>Eps15l1</t>
  </si>
  <si>
    <t>epidermal growth factor receptor pathway substrate 15-like 1 [Source:MGI Symbol;Acc:MGI:104582]</t>
  </si>
  <si>
    <t>Fpr2</t>
  </si>
  <si>
    <t>formyl peptide receptor 2 [Source:MGI Symbol;Acc:MGI:1278319]</t>
  </si>
  <si>
    <t>G6pc3</t>
  </si>
  <si>
    <t>glucose 6 phosphatase, catalytic, 3 [Source:MGI Symbol;Acc:MGI:1915651]</t>
  </si>
  <si>
    <t>Rps18</t>
  </si>
  <si>
    <t>ribosomal protein S18 [Source:MGI Symbol;Acc:MGI:98146]</t>
  </si>
  <si>
    <t>Rpl19</t>
  </si>
  <si>
    <t>ribosomal protein L19 [Source:MGI Symbol;Acc:MGI:98020]</t>
  </si>
  <si>
    <t>Reep6</t>
  </si>
  <si>
    <t>receptor accessory protein 6 [Source:MGI Symbol;Acc:MGI:1917585]</t>
  </si>
  <si>
    <t>Specc1</t>
  </si>
  <si>
    <t>sperm antigen with calponin homology and coiled-coil domains 1 [Source:MGI Symbol;Acc:MGI:2442356]</t>
  </si>
  <si>
    <t>Cxcr2</t>
  </si>
  <si>
    <t>chemokine (C-X-C motif) receptor 2 [Source:MGI Symbol;Acc:MGI:105303]</t>
  </si>
  <si>
    <t>Camta1</t>
  </si>
  <si>
    <t>calmodulin binding transcription activator 1 [Source:MGI Symbol;Acc:MGI:2140230]</t>
  </si>
  <si>
    <t>Tcam1</t>
  </si>
  <si>
    <t>testicular cell adhesion molecule 1 [Source:MGI Symbol;Acc:MGI:1923120]</t>
  </si>
  <si>
    <t>Gm5834</t>
  </si>
  <si>
    <t>predicted pseudogene 5834 [Source:MGI Symbol;Acc:MGI:3643955]</t>
  </si>
  <si>
    <t>Ccdc154</t>
  </si>
  <si>
    <t>coiled-coil domain containing 154 [Source:MGI Symbol;Acc:MGI:2685163]</t>
  </si>
  <si>
    <t>Mettl1</t>
  </si>
  <si>
    <t>methyltransferase like 1 [Source:MGI Symbol;Acc:MGI:1339986]</t>
  </si>
  <si>
    <t>Pla2g2d</t>
  </si>
  <si>
    <t>phospholipase A2, group IID [Source:MGI Symbol;Acc:MGI:1341796]</t>
  </si>
  <si>
    <t>Tmco1</t>
  </si>
  <si>
    <t>transmembrane and coiled-coil domains 1 [Source:MGI Symbol;Acc:MGI:1921173]</t>
  </si>
  <si>
    <t>Mia2</t>
  </si>
  <si>
    <t>MIA SH3 domain ER export factor 2 [Source:MGI Symbol;Acc:MGI:2159614]</t>
  </si>
  <si>
    <t>Bahcc1</t>
  </si>
  <si>
    <t>BAH domain and coiled-coil containing 1 [Source:MGI Symbol;Acc:MGI:2679272]</t>
  </si>
  <si>
    <t>Gm37510</t>
  </si>
  <si>
    <t>predicted gene, 37510 [Source:MGI Symbol;Acc:MGI:5610738]</t>
  </si>
  <si>
    <t>Pycrl</t>
  </si>
  <si>
    <t>pyrroline-5-carboxylate reductase-like [Source:MGI Symbol;Acc:MGI:1913444]</t>
  </si>
  <si>
    <t>Itfg2</t>
  </si>
  <si>
    <t>integrin alpha FG-GAP repeat containing 2 [Source:MGI Symbol;Acc:MGI:1915450]</t>
  </si>
  <si>
    <t>Ly6a</t>
  </si>
  <si>
    <t>lymphocyte antigen 6 complex, locus A [Source:MGI Symbol;Acc:MGI:107527]</t>
  </si>
  <si>
    <t>Brd9</t>
  </si>
  <si>
    <t>bromodomain containing 9 [Source:MGI Symbol;Acc:MGI:2145317]</t>
  </si>
  <si>
    <t>Mtag2</t>
  </si>
  <si>
    <t>metastasis associated gene 2 [Source:MGI Symbol;Acc:MGI:1860766]</t>
  </si>
  <si>
    <t>Marchf11</t>
  </si>
  <si>
    <t>membrane associated ring-CH-type finger 11 [Source:MGI Symbol;Acc:MGI:3608327]</t>
  </si>
  <si>
    <t>Zfp688</t>
  </si>
  <si>
    <t>zinc finger protein 688 [Source:MGI Symbol;Acc:MGI:1916484]</t>
  </si>
  <si>
    <t>Snrpb2</t>
  </si>
  <si>
    <t>U2 small nuclear ribonucleoprotein B [Source:MGI Symbol;Acc:MGI:104805]</t>
  </si>
  <si>
    <t>Zfp729b</t>
  </si>
  <si>
    <t>zinc finger protein 729b [Source:MGI Symbol;Acc:MGI:2145180]</t>
  </si>
  <si>
    <t>Txk</t>
  </si>
  <si>
    <t>TXK tyrosine kinase [Source:MGI Symbol;Acc:MGI:102960]</t>
  </si>
  <si>
    <t>Tspan3</t>
  </si>
  <si>
    <t>tetraspanin 3 [Source:MGI Symbol;Acc:MGI:1928098]</t>
  </si>
  <si>
    <t>Tlr12</t>
  </si>
  <si>
    <t>toll-like receptor 12 [Source:MGI Symbol;Acc:MGI:3045221]</t>
  </si>
  <si>
    <t>Gm43172</t>
  </si>
  <si>
    <t>predicted gene 43172 [Source:MGI Symbol;Acc:MGI:5663309]</t>
  </si>
  <si>
    <t>Thsd1</t>
  </si>
  <si>
    <t>thrombospondin, type I, domain 1 [Source:MGI Symbol;Acc:MGI:1929096]</t>
  </si>
  <si>
    <t>Gm16580</t>
  </si>
  <si>
    <t>predicted gene 16580 [Source:MGI Symbol;Acc:MGI:4415000]</t>
  </si>
  <si>
    <t>Washc5</t>
  </si>
  <si>
    <t>WASH complex subunit 5 [Source:MGI Symbol;Acc:MGI:2146110]</t>
  </si>
  <si>
    <t>Rpl29</t>
  </si>
  <si>
    <t>ribosomal protein L29 [Source:MGI Symbol;Acc:MGI:99687]</t>
  </si>
  <si>
    <t>Zfp952</t>
  </si>
  <si>
    <t>zinc finger protein 952 [Source:MGI Symbol;Acc:MGI:2441928]</t>
  </si>
  <si>
    <t>Abraxas2</t>
  </si>
  <si>
    <t>BRISC complex subunit [Source:MGI Symbol;Acc:MGI:1926116]</t>
  </si>
  <si>
    <t>D17H6S53E</t>
  </si>
  <si>
    <t>DNA segment, Chr 17, human D6S53E [Source:MGI Symbol;Acc:MGI:90673]</t>
  </si>
  <si>
    <t>Dhx34</t>
  </si>
  <si>
    <t>DEAH (Asp-Glu-Ala-His) box polypeptide 34 [Source:MGI Symbol;Acc:MGI:1918973]</t>
  </si>
  <si>
    <t>Wdr92</t>
  </si>
  <si>
    <t>WD repeat domain 92 [Source:MGI Symbol;Acc:MGI:2144224]</t>
  </si>
  <si>
    <t>Ctxn1</t>
  </si>
  <si>
    <t>cortexin 1 [Source:MGI Symbol;Acc:MGI:88566]</t>
  </si>
  <si>
    <t>Gm2223</t>
  </si>
  <si>
    <t>predicted pseudogene 2223 [Source:MGI Symbol;Acc:MGI:3780393]</t>
  </si>
  <si>
    <t>Lgals3</t>
  </si>
  <si>
    <t>lectin, galactose binding, soluble 3 [Source:MGI Symbol;Acc:MGI:96778]</t>
  </si>
  <si>
    <t>2700046G09Rik</t>
  </si>
  <si>
    <t>RIKEN cDNA 2700046G09 gene [Source:MGI Symbol;Acc:MGI:1914438]</t>
  </si>
  <si>
    <t>Zfp933</t>
  </si>
  <si>
    <t>zinc finger protein 933 [Source:MGI Symbol;Acc:MGI:1922865]</t>
  </si>
  <si>
    <t>3010003L21Rik</t>
  </si>
  <si>
    <t>RIKEN cDNA 3010003L21 gene [Source:MGI Symbol;Acc:MGI:1924094]</t>
  </si>
  <si>
    <t>2700081O15Rik</t>
  </si>
  <si>
    <t>RIKEN cDNA 2700081O15 gene [Source:MGI Symbol;Acc:MGI:1919667]</t>
  </si>
  <si>
    <t>Gfod2</t>
  </si>
  <si>
    <t>glucose-fructose oxidoreductase domain containing 2 [Source:MGI Symbol;Acc:MGI:1917825]</t>
  </si>
  <si>
    <t>Emilin2</t>
  </si>
  <si>
    <t>elastin microfibril interfacer 2 [Source:MGI Symbol;Acc:MGI:2389136]</t>
  </si>
  <si>
    <t>B230354K17Rik</t>
  </si>
  <si>
    <t>RIKEN cDNA B230354K17 gene [Source:MGI Symbol;Acc:MGI:2443272]</t>
  </si>
  <si>
    <t>Sra1</t>
  </si>
  <si>
    <t>steroid receptor RNA activator 1 [Source:MGI Symbol;Acc:MGI:1344414]</t>
  </si>
  <si>
    <t>Zmiz1</t>
  </si>
  <si>
    <t>zinc finger, MIZ-type containing 1 [Source:MGI Symbol;Acc:MGI:3040693]</t>
  </si>
  <si>
    <t>Ccser2</t>
  </si>
  <si>
    <t>coiled-coil serine rich 2 [Source:MGI Symbol;Acc:MGI:101859]</t>
  </si>
  <si>
    <t>Tomm70a</t>
  </si>
  <si>
    <t>translocase of outer mitochondrial membrane 70A [Source:MGI Symbol;Acc:MGI:106295]</t>
  </si>
  <si>
    <t>Nipsnap3b</t>
  </si>
  <si>
    <t>nipsnap homolog 3B [Source:MGI Symbol;Acc:MGI:1913786]</t>
  </si>
  <si>
    <t>Hypk</t>
  </si>
  <si>
    <t>huntingtin interacting protein K [Source:MGI Symbol;Acc:MGI:1914943]</t>
  </si>
  <si>
    <t>Gm20518</t>
  </si>
  <si>
    <t>predicted gene 20518 [Source:MGI Symbol;Acc:MGI:5141983]</t>
  </si>
  <si>
    <t>Skp2</t>
  </si>
  <si>
    <t>S-phase kinase-associated protein 2 (p45) [Source:MGI Symbol;Acc:MGI:1351663]</t>
  </si>
  <si>
    <t>D5Ertd579e</t>
  </si>
  <si>
    <t>DNA segment, Chr 5, ERATO Doi 579, expressed [Source:MGI Symbol;Acc:MGI:1261849]</t>
  </si>
  <si>
    <t>Lrrc56</t>
  </si>
  <si>
    <t>leucine rich repeat containing 56 [Source:MGI Symbol;Acc:MGI:1917802]</t>
  </si>
  <si>
    <t>Zc3h14</t>
  </si>
  <si>
    <t>zinc finger CCCH type containing 14 [Source:MGI Symbol;Acc:MGI:1919824]</t>
  </si>
  <si>
    <t>Gm12319</t>
  </si>
  <si>
    <t>predicted gene 12319 [Source:MGI Symbol;Acc:MGI:3649749]</t>
  </si>
  <si>
    <t>Snora2b</t>
  </si>
  <si>
    <t>small nucleolar RNA, H/ACA box 2B [Source:MGI Symbol;Acc:MGI:3819497]</t>
  </si>
  <si>
    <t>Gm20696</t>
  </si>
  <si>
    <t>predicted gene 20696 [Source:MGI Symbol;Acc:MGI:5313143]</t>
  </si>
  <si>
    <t>Ube2e1</t>
  </si>
  <si>
    <t>ubiquitin-conjugating enzyme E2E 1 [Source:MGI Symbol;Acc:MGI:107411]</t>
  </si>
  <si>
    <t>Ptrh1</t>
  </si>
  <si>
    <t>peptidyl-tRNA hydrolase 1 homolog [Source:MGI Symbol;Acc:MGI:1913779]</t>
  </si>
  <si>
    <t>Pla2g2e</t>
  </si>
  <si>
    <t>phospholipase A2, group IIE [Source:MGI Symbol;Acc:MGI:1349660]</t>
  </si>
  <si>
    <t>Gm20503</t>
  </si>
  <si>
    <t>predicted gene 20503 [Source:MGI Symbol;Acc:MGI:5141968]</t>
  </si>
  <si>
    <t>Fars2</t>
  </si>
  <si>
    <t>phenylalanine-tRNA synthetase 2 (mitochondrial) [Source:MGI Symbol;Acc:MGI:1917205]</t>
  </si>
  <si>
    <t>Mid1ip1</t>
  </si>
  <si>
    <t>Mid1 interacting protein 1 (gastrulation specific G12-like (zebrafish)) [Source:MGI Symbol;Acc:MGI:1915291]</t>
  </si>
  <si>
    <t>Rbm26</t>
  </si>
  <si>
    <t>RNA binding motif protein 26 [Source:MGI Symbol;Acc:MGI:1921463]</t>
  </si>
  <si>
    <t>Riok1</t>
  </si>
  <si>
    <t>RIO kinase 1 [Source:MGI Symbol;Acc:MGI:1918590]</t>
  </si>
  <si>
    <t>Mirt1</t>
  </si>
  <si>
    <t>myocardial infarction associated transcript 1 [Source:MGI Symbol;Acc:MGI:1922001]</t>
  </si>
  <si>
    <t>Zfp1</t>
  </si>
  <si>
    <t>zinc finger protein 1 [Source:MGI Symbol;Acc:MGI:99154]</t>
  </si>
  <si>
    <t>4930440I19Rik</t>
  </si>
  <si>
    <t>RIKEN cDNA 4930440I19 gene [Source:MGI Symbol;Acc:MGI:1925408]</t>
  </si>
  <si>
    <t>Gsto1</t>
  </si>
  <si>
    <t>glutathione S-transferase omega 1 [Source:MGI Symbol;Acc:MGI:1342273]</t>
  </si>
  <si>
    <t>Tmem115</t>
  </si>
  <si>
    <t>transmembrane protein 115 [Source:MGI Symbol;Acc:MGI:1930765]</t>
  </si>
  <si>
    <t>Cox6c</t>
  </si>
  <si>
    <t>cytochrome c oxidase subunit 6C [Source:MGI Symbol;Acc:MGI:104614]</t>
  </si>
  <si>
    <t>Rab14</t>
  </si>
  <si>
    <t>RAB14, member RAS oncogene family [Source:MGI Symbol;Acc:MGI:1915615]</t>
  </si>
  <si>
    <t>Noa1</t>
  </si>
  <si>
    <t>nitric oxide associated 1 [Source:MGI Symbol;Acc:MGI:1914306]</t>
  </si>
  <si>
    <t>Trnau1ap</t>
  </si>
  <si>
    <t>tRNA selenocysteine 1 associated protein 1 [Source:MGI Symbol;Acc:MGI:1919037]</t>
  </si>
  <si>
    <t>Lsm2</t>
  </si>
  <si>
    <t>LSM2 homolog, U6 small nuclear RNA and mRNA degradation associated [Source:MGI Symbol;Acc:MGI:90676]</t>
  </si>
  <si>
    <t>Chchd5</t>
  </si>
  <si>
    <t>coiled-coil-helix-coiled-coil-helix domain containing 5 [Source:MGI Symbol;Acc:MGI:1913420]</t>
  </si>
  <si>
    <t>Letm1</t>
  </si>
  <si>
    <t>leucine zipper-EF-hand containing transmembrane protein 1 [Source:MGI Symbol;Acc:MGI:1932557]</t>
  </si>
  <si>
    <t>Tmsb4x</t>
  </si>
  <si>
    <t>thymosin, beta 4, X chromosome [Source:MGI Symbol;Acc:MGI:99510]</t>
  </si>
  <si>
    <t>Prune1</t>
  </si>
  <si>
    <t>prune exopolyphosphatase [Source:MGI Symbol;Acc:MGI:1925152]</t>
  </si>
  <si>
    <t>Kpna1</t>
  </si>
  <si>
    <t>karyopherin (importin) alpha 1 [Source:MGI Symbol;Acc:MGI:103560]</t>
  </si>
  <si>
    <t>Gars</t>
  </si>
  <si>
    <t>glycyl-tRNA synthetase [Source:MGI Symbol;Acc:MGI:2449057]</t>
  </si>
  <si>
    <t>Gm14230</t>
  </si>
  <si>
    <t>predicted gene 14230 [Source:MGI Symbol;Acc:MGI:3652157]</t>
  </si>
  <si>
    <t>D430020J02Rik</t>
  </si>
  <si>
    <t>RIKEN cDNA D430020J02 gene [Source:MGI Symbol;Acc:MGI:2442237]</t>
  </si>
  <si>
    <t>Fastkd3</t>
  </si>
  <si>
    <t>FAST kinase domains 3 [Source:MGI Symbol;Acc:MGI:1916827]</t>
  </si>
  <si>
    <t>H2-Q7</t>
  </si>
  <si>
    <t>histocompatibility 2, Q region locus 7 [Source:MGI Symbol;Acc:MGI:95936]</t>
  </si>
  <si>
    <t>Ccno</t>
  </si>
  <si>
    <t>cyclin O [Source:MGI Symbol;Acc:MGI:2145534]</t>
  </si>
  <si>
    <t>Chchd2</t>
  </si>
  <si>
    <t>coiled-coil-helix-coiled-coil-helix domain containing 2 [Source:MGI Symbol;Acc:MGI:1261428]</t>
  </si>
  <si>
    <t>9130401M01Rik</t>
  </si>
  <si>
    <t>RIKEN cDNA 9130401M01 gene [Source:MGI Symbol;Acc:MGI:1923008]</t>
  </si>
  <si>
    <t>Snx8</t>
  </si>
  <si>
    <t>sorting nexin 8 [Source:MGI Symbol;Acc:MGI:2443816]</t>
  </si>
  <si>
    <t>Tmem243</t>
  </si>
  <si>
    <t>transmembrane protein 243, mitochondrial [Source:MGI Symbol;Acc:MGI:3606159]</t>
  </si>
  <si>
    <t>Iars2</t>
  </si>
  <si>
    <t>isoleucine-tRNA synthetase 2, mitochondrial [Source:MGI Symbol;Acc:MGI:1919586]</t>
  </si>
  <si>
    <t>Cblb</t>
  </si>
  <si>
    <t>Casitas B-lineage lymphoma b [Source:MGI Symbol;Acc:MGI:2146430]</t>
  </si>
  <si>
    <t>Dcaf15</t>
  </si>
  <si>
    <t>DDB1 and CUL4 associated factor 15 [Source:MGI Symbol;Acc:MGI:2684420]</t>
  </si>
  <si>
    <t>Ddx55</t>
  </si>
  <si>
    <t>DEAD (Asp-Glu-Ala-Asp) box polypeptide 55 [Source:MGI Symbol;Acc:MGI:1915098]</t>
  </si>
  <si>
    <t>Tspan4</t>
  </si>
  <si>
    <t>tetraspanin 4 [Source:MGI Symbol;Acc:MGI:1928097]</t>
  </si>
  <si>
    <t>Cav2</t>
  </si>
  <si>
    <t>caveolin 2 [Source:MGI Symbol;Acc:MGI:107571]</t>
  </si>
  <si>
    <t>Nucks1</t>
  </si>
  <si>
    <t>nuclear casein kinase and cyclin-dependent kinase substrate 1 [Source:MGI Symbol;Acc:MGI:1934811]</t>
  </si>
  <si>
    <t>Stap2</t>
  </si>
  <si>
    <t>signal transducing adaptor family member 2 [Source:MGI Symbol;Acc:MGI:2147039]</t>
  </si>
  <si>
    <t>Prob1</t>
  </si>
  <si>
    <t>proline rich basic protein 1 [Source:MGI Symbol;Acc:MGI:2686460]</t>
  </si>
  <si>
    <t>Cars</t>
  </si>
  <si>
    <t>cysteinyl-tRNA synthetase [Source:MGI Symbol;Acc:MGI:1351477]</t>
  </si>
  <si>
    <t>Stard3nl</t>
  </si>
  <si>
    <t>STARD3 N-terminal like [Source:MGI Symbol;Acc:MGI:1923455]</t>
  </si>
  <si>
    <t>S100pbp</t>
  </si>
  <si>
    <t>S100P binding protein [Source:MGI Symbol;Acc:MGI:1921898]</t>
  </si>
  <si>
    <t>Zfp955a</t>
  </si>
  <si>
    <t>zinc finger protein 955A [Source:MGI Symbol;Acc:MGI:4834570]</t>
  </si>
  <si>
    <t>Gm49336</t>
  </si>
  <si>
    <t>predicted gene, 49336 [Source:MGI Symbol;Acc:MGI:6121524]</t>
  </si>
  <si>
    <t>Ilf3</t>
  </si>
  <si>
    <t>interleukin enhancer binding factor 3 [Source:MGI Symbol;Acc:MGI:1339973]</t>
  </si>
  <si>
    <t>Cyp4f41-ps</t>
  </si>
  <si>
    <t>cytochrome P450, family 4, subfamily f, polypeptide 41 pseudogene [Source:MGI Symbol;Acc:MGI:1925125]</t>
  </si>
  <si>
    <t>Map3k14</t>
  </si>
  <si>
    <t>mitogen-activated protein kinase kinase kinase 14 [Source:MGI Symbol;Acc:MGI:1858204]</t>
  </si>
  <si>
    <t>Ndc80</t>
  </si>
  <si>
    <t>NDC80 kinetochore complex component [Source:MGI Symbol;Acc:MGI:1914302]</t>
  </si>
  <si>
    <t>Rnf214</t>
  </si>
  <si>
    <t>ring finger protein 214 [Source:MGI Symbol;Acc:MGI:2444451]</t>
  </si>
  <si>
    <t>Slc25a39</t>
  </si>
  <si>
    <t>solute carrier family 25, member 39 [Source:MGI Symbol;Acc:MGI:1196386]</t>
  </si>
  <si>
    <t>Dffa</t>
  </si>
  <si>
    <t>DNA fragmentation factor, alpha subunit [Source:MGI Symbol;Acc:MGI:1196227]</t>
  </si>
  <si>
    <t>Rpl23a</t>
  </si>
  <si>
    <t>ribosomal protein L23A [Source:MGI Symbol;Acc:MGI:3040672]</t>
  </si>
  <si>
    <t>Usp45</t>
  </si>
  <si>
    <t>ubiquitin specific petidase 45 [Source:MGI Symbol;Acc:MGI:101850]</t>
  </si>
  <si>
    <t>Gusb</t>
  </si>
  <si>
    <t>glucuronidase, beta [Source:MGI Symbol;Acc:MGI:95872]</t>
  </si>
  <si>
    <t>Slc22a5</t>
  </si>
  <si>
    <t>solute carrier family 22 (organic cation transporter), member 5 [Source:MGI Symbol;Acc:MGI:1329012]</t>
  </si>
  <si>
    <t>Mkrn1</t>
  </si>
  <si>
    <t>makorin, ring finger protein, 1 [Source:MGI Symbol;Acc:MGI:1859353]</t>
  </si>
  <si>
    <t>Gm17399</t>
  </si>
  <si>
    <t>predicted gene, 17399 [Source:MGI Symbol;Acc:MGI:4937033]</t>
  </si>
  <si>
    <t>Nsmf</t>
  </si>
  <si>
    <t>NMDA receptor synaptonuclear signaling and neuronal migration factor [Source:MGI Symbol;Acc:MGI:1861755]</t>
  </si>
  <si>
    <t>Rplp0</t>
  </si>
  <si>
    <t>ribosomal protein, large, P0 [Source:MGI Symbol;Acc:MGI:1927636]</t>
  </si>
  <si>
    <t>Hmbox1</t>
  </si>
  <si>
    <t>homeobox containing 1 [Source:MGI Symbol;Acc:MGI:2445066]</t>
  </si>
  <si>
    <t>9530034E10Rik</t>
  </si>
  <si>
    <t>RIKEN cDNA 9530034E10 gene [Source:MGI Symbol;Acc:MGI:1925865]</t>
  </si>
  <si>
    <t>Macroh2a1</t>
  </si>
  <si>
    <t>macroH2A.1 histone [Source:MGI Symbol;Acc:MGI:1349392]</t>
  </si>
  <si>
    <t>Ubl3</t>
  </si>
  <si>
    <t>ubiquitin-like 3 [Source:MGI Symbol;Acc:MGI:1344373]</t>
  </si>
  <si>
    <t>Itpr1</t>
  </si>
  <si>
    <t>inositol 1,4,5-trisphosphate receptor 1 [Source:MGI Symbol;Acc:MGI:96623]</t>
  </si>
  <si>
    <t>Rpl28</t>
  </si>
  <si>
    <t>ribosomal protein L28 [Source:MGI Symbol;Acc:MGI:101839]</t>
  </si>
  <si>
    <t>Zfp87</t>
  </si>
  <si>
    <t>zinc finger protein 87 [Source:MGI Symbol;Acc:MGI:107768]</t>
  </si>
  <si>
    <t>Cst7</t>
  </si>
  <si>
    <t>cystatin F (leukocystatin) [Source:MGI Symbol;Acc:MGI:1298217]</t>
  </si>
  <si>
    <t>M6pr-ps</t>
  </si>
  <si>
    <t>mannose-6-phosphate receptor, pseudogene [Source:MGI Symbol;Acc:MGI:96905]</t>
  </si>
  <si>
    <t>AW046200</t>
  </si>
  <si>
    <t>expressed sequence AW046200 [Source:MGI Symbol;Acc:MGI:2142745]</t>
  </si>
  <si>
    <t>Tgfbr1</t>
  </si>
  <si>
    <t>transforming growth factor, beta receptor I [Source:MGI Symbol;Acc:MGI:98728]</t>
  </si>
  <si>
    <t>Gm13331</t>
  </si>
  <si>
    <t>predicted gene 13331 [Source:MGI Symbol;Acc:MGI:3649454]</t>
  </si>
  <si>
    <t>Fan1</t>
  </si>
  <si>
    <t>FANCD2/FANCI-associated nuclease 1 [Source:MGI Symbol;Acc:MGI:3045266]</t>
  </si>
  <si>
    <t>Spdl1</t>
  </si>
  <si>
    <t>spindle apparatus coiled-coil protein 1 [Source:MGI Symbol;Acc:MGI:1917635]</t>
  </si>
  <si>
    <t>Arsb</t>
  </si>
  <si>
    <t>arylsulfatase B [Source:MGI Symbol;Acc:MGI:88075]</t>
  </si>
  <si>
    <t>Ube2i</t>
  </si>
  <si>
    <t>ubiquitin-conjugating enzyme E2I [Source:MGI Symbol;Acc:MGI:107365]</t>
  </si>
  <si>
    <t>Recql5</t>
  </si>
  <si>
    <t>RecQ protein-like 5 [Source:MGI Symbol;Acc:MGI:2156841]</t>
  </si>
  <si>
    <t>Zfp953</t>
  </si>
  <si>
    <t>zinc finger protein 953 [Source:MGI Symbol;Acc:MGI:3612873]</t>
  </si>
  <si>
    <t>Ap3s2</t>
  </si>
  <si>
    <t>adaptor-related protein complex 3, sigma 2 subunit [Source:MGI Symbol;Acc:MGI:1337060]</t>
  </si>
  <si>
    <t>Lsm11</t>
  </si>
  <si>
    <t>U7 snRNP-specific Sm-like protein LSM11 [Source:MGI Symbol;Acc:MGI:1919540]</t>
  </si>
  <si>
    <t>Ddah2</t>
  </si>
  <si>
    <t>dimethylarginine dimethylaminohydrolase 2 [Source:MGI Symbol;Acc:MGI:1859016]</t>
  </si>
  <si>
    <t>Bclaf1</t>
  </si>
  <si>
    <t>BCL2-associated transcription factor 1 [Source:MGI Symbol;Acc:MGI:1917580]</t>
  </si>
  <si>
    <t>Wdr7</t>
  </si>
  <si>
    <t>WD repeat domain 7 [Source:MGI Symbol;Acc:MGI:1860197]</t>
  </si>
  <si>
    <t>6330403L08Rik</t>
  </si>
  <si>
    <t>RIKEN cDNA 6330403L08 gene [Source:MGI Symbol;Acc:MGI:1917994]</t>
  </si>
  <si>
    <t>Tubb4b</t>
  </si>
  <si>
    <t>tubulin, beta 4B class IVB [Source:MGI Symbol;Acc:MGI:1915472]</t>
  </si>
  <si>
    <t>Tmem63b</t>
  </si>
  <si>
    <t>transmembrane protein 63b [Source:MGI Symbol;Acc:MGI:2387609]</t>
  </si>
  <si>
    <t>Rad9b</t>
  </si>
  <si>
    <t>RAD9 checkpoint clamp component B [Source:MGI Symbol;Acc:MGI:2385231]</t>
  </si>
  <si>
    <t>Lmod3</t>
  </si>
  <si>
    <t>leiomodin 3 (fetal) [Source:MGI Symbol;Acc:MGI:2444169]</t>
  </si>
  <si>
    <t>Zfp174</t>
  </si>
  <si>
    <t>zinc finger protein 174 [Source:MGI Symbol;Acc:MGI:2686600]</t>
  </si>
  <si>
    <t>Exo5</t>
  </si>
  <si>
    <t>exonuclease 5 [Source:MGI Symbol;Acc:MGI:1920422]</t>
  </si>
  <si>
    <t>Tlx1</t>
  </si>
  <si>
    <t>T cell leukemia, homeobox 1 [Source:MGI Symbol;Acc:MGI:98769]</t>
  </si>
  <si>
    <t>Tmem18</t>
  </si>
  <si>
    <t>transmembrane protein 18 [Source:MGI Symbol;Acc:MGI:2387176]</t>
  </si>
  <si>
    <t>Ucn2</t>
  </si>
  <si>
    <t>urocortin 2 [Source:MGI Symbol;Acc:MGI:2176375]</t>
  </si>
  <si>
    <t>Gm11613</t>
  </si>
  <si>
    <t>predicted gene 11613 [Source:MGI Symbol;Acc:MGI:3651819]</t>
  </si>
  <si>
    <t>Tmem33</t>
  </si>
  <si>
    <t>transmembrane protein 33 [Source:MGI Symbol;Acc:MGI:1915128]</t>
  </si>
  <si>
    <t>Pla2g12a</t>
  </si>
  <si>
    <t>phospholipase A2, group XIIA [Source:MGI Symbol;Acc:MGI:1913600]</t>
  </si>
  <si>
    <t>Ficd</t>
  </si>
  <si>
    <t>FIC domain containing [Source:MGI Symbol;Acc:MGI:1098550]</t>
  </si>
  <si>
    <t>Cd83</t>
  </si>
  <si>
    <t>CD83 antigen [Source:MGI Symbol;Acc:MGI:1328316]</t>
  </si>
  <si>
    <t>Mllt1</t>
  </si>
  <si>
    <t>myeloid/lymphoid or mixed-lineage leukemia; translocated to, 1 [Source:MGI Symbol;Acc:MGI:1927238]</t>
  </si>
  <si>
    <t>Dmrta2</t>
  </si>
  <si>
    <t>doublesex and mab-3 related transcription factor like family A2 [Source:MGI Symbol;Acc:MGI:2653629]</t>
  </si>
  <si>
    <t>Ntan1</t>
  </si>
  <si>
    <t>N-terminal Asn amidase [Source:MGI Symbol;Acc:MGI:108471]</t>
  </si>
  <si>
    <t>Cdv3-ps</t>
  </si>
  <si>
    <t>Cdv3 retrotransposed pseudogene [Source:MGI Symbol;Acc:MGI:3646628]</t>
  </si>
  <si>
    <t>Lrch3</t>
  </si>
  <si>
    <t>leucine-rich repeats and calponin homology (CH) domain containing 3 [Source:MGI Symbol;Acc:MGI:1917394]</t>
  </si>
  <si>
    <t>K230015D01Rik</t>
  </si>
  <si>
    <t>RIKEN cDNA K230015D01 gene [Source:MGI Symbol;Acc:MGI:3642019]</t>
  </si>
  <si>
    <t>Gm37084</t>
  </si>
  <si>
    <t>predicted gene, 37084 [Source:MGI Symbol;Acc:MGI:5610312]</t>
  </si>
  <si>
    <t>H3c14</t>
  </si>
  <si>
    <t>H3 clustered histone 14 [Source:MGI Symbol;Acc:MGI:2448355]</t>
  </si>
  <si>
    <t>Ints6</t>
  </si>
  <si>
    <t>integrator complex subunit 6 [Source:MGI Symbol;Acc:MGI:1202397]</t>
  </si>
  <si>
    <t>Gm12932</t>
  </si>
  <si>
    <t>predicted gene 12932 [Source:MGI Symbol;Acc:MGI:3651151]</t>
  </si>
  <si>
    <t>Zmym4</t>
  </si>
  <si>
    <t>zinc finger, MYM-type 4 [Source:MGI Symbol;Acc:MGI:1915035]</t>
  </si>
  <si>
    <t>Tns2</t>
  </si>
  <si>
    <t>tensin 2 [Source:MGI Symbol;Acc:MGI:2387586]</t>
  </si>
  <si>
    <t>Pkn3</t>
  </si>
  <si>
    <t>protein kinase N3 [Source:MGI Symbol;Acc:MGI:2388285]</t>
  </si>
  <si>
    <t>Capza1</t>
  </si>
  <si>
    <t>capping protein (actin filament) muscle Z-line, alpha 1 [Source:MGI Symbol;Acc:MGI:106227]</t>
  </si>
  <si>
    <t>Vdac3</t>
  </si>
  <si>
    <t>voltage-dependent anion channel 3 [Source:MGI Symbol;Acc:MGI:106922]</t>
  </si>
  <si>
    <t>Rtel1</t>
  </si>
  <si>
    <t>regulator of telomere elongation helicase 1 [Source:MGI Symbol;Acc:MGI:2139369]</t>
  </si>
  <si>
    <t>Rpl38</t>
  </si>
  <si>
    <t>ribosomal protein L38 [Source:MGI Symbol;Acc:MGI:1914921]</t>
  </si>
  <si>
    <t>Mir546</t>
  </si>
  <si>
    <t>microRNA 546 [Source:MGI Symbol;Acc:MGI:3619433]</t>
  </si>
  <si>
    <t>Nup160</t>
  </si>
  <si>
    <t>nucleoporin 160 [Source:MGI Symbol;Acc:MGI:1926227]</t>
  </si>
  <si>
    <t>Ido2</t>
  </si>
  <si>
    <t>indoleamine 2,3-dioxygenase 2 [Source:MGI Symbol;Acc:MGI:2142489]</t>
  </si>
  <si>
    <t>Gm35339</t>
  </si>
  <si>
    <t>predicted gene, 35339 [Source:MGI Symbol;Acc:MGI:5594498]</t>
  </si>
  <si>
    <t>Pdia5</t>
  </si>
  <si>
    <t>protein disulfide isomerase associated 5 [Source:MGI Symbol;Acc:MGI:1919849]</t>
  </si>
  <si>
    <t>Arrdc1</t>
  </si>
  <si>
    <t>arrestin domain containing 1 [Source:MGI Symbol;Acc:MGI:2446136]</t>
  </si>
  <si>
    <t>Plp2</t>
  </si>
  <si>
    <t>proteolipid protein 2 [Source:MGI Symbol;Acc:MGI:1298382]</t>
  </si>
  <si>
    <t>Gm24524</t>
  </si>
  <si>
    <t>predicted gene, 24524 [Source:MGI Symbol;Acc:MGI:5454301]</t>
  </si>
  <si>
    <t>Exosc6</t>
  </si>
  <si>
    <t>exosome component 6 [Source:MGI Symbol;Acc:MGI:1919794]</t>
  </si>
  <si>
    <t>Gm34466</t>
  </si>
  <si>
    <t>predicted gene, 34466 [Source:MGI Symbol;Acc:MGI:5593625]</t>
  </si>
  <si>
    <t>Usp10</t>
  </si>
  <si>
    <t>ubiquitin specific peptidase 10 [Source:MGI Symbol;Acc:MGI:894652]</t>
  </si>
  <si>
    <t>Cyth3</t>
  </si>
  <si>
    <t>cytohesin 3 [Source:MGI Symbol;Acc:MGI:1335107]</t>
  </si>
  <si>
    <t>Odr4</t>
  </si>
  <si>
    <t>odr4 GPCR localization factor homolog [Source:MGI Symbol;Acc:MGI:2385108]</t>
  </si>
  <si>
    <t>Rps24</t>
  </si>
  <si>
    <t>ribosomal protein S24 [Source:MGI Symbol;Acc:MGI:98147]</t>
  </si>
  <si>
    <t>Gm29560</t>
  </si>
  <si>
    <t>predicted gene 29560 [Source:MGI Symbol;Acc:MGI:5580266]</t>
  </si>
  <si>
    <t>Zbtb24</t>
  </si>
  <si>
    <t>zinc finger and BTB domain containing 24 [Source:MGI Symbol;Acc:MGI:3039618]</t>
  </si>
  <si>
    <t>Rtl10</t>
  </si>
  <si>
    <t>retrotransposon Gag like 10 [Source:MGI Symbol;Acc:MGI:3833934]</t>
  </si>
  <si>
    <t>Fgd6</t>
  </si>
  <si>
    <t>FYVE, RhoGEF and PH domain containing 6 [Source:MGI Symbol;Acc:MGI:1261419]</t>
  </si>
  <si>
    <t>Pex11g</t>
  </si>
  <si>
    <t>peroxisomal biogenesis factor 11 gamma [Source:MGI Symbol;Acc:MGI:1920905]</t>
  </si>
  <si>
    <t>Senp8</t>
  </si>
  <si>
    <t>SUMO/sentrin specific peptidase 8 [Source:MGI Symbol;Acc:MGI:1918849]</t>
  </si>
  <si>
    <t>Dis3</t>
  </si>
  <si>
    <t>DIS3 homolog, exosome endoribonuclease and 3'-5' exoribonuclease [Source:MGI Symbol;Acc:MGI:1919912]</t>
  </si>
  <si>
    <t>Rab44</t>
  </si>
  <si>
    <t>RAB44, member RAS oncogene family [Source:MGI Symbol;Acc:MGI:3045302]</t>
  </si>
  <si>
    <t>Gm15998</t>
  </si>
  <si>
    <t>predicted gene 15998 [Source:MGI Symbol;Acc:MGI:3802094]</t>
  </si>
  <si>
    <t>Dph1</t>
  </si>
  <si>
    <t>diphthamide biosynthesis 1 [Source:MGI Symbol;Acc:MGI:2151233]</t>
  </si>
  <si>
    <t>Tmtc3</t>
  </si>
  <si>
    <t>transmembrane and tetratricopeptide repeat containing 3 [Source:MGI Symbol;Acc:MGI:3036255]</t>
  </si>
  <si>
    <t>Cacul1</t>
  </si>
  <si>
    <t>CDK2 associated, cullin domain 1 [Source:MGI Symbol;Acc:MGI:1926082]</t>
  </si>
  <si>
    <t>Pfkl</t>
  </si>
  <si>
    <t>phosphofructokinase, liver, B-type [Source:MGI Symbol;Acc:MGI:97547]</t>
  </si>
  <si>
    <t>Znhit6</t>
  </si>
  <si>
    <t>zinc finger, HIT type 6 [Source:MGI Symbol;Acc:MGI:1916996]</t>
  </si>
  <si>
    <t>Sap130</t>
  </si>
  <si>
    <t>Sin3A associated protein [Source:MGI Symbol;Acc:MGI:1919782]</t>
  </si>
  <si>
    <t>Gm10516</t>
  </si>
  <si>
    <t>predicted gene 10516 [Source:MGI Symbol;Acc:MGI:3641979]</t>
  </si>
  <si>
    <t>Gm15850</t>
  </si>
  <si>
    <t>predicted gene 15850 [Source:MGI Symbol;Acc:MGI:3801986]</t>
  </si>
  <si>
    <t>Gm20100</t>
  </si>
  <si>
    <t>predicted gene, 20100 [Source:MGI Symbol;Acc:MGI:5012285]</t>
  </si>
  <si>
    <t>Jade1</t>
  </si>
  <si>
    <t>jade family PHD finger 1 [Source:MGI Symbol;Acc:MGI:1925835]</t>
  </si>
  <si>
    <t>Clock</t>
  </si>
  <si>
    <t>circadian locomotor output cycles kaput [Source:MGI Symbol;Acc:MGI:99698]</t>
  </si>
  <si>
    <t>Traf3</t>
  </si>
  <si>
    <t>TNF receptor-associated factor 3 [Source:MGI Symbol;Acc:MGI:108041]</t>
  </si>
  <si>
    <t>Gm16861</t>
  </si>
  <si>
    <t>predicted gene, 16861 [Source:MGI Symbol;Acc:MGI:4439785]</t>
  </si>
  <si>
    <t>Zfp768</t>
  </si>
  <si>
    <t>zinc finger protein 768 [Source:MGI Symbol;Acc:MGI:2384582]</t>
  </si>
  <si>
    <t>Dnajc4</t>
  </si>
  <si>
    <t>DnaJ heat shock protein family (Hsp40) member C4 [Source:MGI Symbol;Acc:MGI:1927346]</t>
  </si>
  <si>
    <t>Bmpr2</t>
  </si>
  <si>
    <t>bone morphogenetic protein receptor, type II (serine/threonine kinase) [Source:MGI Symbol;Acc:MGI:1095407]</t>
  </si>
  <si>
    <t>Mtrex</t>
  </si>
  <si>
    <t>Mtr4 exosome RNA helicase [Source:MGI Symbol;Acc:MGI:1919448]</t>
  </si>
  <si>
    <t>Gm9276</t>
  </si>
  <si>
    <t>predicted gene 9276 [Source:MGI Symbol;Acc:MGI:3643073]</t>
  </si>
  <si>
    <t>Rpl18a</t>
  </si>
  <si>
    <t>ribosomal protein L18A [Source:MGI Symbol;Acc:MGI:1924058]</t>
  </si>
  <si>
    <t>Slc33a1</t>
  </si>
  <si>
    <t>solute carrier family 33 (acetyl-CoA transporter), member 1 [Source:MGI Symbol;Acc:MGI:1332247]</t>
  </si>
  <si>
    <t>Xrcc4</t>
  </si>
  <si>
    <t>X-ray repair complementing defective repair in Chinese hamster cells 4 [Source:MGI Symbol;Acc:MGI:1333799]</t>
  </si>
  <si>
    <t>Rars2</t>
  </si>
  <si>
    <t>arginyl-tRNA synthetase 2, mitochondrial [Source:MGI Symbol;Acc:MGI:1923596]</t>
  </si>
  <si>
    <t>Tmem62</t>
  </si>
  <si>
    <t>transmembrane protein 62 [Source:MGI Symbol;Acc:MGI:2139461]</t>
  </si>
  <si>
    <t>C1qtnf6</t>
  </si>
  <si>
    <t>C1q and tumor necrosis factor related protein 6 [Source:MGI Symbol;Acc:MGI:1919959]</t>
  </si>
  <si>
    <t>Pum2</t>
  </si>
  <si>
    <t>pumilio RNA-binding family member 2 [Source:MGI Symbol;Acc:MGI:1931751]</t>
  </si>
  <si>
    <t>Gm48998</t>
  </si>
  <si>
    <t>predicted gene, 48998 [Source:MGI Symbol;Acc:MGI:6118348]</t>
  </si>
  <si>
    <t>Ift74</t>
  </si>
  <si>
    <t>intraflagellar transport 74 [Source:MGI Symbol;Acc:MGI:1914944]</t>
  </si>
  <si>
    <t>Narf</t>
  </si>
  <si>
    <t>nuclear prelamin A recognition factor [Source:MGI Symbol;Acc:MGI:1914858]</t>
  </si>
  <si>
    <t>Enox2</t>
  </si>
  <si>
    <t>ecto-NOX disulfide-thiol exchanger 2 [Source:MGI Symbol;Acc:MGI:2384799]</t>
  </si>
  <si>
    <t>Zfp945</t>
  </si>
  <si>
    <t>zinc finger protein 945 [Source:MGI Symbol;Acc:MGI:2445132]</t>
  </si>
  <si>
    <t>Gm42547</t>
  </si>
  <si>
    <t>predicted gene 42547 [Source:MGI Symbol;Acc:MGI:5662684]</t>
  </si>
  <si>
    <t>Cdkal1</t>
  </si>
  <si>
    <t>CDK5 regulatory subunit associated protein 1-like 1 [Source:MGI Symbol;Acc:MGI:1921765]</t>
  </si>
  <si>
    <t>Cdk11b</t>
  </si>
  <si>
    <t>cyclin-dependent kinase 11B [Source:MGI Symbol;Acc:MGI:88353]</t>
  </si>
  <si>
    <t>B3galt4</t>
  </si>
  <si>
    <t>UDP-Gal:betaGlcNAc beta 1,3-galactosyltransferase, polypeptide 4 [Source:MGI Symbol;Acc:MGI:1859517]</t>
  </si>
  <si>
    <t>Rbx1</t>
  </si>
  <si>
    <t>ring-box 1 [Source:MGI Symbol;Acc:MGI:1891829]</t>
  </si>
  <si>
    <t>Cep95</t>
  </si>
  <si>
    <t>centrosomal protein 95 [Source:MGI Symbol;Acc:MGI:2443502]</t>
  </si>
  <si>
    <t>Dnm1l</t>
  </si>
  <si>
    <t>dynamin 1-like [Source:MGI Symbol;Acc:MGI:1921256]</t>
  </si>
  <si>
    <t>Gm11748</t>
  </si>
  <si>
    <t>predicted gene 11748 [Source:MGI Symbol;Acc:MGI:3704384]</t>
  </si>
  <si>
    <t>Pgm1</t>
  </si>
  <si>
    <t>phosphoglucomutase 1 [Source:MGI Symbol;Acc:MGI:97565]</t>
  </si>
  <si>
    <t>Copb1</t>
  </si>
  <si>
    <t>coatomer protein complex, subunit beta 1 [Source:MGI Symbol;Acc:MGI:1917599]</t>
  </si>
  <si>
    <t>Dnaic2</t>
  </si>
  <si>
    <t>dynein, axonemal, intermediate chain 2 [Source:MGI Symbol;Acc:MGI:2685574]</t>
  </si>
  <si>
    <t>C130026I21Rik</t>
  </si>
  <si>
    <t>RIKEN cDNA C130026I21 gene [Source:MGI Symbol;Acc:MGI:3612702]</t>
  </si>
  <si>
    <t>Dtd2</t>
  </si>
  <si>
    <t>D-tyrosyl-tRNA deacylase 2 [Source:MGI Symbol;Acc:MGI:1923485]</t>
  </si>
  <si>
    <t>Cacna1a</t>
  </si>
  <si>
    <t>calcium channel, voltage-dependent, P/Q type, alpha 1A subunit [Source:MGI Symbol;Acc:MGI:109482]</t>
  </si>
  <si>
    <t>Slc26a9</t>
  </si>
  <si>
    <t>solute carrier family 26, member 9 [Source:MGI Symbol;Acc:MGI:2444594]</t>
  </si>
  <si>
    <t>Erf</t>
  </si>
  <si>
    <t>Ets2 repressor factor [Source:MGI Symbol;Acc:MGI:109637]</t>
  </si>
  <si>
    <t>Cpne3</t>
  </si>
  <si>
    <t>copine III [Source:MGI Symbol;Acc:MGI:1917818]</t>
  </si>
  <si>
    <t>Slc35e2</t>
  </si>
  <si>
    <t>solute carrier family 35, member E2 [Source:MGI Symbol;Acc:MGI:2444240]</t>
  </si>
  <si>
    <t>Washc3</t>
  </si>
  <si>
    <t>WASH complex subunit 3 [Source:MGI Symbol;Acc:MGI:1914532]</t>
  </si>
  <si>
    <t>Rab4a</t>
  </si>
  <si>
    <t>RAB4A, member RAS oncogene family [Source:MGI Symbol;Acc:MGI:105069]</t>
  </si>
  <si>
    <t>Nt5c2</t>
  </si>
  <si>
    <t>5'-nucleotidase, cytosolic II [Source:MGI Symbol;Acc:MGI:2178563]</t>
  </si>
  <si>
    <t>Tbc1d25</t>
  </si>
  <si>
    <t>TBC1 domain family, member 25 [Source:MGI Symbol;Acc:MGI:2444862]</t>
  </si>
  <si>
    <t>Rftn1</t>
  </si>
  <si>
    <t>raftlin lipid raft linker 1 [Source:MGI Symbol;Acc:MGI:1923688]</t>
  </si>
  <si>
    <t>Tenm4</t>
  </si>
  <si>
    <t>teneurin transmembrane protein 4 [Source:MGI Symbol;Acc:MGI:2447063]</t>
  </si>
  <si>
    <t>Nr2c1</t>
  </si>
  <si>
    <t>nuclear receptor subfamily 2, group C, member 1 [Source:MGI Symbol;Acc:MGI:1352465]</t>
  </si>
  <si>
    <t>Rnf4</t>
  </si>
  <si>
    <t>ring finger protein 4 [Source:MGI Symbol;Acc:MGI:1201691]</t>
  </si>
  <si>
    <t>Gm28496</t>
  </si>
  <si>
    <t>predicted gene 28496 [Source:MGI Symbol;Acc:MGI:5579202]</t>
  </si>
  <si>
    <t>Grwd1</t>
  </si>
  <si>
    <t>glutamate-rich WD repeat containing 1 [Source:MGI Symbol;Acc:MGI:2141989]</t>
  </si>
  <si>
    <t>Rc3h2</t>
  </si>
  <si>
    <t>ring finger and CCCH-type zinc finger domains 2 [Source:MGI Symbol;Acc:MGI:2442789]</t>
  </si>
  <si>
    <t>Txlna</t>
  </si>
  <si>
    <t>taxilin alpha [Source:MGI Symbol;Acc:MGI:105968]</t>
  </si>
  <si>
    <t>Zfp189</t>
  </si>
  <si>
    <t>zinc finger protein 189 [Source:MGI Symbol;Acc:MGI:2444707]</t>
  </si>
  <si>
    <t>H6pd</t>
  </si>
  <si>
    <t>hexose-6-phosphate dehydrogenase (glucose 1-dehydrogenase) [Source:MGI Symbol;Acc:MGI:2140356]</t>
  </si>
  <si>
    <t>Rpap3</t>
  </si>
  <si>
    <t>RNA polymerase II associated protein 3 [Source:MGI Symbol;Acc:MGI:1277218]</t>
  </si>
  <si>
    <t>Marchf6</t>
  </si>
  <si>
    <t>membrane associated ring-CH-type finger 6 [Source:MGI Symbol;Acc:MGI:2442773]</t>
  </si>
  <si>
    <t>Mfn1</t>
  </si>
  <si>
    <t>mitofusin 1 [Source:MGI Symbol;Acc:MGI:1914664]</t>
  </si>
  <si>
    <t>Stx2</t>
  </si>
  <si>
    <t>syntaxin 2 [Source:MGI Symbol;Acc:MGI:108059]</t>
  </si>
  <si>
    <t>Zmynd15</t>
  </si>
  <si>
    <t>zinc finger, MYND-type containing 15 [Source:MGI Symbol;Acc:MGI:3603821]</t>
  </si>
  <si>
    <t>Ankrd46</t>
  </si>
  <si>
    <t>ankyrin repeat domain 46 [Source:MGI Symbol;Acc:MGI:1916089]</t>
  </si>
  <si>
    <t>Zmat3</t>
  </si>
  <si>
    <t>zinc finger matrin type 3 [Source:MGI Symbol;Acc:MGI:1195270]</t>
  </si>
  <si>
    <t>Zfp825</t>
  </si>
  <si>
    <t>zinc finger protein 825 [Source:MGI Symbol;Acc:MGI:2385315]</t>
  </si>
  <si>
    <t>4931406C07Rik</t>
  </si>
  <si>
    <t>RIKEN cDNA 4931406C07 gene [Source:MGI Symbol;Acc:MGI:1918234]</t>
  </si>
  <si>
    <t>Rpl5</t>
  </si>
  <si>
    <t>ribosomal protein L5 [Source:MGI Symbol;Acc:MGI:102854]</t>
  </si>
  <si>
    <t>Grk5</t>
  </si>
  <si>
    <t>G protein-coupled receptor kinase 5 [Source:MGI Symbol;Acc:MGI:109161]</t>
  </si>
  <si>
    <t>Dph3</t>
  </si>
  <si>
    <t>diphthamine biosynthesis 3 [Source:MGI Symbol;Acc:MGI:1922658]</t>
  </si>
  <si>
    <t>Ssr2</t>
  </si>
  <si>
    <t>signal sequence receptor, beta [Source:MGI Symbol;Acc:MGI:1913506]</t>
  </si>
  <si>
    <t>Kif14</t>
  </si>
  <si>
    <t>kinesin family member 14 [Source:MGI Symbol;Acc:MGI:1098226]</t>
  </si>
  <si>
    <t>P3h1</t>
  </si>
  <si>
    <t>prolyl 3-hydroxylase 1 [Source:MGI Symbol;Acc:MGI:1888921]</t>
  </si>
  <si>
    <t>Sned1</t>
  </si>
  <si>
    <t>sushi, nidogen and EGF-like domains 1 [Source:MGI Symbol;Acc:MGI:3045960]</t>
  </si>
  <si>
    <t>Mrps2</t>
  </si>
  <si>
    <t>mitochondrial ribosomal protein S2 [Source:MGI Symbol;Acc:MGI:2153089]</t>
  </si>
  <si>
    <t>Gm13717</t>
  </si>
  <si>
    <t>predicted gene 13717 [Source:MGI Symbol;Acc:MGI:3650430]</t>
  </si>
  <si>
    <t>Hif1an</t>
  </si>
  <si>
    <t>hypoxia-inducible factor 1, alpha subunit inhibitor [Source:MGI Symbol;Acc:MGI:2442345]</t>
  </si>
  <si>
    <t>Nup54</t>
  </si>
  <si>
    <t>nucleoporin 54 [Source:MGI Symbol;Acc:MGI:1920460]</t>
  </si>
  <si>
    <t>Tbc1d24</t>
  </si>
  <si>
    <t>TBC1 domain family, member 24 [Source:MGI Symbol;Acc:MGI:2443456]</t>
  </si>
  <si>
    <t>Actr6</t>
  </si>
  <si>
    <t>ARP6 actin-related protein 6 [Source:MGI Symbol;Acc:MGI:1914269]</t>
  </si>
  <si>
    <t>Plod2</t>
  </si>
  <si>
    <t>procollagen lysine, 2-oxoglutarate 5-dioxygenase 2 [Source:MGI Symbol;Acc:MGI:1347007]</t>
  </si>
  <si>
    <t>Pelp1</t>
  </si>
  <si>
    <t>proline, glutamic acid and leucine rich protein 1 [Source:MGI Symbol;Acc:MGI:1922523]</t>
  </si>
  <si>
    <t>B230307C23Rik</t>
  </si>
  <si>
    <t>RIKEN cDNA B230307C23 gene [Source:MGI Symbol;Acc:MGI:3643396]</t>
  </si>
  <si>
    <t>Rasl11b</t>
  </si>
  <si>
    <t>RAS-like, family 11, member B [Source:MGI Symbol;Acc:MGI:1916189]</t>
  </si>
  <si>
    <t>1110038B12Rik</t>
  </si>
  <si>
    <t>RIKEN cDNA 1110038B12 gene [Source:MGI Symbol;Acc:MGI:1916013]</t>
  </si>
  <si>
    <t>Dhx35</t>
  </si>
  <si>
    <t>DEAH (Asp-Glu-Ala-His) box polypeptide 35 [Source:MGI Symbol;Acc:MGI:1918965]</t>
  </si>
  <si>
    <t>Nck1</t>
  </si>
  <si>
    <t>non-catalytic region of tyrosine kinase adaptor protein 1 [Source:MGI Symbol;Acc:MGI:109601]</t>
  </si>
  <si>
    <t>Paxbp1</t>
  </si>
  <si>
    <t>PAX3 and PAX7 binding protein 1 [Source:MGI Symbol;Acc:MGI:1914617]</t>
  </si>
  <si>
    <t>Ngly1</t>
  </si>
  <si>
    <t>N-glycanase 1 [Source:MGI Symbol;Acc:MGI:1913276]</t>
  </si>
  <si>
    <t>Cipc</t>
  </si>
  <si>
    <t>CLOCK interacting protein, circadian [Source:MGI Symbol;Acc:MGI:1919185]</t>
  </si>
  <si>
    <t>Mtres1</t>
  </si>
  <si>
    <t>mitochondrial transcription rescue factor 1 [Source:MGI Symbol;Acc:MGI:1915101]</t>
  </si>
  <si>
    <t>Rwdd1</t>
  </si>
  <si>
    <t>RWD domain containing 1 [Source:MGI Symbol;Acc:MGI:1913771]</t>
  </si>
  <si>
    <t>Dtd1</t>
  </si>
  <si>
    <t>D-tyrosyl-tRNA deacylase 1 [Source:MGI Symbol;Acc:MGI:1913294]</t>
  </si>
  <si>
    <t>Tinagl1</t>
  </si>
  <si>
    <t>tubulointerstitial nephritis antigen-like 1 [Source:MGI Symbol;Acc:MGI:2137617]</t>
  </si>
  <si>
    <t>Tm9sf1</t>
  </si>
  <si>
    <t>transmembrane 9 superfamily member 1 [Source:MGI Symbol;Acc:MGI:1921390]</t>
  </si>
  <si>
    <t>3000002C10Rik</t>
  </si>
  <si>
    <t>RIKEN cDNA 3000002C10 gene [Source:MGI Symbol;Acc:MGI:3036226]</t>
  </si>
  <si>
    <t>Lcmt1</t>
  </si>
  <si>
    <t>leucine carboxyl methyltransferase 1 [Source:MGI Symbol;Acc:MGI:1353593]</t>
  </si>
  <si>
    <t>Gm17491</t>
  </si>
  <si>
    <t>predicted gene, 17491 [Source:MGI Symbol;Acc:MGI:4937125]</t>
  </si>
  <si>
    <t>Cyp2s1</t>
  </si>
  <si>
    <t>cytochrome P450, family 2, subfamily s, polypeptide 1 [Source:MGI Symbol;Acc:MGI:1921384]</t>
  </si>
  <si>
    <t>Vdac2</t>
  </si>
  <si>
    <t>voltage-dependent anion channel 2 [Source:MGI Symbol;Acc:MGI:106915]</t>
  </si>
  <si>
    <t>Gng10</t>
  </si>
  <si>
    <t>guanine nucleotide binding protein (G protein), gamma 10 [Source:MGI Symbol;Acc:MGI:1336169]</t>
  </si>
  <si>
    <t>Mt1</t>
  </si>
  <si>
    <t>metallothionein 1 [Source:MGI Symbol;Acc:MGI:97171]</t>
  </si>
  <si>
    <t>Zfp46</t>
  </si>
  <si>
    <t>zinc finger protein 46 [Source:MGI Symbol;Acc:MGI:99192]</t>
  </si>
  <si>
    <t>Rnf38</t>
  </si>
  <si>
    <t>ring finger protein 38 [Source:MGI Symbol;Acc:MGI:1920719]</t>
  </si>
  <si>
    <t>Bpi</t>
  </si>
  <si>
    <t>bactericidal permeablility increasing protein [Source:MGI Symbol;Acc:MGI:3045315]</t>
  </si>
  <si>
    <t>Nr4a2</t>
  </si>
  <si>
    <t>nuclear receptor subfamily 4, group A, member 2 [Source:MGI Symbol;Acc:MGI:1352456]</t>
  </si>
  <si>
    <t>Enthd1</t>
  </si>
  <si>
    <t>ENTH domain containing 1 [Source:MGI Symbol;Acc:MGI:2686088]</t>
  </si>
  <si>
    <t>Mbp</t>
  </si>
  <si>
    <t>myelin basic protein [Source:MGI Symbol;Acc:MGI:96925]</t>
  </si>
  <si>
    <t>Parg</t>
  </si>
  <si>
    <t>poly (ADP-ribose) glycohydrolase [Source:MGI Symbol;Acc:MGI:1347094]</t>
  </si>
  <si>
    <t>Shld2</t>
  </si>
  <si>
    <t>shieldin complex subunit 2 [Source:MGI Symbol;Acc:MGI:1922948]</t>
  </si>
  <si>
    <t>Septin2</t>
  </si>
  <si>
    <t>septin 2 [Source:MGI Symbol;Acc:MGI:97298]</t>
  </si>
  <si>
    <t>2810408I11Rik</t>
  </si>
  <si>
    <t>RIKEN cDNA 2810408I11 gene [Source:MGI Symbol;Acc:MGI:1917191]</t>
  </si>
  <si>
    <t>Ccdc28b</t>
  </si>
  <si>
    <t>coiled coil domain containing 28B [Source:MGI Symbol;Acc:MGI:1913514]</t>
  </si>
  <si>
    <t>Tusc3</t>
  </si>
  <si>
    <t>tumor suppressor candidate 3 [Source:MGI Symbol;Acc:MGI:1933134]</t>
  </si>
  <si>
    <t>Gadd45gip1</t>
  </si>
  <si>
    <t>growth arrest and DNA-damage-inducible, gamma interacting protein 1 [Source:MGI Symbol;Acc:MGI:1914947]</t>
  </si>
  <si>
    <t>Zfp236</t>
  </si>
  <si>
    <t>zinc finger protein 236 [Source:MGI Symbol;Acc:MGI:1926950]</t>
  </si>
  <si>
    <t>Plk4</t>
  </si>
  <si>
    <t>polo like kinase 4 [Source:MGI Symbol;Acc:MGI:101783]</t>
  </si>
  <si>
    <t>Med6</t>
  </si>
  <si>
    <t>mediator complex subunit 6 [Source:MGI Symbol;Acc:MGI:1917042]</t>
  </si>
  <si>
    <t>Med9</t>
  </si>
  <si>
    <t>mediator complex subunit 9 [Source:MGI Symbol;Acc:MGI:2183151]</t>
  </si>
  <si>
    <t>Ppp3r1</t>
  </si>
  <si>
    <t>protein phosphatase 3, regulatory subunit B, alpha isoform (calcineurin B, type I) [Source:MGI Symbol;Acc:MGI:107172]</t>
  </si>
  <si>
    <t>Rpl13</t>
  </si>
  <si>
    <t>ribosomal protein L13 [Source:MGI Symbol;Acc:MGI:105922]</t>
  </si>
  <si>
    <t>2310034G01Rik</t>
  </si>
  <si>
    <t>RIKEN cDNA 2310034G01 gene [Source:MGI Symbol;Acc:MGI:1922829]</t>
  </si>
  <si>
    <t>Mien1</t>
  </si>
  <si>
    <t>migration and invasion enhancer 1 [Source:MGI Symbol;Acc:MGI:1913678]</t>
  </si>
  <si>
    <t>Pip4p1</t>
  </si>
  <si>
    <t>phosphatidylinositol-4,5-bisphosphate 4-phosphatase 1 [Source:MGI Symbol;Acc:MGI:2448501]</t>
  </si>
  <si>
    <t>Znrf3</t>
  </si>
  <si>
    <t>zinc and ring finger 3 [Source:MGI Symbol;Acc:MGI:3039616]</t>
  </si>
  <si>
    <t>Wtip</t>
  </si>
  <si>
    <t>WT1-interacting protein [Source:MGI Symbol;Acc:MGI:2141920]</t>
  </si>
  <si>
    <t>Grk4</t>
  </si>
  <si>
    <t>G protein-coupled receptor kinase 4 [Source:MGI Symbol;Acc:MGI:95801]</t>
  </si>
  <si>
    <t>Hsd17b11</t>
  </si>
  <si>
    <t>hydroxysteroid (17-beta) dehydrogenase 11 [Source:MGI Symbol;Acc:MGI:2149821]</t>
  </si>
  <si>
    <t>Dvl2</t>
  </si>
  <si>
    <t>dishevelled segment polarity protein 2 [Source:MGI Symbol;Acc:MGI:106613]</t>
  </si>
  <si>
    <t>Espn</t>
  </si>
  <si>
    <t>espin [Source:MGI Symbol;Acc:MGI:1861630]</t>
  </si>
  <si>
    <t>Nr3c1</t>
  </si>
  <si>
    <t>nuclear receptor subfamily 3, group C, member 1 [Source:MGI Symbol;Acc:MGI:95824]</t>
  </si>
  <si>
    <t>Gm13431</t>
  </si>
  <si>
    <t>predicted gene 13431 [Source:MGI Symbol;Acc:MGI:3650776]</t>
  </si>
  <si>
    <t>Fuca1</t>
  </si>
  <si>
    <t>fucosidase, alpha-L- 1, tissue [Source:MGI Symbol;Acc:MGI:95593]</t>
  </si>
  <si>
    <t>Ttc21b</t>
  </si>
  <si>
    <t>tetratricopeptide repeat domain 21B [Source:MGI Symbol;Acc:MGI:1920918]</t>
  </si>
  <si>
    <t>Syt16</t>
  </si>
  <si>
    <t>synaptotagmin XVI [Source:MGI Symbol;Acc:MGI:2673872]</t>
  </si>
  <si>
    <t>Gdpd3</t>
  </si>
  <si>
    <t>glycerophosphodiester phosphodiesterase domain containing 3 [Source:MGI Symbol;Acc:MGI:1915866]</t>
  </si>
  <si>
    <t>1110032A03Rik</t>
  </si>
  <si>
    <t>RIKEN cDNA 1110032A03 gene [Source:MGI Symbol;Acc:MGI:1915971]</t>
  </si>
  <si>
    <t>Ttc17</t>
  </si>
  <si>
    <t>tetratricopeptide repeat domain 17 [Source:MGI Symbol;Acc:MGI:1921819]</t>
  </si>
  <si>
    <t>Mbtps2</t>
  </si>
  <si>
    <t>membrane-bound transcription factor peptidase, site 2 [Source:MGI Symbol;Acc:MGI:2444506]</t>
  </si>
  <si>
    <t>Terf2</t>
  </si>
  <si>
    <t>telomeric repeat binding factor 2 [Source:MGI Symbol;Acc:MGI:1195972]</t>
  </si>
  <si>
    <t>Mob2</t>
  </si>
  <si>
    <t>MOB kinase activator 2 [Source:MGI Symbol;Acc:MGI:1919891]</t>
  </si>
  <si>
    <t>Gm34589</t>
  </si>
  <si>
    <t>predicted gene, 34589 [Source:MGI Symbol;Acc:MGI:5593748]</t>
  </si>
  <si>
    <t>Gm20707</t>
  </si>
  <si>
    <t>predicted gene 20707 [Source:MGI Symbol;Acc:MGI:5313154]</t>
  </si>
  <si>
    <t>Gm43143</t>
  </si>
  <si>
    <t>predicted gene 43143 [Source:MGI Symbol;Acc:MGI:5663280]</t>
  </si>
  <si>
    <t>Trpc4</t>
  </si>
  <si>
    <t>transient receptor potential cation channel, subfamily C, member 4 [Source:MGI Symbol;Acc:MGI:109525]</t>
  </si>
  <si>
    <t>Pdgfrb</t>
  </si>
  <si>
    <t>platelet derived growth factor receptor, beta polypeptide [Source:MGI Symbol;Acc:MGI:97531]</t>
  </si>
  <si>
    <t>Aamdc</t>
  </si>
  <si>
    <t>adipogenesis associated Mth938 domain containing [Source:MGI Symbol;Acc:MGI:1913523]</t>
  </si>
  <si>
    <t>Sms</t>
  </si>
  <si>
    <t>spermine synthase [Source:MGI Symbol;Acc:MGI:109490]</t>
  </si>
  <si>
    <t>F2rl2</t>
  </si>
  <si>
    <t>coagulation factor II (thrombin) receptor-like 2 [Source:MGI Symbol;Acc:MGI:1298208]</t>
  </si>
  <si>
    <t>B3gnt9</t>
  </si>
  <si>
    <t>UDP-GlcNAc:betaGal beta-1,3-N-acetylglucosaminyltransferase 9 [Source:MGI Symbol;Acc:MGI:2142841]</t>
  </si>
  <si>
    <t>Tmub1</t>
  </si>
  <si>
    <t>transmembrane and ubiquitin-like domain containing 1 [Source:MGI Symbol;Acc:MGI:1923764]</t>
  </si>
  <si>
    <t>Gm15706</t>
  </si>
  <si>
    <t>predicted gene 15706 [Source:MGI Symbol;Acc:MGI:3783146]</t>
  </si>
  <si>
    <t>Prpf4</t>
  </si>
  <si>
    <t>pre-mRNA processing factor 4 [Source:MGI Symbol;Acc:MGI:1917302]</t>
  </si>
  <si>
    <t>Gm16310</t>
  </si>
  <si>
    <t>predicted gene 16310 [Source:MGI Symbol;Acc:MGI:3826522]</t>
  </si>
  <si>
    <t>Klri1</t>
  </si>
  <si>
    <t>killer cell lectin-like receptor family I member 1 [Source:MGI Symbol;Acc:MGI:3530275]</t>
  </si>
  <si>
    <t>Madcam1</t>
  </si>
  <si>
    <t>mucosal vascular addressin cell adhesion molecule 1 [Source:MGI Symbol;Acc:MGI:103579]</t>
  </si>
  <si>
    <t>Wdr5</t>
  </si>
  <si>
    <t>WD repeat domain 5 [Source:MGI Symbol;Acc:MGI:2155884]</t>
  </si>
  <si>
    <t>Ace</t>
  </si>
  <si>
    <t>angiotensin I converting enzyme (peptidyl-dipeptidase A) 1 [Source:MGI Symbol;Acc:MGI:87874]</t>
  </si>
  <si>
    <t>Klf16</t>
  </si>
  <si>
    <t>Kruppel-like factor 16 [Source:MGI Symbol;Acc:MGI:2153049]</t>
  </si>
  <si>
    <t>Wfikkn2</t>
  </si>
  <si>
    <t>WAP, follistatin/kazal, immunoglobulin, kunitz and netrin domain containing 2 [Source:MGI Symbol;Acc:MGI:2669209]</t>
  </si>
  <si>
    <t>Cenpx</t>
  </si>
  <si>
    <t>centromere protein X [Source:MGI Symbol;Acc:MGI:894324]</t>
  </si>
  <si>
    <t>Rrp15</t>
  </si>
  <si>
    <t>ribosomal RNA processing 15 homolog (S. cerevisiae) [Source:MGI Symbol;Acc:MGI:1914473]</t>
  </si>
  <si>
    <t>Gm6180</t>
  </si>
  <si>
    <t>predicted pseudogene 6180 [Source:MGI Symbol;Acc:MGI:3643972]</t>
  </si>
  <si>
    <t>Ctsb</t>
  </si>
  <si>
    <t>cathepsin B [Source:MGI Symbol;Acc:MGI:88561]</t>
  </si>
  <si>
    <t>Pbx4</t>
  </si>
  <si>
    <t>pre B cell leukemia homeobox 4 [Source:MGI Symbol;Acc:MGI:1931321]</t>
  </si>
  <si>
    <t>Zfp354a</t>
  </si>
  <si>
    <t>zinc finger protein 354A [Source:MGI Symbol;Acc:MGI:103172]</t>
  </si>
  <si>
    <t>Utp25</t>
  </si>
  <si>
    <t>UTP25 small subunit processome component [Source:MGI Symbol;Acc:MGI:2138080]</t>
  </si>
  <si>
    <t>Dnase2a</t>
  </si>
  <si>
    <t>deoxyribonuclease II alpha [Source:MGI Symbol;Acc:MGI:1329019]</t>
  </si>
  <si>
    <t>Camkmt</t>
  </si>
  <si>
    <t>calmodulin-lysine N-methyltransferase [Source:MGI Symbol;Acc:MGI:1920832]</t>
  </si>
  <si>
    <t>Caskin2</t>
  </si>
  <si>
    <t>CASK-interacting protein 2 [Source:MGI Symbol;Acc:MGI:2157062]</t>
  </si>
  <si>
    <t>Gm45838</t>
  </si>
  <si>
    <t>predicted gene 45838 [Source:MGI Symbol;Acc:MGI:5804953]</t>
  </si>
  <si>
    <t>Gm37842</t>
  </si>
  <si>
    <t>predicted gene, 37842 [Source:MGI Symbol;Acc:MGI:5611070]</t>
  </si>
  <si>
    <t>Gm19531</t>
  </si>
  <si>
    <t>predicted gene, 19531 [Source:MGI Symbol;Acc:MGI:5011716]</t>
  </si>
  <si>
    <t>9430034N14Rik</t>
  </si>
  <si>
    <t>RIKEN cDNA 9430034N14 gene [Source:MGI Symbol;Acc:MGI:2444791]</t>
  </si>
  <si>
    <t>Sdhc</t>
  </si>
  <si>
    <t>succinate dehydrogenase complex, subunit C, integral membrane protein [Source:MGI Symbol;Acc:MGI:1913302]</t>
  </si>
  <si>
    <t>Ctdnep1</t>
  </si>
  <si>
    <t>CTD nuclear envelope phosphatase 1 [Source:MGI Symbol;Acc:MGI:1914431]</t>
  </si>
  <si>
    <t>Cenpb</t>
  </si>
  <si>
    <t>centromere protein B [Source:MGI Symbol;Acc:MGI:88376]</t>
  </si>
  <si>
    <t>Hace1</t>
  </si>
  <si>
    <t>HECT domain and ankyrin repeat containing, E3 ubiquitin protein ligase 1 [Source:MGI Symbol;Acc:MGI:2446110]</t>
  </si>
  <si>
    <t>Gm45698</t>
  </si>
  <si>
    <t>predicted gene 45698 [Source:MGI Symbol;Acc:MGI:5804813]</t>
  </si>
  <si>
    <t>Trappc11</t>
  </si>
  <si>
    <t>trafficking protein particle complex 11 [Source:MGI Symbol;Acc:MGI:2444585]</t>
  </si>
  <si>
    <t>Lsm14a</t>
  </si>
  <si>
    <t>LSM14A mRNA processing body assembly factor [Source:MGI Symbol;Acc:MGI:1914320]</t>
  </si>
  <si>
    <t>Gm12968</t>
  </si>
  <si>
    <t>predicted gene 12968 [Source:MGI Symbol;Acc:MGI:3649345]</t>
  </si>
  <si>
    <t>Gm26549</t>
  </si>
  <si>
    <t>predicted gene, 26549 [Source:MGI Symbol;Acc:MGI:5477043]</t>
  </si>
  <si>
    <t>Kmt5b</t>
  </si>
  <si>
    <t>lysine methyltransferase 5B [Source:MGI Symbol;Acc:MGI:2444557]</t>
  </si>
  <si>
    <t>Lsm10</t>
  </si>
  <si>
    <t>U7 snRNP-specific Sm-like protein LSM10 [Source:MGI Symbol;Acc:MGI:2151045]</t>
  </si>
  <si>
    <t>Aoc2</t>
  </si>
  <si>
    <t>amine oxidase, copper containing 2 (retina-specific) [Source:MGI Symbol;Acc:MGI:2668431]</t>
  </si>
  <si>
    <t>Fam220a</t>
  </si>
  <si>
    <t>family with sequence similarity 220, member A [Source:MGI Symbol;Acc:MGI:1914488]</t>
  </si>
  <si>
    <t>8030423F21Rik</t>
  </si>
  <si>
    <t>RIKEN cDNA 8030423F21 gene [Source:MGI Symbol;Acc:MGI:2443206]</t>
  </si>
  <si>
    <t>Mfsd12</t>
  </si>
  <si>
    <t>major facilitator superfamily domain containing 12 [Source:MGI Symbol;Acc:MGI:3604804]</t>
  </si>
  <si>
    <t>Bfar</t>
  </si>
  <si>
    <t>bifunctional apoptosis regulator [Source:MGI Symbol;Acc:MGI:1914368]</t>
  </si>
  <si>
    <t>Mmaa</t>
  </si>
  <si>
    <t>methylmalonic aciduria (cobalamin deficiency) type A [Source:MGI Symbol;Acc:MGI:1923805]</t>
  </si>
  <si>
    <t>Entpd7</t>
  </si>
  <si>
    <t>ectonucleoside triphosphate diphosphohydrolase 7 [Source:MGI Symbol;Acc:MGI:2135885]</t>
  </si>
  <si>
    <t>Clec4n</t>
  </si>
  <si>
    <t>C-type lectin domain family 4, member n [Source:MGI Symbol;Acc:MGI:1861231]</t>
  </si>
  <si>
    <t>Gsdme</t>
  </si>
  <si>
    <t>gasdermin E [Source:MGI Symbol;Acc:MGI:1889850]</t>
  </si>
  <si>
    <t>Cdyl2</t>
  </si>
  <si>
    <t>chromodomain protein, Y chromosome-like 2 [Source:MGI Symbol;Acc:MGI:1923046]</t>
  </si>
  <si>
    <t>Rchy1</t>
  </si>
  <si>
    <t>ring finger and CHY zinc finger domain containing 1 [Source:MGI Symbol;Acc:MGI:1915348]</t>
  </si>
  <si>
    <t>Gns</t>
  </si>
  <si>
    <t>glucosamine (N-acetyl)-6-sulfatase [Source:MGI Symbol;Acc:MGI:1922862]</t>
  </si>
  <si>
    <t>Ccnt2</t>
  </si>
  <si>
    <t>cyclin T2 [Source:MGI Symbol;Acc:MGI:1920199]</t>
  </si>
  <si>
    <t>Gm5141</t>
  </si>
  <si>
    <t>predicted gene 5141 [Source:MGI Symbol;Acc:MGI:3779466]</t>
  </si>
  <si>
    <t>Mrps16</t>
  </si>
  <si>
    <t>mitochondrial ribosomal protein S16 [Source:MGI Symbol;Acc:MGI:1913492]</t>
  </si>
  <si>
    <t>Cdc14a</t>
  </si>
  <si>
    <t>CDC14 cell division cycle 14A [Source:MGI Symbol;Acc:MGI:2442676]</t>
  </si>
  <si>
    <t>Dhx9</t>
  </si>
  <si>
    <t>DEAH (Asp-Glu-Ala-His) box polypeptide 9 [Source:MGI Symbol;Acc:MGI:108177]</t>
  </si>
  <si>
    <t>Nup43</t>
  </si>
  <si>
    <t>nucleoporin 43 [Source:MGI Symbol;Acc:MGI:1917162]</t>
  </si>
  <si>
    <t>Rpl14</t>
  </si>
  <si>
    <t>ribosomal protein L14 [Source:MGI Symbol;Acc:MGI:1914365]</t>
  </si>
  <si>
    <t>Scd4</t>
  </si>
  <si>
    <t>stearoyl-coenzyme A desaturase 4 [Source:MGI Symbol;Acc:MGI:2670997]</t>
  </si>
  <si>
    <t>Pbx2</t>
  </si>
  <si>
    <t>pre B cell leukemia homeobox 2 [Source:MGI Symbol;Acc:MGI:1341793]</t>
  </si>
  <si>
    <t>Gtf2a2</t>
  </si>
  <si>
    <t>general transcription factor II A, 2 [Source:MGI Symbol;Acc:MGI:1933289]</t>
  </si>
  <si>
    <t>Ccdc124</t>
  </si>
  <si>
    <t>coiled-coil domain containing 124 [Source:MGI Symbol;Acc:MGI:1916403]</t>
  </si>
  <si>
    <t>Cox10</t>
  </si>
  <si>
    <t>heme A:farnesyltransferase cytochrome c oxidase assembly factor 10 [Source:MGI Symbol;Acc:MGI:1917633]</t>
  </si>
  <si>
    <t>Cltb</t>
  </si>
  <si>
    <t>clathrin, light polypeptide (Lcb) [Source:MGI Symbol;Acc:MGI:1921575]</t>
  </si>
  <si>
    <t>Myo7a</t>
  </si>
  <si>
    <t>myosin VIIA [Source:MGI Symbol;Acc:MGI:104510]</t>
  </si>
  <si>
    <t>Uchl5</t>
  </si>
  <si>
    <t>ubiquitin carboxyl-terminal esterase L5 [Source:MGI Symbol;Acc:MGI:1914848]</t>
  </si>
  <si>
    <t>Gm16244</t>
  </si>
  <si>
    <t>predicted gene 16244 [Source:MGI Symbol;Acc:MGI:3802128]</t>
  </si>
  <si>
    <t>Zmpste24</t>
  </si>
  <si>
    <t>zinc metallopeptidase, STE24 [Source:MGI Symbol;Acc:MGI:1890508]</t>
  </si>
  <si>
    <t>Ppp1r12b</t>
  </si>
  <si>
    <t>protein phosphatase 1, regulatory subunit 12B [Source:MGI Symbol;Acc:MGI:1916417]</t>
  </si>
  <si>
    <t>Angel1</t>
  </si>
  <si>
    <t>angel homolog 1 [Source:MGI Symbol;Acc:MGI:1915987]</t>
  </si>
  <si>
    <t>Gm4691</t>
  </si>
  <si>
    <t>predicted gene 4691 [Source:MGI Symbol;Acc:MGI:3782871]</t>
  </si>
  <si>
    <t>Lncpint</t>
  </si>
  <si>
    <t>long non-protein coding RNA, Trp53 induced transcript [Source:MGI Symbol;Acc:MGI:2673128]</t>
  </si>
  <si>
    <t>Gm17108</t>
  </si>
  <si>
    <t>predicted gene 17108 [Source:MGI Symbol;Acc:MGI:4937935]</t>
  </si>
  <si>
    <t>Mthfsd</t>
  </si>
  <si>
    <t>methenyltetrahydrofolate synthetase domain containing [Source:MGI Symbol;Acc:MGI:2679252]</t>
  </si>
  <si>
    <t>Gm48065</t>
  </si>
  <si>
    <t>predicted gene, 48065 [Source:MGI Symbol;Acc:MGI:6097392]</t>
  </si>
  <si>
    <t>H2bc9</t>
  </si>
  <si>
    <t>H2B clustered histone 9 [Source:MGI Symbol;Acc:MGI:2448387]</t>
  </si>
  <si>
    <t>Abi3</t>
  </si>
  <si>
    <t>ABI gene family, member 3 [Source:MGI Symbol;Acc:MGI:1913860]</t>
  </si>
  <si>
    <t>Ghdc</t>
  </si>
  <si>
    <t>GH3 domain containing [Source:MGI Symbol;Acc:MGI:1931556]</t>
  </si>
  <si>
    <t>Sgf29</t>
  </si>
  <si>
    <t>SAGA complex associated factor 29 [Source:MGI Symbol;Acc:MGI:1922815]</t>
  </si>
  <si>
    <t>Eif3i</t>
  </si>
  <si>
    <t>eukaryotic translation initiation factor 3, subunit I [Source:MGI Symbol;Acc:MGI:1860763]</t>
  </si>
  <si>
    <t>Tmem38b</t>
  </si>
  <si>
    <t>transmembrane protein 38B [Source:MGI Symbol;Acc:MGI:1098718]</t>
  </si>
  <si>
    <t>Gm12474</t>
  </si>
  <si>
    <t>predicted gene 12474 [Source:MGI Symbol;Acc:MGI:3649378]</t>
  </si>
  <si>
    <t>Mrpl36</t>
  </si>
  <si>
    <t>mitochondrial ribosomal protein L36 [Source:MGI Symbol;Acc:MGI:2137228]</t>
  </si>
  <si>
    <t>E330020D12Rik</t>
  </si>
  <si>
    <t>Riken cDNA E330020D12 gene [Source:MGI Symbol;Acc:MGI:3761270]</t>
  </si>
  <si>
    <t>Ceacam1</t>
  </si>
  <si>
    <t>carcinoembryonic antigen-related cell adhesion molecule 1 [Source:MGI Symbol;Acc:MGI:1347245]</t>
  </si>
  <si>
    <t>1700015I17Rik</t>
  </si>
  <si>
    <t>RIKEN cDNA 1700015I17 gene [Source:MGI Symbol;Acc:MGI:1922784]</t>
  </si>
  <si>
    <t>Akr1b3</t>
  </si>
  <si>
    <t>aldo-keto reductase family 1, member B3 (aldose reductase) [Source:MGI Symbol;Acc:MGI:1353494]</t>
  </si>
  <si>
    <t>Rps17</t>
  </si>
  <si>
    <t>ribosomal protein S17 [Source:MGI Symbol;Acc:MGI:1309526]</t>
  </si>
  <si>
    <t>Ubn1</t>
  </si>
  <si>
    <t>ubinuclein 1 [Source:MGI Symbol;Acc:MGI:1891307]</t>
  </si>
  <si>
    <t>Vps33a</t>
  </si>
  <si>
    <t>VPS33A CORVET/HOPS core subunit [Source:MGI Symbol;Acc:MGI:1924823]</t>
  </si>
  <si>
    <t>Gm38162</t>
  </si>
  <si>
    <t>predicted gene, 38162 [Source:MGI Symbol;Acc:MGI:5611390]</t>
  </si>
  <si>
    <t>Haghl</t>
  </si>
  <si>
    <t>hydroxyacylglutathione hydrolase-like [Source:MGI Symbol;Acc:MGI:1919877]</t>
  </si>
  <si>
    <t>E230032D23Rik</t>
  </si>
  <si>
    <t>RIKEN cDNA E230032D23 gene [Source:MGI Symbol;Acc:MGI:3041205]</t>
  </si>
  <si>
    <t>Sos2</t>
  </si>
  <si>
    <t>SOS Ras/Rho guanine nucleotide exchange factor 2 [Source:MGI Symbol;Acc:MGI:98355]</t>
  </si>
  <si>
    <t>Arl2bp</t>
  </si>
  <si>
    <t>ADP-ribosylation factor-like 2 binding protein [Source:MGI Symbol;Acc:MGI:1349429]</t>
  </si>
  <si>
    <t>Rad18</t>
  </si>
  <si>
    <t>RAD18 E3 ubiquitin protein ligase [Source:MGI Symbol;Acc:MGI:1890476]</t>
  </si>
  <si>
    <t>Vipr2</t>
  </si>
  <si>
    <t>vasoactive intestinal peptide receptor 2 [Source:MGI Symbol;Acc:MGI:107166]</t>
  </si>
  <si>
    <t>Dlec1</t>
  </si>
  <si>
    <t>deleted in lung and esophageal cancer 1 [Source:MGI Symbol;Acc:MGI:2443671]</t>
  </si>
  <si>
    <t>Rbm42</t>
  </si>
  <si>
    <t>RNA binding motif protein 42 [Source:MGI Symbol;Acc:MGI:1915285]</t>
  </si>
  <si>
    <t>Yipf3</t>
  </si>
  <si>
    <t>Yip1 domain family, member 3 [Source:MGI Symbol;Acc:MGI:106280]</t>
  </si>
  <si>
    <t>Gm16433</t>
  </si>
  <si>
    <t>predicted gene 16433 [Source:MGI Symbol;Acc:MGI:3645626]</t>
  </si>
  <si>
    <t>Gm29609</t>
  </si>
  <si>
    <t>predicted gene 29609 [Source:MGI Symbol;Acc:MGI:5580315]</t>
  </si>
  <si>
    <t>Csnk1g3</t>
  </si>
  <si>
    <t>casein kinase 1, gamma 3 [Source:MGI Symbol;Acc:MGI:1917675]</t>
  </si>
  <si>
    <t>Ccl6</t>
  </si>
  <si>
    <t>chemokine (C-C motif) ligand 6 [Source:MGI Symbol;Acc:MGI:98263]</t>
  </si>
  <si>
    <t>Ppm1l</t>
  </si>
  <si>
    <t>protein phosphatase 1 (formerly 2C)-like [Source:MGI Symbol;Acc:MGI:2139740]</t>
  </si>
  <si>
    <t>Fkbp1b</t>
  </si>
  <si>
    <t>FK506 binding protein 1b [Source:MGI Symbol;Acc:MGI:1336205]</t>
  </si>
  <si>
    <t>Sdhb</t>
  </si>
  <si>
    <t>succinate dehydrogenase complex, subunit B, iron sulfur (Ip) [Source:MGI Symbol;Acc:MGI:1914930]</t>
  </si>
  <si>
    <t>D430042O09Rik</t>
  </si>
  <si>
    <t>RIKEN cDNA D430042O09 gene [Source:MGI Symbol;Acc:MGI:2442760]</t>
  </si>
  <si>
    <t>Mrpl20</t>
  </si>
  <si>
    <t>mitochondrial ribosomal protein L20 [Source:MGI Symbol;Acc:MGI:2137221]</t>
  </si>
  <si>
    <t>Dancr</t>
  </si>
  <si>
    <t>differentiation antagonizing non-protein coding RNA [Source:MGI Symbol;Acc:MGI:1917286]</t>
  </si>
  <si>
    <t>Prrt1</t>
  </si>
  <si>
    <t>proline-rich transmembrane protein 1 [Source:MGI Symbol;Acc:MGI:1932118]</t>
  </si>
  <si>
    <t>Rnf5</t>
  </si>
  <si>
    <t>ring finger protein 5 [Source:MGI Symbol;Acc:MGI:1860076]</t>
  </si>
  <si>
    <t>Tom1</t>
  </si>
  <si>
    <t>target of myb1 trafficking protein [Source:MGI Symbol;Acc:MGI:1338026]</t>
  </si>
  <si>
    <t>Tmem70</t>
  </si>
  <si>
    <t>transmembrane protein 70 [Source:MGI Symbol;Acc:MGI:1915068]</t>
  </si>
  <si>
    <t>Ep400</t>
  </si>
  <si>
    <t>E1A binding protein p400 [Source:MGI Symbol;Acc:MGI:1276124]</t>
  </si>
  <si>
    <t>C030014I23Rik</t>
  </si>
  <si>
    <t>RIKEN cDNA C030014I23 gene [Source:MGI Symbol;Acc:MGI:1924631]</t>
  </si>
  <si>
    <t>Bloc1s5</t>
  </si>
  <si>
    <t>biogenesis of lysosomal organelles complex-1, subunit 5, muted [Source:MGI Symbol;Acc:MGI:2178598]</t>
  </si>
  <si>
    <t>Dpysl2</t>
  </si>
  <si>
    <t>dihydropyrimidinase-like 2 [Source:MGI Symbol;Acc:MGI:1349763]</t>
  </si>
  <si>
    <t>Carf</t>
  </si>
  <si>
    <t>calcium response factor [Source:MGI Symbol;Acc:MGI:2182269]</t>
  </si>
  <si>
    <t>Manf</t>
  </si>
  <si>
    <t>mesencephalic astrocyte-derived neurotrophic factor [Source:MGI Symbol;Acc:MGI:1922090]</t>
  </si>
  <si>
    <t>Gm14305</t>
  </si>
  <si>
    <t>predicted gene 14305 [Source:MGI Symbol;Acc:MGI:3709632]</t>
  </si>
  <si>
    <t>Tnfsf8</t>
  </si>
  <si>
    <t>tumor necrosis factor (ligand) superfamily, member 8 [Source:MGI Symbol;Acc:MGI:88328]</t>
  </si>
  <si>
    <t>Plxna3</t>
  </si>
  <si>
    <t>plexin A3 [Source:MGI Symbol;Acc:MGI:107683]</t>
  </si>
  <si>
    <t>Gm44974</t>
  </si>
  <si>
    <t>predicted gene 44974 [Source:MGI Symbol;Acc:MGI:5753550]</t>
  </si>
  <si>
    <t>Snw1</t>
  </si>
  <si>
    <t>SNW domain containing 1 [Source:MGI Symbol;Acc:MGI:1913604]</t>
  </si>
  <si>
    <t>Gga2</t>
  </si>
  <si>
    <t>golgi associated, gamma adaptin ear containing, ARF binding protein 2 [Source:MGI Symbol;Acc:MGI:1921355]</t>
  </si>
  <si>
    <t>Sema3g</t>
  </si>
  <si>
    <t>sema domain, immunoglobulin domain (Ig), short basic domain, secreted, (semaphorin) 3G [Source:MGI Symbol;Acc:MGI:3041242]</t>
  </si>
  <si>
    <t>Cd244a</t>
  </si>
  <si>
    <t>CD244 molecule A [Source:MGI Symbol;Acc:MGI:109294]</t>
  </si>
  <si>
    <t>Flot1</t>
  </si>
  <si>
    <t>flotillin 1 [Source:MGI Symbol;Acc:MGI:1100500]</t>
  </si>
  <si>
    <t>Gm27219</t>
  </si>
  <si>
    <t>predicted gene 27219 [Source:MGI Symbol;Acc:MGI:5521062]</t>
  </si>
  <si>
    <t>Mmp8</t>
  </si>
  <si>
    <t>matrix metallopeptidase 8 [Source:MGI Symbol;Acc:MGI:1202395]</t>
  </si>
  <si>
    <t>Tns1</t>
  </si>
  <si>
    <t>tensin 1 [Source:MGI Symbol;Acc:MGI:104552]</t>
  </si>
  <si>
    <t>Cspp1</t>
  </si>
  <si>
    <t>centrosome and spindle pole associated protein 1 [Source:MGI Symbol;Acc:MGI:2681832]</t>
  </si>
  <si>
    <t>Mefv</t>
  </si>
  <si>
    <t>Mediterranean fever [Source:MGI Symbol;Acc:MGI:1859396]</t>
  </si>
  <si>
    <t>Mthfsl</t>
  </si>
  <si>
    <t>5, 10-methenyltetrahydrofolate synthetase-like [Source:MGI Symbol;Acc:MGI:3780550]</t>
  </si>
  <si>
    <t>Smarcal1</t>
  </si>
  <si>
    <t>SWI/SNF related matrix associated, actin dependent regulator of chromatin, subfamily a-like 1 [Source:MGI Symbol;Acc:MGI:1859183]</t>
  </si>
  <si>
    <t>Snap23</t>
  </si>
  <si>
    <t>synaptosomal-associated protein 23 [Source:MGI Symbol;Acc:MGI:109356]</t>
  </si>
  <si>
    <t>Katna1</t>
  </si>
  <si>
    <t>katanin p60 (ATPase-containing) subunit A1 [Source:MGI Symbol;Acc:MGI:1344353]</t>
  </si>
  <si>
    <t>Gm15417</t>
  </si>
  <si>
    <t>predicted gene 15417 [Source:MGI Symbol;Acc:MGI:3642531]</t>
  </si>
  <si>
    <t>Ppp6c</t>
  </si>
  <si>
    <t>protein phosphatase 6, catalytic subunit [Source:MGI Symbol;Acc:MGI:1915107]</t>
  </si>
  <si>
    <t>Ost4</t>
  </si>
  <si>
    <t>oligosaccharyltransferase complex subunit 4 (non-catalytic) [Source:MGI Symbol;Acc:MGI:1914945]</t>
  </si>
  <si>
    <t>Rabgap1</t>
  </si>
  <si>
    <t>RAB GTPase activating protein 1 [Source:MGI Symbol;Acc:MGI:2385139]</t>
  </si>
  <si>
    <t>Skiv2l</t>
  </si>
  <si>
    <t>superkiller viralicidic activity 2-like (S. cerevisiae) [Source:MGI Symbol;Acc:MGI:1099835]</t>
  </si>
  <si>
    <t>Gm26473</t>
  </si>
  <si>
    <t>predicted gene, 26473 [Source:MGI Symbol;Acc:MGI:5456250]</t>
  </si>
  <si>
    <t>Rpl30</t>
  </si>
  <si>
    <t>ribosomal protein L30 [Source:MGI Symbol;Acc:MGI:98037]</t>
  </si>
  <si>
    <t>Ctsf</t>
  </si>
  <si>
    <t>cathepsin F [Source:MGI Symbol;Acc:MGI:1861434]</t>
  </si>
  <si>
    <t>2010001A14Rik</t>
  </si>
  <si>
    <t>RIKEN cDNA 2010001A14 gene [Source:MGI Symbol;Acc:MGI:1923766]</t>
  </si>
  <si>
    <t>2810013P06Rik</t>
  </si>
  <si>
    <t>RIKEN cDNA 2810013P06 gene [Source:MGI Symbol;Acc:MGI:1914456]</t>
  </si>
  <si>
    <t>Kif1b</t>
  </si>
  <si>
    <t>kinesin family member 1B [Source:MGI Symbol;Acc:MGI:108426]</t>
  </si>
  <si>
    <t>Gm10095</t>
  </si>
  <si>
    <t>predicted gene 10095 [Source:MGI Symbol;Acc:MGI:3642130]</t>
  </si>
  <si>
    <t>Ptar1</t>
  </si>
  <si>
    <t>protein prenyltransferase alpha subunit repeat containing 1 [Source:MGI Symbol;Acc:MGI:1921875]</t>
  </si>
  <si>
    <t>Macf1</t>
  </si>
  <si>
    <t>microtubule-actin crosslinking factor 1 [Source:MGI Symbol;Acc:MGI:108559]</t>
  </si>
  <si>
    <t>Abhd6</t>
  </si>
  <si>
    <t>abhydrolase domain containing 6 [Source:MGI Symbol;Acc:MGI:1913332]</t>
  </si>
  <si>
    <t>Kctd21</t>
  </si>
  <si>
    <t>potassium channel tetramerisation domain containing 21 [Source:MGI Symbol;Acc:MGI:3643121]</t>
  </si>
  <si>
    <t>6430548M08Rik</t>
  </si>
  <si>
    <t>RIKEN cDNA 6430548M08 gene [Source:MGI Symbol;Acc:MGI:2443793]</t>
  </si>
  <si>
    <t>Fbxl5</t>
  </si>
  <si>
    <t>F-box and leucine-rich repeat protein 5 [Source:MGI Symbol;Acc:MGI:2152883]</t>
  </si>
  <si>
    <t>Bco2</t>
  </si>
  <si>
    <t>beta-carotene oxygenase 2 [Source:MGI Symbol;Acc:MGI:2177469]</t>
  </si>
  <si>
    <t>Zfp975</t>
  </si>
  <si>
    <t>zinc finger protein 975 [Source:MGI Symbol;Acc:MGI:3648690]</t>
  </si>
  <si>
    <t>Prpf3</t>
  </si>
  <si>
    <t>pre-mRNA processing factor 3 [Source:MGI Symbol;Acc:MGI:1918017]</t>
  </si>
  <si>
    <t>Ppp1cc</t>
  </si>
  <si>
    <t>protein phosphatase 1 catalytic subunit gamma [Source:MGI Symbol;Acc:MGI:104872]</t>
  </si>
  <si>
    <t>Platr27</t>
  </si>
  <si>
    <t>pluripotency associated transcript 27 [Source:MGI Symbol;Acc:MGI:1925566]</t>
  </si>
  <si>
    <t>Catsperg1</t>
  </si>
  <si>
    <t>cation channel sperm associated auxiliary subunit gamma 1 [Source:MGI Symbol;Acc:MGI:2443617]</t>
  </si>
  <si>
    <t>Cask</t>
  </si>
  <si>
    <t>calcium/calmodulin-dependent serine protein kinase (MAGUK family) [Source:MGI Symbol;Acc:MGI:1309489]</t>
  </si>
  <si>
    <t>Gm44013</t>
  </si>
  <si>
    <t>predicted gene, 44013 [Source:MGI Symbol;Acc:MGI:5690405]</t>
  </si>
  <si>
    <t>Gm16638</t>
  </si>
  <si>
    <t>predicted gene, 16638 [Source:MGI Symbol;Acc:MGI:4439562]</t>
  </si>
  <si>
    <t>Abca8b</t>
  </si>
  <si>
    <t>ATP-binding cassette, sub-family A (ABC1), member 8b [Source:MGI Symbol;Acc:MGI:1351668]</t>
  </si>
  <si>
    <t>Gm37090</t>
  </si>
  <si>
    <t>predicted gene, 37090 [Source:MGI Symbol;Acc:MGI:5610318]</t>
  </si>
  <si>
    <t>Cbx1</t>
  </si>
  <si>
    <t>chromobox 1 [Source:MGI Symbol;Acc:MGI:105369]</t>
  </si>
  <si>
    <t>Pitrm1</t>
  </si>
  <si>
    <t>pitrilysin metallepetidase 1 [Source:MGI Symbol;Acc:MGI:1916867]</t>
  </si>
  <si>
    <t>Itprip</t>
  </si>
  <si>
    <t>inositol 1,4,5-triphosphate receptor interacting protein [Source:MGI Symbol;Acc:MGI:3042776]</t>
  </si>
  <si>
    <t>Nmnat3</t>
  </si>
  <si>
    <t>nicotinamide nucleotide adenylyltransferase 3 [Source:MGI Symbol;Acc:MGI:1921330]</t>
  </si>
  <si>
    <t>Gm5475</t>
  </si>
  <si>
    <t>predicted gene 5475 [Source:MGI Symbol;Acc:MGI:3646320]</t>
  </si>
  <si>
    <t>Gm8288</t>
  </si>
  <si>
    <t>predicted gene 8288 [Source:MGI Symbol;Acc:MGI:3645459]</t>
  </si>
  <si>
    <t>Gramd1a</t>
  </si>
  <si>
    <t>GRAM domain containing 1A [Source:MGI Symbol;Acc:MGI:105490]</t>
  </si>
  <si>
    <t>Spast</t>
  </si>
  <si>
    <t>spastin [Source:MGI Symbol;Acc:MGI:1858896]</t>
  </si>
  <si>
    <t>Nol12</t>
  </si>
  <si>
    <t>nucleolar protein 12 [Source:MGI Symbol;Acc:MGI:2146285]</t>
  </si>
  <si>
    <t>Dapp1</t>
  </si>
  <si>
    <t>dual adaptor for phosphotyrosine and 3-phosphoinositides 1 [Source:MGI Symbol;Acc:MGI:1347063]</t>
  </si>
  <si>
    <t>Pxk</t>
  </si>
  <si>
    <t>PX domain containing serine/threonine kinase [Source:MGI Symbol;Acc:MGI:1289230]</t>
  </si>
  <si>
    <t>Taldo1</t>
  </si>
  <si>
    <t>transaldolase 1 [Source:MGI Symbol;Acc:MGI:1274789]</t>
  </si>
  <si>
    <t>Gm9320</t>
  </si>
  <si>
    <t>predicted gene 9320 [Source:MGI Symbol;Acc:MGI:3645000]</t>
  </si>
  <si>
    <t>Tex52</t>
  </si>
  <si>
    <t>testis expressed 52 [Source:MGI Symbol;Acc:MGI:1918399]</t>
  </si>
  <si>
    <t>Rps2</t>
  </si>
  <si>
    <t>ribosomal protein S2 [Source:MGI Symbol;Acc:MGI:105110]</t>
  </si>
  <si>
    <t>Ttc25</t>
  </si>
  <si>
    <t>tetratricopeptide repeat domain 25 [Source:MGI Symbol;Acc:MGI:1921657]</t>
  </si>
  <si>
    <t>Tm4sf5</t>
  </si>
  <si>
    <t>transmembrane 4 superfamily member 5 [Source:MGI Symbol;Acc:MGI:1922854]</t>
  </si>
  <si>
    <t>Ccnq</t>
  </si>
  <si>
    <t>cyclin Q [Source:MGI Symbol;Acc:MGI:1916359]</t>
  </si>
  <si>
    <t>Pex14</t>
  </si>
  <si>
    <t>peroxisomal biogenesis factor 14 [Source:MGI Symbol;Acc:MGI:1927868]</t>
  </si>
  <si>
    <t>Gm48226</t>
  </si>
  <si>
    <t>predicted gene, 48226 [Source:MGI Symbol;Acc:MGI:6097627]</t>
  </si>
  <si>
    <t>Gm17066</t>
  </si>
  <si>
    <t>predicted gene 17066 [Source:MGI Symbol;Acc:MGI:4937893]</t>
  </si>
  <si>
    <t>Smc2</t>
  </si>
  <si>
    <t>structural maintenance of chromosomes 2 [Source:MGI Symbol;Acc:MGI:106067]</t>
  </si>
  <si>
    <t>Gm45785</t>
  </si>
  <si>
    <t>predicted gene 45785 [Source:MGI Symbol;Acc:MGI:5804900]</t>
  </si>
  <si>
    <t>Mfap1a</t>
  </si>
  <si>
    <t>microfibrillar-associated protein 1A [Source:MGI Symbol;Acc:MGI:1914782]</t>
  </si>
  <si>
    <t>Gm6012</t>
  </si>
  <si>
    <t>predicted gene 6012 [Source:MGI Symbol;Acc:MGI:3644785]</t>
  </si>
  <si>
    <t>Rpl22l1</t>
  </si>
  <si>
    <t>ribosomal protein L22 like 1 [Source:MGI Symbol;Acc:MGI:1915278]</t>
  </si>
  <si>
    <t>Aimp1</t>
  </si>
  <si>
    <t>aminoacyl tRNA synthetase complex-interacting multifunctional protein 1 [Source:MGI Symbol;Acc:MGI:102774]</t>
  </si>
  <si>
    <t>Grk2</t>
  </si>
  <si>
    <t>G protein-coupled receptor kinase 2 [Source:MGI Symbol;Acc:MGI:87940]</t>
  </si>
  <si>
    <t>Micos13</t>
  </si>
  <si>
    <t>mitochondrial contact site and cristae organizing system subunit 13 [Source:MGI Symbol;Acc:MGI:2442174]</t>
  </si>
  <si>
    <t>Hyal1</t>
  </si>
  <si>
    <t>hyaluronoglucosaminidase 1 [Source:MGI Symbol;Acc:MGI:96298]</t>
  </si>
  <si>
    <t>Hspa13</t>
  </si>
  <si>
    <t>heat shock protein 70 family, member 13 [Source:MGI Symbol;Acc:MGI:1309463]</t>
  </si>
  <si>
    <t>2310057M21Rik</t>
  </si>
  <si>
    <t>RIKEN cDNA 2310057M21 gene [Source:MGI Symbol;Acc:MGI:1915527]</t>
  </si>
  <si>
    <t>Opn3</t>
  </si>
  <si>
    <t>opsin 3 [Source:MGI Symbol;Acc:MGI:1338022]</t>
  </si>
  <si>
    <t>Pitpnm1</t>
  </si>
  <si>
    <t>phosphatidylinositol transfer protein, membrane-associated 1 [Source:MGI Symbol;Acc:MGI:1197524]</t>
  </si>
  <si>
    <t>Scamp1</t>
  </si>
  <si>
    <t>secretory carrier membrane protein 1 [Source:MGI Symbol;Acc:MGI:1349480]</t>
  </si>
  <si>
    <t>Ufsp1</t>
  </si>
  <si>
    <t>UFM1-specific peptidase 1 [Source:MGI Symbol;Acc:MGI:1917490]</t>
  </si>
  <si>
    <t>Ahctf1</t>
  </si>
  <si>
    <t>AT hook containing transcription factor 1 [Source:MGI Symbol;Acc:MGI:1915033]</t>
  </si>
  <si>
    <t>Trim29</t>
  </si>
  <si>
    <t>tripartite motif-containing 29 [Source:MGI Symbol;Acc:MGI:1919419]</t>
  </si>
  <si>
    <t>Ppp1r18</t>
  </si>
  <si>
    <t>protein phosphatase 1, regulatory subunit 18 [Source:MGI Symbol;Acc:MGI:1923698]</t>
  </si>
  <si>
    <t>Gm50431</t>
  </si>
  <si>
    <t>predicted gene, 50431 [Source:MGI Symbol;Acc:MGI:6303362]</t>
  </si>
  <si>
    <t>Agt</t>
  </si>
  <si>
    <t>angiotensinogen (serpin peptidase inhibitor, clade A, member 8) [Source:MGI Symbol;Acc:MGI:87963]</t>
  </si>
  <si>
    <t>Siah1b</t>
  </si>
  <si>
    <t>siah E3 ubiquitin protein ligase 1B [Source:MGI Symbol;Acc:MGI:108063]</t>
  </si>
  <si>
    <t>Ntmt1</t>
  </si>
  <si>
    <t>N-terminal Xaa-Pro-Lys N-methyltransferase 1 [Source:MGI Symbol;Acc:MGI:1913867]</t>
  </si>
  <si>
    <t>Scaf11</t>
  </si>
  <si>
    <t>SR-related CTD-associated factor 11 [Source:MGI Symbol;Acc:MGI:1919443]</t>
  </si>
  <si>
    <t>Cryba4</t>
  </si>
  <si>
    <t>crystallin, beta A4 [Source:MGI Symbol;Acc:MGI:102716]</t>
  </si>
  <si>
    <t>B430010I23Rik</t>
  </si>
  <si>
    <t>RIKEN cDNA B430010I23 gene [Source:MGI Symbol;Acc:MGI:1926099]</t>
  </si>
  <si>
    <t>Gm43912</t>
  </si>
  <si>
    <t>predicted gene, 43912 [Source:MGI Symbol;Acc:MGI:5690304]</t>
  </si>
  <si>
    <t>Oplah</t>
  </si>
  <si>
    <t>5-oxoprolinase (ATP-hydrolysing) [Source:MGI Symbol;Acc:MGI:1922725]</t>
  </si>
  <si>
    <t>Gm49888</t>
  </si>
  <si>
    <t>predicted gene, 49888 [Source:MGI Symbol;Acc:MGI:6270574]</t>
  </si>
  <si>
    <t>Zbtb11os1</t>
  </si>
  <si>
    <t>zinc finger and BTB domain containing 11, opposite strand 1 [Source:MGI Symbol;Acc:MGI:1913641]</t>
  </si>
  <si>
    <t>Tfb2m</t>
  </si>
  <si>
    <t>transcription factor B2, mitochondrial [Source:MGI Symbol;Acc:MGI:107937]</t>
  </si>
  <si>
    <t>Gm7644</t>
  </si>
  <si>
    <t>predicted gene 7644 [Source:MGI Symbol;Acc:MGI:3646878]</t>
  </si>
  <si>
    <t>Ccl20</t>
  </si>
  <si>
    <t>chemokine (C-C motif) ligand 20 [Source:MGI Symbol;Acc:MGI:1329031]</t>
  </si>
  <si>
    <t>Numb</t>
  </si>
  <si>
    <t>NUMB endocytic adaptor protein [Source:MGI Symbol;Acc:MGI:107423]</t>
  </si>
  <si>
    <t>mt-Rnr2</t>
  </si>
  <si>
    <t>mitochondrially encoded 16S rRNA [Source:MGI Symbol;Acc:MGI:102492]</t>
  </si>
  <si>
    <t>Mt_rRNA</t>
  </si>
  <si>
    <t>Trim8</t>
  </si>
  <si>
    <t>tripartite motif-containing 8 [Source:MGI Symbol;Acc:MGI:1933302]</t>
  </si>
  <si>
    <t>Gls2</t>
  </si>
  <si>
    <t>glutaminase 2 (liver, mitochondrial) [Source:MGI Symbol;Acc:MGI:2143539]</t>
  </si>
  <si>
    <t>Acox1</t>
  </si>
  <si>
    <t>acyl-Coenzyme A oxidase 1, palmitoyl [Source:MGI Symbol;Acc:MGI:1330812]</t>
  </si>
  <si>
    <t>Gm43518</t>
  </si>
  <si>
    <t>predicted gene 43518 [Source:MGI Symbol;Acc:MGI:5663655]</t>
  </si>
  <si>
    <t>Taco1</t>
  </si>
  <si>
    <t>translational activator of mitochondrially encoded cytochrome c oxidase I [Source:MGI Symbol;Acc:MGI:1917457]</t>
  </si>
  <si>
    <t>Dok3</t>
  </si>
  <si>
    <t>docking protein 3 [Source:MGI Symbol;Acc:MGI:1351490]</t>
  </si>
  <si>
    <t>AC139579.1</t>
  </si>
  <si>
    <t>post-GPI attachment to proteins 2</t>
  </si>
  <si>
    <t>Gm42936</t>
  </si>
  <si>
    <t>predicted gene 42936 [Source:MGI Symbol;Acc:MGI:5663073]</t>
  </si>
  <si>
    <t>2310033P09Rik</t>
  </si>
  <si>
    <t>RIKEN cDNA 2310033P09 gene [Source:MGI Symbol;Acc:MGI:1915112]</t>
  </si>
  <si>
    <t>Trpm7</t>
  </si>
  <si>
    <t>transient receptor potential cation channel, subfamily M, member 7 [Source:MGI Symbol;Acc:MGI:1929996]</t>
  </si>
  <si>
    <t>Dcp1b</t>
  </si>
  <si>
    <t>decapping mRNA 1B [Source:MGI Symbol;Acc:MGI:2442404]</t>
  </si>
  <si>
    <t>Rfx5</t>
  </si>
  <si>
    <t>regulatory factor X, 5 (influences HLA class II expression) [Source:MGI Symbol;Acc:MGI:1858421]</t>
  </si>
  <si>
    <t>Las1l</t>
  </si>
  <si>
    <t>LAS1-like (S. cerevisiae) [Source:MGI Symbol;Acc:MGI:1923380]</t>
  </si>
  <si>
    <t>Rnf123</t>
  </si>
  <si>
    <t>ring finger protein 123 [Source:MGI Symbol;Acc:MGI:2148796]</t>
  </si>
  <si>
    <t>Yars</t>
  </si>
  <si>
    <t>tyrosyl-tRNA synthetase [Source:MGI Symbol;Acc:MGI:2147627]</t>
  </si>
  <si>
    <t>Dgkq</t>
  </si>
  <si>
    <t>diacylglycerol kinase, theta [Source:MGI Symbol;Acc:MGI:102918]</t>
  </si>
  <si>
    <t>Oas1d</t>
  </si>
  <si>
    <t>2'-5' oligoadenylate synthetase 1D [Source:MGI Symbol;Acc:MGI:2140770]</t>
  </si>
  <si>
    <t>Gas5</t>
  </si>
  <si>
    <t>growth arrest specific 5 [Source:MGI Symbol;Acc:MGI:95659]</t>
  </si>
  <si>
    <t>Fabp5</t>
  </si>
  <si>
    <t>fatty acid binding protein 5, epidermal [Source:MGI Symbol;Acc:MGI:101790]</t>
  </si>
  <si>
    <t>Wrap73</t>
  </si>
  <si>
    <t>WD repeat containing, antisense to Trp73 [Source:MGI Symbol;Acc:MGI:1891749]</t>
  </si>
  <si>
    <t>Gm20509</t>
  </si>
  <si>
    <t>predicted gene 20509 [Source:MGI Symbol;Acc:MGI:5141974]</t>
  </si>
  <si>
    <t>Nedd8</t>
  </si>
  <si>
    <t>neural precursor cell expressed, developmentally down-regulated gene 8 [Source:MGI Symbol;Acc:MGI:97301]</t>
  </si>
  <si>
    <t>Gm23134</t>
  </si>
  <si>
    <t>predicted gene, 23134 [Source:MGI Symbol;Acc:MGI:5452911]</t>
  </si>
  <si>
    <t>Ino80</t>
  </si>
  <si>
    <t>INO80 complex subunit [Source:MGI Symbol;Acc:MGI:1915392]</t>
  </si>
  <si>
    <t>Mfsd6l</t>
  </si>
  <si>
    <t>major facilitator superfamily domain containing 6-like [Source:MGI Symbol;Acc:MGI:2384904]</t>
  </si>
  <si>
    <t>Gm13391</t>
  </si>
  <si>
    <t>predicted gene 13391 [Source:MGI Symbol;Acc:MGI:3651526]</t>
  </si>
  <si>
    <t>Ybx1</t>
  </si>
  <si>
    <t>Y box protein 1 [Source:MGI Symbol;Acc:MGI:99146]</t>
  </si>
  <si>
    <t>Gm42820</t>
  </si>
  <si>
    <t>predicted gene 42820 [Source:MGI Symbol;Acc:MGI:5662957]</t>
  </si>
  <si>
    <t>Rad9a</t>
  </si>
  <si>
    <t>RAD9 checkpoint clamp component A [Source:MGI Symbol;Acc:MGI:1328356]</t>
  </si>
  <si>
    <t>Gnat3</t>
  </si>
  <si>
    <t>guanine nucleotide binding protein, alpha transducing 3 [Source:MGI Symbol;Acc:MGI:3588268]</t>
  </si>
  <si>
    <t>D430040D24Rik</t>
  </si>
  <si>
    <t>RIKEN cDNA D430040D24 gene [Source:MGI Symbol;Acc:MGI:2442526]</t>
  </si>
  <si>
    <t>Dhx57</t>
  </si>
  <si>
    <t>DEAH (Asp-Glu-Ala-Asp/His) box polypeptide 57 [Source:MGI Symbol;Acc:MGI:2147067]</t>
  </si>
  <si>
    <t>Pot1b</t>
  </si>
  <si>
    <t>protection of telomeres 1B [Source:MGI Symbol;Acc:MGI:1920086]</t>
  </si>
  <si>
    <t>Slc26a4</t>
  </si>
  <si>
    <t>solute carrier family 26, member 4 [Source:MGI Symbol;Acc:MGI:1346029]</t>
  </si>
  <si>
    <t>Mtmr2</t>
  </si>
  <si>
    <t>myotubularin related protein 2 [Source:MGI Symbol;Acc:MGI:1924366]</t>
  </si>
  <si>
    <t>Exoc1</t>
  </si>
  <si>
    <t>exocyst complex component 1 [Source:MGI Symbol;Acc:MGI:2445020]</t>
  </si>
  <si>
    <t>Zfp748</t>
  </si>
  <si>
    <t>zinc finger protein 748 [Source:MGI Symbol;Acc:MGI:1916455]</t>
  </si>
  <si>
    <t>D11Wsu47e</t>
  </si>
  <si>
    <t>DNA segment, Chr 11, Wayne State University 47, expressed [Source:MGI Symbol;Acc:MGI:106356]</t>
  </si>
  <si>
    <t>Cacna1f</t>
  </si>
  <si>
    <t>calcium channel, voltage-dependent, alpha 1F subunit [Source:MGI Symbol;Acc:MGI:1859639]</t>
  </si>
  <si>
    <t>Txndc17</t>
  </si>
  <si>
    <t>thioredoxin domain containing 17 [Source:MGI Symbol;Acc:MGI:1289248]</t>
  </si>
  <si>
    <t>D930048N14Rik</t>
  </si>
  <si>
    <t>RIKEN cDNA D930048N14 gene [Source:MGI Symbol;Acc:MGI:2144709]</t>
  </si>
  <si>
    <t>Leprotl1</t>
  </si>
  <si>
    <t>leptin receptor overlapping transcript-like 1 [Source:MGI Symbol;Acc:MGI:1915442]</t>
  </si>
  <si>
    <t>Nedd1</t>
  </si>
  <si>
    <t>neural precursor cell expressed, developmentally down-regulated gene 1 [Source:MGI Symbol;Acc:MGI:97293]</t>
  </si>
  <si>
    <t>Ceacam19</t>
  </si>
  <si>
    <t>carcinoembryonic antigen-related cell adhesion molecule 19 [Source:MGI Symbol;Acc:MGI:2443001]</t>
  </si>
  <si>
    <t>Atp2b1</t>
  </si>
  <si>
    <t>ATPase, Ca++ transporting, plasma membrane 1 [Source:MGI Symbol;Acc:MGI:104653]</t>
  </si>
  <si>
    <t>Arl10</t>
  </si>
  <si>
    <t>ADP-ribosylation factor-like 10 [Source:MGI Symbol;Acc:MGI:1930788]</t>
  </si>
  <si>
    <t>Gm13835</t>
  </si>
  <si>
    <t>predicted gene 13835 [Source:MGI Symbol;Acc:MGI:3650921]</t>
  </si>
  <si>
    <t>Suclg1</t>
  </si>
  <si>
    <t>succinate-CoA ligase, GDP-forming, alpha subunit [Source:MGI Symbol;Acc:MGI:1927234]</t>
  </si>
  <si>
    <t>Mir22</t>
  </si>
  <si>
    <t>microRNA 22 [Source:MGI Symbol;Acc:MGI:2676896]</t>
  </si>
  <si>
    <t>Atp10d</t>
  </si>
  <si>
    <t>ATPase, class V, type 10D [Source:MGI Symbol;Acc:MGI:2450125]</t>
  </si>
  <si>
    <t>Ing5</t>
  </si>
  <si>
    <t>inhibitor of growth family, member 5 [Source:MGI Symbol;Acc:MGI:1922816]</t>
  </si>
  <si>
    <t>Arl5b</t>
  </si>
  <si>
    <t>ADP-ribosylation factor-like 5B [Source:MGI Symbol;Acc:MGI:1923119]</t>
  </si>
  <si>
    <t>Gpatch1</t>
  </si>
  <si>
    <t>G patch domain containing 1 [Source:MGI Symbol;Acc:MGI:1914721]</t>
  </si>
  <si>
    <t>Lysmd1</t>
  </si>
  <si>
    <t>LysM, putative peptidoglycan-binding, domain containing 1 [Source:MGI Symbol;Acc:MGI:1919409]</t>
  </si>
  <si>
    <t>Harbi1</t>
  </si>
  <si>
    <t>harbinger transposase derived 1 [Source:MGI Symbol;Acc:MGI:2443194]</t>
  </si>
  <si>
    <t>Aph1a</t>
  </si>
  <si>
    <t>aph1 homolog A, gamma secretase subunit [Source:MGI Symbol;Acc:MGI:2385110]</t>
  </si>
  <si>
    <t>Zfp729a</t>
  </si>
  <si>
    <t>zinc finger protein 729a [Source:MGI Symbol;Acc:MGI:3036250]</t>
  </si>
  <si>
    <t>Hmgcs1</t>
  </si>
  <si>
    <t>3-hydroxy-3-methylglutaryl-Coenzyme A synthase 1 [Source:MGI Symbol;Acc:MGI:107592]</t>
  </si>
  <si>
    <t>Skap2</t>
  </si>
  <si>
    <t>src family associated phosphoprotein 2 [Source:MGI Symbol;Acc:MGI:1889206]</t>
  </si>
  <si>
    <t>Ttc39b</t>
  </si>
  <si>
    <t>tetratricopeptide repeat domain 39B [Source:MGI Symbol;Acc:MGI:1917113]</t>
  </si>
  <si>
    <t>Zfp935</t>
  </si>
  <si>
    <t>zinc finger protein 935 [Source:MGI Symbol;Acc:MGI:1918758]</t>
  </si>
  <si>
    <t>Adgrl2</t>
  </si>
  <si>
    <t>adhesion G protein-coupled receptor L2 [Source:MGI Symbol;Acc:MGI:2139714]</t>
  </si>
  <si>
    <t>Snord17</t>
  </si>
  <si>
    <t>small nucleolar RNA, C/D box 17 [Source:MGI Symbol;Acc:MGI:3819523]</t>
  </si>
  <si>
    <t>Kif1c</t>
  </si>
  <si>
    <t>kinesin family member 1C [Source:MGI Symbol;Acc:MGI:1098260]</t>
  </si>
  <si>
    <t>Slc12a9</t>
  </si>
  <si>
    <t>solute carrier family 12 (potassium/chloride transporters), member 9 [Source:MGI Symbol;Acc:MGI:1933532]</t>
  </si>
  <si>
    <t>Gm35315</t>
  </si>
  <si>
    <t>predicted gene, 35315 [Source:MGI Symbol;Acc:MGI:5594474]</t>
  </si>
  <si>
    <t>Aasdh</t>
  </si>
  <si>
    <t>aminoadipate-semialdehyde dehydrogenase [Source:MGI Symbol;Acc:MGI:2442517]</t>
  </si>
  <si>
    <t>Ppil4</t>
  </si>
  <si>
    <t>peptidylprolyl isomerase (cyclophilin)-like 4 [Source:MGI Symbol;Acc:MGI:1914668]</t>
  </si>
  <si>
    <t>Eif3k</t>
  </si>
  <si>
    <t>eukaryotic translation initiation factor 3, subunit K [Source:MGI Symbol;Acc:MGI:1921080]</t>
  </si>
  <si>
    <t>D8Ertd738e</t>
  </si>
  <si>
    <t>DNA segment, Chr 8, ERATO Doi 738, expressed [Source:MGI Symbol;Acc:MGI:1289231]</t>
  </si>
  <si>
    <t>Iqgap3</t>
  </si>
  <si>
    <t>IQ motif containing GTPase activating protein 3 [Source:MGI Symbol;Acc:MGI:3028642]</t>
  </si>
  <si>
    <t>Gpr31a</t>
  </si>
  <si>
    <t>G protein-coupled receptor 31, D17Leh66a region [Source:MGI Symbol;Acc:MGI:1354370]</t>
  </si>
  <si>
    <t>Ptger4</t>
  </si>
  <si>
    <t>prostaglandin E receptor 4 (subtype EP4) [Source:MGI Symbol;Acc:MGI:104311]</t>
  </si>
  <si>
    <t>Ndufb5</t>
  </si>
  <si>
    <t>NADH:ubiquinone oxidoreductase subunit B5 [Source:MGI Symbol;Acc:MGI:1913296]</t>
  </si>
  <si>
    <t>Rps23</t>
  </si>
  <si>
    <t>ribosomal protein S23 [Source:MGI Symbol;Acc:MGI:1913725]</t>
  </si>
  <si>
    <t>4930481A15Rik</t>
  </si>
  <si>
    <t>RIKEN cDNA 4930481A15 gene [Source:MGI Symbol;Acc:MGI:1922181]</t>
  </si>
  <si>
    <t>Tmem231</t>
  </si>
  <si>
    <t>transmembrane protein 231 [Source:MGI Symbol;Acc:MGI:2685024]</t>
  </si>
  <si>
    <t>Mrps30</t>
  </si>
  <si>
    <t>mitochondrial ribosomal protein S30 [Source:MGI Symbol;Acc:MGI:1926237]</t>
  </si>
  <si>
    <t>Pigx</t>
  </si>
  <si>
    <t>phosphatidylinositol glycan anchor biosynthesis, class X [Source:MGI Symbol;Acc:MGI:1919334]</t>
  </si>
  <si>
    <t>Gm50364</t>
  </si>
  <si>
    <t>predicted gene, 50364 [Source:MGI Symbol;Acc:MGI:6303253]</t>
  </si>
  <si>
    <t>Dctd</t>
  </si>
  <si>
    <t>dCMP deaminase [Source:MGI Symbol;Acc:MGI:2444529]</t>
  </si>
  <si>
    <t>Mgl2</t>
  </si>
  <si>
    <t>macrophage galactose N-acetyl-galactosamine specific lectin 2 [Source:MGI Symbol;Acc:MGI:2385729]</t>
  </si>
  <si>
    <t>Dock5</t>
  </si>
  <si>
    <t>dedicator of cytokinesis 5 [Source:MGI Symbol;Acc:MGI:2652871]</t>
  </si>
  <si>
    <t>Copb2</t>
  </si>
  <si>
    <t>coatomer protein complex, subunit beta 2 (beta prime) [Source:MGI Symbol;Acc:MGI:1354962]</t>
  </si>
  <si>
    <t>Gm5903</t>
  </si>
  <si>
    <t>predicted gene 5903 [Source:MGI Symbol;Acc:MGI:3644470]</t>
  </si>
  <si>
    <t>Zdhhc17</t>
  </si>
  <si>
    <t>zinc finger, DHHC domain containing 17 [Source:MGI Symbol;Acc:MGI:2445110]</t>
  </si>
  <si>
    <t>Dad1</t>
  </si>
  <si>
    <t>defender against cell death 1 [Source:MGI Symbol;Acc:MGI:101912]</t>
  </si>
  <si>
    <t>Capns1</t>
  </si>
  <si>
    <t>calpain, small subunit 1 [Source:MGI Symbol;Acc:MGI:88266]</t>
  </si>
  <si>
    <t>Tha1</t>
  </si>
  <si>
    <t>threonine aldolase 1 [Source:MGI Symbol;Acc:MGI:1919026]</t>
  </si>
  <si>
    <t>D10Wsu102e</t>
  </si>
  <si>
    <t>DNA segment, Chr 10, Wayne State University 102, expressed [Source:MGI Symbol;Acc:MGI:106381]</t>
  </si>
  <si>
    <t>Sirt2</t>
  </si>
  <si>
    <t>sirtuin 2 [Source:MGI Symbol;Acc:MGI:1927664]</t>
  </si>
  <si>
    <t>Tex264</t>
  </si>
  <si>
    <t>testis expressed gene 264 [Source:MGI Symbol;Acc:MGI:1096570]</t>
  </si>
  <si>
    <t>Tefm</t>
  </si>
  <si>
    <t>transcription elongation factor, mitochondrial [Source:MGI Symbol;Acc:MGI:1915800]</t>
  </si>
  <si>
    <t>Hnrnpa0</t>
  </si>
  <si>
    <t>heterogeneous nuclear ribonucleoprotein A0 [Source:MGI Symbol;Acc:MGI:1924384]</t>
  </si>
  <si>
    <t>Gm614</t>
  </si>
  <si>
    <t>predicted gene 614 [Source:MGI Symbol;Acc:MGI:2685460]</t>
  </si>
  <si>
    <t>Spire2</t>
  </si>
  <si>
    <t>spire type actin nucleation factor 2 [Source:MGI Symbol;Acc:MGI:2446256]</t>
  </si>
  <si>
    <t>Gm36551</t>
  </si>
  <si>
    <t>predicted gene, 36551 [Source:MGI Symbol;Acc:MGI:5595710]</t>
  </si>
  <si>
    <t>Erp27</t>
  </si>
  <si>
    <t>endoplasmic reticulum protein 27 [Source:MGI Symbol;Acc:MGI:1916437]</t>
  </si>
  <si>
    <t>Zfp2</t>
  </si>
  <si>
    <t>zinc finger protein 2 [Source:MGI Symbol;Acc:MGI:99167]</t>
  </si>
  <si>
    <t>Gm50464</t>
  </si>
  <si>
    <t>predicted gene, 50464 [Source:MGI Symbol;Acc:MGI:6324731]</t>
  </si>
  <si>
    <t>Ciita</t>
  </si>
  <si>
    <t>class II transactivator [Source:MGI Symbol;Acc:MGI:108445]</t>
  </si>
  <si>
    <t>Pth1r</t>
  </si>
  <si>
    <t>parathyroid hormone 1 receptor [Source:MGI Symbol;Acc:MGI:97801]</t>
  </si>
  <si>
    <t>Tmsb10</t>
  </si>
  <si>
    <t>thymosin, beta 10 [Source:MGI Symbol;Acc:MGI:109146]</t>
  </si>
  <si>
    <t>Vps35</t>
  </si>
  <si>
    <t>VPS35 retromer complex component [Source:MGI Symbol;Acc:MGI:1890467]</t>
  </si>
  <si>
    <t>Tnks1bp1</t>
  </si>
  <si>
    <t>tankyrase 1 binding protein 1 [Source:MGI Symbol;Acc:MGI:2446193]</t>
  </si>
  <si>
    <t>Kctd3</t>
  </si>
  <si>
    <t>potassium channel tetramerisation domain containing 3 [Source:MGI Symbol;Acc:MGI:2444629]</t>
  </si>
  <si>
    <t>Ppp1r16b</t>
  </si>
  <si>
    <t>protein phosphatase 1, regulatory subunit 16B [Source:MGI Symbol;Acc:MGI:2151841]</t>
  </si>
  <si>
    <t>Gm10522</t>
  </si>
  <si>
    <t>predicted gene 10522 [Source:MGI Symbol;Acc:MGI:3642357]</t>
  </si>
  <si>
    <t>Iws1</t>
  </si>
  <si>
    <t>IWS1, SUPT6 interacting protein [Source:MGI Symbol;Acc:MGI:1920723]</t>
  </si>
  <si>
    <t>Ubxn7</t>
  </si>
  <si>
    <t>UBX domain protein 7 [Source:MGI Symbol;Acc:MGI:2146388]</t>
  </si>
  <si>
    <t>Actg-ps1</t>
  </si>
  <si>
    <t>actin, gamma, pseudogene 1 [Source:MGI Symbol;Acc:MGI:87907]</t>
  </si>
  <si>
    <t>Ccdc82</t>
  </si>
  <si>
    <t>coiled-coil domain containing 82 [Source:MGI Symbol;Acc:MGI:1913646]</t>
  </si>
  <si>
    <t>Nabp2</t>
  </si>
  <si>
    <t>nucleic acid binding protein 2 [Source:MGI Symbol;Acc:MGI:1917167]</t>
  </si>
  <si>
    <t>Mrps10</t>
  </si>
  <si>
    <t>mitochondrial ribosomal protein S10 [Source:MGI Symbol;Acc:MGI:1928139]</t>
  </si>
  <si>
    <t>Spop</t>
  </si>
  <si>
    <t>speckle-type BTB/POZ protein [Source:MGI Symbol;Acc:MGI:1343085]</t>
  </si>
  <si>
    <t>2310043L19Rik</t>
  </si>
  <si>
    <t>RIKEN cDNA 2310043L19 gene [Source:MGI Symbol;Acc:MGI:1922839]</t>
  </si>
  <si>
    <t>Abhd16a</t>
  </si>
  <si>
    <t>abhydrolase domain containing 16A [Source:MGI Symbol;Acc:MGI:99476]</t>
  </si>
  <si>
    <t>Csnk1d</t>
  </si>
  <si>
    <t>casein kinase 1, delta [Source:MGI Symbol;Acc:MGI:1355272]</t>
  </si>
  <si>
    <t>Gm10658</t>
  </si>
  <si>
    <t>predicted gene 10658 [Source:MGI Symbol;Acc:MGI:3642856]</t>
  </si>
  <si>
    <t>Acad12</t>
  </si>
  <si>
    <t>acyl-Coenzyme A dehydrogenase family, member 12 [Source:MGI Symbol;Acc:MGI:2443320]</t>
  </si>
  <si>
    <t>Zfp773</t>
  </si>
  <si>
    <t>zinc finger protein 773 [Source:MGI Symbol;Acc:MGI:1923623]</t>
  </si>
  <si>
    <t>Denn2b</t>
  </si>
  <si>
    <t>DENN domain containing 2B [Source:MGI Symbol;Acc:MGI:108517]</t>
  </si>
  <si>
    <t>Cdc37l1</t>
  </si>
  <si>
    <t>cell division cycle 37-like 1 [Source:MGI Symbol;Acc:MGI:1914322]</t>
  </si>
  <si>
    <t>Cacna1b</t>
  </si>
  <si>
    <t>calcium channel, voltage-dependent, N type, alpha 1B subunit [Source:MGI Symbol;Acc:MGI:88296]</t>
  </si>
  <si>
    <t>Castor1</t>
  </si>
  <si>
    <t>cytosolic arginine sensor for mTORC1 subunit 1 [Source:MGI Symbol;Acc:MGI:1919212]</t>
  </si>
  <si>
    <t>3110082I17Rik</t>
  </si>
  <si>
    <t>RIKEN cDNA 3110082I17 gene [Source:MGI Symbol;Acc:MGI:1920462]</t>
  </si>
  <si>
    <t>Add1</t>
  </si>
  <si>
    <t>adducin 1 (alpha) [Source:MGI Symbol;Acc:MGI:87918]</t>
  </si>
  <si>
    <t>Fancf</t>
  </si>
  <si>
    <t>Fanconi anemia, complementation group F [Source:MGI Symbol;Acc:MGI:3689889]</t>
  </si>
  <si>
    <t>Dnajc18</t>
  </si>
  <si>
    <t>DnaJ heat shock protein family (Hsp40) member C18 [Source:MGI Symbol;Acc:MGI:1923844]</t>
  </si>
  <si>
    <t>Ccdc163</t>
  </si>
  <si>
    <t>coiled-coil domain containing 163 [Source:MGI Symbol;Acc:MGI:1915644]</t>
  </si>
  <si>
    <t>4930558J18Rik</t>
  </si>
  <si>
    <t>RIKEN cDNA 4930558J18 gene [Source:MGI Symbol;Acc:MGI:1922573]</t>
  </si>
  <si>
    <t>Haao</t>
  </si>
  <si>
    <t>3-hydroxyanthranilate 3,4-dioxygenase [Source:MGI Symbol;Acc:MGI:1349444]</t>
  </si>
  <si>
    <t>Gm19253</t>
  </si>
  <si>
    <t>predicted gene, 19253 [Source:MGI Symbol;Acc:MGI:5011438]</t>
  </si>
  <si>
    <t>Marchf2</t>
  </si>
  <si>
    <t>membrane associated ring-CH-type finger 2 [Source:MGI Symbol;Acc:MGI:1925915]</t>
  </si>
  <si>
    <t>Mrpl27</t>
  </si>
  <si>
    <t>mitochondrial ribosomal protein L27 [Source:MGI Symbol;Acc:MGI:2137224]</t>
  </si>
  <si>
    <t>Mrpl4</t>
  </si>
  <si>
    <t>mitochondrial ribosomal protein L4 [Source:MGI Symbol;Acc:MGI:2137210]</t>
  </si>
  <si>
    <t>Gar1</t>
  </si>
  <si>
    <t>GAR1 ribonucleoprotein [Source:MGI Symbol;Acc:MGI:1930948]</t>
  </si>
  <si>
    <t>Zfp469</t>
  </si>
  <si>
    <t>zinc finger protein 469 [Source:MGI Symbol;Acc:MGI:2684868]</t>
  </si>
  <si>
    <t>Mir671</t>
  </si>
  <si>
    <t>microRNA 671 [Source:MGI Symbol;Acc:MGI:3629656]</t>
  </si>
  <si>
    <t>Cenpj</t>
  </si>
  <si>
    <t>centromere protein J [Source:MGI Symbol;Acc:MGI:2684927]</t>
  </si>
  <si>
    <t>Maea</t>
  </si>
  <si>
    <t>macrophage erythroblast attacher [Source:MGI Symbol;Acc:MGI:1891748]</t>
  </si>
  <si>
    <t>Smpd3</t>
  </si>
  <si>
    <t>sphingomyelin phosphodiesterase 3, neutral [Source:MGI Symbol;Acc:MGI:1927578]</t>
  </si>
  <si>
    <t>Gm20703</t>
  </si>
  <si>
    <t>predicted gene 20703 [Source:MGI Symbol;Acc:MGI:5313150]</t>
  </si>
  <si>
    <t>9330151L19Rik</t>
  </si>
  <si>
    <t>RIKEN cDNA 9330151L19 gene [Source:MGI Symbol;Acc:MGI:3041168]</t>
  </si>
  <si>
    <t>Kdm6a</t>
  </si>
  <si>
    <t>lysine (K)-specific demethylase 6A [Source:MGI Symbol;Acc:MGI:1095419]</t>
  </si>
  <si>
    <t>Lmna</t>
  </si>
  <si>
    <t>lamin A [Source:MGI Symbol;Acc:MGI:96794]</t>
  </si>
  <si>
    <t>Unk</t>
  </si>
  <si>
    <t>unkempt family zinc finger [Source:MGI Symbol;Acc:MGI:2442456]</t>
  </si>
  <si>
    <t>Gm12089</t>
  </si>
  <si>
    <t>predicted gene 12089 [Source:MGI Symbol;Acc:MGI:3650341]</t>
  </si>
  <si>
    <t>Golga2</t>
  </si>
  <si>
    <t>golgi autoantigen, golgin subfamily a, 2 [Source:MGI Symbol;Acc:MGI:2139395]</t>
  </si>
  <si>
    <t>Cutc</t>
  </si>
  <si>
    <t>cutC copper transporter [Source:MGI Symbol;Acc:MGI:1913638]</t>
  </si>
  <si>
    <t>Ermap</t>
  </si>
  <si>
    <t>erythroblast membrane-associated protein [Source:MGI Symbol;Acc:MGI:1349816]</t>
  </si>
  <si>
    <t>1700003F12Rik</t>
  </si>
  <si>
    <t>RIKEN cDNA 1700003F12 gene [Source:MGI Symbol;Acc:MGI:1922730]</t>
  </si>
  <si>
    <t>Zc3h12d</t>
  </si>
  <si>
    <t>zinc finger CCCH type containing 12D [Source:MGI Symbol;Acc:MGI:3045313]</t>
  </si>
  <si>
    <t>Ube2d1</t>
  </si>
  <si>
    <t>ubiquitin-conjugating enzyme E2D 1 [Source:MGI Symbol;Acc:MGI:2384911]</t>
  </si>
  <si>
    <t>Aig1</t>
  </si>
  <si>
    <t>androgen-induced 1 [Source:MGI Symbol;Acc:MGI:1913503]</t>
  </si>
  <si>
    <t>Igsf9</t>
  </si>
  <si>
    <t>immunoglobulin superfamily, member 9 [Source:MGI Symbol;Acc:MGI:2135283]</t>
  </si>
  <si>
    <t>Patl2</t>
  </si>
  <si>
    <t>protein associated with topoisomerase II homolog 2 (yeast) [Source:MGI Symbol;Acc:MGI:1914828]</t>
  </si>
  <si>
    <t>Imp3</t>
  </si>
  <si>
    <t>IMP3, U3 small nucleolar ribonucleoprotein [Source:MGI Symbol;Acc:MGI:1916119]</t>
  </si>
  <si>
    <t>Ccnyl1</t>
  </si>
  <si>
    <t>cyclin Y-like 1 [Source:MGI Symbol;Acc:MGI:2138614]</t>
  </si>
  <si>
    <t>Map2k3</t>
  </si>
  <si>
    <t>mitogen-activated protein kinase kinase 3 [Source:MGI Symbol;Acc:MGI:1346868]</t>
  </si>
  <si>
    <t>Sh3rf1</t>
  </si>
  <si>
    <t>SH3 domain containing ring finger 1 [Source:MGI Symbol;Acc:MGI:1913066]</t>
  </si>
  <si>
    <t>Hexdc</t>
  </si>
  <si>
    <t>hexosaminidase (glycosyl hydrolase family 20, catalytic domain) containing [Source:MGI Symbol;Acc:MGI:3605542]</t>
  </si>
  <si>
    <t>1500002C15Rik</t>
  </si>
  <si>
    <t>RIKEN cDNA 1500002C15 gene [Source:MGI Symbol;Acc:MGI:1916196]</t>
  </si>
  <si>
    <t>Hmgcl</t>
  </si>
  <si>
    <t>3-hydroxy-3-methylglutaryl-Coenzyme A lyase [Source:MGI Symbol;Acc:MGI:96158]</t>
  </si>
  <si>
    <t>Rasl11a</t>
  </si>
  <si>
    <t>RAS-like, family 11, member A [Source:MGI Symbol;Acc:MGI:1916145]</t>
  </si>
  <si>
    <t>Gm14276</t>
  </si>
  <si>
    <t>predicted gene 14276 [Source:MGI Symbol;Acc:MGI:3701955]</t>
  </si>
  <si>
    <t>Fbxl19</t>
  </si>
  <si>
    <t>F-box and leucine-rich repeat protein 19 [Source:MGI Symbol;Acc:MGI:3039600]</t>
  </si>
  <si>
    <t>Mnat1</t>
  </si>
  <si>
    <t>menage a trois 1 [Source:MGI Symbol;Acc:MGI:106207]</t>
  </si>
  <si>
    <t>2610318N02Rik</t>
  </si>
  <si>
    <t>RIKEN cDNA 2610318N02 gene [Source:MGI Symbol;Acc:MGI:1917708]</t>
  </si>
  <si>
    <t>Pdhx</t>
  </si>
  <si>
    <t>pyruvate dehydrogenase complex, component X [Source:MGI Symbol;Acc:MGI:1351627]</t>
  </si>
  <si>
    <t>4930448A20Rik</t>
  </si>
  <si>
    <t>RIKEN cDNA 4930448A20 gene [Source:MGI Symbol;Acc:MGI:1921243]</t>
  </si>
  <si>
    <t>Lzts3</t>
  </si>
  <si>
    <t>leucine zipper, putative tumor suppressor family member 3 [Source:MGI Symbol;Acc:MGI:2656976]</t>
  </si>
  <si>
    <t>Glra3</t>
  </si>
  <si>
    <t>glycine receptor, alpha 3 subunit [Source:MGI Symbol;Acc:MGI:95749]</t>
  </si>
  <si>
    <t>Disc1</t>
  </si>
  <si>
    <t>disrupted in schizophrenia 1 [Source:MGI Symbol;Acc:MGI:2447658]</t>
  </si>
  <si>
    <t>Pin4</t>
  </si>
  <si>
    <t>protein (peptidyl-prolyl cis/trans isomerase) NIMA-interacting, 4 (parvulin) [Source:MGI Symbol;Acc:MGI:1916963]</t>
  </si>
  <si>
    <t>Sidt2</t>
  </si>
  <si>
    <t>SID1 transmembrane family, member 2 [Source:MGI Symbol;Acc:MGI:2446134]</t>
  </si>
  <si>
    <t>Gm14296</t>
  </si>
  <si>
    <t>predicted gene 14296 [Source:MGI Symbol;Acc:MGI:3708667]</t>
  </si>
  <si>
    <t>Arap3</t>
  </si>
  <si>
    <t>ArfGAP with RhoGAP domain, ankyrin repeat and PH domain 3 [Source:MGI Symbol;Acc:MGI:2147274]</t>
  </si>
  <si>
    <t>Rbm17</t>
  </si>
  <si>
    <t>RNA binding motif protein 17 [Source:MGI Symbol;Acc:MGI:1924188]</t>
  </si>
  <si>
    <t>4930556H04Rik</t>
  </si>
  <si>
    <t>RIKEN cDNA 4930556H04 gene [Source:MGI Symbol;Acc:MGI:1923092]</t>
  </si>
  <si>
    <t>Kcnf1</t>
  </si>
  <si>
    <t>potassium voltage-gated channel, subfamily F, member 1 [Source:MGI Symbol;Acc:MGI:2687399]</t>
  </si>
  <si>
    <t>Dph2</t>
  </si>
  <si>
    <t>DPH2 homolog [Source:MGI Symbol;Acc:MGI:1914978]</t>
  </si>
  <si>
    <t>Slc35b4</t>
  </si>
  <si>
    <t>solute carrier family 35, member B4 [Source:MGI Symbol;Acc:MGI:1931249]</t>
  </si>
  <si>
    <t>Ppih</t>
  </si>
  <si>
    <t>peptidyl prolyl isomerase H [Source:MGI Symbol;Acc:MGI:106499]</t>
  </si>
  <si>
    <t>Gm49871</t>
  </si>
  <si>
    <t>predicted gene, 49871 [Source:MGI Symbol;Acc:MGI:6270547]</t>
  </si>
  <si>
    <t>Sri</t>
  </si>
  <si>
    <t>sorcin [Source:MGI Symbol;Acc:MGI:98419]</t>
  </si>
  <si>
    <t>Nubp2</t>
  </si>
  <si>
    <t>nucleotide binding protein 2 [Source:MGI Symbol;Acc:MGI:1347072]</t>
  </si>
  <si>
    <t>Urah</t>
  </si>
  <si>
    <t>urate (5-hydroxyiso-) hydrolase [Source:MGI Symbol;Acc:MGI:1916142]</t>
  </si>
  <si>
    <t>Gm16163</t>
  </si>
  <si>
    <t>predicted gene 16163 [Source:MGI Symbol;Acc:MGI:3833836]</t>
  </si>
  <si>
    <t>Taf4b</t>
  </si>
  <si>
    <t>TATA-box binding protein associated factor 4b [Source:MGI Symbol;Acc:MGI:2152345]</t>
  </si>
  <si>
    <t>Mypop</t>
  </si>
  <si>
    <t>Myb-related transcription factor, partner of profilin [Source:MGI Symbol;Acc:MGI:2446472]</t>
  </si>
  <si>
    <t>Aplp2</t>
  </si>
  <si>
    <t>amyloid beta (A4) precursor-like protein 2 [Source:MGI Symbol;Acc:MGI:88047]</t>
  </si>
  <si>
    <t>Smarcd1</t>
  </si>
  <si>
    <t>SWI/SNF related, matrix associated, actin dependent regulator of chromatin, subfamily d, member 1 [Source:MGI Symbol;Acc:MGI:1933623]</t>
  </si>
  <si>
    <t>Rps27</t>
  </si>
  <si>
    <t>ribosomal protein S27 [Source:MGI Symbol;Acc:MGI:1888676]</t>
  </si>
  <si>
    <t>Pls1</t>
  </si>
  <si>
    <t>plastin 1 (I-isoform) [Source:MGI Symbol;Acc:MGI:104809]</t>
  </si>
  <si>
    <t>Ssbp1</t>
  </si>
  <si>
    <t>single-stranded DNA binding protein 1 [Source:MGI Symbol;Acc:MGI:1920040]</t>
  </si>
  <si>
    <t>Aldoc</t>
  </si>
  <si>
    <t>aldolase C, fructose-bisphosphate [Source:MGI Symbol;Acc:MGI:101863]</t>
  </si>
  <si>
    <t>Gm47692</t>
  </si>
  <si>
    <t>predicted gene, 47692 [Source:MGI Symbol;Acc:MGI:6096800]</t>
  </si>
  <si>
    <t>Hgh1</t>
  </si>
  <si>
    <t>HGH1 homolog [Source:MGI Symbol;Acc:MGI:1930628]</t>
  </si>
  <si>
    <t>Snrpf</t>
  </si>
  <si>
    <t>small nuclear ribonucleoprotein polypeptide F [Source:MGI Symbol;Acc:MGI:1917128]</t>
  </si>
  <si>
    <t>Tfpi</t>
  </si>
  <si>
    <t>tissue factor pathway inhibitor [Source:MGI Symbol;Acc:MGI:1095418]</t>
  </si>
  <si>
    <t>Hspe1</t>
  </si>
  <si>
    <t>heat shock protein 1 (chaperonin 10) [Source:MGI Symbol;Acc:MGI:104680]</t>
  </si>
  <si>
    <t>Ifi214</t>
  </si>
  <si>
    <t>interferon activated gene 214 [Source:MGI Symbol;Acc:MGI:3584522]</t>
  </si>
  <si>
    <t>Tsc22d2</t>
  </si>
  <si>
    <t>TSC22 domain family, member 2 [Source:MGI Symbol;Acc:MGI:1919283]</t>
  </si>
  <si>
    <t>Sdk2</t>
  </si>
  <si>
    <t>sidekick cell adhesion molecule 2 [Source:MGI Symbol;Acc:MGI:2443847]</t>
  </si>
  <si>
    <t>Gm550</t>
  </si>
  <si>
    <t>predicted gene 550 [Source:MGI Symbol;Acc:MGI:2685396]</t>
  </si>
  <si>
    <t>Gm16001</t>
  </si>
  <si>
    <t>predicted gene 16001 [Source:MGI Symbol;Acc:MGI:3802119]</t>
  </si>
  <si>
    <t>Bcl2l15</t>
  </si>
  <si>
    <t>BCLl2-like 15 [Source:MGI Symbol;Acc:MGI:2685412]</t>
  </si>
  <si>
    <t>2810410L24Rik</t>
  </si>
  <si>
    <t>RIKEN cDNA 2810410L24 gene [Source:MGI Symbol;Acc:MGI:1923627]</t>
  </si>
  <si>
    <t>Apoc2</t>
  </si>
  <si>
    <t>apolipoprotein C-II [Source:MGI Symbol;Acc:MGI:88054]</t>
  </si>
  <si>
    <t>Dbndd2</t>
  </si>
  <si>
    <t>dysbindin (dystrobrevin binding protein 1) domain containing 2 [Source:MGI Symbol;Acc:MGI:106562]</t>
  </si>
  <si>
    <t>Ggta1</t>
  </si>
  <si>
    <t>glycoprotein galactosyltransferase alpha 1, 3 [Source:MGI Symbol;Acc:MGI:95704]</t>
  </si>
  <si>
    <t>Dxo</t>
  </si>
  <si>
    <t>decapping exoribonuclease [Source:MGI Symbol;Acc:MGI:1890444]</t>
  </si>
  <si>
    <t>Apc</t>
  </si>
  <si>
    <t>APC, WNT signaling pathway regulator [Source:MGI Symbol;Acc:MGI:88039]</t>
  </si>
  <si>
    <t>Zscan29</t>
  </si>
  <si>
    <t>zinc finger SCAN domains 29 [Source:MGI Symbol;Acc:MGI:2139317]</t>
  </si>
  <si>
    <t>Gm30794</t>
  </si>
  <si>
    <t>predicted gene, 30794 [Source:MGI Symbol;Acc:MGI:5589953]</t>
  </si>
  <si>
    <t>Cfap298</t>
  </si>
  <si>
    <t>cilia and flagella associate protien 298 [Source:MGI Symbol;Acc:MGI:1915251]</t>
  </si>
  <si>
    <t>A330009N23Rik</t>
  </si>
  <si>
    <t>RIKEN cDNA A330009N23 gene [Source:MGI Symbol;Acc:MGI:2443491]</t>
  </si>
  <si>
    <t>Nelfa</t>
  </si>
  <si>
    <t>negative elongation factor complex member A, Whsc2 [Source:MGI Symbol;Acc:MGI:1346098]</t>
  </si>
  <si>
    <t>Sla2</t>
  </si>
  <si>
    <t>Src-like-adaptor 2 [Source:MGI Symbol;Acc:MGI:1925049]</t>
  </si>
  <si>
    <t>Adrb1</t>
  </si>
  <si>
    <t>adrenergic receptor, beta 1 [Source:MGI Symbol;Acc:MGI:87937]</t>
  </si>
  <si>
    <t>A630089N07Rik</t>
  </si>
  <si>
    <t>RIKEN cDNA A630089N07 gene [Source:MGI Symbol;Acc:MGI:2444323]</t>
  </si>
  <si>
    <t>Ercc1</t>
  </si>
  <si>
    <t>excision repair cross-complementing rodent repair deficiency, complementation group 1 [Source:MGI Symbol;Acc:MGI:95412]</t>
  </si>
  <si>
    <t>Gm49413</t>
  </si>
  <si>
    <t>predicted gene, 49413 [Source:MGI Symbol;Acc:MGI:6155041]</t>
  </si>
  <si>
    <t>Hspa2</t>
  </si>
  <si>
    <t>heat shock protein 2 [Source:MGI Symbol;Acc:MGI:96243]</t>
  </si>
  <si>
    <t>Ciao2a</t>
  </si>
  <si>
    <t>cytosolic iron-sulfur assembly component 2A [Source:MGI Symbol;Acc:MGI:1915500]</t>
  </si>
  <si>
    <t>Btd</t>
  </si>
  <si>
    <t>biotinidase [Source:MGI Symbol;Acc:MGI:1347001]</t>
  </si>
  <si>
    <t>Gm15834</t>
  </si>
  <si>
    <t>predicted gene 15834 [Source:MGI Symbol;Acc:MGI:3802168]</t>
  </si>
  <si>
    <t>D930030I03Rik</t>
  </si>
  <si>
    <t>RIKEN cDNA D930030I03 gene [Source:MGI Symbol;Acc:MGI:2444245]</t>
  </si>
  <si>
    <t>Cd101</t>
  </si>
  <si>
    <t>CD101 antigen [Source:MGI Symbol;Acc:MGI:2685862]</t>
  </si>
  <si>
    <t>Mmachc</t>
  </si>
  <si>
    <t>methylmalonic aciduria cblC type, with homocystinuria [Source:MGI Symbol;Acc:MGI:1914346]</t>
  </si>
  <si>
    <t>Lpar2</t>
  </si>
  <si>
    <t>lysophosphatidic acid receptor 2 [Source:MGI Symbol;Acc:MGI:1858422]</t>
  </si>
  <si>
    <t>Gxylt1</t>
  </si>
  <si>
    <t>glucoside xylosyltransferase 1 [Source:MGI Symbol;Acc:MGI:2684933]</t>
  </si>
  <si>
    <t>Nom1</t>
  </si>
  <si>
    <t>nucleolar protein with MIF4G domain 1 [Source:MGI Symbol;Acc:MGI:1861749]</t>
  </si>
  <si>
    <t>Rrad</t>
  </si>
  <si>
    <t>Ras-related associated with diabetes [Source:MGI Symbol;Acc:MGI:1930943]</t>
  </si>
  <si>
    <t>Ctbp1</t>
  </si>
  <si>
    <t>C-terminal binding protein 1 [Source:MGI Symbol;Acc:MGI:1201685]</t>
  </si>
  <si>
    <t>Mir365-2</t>
  </si>
  <si>
    <t>microRNA 365-2 [Source:MGI Symbol;Acc:MGI:3619372]</t>
  </si>
  <si>
    <t>mt-Tl2</t>
  </si>
  <si>
    <t>mitochondrially encoded tRNA leucine 2 [Source:MGI Symbol;Acc:MGI:102481]</t>
  </si>
  <si>
    <t>Mt_tRNA</t>
  </si>
  <si>
    <t>Tdrd9</t>
  </si>
  <si>
    <t>tudor domain containing 9 [Source:MGI Symbol;Acc:MGI:1921941]</t>
  </si>
  <si>
    <t>Gm16278</t>
  </si>
  <si>
    <t>predicted gene 16278 [Source:MGI Symbol;Acc:MGI:3826602]</t>
  </si>
  <si>
    <t>Gm13375</t>
  </si>
  <si>
    <t>predicted gene 13375 [Source:MGI Symbol;Acc:MGI:3649913]</t>
  </si>
  <si>
    <t>Gstm2</t>
  </si>
  <si>
    <t>glutathione S-transferase, mu 2 [Source:MGI Symbol;Acc:MGI:95861]</t>
  </si>
  <si>
    <t>Clmp</t>
  </si>
  <si>
    <t>CXADR-like membrane protein [Source:MGI Symbol;Acc:MGI:1918816]</t>
  </si>
  <si>
    <t>Man2b1</t>
  </si>
  <si>
    <t>mannosidase 2, alpha B1 [Source:MGI Symbol;Acc:MGI:107286]</t>
  </si>
  <si>
    <t>Zfp687</t>
  </si>
  <si>
    <t>zinc finger protein 687 [Source:MGI Symbol;Acc:MGI:1925516]</t>
  </si>
  <si>
    <t>Il27ra</t>
  </si>
  <si>
    <t>interleukin 27 receptor, alpha [Source:MGI Symbol;Acc:MGI:1355318]</t>
  </si>
  <si>
    <t>Xkr6</t>
  </si>
  <si>
    <t>X-linked Kx blood group related 6 [Source:MGI Symbol;Acc:MGI:2447765]</t>
  </si>
  <si>
    <t>Gm40841</t>
  </si>
  <si>
    <t>predicted gene, 40841 [Source:MGI Symbol;Acc:MGI:5623726]</t>
  </si>
  <si>
    <t>Ahsa2</t>
  </si>
  <si>
    <t>AHA1, activator of heat shock protein ATPase 2 [Source:MGI Symbol;Acc:MGI:1916133]</t>
  </si>
  <si>
    <t>Pgm3</t>
  </si>
  <si>
    <t>phosphoglucomutase 3 [Source:MGI Symbol;Acc:MGI:97566]</t>
  </si>
  <si>
    <t>Ugp2</t>
  </si>
  <si>
    <t>UDP-glucose pyrophosphorylase 2 [Source:MGI Symbol;Acc:MGI:2183447]</t>
  </si>
  <si>
    <t>Hagh</t>
  </si>
  <si>
    <t>hydroxyacyl glutathione hydrolase [Source:MGI Symbol;Acc:MGI:95745]</t>
  </si>
  <si>
    <t>Gm45808</t>
  </si>
  <si>
    <t>predicted gene 45808 [Source:MGI Symbol;Acc:MGI:5804923]</t>
  </si>
  <si>
    <t>Mir5113</t>
  </si>
  <si>
    <t>microRNA 5113 [Source:MGI Symbol;Acc:MGI:4950433]</t>
  </si>
  <si>
    <t>Zkscan8</t>
  </si>
  <si>
    <t>zinc finger with KRAB and SCAN domains 8 [Source:MGI Symbol;Acc:MGI:1913815]</t>
  </si>
  <si>
    <t>Commd10</t>
  </si>
  <si>
    <t>COMM domain containing 10 [Source:MGI Symbol;Acc:MGI:1916706]</t>
  </si>
  <si>
    <t>Cep162</t>
  </si>
  <si>
    <t>centrosomal protein 162 [Source:MGI Symbol;Acc:MGI:1925343]</t>
  </si>
  <si>
    <t>Uqcrb</t>
  </si>
  <si>
    <t>ubiquinol-cytochrome c reductase binding protein [Source:MGI Symbol;Acc:MGI:1914780]</t>
  </si>
  <si>
    <t>Zfp142</t>
  </si>
  <si>
    <t>zinc finger protein 142 [Source:MGI Symbol;Acc:MGI:1924514]</t>
  </si>
  <si>
    <t>Ly86</t>
  </si>
  <si>
    <t>lymphocyte antigen 86 [Source:MGI Symbol;Acc:MGI:1321404]</t>
  </si>
  <si>
    <t>Cd48</t>
  </si>
  <si>
    <t>CD48 antigen [Source:MGI Symbol;Acc:MGI:88339]</t>
  </si>
  <si>
    <t>Gm5456</t>
  </si>
  <si>
    <t>predicted gene 5456 [Source:MGI Symbol;Acc:MGI:3643775]</t>
  </si>
  <si>
    <t>Akirin2</t>
  </si>
  <si>
    <t>akirin 2 [Source:MGI Symbol;Acc:MGI:1889364]</t>
  </si>
  <si>
    <t>Smc4</t>
  </si>
  <si>
    <t>structural maintenance of chromosomes 4 [Source:MGI Symbol;Acc:MGI:1917349]</t>
  </si>
  <si>
    <t>Tmem11</t>
  </si>
  <si>
    <t>transmembrane protein 11 [Source:MGI Symbol;Acc:MGI:2144726]</t>
  </si>
  <si>
    <t>Rnf138</t>
  </si>
  <si>
    <t>ring finger protein 138 [Source:MGI Symbol;Acc:MGI:1929211]</t>
  </si>
  <si>
    <t>Nbeal1</t>
  </si>
  <si>
    <t>neurobeachin like 1 [Source:MGI Symbol;Acc:MGI:2444343]</t>
  </si>
  <si>
    <t>Ubxn6</t>
  </si>
  <si>
    <t>UBX domain protein 6 [Source:MGI Symbol;Acc:MGI:1913780]</t>
  </si>
  <si>
    <t>Cd151</t>
  </si>
  <si>
    <t>CD151 antigen [Source:MGI Symbol;Acc:MGI:1096360]</t>
  </si>
  <si>
    <t>Rnf170</t>
  </si>
  <si>
    <t>ring finger protein 170 [Source:MGI Symbol;Acc:MGI:1924983]</t>
  </si>
  <si>
    <t>Hdac2</t>
  </si>
  <si>
    <t>histone deacetylase 2 [Source:MGI Symbol;Acc:MGI:1097691]</t>
  </si>
  <si>
    <t>Gm33172</t>
  </si>
  <si>
    <t>predicted gene, 33172 [Source:MGI Symbol;Acc:MGI:5592331]</t>
  </si>
  <si>
    <t>Lrfn3</t>
  </si>
  <si>
    <t>leucine rich repeat and fibronectin type III domain containing 3 [Source:MGI Symbol;Acc:MGI:2442512]</t>
  </si>
  <si>
    <t>Ube2v2</t>
  </si>
  <si>
    <t>ubiquitin-conjugating enzyme E2 variant 2 [Source:MGI Symbol;Acc:MGI:1917870]</t>
  </si>
  <si>
    <t>Fcrl1</t>
  </si>
  <si>
    <t>Fc receptor-like 1 [Source:MGI Symbol;Acc:MGI:2442862]</t>
  </si>
  <si>
    <t>Axin2</t>
  </si>
  <si>
    <t>axin 2 [Source:MGI Symbol;Acc:MGI:1270862]</t>
  </si>
  <si>
    <t>Abca8a</t>
  </si>
  <si>
    <t>ATP-binding cassette, sub-family A (ABC1), member 8a [Source:MGI Symbol;Acc:MGI:2386846]</t>
  </si>
  <si>
    <t>4930447F24Rik</t>
  </si>
  <si>
    <t>RIKEN cDNA 4930447F24 gene [Source:MGI Symbol;Acc:MGI:1924123]</t>
  </si>
  <si>
    <t>F13a1</t>
  </si>
  <si>
    <t>coagulation factor XIII, A1 subunit [Source:MGI Symbol;Acc:MGI:1921395]</t>
  </si>
  <si>
    <t>Tnip2</t>
  </si>
  <si>
    <t>TNFAIP3 interacting protein 2 [Source:MGI Symbol;Acc:MGI:2386643]</t>
  </si>
  <si>
    <t>Calr</t>
  </si>
  <si>
    <t>calreticulin [Source:MGI Symbol;Acc:MGI:88252]</t>
  </si>
  <si>
    <t>Anln</t>
  </si>
  <si>
    <t>anillin, actin binding protein [Source:MGI Symbol;Acc:MGI:1920174]</t>
  </si>
  <si>
    <t>Maip1</t>
  </si>
  <si>
    <t>matrix AAA peptidase interacting protein 1 [Source:MGI Symbol;Acc:MGI:1915365]</t>
  </si>
  <si>
    <t>Yif1a</t>
  </si>
  <si>
    <t>Yip1 interacting factor homolog A (S. cerevisiae) [Source:MGI Symbol;Acc:MGI:1915340]</t>
  </si>
  <si>
    <t>Gm11131</t>
  </si>
  <si>
    <t>predicted gene 11131 [Source:MGI Symbol;Acc:MGI:3779386]</t>
  </si>
  <si>
    <t>Dtnbp1</t>
  </si>
  <si>
    <t>dystrobrevin binding protein 1 [Source:MGI Symbol;Acc:MGI:2137586]</t>
  </si>
  <si>
    <t>Cracr2b</t>
  </si>
  <si>
    <t>calcium release activated channel regulator 2B [Source:MGI Symbol;Acc:MGI:2446129]</t>
  </si>
  <si>
    <t>Gm4430</t>
  </si>
  <si>
    <t>predicted gene 4430 [Source:MGI Symbol;Acc:MGI:3782614]</t>
  </si>
  <si>
    <t>Gm37844</t>
  </si>
  <si>
    <t>predicted gene, 37844 [Source:MGI Symbol;Acc:MGI:5611072]</t>
  </si>
  <si>
    <t>D330050G23Rik</t>
  </si>
  <si>
    <t>RIKEN cDNA D330050G23 gene [Source:MGI Symbol;Acc:MGI:2445155]</t>
  </si>
  <si>
    <t>Zfp341</t>
  </si>
  <si>
    <t>zinc finger protein 341 [Source:MGI Symbol;Acc:MGI:2682937]</t>
  </si>
  <si>
    <t>Fem1c</t>
  </si>
  <si>
    <t>fem 1 homolog c [Source:MGI Symbol;Acc:MGI:2444737]</t>
  </si>
  <si>
    <t>Kifc2</t>
  </si>
  <si>
    <t>kinesin family member C2 [Source:MGI Symbol;Acc:MGI:109187]</t>
  </si>
  <si>
    <t>Ppm1a</t>
  </si>
  <si>
    <t>protein phosphatase 1A, magnesium dependent, alpha isoform [Source:MGI Symbol;Acc:MGI:99878]</t>
  </si>
  <si>
    <t>Adam9</t>
  </si>
  <si>
    <t>a disintegrin and metallopeptidase domain 9 (meltrin gamma) [Source:MGI Symbol;Acc:MGI:105376]</t>
  </si>
  <si>
    <t>Aim2</t>
  </si>
  <si>
    <t>absent in melanoma 2 [Source:MGI Symbol;Acc:MGI:2686159]</t>
  </si>
  <si>
    <t>Sfxn2</t>
  </si>
  <si>
    <t>sideroflexin 2 [Source:MGI Symbol;Acc:MGI:2137678]</t>
  </si>
  <si>
    <t>Ncor1</t>
  </si>
  <si>
    <t>nuclear receptor co-repressor 1 [Source:MGI Symbol;Acc:MGI:1349717]</t>
  </si>
  <si>
    <t>Snora73b</t>
  </si>
  <si>
    <t>small nucleolar RNA, H/ACA box 73b [Source:MGI Symbol;Acc:MGI:4360049]</t>
  </si>
  <si>
    <t>Alg1</t>
  </si>
  <si>
    <t>asparagine-linked glycosylation 1 (beta-1,4-mannosyltransferase) [Source:MGI Symbol;Acc:MGI:2384774]</t>
  </si>
  <si>
    <t>Rad54l2</t>
  </si>
  <si>
    <t>RAD54 like 2 (S. cerevisiae) [Source:MGI Symbol;Acc:MGI:1933196]</t>
  </si>
  <si>
    <t>Pde4a</t>
  </si>
  <si>
    <t>phosphodiesterase 4A, cAMP specific [Source:MGI Symbol;Acc:MGI:99558]</t>
  </si>
  <si>
    <t>Pigs</t>
  </si>
  <si>
    <t>phosphatidylinositol glycan anchor biosynthesis, class S [Source:MGI Symbol;Acc:MGI:2687325]</t>
  </si>
  <si>
    <t>Gm42869</t>
  </si>
  <si>
    <t>predicted gene 42869 [Source:MGI Symbol;Acc:MGI:5663006]</t>
  </si>
  <si>
    <t>Sco1</t>
  </si>
  <si>
    <t>SCO1 cytochrome c oxidase assembly protein [Source:MGI Symbol;Acc:MGI:106362]</t>
  </si>
  <si>
    <t>Trmt5</t>
  </si>
  <si>
    <t>TRM5 tRNA methyltransferase 5 [Source:MGI Symbol;Acc:MGI:1923607]</t>
  </si>
  <si>
    <t>1700003N22Rik</t>
  </si>
  <si>
    <t>RIKEN cDNA 1700003N22 gene [Source:MGI Symbol;Acc:MGI:1919464]</t>
  </si>
  <si>
    <t>Gm44805</t>
  </si>
  <si>
    <t>predicted gene 44805 [Source:MGI Symbol;Acc:MGI:5753381]</t>
  </si>
  <si>
    <t>Gm30881</t>
  </si>
  <si>
    <t>predicted gene, 30881 [Source:MGI Symbol;Acc:MGI:5590040]</t>
  </si>
  <si>
    <t>Mrpl1</t>
  </si>
  <si>
    <t>mitochondrial ribosomal protein L1 [Source:MGI Symbol;Acc:MGI:2137202]</t>
  </si>
  <si>
    <t>Nexn</t>
  </si>
  <si>
    <t>nexilin [Source:MGI Symbol;Acc:MGI:1916060]</t>
  </si>
  <si>
    <t>Tnnc1</t>
  </si>
  <si>
    <t>troponin C, cardiac/slow skeletal [Source:MGI Symbol;Acc:MGI:98779]</t>
  </si>
  <si>
    <t>Sar1b</t>
  </si>
  <si>
    <t>secretion associated Ras related GTPase 1B [Source:MGI Symbol;Acc:MGI:1913647]</t>
  </si>
  <si>
    <t>Rwdd3</t>
  </si>
  <si>
    <t>RWD domain containing 3 [Source:MGI Symbol;Acc:MGI:1920420]</t>
  </si>
  <si>
    <t>Carm1</t>
  </si>
  <si>
    <t>coactivator-associated arginine methyltransferase 1 [Source:MGI Symbol;Acc:MGI:1913208]</t>
  </si>
  <si>
    <t>Ssrp1</t>
  </si>
  <si>
    <t>structure specific recognition protein 1 [Source:MGI Symbol;Acc:MGI:107912]</t>
  </si>
  <si>
    <t>Pak1</t>
  </si>
  <si>
    <t>p21 (RAC1) activated kinase 1 [Source:MGI Symbol;Acc:MGI:1339975]</t>
  </si>
  <si>
    <t>Gm46620</t>
  </si>
  <si>
    <t>predicted gene, 46620 [Source:MGI Symbol;Acc:MGI:5826257]</t>
  </si>
  <si>
    <t>Rpl34</t>
  </si>
  <si>
    <t>ribosomal protein L34 [Source:MGI Symbol;Acc:MGI:1915686]</t>
  </si>
  <si>
    <t>Gm3531</t>
  </si>
  <si>
    <t>predicted pseudogene 3531 [Source:MGI Symbol;Acc:MGI:3781708]</t>
  </si>
  <si>
    <t>Arvcf</t>
  </si>
  <si>
    <t>armadillo repeat gene deleted in velocardiofacial syndrome [Source:MGI Symbol;Acc:MGI:109620]</t>
  </si>
  <si>
    <t>Herc2</t>
  </si>
  <si>
    <t>HECT and RLD domain containing E3 ubiquitin protein ligase 2 [Source:MGI Symbol;Acc:MGI:103234]</t>
  </si>
  <si>
    <t>Slc22a23</t>
  </si>
  <si>
    <t>solute carrier family 22, member 23 [Source:MGI Symbol;Acc:MGI:1920352]</t>
  </si>
  <si>
    <t>Chst14</t>
  </si>
  <si>
    <t>carbohydrate sulfotransferase 14 [Source:MGI Symbol;Acc:MGI:1919386]</t>
  </si>
  <si>
    <t>Hmgb2</t>
  </si>
  <si>
    <t>high mobility group box 2 [Source:MGI Symbol;Acc:MGI:96157]</t>
  </si>
  <si>
    <t>Pick1</t>
  </si>
  <si>
    <t>protein interacting with C kinase 1 [Source:MGI Symbol;Acc:MGI:894645]</t>
  </si>
  <si>
    <t>Sh3d21</t>
  </si>
  <si>
    <t>SH3 domain containing 21 [Source:MGI Symbol;Acc:MGI:1914188]</t>
  </si>
  <si>
    <t>Ptgfrn</t>
  </si>
  <si>
    <t>prostaglandin F2 receptor negative regulator [Source:MGI Symbol;Acc:MGI:1277114]</t>
  </si>
  <si>
    <t>Wdfy1</t>
  </si>
  <si>
    <t>WD repeat and FYVE domain containing 1 [Source:MGI Symbol;Acc:MGI:1916618]</t>
  </si>
  <si>
    <t>2210417A02Rik</t>
  </si>
  <si>
    <t>RIKEN cDNA 2210417A02 gene [Source:MGI Symbol;Acc:MGI:1917388]</t>
  </si>
  <si>
    <t>4632415L05Rik</t>
  </si>
  <si>
    <t>RIKEN cDNA 4632415L05 gene [Source:MGI Symbol;Acc:MGI:1918058]</t>
  </si>
  <si>
    <t>Ncmap</t>
  </si>
  <si>
    <t>noncompact myelin associated protein [Source:MGI Symbol;Acc:MGI:2444888]</t>
  </si>
  <si>
    <t>Stk38</t>
  </si>
  <si>
    <t>serine/threonine kinase 38 [Source:MGI Symbol;Acc:MGI:2442572]</t>
  </si>
  <si>
    <t>Epn1</t>
  </si>
  <si>
    <t>epsin 1 [Source:MGI Symbol;Acc:MGI:1333763]</t>
  </si>
  <si>
    <t>Ganc</t>
  </si>
  <si>
    <t>glucosidase, alpha; neutral C [Source:MGI Symbol;Acc:MGI:1923301]</t>
  </si>
  <si>
    <t>Usp24</t>
  </si>
  <si>
    <t>ubiquitin specific peptidase 24 [Source:MGI Symbol;Acc:MGI:1919936]</t>
  </si>
  <si>
    <t>B230317F23Rik</t>
  </si>
  <si>
    <t>RIKEN cDNA B230317F23 gene [Source:MGI Symbol;Acc:MGI:2443920]</t>
  </si>
  <si>
    <t>Rnf180</t>
  </si>
  <si>
    <t>ring finger protein 180 [Source:MGI Symbol;Acc:MGI:1919066]</t>
  </si>
  <si>
    <t>Gm37322</t>
  </si>
  <si>
    <t>predicted gene, 37322 [Source:MGI Symbol;Acc:MGI:5610550]</t>
  </si>
  <si>
    <t>Iglon5</t>
  </si>
  <si>
    <t>IgLON family member 5 [Source:MGI Symbol;Acc:MGI:2686277]</t>
  </si>
  <si>
    <t>Rbm12b2</t>
  </si>
  <si>
    <t>RNA binding motif protein 12 B2 [Source:MGI Symbol;Acc:MGI:1924854]</t>
  </si>
  <si>
    <t>Zfp28</t>
  </si>
  <si>
    <t>zinc finger protein 28 [Source:MGI Symbol;Acc:MGI:99175]</t>
  </si>
  <si>
    <t>1700003E16Rik</t>
  </si>
  <si>
    <t>RIKEN cDNA 1700003E16 gene [Source:MGI Symbol;Acc:MGI:1919087]</t>
  </si>
  <si>
    <t>G730013B05Rik</t>
  </si>
  <si>
    <t>RIKEN cDNA G730013B05 gene [Source:MGI Symbol;Acc:MGI:3588276]</t>
  </si>
  <si>
    <t>Gm10532</t>
  </si>
  <si>
    <t>predicted gene 10532 [Source:MGI Symbol;Acc:MGI:3641671]</t>
  </si>
  <si>
    <t>Gm16332</t>
  </si>
  <si>
    <t>predicted gene 16332 [Source:MGI Symbol;Acc:MGI:3840155]</t>
  </si>
  <si>
    <t>Jmjd1c</t>
  </si>
  <si>
    <t>jumonji domain containing 1C [Source:MGI Symbol;Acc:MGI:1918614]</t>
  </si>
  <si>
    <t>Rskr</t>
  </si>
  <si>
    <t>ribosomal protein S6 kinase related [Source:MGI Symbol;Acc:MGI:2652869]</t>
  </si>
  <si>
    <t>Snrpa1</t>
  </si>
  <si>
    <t>small nuclear ribonucleoprotein polypeptide A' [Source:MGI Symbol;Acc:MGI:1916231]</t>
  </si>
  <si>
    <t>Gm13359</t>
  </si>
  <si>
    <t>predicted gene 13359 [Source:MGI Symbol;Acc:MGI:3651940]</t>
  </si>
  <si>
    <t>Cdc23</t>
  </si>
  <si>
    <t>CDC23 cell division cycle 23 [Source:MGI Symbol;Acc:MGI:1098815]</t>
  </si>
  <si>
    <t>C630043F03Rik</t>
  </si>
  <si>
    <t>RIKEN cDNA C630043F03 gene [Source:MGI Symbol;Acc:MGI:1915535]</t>
  </si>
  <si>
    <t>Mir5114</t>
  </si>
  <si>
    <t>microRNA 5114 [Source:MGI Symbol;Acc:MGI:4950434]</t>
  </si>
  <si>
    <t>Flrt2</t>
  </si>
  <si>
    <t>fibronectin leucine rich transmembrane protein 2 [Source:MGI Symbol;Acc:MGI:3603594]</t>
  </si>
  <si>
    <t>Ttc33</t>
  </si>
  <si>
    <t>tetratricopeptide repeat domain 33 [Source:MGI Symbol;Acc:MGI:1914765]</t>
  </si>
  <si>
    <t>Gm5914</t>
  </si>
  <si>
    <t>predicted gene 5914 [Source:MGI Symbol;Acc:MGI:3779534]</t>
  </si>
  <si>
    <t>Jpt1</t>
  </si>
  <si>
    <t>Jupiter microtubule associated homolog 1 [Source:MGI Symbol;Acc:MGI:1096361]</t>
  </si>
  <si>
    <t>Bhlhe40</t>
  </si>
  <si>
    <t>basic helix-loop-helix family, member e40 [Source:MGI Symbol;Acc:MGI:1097714]</t>
  </si>
  <si>
    <t>Stk36</t>
  </si>
  <si>
    <t>serine/threonine kinase 36 [Source:MGI Symbol;Acc:MGI:1920831]</t>
  </si>
  <si>
    <t>Cx3cr1</t>
  </si>
  <si>
    <t>chemokine (C-X3-C motif) receptor 1 [Source:MGI Symbol;Acc:MGI:1333815]</t>
  </si>
  <si>
    <t>Gm12870</t>
  </si>
  <si>
    <t>predicted gene 12870 [Source:MGI Symbol;Acc:MGI:3649408]</t>
  </si>
  <si>
    <t>Dleu2</t>
  </si>
  <si>
    <t>deleted in lymphocytic leukemia, 2 [Source:MGI Symbol;Acc:MGI:1934030]</t>
  </si>
  <si>
    <t>Dazap1</t>
  </si>
  <si>
    <t>DAZ associated protein 1 [Source:MGI Symbol;Acc:MGI:1917498]</t>
  </si>
  <si>
    <t>Snord14e</t>
  </si>
  <si>
    <t>small nucleolar RNA, C/D box 14E [Source:MGI Symbol;Acc:MGI:3851606]</t>
  </si>
  <si>
    <t>Rasa2</t>
  </si>
  <si>
    <t>RAS p21 protein activator 2 [Source:MGI Symbol;Acc:MGI:2149960]</t>
  </si>
  <si>
    <t>Ccng1</t>
  </si>
  <si>
    <t>cyclin G1 [Source:MGI Symbol;Acc:MGI:102890]</t>
  </si>
  <si>
    <t>Pcbp1</t>
  </si>
  <si>
    <t>poly(rC) binding protein 1 [Source:MGI Symbol;Acc:MGI:1345635]</t>
  </si>
  <si>
    <t>Mturn</t>
  </si>
  <si>
    <t>maturin, neural progenitor differentiation regulator homolog (Xenopus) [Source:MGI Symbol;Acc:MGI:1915485]</t>
  </si>
  <si>
    <t>Gm8388</t>
  </si>
  <si>
    <t>predicted gene 8388 [Source:MGI Symbol;Acc:MGI:3645001]</t>
  </si>
  <si>
    <t>Get1</t>
  </si>
  <si>
    <t>guided entry of tail-anchored proteins factor 1 [Source:MGI Symbol;Acc:MGI:2136882]</t>
  </si>
  <si>
    <t>A430033K04Rik</t>
  </si>
  <si>
    <t>RIKEN cDNA A430033K04 gene [Source:MGI Symbol;Acc:MGI:3583896]</t>
  </si>
  <si>
    <t>Bcar3</t>
  </si>
  <si>
    <t>breast cancer anti-estrogen resistance 3 [Source:MGI Symbol;Acc:MGI:1352501]</t>
  </si>
  <si>
    <t>Iqcc</t>
  </si>
  <si>
    <t>IQ motif containing C [Source:MGI Symbol;Acc:MGI:2446212]</t>
  </si>
  <si>
    <t>Gm4419</t>
  </si>
  <si>
    <t>predicted gene 4419 [Source:MGI Symbol;Acc:MGI:3782604]</t>
  </si>
  <si>
    <t>AI987944</t>
  </si>
  <si>
    <t>expressed sequence AI987944 [Source:MGI Symbol;Acc:MGI:2142079]</t>
  </si>
  <si>
    <t>Atp2b3</t>
  </si>
  <si>
    <t>ATPase, Ca++ transporting, plasma membrane 3 [Source:MGI Symbol;Acc:MGI:1347353]</t>
  </si>
  <si>
    <t>Arhgef39</t>
  </si>
  <si>
    <t>Rho guanine nucleotide exchange factor (GEF) 39 [Source:MGI Symbol;Acc:MGI:3036286]</t>
  </si>
  <si>
    <t>Rps13-ps2</t>
  </si>
  <si>
    <t>ribosomal protein S13, pseudogene 2 [Source:MGI Symbol;Acc:MGI:3704295]</t>
  </si>
  <si>
    <t>Gm26693</t>
  </si>
  <si>
    <t>predicted gene, 26693 [Source:MGI Symbol;Acc:MGI:5477187]</t>
  </si>
  <si>
    <t>Kdelr1</t>
  </si>
  <si>
    <t>KDEL (Lys-Asp-Glu-Leu) endoplasmic reticulum protein retention receptor 1 [Source:MGI Symbol;Acc:MGI:1915387]</t>
  </si>
  <si>
    <t>4930445E18Rik</t>
  </si>
  <si>
    <t>RIKEN cDNA 4930445E18 gene [Source:MGI Symbol;Acc:MGI:1925365]</t>
  </si>
  <si>
    <t>Itgav</t>
  </si>
  <si>
    <t>integrin alpha V [Source:MGI Symbol;Acc:MGI:96608]</t>
  </si>
  <si>
    <t>Oip5</t>
  </si>
  <si>
    <t>Opa interacting protein 5 [Source:MGI Symbol;Acc:MGI:1917895]</t>
  </si>
  <si>
    <t>2610001J05Rik</t>
  </si>
  <si>
    <t>RIKEN cDNA 2610001J05 gene [Source:MGI Symbol;Acc:MGI:1913770]</t>
  </si>
  <si>
    <t>Tom1l2</t>
  </si>
  <si>
    <t>target of myb1-like 2 (chicken) [Source:MGI Symbol;Acc:MGI:2443306]</t>
  </si>
  <si>
    <t>Gm10676</t>
  </si>
  <si>
    <t>predicted gene 10676 [Source:MGI Symbol;Acc:MGI:3704283]</t>
  </si>
  <si>
    <t>Pla2g4a</t>
  </si>
  <si>
    <t>phospholipase A2, group IVA (cytosolic, calcium-dependent) [Source:MGI Symbol;Acc:MGI:1195256]</t>
  </si>
  <si>
    <t>Adcy3</t>
  </si>
  <si>
    <t>adenylate cyclase 3 [Source:MGI Symbol;Acc:MGI:99675]</t>
  </si>
  <si>
    <t>Tlr1</t>
  </si>
  <si>
    <t>toll-like receptor 1 [Source:MGI Symbol;Acc:MGI:1341295]</t>
  </si>
  <si>
    <t>Gm49711</t>
  </si>
  <si>
    <t>predicted gene, 49711 [Source:MGI Symbol;Acc:MGI:6215179]</t>
  </si>
  <si>
    <t>Il12rb1</t>
  </si>
  <si>
    <t>interleukin 12 receptor, beta 1 [Source:MGI Symbol;Acc:MGI:104579]</t>
  </si>
  <si>
    <t>Zfp993</t>
  </si>
  <si>
    <t>zinc finger protein 993 [Source:MGI Symbol;Acc:MGI:3713585]</t>
  </si>
  <si>
    <t>Snrnp70</t>
  </si>
  <si>
    <t>small nuclear ribonucleoprotein 70 (U1) [Source:MGI Symbol;Acc:MGI:98341]</t>
  </si>
  <si>
    <t>Mgat4a</t>
  </si>
  <si>
    <t>mannoside acetylglucosaminyltransferase 4, isoenzyme A [Source:MGI Symbol;Acc:MGI:2662992]</t>
  </si>
  <si>
    <t>Dnah6</t>
  </si>
  <si>
    <t>dynein, axonemal, heavy chain 6 [Source:MGI Symbol;Acc:MGI:107744]</t>
  </si>
  <si>
    <t>Slc28a2</t>
  </si>
  <si>
    <t>solute carrier family 28 (sodium-coupled nucleoside transporter), member 2 [Source:MGI Symbol;Acc:MGI:1913105]</t>
  </si>
  <si>
    <t>Ndufa5</t>
  </si>
  <si>
    <t>NADH:ubiquinone oxidoreductase subunit A5 [Source:MGI Symbol;Acc:MGI:1915452]</t>
  </si>
  <si>
    <t>Poc5</t>
  </si>
  <si>
    <t>POC5 centriolar protein [Source:MGI Symbol;Acc:MGI:1914713]</t>
  </si>
  <si>
    <t>Snrpc</t>
  </si>
  <si>
    <t>U1 small nuclear ribonucleoprotein C [Source:MGI Symbol;Acc:MGI:109489]</t>
  </si>
  <si>
    <t>Actl6a</t>
  </si>
  <si>
    <t>actin-like 6A [Source:MGI Symbol;Acc:MGI:1861453]</t>
  </si>
  <si>
    <t>Rreb1</t>
  </si>
  <si>
    <t>ras responsive element binding protein 1 [Source:MGI Symbol;Acc:MGI:2443664]</t>
  </si>
  <si>
    <t>Mep1a</t>
  </si>
  <si>
    <t>meprin 1 alpha [Source:MGI Symbol;Acc:MGI:96963]</t>
  </si>
  <si>
    <t>Klrk1</t>
  </si>
  <si>
    <t>killer cell lectin-like receptor subfamily K, member 1 [Source:MGI Symbol;Acc:MGI:1196250]</t>
  </si>
  <si>
    <t>Snapc5</t>
  </si>
  <si>
    <t>small nuclear RNA activating complex, polypeptide 5 [Source:MGI Symbol;Acc:MGI:1914282]</t>
  </si>
  <si>
    <t>Usp42</t>
  </si>
  <si>
    <t>ubiquitin specific peptidase 42 [Source:MGI Symbol;Acc:MGI:1924050]</t>
  </si>
  <si>
    <t>Fgfr1op2</t>
  </si>
  <si>
    <t>FGFR1 oncogene partner 2 [Source:MGI Symbol;Acc:MGI:1914779]</t>
  </si>
  <si>
    <t>Gm8459</t>
  </si>
  <si>
    <t>predicted gene 8459 [Source:MGI Symbol;Acc:MGI:3647456]</t>
  </si>
  <si>
    <t>Polr2k</t>
  </si>
  <si>
    <t>polymerase (RNA) II (DNA directed) polypeptide K [Source:MGI Symbol;Acc:MGI:102725]</t>
  </si>
  <si>
    <t>Ifnar2</t>
  </si>
  <si>
    <t>interferon (alpha and beta) receptor 2 [Source:MGI Symbol;Acc:MGI:1098243]</t>
  </si>
  <si>
    <t>Rpl13a</t>
  </si>
  <si>
    <t>ribosomal protein L13A [Source:MGI Symbol;Acc:MGI:1351455]</t>
  </si>
  <si>
    <t>Ebpl</t>
  </si>
  <si>
    <t>emopamil binding protein-like [Source:MGI Symbol;Acc:MGI:1915427]</t>
  </si>
  <si>
    <t>Gm37121</t>
  </si>
  <si>
    <t>predicted gene, 37121 [Source:MGI Symbol;Acc:MGI:5610349]</t>
  </si>
  <si>
    <t>B230398E01Rik</t>
  </si>
  <si>
    <t>RIKEN cDNA B230398E01 gene [Source:MGI Symbol;Acc:MGI:1925930]</t>
  </si>
  <si>
    <t>Cldn12</t>
  </si>
  <si>
    <t>claudin 12 [Source:MGI Symbol;Acc:MGI:1929288]</t>
  </si>
  <si>
    <t>Pign</t>
  </si>
  <si>
    <t>phosphatidylinositol glycan anchor biosynthesis, class N [Source:MGI Symbol;Acc:MGI:1351629]</t>
  </si>
  <si>
    <t>Exoc3</t>
  </si>
  <si>
    <t>exocyst complex component 3 [Source:MGI Symbol;Acc:MGI:2443972]</t>
  </si>
  <si>
    <t>Rab2a</t>
  </si>
  <si>
    <t>RAB2A, member RAS oncogene family [Source:MGI Symbol;Acc:MGI:1928750]</t>
  </si>
  <si>
    <t>Emg1</t>
  </si>
  <si>
    <t>EMG1 N1-specific pseudouridine methyltransferase [Source:MGI Symbol;Acc:MGI:1315195]</t>
  </si>
  <si>
    <t>Shkbp1</t>
  </si>
  <si>
    <t>Sh3kbp1 binding protein 1 [Source:MGI Symbol;Acc:MGI:2385803]</t>
  </si>
  <si>
    <t>Pabpc1l</t>
  </si>
  <si>
    <t>poly(A) binding protein, cytoplasmic 1-like [Source:MGI Symbol;Acc:MGI:1922908]</t>
  </si>
  <si>
    <t>Pnisr</t>
  </si>
  <si>
    <t>PNN interacting serine/arginine-rich [Source:MGI Symbol;Acc:MGI:1913875]</t>
  </si>
  <si>
    <t>Gm15050</t>
  </si>
  <si>
    <t>predicted gene 15050 [Source:MGI Symbol;Acc:MGI:3705180]</t>
  </si>
  <si>
    <t>Nucb2</t>
  </si>
  <si>
    <t>nucleobindin 2 [Source:MGI Symbol;Acc:MGI:1858179]</t>
  </si>
  <si>
    <t>Srrt</t>
  </si>
  <si>
    <t>serrate RNA effector molecule homolog (Arabidopsis) [Source:MGI Symbol;Acc:MGI:1933527]</t>
  </si>
  <si>
    <t>Dtwd2</t>
  </si>
  <si>
    <t>DTW domain containing 2 [Source:MGI Symbol;Acc:MGI:1916107]</t>
  </si>
  <si>
    <t>Sypl</t>
  </si>
  <si>
    <t>synaptophysin-like protein [Source:MGI Symbol;Acc:MGI:108081]</t>
  </si>
  <si>
    <t>Snf8</t>
  </si>
  <si>
    <t>SNF8, ESCRT-II complex subunit, homolog (S. cerevisiae) [Source:MGI Symbol;Acc:MGI:1343161]</t>
  </si>
  <si>
    <t>Gm13054</t>
  </si>
  <si>
    <t>predicted gene 13054 [Source:MGI Symbol;Acc:MGI:3702728]</t>
  </si>
  <si>
    <t>Bpifc</t>
  </si>
  <si>
    <t>BPI fold containing family C [Source:MGI Symbol;Acc:MGI:3026884]</t>
  </si>
  <si>
    <t>Ylpm1</t>
  </si>
  <si>
    <t>YLP motif containing 1 [Source:MGI Symbol;Acc:MGI:1926195]</t>
  </si>
  <si>
    <t>Mfap3</t>
  </si>
  <si>
    <t>microfibrillar-associated protein 3 [Source:MGI Symbol;Acc:MGI:1924068]</t>
  </si>
  <si>
    <t>Adh5</t>
  </si>
  <si>
    <t>alcohol dehydrogenase 5 (class III), chi polypeptide [Source:MGI Symbol;Acc:MGI:87929]</t>
  </si>
  <si>
    <t>Gm15853</t>
  </si>
  <si>
    <t>predicted gene 15853 [Source:MGI Symbol;Acc:MGI:3801970]</t>
  </si>
  <si>
    <t>Bbs10</t>
  </si>
  <si>
    <t>Bardet-Biedl syndrome 10 (human) [Source:MGI Symbol;Acc:MGI:1919019]</t>
  </si>
  <si>
    <t>Pan2</t>
  </si>
  <si>
    <t>PAN2 poly(A) specific ribonuclease subunit [Source:MGI Symbol;Acc:MGI:1918984]</t>
  </si>
  <si>
    <t>Gm2822</t>
  </si>
  <si>
    <t>predicted gene 2822 [Source:MGI Symbol;Acc:MGI:3780992]</t>
  </si>
  <si>
    <t>Cfap36</t>
  </si>
  <si>
    <t>cilia and flagella associated protein 36 [Source:MGI Symbol;Acc:MGI:1913994]</t>
  </si>
  <si>
    <t>Zfp541</t>
  </si>
  <si>
    <t>zinc finger protein 541 [Source:MGI Symbol;Acc:MGI:3647699]</t>
  </si>
  <si>
    <t>Arf2</t>
  </si>
  <si>
    <t>ADP-ribosylation factor 2 [Source:MGI Symbol;Acc:MGI:99595]</t>
  </si>
  <si>
    <t>Mtmr6</t>
  </si>
  <si>
    <t>myotubularin related protein 6 [Source:MGI Symbol;Acc:MGI:2145637]</t>
  </si>
  <si>
    <t>Ptpn9</t>
  </si>
  <si>
    <t>protein tyrosine phosphatase, non-receptor type 9 [Source:MGI Symbol;Acc:MGI:1928376]</t>
  </si>
  <si>
    <t>Tnfrsf25</t>
  </si>
  <si>
    <t>tumor necrosis factor receptor superfamily, member 25 [Source:MGI Symbol;Acc:MGI:1934667]</t>
  </si>
  <si>
    <t>Zbtb5</t>
  </si>
  <si>
    <t>zinc finger and BTB domain containing 5 [Source:MGI Symbol;Acc:MGI:1924601]</t>
  </si>
  <si>
    <t>Zfp764</t>
  </si>
  <si>
    <t>zinc finger protein 764 [Source:MGI Symbol;Acc:MGI:2443580]</t>
  </si>
  <si>
    <t>Parp6</t>
  </si>
  <si>
    <t>poly (ADP-ribose) polymerase family, member 6 [Source:MGI Symbol;Acc:MGI:1914537]</t>
  </si>
  <si>
    <t>Gm15879</t>
  </si>
  <si>
    <t>predicted gene 15879 [Source:MGI Symbol;Acc:MGI:3802012]</t>
  </si>
  <si>
    <t>Gm49125</t>
  </si>
  <si>
    <t>predicted gene, 49125 [Source:MGI Symbol;Acc:MGI:6118530]</t>
  </si>
  <si>
    <t>Acot10</t>
  </si>
  <si>
    <t>acyl-CoA thioesterase 10 [Source:MGI Symbol;Acc:MGI:1928940]</t>
  </si>
  <si>
    <t>Gm10033</t>
  </si>
  <si>
    <t>predicted gene 10033 [Source:MGI Symbol;Acc:MGI:3642803]</t>
  </si>
  <si>
    <t>Gm45799</t>
  </si>
  <si>
    <t>predicted gene 45799 [Source:MGI Symbol;Acc:MGI:5804914]</t>
  </si>
  <si>
    <t>Drosha</t>
  </si>
  <si>
    <t>drosha, ribonuclease type III [Source:MGI Symbol;Acc:MGI:1261425]</t>
  </si>
  <si>
    <t>Gm21974</t>
  </si>
  <si>
    <t>predicted gene 21974 [Source:MGI Symbol;Acc:MGI:5439443]</t>
  </si>
  <si>
    <t>Pigu</t>
  </si>
  <si>
    <t>phosphatidylinositol glycan anchor biosynthesis, class U [Source:MGI Symbol;Acc:MGI:3039607]</t>
  </si>
  <si>
    <t>Prorp</t>
  </si>
  <si>
    <t>protein only RNase P catalytic subunit [Source:MGI Symbol;Acc:MGI:1913382]</t>
  </si>
  <si>
    <t>Adnp</t>
  </si>
  <si>
    <t>activity-dependent neuroprotective protein [Source:MGI Symbol;Acc:MGI:1338758]</t>
  </si>
  <si>
    <t>Polr2m</t>
  </si>
  <si>
    <t>polymerase (RNA) II (DNA directed) polypeptide M [Source:MGI Symbol;Acc:MGI:107282]</t>
  </si>
  <si>
    <t>Gm4366</t>
  </si>
  <si>
    <t>predicted gene 4366 [Source:MGI Symbol;Acc:MGI:3782551]</t>
  </si>
  <si>
    <t>Rrp1b</t>
  </si>
  <si>
    <t>ribosomal RNA processing 1 homolog B (S. cerevisiae) [Source:MGI Symbol;Acc:MGI:1919712]</t>
  </si>
  <si>
    <t>Timm17b</t>
  </si>
  <si>
    <t>translocase of inner mitochondrial membrane 17b [Source:MGI Symbol;Acc:MGI:1343176]</t>
  </si>
  <si>
    <t>Thoc7</t>
  </si>
  <si>
    <t>THO complex 7 [Source:MGI Symbol;Acc:MGI:1913481]</t>
  </si>
  <si>
    <t>Csgalnact2</t>
  </si>
  <si>
    <t>chondroitin sulfate N-acetylgalactosaminyltransferase 2 [Source:MGI Symbol;Acc:MGI:1926002]</t>
  </si>
  <si>
    <t>Ccl24</t>
  </si>
  <si>
    <t>chemokine (C-C motif) ligand 24 [Source:MGI Symbol;Acc:MGI:1928953]</t>
  </si>
  <si>
    <t>Polr2a</t>
  </si>
  <si>
    <t>polymerase (RNA) II (DNA directed) polypeptide A [Source:MGI Symbol;Acc:MGI:98086]</t>
  </si>
  <si>
    <t>Ccm2</t>
  </si>
  <si>
    <t>cerebral cavernous malformation 2 [Source:MGI Symbol;Acc:MGI:2384924]</t>
  </si>
  <si>
    <t>Pparg</t>
  </si>
  <si>
    <t>peroxisome proliferator activated receptor gamma [Source:MGI Symbol;Acc:MGI:97747]</t>
  </si>
  <si>
    <t>Ccdc28a</t>
  </si>
  <si>
    <t>coiled-coil domain containing 28A [Source:MGI Symbol;Acc:MGI:2443508]</t>
  </si>
  <si>
    <t>Tmem208</t>
  </si>
  <si>
    <t>transmembrane protein 208 [Source:MGI Symbol;Acc:MGI:1913570]</t>
  </si>
  <si>
    <t>Exosc5</t>
  </si>
  <si>
    <t>exosome component 5 [Source:MGI Symbol;Acc:MGI:107889]</t>
  </si>
  <si>
    <t>Drg2</t>
  </si>
  <si>
    <t>developmentally regulated GTP binding protein 2 [Source:MGI Symbol;Acc:MGI:1342307]</t>
  </si>
  <si>
    <t>Gm21986</t>
  </si>
  <si>
    <t>predicted gene 21986 [Source:MGI Symbol;Acc:MGI:5439455]</t>
  </si>
  <si>
    <t>Calr3</t>
  </si>
  <si>
    <t>calreticulin 3 [Source:MGI Symbol;Acc:MGI:1920566]</t>
  </si>
  <si>
    <t>1190007I07Rik</t>
  </si>
  <si>
    <t>RIKEN cDNA 1190007I07 gene [Source:MGI Symbol;Acc:MGI:3698433]</t>
  </si>
  <si>
    <t>Tprkb</t>
  </si>
  <si>
    <t>Tp53rk binding protein [Source:MGI Symbol;Acc:MGI:1917036]</t>
  </si>
  <si>
    <t>Map11</t>
  </si>
  <si>
    <t>microtubule associated protein 11 [Source:MGI Symbol;Acc:MGI:2385896]</t>
  </si>
  <si>
    <t>Mir221</t>
  </si>
  <si>
    <t>microRNA 221 [Source:MGI Symbol;Acc:MGI:3619066]</t>
  </si>
  <si>
    <t>Tjap1</t>
  </si>
  <si>
    <t>tight junction associated protein 1 [Source:MGI Symbol;Acc:MGI:1921344]</t>
  </si>
  <si>
    <t>Gm27184</t>
  </si>
  <si>
    <t>predicted gene 27184 [Source:MGI Symbol;Acc:MGI:5521027]</t>
  </si>
  <si>
    <t>Zmym2</t>
  </si>
  <si>
    <t>zinc finger, MYM-type 2 [Source:MGI Symbol;Acc:MGI:1923257]</t>
  </si>
  <si>
    <t>Mgst1</t>
  </si>
  <si>
    <t>microsomal glutathione S-transferase 1 [Source:MGI Symbol;Acc:MGI:1913850]</t>
  </si>
  <si>
    <t>Nudt21</t>
  </si>
  <si>
    <t>nudix (nucleoside diphosphate linked moiety X)-type motif 21 [Source:MGI Symbol;Acc:MGI:1915469]</t>
  </si>
  <si>
    <t>Gm12416</t>
  </si>
  <si>
    <t>predicted gene 12416 [Source:MGI Symbol;Acc:MGI:3650588]</t>
  </si>
  <si>
    <t>Rnaseh1</t>
  </si>
  <si>
    <t>ribonuclease H1 [Source:MGI Symbol;Acc:MGI:1335073]</t>
  </si>
  <si>
    <t>Sirpb1b</t>
  </si>
  <si>
    <t>signal-regulatory protein beta 1B [Source:MGI Symbol;Acc:MGI:3779828]</t>
  </si>
  <si>
    <t>Slc17a8</t>
  </si>
  <si>
    <t>solute carrier family 17 (sodium-dependent inorganic phosphate cotransporter), member 8 [Source:MGI Symbol;Acc:MGI:3039629]</t>
  </si>
  <si>
    <t>4930554I06Rik</t>
  </si>
  <si>
    <t>RIKEN cDNA 4930554I06 gene [Source:MGI Symbol;Acc:MGI:1922604]</t>
  </si>
  <si>
    <t>Gm14117</t>
  </si>
  <si>
    <t>predicted gene 14117 [Source:MGI Symbol;Acc:MGI:3651328]</t>
  </si>
  <si>
    <t>Icmt</t>
  </si>
  <si>
    <t>isoprenylcysteine carboxyl methyltransferase [Source:MGI Symbol;Acc:MGI:1888594]</t>
  </si>
  <si>
    <t>Pex19</t>
  </si>
  <si>
    <t>peroxisomal biogenesis factor 19 [Source:MGI Symbol;Acc:MGI:1334458]</t>
  </si>
  <si>
    <t>Gm20342</t>
  </si>
  <si>
    <t>predicted gene, 20342 [Source:MGI Symbol;Acc:MGI:5012527]</t>
  </si>
  <si>
    <t>Ap1s2</t>
  </si>
  <si>
    <t>adaptor-related protein complex 1, sigma 2 subunit [Source:MGI Symbol;Acc:MGI:1889383]</t>
  </si>
  <si>
    <t>Commd3</t>
  </si>
  <si>
    <t>COMM domain containing 3 [Source:MGI Symbol;Acc:MGI:88218]</t>
  </si>
  <si>
    <t>Rps10</t>
  </si>
  <si>
    <t>ribosomal protein S10 [Source:MGI Symbol;Acc:MGI:1914347]</t>
  </si>
  <si>
    <t>Colgalt1</t>
  </si>
  <si>
    <t>collagen beta(1-O)galactosyltransferase 1 [Source:MGI Symbol;Acc:MGI:1924348]</t>
  </si>
  <si>
    <t>Plekhm1</t>
  </si>
  <si>
    <t>pleckstrin homology domain containing, family M (with RUN domain) member 1 [Source:MGI Symbol;Acc:MGI:2443207]</t>
  </si>
  <si>
    <t>Gm37261</t>
  </si>
  <si>
    <t>predicted gene, 37261 [Source:MGI Symbol;Acc:MGI:5610489]</t>
  </si>
  <si>
    <t>Prcp</t>
  </si>
  <si>
    <t>prolylcarboxypeptidase (angiotensinase C) [Source:MGI Symbol;Acc:MGI:1919711]</t>
  </si>
  <si>
    <t>Gm37800</t>
  </si>
  <si>
    <t>predicted gene, 37800 [Source:MGI Symbol;Acc:MGI:5611028]</t>
  </si>
  <si>
    <t>Prpsap2</t>
  </si>
  <si>
    <t>phosphoribosyl pyrophosphate synthetase-associated protein 2 [Source:MGI Symbol;Acc:MGI:2384838]</t>
  </si>
  <si>
    <t>Trappc1</t>
  </si>
  <si>
    <t>trafficking protein particle complex 1 [Source:MGI Symbol;Acc:MGI:1098727]</t>
  </si>
  <si>
    <t>Dennd1a</t>
  </si>
  <si>
    <t>DENN/MADD domain containing 1A [Source:MGI Symbol;Acc:MGI:2442794]</t>
  </si>
  <si>
    <t>Acvr1</t>
  </si>
  <si>
    <t>activin A receptor, type 1 [Source:MGI Symbol;Acc:MGI:87911]</t>
  </si>
  <si>
    <t>Sh3bp4</t>
  </si>
  <si>
    <t>SH3-domain binding protein 4 [Source:MGI Symbol;Acc:MGI:2138297]</t>
  </si>
  <si>
    <t>Ube3b</t>
  </si>
  <si>
    <t>ubiquitin protein ligase E3B [Source:MGI Symbol;Acc:MGI:1891295]</t>
  </si>
  <si>
    <t>F7</t>
  </si>
  <si>
    <t>coagulation factor VII [Source:MGI Symbol;Acc:MGI:109325]</t>
  </si>
  <si>
    <t>Gm47815</t>
  </si>
  <si>
    <t>predicted gene, 47815 [Source:MGI Symbol;Acc:MGI:6097001]</t>
  </si>
  <si>
    <t>Emc4</t>
  </si>
  <si>
    <t>ER membrane protein complex subunit 4 [Source:MGI Symbol;Acc:MGI:1915282]</t>
  </si>
  <si>
    <t>Gcat</t>
  </si>
  <si>
    <t>glycine C-acetyltransferase (2-amino-3-ketobutyrate-coenzyme A ligase) [Source:MGI Symbol;Acc:MGI:1349389]</t>
  </si>
  <si>
    <t>Gm9843</t>
  </si>
  <si>
    <t>predicted gene 9843 [Source:MGI Symbol;Acc:MGI:3708621]</t>
  </si>
  <si>
    <t>Szt2</t>
  </si>
  <si>
    <t>SZT2 subunit of KICSTOR complex [Source:MGI Symbol;Acc:MGI:3033336]</t>
  </si>
  <si>
    <t>Anapc4</t>
  </si>
  <si>
    <t>anaphase promoting complex subunit 4 [Source:MGI Symbol;Acc:MGI:1098673]</t>
  </si>
  <si>
    <t>Zfp62</t>
  </si>
  <si>
    <t>zinc finger protein 62 [Source:MGI Symbol;Acc:MGI:99662]</t>
  </si>
  <si>
    <t>Ttc3</t>
  </si>
  <si>
    <t>tetratricopeptide repeat domain 3 [Source:MGI Symbol;Acc:MGI:1276539]</t>
  </si>
  <si>
    <t>Gm28035</t>
  </si>
  <si>
    <t>predicted gene, 28035 [Source:MGI Symbol;Acc:MGI:5547771]</t>
  </si>
  <si>
    <t>Ehbp1</t>
  </si>
  <si>
    <t>EH domain binding protein 1 [Source:MGI Symbol;Acc:MGI:2667252]</t>
  </si>
  <si>
    <t>Sec14l5</t>
  </si>
  <si>
    <t>SEC14-like lipid binding 5 [Source:MGI Symbol;Acc:MGI:3616084]</t>
  </si>
  <si>
    <t>Diaph3</t>
  </si>
  <si>
    <t>diaphanous related formin 3 [Source:MGI Symbol;Acc:MGI:1927222]</t>
  </si>
  <si>
    <t>Ddx52</t>
  </si>
  <si>
    <t>DEAD (Asp-Glu-Ala-Asp) box polypeptide 52 [Source:MGI Symbol;Acc:MGI:1925644]</t>
  </si>
  <si>
    <t>Ankrd24</t>
  </si>
  <si>
    <t>ankyrin repeat domain 24 [Source:MGI Symbol;Acc:MGI:1890394]</t>
  </si>
  <si>
    <t>Ppp1r13l</t>
  </si>
  <si>
    <t>protein phosphatase 1, regulatory subunit 13 like [Source:MGI Symbol;Acc:MGI:3525053]</t>
  </si>
  <si>
    <t>H2-T-ps</t>
  </si>
  <si>
    <t>histocompatibility 2, T region locus, pseudogene [Source:MGI Symbol;Acc:MGI:2442805]</t>
  </si>
  <si>
    <t>Gm37696</t>
  </si>
  <si>
    <t>predicted gene, 37696 [Source:MGI Symbol;Acc:MGI:5610924]</t>
  </si>
  <si>
    <t>Gm49338</t>
  </si>
  <si>
    <t>predicted gene, 49338 [Source:MGI Symbol;Acc:MGI:6121528]</t>
  </si>
  <si>
    <t>Babam2</t>
  </si>
  <si>
    <t>BRISC and BRCA1 A complex member 2 [Source:MGI Symbol;Acc:MGI:1333875]</t>
  </si>
  <si>
    <t>Gbp2b</t>
  </si>
  <si>
    <t>guanylate binding protein 2b [Source:MGI Symbol;Acc:MGI:95666]</t>
  </si>
  <si>
    <t>Faap24</t>
  </si>
  <si>
    <t>Fanconi anemia core complex associated protein 24 [Source:MGI Symbol;Acc:MGI:2142208]</t>
  </si>
  <si>
    <t>Zfp780b</t>
  </si>
  <si>
    <t>zinc finger protein 780B [Source:MGI Symbol;Acc:MGI:2444764]</t>
  </si>
  <si>
    <t>Alyref</t>
  </si>
  <si>
    <t>Aly/REF export factor [Source:MGI Symbol;Acc:MGI:1341044]</t>
  </si>
  <si>
    <t>Nat8l</t>
  </si>
  <si>
    <t>N-acetyltransferase 8-like [Source:MGI Symbol;Acc:MGI:2447776]</t>
  </si>
  <si>
    <t>Gm7086</t>
  </si>
  <si>
    <t>predicted pseudogene 7086 [Source:MGI Symbol;Acc:MGI:3648861]</t>
  </si>
  <si>
    <t>Uhrf1bp1l</t>
  </si>
  <si>
    <t>UHRF1 (ICBP90) binding protein 1-like [Source:MGI Symbol;Acc:MGI:2442888]</t>
  </si>
  <si>
    <t>Pus10</t>
  </si>
  <si>
    <t>pseudouridylate synthase 10 [Source:MGI Symbol;Acc:MGI:1921717]</t>
  </si>
  <si>
    <t>Fam91a1</t>
  </si>
  <si>
    <t>family with sequence similarity 91, member A1 [Source:MGI Symbol;Acc:MGI:1277178]</t>
  </si>
  <si>
    <t>Cyb5d2</t>
  </si>
  <si>
    <t>cytochrome b5 domain containing 2 [Source:MGI Symbol;Acc:MGI:2684848]</t>
  </si>
  <si>
    <t>Gm38380</t>
  </si>
  <si>
    <t>predicted gene, 38380 [Source:MGI Symbol;Acc:MGI:5611608]</t>
  </si>
  <si>
    <t>Pkig</t>
  </si>
  <si>
    <t>protein kinase inhibitor, gamma [Source:MGI Symbol;Acc:MGI:1343086]</t>
  </si>
  <si>
    <t>Mef2d</t>
  </si>
  <si>
    <t>myocyte enhancer factor 2D [Source:MGI Symbol;Acc:MGI:99533]</t>
  </si>
  <si>
    <t>Gm25744</t>
  </si>
  <si>
    <t>predicted gene, 25744 [Source:MGI Symbol;Acc:MGI:5455521]</t>
  </si>
  <si>
    <t>Nuak2</t>
  </si>
  <si>
    <t>NUAK family, SNF1-like kinase, 2 [Source:MGI Symbol;Acc:MGI:1921387]</t>
  </si>
  <si>
    <t>Gm7293</t>
  </si>
  <si>
    <t>predicted gene 7293 [Source:MGI Symbol;Acc:MGI:3779717]</t>
  </si>
  <si>
    <t>Vrk3</t>
  </si>
  <si>
    <t>vaccinia related kinase 3 [Source:MGI Symbol;Acc:MGI:2182465]</t>
  </si>
  <si>
    <t>Pcdhga4</t>
  </si>
  <si>
    <t>protocadherin gamma subfamily A, 4 [Source:MGI Symbol;Acc:MGI:1935216]</t>
  </si>
  <si>
    <t>Slc9a9</t>
  </si>
  <si>
    <t>solute carrier family 9 (sodium/hydrogen exchanger), member 9 [Source:MGI Symbol;Acc:MGI:2679732]</t>
  </si>
  <si>
    <t>Gm8010</t>
  </si>
  <si>
    <t>predicted gene 8010 [Source:MGI Symbol;Acc:MGI:3648648]</t>
  </si>
  <si>
    <t>Gm49625</t>
  </si>
  <si>
    <t>predicted gene, 49625 [Source:MGI Symbol;Acc:MGI:6215049]</t>
  </si>
  <si>
    <t>Gm37352</t>
  </si>
  <si>
    <t>predicted gene, 37352 [Source:MGI Symbol;Acc:MGI:5610580]</t>
  </si>
  <si>
    <t>Ston2</t>
  </si>
  <si>
    <t>stonin 2 [Source:MGI Symbol;Acc:MGI:1918272]</t>
  </si>
  <si>
    <t>Ddt</t>
  </si>
  <si>
    <t>D-dopachrome tautomerase [Source:MGI Symbol;Acc:MGI:1298381]</t>
  </si>
  <si>
    <t>Rara</t>
  </si>
  <si>
    <t>retinoic acid receptor, alpha [Source:MGI Symbol;Acc:MGI:97856]</t>
  </si>
  <si>
    <t>Ippk</t>
  </si>
  <si>
    <t>inositol 1,3,4,5,6-pentakisphosphate 2-kinase [Source:MGI Symbol;Acc:MGI:1922928]</t>
  </si>
  <si>
    <t>Eqtn</t>
  </si>
  <si>
    <t>equatorin, sperm acrosome associated [Source:MGI Symbol;Acc:MGI:1915003]</t>
  </si>
  <si>
    <t>Cyp2u1</t>
  </si>
  <si>
    <t>cytochrome P450, family 2, subfamily u, polypeptide 1 [Source:MGI Symbol;Acc:MGI:1918769]</t>
  </si>
  <si>
    <t>Fuz</t>
  </si>
  <si>
    <t>fuzzy planar cell polarity protein [Source:MGI Symbol;Acc:MGI:1917550]</t>
  </si>
  <si>
    <t>Rae1</t>
  </si>
  <si>
    <t>ribonucleic acid export 1 [Source:MGI Symbol;Acc:MGI:1913929]</t>
  </si>
  <si>
    <t>Kif2a</t>
  </si>
  <si>
    <t>kinesin family member 2A [Source:MGI Symbol;Acc:MGI:108390]</t>
  </si>
  <si>
    <t>Sucla2</t>
  </si>
  <si>
    <t>succinate-Coenzyme A ligase, ADP-forming, beta subunit [Source:MGI Symbol;Acc:MGI:1306775]</t>
  </si>
  <si>
    <t>Pnma1</t>
  </si>
  <si>
    <t>paraneoplastic antigen MA1 [Source:MGI Symbol;Acc:MGI:2180564]</t>
  </si>
  <si>
    <t>Rpp25l</t>
  </si>
  <si>
    <t>ribonuclease P/MRP 25 subunit-like [Source:MGI Symbol;Acc:MGI:1917211]</t>
  </si>
  <si>
    <t>Ttll11</t>
  </si>
  <si>
    <t>tubulin tyrosine ligase-like family, member 11 [Source:MGI Symbol;Acc:MGI:1921660]</t>
  </si>
  <si>
    <t>Leprot</t>
  </si>
  <si>
    <t>leptin receptor overlapping transcript [Source:MGI Symbol;Acc:MGI:2687005]</t>
  </si>
  <si>
    <t>Zfp26</t>
  </si>
  <si>
    <t>zinc finger protein 26 [Source:MGI Symbol;Acc:MGI:99173]</t>
  </si>
  <si>
    <t>Qdpr</t>
  </si>
  <si>
    <t>quinoid dihydropteridine reductase [Source:MGI Symbol;Acc:MGI:97836]</t>
  </si>
  <si>
    <t>Scyl1</t>
  </si>
  <si>
    <t>SCY1-like 1 (S. cerevisiae) [Source:MGI Symbol;Acc:MGI:1931787]</t>
  </si>
  <si>
    <t>Med12l</t>
  </si>
  <si>
    <t>mediator complex subunit 12-like [Source:MGI Symbol;Acc:MGI:2139916]</t>
  </si>
  <si>
    <t>Czib</t>
  </si>
  <si>
    <t>CXXC motif containing zinc binding protein [Source:MGI Symbol;Acc:MGI:1921348]</t>
  </si>
  <si>
    <t>Lrrc75a</t>
  </si>
  <si>
    <t>leucine rich repeat containing 75A [Source:MGI Symbol;Acc:MGI:2682293]</t>
  </si>
  <si>
    <t>Pip4k2b</t>
  </si>
  <si>
    <t>phosphatidylinositol-5-phosphate 4-kinase, type II, beta [Source:MGI Symbol;Acc:MGI:1934234]</t>
  </si>
  <si>
    <t>Cdk14</t>
  </si>
  <si>
    <t>cyclin-dependent kinase 14 [Source:MGI Symbol;Acc:MGI:894318]</t>
  </si>
  <si>
    <t>Il23a</t>
  </si>
  <si>
    <t>interleukin 23, alpha subunit p19 [Source:MGI Symbol;Acc:MGI:1932410]</t>
  </si>
  <si>
    <t>Gm13071</t>
  </si>
  <si>
    <t>predicted gene 13071 [Source:MGI Symbol;Acc:MGI:3651971]</t>
  </si>
  <si>
    <t>E130307A14Rik</t>
  </si>
  <si>
    <t>RIKEN cDNA E130307A14 gene [Source:MGI Symbol;Acc:MGI:3036287]</t>
  </si>
  <si>
    <t>Fubp3</t>
  </si>
  <si>
    <t>far upstream element (FUSE) binding protein 3 [Source:MGI Symbol;Acc:MGI:2443699]</t>
  </si>
  <si>
    <t>Zfp984</t>
  </si>
  <si>
    <t>zinc finger protein 984 [Source:MGI Symbol;Acc:MGI:3651978]</t>
  </si>
  <si>
    <t>Elmod2</t>
  </si>
  <si>
    <t>ELMO/CED-12 domain containing 2 [Source:MGI Symbol;Acc:MGI:2445165]</t>
  </si>
  <si>
    <t>Cap1</t>
  </si>
  <si>
    <t>CAP, adenylate cyclase-associated protein 1 (yeast) [Source:MGI Symbol;Acc:MGI:88262]</t>
  </si>
  <si>
    <t>Gm23090</t>
  </si>
  <si>
    <t>predicted gene, 23090 [Source:MGI Symbol;Acc:MGI:5452867]</t>
  </si>
  <si>
    <t>Lipc</t>
  </si>
  <si>
    <t>lipase, hepatic [Source:MGI Symbol;Acc:MGI:96216]</t>
  </si>
  <si>
    <t>Fiz1</t>
  </si>
  <si>
    <t>Flt3 interacting zinc finger protein 1 [Source:MGI Symbol;Acc:MGI:1344336]</t>
  </si>
  <si>
    <t>Gm12708</t>
  </si>
  <si>
    <t>predicted gene 12708 [Source:MGI Symbol;Acc:MGI:3652178]</t>
  </si>
  <si>
    <t>Ndufs3</t>
  </si>
  <si>
    <t>NADH:ubiquinone oxidoreductase core subunit S3 [Source:MGI Symbol;Acc:MGI:1915599]</t>
  </si>
  <si>
    <t>Gm25835</t>
  </si>
  <si>
    <t>predicted gene, 25835 [Source:MGI Symbol;Acc:MGI:5455612]</t>
  </si>
  <si>
    <t>Gatd3a</t>
  </si>
  <si>
    <t>glutamine amidotransferase like class 1 domain containing 3A [Source:MGI Symbol;Acc:MGI:1351861]</t>
  </si>
  <si>
    <t>Mrps15</t>
  </si>
  <si>
    <t>mitochondrial ribosomal protein S15 [Source:MGI Symbol;Acc:MGI:1913657]</t>
  </si>
  <si>
    <t>Gpr4</t>
  </si>
  <si>
    <t>G protein-coupled receptor 4 [Source:MGI Symbol;Acc:MGI:2441992]</t>
  </si>
  <si>
    <t>Gm47148</t>
  </si>
  <si>
    <t>predicted gene, 47148 [Source:MGI Symbol;Acc:MGI:6095912]</t>
  </si>
  <si>
    <t>Ankrd49</t>
  </si>
  <si>
    <t>ankyrin repeat domain 49 [Source:MGI Symbol;Acc:MGI:1930842]</t>
  </si>
  <si>
    <t>Gm16286</t>
  </si>
  <si>
    <t>predicted gene 16286 [Source:MGI Symbol;Acc:MGI:3833940]</t>
  </si>
  <si>
    <t>Sqle</t>
  </si>
  <si>
    <t>squalene epoxidase [Source:MGI Symbol;Acc:MGI:109296]</t>
  </si>
  <si>
    <t>Cd177</t>
  </si>
  <si>
    <t>CD177 antigen [Source:MGI Symbol;Acc:MGI:1916141]</t>
  </si>
  <si>
    <t>Gm14199</t>
  </si>
  <si>
    <t>predicted gene 14199 [Source:MGI Symbol;Acc:MGI:3651370]</t>
  </si>
  <si>
    <t>H1f3</t>
  </si>
  <si>
    <t>H1.3 linker histone, cluster member [Source:MGI Symbol;Acc:MGI:107502]</t>
  </si>
  <si>
    <t>Gm29291</t>
  </si>
  <si>
    <t>predicted gene 29291 [Source:MGI Symbol;Acc:MGI:5579997]</t>
  </si>
  <si>
    <t>Polr3f</t>
  </si>
  <si>
    <t>polymerase (RNA) III (DNA directed) polypeptide F [Source:MGI Symbol;Acc:MGI:1924086]</t>
  </si>
  <si>
    <t>Setd6</t>
  </si>
  <si>
    <t>SET domain containing 6 [Source:MGI Symbol;Acc:MGI:1913333]</t>
  </si>
  <si>
    <t>Atpaf1</t>
  </si>
  <si>
    <t>ATP synthase mitochondrial F1 complex assembly factor 1 [Source:MGI Symbol;Acc:MGI:2180560]</t>
  </si>
  <si>
    <t>Pdzrn3</t>
  </si>
  <si>
    <t>PDZ domain containing RING finger 3 [Source:MGI Symbol;Acc:MGI:1933157]</t>
  </si>
  <si>
    <t>Nktr</t>
  </si>
  <si>
    <t>natural killer tumor recognition sequence [Source:MGI Symbol;Acc:MGI:97346]</t>
  </si>
  <si>
    <t>Gm29367</t>
  </si>
  <si>
    <t>predicted gene 29367 [Source:MGI Symbol;Acc:MGI:5580073]</t>
  </si>
  <si>
    <t>Gm12758</t>
  </si>
  <si>
    <t>predicted gene 12758 [Source:MGI Symbol;Acc:MGI:3702543]</t>
  </si>
  <si>
    <t>Tmem72</t>
  </si>
  <si>
    <t>transmembrane protein 72 [Source:MGI Symbol;Acc:MGI:2442707]</t>
  </si>
  <si>
    <t>Prps1</t>
  </si>
  <si>
    <t>phosphoribosyl pyrophosphate synthetase 1 [Source:MGI Symbol;Acc:MGI:97775]</t>
  </si>
  <si>
    <t>Vwce</t>
  </si>
  <si>
    <t>von Willebrand factor C and EGF domains [Source:MGI Symbol;Acc:MGI:1919018]</t>
  </si>
  <si>
    <t>Vps26c</t>
  </si>
  <si>
    <t>VPS26 endosomal protein sorting factor C [Source:MGI Symbol;Acc:MGI:1206040]</t>
  </si>
  <si>
    <t>Slc40a1</t>
  </si>
  <si>
    <t>solute carrier family 40 (iron-regulated transporter), member 1 [Source:MGI Symbol;Acc:MGI:1315204]</t>
  </si>
  <si>
    <t>Lipa</t>
  </si>
  <si>
    <t>lysosomal acid lipase A [Source:MGI Symbol;Acc:MGI:96789]</t>
  </si>
  <si>
    <t>Pcdhgc4</t>
  </si>
  <si>
    <t>protocadherin gamma subfamily C, 4 [Source:MGI Symbol;Acc:MGI:1935203]</t>
  </si>
  <si>
    <t>Ap3m2</t>
  </si>
  <si>
    <t>adaptor-related protein complex 3, mu 2 subunit [Source:MGI Symbol;Acc:MGI:1929214]</t>
  </si>
  <si>
    <t>A230028O05Rik</t>
  </si>
  <si>
    <t>RIKEN cDNA A230028O05 gene [Source:MGI Symbol;Acc:MGI:2442126]</t>
  </si>
  <si>
    <t>Rab11b</t>
  </si>
  <si>
    <t>RAB11B, member RAS oncogene family [Source:MGI Symbol;Acc:MGI:99425]</t>
  </si>
  <si>
    <t>Eid2b</t>
  </si>
  <si>
    <t>EP300 interacting inhibitor of differentiation 2B [Source:MGI Symbol;Acc:MGI:1924095]</t>
  </si>
  <si>
    <t>Rsph3a</t>
  </si>
  <si>
    <t>radial spoke 3A homolog (Chlamydomonas) [Source:MGI Symbol;Acc:MGI:1914082]</t>
  </si>
  <si>
    <t>Tsen2</t>
  </si>
  <si>
    <t>tRNA splicing endonuclease subunit 2 [Source:MGI Symbol;Acc:MGI:2141599]</t>
  </si>
  <si>
    <t>Cand2</t>
  </si>
  <si>
    <t>cullin-associated and neddylation-dissociated 2 (putative) [Source:MGI Symbol;Acc:MGI:1914338]</t>
  </si>
  <si>
    <t>Malsu1</t>
  </si>
  <si>
    <t>mitochondrial assembly of ribosomal large subunit 1 [Source:MGI Symbol;Acc:MGI:1922843]</t>
  </si>
  <si>
    <t>Atxn2</t>
  </si>
  <si>
    <t>ataxin 2 [Source:MGI Symbol;Acc:MGI:1277223]</t>
  </si>
  <si>
    <t>Gm39321</t>
  </si>
  <si>
    <t>predicted gene, 39321 [Source:MGI Symbol;Acc:MGI:5622206]</t>
  </si>
  <si>
    <t>Gm6039</t>
  </si>
  <si>
    <t>predicted gene 6039 [Source:MGI Symbol;Acc:MGI:3648055]</t>
  </si>
  <si>
    <t>Gm42567</t>
  </si>
  <si>
    <t>predicted gene 42567 [Source:MGI Symbol;Acc:MGI:5662704]</t>
  </si>
  <si>
    <t>Pcdhgb1</t>
  </si>
  <si>
    <t>protocadherin gamma subfamily B, 1 [Source:MGI Symbol;Acc:MGI:1935169]</t>
  </si>
  <si>
    <t>Pcdhga6</t>
  </si>
  <si>
    <t>protocadherin gamma subfamily A, 6 [Source:MGI Symbol;Acc:MGI:1935218]</t>
  </si>
  <si>
    <t>Pcdhga10</t>
  </si>
  <si>
    <t>protocadherin gamma subfamily A, 10 [Source:MGI Symbol;Acc:MGI:1935227]</t>
  </si>
  <si>
    <t>Dact3</t>
  </si>
  <si>
    <t>dishevelled-binding antagonist of beta-catenin 3 [Source:MGI Symbol;Acc:MGI:3654828]</t>
  </si>
  <si>
    <t>Pla2g7</t>
  </si>
  <si>
    <t>phospholipase A2, group VII (platelet-activating factor acetylhydrolase, plasma) [Source:MGI Symbol;Acc:MGI:1351327]</t>
  </si>
  <si>
    <t>Ramac</t>
  </si>
  <si>
    <t>RNA guanine-7 methyltransferase activating subunit [Source:MGI Symbol;Acc:MGI:1914398]</t>
  </si>
  <si>
    <t>Dynlt1-ps1</t>
  </si>
  <si>
    <t>dynein light chain Tctex-type 1, pseuodogene 1 [Source:MGI Symbol;Acc:MGI:3642625]</t>
  </si>
  <si>
    <t>Tuba1b</t>
  </si>
  <si>
    <t>tubulin, alpha 1B [Source:MGI Symbol;Acc:MGI:107804]</t>
  </si>
  <si>
    <t>Amy1</t>
  </si>
  <si>
    <t>amylase 1, salivary [Source:MGI Symbol;Acc:MGI:88019]</t>
  </si>
  <si>
    <t>Gm38345</t>
  </si>
  <si>
    <t>predicted gene, 38345 [Source:MGI Symbol;Acc:MGI:5611573]</t>
  </si>
  <si>
    <t>Gstz1</t>
  </si>
  <si>
    <t>glutathione transferase zeta 1 (maleylacetoacetate isomerase) [Source:MGI Symbol;Acc:MGI:1341859]</t>
  </si>
  <si>
    <t>Gm16315</t>
  </si>
  <si>
    <t>predicted gene 16315 [Source:MGI Symbol;Acc:MGI:3826564]</t>
  </si>
  <si>
    <t>Banp</t>
  </si>
  <si>
    <t>BTG3 associated nuclear protein [Source:MGI Symbol;Acc:MGI:1889023]</t>
  </si>
  <si>
    <t>Samm50</t>
  </si>
  <si>
    <t>SAMM50 sorting and assembly machinery component [Source:MGI Symbol;Acc:MGI:1915903]</t>
  </si>
  <si>
    <t>Pcdhga8</t>
  </si>
  <si>
    <t>protocadherin gamma subfamily A, 8 [Source:MGI Symbol;Acc:MGI:1935221]</t>
  </si>
  <si>
    <t>Aptx</t>
  </si>
  <si>
    <t>aprataxin [Source:MGI Symbol;Acc:MGI:1913658]</t>
  </si>
  <si>
    <t>Ppp1r14b</t>
  </si>
  <si>
    <t>protein phosphatase 1, regulatory inhibitor subunit 14B [Source:MGI Symbol;Acc:MGI:107682]</t>
  </si>
  <si>
    <t>Stx8</t>
  </si>
  <si>
    <t>syntaxin 8 [Source:MGI Symbol;Acc:MGI:1890156]</t>
  </si>
  <si>
    <t>Acat1</t>
  </si>
  <si>
    <t>acetyl-Coenzyme A acetyltransferase 1 [Source:MGI Symbol;Acc:MGI:87870]</t>
  </si>
  <si>
    <t>Pcdhga7</t>
  </si>
  <si>
    <t>protocadherin gamma subfamily A, 7 [Source:MGI Symbol;Acc:MGI:1935219]</t>
  </si>
  <si>
    <t>Tmem252</t>
  </si>
  <si>
    <t>transmembrane protein 252 [Source:MGI Symbol;Acc:MGI:3583948]</t>
  </si>
  <si>
    <t>Acat2</t>
  </si>
  <si>
    <t>acetyl-Coenzyme A acetyltransferase 2 [Source:MGI Symbol;Acc:MGI:87871]</t>
  </si>
  <si>
    <t>Gm13348</t>
  </si>
  <si>
    <t>predicted gene 13348 [Source:MGI Symbol;Acc:MGI:3649255]</t>
  </si>
  <si>
    <t>Rpl12</t>
  </si>
  <si>
    <t>ribosomal protein L12 [Source:MGI Symbol;Acc:MGI:98002]</t>
  </si>
  <si>
    <t>Med4</t>
  </si>
  <si>
    <t>mediator complex subunit 4 [Source:MGI Symbol;Acc:MGI:1914631]</t>
  </si>
  <si>
    <t>Pcdhga1</t>
  </si>
  <si>
    <t>protocadherin gamma subfamily A, 1 [Source:MGI Symbol;Acc:MGI:1935212]</t>
  </si>
  <si>
    <t>Pcdhga12</t>
  </si>
  <si>
    <t>protocadherin gamma subfamily A, 12 [Source:MGI Symbol;Acc:MGI:1935229]</t>
  </si>
  <si>
    <t>A430057M04Rik</t>
  </si>
  <si>
    <t>RIKEN cDNA A430057M04 gene [Source:MGI Symbol;Acc:MGI:2442125]</t>
  </si>
  <si>
    <t>Smad7</t>
  </si>
  <si>
    <t>SMAD family member 7 [Source:MGI Symbol;Acc:MGI:1100518]</t>
  </si>
  <si>
    <t>Mir5107</t>
  </si>
  <si>
    <t>microRNA 5107 [Source:MGI Symbol;Acc:MGI:4950427]</t>
  </si>
  <si>
    <t>Ly6i</t>
  </si>
  <si>
    <t>lymphocyte antigen 6 complex, locus I [Source:MGI Symbol;Acc:MGI:1888480]</t>
  </si>
  <si>
    <t>Cdc27</t>
  </si>
  <si>
    <t>cell division cycle 27 [Source:MGI Symbol;Acc:MGI:102685]</t>
  </si>
  <si>
    <t>Hgsnat</t>
  </si>
  <si>
    <t>heparan-alpha-glucosaminide N-acetyltransferase [Source:MGI Symbol;Acc:MGI:1196297]</t>
  </si>
  <si>
    <t>Canx</t>
  </si>
  <si>
    <t>calnexin [Source:MGI Symbol;Acc:MGI:88261]</t>
  </si>
  <si>
    <t>Gm44415</t>
  </si>
  <si>
    <t>predicted gene, 44415 [Source:MGI Symbol;Acc:MGI:5690807]</t>
  </si>
  <si>
    <t>Gm17382</t>
  </si>
  <si>
    <t>predicted gene, 17382 [Source:MGI Symbol;Acc:MGI:4937016]</t>
  </si>
  <si>
    <t>H2-Ke6</t>
  </si>
  <si>
    <t>H2-K region expressed gene 6 [Source:MGI Symbol;Acc:MGI:95911]</t>
  </si>
  <si>
    <t>Pcdhga9</t>
  </si>
  <si>
    <t>protocadherin gamma subfamily A, 9 [Source:MGI Symbol;Acc:MGI:1935226]</t>
  </si>
  <si>
    <t>Alkbh4</t>
  </si>
  <si>
    <t>alkB homolog 4, lysine demethylase [Source:MGI Symbol;Acc:MGI:1919291]</t>
  </si>
  <si>
    <t>Gm21984</t>
  </si>
  <si>
    <t>predicted gene 21984 [Source:MGI Symbol;Acc:MGI:5439453]</t>
  </si>
  <si>
    <t>Gm17088</t>
  </si>
  <si>
    <t>predicted gene 17088 [Source:MGI Symbol;Acc:MGI:4937915]</t>
  </si>
  <si>
    <t>Egfl8</t>
  </si>
  <si>
    <t>EGF-like domain 8 [Source:MGI Symbol;Acc:MGI:1932094]</t>
  </si>
  <si>
    <t>9530082P21Rik</t>
  </si>
  <si>
    <t>RIKEN cDNA 9530082P21 gene [Source:MGI Symbol;Acc:MGI:3603340]</t>
  </si>
  <si>
    <t>Gipc2</t>
  </si>
  <si>
    <t>GIPC PDZ domain containing family, member 2 [Source:MGI Symbol;Acc:MGI:1889209]</t>
  </si>
  <si>
    <t>Gm5577</t>
  </si>
  <si>
    <t>predicted gene 5577 [Source:MGI Symbol;Acc:MGI:3648213]</t>
  </si>
  <si>
    <t>Camk2g</t>
  </si>
  <si>
    <t>calcium/calmodulin-dependent protein kinase II gamma [Source:MGI Symbol;Acc:MGI:88259]</t>
  </si>
  <si>
    <t>Shq1</t>
  </si>
  <si>
    <t>SHQ1 homolog (S. cerevisiae) [Source:MGI Symbol;Acc:MGI:1919421]</t>
  </si>
  <si>
    <t>Gm47270</t>
  </si>
  <si>
    <t>predicted gene, 47270 [Source:MGI Symbol;Acc:MGI:6096107]</t>
  </si>
  <si>
    <t>Gm12258</t>
  </si>
  <si>
    <t>predicted gene 12258 [Source:MGI Symbol;Acc:MGI:3651534]</t>
  </si>
  <si>
    <t>Zfp207</t>
  </si>
  <si>
    <t>zinc finger protein 207 [Source:MGI Symbol;Acc:MGI:1340045]</t>
  </si>
  <si>
    <t>Zbed4</t>
  </si>
  <si>
    <t>zinc finger, BED type containing 4 [Source:MGI Symbol;Acc:MGI:2682302]</t>
  </si>
  <si>
    <t>Elp6</t>
  </si>
  <si>
    <t>elongator acetyltransferase complex subunit 6 [Source:MGI Symbol;Acc:MGI:1919349]</t>
  </si>
  <si>
    <t>Pcdhgb4</t>
  </si>
  <si>
    <t>protocadherin gamma subfamily B, 4 [Source:MGI Symbol;Acc:MGI:1935173]</t>
  </si>
  <si>
    <t>Adap1</t>
  </si>
  <si>
    <t>ArfGAP with dual PH domains 1 [Source:MGI Symbol;Acc:MGI:2442201]</t>
  </si>
  <si>
    <t>Gm36546</t>
  </si>
  <si>
    <t>predicted gene, 36546 [Source:MGI Symbol;Acc:MGI:5595705]</t>
  </si>
  <si>
    <t>Pcdhga2</t>
  </si>
  <si>
    <t>protocadherin gamma subfamily A, 2 [Source:MGI Symbol;Acc:MGI:1935214]</t>
  </si>
  <si>
    <t>Avl9</t>
  </si>
  <si>
    <t>AVL9 cell migration associated [Source:MGI Symbol;Acc:MGI:1926187]</t>
  </si>
  <si>
    <t>Fam171a2</t>
  </si>
  <si>
    <t>family with sequence similarity 171, member A2 [Source:MGI Symbol;Acc:MGI:2448496]</t>
  </si>
  <si>
    <t>Slc25a18</t>
  </si>
  <si>
    <t>solute carrier family 25 (mitochondrial carrier), member 18 [Source:MGI Symbol;Acc:MGI:1919053]</t>
  </si>
  <si>
    <t>Inca1</t>
  </si>
  <si>
    <t>inhibitor of CDK, cyclin A1 interacting protein 1 [Source:MGI Symbol;Acc:MGI:2144284]</t>
  </si>
  <si>
    <t>Ndrg2</t>
  </si>
  <si>
    <t>N-myc downstream regulated gene 2 [Source:MGI Symbol;Acc:MGI:1352498]</t>
  </si>
  <si>
    <t>Rbmx2</t>
  </si>
  <si>
    <t>RNA binding motif protein, X-linked 2 [Source:MGI Symbol;Acc:MGI:1919414]</t>
  </si>
  <si>
    <t>Tent2</t>
  </si>
  <si>
    <t>terminal nucleotidyltransferase 2 [Source:MGI Symbol;Acc:MGI:2140950]</t>
  </si>
  <si>
    <t>Reep4</t>
  </si>
  <si>
    <t>receptor accessory protein 4 [Source:MGI Symbol;Acc:MGI:1919799]</t>
  </si>
  <si>
    <t>Stk38l</t>
  </si>
  <si>
    <t>serine/threonine kinase 38 like [Source:MGI Symbol;Acc:MGI:1922250]</t>
  </si>
  <si>
    <t>Mir8094</t>
  </si>
  <si>
    <t>microRNA 8094 [Source:MGI Symbol;Acc:MGI:5530895]</t>
  </si>
  <si>
    <t>Llgl1</t>
  </si>
  <si>
    <t>LLGL1 scribble cell polarity complex component [Source:MGI Symbol;Acc:MGI:102682]</t>
  </si>
  <si>
    <t>Bscl2</t>
  </si>
  <si>
    <t>Berardinelli-Seip congenital lipodystrophy 2 (seipin) [Source:MGI Symbol;Acc:MGI:1298392]</t>
  </si>
  <si>
    <t>Abcf3</t>
  </si>
  <si>
    <t>ATP-binding cassette, sub-family F (GCN20), member 3 [Source:MGI Symbol;Acc:MGI:1351656]</t>
  </si>
  <si>
    <t>Trmt1</t>
  </si>
  <si>
    <t>tRNA methyltransferase 1 [Source:MGI Symbol;Acc:MGI:1289155]</t>
  </si>
  <si>
    <t>Gm42421</t>
  </si>
  <si>
    <t>predicted gene, 42421 [Source:MGI Symbol;Acc:MGI:5649069]</t>
  </si>
  <si>
    <t>Akap3</t>
  </si>
  <si>
    <t>A kinase (PRKA) anchor protein 3 [Source:MGI Symbol;Acc:MGI:1341149]</t>
  </si>
  <si>
    <t>C330018D20Rik</t>
  </si>
  <si>
    <t>RIKEN cDNA C330018D20 gene [Source:MGI Symbol;Acc:MGI:1924672]</t>
  </si>
  <si>
    <t>Ptpn6</t>
  </si>
  <si>
    <t>protein tyrosine phosphatase, non-receptor type 6 [Source:MGI Symbol;Acc:MGI:96055]</t>
  </si>
  <si>
    <t>Ppp1r3f</t>
  </si>
  <si>
    <t>protein phosphatase 1, regulatory subunit 3F [Source:MGI Symbol;Acc:MGI:1859617]</t>
  </si>
  <si>
    <t>Pcdhga11</t>
  </si>
  <si>
    <t>protocadherin gamma subfamily A, 11 [Source:MGI Symbol;Acc:MGI:1935228]</t>
  </si>
  <si>
    <t>Tsc2</t>
  </si>
  <si>
    <t>TSC complex subunit 2 [Source:MGI Symbol;Acc:MGI:102548]</t>
  </si>
  <si>
    <t>Gm28364</t>
  </si>
  <si>
    <t>predicted gene 28364 [Source:MGI Symbol;Acc:MGI:5579070]</t>
  </si>
  <si>
    <t>Nutf2</t>
  </si>
  <si>
    <t>nuclear transport factor 2 [Source:MGI Symbol;Acc:MGI:1915301]</t>
  </si>
  <si>
    <t>Mrps24</t>
  </si>
  <si>
    <t>mitochondrial ribosomal protein S24 [Source:MGI Symbol;Acc:MGI:1928142]</t>
  </si>
  <si>
    <t>Gm48293</t>
  </si>
  <si>
    <t>predicted gene, 48293 [Source:MGI Symbol;Acc:MGI:6097731]</t>
  </si>
  <si>
    <t>Gm44790</t>
  </si>
  <si>
    <t>predicted gene 44790 [Source:MGI Symbol;Acc:MGI:5753366]</t>
  </si>
  <si>
    <t>Gm39556</t>
  </si>
  <si>
    <t>predicted gene, 39556 [Source:MGI Symbol;Acc:MGI:5622441]</t>
  </si>
  <si>
    <t>Gm19680</t>
  </si>
  <si>
    <t>predicted gene, 19680 [Source:MGI Symbol;Acc:MGI:5011865]</t>
  </si>
  <si>
    <t>Gm9774</t>
  </si>
  <si>
    <t>predicted pseudogene 9774 [Source:MGI Symbol;Acc:MGI:3642386]</t>
  </si>
  <si>
    <t>Api5</t>
  </si>
  <si>
    <t>apoptosis inhibitor 5 [Source:MGI Symbol;Acc:MGI:1888993]</t>
  </si>
  <si>
    <t>Pcdhgb7</t>
  </si>
  <si>
    <t>protocadherin gamma subfamily B, 7 [Source:MGI Symbol;Acc:MGI:1935199]</t>
  </si>
  <si>
    <t>Fbxo9</t>
  </si>
  <si>
    <t>f-box protein 9 [Source:MGI Symbol;Acc:MGI:1918788]</t>
  </si>
  <si>
    <t>Gm38227</t>
  </si>
  <si>
    <t>predicted gene, 38227 [Source:MGI Symbol;Acc:MGI:5611455]</t>
  </si>
  <si>
    <t>Actr8</t>
  </si>
  <si>
    <t>ARP8 actin-related protein 8 [Source:MGI Symbol;Acc:MGI:1860775]</t>
  </si>
  <si>
    <t>Rhof</t>
  </si>
  <si>
    <t>ras homolog family member F (in filopodia) [Source:MGI Symbol;Acc:MGI:1345629]</t>
  </si>
  <si>
    <t>Trip4</t>
  </si>
  <si>
    <t>thyroid hormone receptor interactor 4 [Source:MGI Symbol;Acc:MGI:1928469]</t>
  </si>
  <si>
    <t>Fam219b</t>
  </si>
  <si>
    <t>family with sequence similarity 219, member B [Source:MGI Symbol;Acc:MGI:1925573]</t>
  </si>
  <si>
    <t>Gm10145</t>
  </si>
  <si>
    <t>predicted gene 10145 [Source:MGI Symbol;Acc:MGI:3704353]</t>
  </si>
  <si>
    <t>Mettl27</t>
  </si>
  <si>
    <t>methyltransferase like 27 [Source:MGI Symbol;Acc:MGI:1933146]</t>
  </si>
  <si>
    <t>Pcdhga3</t>
  </si>
  <si>
    <t>protocadherin gamma subfamily A, 3 [Source:MGI Symbol;Acc:MGI:1935215]</t>
  </si>
  <si>
    <t>Drg1</t>
  </si>
  <si>
    <t>developmentally regulated GTP binding protein 1 [Source:MGI Symbol;Acc:MGI:1343297]</t>
  </si>
  <si>
    <t>Cwc27</t>
  </si>
  <si>
    <t>CWC27 spliceosome-associated protein [Source:MGI Symbol;Acc:MGI:1914535]</t>
  </si>
  <si>
    <t>Syap1</t>
  </si>
  <si>
    <t>synapse associated protein 1 [Source:MGI Symbol;Acc:MGI:1914293]</t>
  </si>
  <si>
    <t>Tigd3</t>
  </si>
  <si>
    <t>tigger transposable element derived 3 [Source:MGI Symbol;Acc:MGI:2681860]</t>
  </si>
  <si>
    <t>Gm45208</t>
  </si>
  <si>
    <t>predicted gene 45208 [Source:MGI Symbol;Acc:MGI:5753784]</t>
  </si>
  <si>
    <t>Arhgef10</t>
  </si>
  <si>
    <t>Rho guanine nucleotide exchange factor (GEF) 10 [Source:MGI Symbol;Acc:MGI:2444453]</t>
  </si>
  <si>
    <t>Rpl31</t>
  </si>
  <si>
    <t>ribosomal protein L31 [Source:MGI Symbol;Acc:MGI:2149632]</t>
  </si>
  <si>
    <t>Pcdhga5</t>
  </si>
  <si>
    <t>protocadherin gamma subfamily A, 5 [Source:MGI Symbol;Acc:MGI:1935217]</t>
  </si>
  <si>
    <t>Larp4b</t>
  </si>
  <si>
    <t>La ribonucleoprotein domain family, member 4B [Source:MGI Symbol;Acc:MGI:106330]</t>
  </si>
  <si>
    <t>Atp13a1</t>
  </si>
  <si>
    <t>ATPase type 13A1 [Source:MGI Symbol;Acc:MGI:2180801]</t>
  </si>
  <si>
    <t>Cnot2</t>
  </si>
  <si>
    <t>CCR4-NOT transcription complex, subunit 2 [Source:MGI Symbol;Acc:MGI:1919318]</t>
  </si>
  <si>
    <t>Slc27a4</t>
  </si>
  <si>
    <t>solute carrier family 27 (fatty acid transporter), member 4 [Source:MGI Symbol;Acc:MGI:1347347]</t>
  </si>
  <si>
    <t>Gm4833</t>
  </si>
  <si>
    <t>predicted gene 4833 [Source:MGI Symbol;Acc:MGI:3646586]</t>
  </si>
  <si>
    <t>Bcor</t>
  </si>
  <si>
    <t>BCL6 interacting corepressor [Source:MGI Symbol;Acc:MGI:1918708]</t>
  </si>
  <si>
    <t>Cand1</t>
  </si>
  <si>
    <t>cullin associated and neddylation disassociated 1 [Source:MGI Symbol;Acc:MGI:1261820]</t>
  </si>
  <si>
    <t>Rps25</t>
  </si>
  <si>
    <t>ribosomal protein S25 [Source:MGI Symbol;Acc:MGI:1922867]</t>
  </si>
  <si>
    <t>Ube2g1</t>
  </si>
  <si>
    <t>ubiquitin-conjugating enzyme E2G 1 [Source:MGI Symbol;Acc:MGI:1914378]</t>
  </si>
  <si>
    <t>Tceanc</t>
  </si>
  <si>
    <t>transcription elongation factor A (SII) N-terminal and central domain containing [Source:MGI Symbol;Acc:MGI:2685236]</t>
  </si>
  <si>
    <t>Ddx19a</t>
  </si>
  <si>
    <t>DEAD (Asp-Glu-Ala-Asp) box polypeptide 19a [Source:MGI Symbol;Acc:MGI:99526]</t>
  </si>
  <si>
    <t>Pcdhgb6</t>
  </si>
  <si>
    <t>protocadherin gamma subfamily B, 6 [Source:MGI Symbol;Acc:MGI:1935197]</t>
  </si>
  <si>
    <t>Pofut1</t>
  </si>
  <si>
    <t>protein O-fucosyltransferase 1 [Source:MGI Symbol;Acc:MGI:2153207]</t>
  </si>
  <si>
    <t>Eno1</t>
  </si>
  <si>
    <t>enolase 1, alpha non-neuron [Source:MGI Symbol;Acc:MGI:95393]</t>
  </si>
  <si>
    <t>Ahnak</t>
  </si>
  <si>
    <t>AHNAK nucleoprotein (desmoyokin) [Source:MGI Symbol;Acc:MGI:1316648]</t>
  </si>
  <si>
    <t>Fmo5</t>
  </si>
  <si>
    <t>flavin containing monooxygenase 5 [Source:MGI Symbol;Acc:MGI:1310004]</t>
  </si>
  <si>
    <t>Gm12951</t>
  </si>
  <si>
    <t>predicted gene 12951 [Source:MGI Symbol;Acc:MGI:3649505]</t>
  </si>
  <si>
    <t>Ppp1ccb</t>
  </si>
  <si>
    <t>protein phosphatase 1 catalytic subunit gamma B [Source:MGI Symbol;Acc:MGI:3647492]</t>
  </si>
  <si>
    <t>Nifk</t>
  </si>
  <si>
    <t>nucleolar protein interacting with the FHA domain of MKI67 [Source:MGI Symbol;Acc:MGI:1915199]</t>
  </si>
  <si>
    <t>Smug1</t>
  </si>
  <si>
    <t>single-strand selective monofunctional uracil DNA glycosylase [Source:MGI Symbol;Acc:MGI:1918976]</t>
  </si>
  <si>
    <t>Gm37818</t>
  </si>
  <si>
    <t>predicted gene, 37818 [Source:MGI Symbol;Acc:MGI:5611046]</t>
  </si>
  <si>
    <t>Adgrg3</t>
  </si>
  <si>
    <t>adhesion G protein-coupled receptor G3 [Source:MGI Symbol;Acc:MGI:1859670]</t>
  </si>
  <si>
    <t>Rapgef6</t>
  </si>
  <si>
    <t>Rap guanine nucleotide exchange factor (GEF) 6 [Source:MGI Symbol;Acc:MGI:2384761]</t>
  </si>
  <si>
    <t>Arpc3</t>
  </si>
  <si>
    <t>actin related protein 2/3 complex, subunit 3 [Source:MGI Symbol;Acc:MGI:1928375]</t>
  </si>
  <si>
    <t>Polm</t>
  </si>
  <si>
    <t>polymerase (DNA directed), mu [Source:MGI Symbol;Acc:MGI:1860191]</t>
  </si>
  <si>
    <t>Dcaf11</t>
  </si>
  <si>
    <t>DDB1 and CUL4 associated factor 11 [Source:MGI Symbol;Acc:MGI:90168]</t>
  </si>
  <si>
    <t>4930556M19Rik</t>
  </si>
  <si>
    <t>RIKEN cDNA 4930556M19 gene [Source:MGI Symbol;Acc:MGI:1922509]</t>
  </si>
  <si>
    <t>Gm37354</t>
  </si>
  <si>
    <t>predicted gene, 37354 [Source:MGI Symbol;Acc:MGI:5610582]</t>
  </si>
  <si>
    <t>Gm48718</t>
  </si>
  <si>
    <t>predicted gene, 48718 [Source:MGI Symbol;Acc:MGI:6098369]</t>
  </si>
  <si>
    <t>Qsox2</t>
  </si>
  <si>
    <t>quiescin Q6 sulfhydryl oxidase 2 [Source:MGI Symbol;Acc:MGI:2387194]</t>
  </si>
  <si>
    <t>Ap1m1</t>
  </si>
  <si>
    <t>adaptor-related protein complex AP-1, mu subunit 1 [Source:MGI Symbol;Acc:MGI:102776]</t>
  </si>
  <si>
    <t>Il2rb</t>
  </si>
  <si>
    <t>interleukin 2 receptor, beta chain [Source:MGI Symbol;Acc:MGI:96550]</t>
  </si>
  <si>
    <t>Rexo1</t>
  </si>
  <si>
    <t>REX1, RNA exonuclease 1 [Source:MGI Symbol;Acc:MGI:1914182]</t>
  </si>
  <si>
    <t>Gm17251</t>
  </si>
  <si>
    <t>predicted gene, 17251 [Source:MGI Symbol;Acc:MGI:4936885]</t>
  </si>
  <si>
    <t>Cd53</t>
  </si>
  <si>
    <t>CD53 antigen [Source:MGI Symbol;Acc:MGI:88341]</t>
  </si>
  <si>
    <t>Lrch4</t>
  </si>
  <si>
    <t>leucine-rich repeats and calponin homology (CH) domain containing 4 [Source:MGI Symbol;Acc:MGI:1917193]</t>
  </si>
  <si>
    <t>Gm12992</t>
  </si>
  <si>
    <t>predicted gene 12992 [Source:MGI Symbol;Acc:MGI:3702644]</t>
  </si>
  <si>
    <t>Cd63</t>
  </si>
  <si>
    <t>CD63 antigen [Source:MGI Symbol;Acc:MGI:99529]</t>
  </si>
  <si>
    <t>Kctd18</t>
  </si>
  <si>
    <t>potassium channel tetramerisation domain containing 18 [Source:MGI Symbol;Acc:MGI:3603813]</t>
  </si>
  <si>
    <t>Tial1</t>
  </si>
  <si>
    <t>Tia1 cytotoxic granule-associated RNA binding protein-like 1 [Source:MGI Symbol;Acc:MGI:107913]</t>
  </si>
  <si>
    <t>Bcl2</t>
  </si>
  <si>
    <t>B cell leukemia/lymphoma 2 [Source:MGI Symbol;Acc:MGI:88138]</t>
  </si>
  <si>
    <t>Dnhd1</t>
  </si>
  <si>
    <t>dynein heavy chain domain 1 [Source:MGI Symbol;Acc:MGI:1924755]</t>
  </si>
  <si>
    <t>Utrn</t>
  </si>
  <si>
    <t>utrophin [Source:MGI Symbol;Acc:MGI:104631]</t>
  </si>
  <si>
    <t>Zfp426</t>
  </si>
  <si>
    <t>zinc finger protein 426 [Source:MGI Symbol;Acc:MGI:1920248]</t>
  </si>
  <si>
    <t>Pcdhgb8</t>
  </si>
  <si>
    <t>protocadherin gamma subfamily B, 8 [Source:MGI Symbol;Acc:MGI:1935200]</t>
  </si>
  <si>
    <t>Dap3</t>
  </si>
  <si>
    <t>death associated protein 3 [Source:MGI Symbol;Acc:MGI:1929538]</t>
  </si>
  <si>
    <t>Atg4b</t>
  </si>
  <si>
    <t>autophagy related 4B, cysteine peptidase [Source:MGI Symbol;Acc:MGI:1913865]</t>
  </si>
  <si>
    <t>Pcdhgb5</t>
  </si>
  <si>
    <t>protocadherin gamma subfamily B, 5 [Source:MGI Symbol;Acc:MGI:1935196]</t>
  </si>
  <si>
    <t>Ints4</t>
  </si>
  <si>
    <t>integrator complex subunit 4 [Source:MGI Symbol;Acc:MGI:1917164]</t>
  </si>
  <si>
    <t>Vcan</t>
  </si>
  <si>
    <t>versican [Source:MGI Symbol;Acc:MGI:102889]</t>
  </si>
  <si>
    <t>Pex13</t>
  </si>
  <si>
    <t>peroxisomal biogenesis factor 13 [Source:MGI Symbol;Acc:MGI:1919379]</t>
  </si>
  <si>
    <t>Ppia</t>
  </si>
  <si>
    <t>peptidylprolyl isomerase A [Source:MGI Symbol;Acc:MGI:97749]</t>
  </si>
  <si>
    <t>Antxr2</t>
  </si>
  <si>
    <t>anthrax toxin receptor 2 [Source:MGI Symbol;Acc:MGI:1919164]</t>
  </si>
  <si>
    <t>Naa16</t>
  </si>
  <si>
    <t>N(alpha)-acetyltransferase 16, NatA auxiliary subunit [Source:MGI Symbol;Acc:MGI:1914147]</t>
  </si>
  <si>
    <t>Srp9</t>
  </si>
  <si>
    <t>signal recognition particle 9 [Source:MGI Symbol;Acc:MGI:1350930]</t>
  </si>
  <si>
    <t>Wnt6</t>
  </si>
  <si>
    <t>wingless-type MMTV integration site family, member 6 [Source:MGI Symbol;Acc:MGI:98960]</t>
  </si>
  <si>
    <t>Ubap2l</t>
  </si>
  <si>
    <t>ubiquitin-associated protein 2-like [Source:MGI Symbol;Acc:MGI:1921633]</t>
  </si>
  <si>
    <t>A230072C01Rik</t>
  </si>
  <si>
    <t>RIKEN cDNA A230072C01 gene [Source:MGI Symbol;Acc:MGI:2444644]</t>
  </si>
  <si>
    <t>Ssc4d</t>
  </si>
  <si>
    <t>scavenger receptor cysteine rich family, 4 domains [Source:MGI Symbol;Acc:MGI:1924709]</t>
  </si>
  <si>
    <t>Armh3</t>
  </si>
  <si>
    <t>armadillo-like helical domain containing 3 [Source:MGI Symbol;Acc:MGI:1918867]</t>
  </si>
  <si>
    <t>Gm10518</t>
  </si>
  <si>
    <t>predicted gene 10518 [Source:MGI Symbol;Acc:MGI:3704205]</t>
  </si>
  <si>
    <t>Gm20662</t>
  </si>
  <si>
    <t>predicted gene 20662 [Source:MGI Symbol;Acc:MGI:5313109]</t>
  </si>
  <si>
    <t>Zzef1</t>
  </si>
  <si>
    <t>zinc finger, ZZ-type with EF hand domain 1 [Source:MGI Symbol;Acc:MGI:2444286]</t>
  </si>
  <si>
    <t>Gm40457</t>
  </si>
  <si>
    <t>predicted gene, 40457 [Source:MGI Symbol;Acc:MGI:5623342]</t>
  </si>
  <si>
    <t>Pcdhgb2</t>
  </si>
  <si>
    <t>protocadherin gamma subfamily B, 2 [Source:MGI Symbol;Acc:MGI:1935170]</t>
  </si>
  <si>
    <t>Gm4876</t>
  </si>
  <si>
    <t>predicted gene 4876 [Source:MGI Symbol;Acc:MGI:3647654]</t>
  </si>
  <si>
    <t>Sarm1</t>
  </si>
  <si>
    <t>sterile alpha and HEAT/Armadillo motif containing 1 [Source:MGI Symbol;Acc:MGI:2136419]</t>
  </si>
  <si>
    <t>2310058D17Rik</t>
  </si>
  <si>
    <t>RIKEN cDNA 2310058D17 gene [Source:MGI Symbol;Acc:MGI:1922944]</t>
  </si>
  <si>
    <t>Zfhx2os</t>
  </si>
  <si>
    <t>zinc finger homeobox 2, opposite strand [Source:MGI Symbol;Acc:MGI:3620246]</t>
  </si>
  <si>
    <t>Cyld</t>
  </si>
  <si>
    <t>CYLD lysine 63 deubiquitinase [Source:MGI Symbol;Acc:MGI:1921506]</t>
  </si>
  <si>
    <t>Srpk3</t>
  </si>
  <si>
    <t>serine/arginine-rich protein specific kinase 3 [Source:MGI Symbol;Acc:MGI:1891338]</t>
  </si>
  <si>
    <t>A630052C17Rik</t>
  </si>
  <si>
    <t>RIKEN cDNA A630052C17 gene [Source:MGI Symbol;Acc:MGI:2444673]</t>
  </si>
  <si>
    <t>Pigt</t>
  </si>
  <si>
    <t>phosphatidylinositol glycan anchor biosynthesis, class T [Source:MGI Symbol;Acc:MGI:1926178]</t>
  </si>
  <si>
    <t>B9d2</t>
  </si>
  <si>
    <t>B9 protein domain 2 [Source:MGI Symbol;Acc:MGI:2387643]</t>
  </si>
  <si>
    <t>Adnp2</t>
  </si>
  <si>
    <t>ADNP homeobox 2 [Source:MGI Symbol;Acc:MGI:2448562]</t>
  </si>
  <si>
    <t>Tvp23b</t>
  </si>
  <si>
    <t>trans-golgi network vesicle protein 23B [Source:MGI Symbol;Acc:MGI:1914760]</t>
  </si>
  <si>
    <t>4833445I07Rik</t>
  </si>
  <si>
    <t>RIKEN cDNA 4833445I07 gene [Source:MGI Symbol;Acc:MGI:2143268]</t>
  </si>
  <si>
    <t>Anxa9</t>
  </si>
  <si>
    <t>annexin A9 [Source:MGI Symbol;Acc:MGI:1923711]</t>
  </si>
  <si>
    <t>Ap3s1-ps1</t>
  </si>
  <si>
    <t>adaptor-related protein complex 3, sigma 1 subunit, pseudogene 1 [Source:MGI Symbol;Acc:MGI:1929216]</t>
  </si>
  <si>
    <t>Cstf2</t>
  </si>
  <si>
    <t>cleavage stimulation factor, 3' pre-RNA subunit 2 [Source:MGI Symbol;Acc:MGI:1343054]</t>
  </si>
  <si>
    <t>Laptm4a</t>
  </si>
  <si>
    <t>lysosomal-associated protein transmembrane 4A [Source:MGI Symbol;Acc:MGI:108017]</t>
  </si>
  <si>
    <t>Pmvk</t>
  </si>
  <si>
    <t>phosphomevalonate kinase [Source:MGI Symbol;Acc:MGI:1915853]</t>
  </si>
  <si>
    <t>Mcat</t>
  </si>
  <si>
    <t>malonyl CoA:ACP acyltransferase (mitochondrial) [Source:MGI Symbol;Acc:MGI:2388651]</t>
  </si>
  <si>
    <t>Traf6</t>
  </si>
  <si>
    <t>TNF receptor-associated factor 6 [Source:MGI Symbol;Acc:MGI:108072]</t>
  </si>
  <si>
    <t>Drc3</t>
  </si>
  <si>
    <t>dynein regulatory complex subunit 3 [Source:MGI Symbol;Acc:MGI:1921915]</t>
  </si>
  <si>
    <t>Gm26885</t>
  </si>
  <si>
    <t>predicted gene, 26885 [Source:MGI Symbol;Acc:MGI:5477379]</t>
  </si>
  <si>
    <t>Prss36</t>
  </si>
  <si>
    <t>protease, serine 36 [Source:MGI Symbol;Acc:MGI:1924863]</t>
  </si>
  <si>
    <t>Zfp707</t>
  </si>
  <si>
    <t>zinc finger protein 707 [Source:MGI Symbol;Acc:MGI:1916270]</t>
  </si>
  <si>
    <t>Gm4332</t>
  </si>
  <si>
    <t>predicted gene 4332 [Source:MGI Symbol;Acc:MGI:3782515]</t>
  </si>
  <si>
    <t>Gm43054</t>
  </si>
  <si>
    <t>predicted gene 43054 [Source:MGI Symbol;Acc:MGI:5663191]</t>
  </si>
  <si>
    <t>Mir1945</t>
  </si>
  <si>
    <t>microRNA 1945 [Source:MGI Symbol;Acc:MGI:3836984]</t>
  </si>
  <si>
    <t>Aip</t>
  </si>
  <si>
    <t>aryl-hydrocarbon receptor-interacting protein [Source:MGI Symbol;Acc:MGI:109622]</t>
  </si>
  <si>
    <t>Gm6335</t>
  </si>
  <si>
    <t>predicted gene 6335 [Source:MGI Symbol;Acc:MGI:3644202]</t>
  </si>
  <si>
    <t>Trpc4ap</t>
  </si>
  <si>
    <t>transient receptor potential cation channel, subfamily C, member 4 associated protein [Source:MGI Symbol;Acc:MGI:1930751]</t>
  </si>
  <si>
    <t>Zmiz1os1</t>
  </si>
  <si>
    <t>Zmiz1 opposite strand 1 [Source:MGI Symbol;Acc:MGI:3041228]</t>
  </si>
  <si>
    <t>Mycbp</t>
  </si>
  <si>
    <t>MYC binding protein [Source:MGI Symbol;Acc:MGI:1891750]</t>
  </si>
  <si>
    <t>Gm12464</t>
  </si>
  <si>
    <t>predicted gene 12464 [Source:MGI Symbol;Acc:MGI:3650645]</t>
  </si>
  <si>
    <t>Arl16</t>
  </si>
  <si>
    <t>ADP-ribosylation factor-like 16 [Source:MGI Symbol;Acc:MGI:1917567]</t>
  </si>
  <si>
    <t>Syngr3</t>
  </si>
  <si>
    <t>synaptogyrin 3 [Source:MGI Symbol;Acc:MGI:1341881]</t>
  </si>
  <si>
    <t>Ttc37</t>
  </si>
  <si>
    <t>tetratricopeptide repeat domain 37 [Source:MGI Symbol;Acc:MGI:2679923]</t>
  </si>
  <si>
    <t>Tmem266</t>
  </si>
  <si>
    <t>transmembrane protein 266 [Source:MGI Symbol;Acc:MGI:2142980]</t>
  </si>
  <si>
    <t>Zbtb39</t>
  </si>
  <si>
    <t>zinc finger and BTB domain containing 39 [Source:MGI Symbol;Acc:MGI:2443316]</t>
  </si>
  <si>
    <t>Chchd7</t>
  </si>
  <si>
    <t>coiled-coil-helix-coiled-coil-helix domain containing 7 [Source:MGI Symbol;Acc:MGI:1913683]</t>
  </si>
  <si>
    <t>Gm16385</t>
  </si>
  <si>
    <t>predicted gene 16385 [Source:MGI Symbol;Acc:MGI:3780125]</t>
  </si>
  <si>
    <t>Mfn2</t>
  </si>
  <si>
    <t>mitofusin 2 [Source:MGI Symbol;Acc:MGI:2442230]</t>
  </si>
  <si>
    <t>Tbc1d10a</t>
  </si>
  <si>
    <t>TBC1 domain family, member 10a [Source:MGI Symbol;Acc:MGI:2144164]</t>
  </si>
  <si>
    <t>Adprhl1</t>
  </si>
  <si>
    <t>ADP-ribosylhydrolase like 1 [Source:MGI Symbol;Acc:MGI:2442168]</t>
  </si>
  <si>
    <t>Lipt1</t>
  </si>
  <si>
    <t>lipoyltransferase 1 [Source:MGI Symbol;Acc:MGI:3645211]</t>
  </si>
  <si>
    <t>Dagla</t>
  </si>
  <si>
    <t>diacylglycerol lipase, alpha [Source:MGI Symbol;Acc:MGI:2677061]</t>
  </si>
  <si>
    <t>Zranb1</t>
  </si>
  <si>
    <t>zinc finger, RAN-binding domain containing 1 [Source:MGI Symbol;Acc:MGI:106441]</t>
  </si>
  <si>
    <t>Gm43814</t>
  </si>
  <si>
    <t>predicted gene 43814 [Source:MGI Symbol;Acc:MGI:5663951]</t>
  </si>
  <si>
    <t>Brwd1</t>
  </si>
  <si>
    <t>bromodomain and WD repeat domain containing 1 [Source:MGI Symbol;Acc:MGI:1890651]</t>
  </si>
  <si>
    <t>Cdk12</t>
  </si>
  <si>
    <t>cyclin-dependent kinase 12 [Source:MGI Symbol;Acc:MGI:1098802]</t>
  </si>
  <si>
    <t>3110045C21Rik</t>
  </si>
  <si>
    <t>RIKEN cDNA 3110045C21 gene [Source:MGI Symbol;Acc:MGI:1914553]</t>
  </si>
  <si>
    <t>Gm33027</t>
  </si>
  <si>
    <t>predicted gene, 33027 [Source:MGI Symbol;Acc:MGI:5592186]</t>
  </si>
  <si>
    <t>Gtpbp10</t>
  </si>
  <si>
    <t>GTP-binding protein 10 (putative) [Source:MGI Symbol;Acc:MGI:2385599]</t>
  </si>
  <si>
    <t>Hacd1</t>
  </si>
  <si>
    <t>3-hydroxyacyl-CoA dehydratase 1 [Source:MGI Symbol;Acc:MGI:1353592]</t>
  </si>
  <si>
    <t>Fgr</t>
  </si>
  <si>
    <t>FGR proto-oncogene, Src family tyrosine kinase [Source:MGI Symbol;Acc:MGI:95527]</t>
  </si>
  <si>
    <t>Clhc1</t>
  </si>
  <si>
    <t>clathrin heavy chain linker domain containing 1 [Source:MGI Symbol;Acc:MGI:1920574]</t>
  </si>
  <si>
    <t>Gon4l</t>
  </si>
  <si>
    <t>gon-4-like (C.elegans) [Source:MGI Symbol;Acc:MGI:1917579]</t>
  </si>
  <si>
    <t>Ccdc134</t>
  </si>
  <si>
    <t>coiled-coil domain containing 134 [Source:MGI Symbol;Acc:MGI:1923707]</t>
  </si>
  <si>
    <t>Gm43365</t>
  </si>
  <si>
    <t>predicted gene 43365 [Source:MGI Symbol;Acc:MGI:5663502]</t>
  </si>
  <si>
    <t>Nr6a1</t>
  </si>
  <si>
    <t>nuclear receptor subfamily 6, group A, member 1 [Source:MGI Symbol;Acc:MGI:1352459]</t>
  </si>
  <si>
    <t>Ccz1</t>
  </si>
  <si>
    <t>CCZ1 vacuolar protein trafficking and biogenesis associated [Source:MGI Symbol;Acc:MGI:2141070]</t>
  </si>
  <si>
    <t>Zfp334</t>
  </si>
  <si>
    <t>zinc finger protein 334 [Source:MGI Symbol;Acc:MGI:2388656]</t>
  </si>
  <si>
    <t>Gm5611</t>
  </si>
  <si>
    <t>predicted gene 5611 [Source:MGI Symbol;Acc:MGI:3647121]</t>
  </si>
  <si>
    <t>F8a</t>
  </si>
  <si>
    <t>factor 8-associated gene A [Source:MGI Symbol;Acc:MGI:95474]</t>
  </si>
  <si>
    <t>Lhpp</t>
  </si>
  <si>
    <t>phospholysine phosphohistidine inorganic pyrophosphate phosphatase [Source:MGI Symbol;Acc:MGI:1923679]</t>
  </si>
  <si>
    <t>Aldh1b1</t>
  </si>
  <si>
    <t>aldehyde dehydrogenase 1 family, member B1 [Source:MGI Symbol;Acc:MGI:1919785]</t>
  </si>
  <si>
    <t>6030443J06Rik</t>
  </si>
  <si>
    <t>RIKEN cDNA 6030443J06 gene [Source:MGI Symbol;Acc:MGI:2444595]</t>
  </si>
  <si>
    <t>Gm33370</t>
  </si>
  <si>
    <t>predicted gene, 33370 [Source:MGI Symbol;Acc:MGI:5592529]</t>
  </si>
  <si>
    <t>Catsperd</t>
  </si>
  <si>
    <t>cation channel sperm associated auxiliary subunit delta [Source:MGI Symbol;Acc:MGI:2147030]</t>
  </si>
  <si>
    <t>Zdhhc3</t>
  </si>
  <si>
    <t>zinc finger, DHHC domain containing 3 [Source:MGI Symbol;Acc:MGI:1926134]</t>
  </si>
  <si>
    <t>Serhl</t>
  </si>
  <si>
    <t>serine hydrolase-like [Source:MGI Symbol;Acc:MGI:1890404]</t>
  </si>
  <si>
    <t>Lrrc61</t>
  </si>
  <si>
    <t>leucine rich repeat containing 61 [Source:MGI Symbol;Acc:MGI:2652848]</t>
  </si>
  <si>
    <t>Bub1</t>
  </si>
  <si>
    <t>BUB1, mitotic checkpoint serine/threonine kinase [Source:MGI Symbol;Acc:MGI:1100510]</t>
  </si>
  <si>
    <t>Zfp626</t>
  </si>
  <si>
    <t>zinc finger protein 626 [Source:MGI Symbol;Acc:MGI:1918413]</t>
  </si>
  <si>
    <t>Agmo</t>
  </si>
  <si>
    <t>alkylglycerol monooxygenase [Source:MGI Symbol;Acc:MGI:2442495]</t>
  </si>
  <si>
    <t>Rps8</t>
  </si>
  <si>
    <t>ribosomal protein S8 [Source:MGI Symbol;Acc:MGI:98166]</t>
  </si>
  <si>
    <t>Gm26901</t>
  </si>
  <si>
    <t>predicted gene, 26901 [Source:MGI Symbol;Acc:MGI:5477395]</t>
  </si>
  <si>
    <t>Taf12</t>
  </si>
  <si>
    <t>TATA-box binding protein associated factor 12 [Source:MGI Symbol;Acc:MGI:1913714]</t>
  </si>
  <si>
    <t>Dapk1</t>
  </si>
  <si>
    <t>death associated protein kinase 1 [Source:MGI Symbol;Acc:MGI:1916885]</t>
  </si>
  <si>
    <t>Anapc2</t>
  </si>
  <si>
    <t>anaphase promoting complex subunit 2 [Source:MGI Symbol;Acc:MGI:2139135]</t>
  </si>
  <si>
    <t>Gm10734</t>
  </si>
  <si>
    <t>predicted gene 10734 [Source:MGI Symbol;Acc:MGI:3642559]</t>
  </si>
  <si>
    <t>Gm47727</t>
  </si>
  <si>
    <t>predicted gene, 47727 [Source:MGI Symbol;Acc:MGI:6096859]</t>
  </si>
  <si>
    <t>Psmb11</t>
  </si>
  <si>
    <t>proteasome (prosome, macropain) subunit, beta type, 11 [Source:MGI Symbol;Acc:MGI:1921152]</t>
  </si>
  <si>
    <t>Capzb</t>
  </si>
  <si>
    <t>capping protein (actin filament) muscle Z-line, beta [Source:MGI Symbol;Acc:MGI:104652]</t>
  </si>
  <si>
    <t>Siah2</t>
  </si>
  <si>
    <t>siah E3 ubiquitin protein ligase 2 [Source:MGI Symbol;Acc:MGI:108062]</t>
  </si>
  <si>
    <t>Tmprss13</t>
  </si>
  <si>
    <t>transmembrane protease, serine 13 [Source:MGI Symbol;Acc:MGI:2682935]</t>
  </si>
  <si>
    <t>Tti2</t>
  </si>
  <si>
    <t>TELO2 interacting protein 2 [Source:MGI Symbol;Acc:MGI:2384576]</t>
  </si>
  <si>
    <t>D6Wsu163e</t>
  </si>
  <si>
    <t>DNA segment, Chr 6, Wayne State University 163, expressed [Source:MGI Symbol;Acc:MGI:107893]</t>
  </si>
  <si>
    <t>AK157302</t>
  </si>
  <si>
    <t>cDNA sequence AK157302 [Source:MGI Symbol;Acc:MGI:3574096]</t>
  </si>
  <si>
    <t>Blmh</t>
  </si>
  <si>
    <t>bleomycin hydrolase [Source:MGI Symbol;Acc:MGI:1345186]</t>
  </si>
  <si>
    <t>Gm10705</t>
  </si>
  <si>
    <t>predicted gene 10705 [Source:MGI Symbol;Acc:MGI:3708678]</t>
  </si>
  <si>
    <t>Arsk</t>
  </si>
  <si>
    <t>arylsulfatase K [Source:MGI Symbol;Acc:MGI:1924291]</t>
  </si>
  <si>
    <t>Mapk1ip1</t>
  </si>
  <si>
    <t>mitogen-activated protein kinase 1 interacting protein 1 [Source:MGI Symbol;Acc:MGI:1916796]</t>
  </si>
  <si>
    <t>Tm6sf1</t>
  </si>
  <si>
    <t>transmembrane 6 superfamily member 1 [Source:MGI Symbol;Acc:MGI:1933209]</t>
  </si>
  <si>
    <t>Fbxo25</t>
  </si>
  <si>
    <t>F-box protein 25 [Source:MGI Symbol;Acc:MGI:1914072]</t>
  </si>
  <si>
    <t>Gm7390</t>
  </si>
  <si>
    <t>predicted gene 7390 [Source:MGI Symbol;Acc:MGI:3645154]</t>
  </si>
  <si>
    <t>Cd52</t>
  </si>
  <si>
    <t>CD52 antigen [Source:MGI Symbol;Acc:MGI:1346088]</t>
  </si>
  <si>
    <t>Nupr1l</t>
  </si>
  <si>
    <t>nuclear protein transcriptional regulator 1 like [Source:MGI Symbol;Acc:MGI:1923099]</t>
  </si>
  <si>
    <t>Ak8</t>
  </si>
  <si>
    <t>adenylate kinase 8 [Source:MGI Symbol;Acc:MGI:1916120]</t>
  </si>
  <si>
    <t>Ccnd2</t>
  </si>
  <si>
    <t>cyclin D2 [Source:MGI Symbol;Acc:MGI:88314]</t>
  </si>
  <si>
    <t>Yipf2</t>
  </si>
  <si>
    <t>Yip1 domain family, member 2 [Source:MGI Symbol;Acc:MGI:1922016]</t>
  </si>
  <si>
    <t>Timm8a1</t>
  </si>
  <si>
    <t>translocase of inner mitochondrial membrane 8A1 [Source:MGI Symbol;Acc:MGI:1353433]</t>
  </si>
  <si>
    <t>Tmem35b</t>
  </si>
  <si>
    <t>transmembrane protein 35B [Source:MGI Symbol;Acc:MGI:3758095]</t>
  </si>
  <si>
    <t>Gm15922</t>
  </si>
  <si>
    <t>predicted gene 15922 [Source:MGI Symbol;Acc:MGI:3802148]</t>
  </si>
  <si>
    <t>2900052L18Rik</t>
  </si>
  <si>
    <t>RIKEN cDNA 2900052L18 gene [Source:MGI Symbol;Acc:MGI:1924085]</t>
  </si>
  <si>
    <t>Qrich1</t>
  </si>
  <si>
    <t>glutamine-rich 1 [Source:MGI Symbol;Acc:MGI:1916482]</t>
  </si>
  <si>
    <t>Gm19605</t>
  </si>
  <si>
    <t>predicted gene, 19605 [Source:MGI Symbol;Acc:MGI:5011790]</t>
  </si>
  <si>
    <t>Eme2</t>
  </si>
  <si>
    <t>essential meiotic structure-specific endonuclease subunit 2 [Source:MGI Symbol;Acc:MGI:1919889]</t>
  </si>
  <si>
    <t>Ypel1</t>
  </si>
  <si>
    <t>yippee like 1 [Source:MGI Symbol;Acc:MGI:1913303]</t>
  </si>
  <si>
    <t>Inppl1</t>
  </si>
  <si>
    <t>inositol polyphosphate phosphatase-like 1 [Source:MGI Symbol;Acc:MGI:1333787]</t>
  </si>
  <si>
    <t>Vps13a</t>
  </si>
  <si>
    <t>vacuolar protein sorting 13A [Source:MGI Symbol;Acc:MGI:2444304]</t>
  </si>
  <si>
    <t>Kin</t>
  </si>
  <si>
    <t>Kin17 DNA and RNA binding protein [Source:MGI Symbol;Acc:MGI:96676]</t>
  </si>
  <si>
    <t>Med26</t>
  </si>
  <si>
    <t>mediator complex subunit 26 [Source:MGI Symbol;Acc:MGI:1917875]</t>
  </si>
  <si>
    <t>Ggact</t>
  </si>
  <si>
    <t>gamma-glutamylamine cyclotransferase [Source:MGI Symbol;Acc:MGI:2385008]</t>
  </si>
  <si>
    <t>4833413G10Rik</t>
  </si>
  <si>
    <t>RIKEN cDNA 4833413G10 gene [Source:MGI Symbol;Acc:MGI:1921834]</t>
  </si>
  <si>
    <t>Dgcr6</t>
  </si>
  <si>
    <t>DiGeorge syndrome critical region gene 6 [Source:MGI Symbol;Acc:MGI:1202877]</t>
  </si>
  <si>
    <t>Ube2n</t>
  </si>
  <si>
    <t>ubiquitin-conjugating enzyme E2N [Source:MGI Symbol;Acc:MGI:1934835]</t>
  </si>
  <si>
    <t>Emc6</t>
  </si>
  <si>
    <t>ER membrane protein complex subunit 6 [Source:MGI Symbol;Acc:MGI:1913298]</t>
  </si>
  <si>
    <t>Slc7a7</t>
  </si>
  <si>
    <t>solute carrier family 7 (cationic amino acid transporter, y+ system), member 7 [Source:MGI Symbol;Acc:MGI:1337120]</t>
  </si>
  <si>
    <t>Atad1</t>
  </si>
  <si>
    <t>ATPase family, AAA domain containing 1 [Source:MGI Symbol;Acc:MGI:1915229]</t>
  </si>
  <si>
    <t>0610043K17Rik</t>
  </si>
  <si>
    <t>RIKEN cDNA 0610043K17 gene [Source:MGI Symbol;Acc:MGI:1915650]</t>
  </si>
  <si>
    <t>Slc7a5</t>
  </si>
  <si>
    <t>solute carrier family 7 (cationic amino acid transporter, y+ system), member 5 [Source:MGI Symbol;Acc:MGI:1298205]</t>
  </si>
  <si>
    <t>Cd99l2</t>
  </si>
  <si>
    <t>CD99 antigen-like 2 [Source:MGI Symbol;Acc:MGI:2177151]</t>
  </si>
  <si>
    <t>Trib1</t>
  </si>
  <si>
    <t>tribbles pseudokinase 1 [Source:MGI Symbol;Acc:MGI:2443397]</t>
  </si>
  <si>
    <t>Use1</t>
  </si>
  <si>
    <t>unconventional SNARE in the ER 1 homolog (S. cerevisiae) [Source:MGI Symbol;Acc:MGI:1914273]</t>
  </si>
  <si>
    <t>Sec22a</t>
  </si>
  <si>
    <t>SEC22 homolog A, vesicle trafficking protein [Source:MGI Symbol;Acc:MGI:2447876]</t>
  </si>
  <si>
    <t>D130040H23Rik</t>
  </si>
  <si>
    <t>RIKEN cDNA D130040H23 gene [Source:MGI Symbol;Acc:MGI:2444324]</t>
  </si>
  <si>
    <t>Gm38062</t>
  </si>
  <si>
    <t>predicted gene, 38062 [Source:MGI Symbol;Acc:MGI:5611290]</t>
  </si>
  <si>
    <t>Nmrk1</t>
  </si>
  <si>
    <t>nicotinamide riboside kinase 1 [Source:MGI Symbol;Acc:MGI:2147434]</t>
  </si>
  <si>
    <t>H3c8</t>
  </si>
  <si>
    <t>H3 clustered histone 8 [Source:MGI Symbol;Acc:MGI:2145541]</t>
  </si>
  <si>
    <t>Gm45928</t>
  </si>
  <si>
    <t>predicted gene, 45928 [Source:MGI Symbol;Acc:MGI:5825565]</t>
  </si>
  <si>
    <t>Cdc42se2</t>
  </si>
  <si>
    <t>CDC42 small effector 2 [Source:MGI Symbol;Acc:MGI:1919979]</t>
  </si>
  <si>
    <t>Ppp1r12c</t>
  </si>
  <si>
    <t>protein phosphatase 1, regulatory subunit 12C [Source:MGI Symbol;Acc:MGI:1924258]</t>
  </si>
  <si>
    <t>Crlf2</t>
  </si>
  <si>
    <t>cytokine receptor-like factor 2 [Source:MGI Symbol;Acc:MGI:1889506]</t>
  </si>
  <si>
    <t>Ccs</t>
  </si>
  <si>
    <t>copper chaperone for superoxide dismutase [Source:MGI Symbol;Acc:MGI:1333783]</t>
  </si>
  <si>
    <t>1700001G11Rik</t>
  </si>
  <si>
    <t>RIKEN cDNA 1700001G11 gene [Source:MGI Symbol;Acc:MGI:1916553]</t>
  </si>
  <si>
    <t>Gm16973</t>
  </si>
  <si>
    <t>predicted gene, 16973 [Source:MGI Symbol;Acc:MGI:4439897]</t>
  </si>
  <si>
    <t>Pced1b</t>
  </si>
  <si>
    <t>PC-esterase domain containing 1B [Source:MGI Symbol;Acc:MGI:2446270]</t>
  </si>
  <si>
    <t>Rasgrp4</t>
  </si>
  <si>
    <t>RAS guanyl releasing protein 4 [Source:MGI Symbol;Acc:MGI:2386851]</t>
  </si>
  <si>
    <t>Rab11fip2</t>
  </si>
  <si>
    <t>RAB11 family interacting protein 2 (class I) [Source:MGI Symbol;Acc:MGI:1922248]</t>
  </si>
  <si>
    <t>Meox1</t>
  </si>
  <si>
    <t>mesenchyme homeobox 1 [Source:MGI Symbol;Acc:MGI:103220]</t>
  </si>
  <si>
    <t>Gm22442</t>
  </si>
  <si>
    <t>predicted gene, 22442 [Source:MGI Symbol;Acc:MGI:5452219]</t>
  </si>
  <si>
    <t>scaRNA</t>
  </si>
  <si>
    <t>Pgghg</t>
  </si>
  <si>
    <t>protein glucosylgalactosylhydroxylysine glucosidase [Source:MGI Symbol;Acc:MGI:2444047]</t>
  </si>
  <si>
    <t>Ttc27</t>
  </si>
  <si>
    <t>tetratricopeptide repeat domain 27 [Source:MGI Symbol;Acc:MGI:1921446]</t>
  </si>
  <si>
    <t>Eef1aknmt</t>
  </si>
  <si>
    <t>EEF1A lysine and N-terminal methyltransferase [Source:MGI Symbol;Acc:MGI:1918699]</t>
  </si>
  <si>
    <t>Pdpk1</t>
  </si>
  <si>
    <t>3-phosphoinositide dependent protein kinase 1 [Source:MGI Symbol;Acc:MGI:1338068]</t>
  </si>
  <si>
    <t>Pcdhgc3</t>
  </si>
  <si>
    <t>protocadherin gamma subfamily C, 3 [Source:MGI Symbol;Acc:MGI:1935201]</t>
  </si>
  <si>
    <t>Gm17802</t>
  </si>
  <si>
    <t>predicted gene, 17802 [Source:MGI Symbol;Acc:MGI:5009988]</t>
  </si>
  <si>
    <t>Mrpl45</t>
  </si>
  <si>
    <t>mitochondrial ribosomal protein L45 [Source:MGI Symbol;Acc:MGI:1914286]</t>
  </si>
  <si>
    <t>1700001K23Rik</t>
  </si>
  <si>
    <t>RIKEN cDNA 1700001K23 gene [Source:MGI Symbol;Acc:MGI:1916569]</t>
  </si>
  <si>
    <t>Txnrd2</t>
  </si>
  <si>
    <t>thioredoxin reductase 2 [Source:MGI Symbol;Acc:MGI:1347023]</t>
  </si>
  <si>
    <t>Wnk2</t>
  </si>
  <si>
    <t>WNK lysine deficient protein kinase 2 [Source:MGI Symbol;Acc:MGI:1922857]</t>
  </si>
  <si>
    <t>2210016L21Rik</t>
  </si>
  <si>
    <t>RIKEN cDNA 2210016L21 gene [Source:MGI Symbol;Acc:MGI:1919607]</t>
  </si>
  <si>
    <t>Phtf1os</t>
  </si>
  <si>
    <t>putative homeodomain transcription factor 1, opposite strand [Source:MGI Symbol;Acc:MGI:3698050]</t>
  </si>
  <si>
    <t>Hs6st1</t>
  </si>
  <si>
    <t>heparan sulfate 6-O-sulfotransferase 1 [Source:MGI Symbol;Acc:MGI:1354958]</t>
  </si>
  <si>
    <t>Pus7l</t>
  </si>
  <si>
    <t>pseudouridylate synthase 7-like [Source:MGI Symbol;Acc:MGI:1926145]</t>
  </si>
  <si>
    <t>Gm45133</t>
  </si>
  <si>
    <t>predicted gene 45133 [Source:MGI Symbol;Acc:MGI:5753709]</t>
  </si>
  <si>
    <t>Dnlz</t>
  </si>
  <si>
    <t>DNL-type zinc finger [Source:MGI Symbol;Acc:MGI:106559]</t>
  </si>
  <si>
    <t>Cercam</t>
  </si>
  <si>
    <t>cerebral endothelial cell adhesion molecule [Source:MGI Symbol;Acc:MGI:2139134]</t>
  </si>
  <si>
    <t>Rps7</t>
  </si>
  <si>
    <t>ribosomal protein S7 [Source:MGI Symbol;Acc:MGI:1333818]</t>
  </si>
  <si>
    <t>Gdi2</t>
  </si>
  <si>
    <t>guanosine diphosphate (GDP) dissociation inhibitor 2 [Source:MGI Symbol;Acc:MGI:99845]</t>
  </si>
  <si>
    <t>Prrc2b</t>
  </si>
  <si>
    <t>proline-rich coiled-coil 2B [Source:MGI Symbol;Acc:MGI:1923304]</t>
  </si>
  <si>
    <t>Gm41361</t>
  </si>
  <si>
    <t>predicted gene, 41361 [Source:MGI Symbol;Acc:MGI:5624246]</t>
  </si>
  <si>
    <t>Slc10a6</t>
  </si>
  <si>
    <t>solute carrier family 10 (sodium/bile acid cotransporter family), member 6 [Source:MGI Symbol;Acc:MGI:1923000]</t>
  </si>
  <si>
    <t>Adam15</t>
  </si>
  <si>
    <t>a disintegrin and metallopeptidase domain 15 (metargidin) [Source:MGI Symbol;Acc:MGI:1333882]</t>
  </si>
  <si>
    <t>Dyrk1a</t>
  </si>
  <si>
    <t>dual-specificity tyrosine-(Y)-phosphorylation regulated kinase 1a [Source:MGI Symbol;Acc:MGI:1330299]</t>
  </si>
  <si>
    <t>Gm12589</t>
  </si>
  <si>
    <t>predicted gene 12589 [Source:MGI Symbol;Acc:MGI:3650371]</t>
  </si>
  <si>
    <t>Arl9</t>
  </si>
  <si>
    <t>ADP-ribosylation factor-like 9 [Source:MGI Symbol;Acc:MGI:1915496]</t>
  </si>
  <si>
    <t>Tm9sf2</t>
  </si>
  <si>
    <t>transmembrane 9 superfamily member 2 [Source:MGI Symbol;Acc:MGI:1915309]</t>
  </si>
  <si>
    <t>Gm13496</t>
  </si>
  <si>
    <t>predicted gene 13496 [Source:MGI Symbol;Acc:MGI:3651033]</t>
  </si>
  <si>
    <t>AC099860.1</t>
  </si>
  <si>
    <t>proline rich protein BstNI subfamily 4 (PRB4), pseudogene</t>
  </si>
  <si>
    <t>Creld1</t>
  </si>
  <si>
    <t>cysteine-rich with EGF-like domains 1 [Source:MGI Symbol;Acc:MGI:2152539]</t>
  </si>
  <si>
    <t>Slc25a1</t>
  </si>
  <si>
    <t>solute carrier family 25 (mitochondrial carrier, citrate transporter), member 1 [Source:MGI Symbol;Acc:MGI:1345283]</t>
  </si>
  <si>
    <t>Krt23</t>
  </si>
  <si>
    <t>keratin 23 [Source:MGI Symbol;Acc:MGI:2148866]</t>
  </si>
  <si>
    <t>Cstad</t>
  </si>
  <si>
    <t>CSA-conditional, T cell activation-dependent protein [Source:MGI Symbol;Acc:MGI:1925867]</t>
  </si>
  <si>
    <t>Cnot3</t>
  </si>
  <si>
    <t>CCR4-NOT transcription complex, subunit 3 [Source:MGI Symbol;Acc:MGI:2385261]</t>
  </si>
  <si>
    <t>Gm22620</t>
  </si>
  <si>
    <t>predicted gene, 22620 [Source:MGI Symbol;Acc:MGI:5452397]</t>
  </si>
  <si>
    <t>Cystm1</t>
  </si>
  <si>
    <t>cysteine-rich transmembrane module containing 1 [Source:MGI Symbol;Acc:MGI:1913310]</t>
  </si>
  <si>
    <t>Med9os</t>
  </si>
  <si>
    <t>mediator complex subunit 9, opposite strand [Source:MGI Symbol;Acc:MGI:1916628]</t>
  </si>
  <si>
    <t>Man1a</t>
  </si>
  <si>
    <t>mannosidase 1, alpha [Source:MGI Symbol;Acc:MGI:104677]</t>
  </si>
  <si>
    <t>Gm13456</t>
  </si>
  <si>
    <t>predicted gene 13456 [Source:MGI Symbol;Acc:MGI:3651389]</t>
  </si>
  <si>
    <t>BC065397</t>
  </si>
  <si>
    <t>cDNA sequence BC065397 [Source:MGI Symbol;Acc:MGI:3584520]</t>
  </si>
  <si>
    <t>Sbk2</t>
  </si>
  <si>
    <t>SH3-binding domain kinase family, member 2 [Source:MGI Symbol;Acc:MGI:2685925]</t>
  </si>
  <si>
    <t>Vrk2</t>
  </si>
  <si>
    <t>vaccinia related kinase 2 [Source:MGI Symbol;Acc:MGI:1917172]</t>
  </si>
  <si>
    <t>Ruvbl2</t>
  </si>
  <si>
    <t>RuvB-like protein 2 [Source:MGI Symbol;Acc:MGI:1342299]</t>
  </si>
  <si>
    <t>Nup214</t>
  </si>
  <si>
    <t>nucleoporin 214 [Source:MGI Symbol;Acc:MGI:1095411]</t>
  </si>
  <si>
    <t>Gm38386</t>
  </si>
  <si>
    <t>predicted gene, 38386 [Source:MGI Symbol;Acc:MGI:5611614]</t>
  </si>
  <si>
    <t>Zfp758</t>
  </si>
  <si>
    <t>zinc finger protein 758 [Source:MGI Symbol;Acc:MGI:2385044]</t>
  </si>
  <si>
    <t>Zfp72</t>
  </si>
  <si>
    <t>zinc finger protein 72 [Source:MGI Symbol;Acc:MGI:3033356]</t>
  </si>
  <si>
    <t>Gm49883</t>
  </si>
  <si>
    <t>predicted gene, 49883 [Source:MGI Symbol;Acc:MGI:6270565]</t>
  </si>
  <si>
    <t>Arid5b</t>
  </si>
  <si>
    <t>AT rich interactive domain 5B (MRF1-like) [Source:MGI Symbol;Acc:MGI:2175912]</t>
  </si>
  <si>
    <t>Wipf3</t>
  </si>
  <si>
    <t>WAS/WASL interacting protein family, member 3 [Source:MGI Symbol;Acc:MGI:3044681]</t>
  </si>
  <si>
    <t>Rasgrp1</t>
  </si>
  <si>
    <t>RAS guanyl releasing protein 1 [Source:MGI Symbol;Acc:MGI:1314635]</t>
  </si>
  <si>
    <t>Pxt1</t>
  </si>
  <si>
    <t>peroxisomal, testis specific 1 [Source:MGI Symbol;Acc:MGI:1916557]</t>
  </si>
  <si>
    <t>Mrps6</t>
  </si>
  <si>
    <t>mitochondrial ribosomal protein S6 [Source:MGI Symbol;Acc:MGI:2153111]</t>
  </si>
  <si>
    <t>Map3k20</t>
  </si>
  <si>
    <t>mitogen-activated protein kinase kinase kinase 20 [Source:MGI Symbol;Acc:MGI:2443258]</t>
  </si>
  <si>
    <t>Hdac3</t>
  </si>
  <si>
    <t>histone deacetylase 3 [Source:MGI Symbol;Acc:MGI:1343091]</t>
  </si>
  <si>
    <t>Lama3</t>
  </si>
  <si>
    <t>laminin, alpha 3 [Source:MGI Symbol;Acc:MGI:99909]</t>
  </si>
  <si>
    <t>Dhdds</t>
  </si>
  <si>
    <t>dehydrodolichyl diphosphate synthase [Source:MGI Symbol;Acc:MGI:1914672]</t>
  </si>
  <si>
    <t>Gm11944</t>
  </si>
  <si>
    <t>predicted gene 11944 [Source:MGI Symbol;Acc:MGI:3702312]</t>
  </si>
  <si>
    <t>Ceacam18</t>
  </si>
  <si>
    <t>carcinoembryonic antigen-related cell adhesion molecule 18 [Source:MGI Symbol;Acc:MGI:1919681]</t>
  </si>
  <si>
    <t>Usp9x</t>
  </si>
  <si>
    <t>ubiquitin specific peptidase 9, X chromosome [Source:MGI Symbol;Acc:MGI:894681]</t>
  </si>
  <si>
    <t>Dlat</t>
  </si>
  <si>
    <t>dihydrolipoamide S-acetyltransferase (E2 component of pyruvate dehydrogenase complex) [Source:MGI Symbol;Acc:MGI:2385311]</t>
  </si>
  <si>
    <t>Wbp4</t>
  </si>
  <si>
    <t>WW domain binding protein 4 [Source:MGI Symbol;Acc:MGI:109568]</t>
  </si>
  <si>
    <t>Gm8276</t>
  </si>
  <si>
    <t>predicted gene 8276 [Source:MGI Symbol;Acc:MGI:3648019]</t>
  </si>
  <si>
    <t>Gm10782</t>
  </si>
  <si>
    <t>predicted gene 10782 [Source:MGI Symbol;Acc:MGI:3642506]</t>
  </si>
  <si>
    <t>Il17d</t>
  </si>
  <si>
    <t>interleukin 17D [Source:MGI Symbol;Acc:MGI:2446510]</t>
  </si>
  <si>
    <t>Trim2</t>
  </si>
  <si>
    <t>tripartite motif-containing 2 [Source:MGI Symbol;Acc:MGI:1933163]</t>
  </si>
  <si>
    <t>Npc1</t>
  </si>
  <si>
    <t>NPC intracellular cholesterol transporter 1 [Source:MGI Symbol;Acc:MGI:1097712]</t>
  </si>
  <si>
    <t>Bet1</t>
  </si>
  <si>
    <t>Bet1 golgi vesicular membrane trafficking protein [Source:MGI Symbol;Acc:MGI:1343104]</t>
  </si>
  <si>
    <t>Alkbh7</t>
  </si>
  <si>
    <t>alkB homolog 7 [Source:MGI Symbol;Acc:MGI:1913650]</t>
  </si>
  <si>
    <t>Mfsd9</t>
  </si>
  <si>
    <t>major facilitator superfamily domain containing 9 [Source:MGI Symbol;Acc:MGI:2443548]</t>
  </si>
  <si>
    <t>Rpl26</t>
  </si>
  <si>
    <t>ribosomal protein L26 [Source:MGI Symbol;Acc:MGI:106022]</t>
  </si>
  <si>
    <t>Nhsl2</t>
  </si>
  <si>
    <t>NHS-like 2 [Source:MGI Symbol;Acc:MGI:3645090]</t>
  </si>
  <si>
    <t>A430108G06Rik</t>
  </si>
  <si>
    <t>RIKEN cDNA A430108G06 gene [Source:MGI Symbol;Acc:MGI:2442478]</t>
  </si>
  <si>
    <t>Map3k10</t>
  </si>
  <si>
    <t>mitogen-activated protein kinase kinase kinase 10 [Source:MGI Symbol;Acc:MGI:1346879]</t>
  </si>
  <si>
    <t>Cep295nl</t>
  </si>
  <si>
    <t>CEP295 N-terminal like [Source:MGI Symbol;Acc:MGI:1929713]</t>
  </si>
  <si>
    <t>Slc25a35</t>
  </si>
  <si>
    <t>solute carrier family 25, member 35 [Source:MGI Symbol;Acc:MGI:1919248]</t>
  </si>
  <si>
    <t>Gm43652</t>
  </si>
  <si>
    <t>predicted gene 43652 [Source:MGI Symbol;Acc:MGI:5663789]</t>
  </si>
  <si>
    <t>Yae1d1</t>
  </si>
  <si>
    <t>Yae1 domain containing 1 [Source:MGI Symbol;Acc:MGI:1914258]</t>
  </si>
  <si>
    <t>Gm15628</t>
  </si>
  <si>
    <t>predicted gene 15628 [Source:MGI Symbol;Acc:MGI:3783072]</t>
  </si>
  <si>
    <t>Ogfod3</t>
  </si>
  <si>
    <t>2-oxoglutarate and iron-dependent oxygenase domain containing 3 [Source:MGI Symbol;Acc:MGI:1913429]</t>
  </si>
  <si>
    <t>Gm17971</t>
  </si>
  <si>
    <t>predicted gene, 17971 [Source:MGI Symbol;Acc:MGI:5010156]</t>
  </si>
  <si>
    <t>Acy3</t>
  </si>
  <si>
    <t>aspartoacylase (aminoacylase) 3 [Source:MGI Symbol;Acc:MGI:1918920]</t>
  </si>
  <si>
    <t>Cbarp</t>
  </si>
  <si>
    <t>calcium channel, voltage-dependent, beta subunit associated regulatory protein [Source:MGI Symbol;Acc:MGI:1354170]</t>
  </si>
  <si>
    <t>Gm17928</t>
  </si>
  <si>
    <t>predicted gene, 17928 [Source:MGI Symbol;Acc:MGI:5010113]</t>
  </si>
  <si>
    <t>Akt2</t>
  </si>
  <si>
    <t>thymoma viral proto-oncogene 2 [Source:MGI Symbol;Acc:MGI:104874]</t>
  </si>
  <si>
    <t>Polr1c</t>
  </si>
  <si>
    <t>polymerase (RNA) I polypeptide C [Source:MGI Symbol;Acc:MGI:103288]</t>
  </si>
  <si>
    <t>Ccdc88c</t>
  </si>
  <si>
    <t>coiled-coil domain containing 88C [Source:MGI Symbol;Acc:MGI:1915589]</t>
  </si>
  <si>
    <t>Brwd3</t>
  </si>
  <si>
    <t>bromodomain and WD repeat domain containing 3 [Source:MGI Symbol;Acc:MGI:3029414]</t>
  </si>
  <si>
    <t>Klhdc1</t>
  </si>
  <si>
    <t>kelch domain containing 1 [Source:MGI Symbol;Acc:MGI:2672853]</t>
  </si>
  <si>
    <t>Sh2d5</t>
  </si>
  <si>
    <t>SH2 domain containing 5 [Source:MGI Symbol;Acc:MGI:2446215]</t>
  </si>
  <si>
    <t>Sh3bgrl</t>
  </si>
  <si>
    <t>SH3-binding domain glutamic acid-rich protein like [Source:MGI Symbol;Acc:MGI:1930849]</t>
  </si>
  <si>
    <t>Cox7a1</t>
  </si>
  <si>
    <t>cytochrome c oxidase subunit 7A1 [Source:MGI Symbol;Acc:MGI:1316714]</t>
  </si>
  <si>
    <t>Cela1</t>
  </si>
  <si>
    <t>chymotrypsin-like elastase family, member 1 [Source:MGI Symbol;Acc:MGI:95314]</t>
  </si>
  <si>
    <t>Hps4</t>
  </si>
  <si>
    <t>HPS4, biogenesis of lysosomal organelles complex 3 subunit 2 [Source:MGI Symbol;Acc:MGI:2177742]</t>
  </si>
  <si>
    <t>Stxbp2</t>
  </si>
  <si>
    <t>syntaxin binding protein 2 [Source:MGI Symbol;Acc:MGI:107370]</t>
  </si>
  <si>
    <t>Rplp1</t>
  </si>
  <si>
    <t>ribosomal protein, large, P1 [Source:MGI Symbol;Acc:MGI:1927099]</t>
  </si>
  <si>
    <t>Ppp5c</t>
  </si>
  <si>
    <t>protein phosphatase 5, catalytic subunit [Source:MGI Symbol;Acc:MGI:102666]</t>
  </si>
  <si>
    <t>Sub1</t>
  </si>
  <si>
    <t>SUB1 homolog, transcriptional regulator [Source:MGI Symbol;Acc:MGI:104811]</t>
  </si>
  <si>
    <t>Ighmbp2</t>
  </si>
  <si>
    <t>immunoglobulin mu binding protein 2 [Source:MGI Symbol;Acc:MGI:99954]</t>
  </si>
  <si>
    <t>Atad3aos</t>
  </si>
  <si>
    <t>ATPase family, AAA domain containing 3A, opposite strand [Source:MGI Symbol;Acc:MGI:1917698]</t>
  </si>
  <si>
    <t>Art3</t>
  </si>
  <si>
    <t>ADP-ribosyltransferase 3 [Source:MGI Symbol;Acc:MGI:1202729]</t>
  </si>
  <si>
    <t>Gm11772</t>
  </si>
  <si>
    <t>predicted gene 11772 [Source:MGI Symbol;Acc:MGI:3649468]</t>
  </si>
  <si>
    <t>Wdr24</t>
  </si>
  <si>
    <t>WD repeat domain 24 [Source:MGI Symbol;Acc:MGI:2446285]</t>
  </si>
  <si>
    <t>Gm15406</t>
  </si>
  <si>
    <t>predicted gene 15406 [Source:MGI Symbol;Acc:MGI:3705112]</t>
  </si>
  <si>
    <t>Strada</t>
  </si>
  <si>
    <t>STE20-related kinase adaptor alpha [Source:MGI Symbol;Acc:MGI:1919399]</t>
  </si>
  <si>
    <t>Tyw1</t>
  </si>
  <si>
    <t>tRNA-yW synthesizing protein 1 homolog (S. cerevisiae) [Source:MGI Symbol;Acc:MGI:2141161]</t>
  </si>
  <si>
    <t>Plekhh3</t>
  </si>
  <si>
    <t>pleckstrin homology domain containing, family H (with MyTH4 domain) member 3 [Source:MGI Symbol;Acc:MGI:2384950]</t>
  </si>
  <si>
    <t>Gsk3a</t>
  </si>
  <si>
    <t>glycogen synthase kinase 3 alpha [Source:MGI Symbol;Acc:MGI:2152453]</t>
  </si>
  <si>
    <t>Rnf215</t>
  </si>
  <si>
    <t>ring finger protein 215 [Source:MGI Symbol;Acc:MGI:1918923]</t>
  </si>
  <si>
    <t>Esrra</t>
  </si>
  <si>
    <t>estrogen related receptor, alpha [Source:MGI Symbol;Acc:MGI:1346831]</t>
  </si>
  <si>
    <t>Gm45833</t>
  </si>
  <si>
    <t>predicted gene 45833 [Source:MGI Symbol;Acc:MGI:5804948]</t>
  </si>
  <si>
    <t>Pbk</t>
  </si>
  <si>
    <t>PDZ binding kinase [Source:MGI Symbol;Acc:MGI:1289156]</t>
  </si>
  <si>
    <t>Lypd6b</t>
  </si>
  <si>
    <t>LY6/PLAUR domain containing 6B [Source:MGI Symbol;Acc:MGI:1919147]</t>
  </si>
  <si>
    <t>Vkorc1</t>
  </si>
  <si>
    <t>vitamin K epoxide reductase complex, subunit 1 [Source:MGI Symbol;Acc:MGI:106442]</t>
  </si>
  <si>
    <t>Tspan5</t>
  </si>
  <si>
    <t>tetraspanin 5 [Source:MGI Symbol;Acc:MGI:1928096]</t>
  </si>
  <si>
    <t>Rhoh</t>
  </si>
  <si>
    <t>ras homolog family member H [Source:MGI Symbol;Acc:MGI:1921984]</t>
  </si>
  <si>
    <t>Gmcl1</t>
  </si>
  <si>
    <t>germ cell-less, spermatogenesis associated 1 [Source:MGI Symbol;Acc:MGI:1345156]</t>
  </si>
  <si>
    <t>Mir692-1</t>
  </si>
  <si>
    <t>microRNA 692-1 [Source:MGI Symbol;Acc:MGI:3629930]</t>
  </si>
  <si>
    <t>Gkap1</t>
  </si>
  <si>
    <t>G kinase anchoring protein 1 [Source:MGI Symbol;Acc:MGI:1891694]</t>
  </si>
  <si>
    <t>Gm17494</t>
  </si>
  <si>
    <t>predicted gene, 17494 [Source:MGI Symbol;Acc:MGI:4937128]</t>
  </si>
  <si>
    <t>Tsr3</t>
  </si>
  <si>
    <t>TSR3 20S rRNA accumulation [Source:MGI Symbol;Acc:MGI:1915577]</t>
  </si>
  <si>
    <t>Dhrs4</t>
  </si>
  <si>
    <t>dehydrogenase/reductase (SDR family) member 4 [Source:MGI Symbol;Acc:MGI:90169]</t>
  </si>
  <si>
    <t>Mex3c</t>
  </si>
  <si>
    <t>mex3 RNA binding family member C [Source:MGI Symbol;Acc:MGI:2652843]</t>
  </si>
  <si>
    <t>Palld</t>
  </si>
  <si>
    <t>palladin, cytoskeletal associated protein [Source:MGI Symbol;Acc:MGI:1919583]</t>
  </si>
  <si>
    <t>Rsrc2</t>
  </si>
  <si>
    <t>arginine/serine-rich coiled-coil 2 [Source:MGI Symbol;Acc:MGI:1913489]</t>
  </si>
  <si>
    <t>Gm50387</t>
  </si>
  <si>
    <t>predicted gene, 50387 [Source:MGI Symbol;Acc:MGI:6303289]</t>
  </si>
  <si>
    <t>A930004D18Rik</t>
  </si>
  <si>
    <t>RIKEN cDNA A930004D18 gene [Source:MGI Symbol;Acc:MGI:1925190]</t>
  </si>
  <si>
    <t>Rpsa</t>
  </si>
  <si>
    <t>ribosomal protein SA [Source:MGI Symbol;Acc:MGI:105381]</t>
  </si>
  <si>
    <t>Csrp1</t>
  </si>
  <si>
    <t>cysteine and glycine-rich protein 1 [Source:MGI Symbol;Acc:MGI:88549]</t>
  </si>
  <si>
    <t>S100a4</t>
  </si>
  <si>
    <t>S100 calcium binding protein A4 [Source:MGI Symbol;Acc:MGI:1330282]</t>
  </si>
  <si>
    <t>Cntf</t>
  </si>
  <si>
    <t>ciliary neurotrophic factor [Source:MGI Symbol;Acc:MGI:88439]</t>
  </si>
  <si>
    <t>Klhl11</t>
  </si>
  <si>
    <t>kelch-like 11 [Source:MGI Symbol;Acc:MGI:2388648]</t>
  </si>
  <si>
    <t>Zkscan3</t>
  </si>
  <si>
    <t>zinc finger with KRAB and SCAN domains 3 [Source:MGI Symbol;Acc:MGI:1919989]</t>
  </si>
  <si>
    <t>Gm37893</t>
  </si>
  <si>
    <t>predicted gene, 37893 [Source:MGI Symbol;Acc:MGI:5611121]</t>
  </si>
  <si>
    <t>Wee2</t>
  </si>
  <si>
    <t>WEE1 homolog 2 (S. pombe) [Source:MGI Symbol;Acc:MGI:3027899]</t>
  </si>
  <si>
    <t>BC024978</t>
  </si>
  <si>
    <t>cDNA sequence BC024978 [Source:MGI Symbol;Acc:MGI:3041247]</t>
  </si>
  <si>
    <t>Nudt16</t>
  </si>
  <si>
    <t>nudix (nucleoside diphosphate linked moiety X)-type motif 16 [Source:MGI Symbol;Acc:MGI:1922936]</t>
  </si>
  <si>
    <t>Pde3b</t>
  </si>
  <si>
    <t>phosphodiesterase 3B, cGMP-inhibited [Source:MGI Symbol;Acc:MGI:1333863]</t>
  </si>
  <si>
    <t>Tstd1</t>
  </si>
  <si>
    <t>thiosulfate sulfurtransferase (rhodanese)-like domain containing 1 [Source:MGI Symbol;Acc:MGI:3648482]</t>
  </si>
  <si>
    <t>Cep70</t>
  </si>
  <si>
    <t>centrosomal protein 70 [Source:MGI Symbol;Acc:MGI:1915371]</t>
  </si>
  <si>
    <t>Gm20716</t>
  </si>
  <si>
    <t>predicted gene 20716 [Source:MGI Symbol;Acc:MGI:5313163]</t>
  </si>
  <si>
    <t>Zfp212</t>
  </si>
  <si>
    <t>Zinc finger protein 212 [Source:MGI Symbol;Acc:MGI:2682609]</t>
  </si>
  <si>
    <t>Gm10327</t>
  </si>
  <si>
    <t>predicted pseudogene 10327 [Source:MGI Symbol;Acc:MGI:3704356]</t>
  </si>
  <si>
    <t>Rom1</t>
  </si>
  <si>
    <t>rod outer segment membrane protein 1 [Source:MGI Symbol;Acc:MGI:97998]</t>
  </si>
  <si>
    <t>Ythdc2</t>
  </si>
  <si>
    <t>YTH domain containing 2 [Source:MGI Symbol;Acc:MGI:2448561]</t>
  </si>
  <si>
    <t>Zfp128</t>
  </si>
  <si>
    <t>zinc finger protein 128 [Source:MGI Symbol;Acc:MGI:2389445]</t>
  </si>
  <si>
    <t>Tmem135</t>
  </si>
  <si>
    <t>transmembrane protein 135 [Source:MGI Symbol;Acc:MGI:1920009]</t>
  </si>
  <si>
    <t>4933437G19Rik</t>
  </si>
  <si>
    <t>RIKEN cDNA 4933437G19 gene [Source:MGI Symbol;Acc:MGI:1918553]</t>
  </si>
  <si>
    <t>Zfp383</t>
  </si>
  <si>
    <t>zinc finger protein 383 [Source:MGI Symbol;Acc:MGI:1920979]</t>
  </si>
  <si>
    <t>Snord47</t>
  </si>
  <si>
    <t>small nucleolar RNA, C/D box 47 [Source:MGI Symbol;Acc:MGI:3819537]</t>
  </si>
  <si>
    <t>Gm47553</t>
  </si>
  <si>
    <t>predicted gene, 47553 [Source:MGI Symbol;Acc:MGI:6096573]</t>
  </si>
  <si>
    <t>Aktip</t>
  </si>
  <si>
    <t>thymoma viral proto-oncogene 1 interacting protein [Source:MGI Symbol;Acc:MGI:3693832]</t>
  </si>
  <si>
    <t>Cacng6</t>
  </si>
  <si>
    <t>calcium channel, voltage-dependent, gamma subunit 6 [Source:MGI Symbol;Acc:MGI:1859168]</t>
  </si>
  <si>
    <t>Lyrm9</t>
  </si>
  <si>
    <t>LYR motif containing 9 [Source:MGI Symbol;Acc:MGI:1913524]</t>
  </si>
  <si>
    <t>5430405H02Rik</t>
  </si>
  <si>
    <t>RIKEN cDNA 5430405H02 gene [Source:MGI Symbol;Acc:MGI:1921737]</t>
  </si>
  <si>
    <t>4930453N24Rik</t>
  </si>
  <si>
    <t>RIKEN cDNA 4930453N24 gene [Source:MGI Symbol;Acc:MGI:1914859]</t>
  </si>
  <si>
    <t>4833417C18Rik</t>
  </si>
  <si>
    <t>RIKEN cDNA 4833417C18 gene [Source:MGI Symbol;Acc:MGI:1921156]</t>
  </si>
  <si>
    <t>Mcoln3</t>
  </si>
  <si>
    <t>mucolipin 3 [Source:MGI Symbol;Acc:MGI:1890500]</t>
  </si>
  <si>
    <t>BC048644</t>
  </si>
  <si>
    <t>cDNA sequence BC048644 [Source:MGI Symbol;Acc:MGI:3039566]</t>
  </si>
  <si>
    <t>2610005L07Rik</t>
  </si>
  <si>
    <t>RIKEN cDNA 2610005L07 gene [Source:MGI Symbol;Acc:MGI:1914283]</t>
  </si>
  <si>
    <t>Abt1</t>
  </si>
  <si>
    <t>activator of basal transcription 1 [Source:MGI Symbol;Acc:MGI:1353636]</t>
  </si>
  <si>
    <t>Dnajc3</t>
  </si>
  <si>
    <t>DnaJ heat shock protein family (Hsp40) member C3 [Source:MGI Symbol;Acc:MGI:107373]</t>
  </si>
  <si>
    <t>Gm10832</t>
  </si>
  <si>
    <t>predicted gene 10832 [Source:MGI Symbol;Acc:MGI:3642210]</t>
  </si>
  <si>
    <t>Nepro</t>
  </si>
  <si>
    <t>nucleolus and neural progenitor protein [Source:MGI Symbol;Acc:MGI:2384836]</t>
  </si>
  <si>
    <t>Bub3</t>
  </si>
  <si>
    <t>BUB3 mitotic checkpoint protein [Source:MGI Symbol;Acc:MGI:1343463]</t>
  </si>
  <si>
    <t>Senp3</t>
  </si>
  <si>
    <t>SUMO/sentrin specific peptidase 3 [Source:MGI Symbol;Acc:MGI:2158736]</t>
  </si>
  <si>
    <t>Gm11221</t>
  </si>
  <si>
    <t>predicted gene 11221 [Source:MGI Symbol;Acc:MGI:3651633]</t>
  </si>
  <si>
    <t>Mrps36</t>
  </si>
  <si>
    <t>mitochondrial ribosomal protein S36 [Source:MGI Symbol;Acc:MGI:1913378]</t>
  </si>
  <si>
    <t>Itpa</t>
  </si>
  <si>
    <t>inosine triphosphatase (nucleoside triphosphate pyrophosphatase) [Source:MGI Symbol;Acc:MGI:96622]</t>
  </si>
  <si>
    <t>Mfsd14a</t>
  </si>
  <si>
    <t>major facilitator superfamily domain containing 14A [Source:MGI Symbol;Acc:MGI:1201609]</t>
  </si>
  <si>
    <t>Cks2</t>
  </si>
  <si>
    <t>CDC28 protein kinase regulatory subunit 2 [Source:MGI Symbol;Acc:MGI:1913447]</t>
  </si>
  <si>
    <t>A230072E10Rik</t>
  </si>
  <si>
    <t>RIKEN cDNA A230072E10 gene [Source:MGI Symbol;Acc:MGI:3603753]</t>
  </si>
  <si>
    <t>Dzip1</t>
  </si>
  <si>
    <t>DAZ interacting protein 1 [Source:MGI Symbol;Acc:MGI:1914311]</t>
  </si>
  <si>
    <t>Gm15445</t>
  </si>
  <si>
    <t>predicted gene 15445 [Source:MGI Symbol;Acc:MGI:3707341]</t>
  </si>
  <si>
    <t>Gm42417</t>
  </si>
  <si>
    <t>predicted gene, 42417 [Source:MGI Symbol;Acc:MGI:5649003]</t>
  </si>
  <si>
    <t>Gm29394</t>
  </si>
  <si>
    <t>predicted gene 29394 [Source:MGI Symbol;Acc:MGI:5580100]</t>
  </si>
  <si>
    <t>A630072M18Rik</t>
  </si>
  <si>
    <t>RIKEN cDNA A630072M18 gene [Source:MGI Symbol;Acc:MGI:2444702]</t>
  </si>
  <si>
    <t>Tbcb</t>
  </si>
  <si>
    <t>tubulin folding cofactor B [Source:MGI Symbol;Acc:MGI:1913661]</t>
  </si>
  <si>
    <t>Zfp866</t>
  </si>
  <si>
    <t>zinc finger protein 866 [Source:MGI Symbol;Acc:MGI:3584369]</t>
  </si>
  <si>
    <t>Snx22</t>
  </si>
  <si>
    <t>sorting nexin 22 [Source:MGI Symbol;Acc:MGI:2685966]</t>
  </si>
  <si>
    <t>Zfp706</t>
  </si>
  <si>
    <t>zinc finger protein 706 [Source:MGI Symbol;Acc:MGI:1915286]</t>
  </si>
  <si>
    <t>Rpl38-ps2</t>
  </si>
  <si>
    <t>ribosomal protein L38, pseudogene 2 [Source:MGI Symbol;Acc:MGI:3646625]</t>
  </si>
  <si>
    <t>1810030O07Rik</t>
  </si>
  <si>
    <t>RIKEN cDNA 1810030O07 gene [Source:MGI Symbol;Acc:MGI:1916405]</t>
  </si>
  <si>
    <t>Gm17657</t>
  </si>
  <si>
    <t>predicted gene, 17657 [Source:MGI Symbol;Acc:MGI:4937291]</t>
  </si>
  <si>
    <t>Brip1os</t>
  </si>
  <si>
    <t>BRCA1 interacting protein C-terminal helicase 1, opposite strand [Source:MGI Symbol;Acc:MGI:1921288]</t>
  </si>
  <si>
    <t>Phf1</t>
  </si>
  <si>
    <t>PHD finger protein 1 [Source:MGI Symbol;Acc:MGI:98647]</t>
  </si>
  <si>
    <t>Smu1</t>
  </si>
  <si>
    <t>smu-1 suppressor of mec-8 and unc-52 homolog (C. elegans) [Source:MGI Symbol;Acc:MGI:1915546]</t>
  </si>
  <si>
    <t>Gm15860</t>
  </si>
  <si>
    <t>predicted gene 15860 [Source:MGI Symbol;Acc:MGI:3801778]</t>
  </si>
  <si>
    <t>Msi2</t>
  </si>
  <si>
    <t>musashi RNA-binding protein 2 [Source:MGI Symbol;Acc:MGI:1923876]</t>
  </si>
  <si>
    <t>Ryr1</t>
  </si>
  <si>
    <t>ryanodine receptor 1, skeletal muscle [Source:MGI Symbol;Acc:MGI:99659]</t>
  </si>
  <si>
    <t>Gm33045</t>
  </si>
  <si>
    <t>predicted gene, 33045 [Source:MGI Symbol;Acc:MGI:5592204]</t>
  </si>
  <si>
    <t>Wdr4</t>
  </si>
  <si>
    <t>WD repeat domain 4 [Source:MGI Symbol;Acc:MGI:1889002]</t>
  </si>
  <si>
    <t>Prkaa2</t>
  </si>
  <si>
    <t>protein kinase, AMP-activated, alpha 2 catalytic subunit [Source:MGI Symbol;Acc:MGI:1336173]</t>
  </si>
  <si>
    <t>Slc6a13</t>
  </si>
  <si>
    <t>solute carrier family 6 (neurotransmitter transporter, GABA), member 13 [Source:MGI Symbol;Acc:MGI:95629]</t>
  </si>
  <si>
    <t>Elof1</t>
  </si>
  <si>
    <t>ELF1 homolog, elongation factor 1 [Source:MGI Symbol;Acc:MGI:1913376]</t>
  </si>
  <si>
    <t>Clns1a</t>
  </si>
  <si>
    <t>chloride channel, nucleotide-sensitive, 1A [Source:MGI Symbol;Acc:MGI:109638]</t>
  </si>
  <si>
    <t>Aldh18a1</t>
  </si>
  <si>
    <t>aldehyde dehydrogenase 18 family, member A1 [Source:MGI Symbol;Acc:MGI:1888908]</t>
  </si>
  <si>
    <t>Macc1</t>
  </si>
  <si>
    <t>metastasis associated in colon cancer 1 [Source:MGI Symbol;Acc:MGI:2685113]</t>
  </si>
  <si>
    <t>Atp6ap1</t>
  </si>
  <si>
    <t>ATPase, H+ transporting, lysosomal accessory protein 1 [Source:MGI Symbol;Acc:MGI:109629]</t>
  </si>
  <si>
    <t>Tmem186</t>
  </si>
  <si>
    <t>transmembrane protein 186 [Source:MGI Symbol;Acc:MGI:1913940]</t>
  </si>
  <si>
    <t>Ring1</t>
  </si>
  <si>
    <t>ring finger protein 1 [Source:MGI Symbol;Acc:MGI:1101770]</t>
  </si>
  <si>
    <t>Emc9</t>
  </si>
  <si>
    <t>ER membrane protein complex subunit 9 [Source:MGI Symbol;Acc:MGI:1934682]</t>
  </si>
  <si>
    <t>Gm43712</t>
  </si>
  <si>
    <t>predicted gene 43712 [Source:MGI Symbol;Acc:MGI:5663849]</t>
  </si>
  <si>
    <t>Mtfr1</t>
  </si>
  <si>
    <t>mitochondrial fission regulator 1 [Source:MGI Symbol;Acc:MGI:1914722]</t>
  </si>
  <si>
    <t>Cd79b</t>
  </si>
  <si>
    <t>CD79B antigen [Source:MGI Symbol;Acc:MGI:96431]</t>
  </si>
  <si>
    <t>A130051J06Rik</t>
  </si>
  <si>
    <t>RIKEN cDNA A130051J0 gene [Source:MGI Symbol;Acc:MGI:3642574]</t>
  </si>
  <si>
    <t>Angptl6</t>
  </si>
  <si>
    <t>angiopoietin-like 6 [Source:MGI Symbol;Acc:MGI:1917976]</t>
  </si>
  <si>
    <t>Casp7</t>
  </si>
  <si>
    <t>caspase 7 [Source:MGI Symbol;Acc:MGI:109383]</t>
  </si>
  <si>
    <t>Top3a</t>
  </si>
  <si>
    <t>topoisomerase (DNA) III alpha [Source:MGI Symbol;Acc:MGI:1197527]</t>
  </si>
  <si>
    <t>Dqx1</t>
  </si>
  <si>
    <t>DEAQ RNA-dependent ATPase [Source:MGI Symbol;Acc:MGI:2136388]</t>
  </si>
  <si>
    <t>Thtpa</t>
  </si>
  <si>
    <t>thiamine triphosphatase [Source:MGI Symbol;Acc:MGI:2446078]</t>
  </si>
  <si>
    <t>Asns</t>
  </si>
  <si>
    <t>asparagine synthetase [Source:MGI Symbol;Acc:MGI:1350929]</t>
  </si>
  <si>
    <t>Fzd4</t>
  </si>
  <si>
    <t>frizzled class receptor 4 [Source:MGI Symbol;Acc:MGI:108520]</t>
  </si>
  <si>
    <t>Rnaset2a</t>
  </si>
  <si>
    <t>ribonuclease T2A [Source:MGI Symbol;Acc:MGI:1915445]</t>
  </si>
  <si>
    <t>Lamtor2</t>
  </si>
  <si>
    <t>late endosomal/lysosomal adaptor, MAPK and MTOR activator 2 [Source:MGI Symbol;Acc:MGI:1932697]</t>
  </si>
  <si>
    <t>Hexim1</t>
  </si>
  <si>
    <t>hexamethylene bis-acetamide inducible 1 [Source:MGI Symbol;Acc:MGI:2385923]</t>
  </si>
  <si>
    <t>1700021A07Rik</t>
  </si>
  <si>
    <t>RIKEN cDNA 1700021A07 gene [Source:MGI Symbol;Acc:MGI:1924174]</t>
  </si>
  <si>
    <t>Surf6</t>
  </si>
  <si>
    <t>surfeit gene 6 [Source:MGI Symbol;Acc:MGI:98447]</t>
  </si>
  <si>
    <t>Rpl11</t>
  </si>
  <si>
    <t>ribosomal protein L11 [Source:MGI Symbol;Acc:MGI:1914275]</t>
  </si>
  <si>
    <t>Taf10</t>
  </si>
  <si>
    <t>TATA-box binding protein associated factor 10 [Source:MGI Symbol;Acc:MGI:1346320]</t>
  </si>
  <si>
    <t>Mir8101</t>
  </si>
  <si>
    <t>microRNA 8101 [Source:MGI Symbol;Acc:MGI:5531087]</t>
  </si>
  <si>
    <t>Prmt9</t>
  </si>
  <si>
    <t>protein arginine methyltransferase 9 [Source:MGI Symbol;Acc:MGI:2142651]</t>
  </si>
  <si>
    <t>Wdr55</t>
  </si>
  <si>
    <t>WD repeat domain 55 [Source:MGI Symbol;Acc:MGI:1915186]</t>
  </si>
  <si>
    <t>Nol3</t>
  </si>
  <si>
    <t>nucleolar protein 3 (apoptosis repressor with CARD domain) [Source:MGI Symbol;Acc:MGI:1925938]</t>
  </si>
  <si>
    <t>Trim44</t>
  </si>
  <si>
    <t>tripartite motif-containing 44 [Source:MGI Symbol;Acc:MGI:1931835]</t>
  </si>
  <si>
    <t>D7Bwg0826e</t>
  </si>
  <si>
    <t>DNA segment, Chr 7, Brigham &amp; Women's Genetics 0826 expressed [Source:MGI Symbol;Acc:MGI:106455]</t>
  </si>
  <si>
    <t>Tmlhe</t>
  </si>
  <si>
    <t>trimethyllysine hydroxylase, epsilon [Source:MGI Symbol;Acc:MGI:2180203]</t>
  </si>
  <si>
    <t>Gna15</t>
  </si>
  <si>
    <t>guanine nucleotide binding protein, alpha 15 [Source:MGI Symbol;Acc:MGI:95770]</t>
  </si>
  <si>
    <t>Rnaset2b</t>
  </si>
  <si>
    <t>ribonuclease T2B [Source:MGI Symbol;Acc:MGI:3702087]</t>
  </si>
  <si>
    <t>Gpr108</t>
  </si>
  <si>
    <t>G protein-coupled receptor 108 [Source:MGI Symbol;Acc:MGI:1925558]</t>
  </si>
  <si>
    <t>Cdk1</t>
  </si>
  <si>
    <t>cyclin-dependent kinase 1 [Source:MGI Symbol;Acc:MGI:88351]</t>
  </si>
  <si>
    <t>Stk11ip</t>
  </si>
  <si>
    <t>serine/threonine kinase 11 interacting protein [Source:MGI Symbol;Acc:MGI:1918978]</t>
  </si>
  <si>
    <t>Trappc10</t>
  </si>
  <si>
    <t>trafficking protein particle complex 10 [Source:MGI Symbol;Acc:MGI:1336209]</t>
  </si>
  <si>
    <t>2310016D23Rik</t>
  </si>
  <si>
    <t>RIKEN cDNA 2310016D23 gene [Source:MGI Symbol;Acc:MGI:1923693]</t>
  </si>
  <si>
    <t>Gm13882</t>
  </si>
  <si>
    <t>predicted gene 13882 [Source:MGI Symbol;Acc:MGI:3650052]</t>
  </si>
  <si>
    <t>Nhlrc3</t>
  </si>
  <si>
    <t>NHL repeat containing 3 [Source:MGI Symbol;Acc:MGI:2444520]</t>
  </si>
  <si>
    <t>Pgls</t>
  </si>
  <si>
    <t>6-phosphogluconolactonase [Source:MGI Symbol;Acc:MGI:1913421]</t>
  </si>
  <si>
    <t>Gabarapl1</t>
  </si>
  <si>
    <t>gamma-aminobutyric acid (GABA) A receptor-associated protein-like 1 [Source:MGI Symbol;Acc:MGI:1914980]</t>
  </si>
  <si>
    <t>Zfp36l2</t>
  </si>
  <si>
    <t>zinc finger protein 36, C3H type-like 2 [Source:MGI Symbol;Acc:MGI:107945]</t>
  </si>
  <si>
    <t>Gm16201</t>
  </si>
  <si>
    <t>predicted gene 16201 [Source:MGI Symbol;Acc:MGI:3802153]</t>
  </si>
  <si>
    <t>Mylip</t>
  </si>
  <si>
    <t>myosin regulatory light chain interacting protein [Source:MGI Symbol;Acc:MGI:2388271]</t>
  </si>
  <si>
    <t>Asb13</t>
  </si>
  <si>
    <t>ankyrin repeat and SOCS box-containing 13 [Source:MGI Symbol;Acc:MGI:2145525]</t>
  </si>
  <si>
    <t>Dnmbp</t>
  </si>
  <si>
    <t>dynamin binding protein [Source:MGI Symbol;Acc:MGI:1917352]</t>
  </si>
  <si>
    <t>Fam111a</t>
  </si>
  <si>
    <t>family with sequence similarity 111, member A [Source:MGI Symbol;Acc:MGI:1915508]</t>
  </si>
  <si>
    <t>Slc35e1</t>
  </si>
  <si>
    <t>solute carrier family 35, member E1 [Source:MGI Symbol;Acc:MGI:2142403]</t>
  </si>
  <si>
    <t>Cog2</t>
  </si>
  <si>
    <t>component of oligomeric golgi complex 2 [Source:MGI Symbol;Acc:MGI:1923582]</t>
  </si>
  <si>
    <t>Neu1</t>
  </si>
  <si>
    <t>neuraminidase 1 [Source:MGI Symbol;Acc:MGI:97305]</t>
  </si>
  <si>
    <t>Naa20</t>
  </si>
  <si>
    <t>N(alpha)-acetyltransferase 20, NatB catalytic subunit [Source:MGI Symbol;Acc:MGI:1915127]</t>
  </si>
  <si>
    <t>Pkp2</t>
  </si>
  <si>
    <t>plakophilin 2 [Source:MGI Symbol;Acc:MGI:1914701]</t>
  </si>
  <si>
    <t>Ipo9</t>
  </si>
  <si>
    <t>importin 9 [Source:MGI Symbol;Acc:MGI:1918944]</t>
  </si>
  <si>
    <t>Cnksr3</t>
  </si>
  <si>
    <t>Cnksr family member 3 [Source:MGI Symbol;Acc:MGI:2674130]</t>
  </si>
  <si>
    <t>H2aw</t>
  </si>
  <si>
    <t>H2A.W histone [Source:MGI Symbol;Acc:MGI:2448458]</t>
  </si>
  <si>
    <t>Category</t>
  </si>
  <si>
    <t>Term</t>
  </si>
  <si>
    <t>Description</t>
  </si>
  <si>
    <t>LogP</t>
  </si>
  <si>
    <t>Log(q-value)</t>
  </si>
  <si>
    <t>Symbols</t>
  </si>
  <si>
    <t>InTerm_InList</t>
  </si>
  <si>
    <t>GO Biological Processes</t>
  </si>
  <si>
    <t>GO:0000724</t>
  </si>
  <si>
    <t>double-strand break repair via homologous recombination</t>
  </si>
  <si>
    <t>Brca1,Brca2,Cdc45,Cdc7,Mcm3,Mcm2,Mcm4,Mcm5,Mcm6,Mcm7,Rad51,Rad51ap1,Rad54l,Rev3l,Rpa2,Xrcc1,Xrcc2,Smc6,Rpa1,Aunip,Tonsl,Xrcc3,Recql4,Fancm,Rad51c,Helq,Mms22l,Rmi2,Palb2,Topbp1,Fancb</t>
  </si>
  <si>
    <t>31/111</t>
  </si>
  <si>
    <t>GO:0000725</t>
  </si>
  <si>
    <t>recombinational repair</t>
  </si>
  <si>
    <t>Brca1,Brca2,Cdc45,Cdc7,Mcm3,Mcm2,Mcm4,Mcm5,Mcm6,Mcm7,Rad51,Rad51ap1,Rad54l,Rev3l,Rpa2,Xrcc1,Xrcc2,Smc6,Rpa1,Aunip,Zgrf1,Tonsl,Xrcc3,Recql4,Fancm,Rad51c,Helq,Mms22l,Rmi2,Palb2,Topbp1,Fancb</t>
  </si>
  <si>
    <t>32/116</t>
  </si>
  <si>
    <t>GO:0006302</t>
  </si>
  <si>
    <t>double-strand break repair</t>
  </si>
  <si>
    <t>Parp1,Brca1,Brca2,Cdc45,Cdc7,Lig1,Mcm3,Mcm2,Mcm4,Mcm5,Mcm6,Mcm7,Msh2,Pola1,Prkdc,Rad51,Rad51ap1,Rad54l,Rev3l,Rpa2,Xrcc1,Xrcc2,Smc6,Cdca5,Rpa1,Aunip,Rnf168,Esco2,Tonsl,Xrcc3,Recql4,Fancm,Rad51c,Helq,Mms22l,Rmi2,Palb2,Topbp1,Fancb,Brip1,Setx,Dna2</t>
  </si>
  <si>
    <t>42/203</t>
  </si>
  <si>
    <t>GO:0006310</t>
  </si>
  <si>
    <t>DNA recombination</t>
  </si>
  <si>
    <t>Bard1,Brca1,Brca2,Cdc45,Cdc7,Ezh2,Lig1,Mcm3,Mcm2,Mcm4,Mcm5,Mcm6,Mcm7,Msh2,Msh6,Pms2,Prkdc,Rad51,Rad51ap1,Rad54l,Rev3l,Rpa2,Tcf3,Top2b,Ung,Xrcc1,Exo1,Xrcc2,Smc6,Rpa1,Aunip,Cenps,Rnf168,Zgrf1,Tonsl,Xrcc3,Recql4,Fancm,Rad51c,Helq,Mms22l,Chtf18,Rmi2,Palb2,Topbp1,Fancb,Atad5,Brip1,Setx</t>
  </si>
  <si>
    <t>49/239</t>
  </si>
  <si>
    <t>GO:0006261</t>
  </si>
  <si>
    <t>DNA-templated DNA replication</t>
  </si>
  <si>
    <t>Parp1,Bard1,Brca1,Brca2,Ccne1,Ccne2,Cdc45,Lig1,Mcm3,Mcm2,Mcm4,Mcm5,Mcm6,Mcm7,Orc1,Pola1,Pold1,Pole,Pole2,Polg,Prim1,Rad51,Rfc1,Rfc2,Rrm1,Tk1,Cdc6,Polg2,Orc6,Cdt1,Etaa1,Cenps,Rfc5,Tonsl,Gins3,Recql4,Fancm,Fam111a,Helb,Mms22l,Wdhd1,Topbp1,Atad5,Dna2</t>
  </si>
  <si>
    <t>44/126</t>
  </si>
  <si>
    <t>GO:0006281</t>
  </si>
  <si>
    <t>DNA repair</t>
  </si>
  <si>
    <t>Abl1,Parp1,Bard1,Brca1,Brca2,Cdc45,Cdc7,Cdk2,Chek1,Smc3,Fanca,Fen1,Lig1,Mbd4,Mcm3,Mcm2,Mcm4,Mcm5,Mcm6,Mcm7,Msh2,Msh6,Uhrf1,Pms2,Pola1,Pold1,Pole,Pole2,Prkdc,Rad51,Rad51ap1,Rad54l,Rfc1,Rev3l,Rfc2,Rpa2,Rrm1,Ung,Xrcc1,Exo1,Chaf1a,Polg2,Rif1,Xrcc2,Jmy,Ube2t,Smc6,Eepd1,Cdca5,Pclaf,Etaa1,Rpa1,Aunip,Cenps,Rnf168,Zgrf1,Esco2,Rfc5,Tonsl,Xrcc3,Dtl,Ticrr,Recql4,Fancm,Fam111a,Chaf1b,Rad51c,Helq,Mms22l,Wdhd1,Rmi2,Slf2,Usp1,Kmt5c,Palb2,Neil3,Topbp1,Fancb,Brip1,Mdc1,Setx,Clspn,Dna2</t>
  </si>
  <si>
    <t>83/482</t>
  </si>
  <si>
    <t>GO:0006974</t>
  </si>
  <si>
    <t>DNA damage response</t>
  </si>
  <si>
    <t>Abl1,Parp1,Bard1,Brca1,Brca2,Casp2,Cbx5,Cdc45,Cdc7,Cdk2,Chek1,Smc3,E2f1,Fanca,Fen1,Lig1,Mbd4,Mcm3,Mcm2,Mcm4,Mcm5,Mcm6,Mcm7,Msh2,Msh6,Nfatc2,Uhrf1,Pms2,Pola1,Pold1,Pole,Pole2,Prkdc,Rad51,Rad51ap1,Rad54l,Rfc1,Rev3l,Rfc2,Rpa2,Rrm1,Ung,Xrcc1,Mapk3,Exo1,Chaf1a,Polg2,Rif1,Foxo4,Foxo1,Foxo3,Xrcc2,Jmy,Pidd1,Fbxo5,Ube2t,Smc6,Eepd1,Cdca5,Pclaf,Etaa1,Rpa1,Ctc1,Aunip,Cenps,Rnf168,Cdkn2aip,Zgrf1,Esco2,Rfc5,Tonsl,Xrcc3,Fbxo31,Dtl,Ticrr,Nuak1,Recql4,Fancm,Fam111a,Bmyc,Chaf1b,Rad51c,Helb,Helq,Mms22l,Wdhd1,Rmi2,Slf2,Usp1,Kmt5c,Palb2,Neil3,Topbp1,Fancb,Atad5,Brip1,Mdc1,Wdr76,Zbtb38,Setx,Clspn,Dna2</t>
  </si>
  <si>
    <t>102/749</t>
  </si>
  <si>
    <t>GO:0006260</t>
  </si>
  <si>
    <t>DNA replication</t>
  </si>
  <si>
    <t>Parp1,Bard1,Brca1,Brca2,Ccne1,Ccne2,Cdc45,Fen1,Lig1,Mcm3,Mcm2,Mcm4,Mcm5,Mcm6,Mcm7,Nfia,Nfic,Orc1,Pola1,Pold1,Pole,Pole2,Polg,Prim1,Rad51,Rbbp4,Rfc1,Rev3l,Rfc2,Rpa2,Rrm1,Sin3a,Tk1,Cdc6,Chaf1a,Polg2,Orc6,Cdt1,Pclaf,Etaa1,Rpa1,Cenps,Dscc1,Rfc5,Tonsl,Dtl,Ticrr,Gins3,Recql4,Fancm,Fam111a,Chaf1b,Helb,Mms22l,Chtf18,Wdhd1,Rmi2,Topbp1,Atad5,Dna2</t>
  </si>
  <si>
    <t>60/183</t>
  </si>
  <si>
    <t>GO:0006259</t>
  </si>
  <si>
    <t>DNA metabolic process</t>
  </si>
  <si>
    <t>Abl1,Parp1,Bard1,Brca1,Brca2,Ccne1,Ccne2,Cdc45,Cdc7,Cdk2,Chek1,Smc3,Dnmt1,Ezh2,Fanca,Fen1,Hells,Lig1,Mbd4,Mcm3,Mcm2,Mcm4,Mcm5,Mcm6,Mcm7,Msh2,Msh6,Nfia,Nfic,Uhrf1,Orc1,Pms2,Pola1,Pold1,Pole,Pole2,Polg,Prim1,Prkdc,Rad51,Rad51ap1,Rad54l,Rbbp4,Rfc1,Rev3l,Rfc2,Rpa2,Rrm1,Sin3a,Tcf3,Tk1,Top2b,Ung,Xrcc1,Cdc6,Exo1,Chaf1a,Polg2,Rif1,Orc6,Xrcc2,Jmy,Cdt1,Ube2t,Smc6,Eepd1,Cdca5,Pclaf,Etaa1,Rpa1,Ctc1,Aunip,Cenps,Rnf168,Zgrf1,Esco2,Dscc1,Rfc5,Tonsl,Xrcc3,Dtl,Ticrr,Gins3,Recql4,Pot1a,Fancm,Fam111a,Chaf1b,Rad51c,Helb,Helq,Mms22l,Chtf18,Wdhd1,Rmi2,Slf2,Usp1,Kmt5c,Palb2,Neil3,Topbp1,Fancb,Atad5,Brip1,Mdc1,Setx,Clspn,Dna2</t>
  </si>
  <si>
    <t>108/717</t>
  </si>
  <si>
    <t>GO:1902750</t>
  </si>
  <si>
    <t>negative regulation of cell cycle G2/M phase transition</t>
  </si>
  <si>
    <t>Bard1,Brca1,Chek1,Mbd4,Orc1,Cdc6,Foxo4,Dtl,Ticrr,Topbp1,Pkmyt1,Clspn</t>
  </si>
  <si>
    <t>12/70</t>
  </si>
  <si>
    <t>GO:0044818</t>
  </si>
  <si>
    <t>mitotic G2/M transition checkpoint</t>
  </si>
  <si>
    <t>Bard1,Brca1,Chek1,Mbd4,Orc1,Cdc6,Foxo4,Dtl,Ticrr,Topbp1,Clspn</t>
  </si>
  <si>
    <t>11/57</t>
  </si>
  <si>
    <t>GO:0000077</t>
  </si>
  <si>
    <t>DNA damage checkpoint signaling</t>
  </si>
  <si>
    <t>Brca1,Casp2,Chek1,E2f1,Mbd4,Msh2,Prkdc,Rpa2,Foxo4,Pidd1,Fbxo31,Dtl,Ticrr,Topbp1,Clspn</t>
  </si>
  <si>
    <t>15/111</t>
  </si>
  <si>
    <t>GO:1902807</t>
  </si>
  <si>
    <t>negative regulation of cell cycle G1/S phase transition</t>
  </si>
  <si>
    <t>Casp2,Ezh2,Haspin,Pkd2,Prkdc,Rbl2,Rpa2,Ctdsp2,Pidd1,Ctdspl,Fbxo31,Ctdsp1,Kank2</t>
  </si>
  <si>
    <t>13/75</t>
  </si>
  <si>
    <t>GO:0044773</t>
  </si>
  <si>
    <t>mitotic DNA damage checkpoint signaling</t>
  </si>
  <si>
    <t>Brca1,Casp2,Chek1,Mbd4,Msh2,Prkdc,Rpa2,Foxo4,Pidd1,Fbxo31,Dtl,Ticrr,Topbp1,Clspn</t>
  </si>
  <si>
    <t>14/81</t>
  </si>
  <si>
    <t>GO:2000134</t>
  </si>
  <si>
    <t>negative regulation of G1/S transition of mitotic cell cycle</t>
  </si>
  <si>
    <t>13/67</t>
  </si>
  <si>
    <t>GO:0000076</t>
  </si>
  <si>
    <t>DNA replication checkpoint signaling</t>
  </si>
  <si>
    <t>Orc1,Cdc6,Cdt1,Ticrr,Topbp1,Mdc1,Clspn,Dna2</t>
  </si>
  <si>
    <t>8/18</t>
  </si>
  <si>
    <t>GO:0042770</t>
  </si>
  <si>
    <t>signal transduction in response to DNA damage</t>
  </si>
  <si>
    <t>Abl1,Brca1,Brca2,Casp2,Chek1,E2f1,Mbd4,Msh2,Prkdc,Rpa2,Mapk3,Foxo4,Foxo3,Pidd1,Fbxo31,Dtl,Ticrr,Topbp1,Atad5,Clspn</t>
  </si>
  <si>
    <t>20/141</t>
  </si>
  <si>
    <t>GO:0044774</t>
  </si>
  <si>
    <t>mitotic DNA integrity checkpoint signaling</t>
  </si>
  <si>
    <t>Brca1,Casp2,Chek1,Mbd4,Msh2,Orc1,Prkdc,Rpa2,Cdc6,Foxo4,Pidd1,Fbxo31,Dtl,Ticrr,Topbp1,Clspn</t>
  </si>
  <si>
    <t>16/85</t>
  </si>
  <si>
    <t>GO:0007093</t>
  </si>
  <si>
    <t>mitotic cell cycle checkpoint signaling</t>
  </si>
  <si>
    <t>Bard1,Brca1,Casp2,Chek1,Haspin,Mbd4,Msh2,Orc1,Prkdc,Rpa2,Stil,Cdc6,Zw10,Foxo4,Pidd1,Fbxo31,Dtl,Ticrr,Topbp1,Clspn</t>
  </si>
  <si>
    <t>20/135</t>
  </si>
  <si>
    <t>GO:0031570</t>
  </si>
  <si>
    <t>DNA integrity checkpoint signaling</t>
  </si>
  <si>
    <t>Brca1,Casp2,Chek1,E2f1,Mbd4,Msh2,Orc1,Prkdc,Rpa2,Cdc6,Foxo4,Pidd1,Cdt1,Fbxo31,Dtl,Ticrr,Topbp1,Mdc1,Clspn,Dna2</t>
  </si>
  <si>
    <t>20/119</t>
  </si>
  <si>
    <t>GO:0000075</t>
  </si>
  <si>
    <t>cell cycle checkpoint signaling</t>
  </si>
  <si>
    <t>Bard1,Brca1,Casp2,Chek1,E2f1,Haspin,Mbd4,Msh2,Orc1,Prkdc,Rpa2,Stil,Cdc6,Zw10,Foxo4,Pidd1,Cdt1,Fbxo31,Dtl,Ticrr,Topbp1,Mdc1,Clspn,Dna2</t>
  </si>
  <si>
    <t>24/173</t>
  </si>
  <si>
    <t>GO:1902806</t>
  </si>
  <si>
    <t>regulation of cell cycle G1/S phase transition</t>
  </si>
  <si>
    <t>Casp2,Ccnd3,Ccne1,Ccne2,Cdkn2c,E2f1,Ezh2,Haspin,Pkd2,Prkdc,Rbl2,Rpa2,Rrm1,Rrm2,Stil,Tcf3,Ctdsp2,Pidd1,Smarca2,Ctdspl,Fbxo31,Bcl7a,Klf11,Appl2,Ctdsp1,Kank2</t>
  </si>
  <si>
    <t>26/195</t>
  </si>
  <si>
    <t>GO:0010389</t>
  </si>
  <si>
    <t>regulation of G2/M transition of mitotic cell cycle</t>
  </si>
  <si>
    <t>Bard1,Brca1,Cdc7,Cdk2,Chek1,Lmnb1,Mbd4,Orc1,Rrm1,Sin3a,Cdc6,Foxo4,Fbxo5,Ctc1,Dtl,Ticrr,Rad51c,Mta3,Topbp1,Clspn</t>
  </si>
  <si>
    <t>20/106</t>
  </si>
  <si>
    <t>GO:1902749</t>
  </si>
  <si>
    <t>regulation of cell cycle G2/M phase transition</t>
  </si>
  <si>
    <t>Bard1,Brca1,Cdc7,Cdk2,Chek1,Lmnb1,Mbd4,Orc1,Rrm1,Sin3a,Cdc6,Foxo4,Fbxo5,Ctc1,Dtl,Ticrr,Rad51c,Mta3,Topbp1,Atad5,Pkmyt1,Clspn</t>
  </si>
  <si>
    <t>22/119</t>
  </si>
  <si>
    <t>GO:2000045</t>
  </si>
  <si>
    <t>regulation of G1/S transition of mitotic cell cycle</t>
  </si>
  <si>
    <t>26/169</t>
  </si>
  <si>
    <t>GO:0045930</t>
  </si>
  <si>
    <t>negative regulation of mitotic cell cycle</t>
  </si>
  <si>
    <t>Abl1,Bard1,Brca1,Zfp36l2,Casp2,Chek1,Ezh2,Haspin,Mbd4,Msh2,Orc1,Pkd2,Prkdc,Rbl2,Rpa2,Stil,Cdc6,Tpra1,Zw10,Ctdsp2,Foxo4,Pidd1,Fbxo5,Ctdspl,Fbxo31,Dtl,Ticrr,Ctdsp1,Kank2,Topbp1,Clspn</t>
  </si>
  <si>
    <t>31/226</t>
  </si>
  <si>
    <t>GO:1901991</t>
  </si>
  <si>
    <t>negative regulation of mitotic cell cycle phase transition</t>
  </si>
  <si>
    <t>Bard1,Brca1,Zfp36l2,Casp2,Chek1,Ezh2,Haspin,Mbd4,Orc1,Pkd2,Prkdc,Rbl2,Rpa2,Cdc6,Tpra1,Zw10,Ctdsp2,Foxo4,Pidd1,Fbxo5,Ctdspl,Fbxo31,Dtl,Ticrr,Ctdsp1,Kank2,Topbp1,Clspn</t>
  </si>
  <si>
    <t>28/167</t>
  </si>
  <si>
    <t>GO:1901988</t>
  </si>
  <si>
    <t>negative regulation of cell cycle phase transition</t>
  </si>
  <si>
    <t>Bard1,Brca1,Zfp36l2,Casp2,Chek1,E2f1,Ezh2,Haspin,Mbd4,Msh2,Orc1,Pkd2,Prkdc,Rbl2,Rpa2,Stil,Cdc6,Tpra1,Zw10,Ctdsp2,Foxo4,Pidd1,Fbxo5,Cdt1,Ctdspl,Fbxo31,Dtl,Ticrr,Ctdsp1,Kank2,Topbp1,Mdc1,Pkmyt1,Clspn,Dna2</t>
  </si>
  <si>
    <t>35/239</t>
  </si>
  <si>
    <t>GO:0010948</t>
  </si>
  <si>
    <t>negative regulation of cell cycle process</t>
  </si>
  <si>
    <t>Bard1,Brca1,Zfp36l2,Casp2,Chek1,E2f1,Ezh2,Haspin,Mbd4,Msh2,Orc1,Pkd2,Prkdc,Rbl2,Rpa2,Stil,Cdc6,Tpra1,Zw10,Ctdsp2,Foxo4,Naa10,Pidd1,Fbxo5,Cdt1,Trim37,Ctdspl,Fbxo31,Dtl,Ticrr,Recql4,E2f8,Chtf18,Ctdsp1,Kank2,Topbp1,Mdc1,Pkmyt1,Clspn,Dna2</t>
  </si>
  <si>
    <t>40/284</t>
  </si>
  <si>
    <t>GO:0045786</t>
  </si>
  <si>
    <t>negative regulation of cell cycle</t>
  </si>
  <si>
    <t>Abl1,Bard1,Brca1,Zfp36l2,Casp2,Cdkn2c,Cebpa,Chek1,E2f1,Ezh2,Haspin,Nr4a1,Mbd4,Msh2,Orc1,Prkaca,Prkacb,Pkd2,Prkdc,Rbl2,Rpa2,Stil,Taf6,Cdc6,Tpra1,Zw10,Ctdsp2,Foxo4,Naa10,Gmnn,Pidd1,Fbxo5,Cdt1,Trim37,Ctdspl,Fbxo31,Dtl,Ticrr,Recql4,E2f8,Chtf18,Ctdsp1,Kank2,Topbp1,Mdc1,Pkmyt1,Clspn,Dna2</t>
  </si>
  <si>
    <t>48/371</t>
  </si>
  <si>
    <t>GO:0007346</t>
  </si>
  <si>
    <t>regulation of mitotic cell cycle</t>
  </si>
  <si>
    <t>Abl1,Bard1,Brca1,Brca2,Zfp36l2,Casp2,Ccnd3,Ccne1,Ccne2,Cdc7,Cdk2,Cdkn2c,Chek1,E2f1,Ezh2,Haspin,Igf1r,Insr,Lmnb1,Mbd4,Msh2,Orc1,Pkd2,Prkdc,Rbl2,Rpa2,Rrm1,Rrm2,Stil,Sin3a,Tcf3,Cdc6,Tpra1,Zw10,Ctdsp2,Foxo4,Pdxp,Pidd1,Fbxo5,Smarca2,Cdca5,Ctc1,Ctdspl,Xrcc3,Fbxo31,Dtl,Ticrr,Bcl7a,Tubg1,Rad51c,Mta3,Klf11,Appl2,Ctdsp1,Kank2,Topbp1,Atad5,Clspn</t>
  </si>
  <si>
    <t>58/515</t>
  </si>
  <si>
    <t>GO:1901990</t>
  </si>
  <si>
    <t>regulation of mitotic cell cycle phase transition</t>
  </si>
  <si>
    <t>Bard1,Brca1,Zfp36l2,Casp2,Ccnd3,Ccne1,Ccne2,Cdc7,Cdk2,Cdkn2c,Chek1,E2f1,Ezh2,Haspin,Lmnb1,Mbd4,Orc1,Pkd2,Prkdc,Rbl2,Rpa2,Rrm1,Rrm2,Stil,Sin3a,Tcf3,Cdc6,Tpra1,Zw10,Ctdsp2,Foxo4,Pidd1,Fbxo5,Smarca2,Cdca5,Ctc1,Ctdspl,Xrcc3,Fbxo31,Dtl,Ticrr,Bcl7a,Rad51c,Mta3,Klf11,Appl2,Ctdsp1,Kank2,Topbp1,Atad5,Clspn</t>
  </si>
  <si>
    <t>51/345</t>
  </si>
  <si>
    <t>GO:1901987</t>
  </si>
  <si>
    <t>regulation of cell cycle phase transition</t>
  </si>
  <si>
    <t>Bard1,Brca1,Brca2,Zfp36l2,Casp2,Ccnd3,Ccne1,Ccne2,Cdc7,Cdk2,Cdkn2c,Chek1,E2f1,Ezh2,Haspin,Lmnb1,Mbd4,Msh2,Orc1,Pkd2,Prkdc,Rad51,Rbl2,Rpa2,Rrm1,Rrm2,Stil,Sin3a,Tcf3,Cdc6,Tpra1,Zw10,Ctdsp2,Foxo4,Pidd1,Fbxo5,Smarca2,Cdt1,Cdca5,Etaa1,Ctc1,Ctdspl,Xrcc3,Fbxo31,Dtl,Ticrr,Bcl7a,Rad51c,Mta3,Klf11,Appl2,Ctdsp1,Kank2,Topbp1,Atad5,Mdc1,Wdr76,Pkmyt1,Clspn,Dna2</t>
  </si>
  <si>
    <t>60/453</t>
  </si>
  <si>
    <t>GO:0010564</t>
  </si>
  <si>
    <t>regulation of cell cycle process</t>
  </si>
  <si>
    <t>Bard1,Brca1,Brca2,Zfp36l2,Casp2,Ccnd3,Ccne1,Ccne2,Cdc7,Cdk2,Cdkn2c,Chek1,E2f1,Ezh2,Fen1,Haspin,Igf1r,Insr,Lmnb1,Mbd4,Msh2,Orc1,Pkd2,Prkdc,Rad51,Rad51ap1,Rbl2,Rpa2,Rrm1,Rrm2,Stil,Sin3a,Tcf3,Cdc6,Tpra1,Zw10,Ctdsp2,Foxo4,Naa10,Pdxp,Pidd1,Fbxo5,Smarca2,Cdt1,Smc6,Cdca5,Etaa1,Sgo2a,Trim37,Ctc1,Ctdspl,Ccsap,Cep97,Xrcc3,Ncapg2,Fbxo31,Dtl,Ticrr,Bcl7a,Ncapd3,Recql4,Tubg1,Bmyc,E2f8,Rad51c,Mta3,Klf11,Chtf18,Rab11fip3,Appl2,Rmi2,Pik3c3,Slf2,Ctdsp1,Wdr62,Kank2,Topbp1,Alms1,Atad5,Mdc1,Wdr76,Pkmyt1,Clspn,Dna2</t>
  </si>
  <si>
    <t>84/757</t>
  </si>
  <si>
    <t>GO:0051276</t>
  </si>
  <si>
    <t>chromosome organization</t>
  </si>
  <si>
    <t>Abl1,Parp1,Brca2,Ccne1,Ccne2,Cdc45,Smc3,Ezh2,Haspin,Mcm3,Mcm2,Mcm4,Mcm5,Mcm6,Mcm7,Msh2,Mybl2,Prkdc,Rad51,Rad54l,Rpa2,Top2b,Xrcc1,Zw10,Rif1,Cenpo,Mis18a,Cdt1,Smc6,Cdca5,Rpa1,Sgo2a,Ctc1,Esco2,Dscc1,Cenpn,Xrcc3,Ncapg2,Ago4,Ncapd3,Gins3,Recql4,Pot1a,Tubg1,Bmyc,Rad51c,Helb,Aaas,Rmi2,Brip1,Dna2</t>
  </si>
  <si>
    <t>51/435</t>
  </si>
  <si>
    <t>GO:1903047</t>
  </si>
  <si>
    <t>mitotic cell cycle process</t>
  </si>
  <si>
    <t>Bard1,Brca1,Brca2,Casp2,Ccnd3,Ccne1,Ccne2,Cdc45,Cdk2,Chek1,Smc3,Ezh2,Haspin,Igf1r,Lig1,Mbd4,Mcm3,Mcm2,Mcm4,Mcm6,Msh2,Mybl2,Nfatc1,Nfia,Orc1,Pcnt,Pola1,Pole,Prkdc,Rad51,Rpa2,Stil,Tk1,Cdc6,Zw10,Foxo4,Pidd1,Cdt1,Gpsm1,Cdca5,Ncapg2,Fbxo31,Dtl,Ticrr,Ncapd3,Gins3,Tubg1,Tcf19,Bmyc,Mta3,Cntrob,Aaas,Wdr62,Topbp1,Clspn,Usp37,Dna2</t>
  </si>
  <si>
    <t>57/492</t>
  </si>
  <si>
    <t>GO:0000278</t>
  </si>
  <si>
    <t>mitotic cell cycle</t>
  </si>
  <si>
    <t>Bard1,Brca1,Brca2,Casp2,Ccnd3,Ccne1,Ccne2,Cdc45,Cdk2,Chek1,Smc3,Ezh2,Haspin,Igf1r,Lig1,Mbd4,Mcm3,Mcm2,Mcm4,Mcm6,Msh2,Mybl2,Nedd1,Nfatc1,Nfia,Orc1,Pcnt,Pola1,Pole,Prkdc,Rad51,Rpa2,Stil,Tk1,Wee1,Cdc6,Zw10,Foxo4,Xrcc2,Pidd1,Cdt1,Gpsm1,Cdca5,Tubgcp2,Ncapg2,Fbxo31,Dtl,Ticrr,Ncapd3,Gins3,Tubg1,Tcf19,Bmyc,E2f8,Mta3,Cntrob,Wdhd1,Aaas,Wdr62,Topbp1,Clspn,Usp37,Dna2</t>
  </si>
  <si>
    <t>63/556</t>
  </si>
  <si>
    <t>GO:0022616</t>
  </si>
  <si>
    <t>DNA strand elongation</t>
  </si>
  <si>
    <t>Lig1,Mcm3,Mcm4,Mcm7,Pola1,Pole,Dna2</t>
  </si>
  <si>
    <t>7/18</t>
  </si>
  <si>
    <t>GO:0006271</t>
  </si>
  <si>
    <t>DNA strand elongation involved in DNA replication</t>
  </si>
  <si>
    <t>7/13</t>
  </si>
  <si>
    <t>GO:1902292</t>
  </si>
  <si>
    <t>cell cycle DNA replication initiation</t>
  </si>
  <si>
    <t>Mcm3,Mcm2,Mcm4,Pola1,Gins3</t>
  </si>
  <si>
    <t>5/5</t>
  </si>
  <si>
    <t>GO:1902315</t>
  </si>
  <si>
    <t>nuclear cell cycle DNA replication initiation</t>
  </si>
  <si>
    <t>GO:1902975</t>
  </si>
  <si>
    <t>mitotic DNA replication initiation</t>
  </si>
  <si>
    <t>GO:0032392</t>
  </si>
  <si>
    <t>DNA geometric change</t>
  </si>
  <si>
    <t>Cdc45,Mcm3,Mcm2,Mcm4,Mcm5,Mcm6,Mcm7,Rad51,Gins3,Recql4,Pot1a,Helb</t>
  </si>
  <si>
    <t>12/49</t>
  </si>
  <si>
    <t>GO:0032508</t>
  </si>
  <si>
    <t>DNA duplex unwinding</t>
  </si>
  <si>
    <t>12/42</t>
  </si>
  <si>
    <t>GO:0006279</t>
  </si>
  <si>
    <t>premeiotic DNA replication</t>
  </si>
  <si>
    <t>Mcm3,Mcm2,Mcm4,Mcm5,Mcm6,Mcm7</t>
  </si>
  <si>
    <t>6/6</t>
  </si>
  <si>
    <t>GO:0071103</t>
  </si>
  <si>
    <t>DNA conformation change</t>
  </si>
  <si>
    <t>Abl1,Cdc45,Mcm3,Mcm2,Mcm4,Mcm5,Mcm6,Mcm7,Rad51,Top2b,Gins3,Recql4,Pot1a,Helb</t>
  </si>
  <si>
    <t>14/58</t>
  </si>
  <si>
    <t>GO:0000727</t>
  </si>
  <si>
    <t>double-strand break repair via break-induced replication</t>
  </si>
  <si>
    <t>Cdc45,Cdc7,Mcm3,Mcm2,Mcm4,Mcm5,Mcm6,Mcm7</t>
  </si>
  <si>
    <t>8/12</t>
  </si>
  <si>
    <t>GO:0006268</t>
  </si>
  <si>
    <t>DNA unwinding involved in DNA replication</t>
  </si>
  <si>
    <t>Cdc45,Mcm3,Mcm2,Mcm4,Mcm5,Mcm6,Mcm7,Rad51,Gins3,Recql4</t>
  </si>
  <si>
    <t>10/20</t>
  </si>
  <si>
    <t>GO:1902969</t>
  </si>
  <si>
    <t>mitotic DNA replication</t>
  </si>
  <si>
    <t>Brca2,Cdc45,Lig1,Mcm3,Mcm2,Mcm4,Mcm6,Pola1,Rad51,Tk1,Gins3</t>
  </si>
  <si>
    <t>11/14</t>
  </si>
  <si>
    <t>GO:0044786</t>
  </si>
  <si>
    <t>cell cycle DNA replication</t>
  </si>
  <si>
    <t>Brca2,Cdc45,Lig1,Mcm3,Mcm2,Mcm4,Mcm5,Mcm6,Mcm7,Pola1,Rad51,Tk1,Cdt1,Gins3,Atad5,Dna2</t>
  </si>
  <si>
    <t>16/27</t>
  </si>
  <si>
    <t>GO:0006270</t>
  </si>
  <si>
    <t>DNA replication initiation</t>
  </si>
  <si>
    <t>Ccne1,Ccne2,Cdc45,Mcm3,Mcm2,Mcm4,Mcm5,Mcm6,Mcm7,Orc1,Pola1,Prim1,Cdc6,Orc6,Gins3,Topbp1</t>
  </si>
  <si>
    <t>16/26</t>
  </si>
  <si>
    <t>GO:0033260</t>
  </si>
  <si>
    <t>nuclear DNA replication</t>
  </si>
  <si>
    <t>GO:0010569</t>
  </si>
  <si>
    <t>regulation of double-strand break repair via homologous recombination</t>
  </si>
  <si>
    <t>Abl1,Parp1,Chek1,Rad51,Rad51ap1,Rpa2,Rif1,Fignl1,Helb,Helq,Rmi2,Fancb</t>
  </si>
  <si>
    <t>12/72</t>
  </si>
  <si>
    <t>GO:0080135</t>
  </si>
  <si>
    <t>regulation of cellular response to stress</t>
  </si>
  <si>
    <t>Abl1,Parp1,Bard1,Brca1,Brca2,Cebpg,Chek1,Dhfr,Eif2ak3,Igf1r,Lmnb1,Neo1,Prkdc,Rad51,Rad51ap1,Rpa2,Taf6,Xrcc1,Mapk3,Cbx8,Rif1,Foxo1,Fignl1,Smarca2,Nacc2,Etaa1,Mturn,Aunip,Rnf168,Bcl7a,Crebrf,Pot1a,Nsd2,Helb,Helq,Rassf2,Rmi2,Slf2,Usp1,Kmt5c,Xylt1,Fancb,Atad5,Wdr76,Vps13c</t>
  </si>
  <si>
    <t>45/689</t>
  </si>
  <si>
    <t>GO:0000018</t>
  </si>
  <si>
    <t>regulation of DNA recombination</t>
  </si>
  <si>
    <t>Abl1,Parp1,Chek1,Msh2,Msh6,Pms2,Rad51,Rad51ap1,Rpa2,Rif1,Fignl1,Nsd2,Helb,Helq,Rmi2,Kmt5c,Fancb,Atad5</t>
  </si>
  <si>
    <t>18/136</t>
  </si>
  <si>
    <t>GO:2000779</t>
  </si>
  <si>
    <t>regulation of double-strand break repair</t>
  </si>
  <si>
    <t>Abl1,Parp1,Chek1,Prkdc,Rad51,Rad51ap1,Rpa2,Rif1,Fignl1,Smarca2,Aunip,Bcl7a,Pot1a,Nsd2,Helb,Helq,Rmi2,Slf2,Kmt5c,Fancb</t>
  </si>
  <si>
    <t>20/130</t>
  </si>
  <si>
    <t>GO:0006282</t>
  </si>
  <si>
    <t>regulation of DNA repair</t>
  </si>
  <si>
    <t>Abl1,Parp1,Bard1,Brca1,Cebpg,Chek1,Prkdc,Rad51,Rad51ap1,Rpa2,Taf6,Xrcc1,Cbx8,Rif1,Fignl1,Smarca2,Aunip,Rnf168,Bcl7a,Pot1a,Nsd2,Helb,Helq,Rmi2,Slf2,Usp1,Kmt5c,Fancb</t>
  </si>
  <si>
    <t>28/212</t>
  </si>
  <si>
    <t>GO:0051054</t>
  </si>
  <si>
    <t>positive regulation of DNA metabolic process</t>
  </si>
  <si>
    <t>Parp1,Brca1,Cdc7,Cdk2,Cebpg,Lpin1,Igf1r,Msh2,Nfatc1,Pms2,Prkdc,Rad51,Rad51ap1,Rfc2,Xrcc1,Mapk3,Cbx8,Polg2,Rif1,Smarca2,Cdt1,Ctc1,Rnf168,Dscc1,Rfc5,Bcl7a,Pot1a,Nsd2,E2f8,Helq,Chtf18,Slf2,Kmt5c,Fancb,Atad5,Dna2</t>
  </si>
  <si>
    <t>36/321</t>
  </si>
  <si>
    <t>GO:0051052</t>
  </si>
  <si>
    <t>regulation of DNA metabolic process</t>
  </si>
  <si>
    <t>Abl1,Parp1,Bard1,Brca1,Cdc7,Cdk2,Cebpg,Chek1,Smc3,Lpin1,Igf1r,Msh2,Msh6,Nfatc1,Pms2,Prkdc,Rad51,Rad51ap1,Rfc2,Rpa2,Taf6,Xrcc1,Mapk3,Cbx8,Polg2,Rif1,Gmnn,Fignl1,Mis18a,Fbxo5,Smarca2,Cdt1,Ctc1,Aunip,Rnf168,Esco2,Dscc1,Rfc5,Ticrr,Bcl7a,Pot1a,Bmyc,Nsd2,E2f8,Helb,Helq,Chtf18,Rmi2,Slf2,Usp1,Kmt5c,Fancb,Atad5,Zbtb38,Usp37,Dna2</t>
  </si>
  <si>
    <t>56/528</t>
  </si>
  <si>
    <t>GO:0140013</t>
  </si>
  <si>
    <t>meiotic nuclear division</t>
  </si>
  <si>
    <t>Brca2,Ccne1,Ccne2,Fanca,Haspin,Rad51,Rad54l,Top2b,Fignl1,Suv39h2,Fbxo5,Sgo2a,Cenps,Ago4,Ncapd3,Fancm,Rad51c,Chtf18,Topbp1,Brip1</t>
  </si>
  <si>
    <t>20/186</t>
  </si>
  <si>
    <t>GO:0048285</t>
  </si>
  <si>
    <t>organelle fission</t>
  </si>
  <si>
    <t>Brca2,Ccne1,Ccne2,Smc3,Fanca,Lpin1,Haspin,Igf1r,Mybl2,Nfia,Rad51,Rad54l,Top2b,Zw10,Fignl1,Suv39h2,Fbxo5,Cdt1,Cdca5,Sgo2a,Cenps,Ncapg2,Ago4,Ncapd3,Tubg1,Fancm,Rad51c,Chtf18,Aaas,Topbp1,Brip1</t>
  </si>
  <si>
    <t>31/349</t>
  </si>
  <si>
    <t>GO:0000280</t>
  </si>
  <si>
    <t>nuclear division</t>
  </si>
  <si>
    <t>Brca2,Ccne1,Ccne2,Smc3,Fanca,Haspin,Igf1r,Mybl2,Nfia,Rad51,Rad54l,Top2b,Zw10,Fignl1,Suv39h2,Fbxo5,Cdt1,Cdca5,Sgo2a,Cenps,Ncapg2,Ago4,Ncapd3,Tubg1,Fancm,Rad51c,Chtf18,Aaas,Topbp1,Brip1</t>
  </si>
  <si>
    <t>30/322</t>
  </si>
  <si>
    <t>GO:1903046</t>
  </si>
  <si>
    <t>meiotic cell cycle process</t>
  </si>
  <si>
    <t>Brca2,Ccne1,Ccne2,Fanca,Haspin,Mcm3,Mcm2,Mcm4,Mcm5,Mcm6,Mcm7,Rad51,Rad54l,Top2b,Fignl1,Suv39h2,Fbxo5,Sgo2a,Cenps,Ago4,Ncapd3,Tubg1,Fancm,Rad51c,Chtf18,Topbp1,Brip1</t>
  </si>
  <si>
    <t>27/214</t>
  </si>
  <si>
    <t>GO:0051321</t>
  </si>
  <si>
    <t>meiotic cell cycle</t>
  </si>
  <si>
    <t>Brca2,Ccne1,Ccne2,Cdk2,Smc3,Fanca,Haspin,Mcm3,Mcm2,Mcm4,Mcm5,Mcm6,Mcm7,Pms2,Rad51,Rad51ap1,Rad54l,Top2b,Exo1,Fignl1,Suv39h2,Fbxo5,Rpa1,Sgo2a,Cenps,Tubgcp2,Ago4,Ncapd3,Tubg1,Fancm,Rad51c,Chtf18,Topbp1,Brip1,Pkmyt1</t>
  </si>
  <si>
    <t>35/324</t>
  </si>
  <si>
    <t>GO:0045931</t>
  </si>
  <si>
    <t>positive regulation of mitotic cell cycle</t>
  </si>
  <si>
    <t>Abl1,Brca2,Ccnd3,Ccne1,Ccne2,Cdc7,Lmnb1,Rrm1,Rrm2,Stil,Sin3a,Fbxo5,Cdca5,Dtl,Rad51c,Mta3</t>
  </si>
  <si>
    <t>16/134</t>
  </si>
  <si>
    <t>GO:1901992</t>
  </si>
  <si>
    <t>positive regulation of mitotic cell cycle phase transition</t>
  </si>
  <si>
    <t>Ccnd3,Ccne1,Ccne2,Cdc7,Lmnb1,Rrm1,Rrm2,Stil,Sin3a,Fbxo5,Cdca5,Dtl,Rad51c,Mta3</t>
  </si>
  <si>
    <t>14/99</t>
  </si>
  <si>
    <t>GO:1901989</t>
  </si>
  <si>
    <t>positive regulation of cell cycle phase transition</t>
  </si>
  <si>
    <t>Ccnd3,Ccne1,Ccne2,Cdc7,Ezh2,Lmnb1,Rrm1,Rrm2,Stil,Sin3a,Fbxo5,Cdca5,Dtl,Rad51c,Mta3,Atad5</t>
  </si>
  <si>
    <t>16/122</t>
  </si>
  <si>
    <t>GO:1902751</t>
  </si>
  <si>
    <t>positive regulation of cell cycle G2/M phase transition</t>
  </si>
  <si>
    <t>Cdc7,Lmnb1,Rrm1,Sin3a,Fbxo5,Dtl,Rad51c,Mta3,Atad5</t>
  </si>
  <si>
    <t>9/32</t>
  </si>
  <si>
    <t>GO:0090068</t>
  </si>
  <si>
    <t>positive regulation of cell cycle process</t>
  </si>
  <si>
    <t>Ccnd3,Ccne1,Ccne2,Cdc7,Ezh2,Fen1,Igf1r,Insr,Lmnb1,Orc1,Rad51ap1,Rrm1,Rrm2,Stil,Sin3a,Cdc6,Fbxo5,Smc6,Cdca5,Sgo2a,Xrcc3,Ncapg2,Dtl,Ncapd3,E2f8,Rad51c,Mta3,Slf2,Atad5</t>
  </si>
  <si>
    <t>29/278</t>
  </si>
  <si>
    <t>GO:0045787</t>
  </si>
  <si>
    <t>positive regulation of cell cycle</t>
  </si>
  <si>
    <t>Abl1,Bard1,Brca1,Brca2,Ccnd3,Ccne1,Ccne2,Cdc7,Chek1,Ezh2,Fen1,Igf1r,Insr,Lfng,Lmnb1,Lrp6,Orc1,Rad51ap1,Rrm1,Rrm2,Stil,Sin3a,Tcf3,Cdc6,Fbxo5,Smc6,Cdca5,Sgo2a,Xrcc3,Ncapg2,Dtl,Ncapd3,E2f8,Rad51c,Mta3,Slf2,Atad5</t>
  </si>
  <si>
    <t>37/362</t>
  </si>
  <si>
    <t>GO:0006338</t>
  </si>
  <si>
    <t>chromatin remodeling</t>
  </si>
  <si>
    <t>Brca1,Cebpg,Chek1,Dnmt1,Ezh2,Hells,Lmnb1,Mcm2,Uhrf1,Phf2,Rbbp4,Sin3a,Tcf3,Chaf1a,Kdm2b,Cbx8,Rif1,Suv39h2,Mis18a,Asf1b,Smarca2,Brd3,Trim37,Rnf168,Chd6,Cenpn,Bcl7a,Psip1,Bmyc,Nsd2,Dnajc9,Chaf1b,Mta3,Bicral,Wdhd1,Kmt5c</t>
  </si>
  <si>
    <t>36/529</t>
  </si>
  <si>
    <t>GO:0006325</t>
  </si>
  <si>
    <t>chromatin organization</t>
  </si>
  <si>
    <t>Brca1,Cbx2,Cbx5,Cebpg,Chek1,Dnmt1,Ezh2,Haspin,Hdac5,Hells,Lmnb1,Mcm2,Msl3,Uhrf1,Phf2,Rbbp4,Rbl2,Sin3a,Tcf3,Chaf1a,Kdm2b,Cbx8,Rif1,Suv39h2,Mis18a,Asf1b,Smarca2,Brd3,Trim37,Cdan1,Rnf168,Chd6,Cenpn,Tonsl,Bcl7a,Psip1,Bmyc,Nsd2,Dnajc9,Chaf1b,Mta3,Bicral,Mms22l,Wdhd1,Usp49,Kmt5c,Cbx6,Samd1</t>
  </si>
  <si>
    <t>48/700</t>
  </si>
  <si>
    <t>GO:0071824</t>
  </si>
  <si>
    <t>protein-DNA complex organization</t>
  </si>
  <si>
    <t>Brca1,Cbx2,Cbx5,Cdc45,Cebpg,Chek1,Dnmt1,Ezh2,Haspin,Hdac5,Hells,Lmnb1,Mcm2,Msl3,Uhrf1,Phf2,Rad51,Rbbp4,Rbl2,Sin3a,Taf6,Tcf3,Chaf1a,Kdm2b,Cbx8,Rif1,Cenpo,Suv39h2,Mis18a,Asf1b,Smarca2,Cdt1,Med18,Brd3,Trim37,Cdan1,Rnf168,Chd6,Cenpn,Tonsl,Bcl7a,Psip1,Bmyc,Nsd2,Dnajc9,Chaf1b,Rad51c,Mta3,Bicral,Mms22l,Wdhd1,Usp49,Kmt5c,Taf1,Cbx6,Samd1</t>
  </si>
  <si>
    <t>56/781</t>
  </si>
  <si>
    <t>GO:0090329</t>
  </si>
  <si>
    <t>regulation of DNA-templated DNA replication</t>
  </si>
  <si>
    <t>Cdc7,Cdk2,Rfc2,Polg2,Fbxo5,Cdt1,Dscc1,Rfc5,Ticrr,E2f8,Chtf18</t>
  </si>
  <si>
    <t>11/38</t>
  </si>
  <si>
    <t>GO:0006275</t>
  </si>
  <si>
    <t>regulation of DNA replication</t>
  </si>
  <si>
    <t>Cdc7,Cdk2,Smc3,Lpin1,Rfc2,Polg2,Gmnn,Fbxo5,Cdt1,Ctc1,Esco2,Dscc1,Rfc5,Ticrr,E2f8,Chtf18,Atad5,Zbtb38,Usp37,Dna2</t>
  </si>
  <si>
    <t>20/120</t>
  </si>
  <si>
    <t>GO:0031297</t>
  </si>
  <si>
    <t>replication fork processing</t>
  </si>
  <si>
    <t>Parp1,Bard1,Brca1,Brca2,Rad51,Etaa1,Cenps,Tonsl,Fancm,Fam111a,Mms22l,Dna2</t>
  </si>
  <si>
    <t>12/50</t>
  </si>
  <si>
    <t>GO:0045005</t>
  </si>
  <si>
    <t>DNA-templated DNA replication maintenance of fidelity</t>
  </si>
  <si>
    <t>Parp1,Bard1,Brca1,Brca2,Pold1,Pole,Rad51,Etaa1,Cenps,Tonsl,Fancm,Fam111a,Mms22l,Dna2</t>
  </si>
  <si>
    <t>14/54</t>
  </si>
  <si>
    <t>GO:0000723</t>
  </si>
  <si>
    <t>telomere maintenance</t>
  </si>
  <si>
    <t>Parp1,Brca2,Ccne1,Ccne2,Prkdc,Rad51,Rpa2,Xrcc1,Rif1,Smc6,Rpa1,Ctc1,Xrcc3,Recql4,Pot1a,Rad51c,Dna2</t>
  </si>
  <si>
    <t>17/95</t>
  </si>
  <si>
    <t>GO:0032200</t>
  </si>
  <si>
    <t>telomere organization</t>
  </si>
  <si>
    <t>Parp1,Brca2,Ccne1,Ccne2,Ezh2,Prkdc,Rad51,Rpa2,Xrcc1,Rif1,Smc6,Rpa1,Ctc1,Xrcc3,Recql4,Pot1a,Rad51c,Dna2</t>
  </si>
  <si>
    <t>18/102</t>
  </si>
  <si>
    <t>GO:0007059</t>
  </si>
  <si>
    <t>chromosome segregation</t>
  </si>
  <si>
    <t>Brca1,Brca2,Ccne1,Ccne2,Smc3,Haspin,Mybl2,Top2b,Zw10,Cenpo,Mis18a,Dsn1,Fbxo5,Cdt1,Cdca5,Sgo2a,Cenps,Esco2,Cenpn,Tubgcp2,Ncapg2,Haus8,Ago4,Ncapd3,Tubg1,Chtf18,Haus4,Aaas,Haus6,Brip1</t>
  </si>
  <si>
    <t>30/328</t>
  </si>
  <si>
    <t>GO:0034502</t>
  </si>
  <si>
    <t>protein localization to chromosome</t>
  </si>
  <si>
    <t>Parp1,Brca2,Ezh2,Haspin,Msh2,Rpa2,Zw10,Rpa1,Esco2,Tonsl,Pot1a,Mms22l,Slf2,Topbp1,Mdc1</t>
  </si>
  <si>
    <t>15/93</t>
  </si>
  <si>
    <t>GO:0045003</t>
  </si>
  <si>
    <t>double-strand break repair via synthesis-dependent strand annealing</t>
  </si>
  <si>
    <t>Rad51,Rad54l,Xrcc3,Fancm,Rad51c,Helq</t>
  </si>
  <si>
    <t>6/9</t>
  </si>
  <si>
    <t>GO:0016445</t>
  </si>
  <si>
    <t>somatic diversification of immunoglobulins</t>
  </si>
  <si>
    <t>Ezh2,Msh2,Msh6,Pms2,Prkdc,Tcf3,Ung,Exo1,Rnf168,Atad5</t>
  </si>
  <si>
    <t>10/48</t>
  </si>
  <si>
    <t>GO:0002562</t>
  </si>
  <si>
    <t>somatic diversification of immune receptors via germline recombination within a single locus</t>
  </si>
  <si>
    <t>10/47</t>
  </si>
  <si>
    <t>GO:0016444</t>
  </si>
  <si>
    <t>somatic cell DNA recombination</t>
  </si>
  <si>
    <t>GO:0016447</t>
  </si>
  <si>
    <t>somatic recombination of immunoglobulin gene segments</t>
  </si>
  <si>
    <t>10/37</t>
  </si>
  <si>
    <t>Ezh2,Msh2,Msh6,Pms2,Prkdc,Tcf3,Ung,Exo1,Rnf168,Atad5,Rpa2,Rpa1,Mcm2,Pot1a,Abl1,Lfng,Ephb3,Lrp5,Smad3,Mapk3,Ctc1,B4galnt1,Polg,Rad54l,Sgsh,Tmem64,Dnajc9</t>
  </si>
  <si>
    <t>27/-</t>
  </si>
  <si>
    <t>GO:0006284</t>
  </si>
  <si>
    <t>base-excision repair</t>
  </si>
  <si>
    <t>Parp1,Lig1,Pold1,Pole,Rpa2,Ung,Xrcc1,Rpa1,Neil3,Dna2</t>
  </si>
  <si>
    <t>10/40</t>
  </si>
  <si>
    <t>GO:0031023</t>
  </si>
  <si>
    <t>microtubule organizing center organization</t>
  </si>
  <si>
    <t>Brca1,Brca2,Cdk2,Stil,Xrcc2,Pclaf,Haus8,Cntrob,Haus4,Haus6,Wdr62,Rttn,Cep44,Poc1b</t>
  </si>
  <si>
    <t>14/100</t>
  </si>
  <si>
    <t>GO:0051298</t>
  </si>
  <si>
    <t>centrosome duplication</t>
  </si>
  <si>
    <t>Brca1,Brca2,Cdk2,Stil,Cntrob,Wdr62,Rttn,Cep44,Poc1b</t>
  </si>
  <si>
    <t>9/37</t>
  </si>
  <si>
    <t>GO:0007098</t>
  </si>
  <si>
    <t>centrosome cycle</t>
  </si>
  <si>
    <t>14/87</t>
  </si>
  <si>
    <t>GO:0071897</t>
  </si>
  <si>
    <t>DNA biosynthetic process</t>
  </si>
  <si>
    <t>Lig1,Pola1,Pold1,Pole,Pole2,Rev3l,Rrm1,Tk1,Pclaf,Rpa1,Dtl,Pot1a</t>
  </si>
  <si>
    <t>GO:0009615</t>
  </si>
  <si>
    <t>response to virus</t>
  </si>
  <si>
    <t>Apobec1,Casp1,Cd86,Hif1a,Ifit2,Irf1,Mov10,Myd88,Eif2ak2,Ptprc,Stat2,Trex1,Trim26,Irf5,Samhd1,Lgals8,Ddx21,Adar,Tbk1,Nmi,Ifitm3,Rnf135,Polr3c,Mlkl,Zc3hav1,Parp9,Apobec3,Znfx1,Tlr7,Dtx3l,Trim25,Oasl1</t>
  </si>
  <si>
    <t>32/338</t>
  </si>
  <si>
    <t>GO:0002831</t>
  </si>
  <si>
    <t>regulation of response to biotic stimulus</t>
  </si>
  <si>
    <t>Ap3b1,Casp1,Cd86,Fosl1,H2-T22,H2-T23,Il15,Irf1,Mapkapk2,Myd88,Nfe2l2,Pik3r1,Eif2ak2,Serpinb9,Stat2,Tap2,Trex1,Ywhaz,Mapkbp1,Samhd1,Adar,Tbk1,Cd274,Nmi,Peli1,Rtn4,Ifi35,Rnf135,Polr3c,Zc3hav1,Parp9,Apobec3,Znfx1,Fbxo38,Tlr7,Ripk2,Dtx3l,Trim25,Ilrun,Oasl1,Rnf31,Nlrc5</t>
  </si>
  <si>
    <t>42/572</t>
  </si>
  <si>
    <t>GO:0051607</t>
  </si>
  <si>
    <t>defense response to virus</t>
  </si>
  <si>
    <t>Apobec1,Casp1,Cd86,Ifit2,Irf1,Mov10,Myd88,Eif2ak2,Ptprc,Stat2,Trex1,Trim26,Irf5,Samhd1,Ddx21,Tbk1,Ifitm3,Rnf135,Polr3c,Mlkl,Zc3hav1,Parp9,Apobec3,Znfx1,Tlr7,Dtx3l,Trim25,Oasl1</t>
  </si>
  <si>
    <t>28/269</t>
  </si>
  <si>
    <t>GO:0140546</t>
  </si>
  <si>
    <t>defense response to symbiont</t>
  </si>
  <si>
    <t>28/270</t>
  </si>
  <si>
    <t>GO:0045087</t>
  </si>
  <si>
    <t>innate immune response</t>
  </si>
  <si>
    <t>Casp1,Daxx,Fcgr1,Gata3,Gch1,Ifit2,Il18,Irf1,Jak2,Ly9,Myd88,Prdx1,Eif2ak2,Ccl9,Stat2,Stxbp1,Trex1,Trim26,Irf5,Samhd1,Ddx21,Adar,Tbk1,Ube2l6,Nmi,Ifitm3,Actr2,Herc6,Mcoln2,Gsdmd,Ifi35,Rnf135,Polr3c,Rnf19b,Zc3hav1,Parp9,Apobec3,Znfx1,Sp110,Tlr7,Ripk2,Dtx3l,Trim25,Ilrun,Oasl1,Malt1,Flnb,Nlrc5</t>
  </si>
  <si>
    <t>48/751</t>
  </si>
  <si>
    <t>GO:0031349</t>
  </si>
  <si>
    <t>positive regulation of defense response</t>
  </si>
  <si>
    <t>Adora2b,Ap3b1,Casp1,Cd86,Cebpb,Fcgr1,Fosl1,H2-T22,H2-T23,Il18,Irf1,Mapkapk2,Abcc1,Myd88,Osm,Tnfrsf1a,Nupr1,Tbk1,Nmi,Peli1,Rtn4,Gsdmd,Ifi35,Rnf135,Polr3c,Zc3hav1,Parp9,Kars1,Znfx1,Tlr7,Ripk2,Trim25,Oasl1,Rnf31,Nlrc5</t>
  </si>
  <si>
    <t>35/465</t>
  </si>
  <si>
    <t>GO:0050778</t>
  </si>
  <si>
    <t>positive regulation of immune response</t>
  </si>
  <si>
    <t>Ap3b1,Casp1,Cd38,Cd86,Fcgr1,Fosl1,Gata3,H2-T22,H2-T23,Il15,Il18,Irf1,Jak2,Blnk,Mapkapk2,Myd88,Nras,Pnp,Ptprc,Tap2,Trex1,Usp12,Tbk1,Cd274,Nmi,Peli1,Rtn4,Ifi35,Rnf135,Polr3c,Zc3hav1,Parp9,Kars1,Znfx1,Fbxo38,Eif2b3,Tlr7,Ripk2,Trim25,Oasl1,Malt1,Rnf31,Nlrc5</t>
  </si>
  <si>
    <t>43/684</t>
  </si>
  <si>
    <t>GO:0001819</t>
  </si>
  <si>
    <t>positive regulation of cytokine production</t>
  </si>
  <si>
    <t>Adora2b,Casp1,Cebpb,Gata3,H2-T22,H2-T23,Hif1a,Il15,Il18,Irf1,Jak2,Ly9,Mapkapk2,Myd88,Nras,Osm,P2ry2,Pik3r1,Pnp,Eif2ak2,Ptprc,Stat3,Tank,Tnfrsf1a,Irf5,Ddx21,Tbk1,Cd274,Peli1,Mcoln2,Rtn4,Gsdmd,Rnf135,Polr3c,Zc3hav1,Tlr7,Ripk2,Malt1</t>
  </si>
  <si>
    <t>38/559</t>
  </si>
  <si>
    <t>GO:0045088</t>
  </si>
  <si>
    <t>regulation of innate immune response</t>
  </si>
  <si>
    <t>Ap3b1,Casp1,Cd86,Fosl1,H2-T22,H2-T23,Irf1,Mapkapk2,Myd88,Nfe2l2,Pik3r1,Eif2ak2,Serpinb9,Stat2,Tap2,Trex1,Ywhaz,Samhd1,Adar,Tbk1,Nmi,Peli1,Rtn4,Ifi35,Rnf135,Polr3c,Zc3hav1,Parp9,Znfx1,Tlr7,Ripk2,Trim25,Oasl1,Nlrc5</t>
  </si>
  <si>
    <t>34/472</t>
  </si>
  <si>
    <t>GO:0045321</t>
  </si>
  <si>
    <t>leukocyte activation</t>
  </si>
  <si>
    <t>Adora2b,Slc7a2,Casp1,Cd38,Cd86,Cebpb,Gata3,Slc39a7,H2-T22,H2-T23,Il15,Il18,Irf1,Jak2,Blnk,Ly9,Msn,Myd88,Prdx1,Pik3r1,Prkcd,Lcp1,Pnp,Psmb10,Ptprc,Rbpj,Sema4a,Stat3,Trex1,Ywhaz,Tcirg1,Azi2,Lgals8,Zbtb32,Nmi,Peli1,Ifi35,Syvn1,Kars1,Ripk2,Dclre1c,Malt1,Tmem229b,Treml2</t>
  </si>
  <si>
    <t>44/741</t>
  </si>
  <si>
    <t>GO:0031329</t>
  </si>
  <si>
    <t>regulation of cellular catabolic process</t>
  </si>
  <si>
    <t>Apobec1,Bid,Casp1,Noct,Eif4g2,Fxr1,Hif1a,Eif6,Mapkapk2,Mcl1,Mov10,Myd88,Furin,Prkcd,Ptpn1,Sptlc2,Stat3,Trex1,Zfp36,Map2k1,Nupr1,Tbk1,Mtdh,Pnpt1,Larp1,C9orf72,Chmp4b,Scfd1,Zc3hav1,Ripk2,Dtx3l,Tent4a,Tut7,Mylip,Ythdf1,Rnf31,Igf2bp2</t>
  </si>
  <si>
    <t>37/640</t>
  </si>
  <si>
    <t>GO:0032103</t>
  </si>
  <si>
    <t>positive regulation of response to external stimulus</t>
  </si>
  <si>
    <t>Adora2b,Ap3b1,Casp1,Cd86,Cebpb,Fcgr1,Fosl1,H2-T22,H2-T23,Il18,Irf1,Mapkapk2,Abcc1,Myd88,Osm,Tnfrsf1a,Nupr1,Tbk1,Nmi,Peli1,Rtn4,Gsdmd,Ifi35,Rnf135,Polr3c,Zc3hav1,Parp9,Ndel1,Kars1,Znfx1,Tlr7,Ripk2,Trim25,Oasl1,Rnf31,Nlrc5</t>
  </si>
  <si>
    <t>36/617</t>
  </si>
  <si>
    <t>GO:0002833</t>
  </si>
  <si>
    <t>positive regulation of response to biotic stimulus</t>
  </si>
  <si>
    <t>Ap3b1,Casp1,Cd86,Fosl1,H2-T22,H2-T23,Irf1,Mapkapk2,Myd88,Tbk1,Cd274,Nmi,Peli1,Rtn4,Ifi35,Rnf135,Polr3c,Zc3hav1,Parp9,Znfx1,Fbxo38,Tlr7,Ripk2,Trim25,Oasl1,Nlrc5</t>
  </si>
  <si>
    <t>26/354</t>
  </si>
  <si>
    <t>GO:0045089</t>
  </si>
  <si>
    <t>positive regulation of innate immune response</t>
  </si>
  <si>
    <t>Ap3b1,Casp1,Cd86,Fosl1,H2-T22,H2-T23,Irf1,Mapkapk2,Myd88,Tbk1,Nmi,Peli1,Rtn4,Ifi35,Rnf135,Polr3c,Zc3hav1,Parp9,Znfx1,Tlr7,Ripk2,Trim25,Oasl1,Nlrc5</t>
  </si>
  <si>
    <t>24/325</t>
  </si>
  <si>
    <t>GO:0001816</t>
  </si>
  <si>
    <t>cytokine production</t>
  </si>
  <si>
    <t>Ap3b1,Casp1,Gata3,Hif1a,Il18,Mapkapk2,Myd88,Furin,Pik3r1,Prkcd,Rbpj,Trex1,Tcirg1,Azi2,Usp25,Tbk1,Rnf19b,Tlr7,Ripk2</t>
  </si>
  <si>
    <t>19/213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</si>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</sst>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11" fontId="1" fillId="0" borderId="0" xfId="0" applyNumberFormat="1" applyFont="1"/>
    <xf numFmtId="11" fontId="1" fillId="0" borderId="3" xfId="0" applyNumberFormat="1" applyFont="1" applyBorder="1"/>
    <xf numFmtId="0" fontId="2" fillId="0" borderId="0" xfId="0" applyFont="1"/>
    <xf numFmtId="0" fontId="1" fillId="2" borderId="4" xfId="0" applyFon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</xdr:row>
      <xdr:rowOff>161925</xdr:rowOff>
    </xdr:from>
    <xdr:ext cx="5742149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A72005-FE1E-4CE4-9D8C-A44EF443D52E}"/>
            </a:ext>
          </a:extLst>
        </xdr:cNvPr>
        <xdr:cNvSpPr txBox="1"/>
      </xdr:nvSpPr>
      <xdr:spPr>
        <a:xfrm>
          <a:off x="295275" y="352425"/>
          <a:ext cx="5742149" cy="31149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400" b="1"/>
            <a:t>List of all significant DEGs</a:t>
          </a:r>
          <a:r>
            <a:rPr lang="sv-SE" sz="1400" b="1" baseline="0"/>
            <a:t> in Control_LPS BV-2 </a:t>
          </a:r>
          <a:r>
            <a:rPr lang="sv-SE" sz="1400" b="1" i="1" baseline="0"/>
            <a:t>vs.</a:t>
          </a:r>
          <a:r>
            <a:rPr lang="sv-SE" sz="1400" b="1" i="0" baseline="0"/>
            <a:t> Control BV-2 comparison</a:t>
          </a:r>
          <a:r>
            <a:rPr lang="sv-SE" sz="1400" b="1" baseline="0"/>
            <a:t> </a:t>
          </a:r>
          <a:endParaRPr lang="sv-SE" sz="14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542925</xdr:colOff>
      <xdr:row>1</xdr:row>
      <xdr:rowOff>133350</xdr:rowOff>
    </xdr:from>
    <xdr:ext cx="5487464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AE62D9F-56DA-4E75-8D88-337C2E3134C9}"/>
            </a:ext>
          </a:extLst>
        </xdr:cNvPr>
        <xdr:cNvSpPr txBox="1"/>
      </xdr:nvSpPr>
      <xdr:spPr>
        <a:xfrm>
          <a:off x="542925" y="323850"/>
          <a:ext cx="5487464" cy="31149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400" b="1"/>
            <a:t>List of all significant DEGs</a:t>
          </a:r>
          <a:r>
            <a:rPr lang="sv-SE" sz="1400" b="1" baseline="0"/>
            <a:t> in Aged_LPS BV-2 </a:t>
          </a:r>
          <a:r>
            <a:rPr lang="sv-SE" sz="1400" b="1" i="1" baseline="0"/>
            <a:t>vs.</a:t>
          </a:r>
          <a:r>
            <a:rPr lang="sv-SE" sz="1400" b="1" i="0" baseline="0"/>
            <a:t> Aged BV-2 comparison</a:t>
          </a:r>
          <a:r>
            <a:rPr lang="sv-SE" sz="1400" b="1" baseline="0"/>
            <a:t> </a:t>
          </a:r>
          <a:endParaRPr lang="sv-SE" sz="14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161925</xdr:colOff>
      <xdr:row>2</xdr:row>
      <xdr:rowOff>28575</xdr:rowOff>
    </xdr:from>
    <xdr:ext cx="7657417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4FED959-481E-42A2-96C1-06D7E22E8076}"/>
            </a:ext>
          </a:extLst>
        </xdr:cNvPr>
        <xdr:cNvSpPr txBox="1"/>
      </xdr:nvSpPr>
      <xdr:spPr>
        <a:xfrm>
          <a:off x="771525" y="409575"/>
          <a:ext cx="7657417" cy="31149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400" b="1"/>
            <a:t>List of all significant DEGs</a:t>
          </a:r>
          <a:r>
            <a:rPr lang="sv-SE" sz="1400" b="1" baseline="0"/>
            <a:t> in LPS treatment response (top 100 significant genes presented in Fig. 2c)</a:t>
          </a:r>
          <a:endParaRPr lang="sv-SE" sz="1400" b="1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DE06-F9BE-4A25-AA09-CA794627D6B2}">
  <dimension ref="A7:AJ8516"/>
  <sheetViews>
    <sheetView workbookViewId="0">
      <selection activeCell="R19" sqref="R19"/>
    </sheetView>
  </sheetViews>
  <sheetFormatPr defaultRowHeight="15" x14ac:dyDescent="0.25"/>
  <sheetData>
    <row r="7" spans="1:10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x14ac:dyDescent="0.25">
      <c r="A8" s="2">
        <v>1481.8831292042601</v>
      </c>
      <c r="B8" s="3">
        <v>6.9871997215695902</v>
      </c>
      <c r="C8" s="5">
        <v>3.6722873269390398E-111</v>
      </c>
      <c r="D8" s="6">
        <v>3.5850250538236602E-109</v>
      </c>
      <c r="E8" s="3" t="s">
        <v>416</v>
      </c>
      <c r="F8" s="3" t="s">
        <v>417</v>
      </c>
      <c r="G8" s="3">
        <v>20304</v>
      </c>
      <c r="H8" s="7" t="str">
        <f>HYPERLINK("http://www.ensembl.org/Mus_musculus/Gene/Summary?db=core;g=ENSMUSG00000035042","ENSMUSG00000035042")</f>
        <v>ENSMUSG00000035042</v>
      </c>
      <c r="I8" s="7" t="str">
        <f>HYPERLINK("http://www.informatics.jax.org/marker/MGI:98262","MGI:98262")</f>
        <v>MGI:98262</v>
      </c>
      <c r="J8" s="4" t="s">
        <v>12</v>
      </c>
    </row>
    <row r="9" spans="1:10" x14ac:dyDescent="0.25">
      <c r="A9" s="2">
        <v>316.14323295827597</v>
      </c>
      <c r="B9" s="3">
        <v>6.6931495940841002</v>
      </c>
      <c r="C9" s="5">
        <v>1.1869617786613701E-124</v>
      </c>
      <c r="D9" s="6">
        <v>1.5101216951743401E-122</v>
      </c>
      <c r="E9" s="3" t="s">
        <v>321</v>
      </c>
      <c r="F9" s="3" t="s">
        <v>322</v>
      </c>
      <c r="G9" s="3">
        <v>209086</v>
      </c>
      <c r="H9" s="7" t="str">
        <f>HYPERLINK("http://www.ensembl.org/Mus_musculus/Gene/Summary?db=core;g=ENSMUSG00000047735","ENSMUSG00000047735")</f>
        <v>ENSMUSG00000047735</v>
      </c>
      <c r="I9" s="7" t="str">
        <f>HYPERLINK("http://www.informatics.jax.org/marker/MGI:1343184","MGI:1343184")</f>
        <v>MGI:1343184</v>
      </c>
      <c r="J9" s="4" t="s">
        <v>12</v>
      </c>
    </row>
    <row r="10" spans="1:10" x14ac:dyDescent="0.25">
      <c r="A10" s="2">
        <v>247.928092493143</v>
      </c>
      <c r="B10" s="3">
        <v>6.6882888611373499</v>
      </c>
      <c r="C10" s="5">
        <v>4.1085079574085801E-85</v>
      </c>
      <c r="D10" s="6">
        <v>2.6305122376654999E-83</v>
      </c>
      <c r="E10" s="3" t="s">
        <v>628</v>
      </c>
      <c r="F10" s="3" t="s">
        <v>629</v>
      </c>
      <c r="G10" s="3">
        <v>14962</v>
      </c>
      <c r="H10" s="7" t="str">
        <f>HYPERLINK("http://www.ensembl.org/Mus_musculus/Gene/Summary?db=core;g=ENSMUSG00000090231","ENSMUSG00000090231")</f>
        <v>ENSMUSG00000090231</v>
      </c>
      <c r="I10" s="7" t="str">
        <f>HYPERLINK("http://www.informatics.jax.org/marker/MGI:105975","MGI:105975")</f>
        <v>MGI:105975</v>
      </c>
      <c r="J10" s="4" t="s">
        <v>12</v>
      </c>
    </row>
    <row r="11" spans="1:10" x14ac:dyDescent="0.25">
      <c r="A11" s="2">
        <v>144.364260642294</v>
      </c>
      <c r="B11" s="3">
        <v>6.5580732421973096</v>
      </c>
      <c r="C11" s="5">
        <v>3.78285462922326E-117</v>
      </c>
      <c r="D11" s="6">
        <v>4.1214305684134098E-115</v>
      </c>
      <c r="E11" s="3" t="s">
        <v>374</v>
      </c>
      <c r="F11" s="3" t="s">
        <v>375</v>
      </c>
      <c r="G11" s="3">
        <v>240063</v>
      </c>
      <c r="H11" s="7" t="str">
        <f>HYPERLINK("http://www.ensembl.org/Mus_musculus/Gene/Summary?db=core;g=ENSMUSG00000055202","ENSMUSG00000055202")</f>
        <v>ENSMUSG00000055202</v>
      </c>
      <c r="I11" s="7" t="str">
        <f>HYPERLINK("http://www.informatics.jax.org/marker/MGI:2682944","MGI:2682944")</f>
        <v>MGI:2682944</v>
      </c>
      <c r="J11" s="4" t="s">
        <v>12</v>
      </c>
    </row>
    <row r="12" spans="1:10" x14ac:dyDescent="0.25">
      <c r="A12" s="2">
        <v>1099.1382676015901</v>
      </c>
      <c r="B12" s="3">
        <v>6.5511932836148397</v>
      </c>
      <c r="C12" s="5">
        <v>3.4232345769519199E-84</v>
      </c>
      <c r="D12" s="6">
        <v>2.1567471519965399E-82</v>
      </c>
      <c r="E12" s="3" t="s">
        <v>638</v>
      </c>
      <c r="F12" s="3" t="s">
        <v>639</v>
      </c>
      <c r="G12" s="3">
        <v>14469</v>
      </c>
      <c r="H12" s="7" t="str">
        <f>HYPERLINK("http://www.ensembl.org/Mus_musculus/Gene/Summary?db=core;g=ENSMUSG00000028270","ENSMUSG00000028270")</f>
        <v>ENSMUSG00000028270</v>
      </c>
      <c r="I12" s="7" t="str">
        <f>HYPERLINK("http://www.informatics.jax.org/marker/MGI:102772","MGI:102772")</f>
        <v>MGI:102772</v>
      </c>
      <c r="J12" s="4" t="s">
        <v>12</v>
      </c>
    </row>
    <row r="13" spans="1:10" x14ac:dyDescent="0.25">
      <c r="A13" s="2">
        <v>1111.2411254799999</v>
      </c>
      <c r="B13" s="3">
        <v>6.3212301727938804</v>
      </c>
      <c r="C13" s="5">
        <v>4.0219234555001302E-110</v>
      </c>
      <c r="D13" s="6">
        <v>3.8501131331292496E-108</v>
      </c>
      <c r="E13" s="3" t="s">
        <v>424</v>
      </c>
      <c r="F13" s="3" t="s">
        <v>425</v>
      </c>
      <c r="G13" s="3">
        <v>100038882</v>
      </c>
      <c r="H13" s="7" t="str">
        <f>HYPERLINK("http://www.ensembl.org/Mus_musculus/Gene/Summary?db=core;g=ENSMUSG00000035692","ENSMUSG00000035692")</f>
        <v>ENSMUSG00000035692</v>
      </c>
      <c r="I13" s="7" t="str">
        <f>HYPERLINK("http://www.informatics.jax.org/marker/MGI:1855694","MGI:1855694")</f>
        <v>MGI:1855694</v>
      </c>
      <c r="J13" s="4" t="s">
        <v>12</v>
      </c>
    </row>
    <row r="14" spans="1:10" x14ac:dyDescent="0.25">
      <c r="A14" s="2">
        <v>71.849801756112399</v>
      </c>
      <c r="B14" s="3">
        <v>6.3144941695247399</v>
      </c>
      <c r="C14" s="5">
        <v>1.8073845976830501E-64</v>
      </c>
      <c r="D14" s="6">
        <v>7.3792182745982996E-63</v>
      </c>
      <c r="E14" s="3" t="s">
        <v>981</v>
      </c>
      <c r="F14" s="3" t="s">
        <v>982</v>
      </c>
      <c r="G14" s="3">
        <v>223672</v>
      </c>
      <c r="H14" s="7" t="str">
        <f>HYPERLINK("http://www.ensembl.org/Mus_musculus/Gene/Summary?db=core;g=ENSMUSG00000057346","ENSMUSG00000057346")</f>
        <v>ENSMUSG00000057346</v>
      </c>
      <c r="I14" s="7" t="str">
        <f>HYPERLINK("http://www.informatics.jax.org/marker/MGI:3606001","MGI:3606001")</f>
        <v>MGI:3606001</v>
      </c>
      <c r="J14" s="4" t="s">
        <v>12</v>
      </c>
    </row>
    <row r="15" spans="1:10" x14ac:dyDescent="0.25">
      <c r="A15" s="2">
        <v>177.46822714770701</v>
      </c>
      <c r="B15" s="3">
        <v>6.2974825845773701</v>
      </c>
      <c r="C15" s="5">
        <v>1.08100709417508E-122</v>
      </c>
      <c r="D15" s="6">
        <v>1.34072074824733E-120</v>
      </c>
      <c r="E15" s="3" t="s">
        <v>329</v>
      </c>
      <c r="F15" s="3" t="s">
        <v>330</v>
      </c>
      <c r="G15" s="3" t="s">
        <v>83</v>
      </c>
      <c r="H15" s="7" t="str">
        <f>HYPERLINK("http://www.ensembl.org/Mus_musculus/Gene/Summary?db=core;g=ENSMUSG00000106734","ENSMUSG00000106734")</f>
        <v>ENSMUSG00000106734</v>
      </c>
      <c r="I15" s="7" t="str">
        <f>HYPERLINK("http://www.informatics.jax.org/marker/MGI:5295666","MGI:5295666")</f>
        <v>MGI:5295666</v>
      </c>
      <c r="J15" s="4" t="s">
        <v>331</v>
      </c>
    </row>
    <row r="16" spans="1:10" x14ac:dyDescent="0.25">
      <c r="A16" s="2">
        <v>991.767413193891</v>
      </c>
      <c r="B16" s="3">
        <v>6.2647897722283297</v>
      </c>
      <c r="C16" s="5">
        <v>7.2364509209260602E-96</v>
      </c>
      <c r="D16" s="6">
        <v>5.4259624395688996E-94</v>
      </c>
      <c r="E16" s="3" t="s">
        <v>538</v>
      </c>
      <c r="F16" s="3" t="s">
        <v>539</v>
      </c>
      <c r="G16" s="3">
        <v>55932</v>
      </c>
      <c r="H16" s="7" t="str">
        <f>HYPERLINK("http://www.ensembl.org/Mus_musculus/Gene/Summary?db=core;g=ENSMUSG00000028268","ENSMUSG00000028268")</f>
        <v>ENSMUSG00000028268</v>
      </c>
      <c r="I16" s="7" t="str">
        <f>HYPERLINK("http://www.informatics.jax.org/marker/MGI:1926263","MGI:1926263")</f>
        <v>MGI:1926263</v>
      </c>
      <c r="J16" s="4" t="s">
        <v>12</v>
      </c>
    </row>
    <row r="17" spans="1:10" x14ac:dyDescent="0.25">
      <c r="A17" s="2">
        <v>2483.7492584788502</v>
      </c>
      <c r="B17" s="3">
        <v>6.15026464600236</v>
      </c>
      <c r="C17" s="5">
        <v>3.1672839518623798E-59</v>
      </c>
      <c r="D17" s="6">
        <v>1.10898071887247E-57</v>
      </c>
      <c r="E17" s="3" t="s">
        <v>1142</v>
      </c>
      <c r="F17" s="3" t="s">
        <v>1143</v>
      </c>
      <c r="G17" s="3">
        <v>22169</v>
      </c>
      <c r="H17" s="7" t="str">
        <f>HYPERLINK("http://www.ensembl.org/Mus_musculus/Gene/Summary?db=core;g=ENSMUSG00000020638","ENSMUSG00000020638")</f>
        <v>ENSMUSG00000020638</v>
      </c>
      <c r="I17" s="7" t="str">
        <f>HYPERLINK("http://www.informatics.jax.org/marker/MGI:99830","MGI:99830")</f>
        <v>MGI:99830</v>
      </c>
      <c r="J17" s="4" t="s">
        <v>12</v>
      </c>
    </row>
    <row r="18" spans="1:10" x14ac:dyDescent="0.25">
      <c r="A18" s="2">
        <v>162.424866278618</v>
      </c>
      <c r="B18" s="3">
        <v>6.1447639526425197</v>
      </c>
      <c r="C18" s="5">
        <v>6.0976260283623298E-117</v>
      </c>
      <c r="D18" s="6">
        <v>6.5707751518745998E-115</v>
      </c>
      <c r="E18" s="3" t="s">
        <v>378</v>
      </c>
      <c r="F18" s="3" t="s">
        <v>379</v>
      </c>
      <c r="G18" s="3">
        <v>17167</v>
      </c>
      <c r="H18" s="7" t="str">
        <f>HYPERLINK("http://www.ensembl.org/Mus_musculus/Gene/Summary?db=core;g=ENSMUSG00000026390","ENSMUSG00000026390")</f>
        <v>ENSMUSG00000026390</v>
      </c>
      <c r="I18" s="7" t="str">
        <f>HYPERLINK("http://www.informatics.jax.org/marker/MGI:1309998","MGI:1309998")</f>
        <v>MGI:1309998</v>
      </c>
      <c r="J18" s="4" t="s">
        <v>12</v>
      </c>
    </row>
    <row r="19" spans="1:10" x14ac:dyDescent="0.25">
      <c r="A19" s="2">
        <v>227.043107397586</v>
      </c>
      <c r="B19" s="3">
        <v>6.1310386686363998</v>
      </c>
      <c r="C19" s="5">
        <v>1.4033140738375201E-55</v>
      </c>
      <c r="D19" s="6">
        <v>4.3717778098065997E-54</v>
      </c>
      <c r="E19" s="3" t="s">
        <v>1282</v>
      </c>
      <c r="F19" s="3" t="s">
        <v>1283</v>
      </c>
      <c r="G19" s="3" t="s">
        <v>83</v>
      </c>
      <c r="H19" s="7" t="str">
        <f>HYPERLINK("http://www.ensembl.org/Mus_musculus/Gene/Summary?db=core;g=ENSMUSG00000092511","ENSMUSG00000092511")</f>
        <v>ENSMUSG00000092511</v>
      </c>
      <c r="I19" s="7" t="str">
        <f>HYPERLINK("http://www.informatics.jax.org/marker/MGI:5142012","MGI:5142012")</f>
        <v>MGI:5142012</v>
      </c>
      <c r="J19" s="4" t="s">
        <v>12</v>
      </c>
    </row>
    <row r="20" spans="1:10" x14ac:dyDescent="0.25">
      <c r="A20" s="2">
        <v>204.53760507952799</v>
      </c>
      <c r="B20" s="3">
        <v>6.1234651019677804</v>
      </c>
      <c r="C20" s="5">
        <v>1.90923533597612E-59</v>
      </c>
      <c r="D20" s="6">
        <v>6.7594471858975097E-58</v>
      </c>
      <c r="E20" s="3" t="s">
        <v>1130</v>
      </c>
      <c r="F20" s="3" t="s">
        <v>1131</v>
      </c>
      <c r="G20" s="3">
        <v>17858</v>
      </c>
      <c r="H20" s="7" t="str">
        <f>HYPERLINK("http://www.ensembl.org/Mus_musculus/Gene/Summary?db=core;g=ENSMUSG00000023341","ENSMUSG00000023341")</f>
        <v>ENSMUSG00000023341</v>
      </c>
      <c r="I20" s="7" t="str">
        <f>HYPERLINK("http://www.informatics.jax.org/marker/MGI:97244","MGI:97244")</f>
        <v>MGI:97244</v>
      </c>
      <c r="J20" s="4" t="s">
        <v>976</v>
      </c>
    </row>
    <row r="21" spans="1:10" x14ac:dyDescent="0.25">
      <c r="A21" s="2">
        <v>492.01093764563899</v>
      </c>
      <c r="B21" s="3">
        <v>6.0852144510014101</v>
      </c>
      <c r="C21" s="5">
        <v>2.4621713954429899E-132</v>
      </c>
      <c r="D21" s="6">
        <v>3.7064137342088401E-130</v>
      </c>
      <c r="E21" s="3" t="s">
        <v>272</v>
      </c>
      <c r="F21" s="3" t="s">
        <v>273</v>
      </c>
      <c r="G21" s="3">
        <v>12985</v>
      </c>
      <c r="H21" s="7" t="str">
        <f>HYPERLINK("http://www.ensembl.org/Mus_musculus/Gene/Summary?db=core;g=ENSMUSG00000038067","ENSMUSG00000038067")</f>
        <v>ENSMUSG00000038067</v>
      </c>
      <c r="I21" s="7" t="str">
        <f>HYPERLINK("http://www.informatics.jax.org/marker/MGI:1339751","MGI:1339751")</f>
        <v>MGI:1339751</v>
      </c>
      <c r="J21" s="4" t="s">
        <v>12</v>
      </c>
    </row>
    <row r="22" spans="1:10" x14ac:dyDescent="0.25">
      <c r="A22" s="2">
        <v>317.52779885943602</v>
      </c>
      <c r="B22" s="3">
        <v>6.0428489046106204</v>
      </c>
      <c r="C22" s="5">
        <v>1.3463009773835599E-82</v>
      </c>
      <c r="D22" s="6">
        <v>8.2195217566575003E-81</v>
      </c>
      <c r="E22" s="3" t="s">
        <v>658</v>
      </c>
      <c r="F22" s="3" t="s">
        <v>659</v>
      </c>
      <c r="G22" s="3">
        <v>381308</v>
      </c>
      <c r="H22" s="7" t="str">
        <f>HYPERLINK("http://www.ensembl.org/Mus_musculus/Gene/Summary?db=core;g=ENSMUSG00000026536","ENSMUSG00000026536")</f>
        <v>ENSMUSG00000026536</v>
      </c>
      <c r="I22" s="7" t="str">
        <f>HYPERLINK("http://www.informatics.jax.org/marker/MGI:3041120","MGI:3041120")</f>
        <v>MGI:3041120</v>
      </c>
      <c r="J22" s="4" t="s">
        <v>12</v>
      </c>
    </row>
    <row r="23" spans="1:10" x14ac:dyDescent="0.25">
      <c r="A23" s="2">
        <v>154.038116603437</v>
      </c>
      <c r="B23" s="3">
        <v>6.00362658071976</v>
      </c>
      <c r="C23" s="5">
        <v>8.19218299602865E-47</v>
      </c>
      <c r="D23" s="6">
        <v>2.0320735683230801E-45</v>
      </c>
      <c r="E23" s="3" t="s">
        <v>1606</v>
      </c>
      <c r="F23" s="3" t="s">
        <v>1607</v>
      </c>
      <c r="G23" s="3">
        <v>226695</v>
      </c>
      <c r="H23" s="7" t="str">
        <f>HYPERLINK("http://www.ensembl.org/Mus_musculus/Gene/Summary?db=core;g=ENSMUSG00000054203","ENSMUSG00000054203")</f>
        <v>ENSMUSG00000054203</v>
      </c>
      <c r="I23" s="7" t="str">
        <f>HYPERLINK("http://www.informatics.jax.org/marker/MGI:101847","MGI:101847")</f>
        <v>MGI:101847</v>
      </c>
      <c r="J23" s="4" t="s">
        <v>12</v>
      </c>
    </row>
    <row r="24" spans="1:10" x14ac:dyDescent="0.25">
      <c r="A24" s="2">
        <v>976.03518898309005</v>
      </c>
      <c r="B24" s="3">
        <v>5.9677088167893997</v>
      </c>
      <c r="C24" s="5">
        <v>4.8350472610749001E-47</v>
      </c>
      <c r="D24" s="6">
        <v>1.20692572137212E-45</v>
      </c>
      <c r="E24" s="3" t="s">
        <v>1596</v>
      </c>
      <c r="F24" s="3" t="s">
        <v>1597</v>
      </c>
      <c r="G24" s="3">
        <v>20310</v>
      </c>
      <c r="H24" s="7" t="str">
        <f>HYPERLINK("http://www.ensembl.org/Mus_musculus/Gene/Summary?db=core;g=ENSMUSG00000058427","ENSMUSG00000058427")</f>
        <v>ENSMUSG00000058427</v>
      </c>
      <c r="I24" s="7" t="str">
        <f>HYPERLINK("http://www.informatics.jax.org/marker/MGI:1340094","MGI:1340094")</f>
        <v>MGI:1340094</v>
      </c>
      <c r="J24" s="4" t="s">
        <v>12</v>
      </c>
    </row>
    <row r="25" spans="1:10" x14ac:dyDescent="0.25">
      <c r="A25" s="2">
        <v>4332.3403581480798</v>
      </c>
      <c r="B25" s="3">
        <v>5.9458206490259498</v>
      </c>
      <c r="C25" s="5">
        <v>9.9081919302192094E-50</v>
      </c>
      <c r="D25" s="6">
        <v>2.6511471487642201E-48</v>
      </c>
      <c r="E25" s="3" t="s">
        <v>1490</v>
      </c>
      <c r="F25" s="3" t="s">
        <v>1491</v>
      </c>
      <c r="G25" s="3">
        <v>15945</v>
      </c>
      <c r="H25" s="7" t="str">
        <f>HYPERLINK("http://www.ensembl.org/Mus_musculus/Gene/Summary?db=core;g=ENSMUSG00000034855","ENSMUSG00000034855")</f>
        <v>ENSMUSG00000034855</v>
      </c>
      <c r="I25" s="7" t="str">
        <f>HYPERLINK("http://www.informatics.jax.org/marker/MGI:1352450","MGI:1352450")</f>
        <v>MGI:1352450</v>
      </c>
      <c r="J25" s="4" t="s">
        <v>12</v>
      </c>
    </row>
    <row r="26" spans="1:10" x14ac:dyDescent="0.25">
      <c r="A26" s="2">
        <v>635.96098848613701</v>
      </c>
      <c r="B26" s="3">
        <v>5.9332878373068301</v>
      </c>
      <c r="C26" s="5">
        <v>2.9682996831150198E-57</v>
      </c>
      <c r="D26" s="6">
        <v>9.7720984559312498E-56</v>
      </c>
      <c r="E26" s="3" t="s">
        <v>1214</v>
      </c>
      <c r="F26" s="3" t="s">
        <v>1215</v>
      </c>
      <c r="G26" s="3">
        <v>15959</v>
      </c>
      <c r="H26" s="7" t="str">
        <f>HYPERLINK("http://www.ensembl.org/Mus_musculus/Gene/Summary?db=core;g=ENSMUSG00000074896","ENSMUSG00000074896")</f>
        <v>ENSMUSG00000074896</v>
      </c>
      <c r="I26" s="7" t="str">
        <f>HYPERLINK("http://www.informatics.jax.org/marker/MGI:1101055","MGI:1101055")</f>
        <v>MGI:1101055</v>
      </c>
      <c r="J26" s="4" t="s">
        <v>12</v>
      </c>
    </row>
    <row r="27" spans="1:10" x14ac:dyDescent="0.25">
      <c r="A27" s="2">
        <v>163.30869117186799</v>
      </c>
      <c r="B27" s="3">
        <v>5.8955675828807896</v>
      </c>
      <c r="C27" s="5">
        <v>8.21504199017173E-57</v>
      </c>
      <c r="D27" s="6">
        <v>2.6776963313419299E-55</v>
      </c>
      <c r="E27" s="3" t="s">
        <v>1226</v>
      </c>
      <c r="F27" s="3" t="s">
        <v>1227</v>
      </c>
      <c r="G27" s="3">
        <v>57444</v>
      </c>
      <c r="H27" s="7" t="str">
        <f>HYPERLINK("http://www.ensembl.org/Mus_musculus/Gene/Summary?db=core;g=ENSMUSG00000039236","ENSMUSG00000039236")</f>
        <v>ENSMUSG00000039236</v>
      </c>
      <c r="I27" s="7" t="str">
        <f>HYPERLINK("http://www.informatics.jax.org/marker/MGI:1928895","MGI:1928895")</f>
        <v>MGI:1928895</v>
      </c>
      <c r="J27" s="4" t="s">
        <v>12</v>
      </c>
    </row>
    <row r="28" spans="1:10" x14ac:dyDescent="0.25">
      <c r="A28" s="2">
        <v>407.81516656592203</v>
      </c>
      <c r="B28" s="3">
        <v>5.8903301145426399</v>
      </c>
      <c r="C28" s="5">
        <v>1.5798095047583502E-67</v>
      </c>
      <c r="D28" s="6">
        <v>6.8924432375740202E-66</v>
      </c>
      <c r="E28" s="3" t="s">
        <v>916</v>
      </c>
      <c r="F28" s="3" t="s">
        <v>917</v>
      </c>
      <c r="G28" s="3">
        <v>229900</v>
      </c>
      <c r="H28" s="7" t="str">
        <f>HYPERLINK("http://www.ensembl.org/Mus_musculus/Gene/Summary?db=core;g=ENSMUSG00000040253","ENSMUSG00000040253")</f>
        <v>ENSMUSG00000040253</v>
      </c>
      <c r="I28" s="7" t="str">
        <f>HYPERLINK("http://www.informatics.jax.org/marker/MGI:2444421","MGI:2444421")</f>
        <v>MGI:2444421</v>
      </c>
      <c r="J28" s="4" t="s">
        <v>12</v>
      </c>
    </row>
    <row r="29" spans="1:10" x14ac:dyDescent="0.25">
      <c r="A29" s="2">
        <v>1442.15242395928</v>
      </c>
      <c r="B29" s="3">
        <v>5.8433838691131301</v>
      </c>
      <c r="C29" s="5">
        <v>1.14446599537987E-47</v>
      </c>
      <c r="D29" s="6">
        <v>2.9121121843730398E-46</v>
      </c>
      <c r="E29" s="3" t="s">
        <v>1566</v>
      </c>
      <c r="F29" s="3" t="s">
        <v>1567</v>
      </c>
      <c r="G29" s="3">
        <v>18126</v>
      </c>
      <c r="H29" s="7" t="str">
        <f>HYPERLINK("http://www.ensembl.org/Mus_musculus/Gene/Summary?db=core;g=ENSMUSG00000020826","ENSMUSG00000020826")</f>
        <v>ENSMUSG00000020826</v>
      </c>
      <c r="I29" s="7" t="str">
        <f>HYPERLINK("http://www.informatics.jax.org/marker/MGI:97361","MGI:97361")</f>
        <v>MGI:97361</v>
      </c>
      <c r="J29" s="4" t="s">
        <v>12</v>
      </c>
    </row>
    <row r="30" spans="1:10" x14ac:dyDescent="0.25">
      <c r="A30" s="2">
        <v>51.6200215231828</v>
      </c>
      <c r="B30" s="3">
        <v>5.7761907233474599</v>
      </c>
      <c r="C30" s="5">
        <v>6.8680522693714503E-70</v>
      </c>
      <c r="D30" s="6">
        <v>3.1424127784687902E-68</v>
      </c>
      <c r="E30" s="3" t="s">
        <v>874</v>
      </c>
      <c r="F30" s="3" t="s">
        <v>875</v>
      </c>
      <c r="G30" s="3">
        <v>71586</v>
      </c>
      <c r="H30" s="7" t="str">
        <f>HYPERLINK("http://www.ensembl.org/Mus_musculus/Gene/Summary?db=core;g=ENSMUSG00000026896","ENSMUSG00000026896")</f>
        <v>ENSMUSG00000026896</v>
      </c>
      <c r="I30" s="7" t="str">
        <f>HYPERLINK("http://www.informatics.jax.org/marker/MGI:1918836","MGI:1918836")</f>
        <v>MGI:1918836</v>
      </c>
      <c r="J30" s="4" t="s">
        <v>12</v>
      </c>
    </row>
    <row r="31" spans="1:10" x14ac:dyDescent="0.25">
      <c r="A31" s="2">
        <v>1165.5933293924099</v>
      </c>
      <c r="B31" s="3">
        <v>5.7761335731319097</v>
      </c>
      <c r="C31" s="5">
        <v>1.06033135602744E-53</v>
      </c>
      <c r="D31" s="6">
        <v>3.1208558717703299E-52</v>
      </c>
      <c r="E31" s="3" t="s">
        <v>1356</v>
      </c>
      <c r="F31" s="3" t="s">
        <v>1357</v>
      </c>
      <c r="G31" s="3">
        <v>15957</v>
      </c>
      <c r="H31" s="7" t="str">
        <f>HYPERLINK("http://www.ensembl.org/Mus_musculus/Gene/Summary?db=core;g=ENSMUSG00000034459","ENSMUSG00000034459")</f>
        <v>ENSMUSG00000034459</v>
      </c>
      <c r="I31" s="7" t="str">
        <f>HYPERLINK("http://www.informatics.jax.org/marker/MGI:99450","MGI:99450")</f>
        <v>MGI:99450</v>
      </c>
      <c r="J31" s="4" t="s">
        <v>12</v>
      </c>
    </row>
    <row r="32" spans="1:10" x14ac:dyDescent="0.25">
      <c r="A32" s="2">
        <v>651.37145793728905</v>
      </c>
      <c r="B32" s="3">
        <v>5.7746303491287003</v>
      </c>
      <c r="C32" s="5">
        <v>5.6210121409105305E-122</v>
      </c>
      <c r="D32" s="6">
        <v>6.9278974636722297E-120</v>
      </c>
      <c r="E32" s="3" t="s">
        <v>332</v>
      </c>
      <c r="F32" s="3" t="s">
        <v>333</v>
      </c>
      <c r="G32" s="3">
        <v>230073</v>
      </c>
      <c r="H32" s="7" t="str">
        <f>HYPERLINK("http://www.ensembl.org/Mus_musculus/Gene/Summary?db=core;g=ENSMUSG00000040296","ENSMUSG00000040296")</f>
        <v>ENSMUSG00000040296</v>
      </c>
      <c r="I32" s="7" t="str">
        <f>HYPERLINK("http://www.informatics.jax.org/marker/MGI:2442858","MGI:2442858")</f>
        <v>MGI:2442858</v>
      </c>
      <c r="J32" s="4" t="s">
        <v>12</v>
      </c>
    </row>
    <row r="33" spans="1:10" x14ac:dyDescent="0.25">
      <c r="A33" s="2">
        <v>179.52450467679299</v>
      </c>
      <c r="B33" s="3">
        <v>5.7611904525159296</v>
      </c>
      <c r="C33" s="5">
        <v>2.3454417481649401E-42</v>
      </c>
      <c r="D33" s="6">
        <v>5.11638399046601E-41</v>
      </c>
      <c r="E33" s="3" t="s">
        <v>1824</v>
      </c>
      <c r="F33" s="3" t="s">
        <v>1825</v>
      </c>
      <c r="G33" s="3" t="s">
        <v>83</v>
      </c>
      <c r="H33" s="7" t="str">
        <f>HYPERLINK("http://www.ensembl.org/Mus_musculus/Gene/Summary?db=core;g=ENSMUSG00000000386","ENSMUSG00000000386")</f>
        <v>ENSMUSG00000000386</v>
      </c>
      <c r="I33" s="7" t="str">
        <f>HYPERLINK("http://www.informatics.jax.org/marker/MGI:97243","MGI:97243")</f>
        <v>MGI:97243</v>
      </c>
      <c r="J33" s="4" t="s">
        <v>976</v>
      </c>
    </row>
    <row r="34" spans="1:10" x14ac:dyDescent="0.25">
      <c r="A34" s="2">
        <v>1218.6698051615999</v>
      </c>
      <c r="B34" s="3">
        <v>5.74611946057012</v>
      </c>
      <c r="C34" s="5">
        <v>9.0865160753274395E-63</v>
      </c>
      <c r="D34" s="6">
        <v>3.5552797024892302E-61</v>
      </c>
      <c r="E34" s="3" t="s">
        <v>1023</v>
      </c>
      <c r="F34" s="3" t="s">
        <v>1024</v>
      </c>
      <c r="G34" s="3">
        <v>23962</v>
      </c>
      <c r="H34" s="7" t="str">
        <f>HYPERLINK("http://www.ensembl.org/Mus_musculus/Gene/Summary?db=core;g=ENSMUSG00000029561","ENSMUSG00000029561")</f>
        <v>ENSMUSG00000029561</v>
      </c>
      <c r="I34" s="7" t="str">
        <f>HYPERLINK("http://www.informatics.jax.org/marker/MGI:1344390","MGI:1344390")</f>
        <v>MGI:1344390</v>
      </c>
      <c r="J34" s="4" t="s">
        <v>12</v>
      </c>
    </row>
    <row r="35" spans="1:10" x14ac:dyDescent="0.25">
      <c r="A35" s="2">
        <v>359.11760784845097</v>
      </c>
      <c r="B35" s="3">
        <v>5.7425431627358599</v>
      </c>
      <c r="C35" s="5">
        <v>3.5128744014964401E-88</v>
      </c>
      <c r="D35" s="6">
        <v>2.34826722703423E-86</v>
      </c>
      <c r="E35" s="3" t="s">
        <v>602</v>
      </c>
      <c r="F35" s="3" t="s">
        <v>603</v>
      </c>
      <c r="G35" s="3">
        <v>327959</v>
      </c>
      <c r="H35" s="7" t="str">
        <f>HYPERLINK("http://www.ensembl.org/Mus_musculus/Gene/Summary?db=core;g=ENSMUSG00000040483","ENSMUSG00000040483")</f>
        <v>ENSMUSG00000040483</v>
      </c>
      <c r="I35" s="7" t="str">
        <f>HYPERLINK("http://www.informatics.jax.org/marker/MGI:3772572","MGI:3772572")</f>
        <v>MGI:3772572</v>
      </c>
      <c r="J35" s="4" t="s">
        <v>12</v>
      </c>
    </row>
    <row r="36" spans="1:10" x14ac:dyDescent="0.25">
      <c r="A36" s="2">
        <v>1673.6098817360601</v>
      </c>
      <c r="B36" s="3">
        <v>5.7051582406169601</v>
      </c>
      <c r="C36" s="5">
        <v>3.1876408346445597E-48</v>
      </c>
      <c r="D36" s="6">
        <v>8.2385684481245997E-47</v>
      </c>
      <c r="E36" s="3" t="s">
        <v>1542</v>
      </c>
      <c r="F36" s="3" t="s">
        <v>1543</v>
      </c>
      <c r="G36" s="3">
        <v>16175</v>
      </c>
      <c r="H36" s="7" t="str">
        <f>HYPERLINK("http://www.ensembl.org/Mus_musculus/Gene/Summary?db=core;g=ENSMUSG00000027399","ENSMUSG00000027399")</f>
        <v>ENSMUSG00000027399</v>
      </c>
      <c r="I36" s="7" t="str">
        <f>HYPERLINK("http://www.informatics.jax.org/marker/MGI:96542","MGI:96542")</f>
        <v>MGI:96542</v>
      </c>
      <c r="J36" s="4" t="s">
        <v>12</v>
      </c>
    </row>
    <row r="37" spans="1:10" x14ac:dyDescent="0.25">
      <c r="A37" s="2">
        <v>1079.6482495042301</v>
      </c>
      <c r="B37" s="3">
        <v>5.6893128133994697</v>
      </c>
      <c r="C37" s="5">
        <v>5.8133048399537598E-80</v>
      </c>
      <c r="D37" s="6">
        <v>3.3519991650259698E-78</v>
      </c>
      <c r="E37" s="3" t="s">
        <v>696</v>
      </c>
      <c r="F37" s="3" t="s">
        <v>697</v>
      </c>
      <c r="G37" s="3">
        <v>54123</v>
      </c>
      <c r="H37" s="7" t="str">
        <f>HYPERLINK("http://www.ensembl.org/Mus_musculus/Gene/Summary?db=core;g=ENSMUSG00000025498","ENSMUSG00000025498")</f>
        <v>ENSMUSG00000025498</v>
      </c>
      <c r="I37" s="7" t="str">
        <f>HYPERLINK("http://www.informatics.jax.org/marker/MGI:1859212","MGI:1859212")</f>
        <v>MGI:1859212</v>
      </c>
      <c r="J37" s="4" t="s">
        <v>12</v>
      </c>
    </row>
    <row r="38" spans="1:10" x14ac:dyDescent="0.25">
      <c r="A38" s="2">
        <v>60.103841103850399</v>
      </c>
      <c r="B38" s="3">
        <v>5.6616017440848303</v>
      </c>
      <c r="C38" s="5">
        <v>5.7326290695236896E-66</v>
      </c>
      <c r="D38" s="6">
        <v>2.4207161723984399E-64</v>
      </c>
      <c r="E38" s="3" t="s">
        <v>948</v>
      </c>
      <c r="F38" s="3" t="s">
        <v>949</v>
      </c>
      <c r="G38" s="3">
        <v>238393</v>
      </c>
      <c r="H38" s="7" t="str">
        <f>HYPERLINK("http://www.ensembl.org/Mus_musculus/Gene/Summary?db=core;g=ENSMUSG00000066363","ENSMUSG00000066363")</f>
        <v>ENSMUSG00000066363</v>
      </c>
      <c r="I38" s="7" t="str">
        <f>HYPERLINK("http://www.informatics.jax.org/marker/MGI:2182838","MGI:2182838")</f>
        <v>MGI:2182838</v>
      </c>
      <c r="J38" s="4" t="s">
        <v>12</v>
      </c>
    </row>
    <row r="39" spans="1:10" x14ac:dyDescent="0.25">
      <c r="A39" s="2">
        <v>228.53711369201801</v>
      </c>
      <c r="B39" s="3">
        <v>5.63184515970371</v>
      </c>
      <c r="C39" s="5">
        <v>9.7952285341385695E-164</v>
      </c>
      <c r="D39" s="6">
        <v>2.47643470119503E-161</v>
      </c>
      <c r="E39" s="3" t="s">
        <v>166</v>
      </c>
      <c r="F39" s="3" t="s">
        <v>167</v>
      </c>
      <c r="G39" s="3">
        <v>104252</v>
      </c>
      <c r="H39" s="7" t="str">
        <f>HYPERLINK("http://www.ensembl.org/Mus_musculus/Gene/Summary?db=core;g=ENSMUSG00000045664","ENSMUSG00000045664")</f>
        <v>ENSMUSG00000045664</v>
      </c>
      <c r="I39" s="7" t="str">
        <f>HYPERLINK("http://www.informatics.jax.org/marker/MGI:1929744","MGI:1929744")</f>
        <v>MGI:1929744</v>
      </c>
      <c r="J39" s="4" t="s">
        <v>12</v>
      </c>
    </row>
    <row r="40" spans="1:10" x14ac:dyDescent="0.25">
      <c r="A40" s="2">
        <v>406.41472071926597</v>
      </c>
      <c r="B40" s="3">
        <v>5.6172837910956899</v>
      </c>
      <c r="C40" s="5">
        <v>9.3009634633108696E-70</v>
      </c>
      <c r="D40" s="6">
        <v>4.23591222855636E-68</v>
      </c>
      <c r="E40" s="3" t="s">
        <v>878</v>
      </c>
      <c r="F40" s="3" t="s">
        <v>879</v>
      </c>
      <c r="G40" s="3">
        <v>327978</v>
      </c>
      <c r="H40" s="7" t="str">
        <f>HYPERLINK("http://www.ensembl.org/Mus_musculus/Gene/Summary?db=core;g=ENSMUSG00000054404","ENSMUSG00000054404")</f>
        <v>ENSMUSG00000054404</v>
      </c>
      <c r="I40" s="7" t="str">
        <f>HYPERLINK("http://www.informatics.jax.org/marker/MGI:1329004","MGI:1329004")</f>
        <v>MGI:1329004</v>
      </c>
      <c r="J40" s="4" t="s">
        <v>12</v>
      </c>
    </row>
    <row r="41" spans="1:10" x14ac:dyDescent="0.25">
      <c r="A41" s="2">
        <v>137.09242551333099</v>
      </c>
      <c r="B41" s="3">
        <v>5.61686445167624</v>
      </c>
      <c r="C41" s="5">
        <v>9.8422806873953896E-39</v>
      </c>
      <c r="D41" s="6">
        <v>1.9159898830743999E-37</v>
      </c>
      <c r="E41" s="3" t="s">
        <v>2043</v>
      </c>
      <c r="F41" s="3" t="s">
        <v>2044</v>
      </c>
      <c r="G41" s="3">
        <v>16193</v>
      </c>
      <c r="H41" s="7" t="str">
        <f>HYPERLINK("http://www.ensembl.org/Mus_musculus/Gene/Summary?db=core;g=ENSMUSG00000025746","ENSMUSG00000025746")</f>
        <v>ENSMUSG00000025746</v>
      </c>
      <c r="I41" s="7" t="str">
        <f>HYPERLINK("http://www.informatics.jax.org/marker/MGI:96559","MGI:96559")</f>
        <v>MGI:96559</v>
      </c>
      <c r="J41" s="4" t="s">
        <v>12</v>
      </c>
    </row>
    <row r="42" spans="1:10" x14ac:dyDescent="0.25">
      <c r="A42" s="2">
        <v>123.094605074523</v>
      </c>
      <c r="B42" s="3">
        <v>5.5921894055281598</v>
      </c>
      <c r="C42" s="5">
        <v>2.0143545710143299E-47</v>
      </c>
      <c r="D42" s="6">
        <v>5.0927015564618797E-46</v>
      </c>
      <c r="E42" s="3" t="s">
        <v>1576</v>
      </c>
      <c r="F42" s="3" t="s">
        <v>1577</v>
      </c>
      <c r="G42" s="3">
        <v>236312</v>
      </c>
      <c r="H42" s="7" t="str">
        <f>HYPERLINK("http://www.ensembl.org/Mus_musculus/Gene/Summary?db=core;g=ENSMUSG00000043263","ENSMUSG00000043263")</f>
        <v>ENSMUSG00000043263</v>
      </c>
      <c r="I42" s="7" t="str">
        <f>HYPERLINK("http://www.informatics.jax.org/marker/MGI:2138243","MGI:2138243")</f>
        <v>MGI:2138243</v>
      </c>
      <c r="J42" s="4" t="s">
        <v>12</v>
      </c>
    </row>
    <row r="43" spans="1:10" x14ac:dyDescent="0.25">
      <c r="A43" s="2">
        <v>39.629047980989199</v>
      </c>
      <c r="B43" s="3">
        <v>5.5501305271611399</v>
      </c>
      <c r="C43" s="5">
        <v>2.8157001424199703E-48</v>
      </c>
      <c r="D43" s="6">
        <v>7.2964003690567399E-47</v>
      </c>
      <c r="E43" s="3" t="s">
        <v>1538</v>
      </c>
      <c r="F43" s="3" t="s">
        <v>1539</v>
      </c>
      <c r="G43" s="3">
        <v>71898</v>
      </c>
      <c r="H43" s="7" t="str">
        <f>HYPERLINK("http://www.ensembl.org/Mus_musculus/Gene/Summary?db=core;g=ENSMUSG00000068246","ENSMUSG00000068246")</f>
        <v>ENSMUSG00000068246</v>
      </c>
      <c r="I43" s="7" t="str">
        <f>HYPERLINK("http://www.informatics.jax.org/marker/MGI:1919148","MGI:1919148")</f>
        <v>MGI:1919148</v>
      </c>
      <c r="J43" s="4" t="s">
        <v>12</v>
      </c>
    </row>
    <row r="44" spans="1:10" x14ac:dyDescent="0.25">
      <c r="A44" s="2">
        <v>3052.6768361602499</v>
      </c>
      <c r="B44" s="3">
        <v>5.5466571554865096</v>
      </c>
      <c r="C44" s="5">
        <v>1.2762518948384901E-137</v>
      </c>
      <c r="D44" s="6">
        <v>2.0629251939520499E-135</v>
      </c>
      <c r="E44" s="3" t="s">
        <v>254</v>
      </c>
      <c r="F44" s="3" t="s">
        <v>255</v>
      </c>
      <c r="G44" s="3">
        <v>20303</v>
      </c>
      <c r="H44" s="7" t="str">
        <f>HYPERLINK("http://www.ensembl.org/Mus_musculus/Gene/Summary?db=core;g=ENSMUSG00000018930","ENSMUSG00000018930")</f>
        <v>ENSMUSG00000018930</v>
      </c>
      <c r="I44" s="7" t="str">
        <f>HYPERLINK("http://www.informatics.jax.org/marker/MGI:98261","MGI:98261")</f>
        <v>MGI:98261</v>
      </c>
      <c r="J44" s="4" t="s">
        <v>12</v>
      </c>
    </row>
    <row r="45" spans="1:10" x14ac:dyDescent="0.25">
      <c r="A45" s="2">
        <v>55.274878370703597</v>
      </c>
      <c r="B45" s="3">
        <v>5.5408617986624096</v>
      </c>
      <c r="C45" s="5">
        <v>5.7843315805255803E-54</v>
      </c>
      <c r="D45" s="6">
        <v>1.7204678547204301E-52</v>
      </c>
      <c r="E45" s="3" t="s">
        <v>1342</v>
      </c>
      <c r="F45" s="3" t="s">
        <v>1343</v>
      </c>
      <c r="G45" s="3" t="s">
        <v>83</v>
      </c>
      <c r="H45" s="7" t="str">
        <f>HYPERLINK("http://www.ensembl.org/Mus_musculus/Gene/Summary?db=core;g=ENSMUSG00000105338","ENSMUSG00000105338")</f>
        <v>ENSMUSG00000105338</v>
      </c>
      <c r="I45" s="7" t="str">
        <f>HYPERLINK("http://www.informatics.jax.org/marker/MGI:5663939","MGI:5663939")</f>
        <v>MGI:5663939</v>
      </c>
      <c r="J45" s="4" t="s">
        <v>1043</v>
      </c>
    </row>
    <row r="46" spans="1:10" x14ac:dyDescent="0.25">
      <c r="A46" s="2">
        <v>307.31311626318097</v>
      </c>
      <c r="B46" s="3">
        <v>5.5232339362987002</v>
      </c>
      <c r="C46" s="5">
        <v>1.6035033372230701E-36</v>
      </c>
      <c r="D46" s="6">
        <v>2.9305918266949902E-35</v>
      </c>
      <c r="E46" s="3" t="s">
        <v>2175</v>
      </c>
      <c r="F46" s="3" t="s">
        <v>2176</v>
      </c>
      <c r="G46" s="3">
        <v>229898</v>
      </c>
      <c r="H46" s="7" t="str">
        <f>HYPERLINK("http://www.ensembl.org/Mus_musculus/Gene/Summary?db=core;g=ENSMUSG00000105504","ENSMUSG00000105504")</f>
        <v>ENSMUSG00000105504</v>
      </c>
      <c r="I46" s="7" t="str">
        <f>HYPERLINK("http://www.informatics.jax.org/marker/MGI:2429943","MGI:2429943")</f>
        <v>MGI:2429943</v>
      </c>
      <c r="J46" s="4" t="s">
        <v>12</v>
      </c>
    </row>
    <row r="47" spans="1:10" x14ac:dyDescent="0.25">
      <c r="A47" s="2">
        <v>29.2221486502511</v>
      </c>
      <c r="B47" s="3">
        <v>5.5136820380650402</v>
      </c>
      <c r="C47" s="5">
        <v>6.5057198012231706E-42</v>
      </c>
      <c r="D47" s="6">
        <v>1.39297279565821E-40</v>
      </c>
      <c r="E47" s="3" t="s">
        <v>1859</v>
      </c>
      <c r="F47" s="3" t="s">
        <v>1860</v>
      </c>
      <c r="G47" s="3">
        <v>12515</v>
      </c>
      <c r="H47" s="7" t="str">
        <f>HYPERLINK("http://www.ensembl.org/Mus_musculus/Gene/Summary?db=core;g=ENSMUSG00000030156","ENSMUSG00000030156")</f>
        <v>ENSMUSG00000030156</v>
      </c>
      <c r="I47" s="7" t="str">
        <f>HYPERLINK("http://www.informatics.jax.org/marker/MGI:88343","MGI:88343")</f>
        <v>MGI:88343</v>
      </c>
      <c r="J47" s="4" t="s">
        <v>12</v>
      </c>
    </row>
    <row r="48" spans="1:10" x14ac:dyDescent="0.25">
      <c r="A48" s="2">
        <v>191.100711204102</v>
      </c>
      <c r="B48" s="3">
        <v>5.4914122521351398</v>
      </c>
      <c r="C48" s="5">
        <v>1.11953859537167E-57</v>
      </c>
      <c r="D48" s="6">
        <v>3.7292738345826598E-56</v>
      </c>
      <c r="E48" s="3" t="s">
        <v>1200</v>
      </c>
      <c r="F48" s="3" t="s">
        <v>1201</v>
      </c>
      <c r="G48" s="3">
        <v>14990</v>
      </c>
      <c r="H48" s="7" t="str">
        <f>HYPERLINK("http://www.ensembl.org/Mus_musculus/Gene/Summary?db=core;g=ENSMUSG00000016283","ENSMUSG00000016283")</f>
        <v>ENSMUSG00000016283</v>
      </c>
      <c r="I48" s="7" t="str">
        <f>HYPERLINK("http://www.informatics.jax.org/marker/MGI:95914","MGI:95914")</f>
        <v>MGI:95914</v>
      </c>
      <c r="J48" s="4" t="s">
        <v>12</v>
      </c>
    </row>
    <row r="49" spans="1:10" x14ac:dyDescent="0.25">
      <c r="A49" s="2">
        <v>1526.3644436676</v>
      </c>
      <c r="B49" s="3">
        <v>5.4656250457958402</v>
      </c>
      <c r="C49" s="5">
        <v>8.3815185238403297E-35</v>
      </c>
      <c r="D49" s="6">
        <v>1.44605026500552E-33</v>
      </c>
      <c r="E49" s="3" t="s">
        <v>2303</v>
      </c>
      <c r="F49" s="3" t="s">
        <v>2304</v>
      </c>
      <c r="G49" s="3">
        <v>16176</v>
      </c>
      <c r="H49" s="7" t="str">
        <f>HYPERLINK("http://www.ensembl.org/Mus_musculus/Gene/Summary?db=core;g=ENSMUSG00000027398","ENSMUSG00000027398")</f>
        <v>ENSMUSG00000027398</v>
      </c>
      <c r="I49" s="7" t="str">
        <f>HYPERLINK("http://www.informatics.jax.org/marker/MGI:96543","MGI:96543")</f>
        <v>MGI:96543</v>
      </c>
      <c r="J49" s="4" t="s">
        <v>12</v>
      </c>
    </row>
    <row r="50" spans="1:10" x14ac:dyDescent="0.25">
      <c r="A50" s="2">
        <v>545.67610522212897</v>
      </c>
      <c r="B50" s="3">
        <v>5.4579843044057199</v>
      </c>
      <c r="C50" s="5">
        <v>1.83221874681103E-60</v>
      </c>
      <c r="D50" s="6">
        <v>6.6786236020542599E-59</v>
      </c>
      <c r="E50" s="3" t="s">
        <v>1098</v>
      </c>
      <c r="F50" s="3" t="s">
        <v>1099</v>
      </c>
      <c r="G50" s="3">
        <v>67775</v>
      </c>
      <c r="H50" s="7" t="str">
        <f>HYPERLINK("http://www.ensembl.org/Mus_musculus/Gene/Summary?db=core;g=ENSMUSG00000033355","ENSMUSG00000033355")</f>
        <v>ENSMUSG00000033355</v>
      </c>
      <c r="I50" s="7" t="str">
        <f>HYPERLINK("http://www.informatics.jax.org/marker/MGI:1915025","MGI:1915025")</f>
        <v>MGI:1915025</v>
      </c>
      <c r="J50" s="4" t="s">
        <v>12</v>
      </c>
    </row>
    <row r="51" spans="1:10" x14ac:dyDescent="0.25">
      <c r="A51" s="2">
        <v>78.8890334725005</v>
      </c>
      <c r="B51" s="3">
        <v>5.4471217866407304</v>
      </c>
      <c r="C51" s="5">
        <v>2.52743317533334E-34</v>
      </c>
      <c r="D51" s="6">
        <v>4.2745267768073301E-33</v>
      </c>
      <c r="E51" s="3" t="s">
        <v>2349</v>
      </c>
      <c r="F51" s="3" t="s">
        <v>2350</v>
      </c>
      <c r="G51" s="3">
        <v>246779</v>
      </c>
      <c r="H51" s="7" t="str">
        <f>HYPERLINK("http://www.ensembl.org/Mus_musculus/Gene/Summary?db=core;g=ENSMUSG00000044701","ENSMUSG00000044701")</f>
        <v>ENSMUSG00000044701</v>
      </c>
      <c r="I51" s="7" t="str">
        <f>HYPERLINK("http://www.informatics.jax.org/marker/MGI:2384409","MGI:2384409")</f>
        <v>MGI:2384409</v>
      </c>
      <c r="J51" s="4" t="s">
        <v>12</v>
      </c>
    </row>
    <row r="52" spans="1:10" x14ac:dyDescent="0.25">
      <c r="A52" s="2">
        <v>2381.6876232986101</v>
      </c>
      <c r="B52" s="3">
        <v>5.4462127449445301</v>
      </c>
      <c r="C52" s="5">
        <v>5.9077806067224203E-272</v>
      </c>
      <c r="D52" s="6">
        <v>5.0652797201985299E-269</v>
      </c>
      <c r="E52" s="3" t="s">
        <v>55</v>
      </c>
      <c r="F52" s="3" t="s">
        <v>56</v>
      </c>
      <c r="G52" s="3">
        <v>19225</v>
      </c>
      <c r="H52" s="7" t="str">
        <f>HYPERLINK("http://www.ensembl.org/Mus_musculus/Gene/Summary?db=core;g=ENSMUSG00000032487","ENSMUSG00000032487")</f>
        <v>ENSMUSG00000032487</v>
      </c>
      <c r="I52" s="7" t="str">
        <f>HYPERLINK("http://www.informatics.jax.org/marker/MGI:97798","MGI:97798")</f>
        <v>MGI:97798</v>
      </c>
      <c r="J52" s="4" t="s">
        <v>12</v>
      </c>
    </row>
    <row r="53" spans="1:10" x14ac:dyDescent="0.25">
      <c r="A53" s="2">
        <v>104.992251643616</v>
      </c>
      <c r="B53" s="3">
        <v>5.4341420401237297</v>
      </c>
      <c r="C53" s="5">
        <v>2.3918523444025801E-55</v>
      </c>
      <c r="D53" s="6">
        <v>7.4162465772985706E-54</v>
      </c>
      <c r="E53" s="3" t="s">
        <v>1288</v>
      </c>
      <c r="F53" s="3" t="s">
        <v>1289</v>
      </c>
      <c r="G53" s="3">
        <v>16819</v>
      </c>
      <c r="H53" s="7" t="str">
        <f>HYPERLINK("http://www.ensembl.org/Mus_musculus/Gene/Summary?db=core;g=ENSMUSG00000026822","ENSMUSG00000026822")</f>
        <v>ENSMUSG00000026822</v>
      </c>
      <c r="I53" s="7" t="str">
        <f>HYPERLINK("http://www.informatics.jax.org/marker/MGI:96757","MGI:96757")</f>
        <v>MGI:96757</v>
      </c>
      <c r="J53" s="4" t="s">
        <v>12</v>
      </c>
    </row>
    <row r="54" spans="1:10" x14ac:dyDescent="0.25">
      <c r="A54" s="2">
        <v>4311.1992733896504</v>
      </c>
      <c r="B54" s="3">
        <v>5.42017306389792</v>
      </c>
      <c r="C54" s="5">
        <v>1.4208609209193701E-123</v>
      </c>
      <c r="D54" s="6">
        <v>1.7846737172312101E-121</v>
      </c>
      <c r="E54" s="3" t="s">
        <v>325</v>
      </c>
      <c r="F54" s="3" t="s">
        <v>326</v>
      </c>
      <c r="G54" s="3">
        <v>547253</v>
      </c>
      <c r="H54" s="7" t="str">
        <f>HYPERLINK("http://www.ensembl.org/Mus_musculus/Gene/Summary?db=core;g=ENSMUSG00000034422","ENSMUSG00000034422")</f>
        <v>ENSMUSG00000034422</v>
      </c>
      <c r="I54" s="7" t="str">
        <f>HYPERLINK("http://www.informatics.jax.org/marker/MGI:1919489","MGI:1919489")</f>
        <v>MGI:1919489</v>
      </c>
      <c r="J54" s="4" t="s">
        <v>12</v>
      </c>
    </row>
    <row r="55" spans="1:10" x14ac:dyDescent="0.25">
      <c r="A55" s="2">
        <v>112.95487225519101</v>
      </c>
      <c r="B55" s="3">
        <v>5.4171711077188496</v>
      </c>
      <c r="C55" s="5">
        <v>1.6505309408526901E-45</v>
      </c>
      <c r="D55" s="6">
        <v>3.9120757396172001E-44</v>
      </c>
      <c r="E55" s="3" t="s">
        <v>1680</v>
      </c>
      <c r="F55" s="3" t="s">
        <v>1681</v>
      </c>
      <c r="G55" s="3">
        <v>20684</v>
      </c>
      <c r="H55" s="7" t="str">
        <f>HYPERLINK("http://www.ensembl.org/Mus_musculus/Gene/Summary?db=core;g=ENSMUSG00000026222","ENSMUSG00000026222")</f>
        <v>ENSMUSG00000026222</v>
      </c>
      <c r="I55" s="7" t="str">
        <f>HYPERLINK("http://www.informatics.jax.org/marker/MGI:109561","MGI:109561")</f>
        <v>MGI:109561</v>
      </c>
      <c r="J55" s="4" t="s">
        <v>12</v>
      </c>
    </row>
    <row r="56" spans="1:10" x14ac:dyDescent="0.25">
      <c r="A56" s="2">
        <v>35.504684734999501</v>
      </c>
      <c r="B56" s="3">
        <v>5.4062877531552296</v>
      </c>
      <c r="C56" s="5">
        <v>9.8094951459236807E-50</v>
      </c>
      <c r="D56" s="6">
        <v>2.6283049494241201E-48</v>
      </c>
      <c r="E56" s="3" t="s">
        <v>1488</v>
      </c>
      <c r="F56" s="3" t="s">
        <v>1489</v>
      </c>
      <c r="G56" s="3">
        <v>58203</v>
      </c>
      <c r="H56" s="7" t="str">
        <f>HYPERLINK("http://www.ensembl.org/Mus_musculus/Gene/Summary?db=core;g=ENSMUSG00000027514","ENSMUSG00000027514")</f>
        <v>ENSMUSG00000027514</v>
      </c>
      <c r="I56" s="7" t="str">
        <f>HYPERLINK("http://www.informatics.jax.org/marker/MGI:1927449","MGI:1927449")</f>
        <v>MGI:1927449</v>
      </c>
      <c r="J56" s="4" t="s">
        <v>12</v>
      </c>
    </row>
    <row r="57" spans="1:10" x14ac:dyDescent="0.25">
      <c r="A57" s="2">
        <v>69.599542086948802</v>
      </c>
      <c r="B57" s="3">
        <v>5.4056644162270997</v>
      </c>
      <c r="C57" s="5">
        <v>9.7662543728172399E-60</v>
      </c>
      <c r="D57" s="6">
        <v>3.50164611330829E-58</v>
      </c>
      <c r="E57" s="3" t="s">
        <v>1116</v>
      </c>
      <c r="F57" s="3" t="s">
        <v>1117</v>
      </c>
      <c r="G57" s="3">
        <v>15186</v>
      </c>
      <c r="H57" s="7" t="str">
        <f>HYPERLINK("http://www.ensembl.org/Mus_musculus/Gene/Summary?db=core;g=ENSMUSG00000027360","ENSMUSG00000027360")</f>
        <v>ENSMUSG00000027360</v>
      </c>
      <c r="I57" s="7" t="str">
        <f>HYPERLINK("http://www.informatics.jax.org/marker/MGI:96062","MGI:96062")</f>
        <v>MGI:96062</v>
      </c>
      <c r="J57" s="4" t="s">
        <v>12</v>
      </c>
    </row>
    <row r="58" spans="1:10" x14ac:dyDescent="0.25">
      <c r="A58" s="2">
        <v>2801.6289013333899</v>
      </c>
      <c r="B58" s="3">
        <v>5.3444983128126102</v>
      </c>
      <c r="C58" s="5">
        <v>8.4918632935856702E-119</v>
      </c>
      <c r="D58" s="6">
        <v>9.6797424363878297E-117</v>
      </c>
      <c r="E58" s="3" t="s">
        <v>358</v>
      </c>
      <c r="F58" s="3" t="s">
        <v>359</v>
      </c>
      <c r="G58" s="3">
        <v>21939</v>
      </c>
      <c r="H58" s="7" t="str">
        <f>HYPERLINK("http://www.ensembl.org/Mus_musculus/Gene/Summary?db=core;g=ENSMUSG00000017652","ENSMUSG00000017652")</f>
        <v>ENSMUSG00000017652</v>
      </c>
      <c r="I58" s="7" t="str">
        <f>HYPERLINK("http://www.informatics.jax.org/marker/MGI:88336","MGI:88336")</f>
        <v>MGI:88336</v>
      </c>
      <c r="J58" s="4" t="s">
        <v>12</v>
      </c>
    </row>
    <row r="59" spans="1:10" x14ac:dyDescent="0.25">
      <c r="A59" s="2">
        <v>3637.3655226058299</v>
      </c>
      <c r="B59" s="3">
        <v>5.3424637203101897</v>
      </c>
      <c r="C59" s="5">
        <v>1.1204202337147401E-62</v>
      </c>
      <c r="D59" s="6">
        <v>4.3579264317267598E-61</v>
      </c>
      <c r="E59" s="3" t="s">
        <v>1029</v>
      </c>
      <c r="F59" s="3" t="s">
        <v>1030</v>
      </c>
      <c r="G59" s="3">
        <v>20210</v>
      </c>
      <c r="H59" s="7" t="str">
        <f>HYPERLINK("http://www.ensembl.org/Mus_musculus/Gene/Summary?db=core;g=ENSMUSG00000040026","ENSMUSG00000040026")</f>
        <v>ENSMUSG00000040026</v>
      </c>
      <c r="I59" s="7" t="str">
        <f>HYPERLINK("http://www.informatics.jax.org/marker/MGI:98223","MGI:98223")</f>
        <v>MGI:98223</v>
      </c>
      <c r="J59" s="4" t="s">
        <v>12</v>
      </c>
    </row>
    <row r="60" spans="1:10" x14ac:dyDescent="0.25">
      <c r="A60" s="2">
        <v>43.112993403981498</v>
      </c>
      <c r="B60" s="3">
        <v>5.3422838775748396</v>
      </c>
      <c r="C60" s="5">
        <v>6.58089871427805E-56</v>
      </c>
      <c r="D60" s="6">
        <v>2.0830709894954E-54</v>
      </c>
      <c r="E60" s="3" t="s">
        <v>1262</v>
      </c>
      <c r="F60" s="3" t="s">
        <v>1263</v>
      </c>
      <c r="G60" s="3">
        <v>74481</v>
      </c>
      <c r="H60" s="7" t="str">
        <f>HYPERLINK("http://www.ensembl.org/Mus_musculus/Gene/Summary?db=core;g=ENSMUSG00000039699","ENSMUSG00000039699")</f>
        <v>ENSMUSG00000039699</v>
      </c>
      <c r="I60" s="7" t="str">
        <f>HYPERLINK("http://www.informatics.jax.org/marker/MGI:1921731","MGI:1921731")</f>
        <v>MGI:1921731</v>
      </c>
      <c r="J60" s="4" t="s">
        <v>12</v>
      </c>
    </row>
    <row r="61" spans="1:10" x14ac:dyDescent="0.25">
      <c r="A61" s="2">
        <v>256.32156806284399</v>
      </c>
      <c r="B61" s="3">
        <v>5.31535101766426</v>
      </c>
      <c r="C61" s="5">
        <v>7.6436850722435798E-56</v>
      </c>
      <c r="D61" s="6">
        <v>2.4117355139942901E-54</v>
      </c>
      <c r="E61" s="3" t="s">
        <v>1266</v>
      </c>
      <c r="F61" s="3" t="s">
        <v>1267</v>
      </c>
      <c r="G61" s="3">
        <v>54199</v>
      </c>
      <c r="H61" s="7" t="str">
        <f>HYPERLINK("http://www.ensembl.org/Mus_musculus/Gene/Summary?db=core;g=ENSMUSG00000043953","ENSMUSG00000043953")</f>
        <v>ENSMUSG00000043953</v>
      </c>
      <c r="I61" s="7" t="str">
        <f>HYPERLINK("http://www.informatics.jax.org/marker/MGI:1920904","MGI:1920904")</f>
        <v>MGI:1920904</v>
      </c>
      <c r="J61" s="4" t="s">
        <v>12</v>
      </c>
    </row>
    <row r="62" spans="1:10" x14ac:dyDescent="0.25">
      <c r="A62" s="2">
        <v>49.477212621058897</v>
      </c>
      <c r="B62" s="3">
        <v>5.3007991959443599</v>
      </c>
      <c r="C62" s="5">
        <v>2.57099516722187E-54</v>
      </c>
      <c r="D62" s="6">
        <v>7.7522973543754403E-53</v>
      </c>
      <c r="E62" s="3" t="s">
        <v>1324</v>
      </c>
      <c r="F62" s="3" t="s">
        <v>1325</v>
      </c>
      <c r="G62" s="3">
        <v>329278</v>
      </c>
      <c r="H62" s="7" t="str">
        <f>HYPERLINK("http://www.ensembl.org/Mus_musculus/Gene/Summary?db=core;g=ENSMUSG00000026725","ENSMUSG00000026725")</f>
        <v>ENSMUSG00000026725</v>
      </c>
      <c r="I62" s="7" t="str">
        <f>HYPERLINK("http://www.informatics.jax.org/marker/MGI:2665790","MGI:2665790")</f>
        <v>MGI:2665790</v>
      </c>
      <c r="J62" s="4" t="s">
        <v>12</v>
      </c>
    </row>
    <row r="63" spans="1:10" x14ac:dyDescent="0.25">
      <c r="A63" s="2">
        <v>220.655911117269</v>
      </c>
      <c r="B63" s="3">
        <v>5.2789497205671703</v>
      </c>
      <c r="C63" s="5">
        <v>1.7882204055449699E-162</v>
      </c>
      <c r="D63" s="6">
        <v>4.4637603034616199E-160</v>
      </c>
      <c r="E63" s="3" t="s">
        <v>168</v>
      </c>
      <c r="F63" s="3" t="s">
        <v>169</v>
      </c>
      <c r="G63" s="3">
        <v>15042</v>
      </c>
      <c r="H63" s="7" t="str">
        <f>HYPERLINK("http://www.ensembl.org/Mus_musculus/Gene/Summary?db=core;g=ENSMUSG00000053835","ENSMUSG00000053835")</f>
        <v>ENSMUSG00000053835</v>
      </c>
      <c r="I63" s="7" t="str">
        <f>HYPERLINK("http://www.informatics.jax.org/marker/MGI:95958","MGI:95958")</f>
        <v>MGI:95958</v>
      </c>
      <c r="J63" s="4" t="s">
        <v>12</v>
      </c>
    </row>
    <row r="64" spans="1:10" x14ac:dyDescent="0.25">
      <c r="A64" s="2">
        <v>893.98898573699796</v>
      </c>
      <c r="B64" s="3">
        <v>5.21984650247955</v>
      </c>
      <c r="C64" s="5">
        <v>3.2355369995349E-46</v>
      </c>
      <c r="D64" s="6">
        <v>7.8771345223244604E-45</v>
      </c>
      <c r="E64" s="3" t="s">
        <v>1636</v>
      </c>
      <c r="F64" s="3" t="s">
        <v>1637</v>
      </c>
      <c r="G64" s="3">
        <v>22029</v>
      </c>
      <c r="H64" s="7" t="str">
        <f>HYPERLINK("http://www.ensembl.org/Mus_musculus/Gene/Summary?db=core;g=ENSMUSG00000026875","ENSMUSG00000026875")</f>
        <v>ENSMUSG00000026875</v>
      </c>
      <c r="I64" s="7" t="str">
        <f>HYPERLINK("http://www.informatics.jax.org/marker/MGI:101836","MGI:101836")</f>
        <v>MGI:101836</v>
      </c>
      <c r="J64" s="4" t="s">
        <v>12</v>
      </c>
    </row>
    <row r="65" spans="1:10" x14ac:dyDescent="0.25">
      <c r="A65" s="2">
        <v>51.692523851442303</v>
      </c>
      <c r="B65" s="3">
        <v>5.2012475127390996</v>
      </c>
      <c r="C65" s="5">
        <v>3.0376748826572798E-49</v>
      </c>
      <c r="D65" s="6">
        <v>8.0514715975808499E-48</v>
      </c>
      <c r="E65" s="3" t="s">
        <v>1504</v>
      </c>
      <c r="F65" s="3" t="s">
        <v>1505</v>
      </c>
      <c r="G65" s="3">
        <v>75345</v>
      </c>
      <c r="H65" s="7" t="str">
        <f>HYPERLINK("http://www.ensembl.org/Mus_musculus/Gene/Summary?db=core;g=ENSMUSG00000038179","ENSMUSG00000038179")</f>
        <v>ENSMUSG00000038179</v>
      </c>
      <c r="I65" s="7" t="str">
        <f>HYPERLINK("http://www.informatics.jax.org/marker/MGI:1922595","MGI:1922595")</f>
        <v>MGI:1922595</v>
      </c>
      <c r="J65" s="4" t="s">
        <v>12</v>
      </c>
    </row>
    <row r="66" spans="1:10" x14ac:dyDescent="0.25">
      <c r="A66" s="2">
        <v>693.664954022355</v>
      </c>
      <c r="B66" s="3">
        <v>5.1692875956127899</v>
      </c>
      <c r="C66" s="5">
        <v>1.1593434603838201E-45</v>
      </c>
      <c r="D66" s="6">
        <v>2.7611416713489098E-44</v>
      </c>
      <c r="E66" s="3" t="s">
        <v>1672</v>
      </c>
      <c r="F66" s="3" t="s">
        <v>1673</v>
      </c>
      <c r="G66" s="3">
        <v>24110</v>
      </c>
      <c r="H66" s="7" t="str">
        <f>HYPERLINK("http://www.ensembl.org/Mus_musculus/Gene/Summary?db=core;g=ENSMUSG00000030107","ENSMUSG00000030107")</f>
        <v>ENSMUSG00000030107</v>
      </c>
      <c r="I66" s="7" t="str">
        <f>HYPERLINK("http://www.informatics.jax.org/marker/MGI:1344364","MGI:1344364")</f>
        <v>MGI:1344364</v>
      </c>
      <c r="J66" s="4" t="s">
        <v>12</v>
      </c>
    </row>
    <row r="67" spans="1:10" x14ac:dyDescent="0.25">
      <c r="A67" s="2">
        <v>117.220811166755</v>
      </c>
      <c r="B67" s="3">
        <v>5.1689145170299904</v>
      </c>
      <c r="C67" s="5">
        <v>1.34169329754357E-43</v>
      </c>
      <c r="D67" s="6">
        <v>3.0203415328263798E-42</v>
      </c>
      <c r="E67" s="3" t="s">
        <v>1768</v>
      </c>
      <c r="F67" s="3" t="s">
        <v>1769</v>
      </c>
      <c r="G67" s="3" t="s">
        <v>83</v>
      </c>
      <c r="H67" s="7" t="str">
        <f>HYPERLINK("http://www.ensembl.org/Mus_musculus/Gene/Summary?db=core;g=ENSMUSG00000082292","ENSMUSG00000082292")</f>
        <v>ENSMUSG00000082292</v>
      </c>
      <c r="I67" s="7" t="str">
        <f>HYPERLINK("http://www.informatics.jax.org/marker/MGI:3649299","MGI:3649299")</f>
        <v>MGI:3649299</v>
      </c>
      <c r="J67" s="4" t="s">
        <v>1043</v>
      </c>
    </row>
    <row r="68" spans="1:10" x14ac:dyDescent="0.25">
      <c r="A68" s="2">
        <v>128.89217967965499</v>
      </c>
      <c r="B68" s="3">
        <v>5.1671520841822396</v>
      </c>
      <c r="C68" s="5">
        <v>2.2988676684868599E-35</v>
      </c>
      <c r="D68" s="6">
        <v>4.0368361907890402E-34</v>
      </c>
      <c r="E68" s="3" t="s">
        <v>2263</v>
      </c>
      <c r="F68" s="3" t="s">
        <v>2264</v>
      </c>
      <c r="G68" s="3">
        <v>667370</v>
      </c>
      <c r="H68" s="7" t="str">
        <f>HYPERLINK("http://www.ensembl.org/Mus_musculus/Gene/Summary?db=core;g=ENSMUSG00000062488","ENSMUSG00000062488")</f>
        <v>ENSMUSG00000062488</v>
      </c>
      <c r="I68" s="7" t="str">
        <f>HYPERLINK("http://www.informatics.jax.org/marker/MGI:3698419","MGI:3698419")</f>
        <v>MGI:3698419</v>
      </c>
      <c r="J68" s="4" t="s">
        <v>12</v>
      </c>
    </row>
    <row r="69" spans="1:10" x14ac:dyDescent="0.25">
      <c r="A69" s="2">
        <v>2997.2076560687901</v>
      </c>
      <c r="B69" s="3">
        <v>5.1441353163802601</v>
      </c>
      <c r="C69" s="5">
        <v>4.3938449973572202E-106</v>
      </c>
      <c r="D69" s="6">
        <v>3.9206616899495202E-104</v>
      </c>
      <c r="E69" s="3" t="s">
        <v>454</v>
      </c>
      <c r="F69" s="3" t="s">
        <v>455</v>
      </c>
      <c r="G69" s="3">
        <v>15958</v>
      </c>
      <c r="H69" s="7" t="str">
        <f>HYPERLINK("http://www.ensembl.org/Mus_musculus/Gene/Summary?db=core;g=ENSMUSG00000045932","ENSMUSG00000045932")</f>
        <v>ENSMUSG00000045932</v>
      </c>
      <c r="I69" s="7" t="str">
        <f>HYPERLINK("http://www.informatics.jax.org/marker/MGI:99449","MGI:99449")</f>
        <v>MGI:99449</v>
      </c>
      <c r="J69" s="4" t="s">
        <v>12</v>
      </c>
    </row>
    <row r="70" spans="1:10" x14ac:dyDescent="0.25">
      <c r="A70" s="2">
        <v>10598.196282885599</v>
      </c>
      <c r="B70" s="3">
        <v>5.1405024116856204</v>
      </c>
      <c r="C70" s="5">
        <v>1.0933959185655E-32</v>
      </c>
      <c r="D70" s="6">
        <v>1.73465547177084E-31</v>
      </c>
      <c r="E70" s="3" t="s">
        <v>2503</v>
      </c>
      <c r="F70" s="3" t="s">
        <v>2504</v>
      </c>
      <c r="G70" s="3">
        <v>58185</v>
      </c>
      <c r="H70" s="7" t="str">
        <f>HYPERLINK("http://www.ensembl.org/Mus_musculus/Gene/Summary?db=core;g=ENSMUSG00000020641","ENSMUSG00000020641")</f>
        <v>ENSMUSG00000020641</v>
      </c>
      <c r="I70" s="7" t="str">
        <f>HYPERLINK("http://www.informatics.jax.org/marker/MGI:1929628","MGI:1929628")</f>
        <v>MGI:1929628</v>
      </c>
      <c r="J70" s="4" t="s">
        <v>12</v>
      </c>
    </row>
    <row r="71" spans="1:10" x14ac:dyDescent="0.25">
      <c r="A71" s="2">
        <v>375.45288781767999</v>
      </c>
      <c r="B71" s="3">
        <v>5.0970505657862004</v>
      </c>
      <c r="C71" s="5">
        <v>4.45775010578741E-146</v>
      </c>
      <c r="D71" s="6">
        <v>8.1395214894562599E-144</v>
      </c>
      <c r="E71" s="3" t="s">
        <v>226</v>
      </c>
      <c r="F71" s="3" t="s">
        <v>227</v>
      </c>
      <c r="G71" s="3">
        <v>276950</v>
      </c>
      <c r="H71" s="7" t="str">
        <f>HYPERLINK("http://www.ensembl.org/Mus_musculus/Gene/Summary?db=core;g=ENSMUSG00000035208","ENSMUSG00000035208")</f>
        <v>ENSMUSG00000035208</v>
      </c>
      <c r="I71" s="7" t="str">
        <f>HYPERLINK("http://www.informatics.jax.org/marker/MGI:2672859","MGI:2672859")</f>
        <v>MGI:2672859</v>
      </c>
      <c r="J71" s="4" t="s">
        <v>12</v>
      </c>
    </row>
    <row r="72" spans="1:10" x14ac:dyDescent="0.25">
      <c r="A72" s="2">
        <v>585.94606075980801</v>
      </c>
      <c r="B72" s="3">
        <v>5.0903857718406798</v>
      </c>
      <c r="C72" s="5">
        <v>1.68290162981779E-93</v>
      </c>
      <c r="D72" s="6">
        <v>1.2156344373628801E-91</v>
      </c>
      <c r="E72" s="3" t="s">
        <v>558</v>
      </c>
      <c r="F72" s="3" t="s">
        <v>559</v>
      </c>
      <c r="G72" s="3">
        <v>80861</v>
      </c>
      <c r="H72" s="7" t="str">
        <f>HYPERLINK("http://www.ensembl.org/Mus_musculus/Gene/Summary?db=core;g=ENSMUSG00000017830","ENSMUSG00000017830")</f>
        <v>ENSMUSG00000017830</v>
      </c>
      <c r="I72" s="7" t="str">
        <f>HYPERLINK("http://www.informatics.jax.org/marker/MGI:1931560","MGI:1931560")</f>
        <v>MGI:1931560</v>
      </c>
      <c r="J72" s="4" t="s">
        <v>12</v>
      </c>
    </row>
    <row r="73" spans="1:10" x14ac:dyDescent="0.25">
      <c r="A73" s="2">
        <v>24.813559666837499</v>
      </c>
      <c r="B73" s="3">
        <v>5.0437830993592101</v>
      </c>
      <c r="C73" s="5">
        <v>2.6944327560728201E-42</v>
      </c>
      <c r="D73" s="6">
        <v>5.8711838618514895E-41</v>
      </c>
      <c r="E73" s="3" t="s">
        <v>1826</v>
      </c>
      <c r="F73" s="3" t="s">
        <v>1827</v>
      </c>
      <c r="G73" s="3" t="s">
        <v>83</v>
      </c>
      <c r="H73" s="7" t="str">
        <f>HYPERLINK("http://www.ensembl.org/Mus_musculus/Gene/Summary?db=core;g=ENSMUSG00000107215","ENSMUSG00000107215")</f>
        <v>ENSMUSG00000107215</v>
      </c>
      <c r="I73" s="7" t="str">
        <f>HYPERLINK("http://www.informatics.jax.org/marker/MGI:5663334","MGI:5663334")</f>
        <v>MGI:5663334</v>
      </c>
      <c r="J73" s="4" t="s">
        <v>1828</v>
      </c>
    </row>
    <row r="74" spans="1:10" x14ac:dyDescent="0.25">
      <c r="A74" s="2">
        <v>105.01709863718899</v>
      </c>
      <c r="B74" s="3">
        <v>5.0134620764915896</v>
      </c>
      <c r="C74" s="5">
        <v>9.0864438420113102E-34</v>
      </c>
      <c r="D74" s="6">
        <v>1.50322711882939E-32</v>
      </c>
      <c r="E74" s="3" t="s">
        <v>2401</v>
      </c>
      <c r="F74" s="3" t="s">
        <v>2402</v>
      </c>
      <c r="G74" s="3">
        <v>66141</v>
      </c>
      <c r="H74" s="7" t="str">
        <f>HYPERLINK("http://www.ensembl.org/Mus_musculus/Gene/Summary?db=core;g=ENSMUSG00000025492","ENSMUSG00000025492")</f>
        <v>ENSMUSG00000025492</v>
      </c>
      <c r="I74" s="7" t="str">
        <f>HYPERLINK("http://www.informatics.jax.org/marker/MGI:1913391","MGI:1913391")</f>
        <v>MGI:1913391</v>
      </c>
      <c r="J74" s="4" t="s">
        <v>12</v>
      </c>
    </row>
    <row r="75" spans="1:10" x14ac:dyDescent="0.25">
      <c r="A75" s="2">
        <v>66.643537795929902</v>
      </c>
      <c r="B75" s="3">
        <v>4.9904717824085001</v>
      </c>
      <c r="C75" s="5">
        <v>2.7419109356641201E-63</v>
      </c>
      <c r="D75" s="6">
        <v>1.0857526837609699E-61</v>
      </c>
      <c r="E75" s="3" t="s">
        <v>1011</v>
      </c>
      <c r="F75" s="3" t="s">
        <v>1012</v>
      </c>
      <c r="G75" s="3" t="s">
        <v>83</v>
      </c>
      <c r="H75" s="7" t="str">
        <f>HYPERLINK("http://www.ensembl.org/Mus_musculus/Gene/Summary?db=core;g=ENSMUSG00000097418","ENSMUSG00000097418")</f>
        <v>ENSMUSG00000097418</v>
      </c>
      <c r="I75" s="7" t="str">
        <f>HYPERLINK("http://www.informatics.jax.org/marker/MGI:5477161","MGI:5477161")</f>
        <v>MGI:5477161</v>
      </c>
      <c r="J75" s="4" t="s">
        <v>939</v>
      </c>
    </row>
    <row r="76" spans="1:10" x14ac:dyDescent="0.25">
      <c r="A76" s="2">
        <v>866.50269520234599</v>
      </c>
      <c r="B76" s="3">
        <v>4.9715428022979902</v>
      </c>
      <c r="C76" s="3">
        <v>0</v>
      </c>
      <c r="D76" s="4">
        <v>0</v>
      </c>
      <c r="E76" s="3" t="s">
        <v>15</v>
      </c>
      <c r="F76" s="3" t="s">
        <v>16</v>
      </c>
      <c r="G76" s="3">
        <v>245126</v>
      </c>
      <c r="H76" s="7" t="str">
        <f>HYPERLINK("http://www.ensembl.org/Mus_musculus/Gene/Summary?db=core;g=ENSMUSG00000053338","ENSMUSG00000053338")</f>
        <v>ENSMUSG00000053338</v>
      </c>
      <c r="I76" s="7" t="str">
        <f>HYPERLINK("http://www.informatics.jax.org/marker/MGI:2442280","MGI:2442280")</f>
        <v>MGI:2442280</v>
      </c>
      <c r="J76" s="4" t="s">
        <v>12</v>
      </c>
    </row>
    <row r="77" spans="1:10" x14ac:dyDescent="0.25">
      <c r="A77" s="2">
        <v>47.410888673583599</v>
      </c>
      <c r="B77" s="3">
        <v>4.9439451529038898</v>
      </c>
      <c r="C77" s="5">
        <v>1.4389051855592301E-60</v>
      </c>
      <c r="D77" s="6">
        <v>5.2840242568395003E-59</v>
      </c>
      <c r="E77" s="3" t="s">
        <v>1090</v>
      </c>
      <c r="F77" s="3" t="s">
        <v>1091</v>
      </c>
      <c r="G77" s="3">
        <v>12827</v>
      </c>
      <c r="H77" s="7" t="str">
        <f>HYPERLINK("http://www.ensembl.org/Mus_musculus/Gene/Summary?db=core;g=ENSMUSG00000031503","ENSMUSG00000031503")</f>
        <v>ENSMUSG00000031503</v>
      </c>
      <c r="I77" s="7" t="str">
        <f>HYPERLINK("http://www.informatics.jax.org/marker/MGI:88455","MGI:88455")</f>
        <v>MGI:88455</v>
      </c>
      <c r="J77" s="4" t="s">
        <v>12</v>
      </c>
    </row>
    <row r="78" spans="1:10" x14ac:dyDescent="0.25">
      <c r="A78" s="2">
        <v>1945.5495119906</v>
      </c>
      <c r="B78" s="3">
        <v>4.92244083315446</v>
      </c>
      <c r="C78" s="5">
        <v>2.2939834618885101E-78</v>
      </c>
      <c r="D78" s="6">
        <v>1.28151144103234E-76</v>
      </c>
      <c r="E78" s="3" t="s">
        <v>718</v>
      </c>
      <c r="F78" s="3" t="s">
        <v>719</v>
      </c>
      <c r="G78" s="3">
        <v>20296</v>
      </c>
      <c r="H78" s="7" t="str">
        <f>HYPERLINK("http://www.ensembl.org/Mus_musculus/Gene/Summary?db=core;g=ENSMUSG00000035385","ENSMUSG00000035385")</f>
        <v>ENSMUSG00000035385</v>
      </c>
      <c r="I78" s="7" t="str">
        <f>HYPERLINK("http://www.informatics.jax.org/marker/MGI:98259","MGI:98259")</f>
        <v>MGI:98259</v>
      </c>
      <c r="J78" s="4" t="s">
        <v>12</v>
      </c>
    </row>
    <row r="79" spans="1:10" x14ac:dyDescent="0.25">
      <c r="A79" s="2">
        <v>16.888003640511599</v>
      </c>
      <c r="B79" s="3">
        <v>4.9220724393448201</v>
      </c>
      <c r="C79" s="5">
        <v>1.05608896890934E-33</v>
      </c>
      <c r="D79" s="6">
        <v>1.7456893937042901E-32</v>
      </c>
      <c r="E79" s="3" t="s">
        <v>2403</v>
      </c>
      <c r="F79" s="3" t="s">
        <v>2404</v>
      </c>
      <c r="G79" s="3" t="s">
        <v>83</v>
      </c>
      <c r="H79" s="7" t="str">
        <f>HYPERLINK("http://www.ensembl.org/Mus_musculus/Gene/Summary?db=core;g=ENSMUSG00000079362","ENSMUSG00000079362")</f>
        <v>ENSMUSG00000079362</v>
      </c>
      <c r="I79" s="7" t="str">
        <f>HYPERLINK("http://www.informatics.jax.org/marker/MGI:5663439","MGI:5663439")</f>
        <v>MGI:5663439</v>
      </c>
      <c r="J79" s="4" t="s">
        <v>12</v>
      </c>
    </row>
    <row r="80" spans="1:10" x14ac:dyDescent="0.25">
      <c r="A80" s="2">
        <v>4680.5504637430404</v>
      </c>
      <c r="B80" s="3">
        <v>4.9045731441662497</v>
      </c>
      <c r="C80" s="5">
        <v>1.5047612735379E-174</v>
      </c>
      <c r="D80" s="6">
        <v>4.49604429002536E-172</v>
      </c>
      <c r="E80" s="3" t="s">
        <v>142</v>
      </c>
      <c r="F80" s="3" t="s">
        <v>143</v>
      </c>
      <c r="G80" s="3">
        <v>21926</v>
      </c>
      <c r="H80" s="7" t="str">
        <f>HYPERLINK("http://www.ensembl.org/Mus_musculus/Gene/Summary?db=core;g=ENSMUSG00000024401","ENSMUSG00000024401")</f>
        <v>ENSMUSG00000024401</v>
      </c>
      <c r="I80" s="7" t="str">
        <f>HYPERLINK("http://www.informatics.jax.org/marker/MGI:104798","MGI:104798")</f>
        <v>MGI:104798</v>
      </c>
      <c r="J80" s="4" t="s">
        <v>12</v>
      </c>
    </row>
    <row r="81" spans="1:10" x14ac:dyDescent="0.25">
      <c r="A81" s="2">
        <v>27.2393119357194</v>
      </c>
      <c r="B81" s="3">
        <v>4.8731758656253197</v>
      </c>
      <c r="C81" s="5">
        <v>1.52601280141757E-44</v>
      </c>
      <c r="D81" s="6">
        <v>3.5361894763753699E-43</v>
      </c>
      <c r="E81" s="3" t="s">
        <v>1718</v>
      </c>
      <c r="F81" s="3" t="s">
        <v>1719</v>
      </c>
      <c r="G81" s="3">
        <v>16992</v>
      </c>
      <c r="H81" s="7" t="str">
        <f>HYPERLINK("http://www.ensembl.org/Mus_musculus/Gene/Summary?db=core;g=ENSMUSG00000024402","ENSMUSG00000024402")</f>
        <v>ENSMUSG00000024402</v>
      </c>
      <c r="I81" s="7" t="str">
        <f>HYPERLINK("http://www.informatics.jax.org/marker/MGI:104797","MGI:104797")</f>
        <v>MGI:104797</v>
      </c>
      <c r="J81" s="4" t="s">
        <v>12</v>
      </c>
    </row>
    <row r="82" spans="1:10" x14ac:dyDescent="0.25">
      <c r="A82" s="2">
        <v>27.974966692411801</v>
      </c>
      <c r="B82" s="3">
        <v>4.8577721737217701</v>
      </c>
      <c r="C82" s="5">
        <v>3.5403776257285002E-37</v>
      </c>
      <c r="D82" s="6">
        <v>6.6365253592553201E-36</v>
      </c>
      <c r="E82" s="3" t="s">
        <v>2121</v>
      </c>
      <c r="F82" s="3" t="s">
        <v>2122</v>
      </c>
      <c r="G82" s="3">
        <v>100702</v>
      </c>
      <c r="H82" s="7" t="str">
        <f>HYPERLINK("http://www.ensembl.org/Mus_musculus/Gene/Summary?db=core;g=ENSMUSG00000104713","ENSMUSG00000104713")</f>
        <v>ENSMUSG00000104713</v>
      </c>
      <c r="I82" s="7" t="str">
        <f>HYPERLINK("http://www.informatics.jax.org/marker/MGI:2140937","MGI:2140937")</f>
        <v>MGI:2140937</v>
      </c>
      <c r="J82" s="4" t="s">
        <v>12</v>
      </c>
    </row>
    <row r="83" spans="1:10" x14ac:dyDescent="0.25">
      <c r="A83" s="2">
        <v>2987.4152872476802</v>
      </c>
      <c r="B83" s="3">
        <v>4.84799849846139</v>
      </c>
      <c r="C83" s="5">
        <v>2.99466254369605E-86</v>
      </c>
      <c r="D83" s="6">
        <v>1.93622115939954E-84</v>
      </c>
      <c r="E83" s="3" t="s">
        <v>622</v>
      </c>
      <c r="F83" s="3" t="s">
        <v>623</v>
      </c>
      <c r="G83" s="3">
        <v>16181</v>
      </c>
      <c r="H83" s="7" t="str">
        <f>HYPERLINK("http://www.ensembl.org/Mus_musculus/Gene/Summary?db=core;g=ENSMUSG00000026981","ENSMUSG00000026981")</f>
        <v>ENSMUSG00000026981</v>
      </c>
      <c r="I83" s="7" t="str">
        <f>HYPERLINK("http://www.informatics.jax.org/marker/MGI:96547","MGI:96547")</f>
        <v>MGI:96547</v>
      </c>
      <c r="J83" s="4" t="s">
        <v>12</v>
      </c>
    </row>
    <row r="84" spans="1:10" x14ac:dyDescent="0.25">
      <c r="A84" s="2">
        <v>21516.4184453239</v>
      </c>
      <c r="B84" s="3">
        <v>4.7535450261353098</v>
      </c>
      <c r="C84" s="3">
        <v>0</v>
      </c>
      <c r="D84" s="4">
        <v>0</v>
      </c>
      <c r="E84" s="3" t="s">
        <v>19</v>
      </c>
      <c r="F84" s="3" t="s">
        <v>20</v>
      </c>
      <c r="G84" s="3">
        <v>20302</v>
      </c>
      <c r="H84" s="7" t="str">
        <f>HYPERLINK("http://www.ensembl.org/Mus_musculus/Gene/Summary?db=core;g=ENSMUSG00000000982","ENSMUSG00000000982")</f>
        <v>ENSMUSG00000000982</v>
      </c>
      <c r="I84" s="7" t="str">
        <f>HYPERLINK("http://www.informatics.jax.org/marker/MGI:98260","MGI:98260")</f>
        <v>MGI:98260</v>
      </c>
      <c r="J84" s="4" t="s">
        <v>12</v>
      </c>
    </row>
    <row r="85" spans="1:10" x14ac:dyDescent="0.25">
      <c r="A85" s="2">
        <v>12.568751380839901</v>
      </c>
      <c r="B85" s="3">
        <v>4.7501355209207698</v>
      </c>
      <c r="C85" s="5">
        <v>2.22911265789902E-29</v>
      </c>
      <c r="D85" s="6">
        <v>3.2203737445984398E-28</v>
      </c>
      <c r="E85" s="3" t="s">
        <v>2748</v>
      </c>
      <c r="F85" s="3" t="s">
        <v>2749</v>
      </c>
      <c r="G85" s="3">
        <v>100039796</v>
      </c>
      <c r="H85" s="7" t="str">
        <f>HYPERLINK("http://www.ensembl.org/Mus_musculus/Gene/Summary?db=core;g=ENSMUSG00000078921","ENSMUSG00000078921")</f>
        <v>ENSMUSG00000078921</v>
      </c>
      <c r="I85" s="7" t="str">
        <f>HYPERLINK("http://www.informatics.jax.org/marker/MGI:3710083","MGI:3710083")</f>
        <v>MGI:3710083</v>
      </c>
      <c r="J85" s="4" t="s">
        <v>12</v>
      </c>
    </row>
    <row r="86" spans="1:10" x14ac:dyDescent="0.25">
      <c r="A86" s="2">
        <v>21.786823437448199</v>
      </c>
      <c r="B86" s="3">
        <v>4.7240126965415801</v>
      </c>
      <c r="C86" s="5">
        <v>3.0922604356223502E-35</v>
      </c>
      <c r="D86" s="6">
        <v>5.41557511460681E-34</v>
      </c>
      <c r="E86" s="3" t="s">
        <v>2269</v>
      </c>
      <c r="F86" s="3" t="s">
        <v>2270</v>
      </c>
      <c r="G86" s="3">
        <v>219131</v>
      </c>
      <c r="H86" s="7" t="str">
        <f>HYPERLINK("http://www.ensembl.org/Mus_musculus/Gene/Summary?db=core;g=ENSMUSG00000044703","ENSMUSG00000044703")</f>
        <v>ENSMUSG00000044703</v>
      </c>
      <c r="I86" s="7" t="str">
        <f>HYPERLINK("http://www.informatics.jax.org/marker/MGI:1918441","MGI:1918441")</f>
        <v>MGI:1918441</v>
      </c>
      <c r="J86" s="4" t="s">
        <v>12</v>
      </c>
    </row>
    <row r="87" spans="1:10" x14ac:dyDescent="0.25">
      <c r="A87" s="2">
        <v>22.237221087798101</v>
      </c>
      <c r="B87" s="3">
        <v>4.7169168721172499</v>
      </c>
      <c r="C87" s="5">
        <v>2.21488203881852E-38</v>
      </c>
      <c r="D87" s="6">
        <v>4.2612169566342604E-37</v>
      </c>
      <c r="E87" s="3" t="s">
        <v>2067</v>
      </c>
      <c r="F87" s="3" t="s">
        <v>2068</v>
      </c>
      <c r="G87" s="3" t="s">
        <v>83</v>
      </c>
      <c r="H87" s="7" t="str">
        <f>HYPERLINK("http://www.ensembl.org/Mus_musculus/Gene/Summary?db=core;g=ENSMUSG00000116639","ENSMUSG00000116639")</f>
        <v>ENSMUSG00000116639</v>
      </c>
      <c r="I87" s="7" t="str">
        <f>HYPERLINK("http://www.informatics.jax.org/marker/MGI:6215212","MGI:6215212")</f>
        <v>MGI:6215212</v>
      </c>
      <c r="J87" s="4" t="s">
        <v>1828</v>
      </c>
    </row>
    <row r="88" spans="1:10" x14ac:dyDescent="0.25">
      <c r="A88" s="2">
        <v>21.2288753981525</v>
      </c>
      <c r="B88" s="3">
        <v>4.7090135723773203</v>
      </c>
      <c r="C88" s="5">
        <v>4.9497907783819899E-36</v>
      </c>
      <c r="D88" s="6">
        <v>8.91414375796282E-35</v>
      </c>
      <c r="E88" s="3" t="s">
        <v>2207</v>
      </c>
      <c r="F88" s="3" t="s">
        <v>2208</v>
      </c>
      <c r="G88" s="3">
        <v>11540</v>
      </c>
      <c r="H88" s="7" t="str">
        <f>HYPERLINK("http://www.ensembl.org/Mus_musculus/Gene/Summary?db=core;g=ENSMUSG00000020178","ENSMUSG00000020178")</f>
        <v>ENSMUSG00000020178</v>
      </c>
      <c r="I88" s="7" t="str">
        <f>HYPERLINK("http://www.informatics.jax.org/marker/MGI:99402","MGI:99402")</f>
        <v>MGI:99402</v>
      </c>
      <c r="J88" s="4" t="s">
        <v>12</v>
      </c>
    </row>
    <row r="89" spans="1:10" x14ac:dyDescent="0.25">
      <c r="A89" s="2">
        <v>423.22810320555101</v>
      </c>
      <c r="B89" s="3">
        <v>4.7022814918704103</v>
      </c>
      <c r="C89" s="5">
        <v>1.77383889080081E-64</v>
      </c>
      <c r="D89" s="6">
        <v>7.2723706708091402E-63</v>
      </c>
      <c r="E89" s="3" t="s">
        <v>977</v>
      </c>
      <c r="F89" s="3" t="s">
        <v>978</v>
      </c>
      <c r="G89" s="3">
        <v>19250</v>
      </c>
      <c r="H89" s="7" t="str">
        <f>HYPERLINK("http://www.ensembl.org/Mus_musculus/Gene/Summary?db=core;g=ENSMUSG00000026604","ENSMUSG00000026604")</f>
        <v>ENSMUSG00000026604</v>
      </c>
      <c r="I89" s="7" t="str">
        <f>HYPERLINK("http://www.informatics.jax.org/marker/MGI:102467","MGI:102467")</f>
        <v>MGI:102467</v>
      </c>
      <c r="J89" s="4" t="s">
        <v>12</v>
      </c>
    </row>
    <row r="90" spans="1:10" x14ac:dyDescent="0.25">
      <c r="A90" s="2">
        <v>5540.9763274344896</v>
      </c>
      <c r="B90" s="3">
        <v>4.6971130290265499</v>
      </c>
      <c r="C90" s="5">
        <v>4.56710392595068E-283</v>
      </c>
      <c r="D90" s="6">
        <v>4.74017312735512E-280</v>
      </c>
      <c r="E90" s="3" t="s">
        <v>47</v>
      </c>
      <c r="F90" s="3" t="s">
        <v>48</v>
      </c>
      <c r="G90" s="3">
        <v>231655</v>
      </c>
      <c r="H90" s="7" t="str">
        <f>HYPERLINK("http://www.ensembl.org/Mus_musculus/Gene/Summary?db=core;g=ENSMUSG00000041827","ENSMUSG00000041827")</f>
        <v>ENSMUSG00000041827</v>
      </c>
      <c r="I90" s="7" t="str">
        <f>HYPERLINK("http://www.informatics.jax.org/marker/MGI:2180849","MGI:2180849")</f>
        <v>MGI:2180849</v>
      </c>
      <c r="J90" s="4" t="s">
        <v>12</v>
      </c>
    </row>
    <row r="91" spans="1:10" x14ac:dyDescent="0.25">
      <c r="A91" s="2">
        <v>1064.2356902471699</v>
      </c>
      <c r="B91" s="3">
        <v>4.6955413030333002</v>
      </c>
      <c r="C91" s="5">
        <v>4.3755971333529402E-76</v>
      </c>
      <c r="D91" s="6">
        <v>2.3071330339497302E-74</v>
      </c>
      <c r="E91" s="3" t="s">
        <v>760</v>
      </c>
      <c r="F91" s="3" t="s">
        <v>761</v>
      </c>
      <c r="G91" s="3">
        <v>102641031</v>
      </c>
      <c r="H91" s="7" t="str">
        <f>HYPERLINK("http://www.ensembl.org/Mus_musculus/Gene/Summary?db=core;g=ENSMUSG00000039997","ENSMUSG00000039997")</f>
        <v>ENSMUSG00000039997</v>
      </c>
      <c r="I91" s="7" t="str">
        <f>HYPERLINK("http://www.informatics.jax.org/marker/MGI:96428","MGI:96428")</f>
        <v>MGI:96428</v>
      </c>
      <c r="J91" s="4" t="s">
        <v>12</v>
      </c>
    </row>
    <row r="92" spans="1:10" x14ac:dyDescent="0.25">
      <c r="A92" s="2">
        <v>54.900478278427002</v>
      </c>
      <c r="B92" s="3">
        <v>4.6784717657814596</v>
      </c>
      <c r="C92" s="5">
        <v>4.6248859372971198E-57</v>
      </c>
      <c r="D92" s="6">
        <v>1.51248342758705E-55</v>
      </c>
      <c r="E92" s="3" t="s">
        <v>1222</v>
      </c>
      <c r="F92" s="3" t="s">
        <v>1223</v>
      </c>
      <c r="G92" s="3">
        <v>20558</v>
      </c>
      <c r="H92" s="7" t="str">
        <f>HYPERLINK("http://www.ensembl.org/Mus_musculus/Gene/Summary?db=core;g=ENSMUSG00000000204","ENSMUSG00000000204")</f>
        <v>ENSMUSG00000000204</v>
      </c>
      <c r="I92" s="7" t="str">
        <f>HYPERLINK("http://www.informatics.jax.org/marker/MGI:1329010","MGI:1329010")</f>
        <v>MGI:1329010</v>
      </c>
      <c r="J92" s="4" t="s">
        <v>12</v>
      </c>
    </row>
    <row r="93" spans="1:10" x14ac:dyDescent="0.25">
      <c r="A93" s="2">
        <v>266.14138699112198</v>
      </c>
      <c r="B93" s="3">
        <v>4.6468700164507499</v>
      </c>
      <c r="C93" s="5">
        <v>2.6040434168853798E-68</v>
      </c>
      <c r="D93" s="6">
        <v>1.1591814036338499E-66</v>
      </c>
      <c r="E93" s="3" t="s">
        <v>898</v>
      </c>
      <c r="F93" s="3" t="s">
        <v>899</v>
      </c>
      <c r="G93" s="3">
        <v>171171</v>
      </c>
      <c r="H93" s="7" t="str">
        <f>HYPERLINK("http://www.ensembl.org/Mus_musculus/Gene/Summary?db=core;g=ENSMUSG00000035513","ENSMUSG00000035513")</f>
        <v>ENSMUSG00000035513</v>
      </c>
      <c r="I93" s="7" t="str">
        <f>HYPERLINK("http://www.informatics.jax.org/marker/MGI:2159341","MGI:2159341")</f>
        <v>MGI:2159341</v>
      </c>
      <c r="J93" s="4" t="s">
        <v>12</v>
      </c>
    </row>
    <row r="94" spans="1:10" x14ac:dyDescent="0.25">
      <c r="A94" s="2">
        <v>16.860025072968298</v>
      </c>
      <c r="B94" s="3">
        <v>4.64404513752927</v>
      </c>
      <c r="C94" s="5">
        <v>1.88266004083512E-34</v>
      </c>
      <c r="D94" s="6">
        <v>3.1977653751307999E-33</v>
      </c>
      <c r="E94" s="3" t="s">
        <v>2339</v>
      </c>
      <c r="F94" s="3" t="s">
        <v>2340</v>
      </c>
      <c r="G94" s="3">
        <v>215257</v>
      </c>
      <c r="H94" s="7" t="str">
        <f>HYPERLINK("http://www.ensembl.org/Mus_musculus/Gene/Summary?db=core;g=ENSMUSG00000044103","ENSMUSG00000044103")</f>
        <v>ENSMUSG00000044103</v>
      </c>
      <c r="I94" s="7" t="str">
        <f>HYPERLINK("http://www.informatics.jax.org/marker/MGI:2449929","MGI:2449929")</f>
        <v>MGI:2449929</v>
      </c>
      <c r="J94" s="4" t="s">
        <v>12</v>
      </c>
    </row>
    <row r="95" spans="1:10" x14ac:dyDescent="0.25">
      <c r="A95" s="2">
        <v>3580.6785891565301</v>
      </c>
      <c r="B95" s="3">
        <v>4.6384797515044003</v>
      </c>
      <c r="C95" s="5">
        <v>2.7115535639455601E-117</v>
      </c>
      <c r="D95" s="6">
        <v>2.9706575711670199E-115</v>
      </c>
      <c r="E95" s="3" t="s">
        <v>372</v>
      </c>
      <c r="F95" s="3" t="s">
        <v>373</v>
      </c>
      <c r="G95" s="3">
        <v>56619</v>
      </c>
      <c r="H95" s="7" t="str">
        <f>HYPERLINK("http://www.ensembl.org/Mus_musculus/Gene/Summary?db=core;g=ENSMUSG00000030142","ENSMUSG00000030142")</f>
        <v>ENSMUSG00000030142</v>
      </c>
      <c r="I95" s="7" t="str">
        <f>HYPERLINK("http://www.informatics.jax.org/marker/MGI:1861232","MGI:1861232")</f>
        <v>MGI:1861232</v>
      </c>
      <c r="J95" s="4" t="s">
        <v>12</v>
      </c>
    </row>
    <row r="96" spans="1:10" x14ac:dyDescent="0.25">
      <c r="A96" s="2">
        <v>118.11796259959</v>
      </c>
      <c r="B96" s="3">
        <v>4.57749346837294</v>
      </c>
      <c r="C96" s="5">
        <v>5.6846054790817598E-38</v>
      </c>
      <c r="D96" s="6">
        <v>1.0841433273451899E-36</v>
      </c>
      <c r="E96" s="3" t="s">
        <v>2085</v>
      </c>
      <c r="F96" s="3" t="s">
        <v>2086</v>
      </c>
      <c r="G96" s="3">
        <v>20306</v>
      </c>
      <c r="H96" s="7" t="str">
        <f>HYPERLINK("http://www.ensembl.org/Mus_musculus/Gene/Summary?db=core;g=ENSMUSG00000035373","ENSMUSG00000035373")</f>
        <v>ENSMUSG00000035373</v>
      </c>
      <c r="I96" s="7" t="str">
        <f>HYPERLINK("http://www.informatics.jax.org/marker/MGI:99512","MGI:99512")</f>
        <v>MGI:99512</v>
      </c>
      <c r="J96" s="4" t="s">
        <v>12</v>
      </c>
    </row>
    <row r="97" spans="1:10" x14ac:dyDescent="0.25">
      <c r="A97" s="2">
        <v>51.061534044805903</v>
      </c>
      <c r="B97" s="3">
        <v>4.5469287671937604</v>
      </c>
      <c r="C97" s="5">
        <v>2.4835103412678499E-40</v>
      </c>
      <c r="D97" s="6">
        <v>5.1175364607943598E-39</v>
      </c>
      <c r="E97" s="3" t="s">
        <v>1931</v>
      </c>
      <c r="F97" s="3" t="s">
        <v>1932</v>
      </c>
      <c r="G97" s="3">
        <v>74309</v>
      </c>
      <c r="H97" s="7" t="str">
        <f>HYPERLINK("http://www.ensembl.org/Mus_musculus/Gene/Summary?db=core;g=ENSMUSG00000020435","ENSMUSG00000020435")</f>
        <v>ENSMUSG00000020435</v>
      </c>
      <c r="I97" s="7" t="str">
        <f>HYPERLINK("http://www.informatics.jax.org/marker/MGI:1921559","MGI:1921559")</f>
        <v>MGI:1921559</v>
      </c>
      <c r="J97" s="4" t="s">
        <v>12</v>
      </c>
    </row>
    <row r="98" spans="1:10" x14ac:dyDescent="0.25">
      <c r="A98" s="2">
        <v>877.27013337475796</v>
      </c>
      <c r="B98" s="3">
        <v>4.5279013681670301</v>
      </c>
      <c r="C98" s="5">
        <v>4.9580640618276303E-89</v>
      </c>
      <c r="D98" s="6">
        <v>3.3598977078776899E-87</v>
      </c>
      <c r="E98" s="3" t="s">
        <v>594</v>
      </c>
      <c r="F98" s="3" t="s">
        <v>595</v>
      </c>
      <c r="G98" s="3">
        <v>246728</v>
      </c>
      <c r="H98" s="7" t="str">
        <f>HYPERLINK("http://www.ensembl.org/Mus_musculus/Gene/Summary?db=core;g=ENSMUSG00000032690","ENSMUSG00000032690")</f>
        <v>ENSMUSG00000032690</v>
      </c>
      <c r="I98" s="7" t="str">
        <f>HYPERLINK("http://www.informatics.jax.org/marker/MGI:2180852","MGI:2180852")</f>
        <v>MGI:2180852</v>
      </c>
      <c r="J98" s="4" t="s">
        <v>12</v>
      </c>
    </row>
    <row r="99" spans="1:10" x14ac:dyDescent="0.25">
      <c r="A99" s="2">
        <v>15.343682094004899</v>
      </c>
      <c r="B99" s="3">
        <v>4.5212345161424601</v>
      </c>
      <c r="C99" s="5">
        <v>3.17138035493021E-29</v>
      </c>
      <c r="D99" s="6">
        <v>4.5516463318212399E-28</v>
      </c>
      <c r="E99" s="3" t="s">
        <v>2766</v>
      </c>
      <c r="F99" s="3" t="s">
        <v>2767</v>
      </c>
      <c r="G99" s="3">
        <v>233424</v>
      </c>
      <c r="H99" s="7" t="str">
        <f>HYPERLINK("http://www.ensembl.org/Mus_musculus/Gene/Summary?db=core;g=ENSMUSG00000038540","ENSMUSG00000038540")</f>
        <v>ENSMUSG00000038540</v>
      </c>
      <c r="I99" s="7" t="str">
        <f>HYPERLINK("http://www.informatics.jax.org/marker/MGI:2669033","MGI:2669033")</f>
        <v>MGI:2669033</v>
      </c>
      <c r="J99" s="4" t="s">
        <v>12</v>
      </c>
    </row>
    <row r="100" spans="1:10" x14ac:dyDescent="0.25">
      <c r="A100" s="2">
        <v>15.757576234429701</v>
      </c>
      <c r="B100" s="3">
        <v>4.5153962886411501</v>
      </c>
      <c r="C100" s="5">
        <v>7.7176369913425202E-30</v>
      </c>
      <c r="D100" s="6">
        <v>1.13069689055925E-28</v>
      </c>
      <c r="E100" s="3" t="s">
        <v>2710</v>
      </c>
      <c r="F100" s="3" t="s">
        <v>2711</v>
      </c>
      <c r="G100" s="3">
        <v>20293</v>
      </c>
      <c r="H100" s="7" t="str">
        <f>HYPERLINK("http://www.ensembl.org/Mus_musculus/Gene/Summary?db=core;g=ENSMUSG00000035352","ENSMUSG00000035352")</f>
        <v>ENSMUSG00000035352</v>
      </c>
      <c r="I100" s="7" t="str">
        <f>HYPERLINK("http://www.informatics.jax.org/marker/MGI:108224","MGI:108224")</f>
        <v>MGI:108224</v>
      </c>
      <c r="J100" s="4" t="s">
        <v>12</v>
      </c>
    </row>
    <row r="101" spans="1:10" x14ac:dyDescent="0.25">
      <c r="A101" s="2">
        <v>113.427962998765</v>
      </c>
      <c r="B101" s="3">
        <v>4.4820598645647003</v>
      </c>
      <c r="C101" s="5">
        <v>1.8796232604455398E-46</v>
      </c>
      <c r="D101" s="6">
        <v>4.6044932541597702E-45</v>
      </c>
      <c r="E101" s="3" t="s">
        <v>1626</v>
      </c>
      <c r="F101" s="3" t="s">
        <v>1627</v>
      </c>
      <c r="G101" s="3">
        <v>15953</v>
      </c>
      <c r="H101" s="7" t="str">
        <f>HYPERLINK("http://www.ensembl.org/Mus_musculus/Gene/Summary?db=core;g=ENSMUSG00000078920","ENSMUSG00000078920")</f>
        <v>ENSMUSG00000078920</v>
      </c>
      <c r="I101" s="7" t="str">
        <f>HYPERLINK("http://www.informatics.jax.org/marker/MGI:99448","MGI:99448")</f>
        <v>MGI:99448</v>
      </c>
      <c r="J101" s="4" t="s">
        <v>12</v>
      </c>
    </row>
    <row r="102" spans="1:10" x14ac:dyDescent="0.25">
      <c r="A102" s="2">
        <v>15641.658353168001</v>
      </c>
      <c r="B102" s="3">
        <v>4.4795775385263896</v>
      </c>
      <c r="C102" s="5">
        <v>1.3657696635687E-99</v>
      </c>
      <c r="D102" s="6">
        <v>1.08164569339658E-97</v>
      </c>
      <c r="E102" s="3" t="s">
        <v>510</v>
      </c>
      <c r="F102" s="3" t="s">
        <v>511</v>
      </c>
      <c r="G102" s="3">
        <v>672511</v>
      </c>
      <c r="H102" s="7" t="str">
        <f>HYPERLINK("http://www.ensembl.org/Mus_musculus/Gene/Summary?db=core;g=ENSMUSG00000070327","ENSMUSG00000070327")</f>
        <v>ENSMUSG00000070327</v>
      </c>
      <c r="I102" s="7" t="str">
        <f>HYPERLINK("http://www.informatics.jax.org/marker/MGI:1289196","MGI:1289196")</f>
        <v>MGI:1289196</v>
      </c>
      <c r="J102" s="4" t="s">
        <v>12</v>
      </c>
    </row>
    <row r="103" spans="1:10" x14ac:dyDescent="0.25">
      <c r="A103" s="2">
        <v>1210.0055088708</v>
      </c>
      <c r="B103" s="3">
        <v>4.4697609913821204</v>
      </c>
      <c r="C103" s="3">
        <v>0</v>
      </c>
      <c r="D103" s="4">
        <v>0</v>
      </c>
      <c r="E103" s="3" t="s">
        <v>35</v>
      </c>
      <c r="F103" s="3" t="s">
        <v>36</v>
      </c>
      <c r="G103" s="3">
        <v>80910</v>
      </c>
      <c r="H103" s="7" t="str">
        <f>HYPERLINK("http://www.ensembl.org/Mus_musculus/Gene/Summary?db=core;g=ENSMUSG00000063234","ENSMUSG00000063234")</f>
        <v>ENSMUSG00000063234</v>
      </c>
      <c r="I103" s="7" t="str">
        <f>HYPERLINK("http://www.informatics.jax.org/marker/MGI:1934129","MGI:1934129")</f>
        <v>MGI:1934129</v>
      </c>
      <c r="J103" s="4" t="s">
        <v>12</v>
      </c>
    </row>
    <row r="104" spans="1:10" x14ac:dyDescent="0.25">
      <c r="A104" s="2">
        <v>19.157372889961199</v>
      </c>
      <c r="B104" s="3">
        <v>4.4659789712208902</v>
      </c>
      <c r="C104" s="5">
        <v>4.6778511740418899E-30</v>
      </c>
      <c r="D104" s="6">
        <v>6.9099045057757399E-29</v>
      </c>
      <c r="E104" s="3" t="s">
        <v>2688</v>
      </c>
      <c r="F104" s="3" t="s">
        <v>2689</v>
      </c>
      <c r="G104" s="3">
        <v>17386</v>
      </c>
      <c r="H104" s="7" t="str">
        <f>HYPERLINK("http://www.ensembl.org/Mus_musculus/Gene/Summary?db=core;g=ENSMUSG00000050578","ENSMUSG00000050578")</f>
        <v>ENSMUSG00000050578</v>
      </c>
      <c r="I104" s="7" t="str">
        <f>HYPERLINK("http://www.informatics.jax.org/marker/MGI:1340026","MGI:1340026")</f>
        <v>MGI:1340026</v>
      </c>
      <c r="J104" s="4" t="s">
        <v>12</v>
      </c>
    </row>
    <row r="105" spans="1:10" x14ac:dyDescent="0.25">
      <c r="A105" s="2">
        <v>52.200643311924402</v>
      </c>
      <c r="B105" s="3">
        <v>4.4587163570807</v>
      </c>
      <c r="C105" s="5">
        <v>4.7584399145394402E-48</v>
      </c>
      <c r="D105" s="6">
        <v>1.2202397284098501E-46</v>
      </c>
      <c r="E105" s="3" t="s">
        <v>1554</v>
      </c>
      <c r="F105" s="3" t="s">
        <v>1555</v>
      </c>
      <c r="G105" s="3">
        <v>12703</v>
      </c>
      <c r="H105" s="7" t="str">
        <f>HYPERLINK("http://www.ensembl.org/Mus_musculus/Gene/Summary?db=core;g=ENSMUSG00000038037","ENSMUSG00000038037")</f>
        <v>ENSMUSG00000038037</v>
      </c>
      <c r="I105" s="7" t="str">
        <f>HYPERLINK("http://www.informatics.jax.org/marker/MGI:1354910","MGI:1354910")</f>
        <v>MGI:1354910</v>
      </c>
      <c r="J105" s="4" t="s">
        <v>12</v>
      </c>
    </row>
    <row r="106" spans="1:10" x14ac:dyDescent="0.25">
      <c r="A106" s="2">
        <v>17.595062128309699</v>
      </c>
      <c r="B106" s="3">
        <v>4.4369956366394101</v>
      </c>
      <c r="C106" s="5">
        <v>3.4992523118669801E-28</v>
      </c>
      <c r="D106" s="6">
        <v>4.8154400272168003E-27</v>
      </c>
      <c r="E106" s="3" t="s">
        <v>2884</v>
      </c>
      <c r="F106" s="3" t="s">
        <v>2885</v>
      </c>
      <c r="G106" s="3">
        <v>234311</v>
      </c>
      <c r="H106" s="7" t="str">
        <f>HYPERLINK("http://www.ensembl.org/Mus_musculus/Gene/Summary?db=core;g=ENSMUSG00000037921","ENSMUSG00000037921")</f>
        <v>ENSMUSG00000037921</v>
      </c>
      <c r="I106" s="7" t="str">
        <f>HYPERLINK("http://www.informatics.jax.org/marker/MGI:2384570","MGI:2384570")</f>
        <v>MGI:2384570</v>
      </c>
      <c r="J106" s="4" t="s">
        <v>12</v>
      </c>
    </row>
    <row r="107" spans="1:10" x14ac:dyDescent="0.25">
      <c r="A107" s="2">
        <v>1086.1232375812299</v>
      </c>
      <c r="B107" s="3">
        <v>4.4321699183456396</v>
      </c>
      <c r="C107" s="5">
        <v>1.5157344298628E-75</v>
      </c>
      <c r="D107" s="6">
        <v>7.7637098589336199E-74</v>
      </c>
      <c r="E107" s="3" t="s">
        <v>782</v>
      </c>
      <c r="F107" s="3" t="s">
        <v>783</v>
      </c>
      <c r="G107" s="3" t="s">
        <v>83</v>
      </c>
      <c r="H107" s="7" t="str">
        <f>HYPERLINK("http://www.ensembl.org/Mus_musculus/Gene/Summary?db=core;g=ENSMUSG00000079499","ENSMUSG00000079499")</f>
        <v>ENSMUSG00000079499</v>
      </c>
      <c r="I107" s="7" t="str">
        <f>HYPERLINK("http://www.informatics.jax.org/marker/MGI:1923470","MGI:1923470")</f>
        <v>MGI:1923470</v>
      </c>
      <c r="J107" s="4" t="s">
        <v>331</v>
      </c>
    </row>
    <row r="108" spans="1:10" x14ac:dyDescent="0.25">
      <c r="A108" s="2">
        <v>85.335809306440098</v>
      </c>
      <c r="B108" s="3">
        <v>4.42302880693381</v>
      </c>
      <c r="C108" s="5">
        <v>1.86969674080248E-54</v>
      </c>
      <c r="D108" s="6">
        <v>5.6549723510161001E-53</v>
      </c>
      <c r="E108" s="3" t="s">
        <v>1320</v>
      </c>
      <c r="F108" s="3" t="s">
        <v>1321</v>
      </c>
      <c r="G108" s="3">
        <v>18218</v>
      </c>
      <c r="H108" s="7" t="str">
        <f>HYPERLINK("http://www.ensembl.org/Mus_musculus/Gene/Summary?db=core;g=ENSMUSG00000037887","ENSMUSG00000037887")</f>
        <v>ENSMUSG00000037887</v>
      </c>
      <c r="I108" s="7" t="str">
        <f>HYPERLINK("http://www.informatics.jax.org/marker/MGI:106626","MGI:106626")</f>
        <v>MGI:106626</v>
      </c>
      <c r="J108" s="4" t="s">
        <v>12</v>
      </c>
    </row>
    <row r="109" spans="1:10" x14ac:dyDescent="0.25">
      <c r="A109" s="2">
        <v>66.493706095580606</v>
      </c>
      <c r="B109" s="3">
        <v>4.4209415073107499</v>
      </c>
      <c r="C109" s="5">
        <v>7.3892825951126796E-23</v>
      </c>
      <c r="D109" s="6">
        <v>8.3171605465537704E-22</v>
      </c>
      <c r="E109" s="3" t="s">
        <v>3522</v>
      </c>
      <c r="F109" s="3" t="s">
        <v>3523</v>
      </c>
      <c r="G109" s="3">
        <v>667373</v>
      </c>
      <c r="H109" s="7" t="str">
        <f>HYPERLINK("http://www.ensembl.org/Mus_musculus/Gene/Summary?db=core;g=ENSMUSG00000079339","ENSMUSG00000079339")</f>
        <v>ENSMUSG00000079339</v>
      </c>
      <c r="I109" s="7" t="str">
        <f>HYPERLINK("http://www.informatics.jax.org/marker/MGI:3650685","MGI:3650685")</f>
        <v>MGI:3650685</v>
      </c>
      <c r="J109" s="4" t="s">
        <v>12</v>
      </c>
    </row>
    <row r="110" spans="1:10" x14ac:dyDescent="0.25">
      <c r="A110" s="2">
        <v>158.61818142436999</v>
      </c>
      <c r="B110" s="3">
        <v>4.3939221457619801</v>
      </c>
      <c r="C110" s="5">
        <v>4.0661259059025801E-78</v>
      </c>
      <c r="D110" s="6">
        <v>2.2460505004033299E-76</v>
      </c>
      <c r="E110" s="3" t="s">
        <v>726</v>
      </c>
      <c r="F110" s="3" t="s">
        <v>727</v>
      </c>
      <c r="G110" s="3">
        <v>236451</v>
      </c>
      <c r="H110" s="7" t="str">
        <f>HYPERLINK("http://www.ensembl.org/Mus_musculus/Gene/Summary?db=core;g=ENSMUSG00000091649","ENSMUSG00000091649")</f>
        <v>ENSMUSG00000091649</v>
      </c>
      <c r="I110" s="7" t="str">
        <f>HYPERLINK("http://www.informatics.jax.org/marker/MGI:3645789","MGI:3645789")</f>
        <v>MGI:3645789</v>
      </c>
      <c r="J110" s="4" t="s">
        <v>12</v>
      </c>
    </row>
    <row r="111" spans="1:10" x14ac:dyDescent="0.25">
      <c r="A111" s="2">
        <v>1851.59753478937</v>
      </c>
      <c r="B111" s="3">
        <v>4.3474405415306698</v>
      </c>
      <c r="C111" s="5">
        <v>6.4497155722361397E-271</v>
      </c>
      <c r="D111" s="6">
        <v>5.2995162951873599E-268</v>
      </c>
      <c r="E111" s="3" t="s">
        <v>57</v>
      </c>
      <c r="F111" s="3" t="s">
        <v>58</v>
      </c>
      <c r="G111" s="3">
        <v>20556</v>
      </c>
      <c r="H111" s="7" t="str">
        <f>HYPERLINK("http://www.ensembl.org/Mus_musculus/Gene/Summary?db=core;g=ENSMUSG00000072620","ENSMUSG00000072620")</f>
        <v>ENSMUSG00000072620</v>
      </c>
      <c r="I111" s="7" t="str">
        <f>HYPERLINK("http://www.informatics.jax.org/marker/MGI:1313258","MGI:1313258")</f>
        <v>MGI:1313258</v>
      </c>
      <c r="J111" s="4" t="s">
        <v>12</v>
      </c>
    </row>
    <row r="112" spans="1:10" x14ac:dyDescent="0.25">
      <c r="A112" s="2">
        <v>14.4347898230795</v>
      </c>
      <c r="B112" s="3">
        <v>4.3341762340761001</v>
      </c>
      <c r="C112" s="5">
        <v>4.3932488647696402E-25</v>
      </c>
      <c r="D112" s="6">
        <v>5.35444175607276E-24</v>
      </c>
      <c r="E112" s="3" t="s">
        <v>3256</v>
      </c>
      <c r="F112" s="3" t="s">
        <v>3257</v>
      </c>
      <c r="G112" s="3">
        <v>60440</v>
      </c>
      <c r="H112" s="7" t="str">
        <f>HYPERLINK("http://www.ensembl.org/Mus_musculus/Gene/Summary?db=core;g=ENSMUSG00000054072","ENSMUSG00000054072")</f>
        <v>ENSMUSG00000054072</v>
      </c>
      <c r="I112" s="7" t="str">
        <f>HYPERLINK("http://www.informatics.jax.org/marker/MGI:1926259","MGI:1926259")</f>
        <v>MGI:1926259</v>
      </c>
      <c r="J112" s="4" t="s">
        <v>12</v>
      </c>
    </row>
    <row r="113" spans="1:10" x14ac:dyDescent="0.25">
      <c r="A113" s="2">
        <v>269.525576472517</v>
      </c>
      <c r="B113" s="3">
        <v>4.3221047659760803</v>
      </c>
      <c r="C113" s="5">
        <v>2.2246750949203398E-112</v>
      </c>
      <c r="D113" s="6">
        <v>2.2269336483162E-110</v>
      </c>
      <c r="E113" s="3" t="s">
        <v>406</v>
      </c>
      <c r="F113" s="3" t="s">
        <v>407</v>
      </c>
      <c r="G113" s="3">
        <v>108670</v>
      </c>
      <c r="H113" s="7" t="str">
        <f>HYPERLINK("http://www.ensembl.org/Mus_musculus/Gene/Summary?db=core;g=ENSMUSG00000022014","ENSMUSG00000022014")</f>
        <v>ENSMUSG00000022014</v>
      </c>
      <c r="I113" s="7" t="str">
        <f>HYPERLINK("http://www.informatics.jax.org/marker/MGI:1915168","MGI:1915168")</f>
        <v>MGI:1915168</v>
      </c>
      <c r="J113" s="4" t="s">
        <v>12</v>
      </c>
    </row>
    <row r="114" spans="1:10" x14ac:dyDescent="0.25">
      <c r="A114" s="2">
        <v>28.804680696130401</v>
      </c>
      <c r="B114" s="3">
        <v>4.3017791048421703</v>
      </c>
      <c r="C114" s="5">
        <v>1.73313328842809E-22</v>
      </c>
      <c r="D114" s="6">
        <v>1.9244025026915499E-21</v>
      </c>
      <c r="E114" s="3" t="s">
        <v>3570</v>
      </c>
      <c r="F114" s="3" t="s">
        <v>3571</v>
      </c>
      <c r="G114" s="3">
        <v>99899</v>
      </c>
      <c r="H114" s="7" t="str">
        <f>HYPERLINK("http://www.ensembl.org/Mus_musculus/Gene/Summary?db=core;g=ENSMUSG00000028037","ENSMUSG00000028037")</f>
        <v>ENSMUSG00000028037</v>
      </c>
      <c r="I114" s="7" t="str">
        <f>HYPERLINK("http://www.informatics.jax.org/marker/MGI:2443016","MGI:2443016")</f>
        <v>MGI:2443016</v>
      </c>
      <c r="J114" s="4" t="s">
        <v>12</v>
      </c>
    </row>
    <row r="115" spans="1:10" x14ac:dyDescent="0.25">
      <c r="A115" s="2">
        <v>39.168330282303103</v>
      </c>
      <c r="B115" s="3">
        <v>4.2863996952476002</v>
      </c>
      <c r="C115" s="5">
        <v>5.3425119539486597E-52</v>
      </c>
      <c r="D115" s="6">
        <v>1.5093744374193101E-50</v>
      </c>
      <c r="E115" s="3" t="s">
        <v>1412</v>
      </c>
      <c r="F115" s="3" t="s">
        <v>1413</v>
      </c>
      <c r="G115" s="3">
        <v>14102</v>
      </c>
      <c r="H115" s="7" t="str">
        <f>HYPERLINK("http://www.ensembl.org/Mus_musculus/Gene/Summary?db=core;g=ENSMUSG00000024778","ENSMUSG00000024778")</f>
        <v>ENSMUSG00000024778</v>
      </c>
      <c r="I115" s="7" t="str">
        <f>HYPERLINK("http://www.informatics.jax.org/marker/MGI:95484","MGI:95484")</f>
        <v>MGI:95484</v>
      </c>
      <c r="J115" s="4" t="s">
        <v>12</v>
      </c>
    </row>
    <row r="116" spans="1:10" x14ac:dyDescent="0.25">
      <c r="A116" s="2">
        <v>456.20258817765699</v>
      </c>
      <c r="B116" s="3">
        <v>4.2312633701957498</v>
      </c>
      <c r="C116" s="5">
        <v>6.2437128138584598E-142</v>
      </c>
      <c r="D116" s="6">
        <v>1.06143117835594E-139</v>
      </c>
      <c r="E116" s="3" t="s">
        <v>242</v>
      </c>
      <c r="F116" s="3" t="s">
        <v>243</v>
      </c>
      <c r="G116" s="3">
        <v>18578</v>
      </c>
      <c r="H116" s="7" t="str">
        <f>HYPERLINK("http://www.ensembl.org/Mus_musculus/Gene/Summary?db=core;g=ENSMUSG00000028525","ENSMUSG00000028525")</f>
        <v>ENSMUSG00000028525</v>
      </c>
      <c r="I116" s="7" t="str">
        <f>HYPERLINK("http://www.informatics.jax.org/marker/MGI:99557","MGI:99557")</f>
        <v>MGI:99557</v>
      </c>
      <c r="J116" s="4" t="s">
        <v>12</v>
      </c>
    </row>
    <row r="117" spans="1:10" x14ac:dyDescent="0.25">
      <c r="A117" s="2">
        <v>4377.4257884619601</v>
      </c>
      <c r="B117" s="3">
        <v>4.2201963391287798</v>
      </c>
      <c r="C117" s="5">
        <v>3.0380668953868501E-43</v>
      </c>
      <c r="D117" s="6">
        <v>6.7772261512475794E-42</v>
      </c>
      <c r="E117" s="3" t="s">
        <v>1784</v>
      </c>
      <c r="F117" s="3" t="s">
        <v>1785</v>
      </c>
      <c r="G117" s="3">
        <v>26570</v>
      </c>
      <c r="H117" s="7" t="str">
        <f>HYPERLINK("http://www.ensembl.org/Mus_musculus/Gene/Summary?db=core;g=ENSMUSG00000027737","ENSMUSG00000027737")</f>
        <v>ENSMUSG00000027737</v>
      </c>
      <c r="I117" s="7" t="str">
        <f>HYPERLINK("http://www.informatics.jax.org/marker/MGI:1347355","MGI:1347355")</f>
        <v>MGI:1347355</v>
      </c>
      <c r="J117" s="4" t="s">
        <v>12</v>
      </c>
    </row>
    <row r="118" spans="1:10" x14ac:dyDescent="0.25">
      <c r="A118" s="2">
        <v>77.160241900734803</v>
      </c>
      <c r="B118" s="3">
        <v>4.1980561154180798</v>
      </c>
      <c r="C118" s="5">
        <v>9.5192593292364103E-59</v>
      </c>
      <c r="D118" s="6">
        <v>3.2703796859327898E-57</v>
      </c>
      <c r="E118" s="3" t="s">
        <v>1164</v>
      </c>
      <c r="F118" s="3" t="s">
        <v>1165</v>
      </c>
      <c r="G118" s="3">
        <v>12047</v>
      </c>
      <c r="H118" s="7" t="str">
        <f>HYPERLINK("http://www.ensembl.org/Mus_musculus/Gene/Summary?db=core;g=ENSMUSG00000099974","ENSMUSG00000099974")</f>
        <v>ENSMUSG00000099974</v>
      </c>
      <c r="I118" s="7" t="str">
        <f>HYPERLINK("http://www.informatics.jax.org/marker/MGI:1278325","MGI:1278325")</f>
        <v>MGI:1278325</v>
      </c>
      <c r="J118" s="4" t="s">
        <v>12</v>
      </c>
    </row>
    <row r="119" spans="1:10" x14ac:dyDescent="0.25">
      <c r="A119" s="2">
        <v>346.99703008443902</v>
      </c>
      <c r="B119" s="3">
        <v>4.1878025572824802</v>
      </c>
      <c r="C119" s="5">
        <v>5.7845227640287698E-152</v>
      </c>
      <c r="D119" s="6">
        <v>1.2398998794200799E-149</v>
      </c>
      <c r="E119" s="3" t="s">
        <v>194</v>
      </c>
      <c r="F119" s="3" t="s">
        <v>195</v>
      </c>
      <c r="G119" s="3">
        <v>257632</v>
      </c>
      <c r="H119" s="7" t="str">
        <f>HYPERLINK("http://www.ensembl.org/Mus_musculus/Gene/Summary?db=core;g=ENSMUSG00000055994","ENSMUSG00000055994")</f>
        <v>ENSMUSG00000055994</v>
      </c>
      <c r="I119" s="7" t="str">
        <f>HYPERLINK("http://www.informatics.jax.org/marker/MGI:2429397","MGI:2429397")</f>
        <v>MGI:2429397</v>
      </c>
      <c r="J119" s="4" t="s">
        <v>12</v>
      </c>
    </row>
    <row r="120" spans="1:10" x14ac:dyDescent="0.25">
      <c r="A120" s="2">
        <v>17.308393558836201</v>
      </c>
      <c r="B120" s="3">
        <v>4.1640003838368997</v>
      </c>
      <c r="C120" s="5">
        <v>2.6283948137767402E-30</v>
      </c>
      <c r="D120" s="6">
        <v>3.9207220671465501E-29</v>
      </c>
      <c r="E120" s="3" t="s">
        <v>2661</v>
      </c>
      <c r="F120" s="3" t="s">
        <v>2662</v>
      </c>
      <c r="G120" s="3">
        <v>74748</v>
      </c>
      <c r="H120" s="7" t="str">
        <f>HYPERLINK("http://www.ensembl.org/Mus_musculus/Gene/Summary?db=core;g=ENSMUSG00000053318","ENSMUSG00000053318")</f>
        <v>ENSMUSG00000053318</v>
      </c>
      <c r="I120" s="7" t="str">
        <f>HYPERLINK("http://www.informatics.jax.org/marker/MGI:1921998","MGI:1921998")</f>
        <v>MGI:1921998</v>
      </c>
      <c r="J120" s="4" t="s">
        <v>12</v>
      </c>
    </row>
    <row r="121" spans="1:10" x14ac:dyDescent="0.25">
      <c r="A121" s="2">
        <v>15.8483005585912</v>
      </c>
      <c r="B121" s="3">
        <v>4.1574995680635096</v>
      </c>
      <c r="C121" s="5">
        <v>1.9369678423598798E-24</v>
      </c>
      <c r="D121" s="6">
        <v>2.3163739145747099E-23</v>
      </c>
      <c r="E121" s="3" t="s">
        <v>3318</v>
      </c>
      <c r="F121" s="3" t="s">
        <v>3319</v>
      </c>
      <c r="G121" s="3">
        <v>102639543</v>
      </c>
      <c r="H121" s="7" t="str">
        <f>HYPERLINK("http://www.ensembl.org/Mus_musculus/Gene/Summary?db=core;g=ENSMUSG00000037849","ENSMUSG00000037849")</f>
        <v>ENSMUSG00000037849</v>
      </c>
      <c r="I121" s="7" t="str">
        <f>HYPERLINK("http://www.informatics.jax.org/marker/MGI:3646410","MGI:3646410")</f>
        <v>MGI:3646410</v>
      </c>
      <c r="J121" s="4" t="s">
        <v>12</v>
      </c>
    </row>
    <row r="122" spans="1:10" x14ac:dyDescent="0.25">
      <c r="A122" s="2">
        <v>347.263928181788</v>
      </c>
      <c r="B122" s="3">
        <v>4.1368476301967103</v>
      </c>
      <c r="C122" s="5">
        <v>1.17557636204203E-128</v>
      </c>
      <c r="D122" s="6">
        <v>1.6325609760189299E-126</v>
      </c>
      <c r="E122" s="3" t="s">
        <v>294</v>
      </c>
      <c r="F122" s="3" t="s">
        <v>295</v>
      </c>
      <c r="G122" s="3">
        <v>224840</v>
      </c>
      <c r="H122" s="7" t="str">
        <f>HYPERLINK("http://www.ensembl.org/Mus_musculus/Gene/Summary?db=core;g=ENSMUSG00000051682","ENSMUSG00000051682")</f>
        <v>ENSMUSG00000051682</v>
      </c>
      <c r="I122" s="7" t="str">
        <f>HYPERLINK("http://www.informatics.jax.org/marker/MGI:1923239","MGI:1923239")</f>
        <v>MGI:1923239</v>
      </c>
      <c r="J122" s="4" t="s">
        <v>12</v>
      </c>
    </row>
    <row r="123" spans="1:10" x14ac:dyDescent="0.25">
      <c r="A123" s="2">
        <v>19.796873014655802</v>
      </c>
      <c r="B123" s="3">
        <v>4.1212304651875797</v>
      </c>
      <c r="C123" s="5">
        <v>9.2787116379119405E-28</v>
      </c>
      <c r="D123" s="6">
        <v>1.25670462568423E-26</v>
      </c>
      <c r="E123" s="3" t="s">
        <v>2930</v>
      </c>
      <c r="F123" s="3" t="s">
        <v>2931</v>
      </c>
      <c r="G123" s="3">
        <v>27371</v>
      </c>
      <c r="H123" s="7" t="str">
        <f>HYPERLINK("http://www.ensembl.org/Mus_musculus/Gene/Summary?db=core;g=ENSMUSG00000028071","ENSMUSG00000028071")</f>
        <v>ENSMUSG00000028071</v>
      </c>
      <c r="I123" s="7" t="str">
        <f>HYPERLINK("http://www.informatics.jax.org/marker/MGI:1351596","MGI:1351596")</f>
        <v>MGI:1351596</v>
      </c>
      <c r="J123" s="4" t="s">
        <v>12</v>
      </c>
    </row>
    <row r="124" spans="1:10" x14ac:dyDescent="0.25">
      <c r="A124" s="2">
        <v>23.498755324069801</v>
      </c>
      <c r="B124" s="3">
        <v>4.1126407230686004</v>
      </c>
      <c r="C124" s="5">
        <v>3.22743282286817E-19</v>
      </c>
      <c r="D124" s="6">
        <v>3.0925643958678499E-18</v>
      </c>
      <c r="E124" s="3" t="s">
        <v>4133</v>
      </c>
      <c r="F124" s="3" t="s">
        <v>4134</v>
      </c>
      <c r="G124" s="3">
        <v>22035</v>
      </c>
      <c r="H124" s="7" t="str">
        <f>HYPERLINK("http://www.ensembl.org/Mus_musculus/Gene/Summary?db=core;g=ENSMUSG00000039304","ENSMUSG00000039304")</f>
        <v>ENSMUSG00000039304</v>
      </c>
      <c r="I124" s="7" t="str">
        <f>HYPERLINK("http://www.informatics.jax.org/marker/MGI:107414","MGI:107414")</f>
        <v>MGI:107414</v>
      </c>
      <c r="J124" s="4" t="s">
        <v>12</v>
      </c>
    </row>
    <row r="125" spans="1:10" x14ac:dyDescent="0.25">
      <c r="A125" s="2">
        <v>482.36923117335903</v>
      </c>
      <c r="B125" s="3">
        <v>4.1000286358647502</v>
      </c>
      <c r="C125" s="5">
        <v>9.0219874378018697E-130</v>
      </c>
      <c r="D125" s="6">
        <v>1.2892289295177799E-127</v>
      </c>
      <c r="E125" s="3" t="s">
        <v>286</v>
      </c>
      <c r="F125" s="3" t="s">
        <v>287</v>
      </c>
      <c r="G125" s="3">
        <v>14528</v>
      </c>
      <c r="H125" s="7" t="str">
        <f>HYPERLINK("http://www.ensembl.org/Mus_musculus/Gene/Summary?db=core;g=ENSMUSG00000037580","ENSMUSG00000037580")</f>
        <v>ENSMUSG00000037580</v>
      </c>
      <c r="I125" s="7" t="str">
        <f>HYPERLINK("http://www.informatics.jax.org/marker/MGI:95675","MGI:95675")</f>
        <v>MGI:95675</v>
      </c>
      <c r="J125" s="4" t="s">
        <v>12</v>
      </c>
    </row>
    <row r="126" spans="1:10" x14ac:dyDescent="0.25">
      <c r="A126" s="2">
        <v>14.551026646336901</v>
      </c>
      <c r="B126" s="3">
        <v>4.0988836944348801</v>
      </c>
      <c r="C126" s="5">
        <v>1.4948111983326899E-25</v>
      </c>
      <c r="D126" s="6">
        <v>1.86685730406084E-24</v>
      </c>
      <c r="E126" s="3" t="s">
        <v>3177</v>
      </c>
      <c r="F126" s="3" t="s">
        <v>3178</v>
      </c>
      <c r="G126" s="3">
        <v>83397</v>
      </c>
      <c r="H126" s="7" t="str">
        <f>HYPERLINK("http://www.ensembl.org/Mus_musculus/Gene/Summary?db=core;g=ENSMUSG00000038587","ENSMUSG00000038587")</f>
        <v>ENSMUSG00000038587</v>
      </c>
      <c r="I126" s="7" t="str">
        <f>HYPERLINK("http://www.informatics.jax.org/marker/MGI:1932576","MGI:1932576")</f>
        <v>MGI:1932576</v>
      </c>
      <c r="J126" s="4" t="s">
        <v>12</v>
      </c>
    </row>
    <row r="127" spans="1:10" x14ac:dyDescent="0.25">
      <c r="A127" s="2">
        <v>10.422437173050801</v>
      </c>
      <c r="B127" s="3">
        <v>4.0910464051793598</v>
      </c>
      <c r="C127" s="5">
        <v>8.1594299019085696E-23</v>
      </c>
      <c r="D127" s="6">
        <v>9.1630955390453903E-22</v>
      </c>
      <c r="E127" s="3" t="s">
        <v>3530</v>
      </c>
      <c r="F127" s="3" t="s">
        <v>3531</v>
      </c>
      <c r="G127" s="3">
        <v>112419</v>
      </c>
      <c r="H127" s="7" t="str">
        <f>HYPERLINK("http://www.ensembl.org/Mus_musculus/Gene/Summary?db=core;g=ENSMUSG00000067297","ENSMUSG00000067297")</f>
        <v>ENSMUSG00000067297</v>
      </c>
      <c r="I127" s="7" t="str">
        <f>HYPERLINK("http://www.informatics.jax.org/marker/MGI:2148249","MGI:2148249")</f>
        <v>MGI:2148249</v>
      </c>
      <c r="J127" s="4" t="s">
        <v>12</v>
      </c>
    </row>
    <row r="128" spans="1:10" x14ac:dyDescent="0.25">
      <c r="A128" s="2">
        <v>19.011407760676899</v>
      </c>
      <c r="B128" s="3">
        <v>4.0776365017332399</v>
      </c>
      <c r="C128" s="5">
        <v>4.17931755528448E-30</v>
      </c>
      <c r="D128" s="6">
        <v>6.1873980623280705E-29</v>
      </c>
      <c r="E128" s="3" t="s">
        <v>2681</v>
      </c>
      <c r="F128" s="3" t="s">
        <v>2682</v>
      </c>
      <c r="G128" s="3" t="s">
        <v>83</v>
      </c>
      <c r="H128" s="7" t="str">
        <f>HYPERLINK("http://www.ensembl.org/Mus_musculus/Gene/Summary?db=core;g=ENSMUSG00000118588","ENSMUSG00000118588")</f>
        <v>ENSMUSG00000118588</v>
      </c>
      <c r="I128" s="3" t="s">
        <v>83</v>
      </c>
      <c r="J128" s="4" t="s">
        <v>2683</v>
      </c>
    </row>
    <row r="129" spans="1:10" x14ac:dyDescent="0.25">
      <c r="A129" s="2">
        <v>1575.4972383034001</v>
      </c>
      <c r="B129" s="3">
        <v>4.07496028592697</v>
      </c>
      <c r="C129" s="5">
        <v>1.17570449149833E-213</v>
      </c>
      <c r="D129" s="6">
        <v>5.2692937664425097E-211</v>
      </c>
      <c r="E129" s="3" t="s">
        <v>98</v>
      </c>
      <c r="F129" s="3" t="s">
        <v>99</v>
      </c>
      <c r="G129" s="3">
        <v>15944</v>
      </c>
      <c r="H129" s="7" t="str">
        <f>HYPERLINK("http://www.ensembl.org/Mus_musculus/Gene/Summary?db=core;g=ENSMUSG00000046879","ENSMUSG00000046879")</f>
        <v>ENSMUSG00000046879</v>
      </c>
      <c r="I129" s="7" t="str">
        <f>HYPERLINK("http://www.informatics.jax.org/marker/MGI:107567","MGI:107567")</f>
        <v>MGI:107567</v>
      </c>
      <c r="J129" s="4" t="s">
        <v>12</v>
      </c>
    </row>
    <row r="130" spans="1:10" x14ac:dyDescent="0.25">
      <c r="A130" s="2">
        <v>364.41316228943202</v>
      </c>
      <c r="B130" s="3">
        <v>4.06400858959055</v>
      </c>
      <c r="C130" s="5">
        <v>9.8224584895202105E-103</v>
      </c>
      <c r="D130" s="6">
        <v>8.0707867255557698E-101</v>
      </c>
      <c r="E130" s="3" t="s">
        <v>492</v>
      </c>
      <c r="F130" s="3" t="s">
        <v>493</v>
      </c>
      <c r="G130" s="3">
        <v>16145</v>
      </c>
      <c r="H130" s="7" t="str">
        <f>HYPERLINK("http://www.ensembl.org/Mus_musculus/Gene/Summary?db=core;g=ENSMUSG00000078853","ENSMUSG00000078853")</f>
        <v>ENSMUSG00000078853</v>
      </c>
      <c r="I130" s="7" t="str">
        <f>HYPERLINK("http://www.informatics.jax.org/marker/MGI:107729","MGI:107729")</f>
        <v>MGI:107729</v>
      </c>
      <c r="J130" s="4" t="s">
        <v>12</v>
      </c>
    </row>
    <row r="131" spans="1:10" x14ac:dyDescent="0.25">
      <c r="A131" s="2">
        <v>750.03384513335095</v>
      </c>
      <c r="B131" s="3">
        <v>4.0626540038944903</v>
      </c>
      <c r="C131" s="5">
        <v>9.5337060039975006E-131</v>
      </c>
      <c r="D131" s="6">
        <v>1.3926272770283799E-128</v>
      </c>
      <c r="E131" s="3" t="s">
        <v>280</v>
      </c>
      <c r="F131" s="3" t="s">
        <v>281</v>
      </c>
      <c r="G131" s="3">
        <v>219132</v>
      </c>
      <c r="H131" s="7" t="str">
        <f>HYPERLINK("http://www.ensembl.org/Mus_musculus/Gene/Summary?db=core;g=ENSMUSG00000068245","ENSMUSG00000068245")</f>
        <v>ENSMUSG00000068245</v>
      </c>
      <c r="I131" s="7" t="str">
        <f>HYPERLINK("http://www.informatics.jax.org/marker/MGI:1277133","MGI:1277133")</f>
        <v>MGI:1277133</v>
      </c>
      <c r="J131" s="4" t="s">
        <v>12</v>
      </c>
    </row>
    <row r="132" spans="1:10" x14ac:dyDescent="0.25">
      <c r="A132" s="2">
        <v>165.05007200801501</v>
      </c>
      <c r="B132" s="3">
        <v>4.0567612067681003</v>
      </c>
      <c r="C132" s="5">
        <v>6.2498902384212003E-93</v>
      </c>
      <c r="D132" s="6">
        <v>4.4539536568160501E-91</v>
      </c>
      <c r="E132" s="3" t="s">
        <v>564</v>
      </c>
      <c r="F132" s="3" t="s">
        <v>565</v>
      </c>
      <c r="G132" s="3">
        <v>414084</v>
      </c>
      <c r="H132" s="7" t="str">
        <f>HYPERLINK("http://www.ensembl.org/Mus_musculus/Gene/Summary?db=core;g=ENSMUSG00000044162","ENSMUSG00000044162")</f>
        <v>ENSMUSG00000044162</v>
      </c>
      <c r="I132" s="7" t="str">
        <f>HYPERLINK("http://www.informatics.jax.org/marker/MGI:3041165","MGI:3041165")</f>
        <v>MGI:3041165</v>
      </c>
      <c r="J132" s="4" t="s">
        <v>12</v>
      </c>
    </row>
    <row r="133" spans="1:10" x14ac:dyDescent="0.25">
      <c r="A133" s="2">
        <v>424.68157693617502</v>
      </c>
      <c r="B133" s="3">
        <v>4.0512638504608898</v>
      </c>
      <c r="C133" s="5">
        <v>7.3134121397642306E-76</v>
      </c>
      <c r="D133" s="6">
        <v>3.8153568094219698E-74</v>
      </c>
      <c r="E133" s="3" t="s">
        <v>768</v>
      </c>
      <c r="F133" s="3" t="s">
        <v>769</v>
      </c>
      <c r="G133" s="3">
        <v>100040462</v>
      </c>
      <c r="H133" s="7" t="str">
        <f>HYPERLINK("http://www.ensembl.org/Mus_musculus/Gene/Summary?db=core;g=ENSMUSG00000090272","ENSMUSG00000090272")</f>
        <v>ENSMUSG00000090272</v>
      </c>
      <c r="I133" s="7" t="str">
        <f>HYPERLINK("http://www.informatics.jax.org/marker/MGI:3780953","MGI:3780953")</f>
        <v>MGI:3780953</v>
      </c>
      <c r="J133" s="4" t="s">
        <v>12</v>
      </c>
    </row>
    <row r="134" spans="1:10" x14ac:dyDescent="0.25">
      <c r="A134" s="2">
        <v>353.17020255599198</v>
      </c>
      <c r="B134" s="3">
        <v>4.0325313059340804</v>
      </c>
      <c r="C134" s="5">
        <v>5.39349264154685E-52</v>
      </c>
      <c r="D134" s="6">
        <v>1.5215976379299501E-50</v>
      </c>
      <c r="E134" s="3" t="s">
        <v>1414</v>
      </c>
      <c r="F134" s="3" t="s">
        <v>1415</v>
      </c>
      <c r="G134" s="3">
        <v>231805</v>
      </c>
      <c r="H134" s="7" t="str">
        <f>HYPERLINK("http://www.ensembl.org/Mus_musculus/Gene/Summary?db=core;g=ENSMUSG00000046245","ENSMUSG00000046245")</f>
        <v>ENSMUSG00000046245</v>
      </c>
      <c r="I134" s="7" t="str">
        <f>HYPERLINK("http://www.informatics.jax.org/marker/MGI:2450529","MGI:2450529")</f>
        <v>MGI:2450529</v>
      </c>
      <c r="J134" s="4" t="s">
        <v>12</v>
      </c>
    </row>
    <row r="135" spans="1:10" x14ac:dyDescent="0.25">
      <c r="A135" s="2">
        <v>1489.7082806052799</v>
      </c>
      <c r="B135" s="3">
        <v>4.0076436878687201</v>
      </c>
      <c r="C135" s="5">
        <v>1.14522906737426E-84</v>
      </c>
      <c r="D135" s="6">
        <v>7.2851345834259399E-83</v>
      </c>
      <c r="E135" s="3" t="s">
        <v>632</v>
      </c>
      <c r="F135" s="3" t="s">
        <v>633</v>
      </c>
      <c r="G135" s="3">
        <v>15951</v>
      </c>
      <c r="H135" s="7" t="str">
        <f>HYPERLINK("http://www.ensembl.org/Mus_musculus/Gene/Summary?db=core;g=ENSMUSG00000073489","ENSMUSG00000073489")</f>
        <v>ENSMUSG00000073489</v>
      </c>
      <c r="I135" s="7" t="str">
        <f>HYPERLINK("http://www.informatics.jax.org/marker/MGI:96429","MGI:96429")</f>
        <v>MGI:96429</v>
      </c>
      <c r="J135" s="4" t="s">
        <v>12</v>
      </c>
    </row>
    <row r="136" spans="1:10" x14ac:dyDescent="0.25">
      <c r="A136" s="2">
        <v>1011.34777915118</v>
      </c>
      <c r="B136" s="3">
        <v>4.0074833446923002</v>
      </c>
      <c r="C136" s="5">
        <v>8.0360576923208504E-292</v>
      </c>
      <c r="D136" s="6">
        <v>8.8039476495870593E-289</v>
      </c>
      <c r="E136" s="3" t="s">
        <v>45</v>
      </c>
      <c r="F136" s="3" t="s">
        <v>46</v>
      </c>
      <c r="G136" s="3">
        <v>21929</v>
      </c>
      <c r="H136" s="7" t="str">
        <f>HYPERLINK("http://www.ensembl.org/Mus_musculus/Gene/Summary?db=core;g=ENSMUSG00000019850","ENSMUSG00000019850")</f>
        <v>ENSMUSG00000019850</v>
      </c>
      <c r="I136" s="7" t="str">
        <f>HYPERLINK("http://www.informatics.jax.org/marker/MGI:1196377","MGI:1196377")</f>
        <v>MGI:1196377</v>
      </c>
      <c r="J136" s="4" t="s">
        <v>12</v>
      </c>
    </row>
    <row r="137" spans="1:10" x14ac:dyDescent="0.25">
      <c r="A137" s="2">
        <v>4536.97857921593</v>
      </c>
      <c r="B137" s="3">
        <v>3.9899217774500699</v>
      </c>
      <c r="C137" s="5">
        <v>3.4998118024833402E-246</v>
      </c>
      <c r="D137" s="6">
        <v>2.3005429581657201E-243</v>
      </c>
      <c r="E137" s="3" t="s">
        <v>69</v>
      </c>
      <c r="F137" s="3" t="s">
        <v>70</v>
      </c>
      <c r="G137" s="3">
        <v>20620</v>
      </c>
      <c r="H137" s="7" t="str">
        <f>HYPERLINK("http://www.ensembl.org/Mus_musculus/Gene/Summary?db=core;g=ENSMUSG00000021701","ENSMUSG00000021701")</f>
        <v>ENSMUSG00000021701</v>
      </c>
      <c r="I137" s="7" t="str">
        <f>HYPERLINK("http://www.informatics.jax.org/marker/MGI:1099790","MGI:1099790")</f>
        <v>MGI:1099790</v>
      </c>
      <c r="J137" s="4" t="s">
        <v>12</v>
      </c>
    </row>
    <row r="138" spans="1:10" x14ac:dyDescent="0.25">
      <c r="A138" s="2">
        <v>635.04939737780603</v>
      </c>
      <c r="B138" s="3">
        <v>3.98227230206321</v>
      </c>
      <c r="C138" s="5">
        <v>1.0784363929039701E-81</v>
      </c>
      <c r="D138" s="6">
        <v>6.4640625130900597E-80</v>
      </c>
      <c r="E138" s="3" t="s">
        <v>670</v>
      </c>
      <c r="F138" s="3" t="s">
        <v>671</v>
      </c>
      <c r="G138" s="3">
        <v>20779</v>
      </c>
      <c r="H138" s="7" t="str">
        <f>HYPERLINK("http://www.ensembl.org/Mus_musculus/Gene/Summary?db=core;g=ENSMUSG00000027646","ENSMUSG00000027646")</f>
        <v>ENSMUSG00000027646</v>
      </c>
      <c r="I138" s="7" t="str">
        <f>HYPERLINK("http://www.informatics.jax.org/marker/MGI:98397","MGI:98397")</f>
        <v>MGI:98397</v>
      </c>
      <c r="J138" s="4" t="s">
        <v>12</v>
      </c>
    </row>
    <row r="139" spans="1:10" x14ac:dyDescent="0.25">
      <c r="A139" s="2">
        <v>2035.48435615778</v>
      </c>
      <c r="B139" s="3">
        <v>3.9795518096361699</v>
      </c>
      <c r="C139" s="5">
        <v>5.9870980229856004E-150</v>
      </c>
      <c r="D139" s="6">
        <v>1.20475074503343E-147</v>
      </c>
      <c r="E139" s="3" t="s">
        <v>206</v>
      </c>
      <c r="F139" s="3" t="s">
        <v>207</v>
      </c>
      <c r="G139" s="3">
        <v>246727</v>
      </c>
      <c r="H139" s="7" t="str">
        <f>HYPERLINK("http://www.ensembl.org/Mus_musculus/Gene/Summary?db=core;g=ENSMUSG00000032661","ENSMUSG00000032661")</f>
        <v>ENSMUSG00000032661</v>
      </c>
      <c r="I139" s="7" t="str">
        <f>HYPERLINK("http://www.informatics.jax.org/marker/MGI:2180850","MGI:2180850")</f>
        <v>MGI:2180850</v>
      </c>
      <c r="J139" s="4" t="s">
        <v>12</v>
      </c>
    </row>
    <row r="140" spans="1:10" x14ac:dyDescent="0.25">
      <c r="A140" s="2">
        <v>17.759572853894799</v>
      </c>
      <c r="B140" s="3">
        <v>3.92248233445987</v>
      </c>
      <c r="C140" s="5">
        <v>4.0288609162659499E-28</v>
      </c>
      <c r="D140" s="6">
        <v>5.52881957333086E-27</v>
      </c>
      <c r="E140" s="3" t="s">
        <v>2892</v>
      </c>
      <c r="F140" s="3" t="s">
        <v>2893</v>
      </c>
      <c r="G140" s="3">
        <v>63913</v>
      </c>
      <c r="H140" s="7" t="str">
        <f>HYPERLINK("http://www.ensembl.org/Mus_musculus/Gene/Summary?db=core;g=ENSMUSG00000026483","ENSMUSG00000026483")</f>
        <v>ENSMUSG00000026483</v>
      </c>
      <c r="I140" s="7" t="str">
        <f>HYPERLINK("http://www.informatics.jax.org/marker/MGI:2137237","MGI:2137237")</f>
        <v>MGI:2137237</v>
      </c>
      <c r="J140" s="4" t="s">
        <v>12</v>
      </c>
    </row>
    <row r="141" spans="1:10" x14ac:dyDescent="0.25">
      <c r="A141" s="2">
        <v>7945.74200935715</v>
      </c>
      <c r="B141" s="3">
        <v>3.9114652867762598</v>
      </c>
      <c r="C141" s="5">
        <v>2.7075272533360099E-300</v>
      </c>
      <c r="D141" s="6">
        <v>3.5594958290524097E-297</v>
      </c>
      <c r="E141" s="3" t="s">
        <v>39</v>
      </c>
      <c r="F141" s="3" t="s">
        <v>40</v>
      </c>
      <c r="G141" s="3">
        <v>229003</v>
      </c>
      <c r="H141" s="7" t="str">
        <f>HYPERLINK("http://www.ensembl.org/Mus_musculus/Gene/Summary?db=core;g=ENSMUSG00000027580","ENSMUSG00000027580")</f>
        <v>ENSMUSG00000027580</v>
      </c>
      <c r="I141" s="7" t="str">
        <f>HYPERLINK("http://www.informatics.jax.org/marker/MGI:2385169","MGI:2385169")</f>
        <v>MGI:2385169</v>
      </c>
      <c r="J141" s="4" t="s">
        <v>12</v>
      </c>
    </row>
    <row r="142" spans="1:10" x14ac:dyDescent="0.25">
      <c r="A142" s="2">
        <v>32.893721432754504</v>
      </c>
      <c r="B142" s="3">
        <v>3.90237318071599</v>
      </c>
      <c r="C142" s="5">
        <v>8.6422855316357097E-34</v>
      </c>
      <c r="D142" s="6">
        <v>1.4321501738139199E-32</v>
      </c>
      <c r="E142" s="3" t="s">
        <v>2397</v>
      </c>
      <c r="F142" s="3" t="s">
        <v>2398</v>
      </c>
      <c r="G142" s="3">
        <v>20715</v>
      </c>
      <c r="H142" s="7" t="str">
        <f>HYPERLINK("http://www.ensembl.org/Mus_musculus/Gene/Summary?db=core;g=ENSMUSG00000041481","ENSMUSG00000041481")</f>
        <v>ENSMUSG00000041481</v>
      </c>
      <c r="I142" s="7" t="str">
        <f>HYPERLINK("http://www.informatics.jax.org/marker/MGI:105046","MGI:105046")</f>
        <v>MGI:105046</v>
      </c>
      <c r="J142" s="4" t="s">
        <v>12</v>
      </c>
    </row>
    <row r="143" spans="1:10" x14ac:dyDescent="0.25">
      <c r="A143" s="2">
        <v>129.81699412143101</v>
      </c>
      <c r="B143" s="3">
        <v>3.8994942991789299</v>
      </c>
      <c r="C143" s="5">
        <v>1.64129225844932E-22</v>
      </c>
      <c r="D143" s="6">
        <v>1.8255094944512398E-21</v>
      </c>
      <c r="E143" s="3" t="s">
        <v>3564</v>
      </c>
      <c r="F143" s="3" t="s">
        <v>3565</v>
      </c>
      <c r="G143" s="3">
        <v>20706</v>
      </c>
      <c r="H143" s="7" t="str">
        <f>HYPERLINK("http://www.ensembl.org/Mus_musculus/Gene/Summary?db=core;g=ENSMUSG00000021403","ENSMUSG00000021403")</f>
        <v>ENSMUSG00000021403</v>
      </c>
      <c r="I143" s="7" t="str">
        <f>HYPERLINK("http://www.informatics.jax.org/marker/MGI:894668","MGI:894668")</f>
        <v>MGI:894668</v>
      </c>
      <c r="J143" s="4" t="s">
        <v>12</v>
      </c>
    </row>
    <row r="144" spans="1:10" x14ac:dyDescent="0.25">
      <c r="A144" s="2">
        <v>34.849133885407703</v>
      </c>
      <c r="B144" s="3">
        <v>3.87491098472763</v>
      </c>
      <c r="C144" s="5">
        <v>9.7006115031266805E-37</v>
      </c>
      <c r="D144" s="6">
        <v>1.7861443402582399E-35</v>
      </c>
      <c r="E144" s="3" t="s">
        <v>2159</v>
      </c>
      <c r="F144" s="3" t="s">
        <v>2160</v>
      </c>
      <c r="G144" s="3">
        <v>665700</v>
      </c>
      <c r="H144" s="7" t="str">
        <f>HYPERLINK("http://www.ensembl.org/Mus_musculus/Gene/Summary?db=core;g=ENSMUSG00000055632","ENSMUSG00000055632")</f>
        <v>ENSMUSG00000055632</v>
      </c>
      <c r="I144" s="7" t="str">
        <f>HYPERLINK("http://www.informatics.jax.org/marker/MGI:2677838","MGI:2677838")</f>
        <v>MGI:2677838</v>
      </c>
      <c r="J144" s="4" t="s">
        <v>12</v>
      </c>
    </row>
    <row r="145" spans="1:10" x14ac:dyDescent="0.25">
      <c r="A145" s="2">
        <v>294.32229757660502</v>
      </c>
      <c r="B145" s="3">
        <v>3.8655559150615599</v>
      </c>
      <c r="C145" s="5">
        <v>9.62880040285623E-127</v>
      </c>
      <c r="D145" s="6">
        <v>1.26586629296217E-124</v>
      </c>
      <c r="E145" s="3" t="s">
        <v>310</v>
      </c>
      <c r="F145" s="3" t="s">
        <v>311</v>
      </c>
      <c r="G145" s="3">
        <v>231991</v>
      </c>
      <c r="H145" s="7" t="str">
        <f>HYPERLINK("http://www.ensembl.org/Mus_musculus/Gene/Summary?db=core;g=ENSMUSG00000053007","ENSMUSG00000053007")</f>
        <v>ENSMUSG00000053007</v>
      </c>
      <c r="I145" s="7" t="str">
        <f>HYPERLINK("http://www.informatics.jax.org/marker/MGI:2443973","MGI:2443973")</f>
        <v>MGI:2443973</v>
      </c>
      <c r="J145" s="4" t="s">
        <v>12</v>
      </c>
    </row>
    <row r="146" spans="1:10" x14ac:dyDescent="0.25">
      <c r="A146" s="2">
        <v>4648.9676087891903</v>
      </c>
      <c r="B146" s="3">
        <v>3.8431138478502</v>
      </c>
      <c r="C146" s="3">
        <v>0</v>
      </c>
      <c r="D146" s="4">
        <v>0</v>
      </c>
      <c r="E146" s="3" t="s">
        <v>21</v>
      </c>
      <c r="F146" s="3" t="s">
        <v>22</v>
      </c>
      <c r="G146" s="3">
        <v>13660</v>
      </c>
      <c r="H146" s="7" t="str">
        <f>HYPERLINK("http://www.ensembl.org/Mus_musculus/Gene/Summary?db=core;g=ENSMUSG00000024772","ENSMUSG00000024772")</f>
        <v>ENSMUSG00000024772</v>
      </c>
      <c r="I146" s="7" t="str">
        <f>HYPERLINK("http://www.informatics.jax.org/marker/MGI:1341878","MGI:1341878")</f>
        <v>MGI:1341878</v>
      </c>
      <c r="J146" s="4" t="s">
        <v>12</v>
      </c>
    </row>
    <row r="147" spans="1:10" x14ac:dyDescent="0.25">
      <c r="A147" s="2">
        <v>194.41622037271699</v>
      </c>
      <c r="B147" s="3">
        <v>3.8388159026359299</v>
      </c>
      <c r="C147" s="5">
        <v>1.02598775303036E-75</v>
      </c>
      <c r="D147" s="6">
        <v>5.3383848257938296E-74</v>
      </c>
      <c r="E147" s="3" t="s">
        <v>770</v>
      </c>
      <c r="F147" s="3" t="s">
        <v>771</v>
      </c>
      <c r="G147" s="3">
        <v>12045</v>
      </c>
      <c r="H147" s="7" t="str">
        <f>HYPERLINK("http://www.ensembl.org/Mus_musculus/Gene/Summary?db=core;g=ENSMUSG00000089929","ENSMUSG00000089929")</f>
        <v>ENSMUSG00000089929</v>
      </c>
      <c r="I147" s="7" t="str">
        <f>HYPERLINK("http://www.informatics.jax.org/marker/MGI:1278326","MGI:1278326")</f>
        <v>MGI:1278326</v>
      </c>
      <c r="J147" s="4" t="s">
        <v>12</v>
      </c>
    </row>
    <row r="148" spans="1:10" x14ac:dyDescent="0.25">
      <c r="A148" s="2">
        <v>1426.01327109869</v>
      </c>
      <c r="B148" s="3">
        <v>3.82912929428658</v>
      </c>
      <c r="C148" s="5">
        <v>5.4373748786258702E-61</v>
      </c>
      <c r="D148" s="6">
        <v>2.0193038155650099E-59</v>
      </c>
      <c r="E148" s="3" t="s">
        <v>1078</v>
      </c>
      <c r="F148" s="3" t="s">
        <v>1079</v>
      </c>
      <c r="G148" s="3">
        <v>19124</v>
      </c>
      <c r="H148" s="7" t="str">
        <f>HYPERLINK("http://www.ensembl.org/Mus_musculus/Gene/Summary?db=core;g=ENSMUSG00000027611","ENSMUSG00000027611")</f>
        <v>ENSMUSG00000027611</v>
      </c>
      <c r="I148" s="7" t="str">
        <f>HYPERLINK("http://www.informatics.jax.org/marker/MGI:104596","MGI:104596")</f>
        <v>MGI:104596</v>
      </c>
      <c r="J148" s="4" t="s">
        <v>12</v>
      </c>
    </row>
    <row r="149" spans="1:10" x14ac:dyDescent="0.25">
      <c r="A149" s="2">
        <v>195.18256643746901</v>
      </c>
      <c r="B149" s="3">
        <v>3.8168639556669599</v>
      </c>
      <c r="C149" s="5">
        <v>2.2975762110638299E-119</v>
      </c>
      <c r="D149" s="6">
        <v>2.6969168382249201E-117</v>
      </c>
      <c r="E149" s="3" t="s">
        <v>348</v>
      </c>
      <c r="F149" s="3" t="s">
        <v>349</v>
      </c>
      <c r="G149" s="3">
        <v>74732</v>
      </c>
      <c r="H149" s="7" t="str">
        <f>HYPERLINK("http://www.ensembl.org/Mus_musculus/Gene/Summary?db=core;g=ENSMUSG00000039232","ENSMUSG00000039232")</f>
        <v>ENSMUSG00000039232</v>
      </c>
      <c r="I149" s="7" t="str">
        <f>HYPERLINK("http://www.informatics.jax.org/marker/MGI:1921982","MGI:1921982")</f>
        <v>MGI:1921982</v>
      </c>
      <c r="J149" s="4" t="s">
        <v>12</v>
      </c>
    </row>
    <row r="150" spans="1:10" x14ac:dyDescent="0.25">
      <c r="A150" s="2">
        <v>394.69571083657002</v>
      </c>
      <c r="B150" s="3">
        <v>3.8149794185605801</v>
      </c>
      <c r="C150" s="5">
        <v>6.2563142136817701E-93</v>
      </c>
      <c r="D150" s="6">
        <v>4.4539536568160501E-91</v>
      </c>
      <c r="E150" s="3" t="s">
        <v>566</v>
      </c>
      <c r="F150" s="3" t="s">
        <v>567</v>
      </c>
      <c r="G150" s="3">
        <v>54396</v>
      </c>
      <c r="H150" s="7" t="str">
        <f>HYPERLINK("http://www.ensembl.org/Mus_musculus/Gene/Summary?db=core;g=ENSMUSG00000069874","ENSMUSG00000069874")</f>
        <v>ENSMUSG00000069874</v>
      </c>
      <c r="I150" s="7" t="str">
        <f>HYPERLINK("http://www.informatics.jax.org/marker/MGI:1926262","MGI:1926262")</f>
        <v>MGI:1926262</v>
      </c>
      <c r="J150" s="4" t="s">
        <v>12</v>
      </c>
    </row>
    <row r="151" spans="1:10" x14ac:dyDescent="0.25">
      <c r="A151" s="2">
        <v>974.76671925967401</v>
      </c>
      <c r="B151" s="3">
        <v>3.76334371261109</v>
      </c>
      <c r="C151" s="5">
        <v>7.6569681414627299E-125</v>
      </c>
      <c r="D151" s="6">
        <v>9.8048968668600595E-123</v>
      </c>
      <c r="E151" s="3" t="s">
        <v>318</v>
      </c>
      <c r="F151" s="3" t="s">
        <v>319</v>
      </c>
      <c r="G151" s="3" t="s">
        <v>83</v>
      </c>
      <c r="H151" s="7" t="str">
        <f>HYPERLINK("http://www.ensembl.org/Mus_musculus/Gene/Summary?db=core;g=ENSMUSG00000063286","ENSMUSG00000063286")</f>
        <v>ENSMUSG00000063286</v>
      </c>
      <c r="I151" s="7" t="str">
        <f>HYPERLINK("http://www.informatics.jax.org/marker/MGI:3644223","MGI:3644223")</f>
        <v>MGI:3644223</v>
      </c>
      <c r="J151" s="4" t="s">
        <v>320</v>
      </c>
    </row>
    <row r="152" spans="1:10" x14ac:dyDescent="0.25">
      <c r="A152" s="2">
        <v>76.961119911273499</v>
      </c>
      <c r="B152" s="3">
        <v>3.7599365008360102</v>
      </c>
      <c r="C152" s="5">
        <v>1.09467066377567E-64</v>
      </c>
      <c r="D152" s="6">
        <v>4.4972719770117302E-63</v>
      </c>
      <c r="E152" s="3" t="s">
        <v>974</v>
      </c>
      <c r="F152" s="3" t="s">
        <v>975</v>
      </c>
      <c r="G152" s="3">
        <v>23961</v>
      </c>
      <c r="H152" s="7" t="str">
        <f>HYPERLINK("http://www.ensembl.org/Mus_musculus/Gene/Summary?db=core;g=ENSMUSG00000029605","ENSMUSG00000029605")</f>
        <v>ENSMUSG00000029605</v>
      </c>
      <c r="I152" s="7" t="str">
        <f>HYPERLINK("http://www.informatics.jax.org/marker/MGI:97430","MGI:97430")</f>
        <v>MGI:97430</v>
      </c>
      <c r="J152" s="4" t="s">
        <v>976</v>
      </c>
    </row>
    <row r="153" spans="1:10" x14ac:dyDescent="0.25">
      <c r="A153" s="2">
        <v>275.27838142354801</v>
      </c>
      <c r="B153" s="3">
        <v>3.7268704721059298</v>
      </c>
      <c r="C153" s="5">
        <v>1.5985905783321501E-79</v>
      </c>
      <c r="D153" s="6">
        <v>9.1640134316017499E-78</v>
      </c>
      <c r="E153" s="3" t="s">
        <v>700</v>
      </c>
      <c r="F153" s="3" t="s">
        <v>701</v>
      </c>
      <c r="G153" s="3">
        <v>67138</v>
      </c>
      <c r="H153" s="7" t="str">
        <f>HYPERLINK("http://www.ensembl.org/Mus_musculus/Gene/Summary?db=core;g=ENSMUSG00000029798","ENSMUSG00000029798")</f>
        <v>ENSMUSG00000029798</v>
      </c>
      <c r="I153" s="7" t="str">
        <f>HYPERLINK("http://www.informatics.jax.org/marker/MGI:1914388","MGI:1914388")</f>
        <v>MGI:1914388</v>
      </c>
      <c r="J153" s="4" t="s">
        <v>12</v>
      </c>
    </row>
    <row r="154" spans="1:10" x14ac:dyDescent="0.25">
      <c r="A154" s="2">
        <v>74.899762078821695</v>
      </c>
      <c r="B154" s="3">
        <v>3.7243074860628398</v>
      </c>
      <c r="C154" s="5">
        <v>2.9398411666325601E-49</v>
      </c>
      <c r="D154" s="6">
        <v>7.8131627770881505E-48</v>
      </c>
      <c r="E154" s="3" t="s">
        <v>1500</v>
      </c>
      <c r="F154" s="3" t="s">
        <v>1501</v>
      </c>
      <c r="G154" s="3">
        <v>170741</v>
      </c>
      <c r="H154" s="7" t="str">
        <f>HYPERLINK("http://www.ensembl.org/Mus_musculus/Gene/Summary?db=core;g=ENSMUSG00000066684","ENSMUSG00000066684")</f>
        <v>ENSMUSG00000066684</v>
      </c>
      <c r="I154" s="7" t="str">
        <f>HYPERLINK("http://www.informatics.jax.org/marker/MGI:2450532","MGI:2450532")</f>
        <v>MGI:2450532</v>
      </c>
      <c r="J154" s="4" t="s">
        <v>12</v>
      </c>
    </row>
    <row r="155" spans="1:10" x14ac:dyDescent="0.25">
      <c r="A155" s="2">
        <v>440.04849394719901</v>
      </c>
      <c r="B155" s="3">
        <v>3.7161421882255299</v>
      </c>
      <c r="C155" s="5">
        <v>7.9759351919342896E-215</v>
      </c>
      <c r="D155" s="6">
        <v>3.6578009763940499E-212</v>
      </c>
      <c r="E155" s="3" t="s">
        <v>96</v>
      </c>
      <c r="F155" s="3" t="s">
        <v>97</v>
      </c>
      <c r="G155" s="3">
        <v>54598</v>
      </c>
      <c r="H155" s="7" t="str">
        <f>HYPERLINK("http://www.ensembl.org/Mus_musculus/Gene/Summary?db=core;g=ENSMUSG00000059588","ENSMUSG00000059588")</f>
        <v>ENSMUSG00000059588</v>
      </c>
      <c r="I155" s="7" t="str">
        <f>HYPERLINK("http://www.informatics.jax.org/marker/MGI:1926944","MGI:1926944")</f>
        <v>MGI:1926944</v>
      </c>
      <c r="J155" s="4" t="s">
        <v>12</v>
      </c>
    </row>
    <row r="156" spans="1:10" x14ac:dyDescent="0.25">
      <c r="A156" s="2">
        <v>6.9709256096928804</v>
      </c>
      <c r="B156" s="3">
        <v>3.7122459363106701</v>
      </c>
      <c r="C156" s="5">
        <v>1.4579817980012299E-16</v>
      </c>
      <c r="D156" s="6">
        <v>1.2126276278610001E-15</v>
      </c>
      <c r="E156" s="3" t="s">
        <v>4759</v>
      </c>
      <c r="F156" s="3" t="s">
        <v>4760</v>
      </c>
      <c r="G156" s="3">
        <v>22329</v>
      </c>
      <c r="H156" s="7" t="str">
        <f>HYPERLINK("http://www.ensembl.org/Mus_musculus/Gene/Summary?db=core;g=ENSMUSG00000027962","ENSMUSG00000027962")</f>
        <v>ENSMUSG00000027962</v>
      </c>
      <c r="I156" s="7" t="str">
        <f>HYPERLINK("http://www.informatics.jax.org/marker/MGI:98926","MGI:98926")</f>
        <v>MGI:98926</v>
      </c>
      <c r="J156" s="4" t="s">
        <v>12</v>
      </c>
    </row>
    <row r="157" spans="1:10" x14ac:dyDescent="0.25">
      <c r="A157" s="2">
        <v>7.7989340730496304</v>
      </c>
      <c r="B157" s="3">
        <v>3.68437673507154</v>
      </c>
      <c r="C157" s="5">
        <v>1.07637946638404E-17</v>
      </c>
      <c r="D157" s="6">
        <v>9.55274665935787E-17</v>
      </c>
      <c r="E157" s="3" t="s">
        <v>4461</v>
      </c>
      <c r="F157" s="3" t="s">
        <v>4462</v>
      </c>
      <c r="G157" s="3" t="s">
        <v>83</v>
      </c>
      <c r="H157" s="7" t="str">
        <f>HYPERLINK("http://www.ensembl.org/Mus_musculus/Gene/Summary?db=core;g=ENSMUSG00000102518","ENSMUSG00000102518")</f>
        <v>ENSMUSG00000102518</v>
      </c>
      <c r="I157" s="7" t="str">
        <f>HYPERLINK("http://www.informatics.jax.org/marker/MGI:5611567","MGI:5611567")</f>
        <v>MGI:5611567</v>
      </c>
      <c r="J157" s="4" t="s">
        <v>1828</v>
      </c>
    </row>
    <row r="158" spans="1:10" x14ac:dyDescent="0.25">
      <c r="A158" s="2">
        <v>465.95463446567101</v>
      </c>
      <c r="B158" s="3">
        <v>3.6773799177724098</v>
      </c>
      <c r="C158" s="5">
        <v>6.4619172249684603E-30</v>
      </c>
      <c r="D158" s="6">
        <v>9.4883847860296396E-29</v>
      </c>
      <c r="E158" s="3" t="s">
        <v>2704</v>
      </c>
      <c r="F158" s="3" t="s">
        <v>2705</v>
      </c>
      <c r="G158" s="3">
        <v>23886</v>
      </c>
      <c r="H158" s="7" t="str">
        <f>HYPERLINK("http://www.ensembl.org/Mus_musculus/Gene/Summary?db=core;g=ENSMUSG00000038508","ENSMUSG00000038508")</f>
        <v>ENSMUSG00000038508</v>
      </c>
      <c r="I158" s="7" t="str">
        <f>HYPERLINK("http://www.informatics.jax.org/marker/MGI:1346047","MGI:1346047")</f>
        <v>MGI:1346047</v>
      </c>
      <c r="J158" s="4" t="s">
        <v>12</v>
      </c>
    </row>
    <row r="159" spans="1:10" x14ac:dyDescent="0.25">
      <c r="A159" s="2">
        <v>7.1064673287007603</v>
      </c>
      <c r="B159" s="3">
        <v>3.6745241205168799</v>
      </c>
      <c r="C159" s="5">
        <v>2.9077986394228901E-18</v>
      </c>
      <c r="D159" s="6">
        <v>2.6633436678782801E-17</v>
      </c>
      <c r="E159" s="3" t="s">
        <v>4323</v>
      </c>
      <c r="F159" s="3" t="s">
        <v>4324</v>
      </c>
      <c r="G159" s="3" t="s">
        <v>83</v>
      </c>
      <c r="H159" s="7" t="str">
        <f>HYPERLINK("http://www.ensembl.org/Mus_musculus/Gene/Summary?db=core;g=ENSMUSG00000112212","ENSMUSG00000112212")</f>
        <v>ENSMUSG00000112212</v>
      </c>
      <c r="I159" s="7" t="str">
        <f>HYPERLINK("http://www.informatics.jax.org/marker/MGI:5825826","MGI:5825826")</f>
        <v>MGI:5825826</v>
      </c>
      <c r="J159" s="4" t="s">
        <v>939</v>
      </c>
    </row>
    <row r="160" spans="1:10" x14ac:dyDescent="0.25">
      <c r="A160" s="2">
        <v>23.237172880176999</v>
      </c>
      <c r="B160" s="3">
        <v>3.6633816289614098</v>
      </c>
      <c r="C160" s="5">
        <v>1.23791118443213E-27</v>
      </c>
      <c r="D160" s="6">
        <v>1.6674596008880901E-26</v>
      </c>
      <c r="E160" s="3" t="s">
        <v>2946</v>
      </c>
      <c r="F160" s="3" t="s">
        <v>2947</v>
      </c>
      <c r="G160" s="3" t="s">
        <v>83</v>
      </c>
      <c r="H160" s="7" t="str">
        <f>HYPERLINK("http://www.ensembl.org/Mus_musculus/Gene/Summary?db=core;g=ENSMUSG00000078349","ENSMUSG00000078349")</f>
        <v>ENSMUSG00000078349</v>
      </c>
      <c r="I160" s="7" t="str">
        <f>HYPERLINK("http://www.informatics.jax.org/marker/MGI:2140540","MGI:2140540")</f>
        <v>MGI:2140540</v>
      </c>
      <c r="J160" s="4" t="s">
        <v>331</v>
      </c>
    </row>
    <row r="161" spans="1:10" x14ac:dyDescent="0.25">
      <c r="A161" s="2">
        <v>125.26594486834</v>
      </c>
      <c r="B161" s="3">
        <v>3.6601030027650601</v>
      </c>
      <c r="C161" s="5">
        <v>5.2955853290805305E-85</v>
      </c>
      <c r="D161" s="6">
        <v>3.3795774333161203E-83</v>
      </c>
      <c r="E161" s="3" t="s">
        <v>630</v>
      </c>
      <c r="F161" s="3" t="s">
        <v>631</v>
      </c>
      <c r="G161" s="3" t="s">
        <v>83</v>
      </c>
      <c r="H161" s="7" t="str">
        <f>HYPERLINK("http://www.ensembl.org/Mus_musculus/Gene/Summary?db=core;g=ENSMUSG00000108112","ENSMUSG00000108112")</f>
        <v>ENSMUSG00000108112</v>
      </c>
      <c r="I161" s="7" t="str">
        <f>HYPERLINK("http://www.informatics.jax.org/marker/MGI:5753769","MGI:5753769")</f>
        <v>MGI:5753769</v>
      </c>
      <c r="J161" s="4" t="s">
        <v>331</v>
      </c>
    </row>
    <row r="162" spans="1:10" x14ac:dyDescent="0.25">
      <c r="A162" s="2">
        <v>22.805762723083902</v>
      </c>
      <c r="B162" s="3">
        <v>3.6580283569900098</v>
      </c>
      <c r="C162" s="5">
        <v>4.18206312679857E-23</v>
      </c>
      <c r="D162" s="6">
        <v>4.7478575049204304E-22</v>
      </c>
      <c r="E162" s="3" t="s">
        <v>3492</v>
      </c>
      <c r="F162" s="3" t="s">
        <v>3493</v>
      </c>
      <c r="G162" s="3" t="s">
        <v>83</v>
      </c>
      <c r="H162" s="7" t="str">
        <f>HYPERLINK("http://www.ensembl.org/Mus_musculus/Gene/Summary?db=core;g=ENSMUSG00000107480","ENSMUSG00000107480")</f>
        <v>ENSMUSG00000107480</v>
      </c>
      <c r="I162" s="7" t="str">
        <f>HYPERLINK("http://www.informatics.jax.org/marker/MGI:5690557","MGI:5690557")</f>
        <v>MGI:5690557</v>
      </c>
      <c r="J162" s="4" t="s">
        <v>1828</v>
      </c>
    </row>
    <row r="163" spans="1:10" x14ac:dyDescent="0.25">
      <c r="A163" s="2">
        <v>10.9843822555413</v>
      </c>
      <c r="B163" s="3">
        <v>3.6366277398078202</v>
      </c>
      <c r="C163" s="5">
        <v>1.6874208096888E-19</v>
      </c>
      <c r="D163" s="6">
        <v>1.64163484790642E-18</v>
      </c>
      <c r="E163" s="3" t="s">
        <v>4071</v>
      </c>
      <c r="F163" s="3" t="s">
        <v>4072</v>
      </c>
      <c r="G163" s="3">
        <v>19270</v>
      </c>
      <c r="H163" s="7" t="str">
        <f>HYPERLINK("http://www.ensembl.org/Mus_musculus/Gene/Summary?db=core;g=ENSMUSG00000021745","ENSMUSG00000021745")</f>
        <v>ENSMUSG00000021745</v>
      </c>
      <c r="I163" s="7" t="str">
        <f>HYPERLINK("http://www.informatics.jax.org/marker/MGI:97814","MGI:97814")</f>
        <v>MGI:97814</v>
      </c>
      <c r="J163" s="4" t="s">
        <v>12</v>
      </c>
    </row>
    <row r="164" spans="1:10" x14ac:dyDescent="0.25">
      <c r="A164" s="2">
        <v>118.691207630036</v>
      </c>
      <c r="B164" s="3">
        <v>3.6362153180201902</v>
      </c>
      <c r="C164" s="5">
        <v>1.15579119117219E-34</v>
      </c>
      <c r="D164" s="6">
        <v>1.9767738326032499E-33</v>
      </c>
      <c r="E164" s="3" t="s">
        <v>2323</v>
      </c>
      <c r="F164" s="3" t="s">
        <v>2324</v>
      </c>
      <c r="G164" s="3">
        <v>109032</v>
      </c>
      <c r="H164" s="7" t="str">
        <f>HYPERLINK("http://www.ensembl.org/Mus_musculus/Gene/Summary?db=core;g=ENSMUSG00000070034","ENSMUSG00000070034")</f>
        <v>ENSMUSG00000070034</v>
      </c>
      <c r="I164" s="7" t="str">
        <f>HYPERLINK("http://www.informatics.jax.org/marker/MGI:1923364","MGI:1923364")</f>
        <v>MGI:1923364</v>
      </c>
      <c r="J164" s="4" t="s">
        <v>12</v>
      </c>
    </row>
    <row r="165" spans="1:10" x14ac:dyDescent="0.25">
      <c r="A165" s="2">
        <v>2343.1445138533199</v>
      </c>
      <c r="B165" s="3">
        <v>3.6260451885161</v>
      </c>
      <c r="C165" s="5">
        <v>7.8366588061173204E-151</v>
      </c>
      <c r="D165" s="6">
        <v>1.6267253858593002E-148</v>
      </c>
      <c r="E165" s="3" t="s">
        <v>200</v>
      </c>
      <c r="F165" s="3" t="s">
        <v>201</v>
      </c>
      <c r="G165" s="3">
        <v>21941</v>
      </c>
      <c r="H165" s="7" t="str">
        <f>HYPERLINK("http://www.ensembl.org/Mus_musculus/Gene/Summary?db=core;g=ENSMUSG00000028602","ENSMUSG00000028602")</f>
        <v>ENSMUSG00000028602</v>
      </c>
      <c r="I165" s="7" t="str">
        <f>HYPERLINK("http://www.informatics.jax.org/marker/MGI:99908","MGI:99908")</f>
        <v>MGI:99908</v>
      </c>
      <c r="J165" s="4" t="s">
        <v>12</v>
      </c>
    </row>
    <row r="166" spans="1:10" x14ac:dyDescent="0.25">
      <c r="A166" s="2">
        <v>37.575676859983297</v>
      </c>
      <c r="B166" s="3">
        <v>3.6258560293328999</v>
      </c>
      <c r="C166" s="5">
        <v>5.7543710272816803E-36</v>
      </c>
      <c r="D166" s="6">
        <v>1.03066481978197E-34</v>
      </c>
      <c r="E166" s="3" t="s">
        <v>2219</v>
      </c>
      <c r="F166" s="3" t="s">
        <v>2220</v>
      </c>
      <c r="G166" s="3">
        <v>93694</v>
      </c>
      <c r="H166" s="7" t="str">
        <f>HYPERLINK("http://www.ensembl.org/Mus_musculus/Gene/Summary?db=core;g=ENSMUSG00000030157","ENSMUSG00000030157")</f>
        <v>ENSMUSG00000030157</v>
      </c>
      <c r="I166" s="7" t="str">
        <f>HYPERLINK("http://www.informatics.jax.org/marker/MGI:2135589","MGI:2135589")</f>
        <v>MGI:2135589</v>
      </c>
      <c r="J166" s="4" t="s">
        <v>12</v>
      </c>
    </row>
    <row r="167" spans="1:10" x14ac:dyDescent="0.25">
      <c r="A167" s="2">
        <v>32.096820567118698</v>
      </c>
      <c r="B167" s="3">
        <v>3.6198459739164499</v>
      </c>
      <c r="C167" s="5">
        <v>1.96025282600133E-45</v>
      </c>
      <c r="D167" s="6">
        <v>4.6294833208079199E-44</v>
      </c>
      <c r="E167" s="3" t="s">
        <v>1686</v>
      </c>
      <c r="F167" s="3" t="s">
        <v>1687</v>
      </c>
      <c r="G167" s="3">
        <v>72747</v>
      </c>
      <c r="H167" s="7" t="str">
        <f>HYPERLINK("http://www.ensembl.org/Mus_musculus/Gene/Summary?db=core;g=ENSMUSG00000024424","ENSMUSG00000024424")</f>
        <v>ENSMUSG00000024424</v>
      </c>
      <c r="I167" s="7" t="str">
        <f>HYPERLINK("http://www.informatics.jax.org/marker/MGI:1919997","MGI:1919997")</f>
        <v>MGI:1919997</v>
      </c>
      <c r="J167" s="4" t="s">
        <v>12</v>
      </c>
    </row>
    <row r="168" spans="1:10" x14ac:dyDescent="0.25">
      <c r="A168" s="2">
        <v>65.757071210977898</v>
      </c>
      <c r="B168" s="3">
        <v>3.6179234779987599</v>
      </c>
      <c r="C168" s="5">
        <v>7.93535054151484E-63</v>
      </c>
      <c r="D168" s="6">
        <v>3.1234553428876802E-61</v>
      </c>
      <c r="E168" s="3" t="s">
        <v>1017</v>
      </c>
      <c r="F168" s="3" t="s">
        <v>1018</v>
      </c>
      <c r="G168" s="3" t="s">
        <v>83</v>
      </c>
      <c r="H168" s="7" t="str">
        <f>HYPERLINK("http://www.ensembl.org/Mus_musculus/Gene/Summary?db=core;g=ENSMUSG00000087477","ENSMUSG00000087477")</f>
        <v>ENSMUSG00000087477</v>
      </c>
      <c r="I168" s="7" t="str">
        <f>HYPERLINK("http://www.informatics.jax.org/marker/MGI:3650351","MGI:3650351")</f>
        <v>MGI:3650351</v>
      </c>
      <c r="J168" s="4" t="s">
        <v>932</v>
      </c>
    </row>
    <row r="169" spans="1:10" x14ac:dyDescent="0.25">
      <c r="A169" s="2">
        <v>181.38233208021401</v>
      </c>
      <c r="B169" s="3">
        <v>3.5914538673925498</v>
      </c>
      <c r="C169" s="5">
        <v>4.1871830549233098E-56</v>
      </c>
      <c r="D169" s="6">
        <v>1.3404423675825899E-54</v>
      </c>
      <c r="E169" s="3" t="s">
        <v>1248</v>
      </c>
      <c r="F169" s="3" t="s">
        <v>1249</v>
      </c>
      <c r="G169" s="3">
        <v>20568</v>
      </c>
      <c r="H169" s="7" t="str">
        <f>HYPERLINK("http://www.ensembl.org/Mus_musculus/Gene/Summary?db=core;g=ENSMUSG00000017002","ENSMUSG00000017002")</f>
        <v>ENSMUSG00000017002</v>
      </c>
      <c r="I169" s="7" t="str">
        <f>HYPERLINK("http://www.informatics.jax.org/marker/MGI:109297","MGI:109297")</f>
        <v>MGI:109297</v>
      </c>
      <c r="J169" s="4" t="s">
        <v>12</v>
      </c>
    </row>
    <row r="170" spans="1:10" x14ac:dyDescent="0.25">
      <c r="A170" s="2">
        <v>2576.5427068715499</v>
      </c>
      <c r="B170" s="3">
        <v>3.5882468322537</v>
      </c>
      <c r="C170" s="5">
        <v>5.75604938963109E-140</v>
      </c>
      <c r="D170" s="6">
        <v>9.5385961313886601E-138</v>
      </c>
      <c r="E170" s="3" t="s">
        <v>248</v>
      </c>
      <c r="F170" s="3" t="s">
        <v>249</v>
      </c>
      <c r="G170" s="3">
        <v>12266</v>
      </c>
      <c r="H170" s="7" t="str">
        <f>HYPERLINK("http://www.ensembl.org/Mus_musculus/Gene/Summary?db=core;g=ENSMUSG00000024164","ENSMUSG00000024164")</f>
        <v>ENSMUSG00000024164</v>
      </c>
      <c r="I170" s="7" t="str">
        <f>HYPERLINK("http://www.informatics.jax.org/marker/MGI:88227","MGI:88227")</f>
        <v>MGI:88227</v>
      </c>
      <c r="J170" s="4" t="s">
        <v>12</v>
      </c>
    </row>
    <row r="171" spans="1:10" x14ac:dyDescent="0.25">
      <c r="A171" s="2">
        <v>32.514013813089903</v>
      </c>
      <c r="B171" s="3">
        <v>3.5799926930865098</v>
      </c>
      <c r="C171" s="5">
        <v>1.1234727121966199E-34</v>
      </c>
      <c r="D171" s="6">
        <v>1.9265114682188999E-33</v>
      </c>
      <c r="E171" s="3" t="s">
        <v>2317</v>
      </c>
      <c r="F171" s="3" t="s">
        <v>2318</v>
      </c>
      <c r="G171" s="3" t="s">
        <v>83</v>
      </c>
      <c r="H171" s="7" t="str">
        <f>HYPERLINK("http://www.ensembl.org/Mus_musculus/Gene/Summary?db=core;g=ENSMUSG00000073274","ENSMUSG00000073274")</f>
        <v>ENSMUSG00000073274</v>
      </c>
      <c r="I171" s="7" t="str">
        <f>HYPERLINK("http://www.informatics.jax.org/marker/MGI:3641976","MGI:3641976")</f>
        <v>MGI:3641976</v>
      </c>
      <c r="J171" s="4" t="s">
        <v>331</v>
      </c>
    </row>
    <row r="172" spans="1:10" x14ac:dyDescent="0.25">
      <c r="A172" s="2">
        <v>922.38741461207496</v>
      </c>
      <c r="B172" s="3">
        <v>3.56536649750071</v>
      </c>
      <c r="C172" s="3">
        <v>0</v>
      </c>
      <c r="D172" s="4">
        <v>0</v>
      </c>
      <c r="E172" s="3" t="s">
        <v>13</v>
      </c>
      <c r="F172" s="3" t="s">
        <v>14</v>
      </c>
      <c r="G172" s="3">
        <v>15937</v>
      </c>
      <c r="H172" s="7" t="str">
        <f>HYPERLINK("http://www.ensembl.org/Mus_musculus/Gene/Summary?db=core;g=ENSMUSG00000003541","ENSMUSG00000003541")</f>
        <v>ENSMUSG00000003541</v>
      </c>
      <c r="I172" s="7" t="str">
        <f>HYPERLINK("http://www.informatics.jax.org/marker/MGI:104814","MGI:104814")</f>
        <v>MGI:104814</v>
      </c>
      <c r="J172" s="4" t="s">
        <v>12</v>
      </c>
    </row>
    <row r="173" spans="1:10" x14ac:dyDescent="0.25">
      <c r="A173" s="2">
        <v>140.700775253513</v>
      </c>
      <c r="B173" s="3">
        <v>3.56300638242524</v>
      </c>
      <c r="C173" s="5">
        <v>6.2206139004504102E-114</v>
      </c>
      <c r="D173" s="6">
        <v>6.4225395872713097E-112</v>
      </c>
      <c r="E173" s="3" t="s">
        <v>394</v>
      </c>
      <c r="F173" s="3" t="s">
        <v>395</v>
      </c>
      <c r="G173" s="3">
        <v>71306</v>
      </c>
      <c r="H173" s="7" t="str">
        <f>HYPERLINK("http://www.ensembl.org/Mus_musculus/Gene/Summary?db=core;g=ENSMUSG00000031647","ENSMUSG00000031647")</f>
        <v>ENSMUSG00000031647</v>
      </c>
      <c r="I173" s="7" t="str">
        <f>HYPERLINK("http://www.informatics.jax.org/marker/MGI:1918556","MGI:1918556")</f>
        <v>MGI:1918556</v>
      </c>
      <c r="J173" s="4" t="s">
        <v>12</v>
      </c>
    </row>
    <row r="174" spans="1:10" x14ac:dyDescent="0.25">
      <c r="A174" s="2">
        <v>573.20176731171</v>
      </c>
      <c r="B174" s="3">
        <v>3.56179043919993</v>
      </c>
      <c r="C174" s="5">
        <v>2.5231918171232901E-28</v>
      </c>
      <c r="D174" s="6">
        <v>3.5026694371414002E-27</v>
      </c>
      <c r="E174" s="3" t="s">
        <v>2860</v>
      </c>
      <c r="F174" s="3" t="s">
        <v>2861</v>
      </c>
      <c r="G174" s="3">
        <v>18787</v>
      </c>
      <c r="H174" s="7" t="str">
        <f>HYPERLINK("http://www.ensembl.org/Mus_musculus/Gene/Summary?db=core;g=ENSMUSG00000037411","ENSMUSG00000037411")</f>
        <v>ENSMUSG00000037411</v>
      </c>
      <c r="I174" s="7" t="str">
        <f>HYPERLINK("http://www.informatics.jax.org/marker/MGI:97608","MGI:97608")</f>
        <v>MGI:97608</v>
      </c>
      <c r="J174" s="4" t="s">
        <v>12</v>
      </c>
    </row>
    <row r="175" spans="1:10" x14ac:dyDescent="0.25">
      <c r="A175" s="2">
        <v>14.037403217056401</v>
      </c>
      <c r="B175" s="3">
        <v>3.5398982283380001</v>
      </c>
      <c r="C175" s="5">
        <v>9.4679657903660897E-26</v>
      </c>
      <c r="D175" s="6">
        <v>1.1945507702240499E-24</v>
      </c>
      <c r="E175" s="3" t="s">
        <v>3144</v>
      </c>
      <c r="F175" s="3" t="s">
        <v>3145</v>
      </c>
      <c r="G175" s="3">
        <v>328830</v>
      </c>
      <c r="H175" s="7" t="str">
        <f>HYPERLINK("http://www.ensembl.org/Mus_musculus/Gene/Summary?db=core;g=ENSMUSG00000043939","ENSMUSG00000043939")</f>
        <v>ENSMUSG00000043939</v>
      </c>
      <c r="I175" s="7" t="str">
        <f>HYPERLINK("http://www.informatics.jax.org/marker/MGI:2443476","MGI:2443476")</f>
        <v>MGI:2443476</v>
      </c>
      <c r="J175" s="4" t="s">
        <v>12</v>
      </c>
    </row>
    <row r="176" spans="1:10" x14ac:dyDescent="0.25">
      <c r="A176" s="2">
        <v>789.73300944254697</v>
      </c>
      <c r="B176" s="3">
        <v>3.5357540233514699</v>
      </c>
      <c r="C176" s="5">
        <v>3.8306040738404602E-48</v>
      </c>
      <c r="D176" s="6">
        <v>9.8615551352655207E-47</v>
      </c>
      <c r="E176" s="3" t="s">
        <v>1548</v>
      </c>
      <c r="F176" s="3" t="s">
        <v>1549</v>
      </c>
      <c r="G176" s="3">
        <v>60533</v>
      </c>
      <c r="H176" s="7" t="str">
        <f>HYPERLINK("http://www.ensembl.org/Mus_musculus/Gene/Summary?db=core;g=ENSMUSG00000016496","ENSMUSG00000016496")</f>
        <v>ENSMUSG00000016496</v>
      </c>
      <c r="I176" s="7" t="str">
        <f>HYPERLINK("http://www.informatics.jax.org/marker/MGI:1926446","MGI:1926446")</f>
        <v>MGI:1926446</v>
      </c>
      <c r="J176" s="4" t="s">
        <v>12</v>
      </c>
    </row>
    <row r="177" spans="1:10" x14ac:dyDescent="0.25">
      <c r="A177" s="2">
        <v>1480.57660586987</v>
      </c>
      <c r="B177" s="3">
        <v>3.5192445209550298</v>
      </c>
      <c r="C177" s="3">
        <v>0</v>
      </c>
      <c r="D177" s="4">
        <v>0</v>
      </c>
      <c r="E177" s="3" t="s">
        <v>25</v>
      </c>
      <c r="F177" s="3" t="s">
        <v>26</v>
      </c>
      <c r="G177" s="3">
        <v>80859</v>
      </c>
      <c r="H177" s="7" t="str">
        <f>HYPERLINK("http://www.ensembl.org/Mus_musculus/Gene/Summary?db=core;g=ENSMUSG00000035356","ENSMUSG00000035356")</f>
        <v>ENSMUSG00000035356</v>
      </c>
      <c r="I177" s="7" t="str">
        <f>HYPERLINK("http://www.informatics.jax.org/marker/MGI:1931595","MGI:1931595")</f>
        <v>MGI:1931595</v>
      </c>
      <c r="J177" s="4" t="s">
        <v>12</v>
      </c>
    </row>
    <row r="178" spans="1:10" x14ac:dyDescent="0.25">
      <c r="A178" s="2">
        <v>44.967595973152598</v>
      </c>
      <c r="B178" s="3">
        <v>3.5102902470157198</v>
      </c>
      <c r="C178" s="5">
        <v>5.9879963995180202E-19</v>
      </c>
      <c r="D178" s="6">
        <v>5.6852811265525001E-18</v>
      </c>
      <c r="E178" s="3" t="s">
        <v>4171</v>
      </c>
      <c r="F178" s="3" t="s">
        <v>4172</v>
      </c>
      <c r="G178" s="3">
        <v>240913</v>
      </c>
      <c r="H178" s="7" t="str">
        <f>HYPERLINK("http://www.ensembl.org/Mus_musculus/Gene/Summary?db=core;g=ENSMUSG00000006403","ENSMUSG00000006403")</f>
        <v>ENSMUSG00000006403</v>
      </c>
      <c r="I178" s="7" t="str">
        <f>HYPERLINK("http://www.informatics.jax.org/marker/MGI:1339949","MGI:1339949")</f>
        <v>MGI:1339949</v>
      </c>
      <c r="J178" s="4" t="s">
        <v>12</v>
      </c>
    </row>
    <row r="179" spans="1:10" x14ac:dyDescent="0.25">
      <c r="A179" s="2">
        <v>311.027525744569</v>
      </c>
      <c r="B179" s="3">
        <v>3.5061633765682001</v>
      </c>
      <c r="C179" s="5">
        <v>1.60008308011835E-171</v>
      </c>
      <c r="D179" s="6">
        <v>4.3824497694352501E-169</v>
      </c>
      <c r="E179" s="3" t="s">
        <v>154</v>
      </c>
      <c r="F179" s="3" t="s">
        <v>155</v>
      </c>
      <c r="G179" s="3">
        <v>20723</v>
      </c>
      <c r="H179" s="7" t="str">
        <f>HYPERLINK("http://www.ensembl.org/Mus_musculus/Gene/Summary?db=core;g=ENSMUSG00000045827","ENSMUSG00000045827")</f>
        <v>ENSMUSG00000045827</v>
      </c>
      <c r="I179" s="7" t="str">
        <f>HYPERLINK("http://www.informatics.jax.org/marker/MGI:106603","MGI:106603")</f>
        <v>MGI:106603</v>
      </c>
      <c r="J179" s="4" t="s">
        <v>12</v>
      </c>
    </row>
    <row r="180" spans="1:10" x14ac:dyDescent="0.25">
      <c r="A180" s="2">
        <v>377.18253442445501</v>
      </c>
      <c r="B180" s="3">
        <v>3.4966795612428001</v>
      </c>
      <c r="C180" s="5">
        <v>2.5791728357759101E-146</v>
      </c>
      <c r="D180" s="6">
        <v>4.7533914319159799E-144</v>
      </c>
      <c r="E180" s="3" t="s">
        <v>224</v>
      </c>
      <c r="F180" s="3" t="s">
        <v>225</v>
      </c>
      <c r="G180" s="3">
        <v>12363</v>
      </c>
      <c r="H180" s="7" t="str">
        <f>HYPERLINK("http://www.ensembl.org/Mus_musculus/Gene/Summary?db=core;g=ENSMUSG00000033538","ENSMUSG00000033538")</f>
        <v>ENSMUSG00000033538</v>
      </c>
      <c r="I180" s="7" t="str">
        <f>HYPERLINK("http://www.informatics.jax.org/marker/MGI:107700","MGI:107700")</f>
        <v>MGI:107700</v>
      </c>
      <c r="J180" s="4" t="s">
        <v>12</v>
      </c>
    </row>
    <row r="181" spans="1:10" x14ac:dyDescent="0.25">
      <c r="A181" s="2">
        <v>80.871450622722804</v>
      </c>
      <c r="B181" s="3">
        <v>3.4940763651662698</v>
      </c>
      <c r="C181" s="5">
        <v>8.3082685565720899E-22</v>
      </c>
      <c r="D181" s="6">
        <v>8.9139856330577503E-21</v>
      </c>
      <c r="E181" s="3" t="s">
        <v>3694</v>
      </c>
      <c r="F181" s="3" t="s">
        <v>3695</v>
      </c>
      <c r="G181" s="3">
        <v>142980</v>
      </c>
      <c r="H181" s="7" t="str">
        <f>HYPERLINK("http://www.ensembl.org/Mus_musculus/Gene/Summary?db=core;g=ENSMUSG00000031639","ENSMUSG00000031639")</f>
        <v>ENSMUSG00000031639</v>
      </c>
      <c r="I181" s="7" t="str">
        <f>HYPERLINK("http://www.informatics.jax.org/marker/MGI:2156367","MGI:2156367")</f>
        <v>MGI:2156367</v>
      </c>
      <c r="J181" s="4" t="s">
        <v>12</v>
      </c>
    </row>
    <row r="182" spans="1:10" x14ac:dyDescent="0.25">
      <c r="A182" s="2">
        <v>894.48715679202996</v>
      </c>
      <c r="B182" s="3">
        <v>3.4895547339204298</v>
      </c>
      <c r="C182" s="5">
        <v>1.1917187027508E-265</v>
      </c>
      <c r="D182" s="6">
        <v>9.0387280070175697E-263</v>
      </c>
      <c r="E182" s="3" t="s">
        <v>61</v>
      </c>
      <c r="F182" s="3" t="s">
        <v>62</v>
      </c>
      <c r="G182" s="3">
        <v>11717</v>
      </c>
      <c r="H182" s="7" t="str">
        <f>HYPERLINK("http://www.ensembl.org/Mus_musculus/Gene/Summary?db=core;g=ENSMUSG00000005686","ENSMUSG00000005686")</f>
        <v>ENSMUSG00000005686</v>
      </c>
      <c r="I182" s="7" t="str">
        <f>HYPERLINK("http://www.informatics.jax.org/marker/MGI:1096344","MGI:1096344")</f>
        <v>MGI:1096344</v>
      </c>
      <c r="J182" s="4" t="s">
        <v>12</v>
      </c>
    </row>
    <row r="183" spans="1:10" x14ac:dyDescent="0.25">
      <c r="A183" s="2">
        <v>4.9077717272791404</v>
      </c>
      <c r="B183" s="3">
        <v>3.4838825380723</v>
      </c>
      <c r="C183" s="5">
        <v>1.0024674384814199E-14</v>
      </c>
      <c r="D183" s="6">
        <v>7.5945669945653496E-14</v>
      </c>
      <c r="E183" s="3" t="s">
        <v>5223</v>
      </c>
      <c r="F183" s="3" t="s">
        <v>5224</v>
      </c>
      <c r="G183" s="3">
        <v>54448</v>
      </c>
      <c r="H183" s="7" t="str">
        <f>HYPERLINK("http://www.ensembl.org/Mus_musculus/Gene/Summary?db=core;g=ENSMUSG00000026984","ENSMUSG00000026984")</f>
        <v>ENSMUSG00000026984</v>
      </c>
      <c r="I183" s="7" t="str">
        <f>HYPERLINK("http://www.informatics.jax.org/marker/MGI:1859324","MGI:1859324")</f>
        <v>MGI:1859324</v>
      </c>
      <c r="J183" s="4" t="s">
        <v>12</v>
      </c>
    </row>
    <row r="184" spans="1:10" x14ac:dyDescent="0.25">
      <c r="A184" s="2">
        <v>8.1211419245071603</v>
      </c>
      <c r="B184" s="3">
        <v>3.4756910076052701</v>
      </c>
      <c r="C184" s="5">
        <v>9.0522193546313799E-17</v>
      </c>
      <c r="D184" s="6">
        <v>7.5993940261102901E-16</v>
      </c>
      <c r="E184" s="3" t="s">
        <v>4715</v>
      </c>
      <c r="F184" s="3" t="s">
        <v>4716</v>
      </c>
      <c r="G184" s="3">
        <v>244310</v>
      </c>
      <c r="H184" s="7" t="str">
        <f>HYPERLINK("http://www.ensembl.org/Mus_musculus/Gene/Summary?db=core;g=ENSMUSG00000047495","ENSMUSG00000047495")</f>
        <v>ENSMUSG00000047495</v>
      </c>
      <c r="I184" s="7" t="str">
        <f>HYPERLINK("http://www.informatics.jax.org/marker/MGI:2443181","MGI:2443181")</f>
        <v>MGI:2443181</v>
      </c>
      <c r="J184" s="4" t="s">
        <v>12</v>
      </c>
    </row>
    <row r="185" spans="1:10" x14ac:dyDescent="0.25">
      <c r="A185" s="2">
        <v>6.2096127528749898</v>
      </c>
      <c r="B185" s="3">
        <v>3.45833156614417</v>
      </c>
      <c r="C185" s="5">
        <v>2.8439084640511098E-16</v>
      </c>
      <c r="D185" s="6">
        <v>2.32319282978823E-15</v>
      </c>
      <c r="E185" s="3" t="s">
        <v>4845</v>
      </c>
      <c r="F185" s="3" t="s">
        <v>4846</v>
      </c>
      <c r="G185" s="3">
        <v>258712</v>
      </c>
      <c r="H185" s="7" t="str">
        <f>HYPERLINK("http://www.ensembl.org/Mus_musculus/Gene/Summary?db=core;g=ENSMUSG00000045381","ENSMUSG00000045381")</f>
        <v>ENSMUSG00000045381</v>
      </c>
      <c r="I185" s="7" t="str">
        <f>HYPERLINK("http://www.informatics.jax.org/marker/MGI:3030267","MGI:3030267")</f>
        <v>MGI:3030267</v>
      </c>
      <c r="J185" s="4" t="s">
        <v>12</v>
      </c>
    </row>
    <row r="186" spans="1:10" x14ac:dyDescent="0.25">
      <c r="A186" s="2">
        <v>14.045335650387299</v>
      </c>
      <c r="B186" s="3">
        <v>3.4327871228236799</v>
      </c>
      <c r="C186" s="5">
        <v>4.9941528125829897E-21</v>
      </c>
      <c r="D186" s="6">
        <v>5.1562666735150101E-20</v>
      </c>
      <c r="E186" s="3" t="s">
        <v>3838</v>
      </c>
      <c r="F186" s="3" t="s">
        <v>3839</v>
      </c>
      <c r="G186" s="3">
        <v>16329</v>
      </c>
      <c r="H186" s="7" t="str">
        <f>HYPERLINK("http://www.ensembl.org/Mus_musculus/Gene/Summary?db=core;g=ENSMUSG00000026102","ENSMUSG00000026102")</f>
        <v>ENSMUSG00000026102</v>
      </c>
      <c r="I186" s="7" t="str">
        <f>HYPERLINK("http://www.informatics.jax.org/marker/MGI:104848","MGI:104848")</f>
        <v>MGI:104848</v>
      </c>
      <c r="J186" s="4" t="s">
        <v>12</v>
      </c>
    </row>
    <row r="187" spans="1:10" x14ac:dyDescent="0.25">
      <c r="A187" s="2">
        <v>13.5383408398655</v>
      </c>
      <c r="B187" s="3">
        <v>3.4324202506925099</v>
      </c>
      <c r="C187" s="5">
        <v>3.4017296275515099E-22</v>
      </c>
      <c r="D187" s="6">
        <v>3.72885537828326E-21</v>
      </c>
      <c r="E187" s="3" t="s">
        <v>3616</v>
      </c>
      <c r="F187" s="3" t="s">
        <v>3617</v>
      </c>
      <c r="G187" s="3">
        <v>74558</v>
      </c>
      <c r="H187" s="7" t="str">
        <f>HYPERLINK("http://www.ensembl.org/Mus_musculus/Gene/Summary?db=core;g=ENSMUSG00000045868","ENSMUSG00000045868")</f>
        <v>ENSMUSG00000045868</v>
      </c>
      <c r="I187" s="7" t="str">
        <f>HYPERLINK("http://www.informatics.jax.org/marker/MGI:1921808","MGI:1921808")</f>
        <v>MGI:1921808</v>
      </c>
      <c r="J187" s="4" t="s">
        <v>12</v>
      </c>
    </row>
    <row r="188" spans="1:10" x14ac:dyDescent="0.25">
      <c r="A188" s="2">
        <v>1092.2731879120099</v>
      </c>
      <c r="B188" s="3">
        <v>3.4268517427620799</v>
      </c>
      <c r="C188" s="5">
        <v>6.0422761189289899E-230</v>
      </c>
      <c r="D188" s="6">
        <v>3.40439100186513E-227</v>
      </c>
      <c r="E188" s="3" t="s">
        <v>79</v>
      </c>
      <c r="F188" s="3" t="s">
        <v>80</v>
      </c>
      <c r="G188" s="3">
        <v>75767</v>
      </c>
      <c r="H188" s="7" t="str">
        <f>HYPERLINK("http://www.ensembl.org/Mus_musculus/Gene/Summary?db=core;g=ENSMUSG00000031488","ENSMUSG00000031488")</f>
        <v>ENSMUSG00000031488</v>
      </c>
      <c r="I188" s="7" t="str">
        <f>HYPERLINK("http://www.informatics.jax.org/marker/MGI:1923017","MGI:1923017")</f>
        <v>MGI:1923017</v>
      </c>
      <c r="J188" s="4" t="s">
        <v>12</v>
      </c>
    </row>
    <row r="189" spans="1:10" x14ac:dyDescent="0.25">
      <c r="A189" s="2">
        <v>565.239690908493</v>
      </c>
      <c r="B189" s="3">
        <v>3.4226387840176402</v>
      </c>
      <c r="C189" s="5">
        <v>4.3063672753564698E-115</v>
      </c>
      <c r="D189" s="6">
        <v>4.5903547389205197E-113</v>
      </c>
      <c r="E189" s="3" t="s">
        <v>382</v>
      </c>
      <c r="F189" s="3" t="s">
        <v>383</v>
      </c>
      <c r="G189" s="3">
        <v>12494</v>
      </c>
      <c r="H189" s="7" t="str">
        <f>HYPERLINK("http://www.ensembl.org/Mus_musculus/Gene/Summary?db=core;g=ENSMUSG00000029084","ENSMUSG00000029084")</f>
        <v>ENSMUSG00000029084</v>
      </c>
      <c r="I189" s="7" t="str">
        <f>HYPERLINK("http://www.informatics.jax.org/marker/MGI:107474","MGI:107474")</f>
        <v>MGI:107474</v>
      </c>
      <c r="J189" s="4" t="s">
        <v>12</v>
      </c>
    </row>
    <row r="190" spans="1:10" x14ac:dyDescent="0.25">
      <c r="A190" s="2">
        <v>11.566562819202099</v>
      </c>
      <c r="B190" s="3">
        <v>3.4080347394202799</v>
      </c>
      <c r="C190" s="5">
        <v>2.0665702744312699E-20</v>
      </c>
      <c r="D190" s="6">
        <v>2.0888142394559E-19</v>
      </c>
      <c r="E190" s="3" t="s">
        <v>3920</v>
      </c>
      <c r="F190" s="3" t="s">
        <v>3921</v>
      </c>
      <c r="G190" s="3">
        <v>13614</v>
      </c>
      <c r="H190" s="7" t="str">
        <f>HYPERLINK("http://www.ensembl.org/Mus_musculus/Gene/Summary?db=core;g=ENSMUSG00000021367","ENSMUSG00000021367")</f>
        <v>ENSMUSG00000021367</v>
      </c>
      <c r="I190" s="7" t="str">
        <f>HYPERLINK("http://www.informatics.jax.org/marker/MGI:95283","MGI:95283")</f>
        <v>MGI:95283</v>
      </c>
      <c r="J190" s="4" t="s">
        <v>12</v>
      </c>
    </row>
    <row r="191" spans="1:10" x14ac:dyDescent="0.25">
      <c r="A191" s="2">
        <v>1700.5635800676</v>
      </c>
      <c r="B191" s="3">
        <v>3.4075470410042699</v>
      </c>
      <c r="C191" s="5">
        <v>8.6701075047699396E-186</v>
      </c>
      <c r="D191" s="6">
        <v>2.9478365516217801E-183</v>
      </c>
      <c r="E191" s="3" t="s">
        <v>126</v>
      </c>
      <c r="F191" s="3" t="s">
        <v>127</v>
      </c>
      <c r="G191" s="3">
        <v>80285</v>
      </c>
      <c r="H191" s="7" t="str">
        <f>HYPERLINK("http://www.ensembl.org/Mus_musculus/Gene/Summary?db=core;g=ENSMUSG00000022906","ENSMUSG00000022906")</f>
        <v>ENSMUSG00000022906</v>
      </c>
      <c r="I191" s="7" t="str">
        <f>HYPERLINK("http://www.informatics.jax.org/marker/MGI:1933117","MGI:1933117")</f>
        <v>MGI:1933117</v>
      </c>
      <c r="J191" s="4" t="s">
        <v>12</v>
      </c>
    </row>
    <row r="192" spans="1:10" x14ac:dyDescent="0.25">
      <c r="A192" s="2">
        <v>69.336137467986006</v>
      </c>
      <c r="B192" s="3">
        <v>3.3998911434981598</v>
      </c>
      <c r="C192" s="5">
        <v>5.4983406551211196E-44</v>
      </c>
      <c r="D192" s="6">
        <v>1.24916218570263E-42</v>
      </c>
      <c r="E192" s="3" t="s">
        <v>1752</v>
      </c>
      <c r="F192" s="3" t="s">
        <v>1753</v>
      </c>
      <c r="G192" s="3">
        <v>68487</v>
      </c>
      <c r="H192" s="7" t="str">
        <f>HYPERLINK("http://www.ensembl.org/Mus_musculus/Gene/Summary?db=core;g=ENSMUSG00000057137","ENSMUSG00000057137")</f>
        <v>ENSMUSG00000057137</v>
      </c>
      <c r="I192" s="7" t="str">
        <f>HYPERLINK("http://www.informatics.jax.org/marker/MGI:1915737","MGI:1915737")</f>
        <v>MGI:1915737</v>
      </c>
      <c r="J192" s="4" t="s">
        <v>12</v>
      </c>
    </row>
    <row r="193" spans="1:10" x14ac:dyDescent="0.25">
      <c r="A193" s="2">
        <v>11.364213848608699</v>
      </c>
      <c r="B193" s="3">
        <v>3.39671248274718</v>
      </c>
      <c r="C193" s="5">
        <v>8.2996065166373204E-17</v>
      </c>
      <c r="D193" s="6">
        <v>6.9764808400719504E-16</v>
      </c>
      <c r="E193" s="3" t="s">
        <v>4709</v>
      </c>
      <c r="F193" s="3" t="s">
        <v>4710</v>
      </c>
      <c r="G193" s="3">
        <v>26559</v>
      </c>
      <c r="H193" s="7" t="str">
        <f>HYPERLINK("http://www.ensembl.org/Mus_musculus/Gene/Summary?db=core;g=ENSMUSG00000053414","ENSMUSG00000053414")</f>
        <v>ENSMUSG00000053414</v>
      </c>
      <c r="I193" s="7" t="str">
        <f>HYPERLINK("http://www.informatics.jax.org/marker/MGI:1347352","MGI:1347352")</f>
        <v>MGI:1347352</v>
      </c>
      <c r="J193" s="4" t="s">
        <v>12</v>
      </c>
    </row>
    <row r="194" spans="1:10" x14ac:dyDescent="0.25">
      <c r="A194" s="2">
        <v>4.9134148482252904</v>
      </c>
      <c r="B194" s="3">
        <v>3.3940795608637999</v>
      </c>
      <c r="C194" s="5">
        <v>1.4067850139410299E-13</v>
      </c>
      <c r="D194" s="6">
        <v>9.9468628450760805E-13</v>
      </c>
      <c r="E194" s="3" t="s">
        <v>5595</v>
      </c>
      <c r="F194" s="3" t="s">
        <v>5596</v>
      </c>
      <c r="G194" s="3">
        <v>20555</v>
      </c>
      <c r="H194" s="7" t="str">
        <f>HYPERLINK("http://www.ensembl.org/Mus_musculus/Gene/Summary?db=core;g=ENSMUSG00000078763","ENSMUSG00000078763")</f>
        <v>ENSMUSG00000078763</v>
      </c>
      <c r="I194" s="7" t="str">
        <f>HYPERLINK("http://www.informatics.jax.org/marker/MGI:1313259","MGI:1313259")</f>
        <v>MGI:1313259</v>
      </c>
      <c r="J194" s="4" t="s">
        <v>12</v>
      </c>
    </row>
    <row r="195" spans="1:10" x14ac:dyDescent="0.25">
      <c r="A195" s="2">
        <v>55.717406684692399</v>
      </c>
      <c r="B195" s="3">
        <v>3.3907915500917101</v>
      </c>
      <c r="C195" s="5">
        <v>2.74889223012104E-47</v>
      </c>
      <c r="D195" s="6">
        <v>6.92313598697152E-46</v>
      </c>
      <c r="E195" s="3" t="s">
        <v>1582</v>
      </c>
      <c r="F195" s="3" t="s">
        <v>1583</v>
      </c>
      <c r="G195" s="3">
        <v>224079</v>
      </c>
      <c r="H195" s="7" t="str">
        <f>HYPERLINK("http://www.ensembl.org/Mus_musculus/Gene/Summary?db=core;g=ENSMUSG00000038094","ENSMUSG00000038094")</f>
        <v>ENSMUSG00000038094</v>
      </c>
      <c r="I195" s="7" t="str">
        <f>HYPERLINK("http://www.informatics.jax.org/marker/MGI:1924456","MGI:1924456")</f>
        <v>MGI:1924456</v>
      </c>
      <c r="J195" s="4" t="s">
        <v>12</v>
      </c>
    </row>
    <row r="196" spans="1:10" x14ac:dyDescent="0.25">
      <c r="A196" s="2">
        <v>20.347234046074501</v>
      </c>
      <c r="B196" s="3">
        <v>3.3762719115499902</v>
      </c>
      <c r="C196" s="5">
        <v>3.7299516950089202E-24</v>
      </c>
      <c r="D196" s="6">
        <v>4.4203514077870099E-23</v>
      </c>
      <c r="E196" s="3" t="s">
        <v>3348</v>
      </c>
      <c r="F196" s="3" t="s">
        <v>3349</v>
      </c>
      <c r="G196" s="3">
        <v>16169</v>
      </c>
      <c r="H196" s="7" t="str">
        <f>HYPERLINK("http://www.ensembl.org/Mus_musculus/Gene/Summary?db=core;g=ENSMUSG00000023206","ENSMUSG00000023206")</f>
        <v>ENSMUSG00000023206</v>
      </c>
      <c r="I196" s="7" t="str">
        <f>HYPERLINK("http://www.informatics.jax.org/marker/MGI:104644","MGI:104644")</f>
        <v>MGI:104644</v>
      </c>
      <c r="J196" s="4" t="s">
        <v>12</v>
      </c>
    </row>
    <row r="197" spans="1:10" x14ac:dyDescent="0.25">
      <c r="A197" s="2">
        <v>5.9261189883717904</v>
      </c>
      <c r="B197" s="3">
        <v>3.3703713397845001</v>
      </c>
      <c r="C197" s="5">
        <v>1.1886411506552999E-14</v>
      </c>
      <c r="D197" s="6">
        <v>8.9739676458355398E-14</v>
      </c>
      <c r="E197" s="3" t="s">
        <v>5241</v>
      </c>
      <c r="F197" s="3" t="s">
        <v>5242</v>
      </c>
      <c r="G197" s="3">
        <v>18356</v>
      </c>
      <c r="H197" s="7" t="str">
        <f>HYPERLINK("http://www.ensembl.org/Mus_musculus/Gene/Summary?db=core;g=ENSMUSG00000040328","ENSMUSG00000040328")</f>
        <v>ENSMUSG00000040328</v>
      </c>
      <c r="I197" s="7" t="str">
        <f>HYPERLINK("http://www.informatics.jax.org/marker/MGI:1333785","MGI:1333785")</f>
        <v>MGI:1333785</v>
      </c>
      <c r="J197" s="4" t="s">
        <v>12</v>
      </c>
    </row>
    <row r="198" spans="1:10" x14ac:dyDescent="0.25">
      <c r="A198" s="2">
        <v>35.6133037217691</v>
      </c>
      <c r="B198" s="3">
        <v>3.3679259298556001</v>
      </c>
      <c r="C198" s="5">
        <v>4.1707101310159099E-22</v>
      </c>
      <c r="D198" s="6">
        <v>4.5364811794613203E-21</v>
      </c>
      <c r="E198" s="3" t="s">
        <v>3644</v>
      </c>
      <c r="F198" s="3" t="s">
        <v>3645</v>
      </c>
      <c r="G198" s="3" t="s">
        <v>83</v>
      </c>
      <c r="H198" s="7" t="str">
        <f>HYPERLINK("http://www.ensembl.org/Mus_musculus/Gene/Summary?db=core;g=ENSMUSG00000108732","ENSMUSG00000108732")</f>
        <v>ENSMUSG00000108732</v>
      </c>
      <c r="I198" s="7" t="str">
        <f>HYPERLINK("http://www.informatics.jax.org/marker/MGI:1917385","MGI:1917385")</f>
        <v>MGI:1917385</v>
      </c>
      <c r="J198" s="4" t="s">
        <v>1828</v>
      </c>
    </row>
    <row r="199" spans="1:10" x14ac:dyDescent="0.25">
      <c r="A199" s="2">
        <v>48.200954417808902</v>
      </c>
      <c r="B199" s="3">
        <v>3.3655886136155502</v>
      </c>
      <c r="C199" s="5">
        <v>7.1456405318286302E-49</v>
      </c>
      <c r="D199" s="6">
        <v>1.8838506856639101E-47</v>
      </c>
      <c r="E199" s="3" t="s">
        <v>1512</v>
      </c>
      <c r="F199" s="3" t="s">
        <v>1513</v>
      </c>
      <c r="G199" s="3">
        <v>545812</v>
      </c>
      <c r="H199" s="7" t="str">
        <f>HYPERLINK("http://www.ensembl.org/Mus_musculus/Gene/Summary?db=core;g=ENSMUSG00000066682","ENSMUSG00000066682")</f>
        <v>ENSMUSG00000066682</v>
      </c>
      <c r="I199" s="7" t="str">
        <f>HYPERLINK("http://www.informatics.jax.org/marker/MGI:2450535","MGI:2450535")</f>
        <v>MGI:2450535</v>
      </c>
      <c r="J199" s="4" t="s">
        <v>12</v>
      </c>
    </row>
    <row r="200" spans="1:10" x14ac:dyDescent="0.25">
      <c r="A200" s="2">
        <v>1102.8964670627199</v>
      </c>
      <c r="B200" s="3">
        <v>3.3459295106195901</v>
      </c>
      <c r="C200" s="5">
        <v>3.1001496400758201E-59</v>
      </c>
      <c r="D200" s="6">
        <v>1.08781051427571E-57</v>
      </c>
      <c r="E200" s="3" t="s">
        <v>1140</v>
      </c>
      <c r="F200" s="3" t="s">
        <v>1141</v>
      </c>
      <c r="G200" s="3">
        <v>16859</v>
      </c>
      <c r="H200" s="7" t="str">
        <f>HYPERLINK("http://www.ensembl.org/Mus_musculus/Gene/Summary?db=core;g=ENSMUSG00000001123","ENSMUSG00000001123")</f>
        <v>ENSMUSG00000001123</v>
      </c>
      <c r="I200" s="7" t="str">
        <f>HYPERLINK("http://www.informatics.jax.org/marker/MGI:109496","MGI:109496")</f>
        <v>MGI:109496</v>
      </c>
      <c r="J200" s="4" t="s">
        <v>12</v>
      </c>
    </row>
    <row r="201" spans="1:10" x14ac:dyDescent="0.25">
      <c r="A201" s="2">
        <v>5.7232581946110503</v>
      </c>
      <c r="B201" s="3">
        <v>3.3411372551207301</v>
      </c>
      <c r="C201" s="5">
        <v>3.1336139823463399E-13</v>
      </c>
      <c r="D201" s="6">
        <v>2.16824097304806E-12</v>
      </c>
      <c r="E201" s="3" t="s">
        <v>5717</v>
      </c>
      <c r="F201" s="3" t="s">
        <v>5718</v>
      </c>
      <c r="G201" s="3">
        <v>64380</v>
      </c>
      <c r="H201" s="7" t="str">
        <f>HYPERLINK("http://www.ensembl.org/Mus_musculus/Gene/Summary?db=core;g=ENSMUSG00000024675","ENSMUSG00000024675")</f>
        <v>ENSMUSG00000024675</v>
      </c>
      <c r="I201" s="7" t="str">
        <f>HYPERLINK("http://www.informatics.jax.org/marker/MGI:1927656","MGI:1927656")</f>
        <v>MGI:1927656</v>
      </c>
      <c r="J201" s="4" t="s">
        <v>12</v>
      </c>
    </row>
    <row r="202" spans="1:10" x14ac:dyDescent="0.25">
      <c r="A202" s="2">
        <v>609.08513895518297</v>
      </c>
      <c r="B202" s="3">
        <v>3.3363196737833798</v>
      </c>
      <c r="C202" s="5">
        <v>1.3908880192322401E-127</v>
      </c>
      <c r="D202" s="6">
        <v>1.85326430670675E-125</v>
      </c>
      <c r="E202" s="3" t="s">
        <v>306</v>
      </c>
      <c r="F202" s="3" t="s">
        <v>307</v>
      </c>
      <c r="G202" s="3">
        <v>22040</v>
      </c>
      <c r="H202" s="7" t="str">
        <f>HYPERLINK("http://www.ensembl.org/Mus_musculus/Gene/Summary?db=core;g=ENSMUSG00000049734","ENSMUSG00000049734")</f>
        <v>ENSMUSG00000049734</v>
      </c>
      <c r="I202" s="7" t="str">
        <f>HYPERLINK("http://www.informatics.jax.org/marker/MGI:1328317","MGI:1328317")</f>
        <v>MGI:1328317</v>
      </c>
      <c r="J202" s="4" t="s">
        <v>12</v>
      </c>
    </row>
    <row r="203" spans="1:10" x14ac:dyDescent="0.25">
      <c r="A203" s="2">
        <v>13.762272708703</v>
      </c>
      <c r="B203" s="3">
        <v>3.3270413148719098</v>
      </c>
      <c r="C203" s="5">
        <v>2.3038160619728901E-19</v>
      </c>
      <c r="D203" s="6">
        <v>2.2226640284787399E-18</v>
      </c>
      <c r="E203" s="3" t="s">
        <v>4105</v>
      </c>
      <c r="F203" s="3" t="s">
        <v>4106</v>
      </c>
      <c r="G203" s="3" t="s">
        <v>83</v>
      </c>
      <c r="H203" s="7" t="str">
        <f>HYPERLINK("http://www.ensembl.org/Mus_musculus/Gene/Summary?db=core;g=ENSMUSG00000107985","ENSMUSG00000107985")</f>
        <v>ENSMUSG00000107985</v>
      </c>
      <c r="I203" s="7" t="str">
        <f>HYPERLINK("http://www.informatics.jax.org/marker/MGI:5594196","MGI:5594196")</f>
        <v>MGI:5594196</v>
      </c>
      <c r="J203" s="4" t="s">
        <v>939</v>
      </c>
    </row>
    <row r="204" spans="1:10" x14ac:dyDescent="0.25">
      <c r="A204" s="2">
        <v>1259.61948706663</v>
      </c>
      <c r="B204" s="3">
        <v>3.3235396291114698</v>
      </c>
      <c r="C204" s="5">
        <v>2.4274955689783901E-70</v>
      </c>
      <c r="D204" s="6">
        <v>1.12635794400597E-68</v>
      </c>
      <c r="E204" s="3" t="s">
        <v>862</v>
      </c>
      <c r="F204" s="3" t="s">
        <v>863</v>
      </c>
      <c r="G204" s="3">
        <v>14727</v>
      </c>
      <c r="H204" s="7" t="str">
        <f>HYPERLINK("http://www.ensembl.org/Mus_musculus/Gene/Summary?db=core;g=ENSMUSG00000112023","ENSMUSG00000112023")</f>
        <v>ENSMUSG00000112023</v>
      </c>
      <c r="I204" s="7" t="str">
        <f>HYPERLINK("http://www.informatics.jax.org/marker/MGI:102702","MGI:102702")</f>
        <v>MGI:102702</v>
      </c>
      <c r="J204" s="4" t="s">
        <v>12</v>
      </c>
    </row>
    <row r="205" spans="1:10" x14ac:dyDescent="0.25">
      <c r="A205" s="2">
        <v>4.75350406643964</v>
      </c>
      <c r="B205" s="3">
        <v>3.3071824607893898</v>
      </c>
      <c r="C205" s="5">
        <v>5.5355787659010599E-13</v>
      </c>
      <c r="D205" s="6">
        <v>3.7654920063321499E-12</v>
      </c>
      <c r="E205" s="3" t="s">
        <v>5815</v>
      </c>
      <c r="F205" s="3" t="s">
        <v>5816</v>
      </c>
      <c r="G205" s="3">
        <v>16497</v>
      </c>
      <c r="H205" s="7" t="str">
        <f>HYPERLINK("http://www.ensembl.org/Mus_musculus/Gene/Summary?db=core;g=ENSMUSG00000027827","ENSMUSG00000027827")</f>
        <v>ENSMUSG00000027827</v>
      </c>
      <c r="I205" s="7" t="str">
        <f>HYPERLINK("http://www.informatics.jax.org/marker/MGI:109155","MGI:109155")</f>
        <v>MGI:109155</v>
      </c>
      <c r="J205" s="4" t="s">
        <v>12</v>
      </c>
    </row>
    <row r="206" spans="1:10" x14ac:dyDescent="0.25">
      <c r="A206" s="2">
        <v>6.2854598593933098</v>
      </c>
      <c r="B206" s="3">
        <v>3.3047653118875502</v>
      </c>
      <c r="C206" s="5">
        <v>1.6765881908106001E-14</v>
      </c>
      <c r="D206" s="6">
        <v>1.25521333040186E-13</v>
      </c>
      <c r="E206" s="3" t="s">
        <v>5285</v>
      </c>
      <c r="F206" s="3" t="s">
        <v>5286</v>
      </c>
      <c r="G206" s="3">
        <v>15464</v>
      </c>
      <c r="H206" s="7" t="str">
        <f>HYPERLINK("http://www.ensembl.org/Mus_musculus/Gene/Summary?db=core;g=ENSMUSG00000038239","ENSMUSG00000038239")</f>
        <v>ENSMUSG00000038239</v>
      </c>
      <c r="I206" s="7" t="str">
        <f>HYPERLINK("http://www.informatics.jax.org/marker/MGI:96226","MGI:96226")</f>
        <v>MGI:96226</v>
      </c>
      <c r="J206" s="4" t="s">
        <v>12</v>
      </c>
    </row>
    <row r="207" spans="1:10" x14ac:dyDescent="0.25">
      <c r="A207" s="2">
        <v>34.716677061379798</v>
      </c>
      <c r="B207" s="3">
        <v>3.2867569587085499</v>
      </c>
      <c r="C207" s="5">
        <v>8.95186640805047E-44</v>
      </c>
      <c r="D207" s="6">
        <v>2.0221169022537801E-42</v>
      </c>
      <c r="E207" s="3" t="s">
        <v>1762</v>
      </c>
      <c r="F207" s="3" t="s">
        <v>1763</v>
      </c>
      <c r="G207" s="3" t="s">
        <v>83</v>
      </c>
      <c r="H207" s="7" t="str">
        <f>HYPERLINK("http://www.ensembl.org/Mus_musculus/Gene/Summary?db=core;g=ENSMUSG00000073529","ENSMUSG00000073529")</f>
        <v>ENSMUSG00000073529</v>
      </c>
      <c r="I207" s="7" t="str">
        <f>HYPERLINK("http://www.informatics.jax.org/marker/MGI:3588261","MGI:3588261")</f>
        <v>MGI:3588261</v>
      </c>
      <c r="J207" s="4" t="s">
        <v>331</v>
      </c>
    </row>
    <row r="208" spans="1:10" x14ac:dyDescent="0.25">
      <c r="A208" s="2">
        <v>2707.6885580286298</v>
      </c>
      <c r="B208" s="3">
        <v>3.2747982343048201</v>
      </c>
      <c r="C208" s="5">
        <v>3.0987023139624501E-174</v>
      </c>
      <c r="D208" s="6">
        <v>9.1203596464685897E-172</v>
      </c>
      <c r="E208" s="3" t="s">
        <v>144</v>
      </c>
      <c r="F208" s="3" t="s">
        <v>145</v>
      </c>
      <c r="G208" s="3">
        <v>17357</v>
      </c>
      <c r="H208" s="7" t="str">
        <f>HYPERLINK("http://www.ensembl.org/Mus_musculus/Gene/Summary?db=core;g=ENSMUSG00000047945","ENSMUSG00000047945")</f>
        <v>ENSMUSG00000047945</v>
      </c>
      <c r="I208" s="7" t="str">
        <f>HYPERLINK("http://www.informatics.jax.org/marker/MGI:97143","MGI:97143")</f>
        <v>MGI:97143</v>
      </c>
      <c r="J208" s="4" t="s">
        <v>12</v>
      </c>
    </row>
    <row r="209" spans="1:10" x14ac:dyDescent="0.25">
      <c r="A209" s="2">
        <v>20.125171626567301</v>
      </c>
      <c r="B209" s="3">
        <v>3.2632953273284899</v>
      </c>
      <c r="C209" s="5">
        <v>1.4076004924095901E-23</v>
      </c>
      <c r="D209" s="6">
        <v>1.6280282528045199E-22</v>
      </c>
      <c r="E209" s="3" t="s">
        <v>3428</v>
      </c>
      <c r="F209" s="3" t="s">
        <v>3429</v>
      </c>
      <c r="G209" s="3" t="s">
        <v>83</v>
      </c>
      <c r="H209" s="7" t="str">
        <f>HYPERLINK("http://www.ensembl.org/Mus_musculus/Gene/Summary?db=core;g=ENSMUSG00000118365","ENSMUSG00000118365")</f>
        <v>ENSMUSG00000118365</v>
      </c>
      <c r="I209" s="7" t="str">
        <f>HYPERLINK("http://www.informatics.jax.org/marker/MGI:5624609","MGI:5624609")</f>
        <v>MGI:5624609</v>
      </c>
      <c r="J209" s="4" t="s">
        <v>932</v>
      </c>
    </row>
    <row r="210" spans="1:10" x14ac:dyDescent="0.25">
      <c r="A210" s="2">
        <v>750.33127797956604</v>
      </c>
      <c r="B210" s="3">
        <v>3.2588650026388102</v>
      </c>
      <c r="C210" s="5">
        <v>2.13967151638291E-50</v>
      </c>
      <c r="D210" s="6">
        <v>5.81189012438995E-49</v>
      </c>
      <c r="E210" s="3" t="s">
        <v>1468</v>
      </c>
      <c r="F210" s="3" t="s">
        <v>1469</v>
      </c>
      <c r="G210" s="3">
        <v>20847</v>
      </c>
      <c r="H210" s="7" t="str">
        <f>HYPERLINK("http://www.ensembl.org/Mus_musculus/Gene/Summary?db=core;g=ENSMUSG00000040033","ENSMUSG00000040033")</f>
        <v>ENSMUSG00000040033</v>
      </c>
      <c r="I210" s="7" t="str">
        <f>HYPERLINK("http://www.informatics.jax.org/marker/MGI:103039","MGI:103039")</f>
        <v>MGI:103039</v>
      </c>
      <c r="J210" s="4" t="s">
        <v>12</v>
      </c>
    </row>
    <row r="211" spans="1:10" x14ac:dyDescent="0.25">
      <c r="A211" s="2">
        <v>27.1200809817372</v>
      </c>
      <c r="B211" s="3">
        <v>3.2263226035709902</v>
      </c>
      <c r="C211" s="5">
        <v>2.3583318694723599E-26</v>
      </c>
      <c r="D211" s="6">
        <v>3.0416157270107799E-25</v>
      </c>
      <c r="E211" s="3" t="s">
        <v>3076</v>
      </c>
      <c r="F211" s="3" t="s">
        <v>3077</v>
      </c>
      <c r="G211" s="3">
        <v>26362</v>
      </c>
      <c r="H211" s="7" t="str">
        <f>HYPERLINK("http://www.ensembl.org/Mus_musculus/Gene/Summary?db=core;g=ENSMUSG00000002602","ENSMUSG00000002602")</f>
        <v>ENSMUSG00000002602</v>
      </c>
      <c r="I211" s="7" t="str">
        <f>HYPERLINK("http://www.informatics.jax.org/marker/MGI:1347244","MGI:1347244")</f>
        <v>MGI:1347244</v>
      </c>
      <c r="J211" s="4" t="s">
        <v>12</v>
      </c>
    </row>
    <row r="212" spans="1:10" x14ac:dyDescent="0.25">
      <c r="A212" s="2">
        <v>3.8886547635588</v>
      </c>
      <c r="B212" s="3">
        <v>3.2244375959138898</v>
      </c>
      <c r="C212" s="5">
        <v>1.43209086409933E-12</v>
      </c>
      <c r="D212" s="6">
        <v>9.5151050673985194E-12</v>
      </c>
      <c r="E212" s="3" t="s">
        <v>5953</v>
      </c>
      <c r="F212" s="3" t="s">
        <v>5954</v>
      </c>
      <c r="G212" s="3" t="s">
        <v>83</v>
      </c>
      <c r="H212" s="7" t="str">
        <f>HYPERLINK("http://www.ensembl.org/Mus_musculus/Gene/Summary?db=core;g=ENSMUSG00000099241","ENSMUSG00000099241")</f>
        <v>ENSMUSG00000099241</v>
      </c>
      <c r="I212" s="7" t="str">
        <f>HYPERLINK("http://www.informatics.jax.org/marker/MGI:5011037","MGI:5011037")</f>
        <v>MGI:5011037</v>
      </c>
      <c r="J212" s="4" t="s">
        <v>1043</v>
      </c>
    </row>
    <row r="213" spans="1:10" x14ac:dyDescent="0.25">
      <c r="A213" s="2">
        <v>568.07666767135402</v>
      </c>
      <c r="B213" s="3">
        <v>3.2238096871407098</v>
      </c>
      <c r="C213" s="5">
        <v>7.0267551072007395E-108</v>
      </c>
      <c r="D213" s="6">
        <v>6.4751219959812401E-106</v>
      </c>
      <c r="E213" s="3" t="s">
        <v>440</v>
      </c>
      <c r="F213" s="3" t="s">
        <v>441</v>
      </c>
      <c r="G213" s="3">
        <v>14283</v>
      </c>
      <c r="H213" s="7" t="str">
        <f>HYPERLINK("http://www.ensembl.org/Mus_musculus/Gene/Summary?db=core;g=ENSMUSG00000024912","ENSMUSG00000024912")</f>
        <v>ENSMUSG00000024912</v>
      </c>
      <c r="I213" s="7" t="str">
        <f>HYPERLINK("http://www.informatics.jax.org/marker/MGI:107179","MGI:107179")</f>
        <v>MGI:107179</v>
      </c>
      <c r="J213" s="4" t="s">
        <v>12</v>
      </c>
    </row>
    <row r="214" spans="1:10" x14ac:dyDescent="0.25">
      <c r="A214" s="2">
        <v>88.333923810926606</v>
      </c>
      <c r="B214" s="3">
        <v>3.2225162672262</v>
      </c>
      <c r="C214" s="5">
        <v>1.6152002383595701E-60</v>
      </c>
      <c r="D214" s="6">
        <v>5.90941534331182E-59</v>
      </c>
      <c r="E214" s="3" t="s">
        <v>1094</v>
      </c>
      <c r="F214" s="3" t="s">
        <v>1095</v>
      </c>
      <c r="G214" s="3">
        <v>243197</v>
      </c>
      <c r="H214" s="7" t="str">
        <f>HYPERLINK("http://www.ensembl.org/Mus_musculus/Gene/Summary?db=core;g=ENSMUSG00000029490","ENSMUSG00000029490")</f>
        <v>ENSMUSG00000029490</v>
      </c>
      <c r="I214" s="7" t="str">
        <f>HYPERLINK("http://www.informatics.jax.org/marker/MGI:2442629","MGI:2442629")</f>
        <v>MGI:2442629</v>
      </c>
      <c r="J214" s="4" t="s">
        <v>12</v>
      </c>
    </row>
    <row r="215" spans="1:10" x14ac:dyDescent="0.25">
      <c r="A215" s="2">
        <v>4.1727079722729803</v>
      </c>
      <c r="B215" s="3">
        <v>3.2113553140287201</v>
      </c>
      <c r="C215" s="5">
        <v>9.8707000494771899E-13</v>
      </c>
      <c r="D215" s="6">
        <v>6.6275180447970801E-12</v>
      </c>
      <c r="E215" s="3" t="s">
        <v>5891</v>
      </c>
      <c r="F215" s="3" t="s">
        <v>5892</v>
      </c>
      <c r="G215" s="3">
        <v>17076</v>
      </c>
      <c r="H215" s="7" t="str">
        <f>HYPERLINK("http://www.ensembl.org/Mus_musculus/Gene/Summary?db=core;g=ENSMUSG00000026980","ENSMUSG00000026980")</f>
        <v>ENSMUSG00000026980</v>
      </c>
      <c r="I215" s="7" t="str">
        <f>HYPERLINK("http://www.informatics.jax.org/marker/MGI:106662","MGI:106662")</f>
        <v>MGI:106662</v>
      </c>
      <c r="J215" s="4" t="s">
        <v>12</v>
      </c>
    </row>
    <row r="216" spans="1:10" x14ac:dyDescent="0.25">
      <c r="A216" s="2">
        <v>864.27600898878904</v>
      </c>
      <c r="B216" s="3">
        <v>3.1992831752484001</v>
      </c>
      <c r="C216" s="5">
        <v>5.9270313509545803E-201</v>
      </c>
      <c r="D216" s="6">
        <v>2.2477126584773898E-198</v>
      </c>
      <c r="E216" s="3" t="s">
        <v>114</v>
      </c>
      <c r="F216" s="3" t="s">
        <v>115</v>
      </c>
      <c r="G216" s="3">
        <v>230738</v>
      </c>
      <c r="H216" s="7" t="str">
        <f>HYPERLINK("http://www.ensembl.org/Mus_musculus/Gene/Summary?db=core;g=ENSMUSG00000042677","ENSMUSG00000042677")</f>
        <v>ENSMUSG00000042677</v>
      </c>
      <c r="I216" s="7" t="str">
        <f>HYPERLINK("http://www.informatics.jax.org/marker/MGI:2385891","MGI:2385891")</f>
        <v>MGI:2385891</v>
      </c>
      <c r="J216" s="4" t="s">
        <v>12</v>
      </c>
    </row>
    <row r="217" spans="1:10" x14ac:dyDescent="0.25">
      <c r="A217" s="2">
        <v>71.306511991396206</v>
      </c>
      <c r="B217" s="3">
        <v>3.1969777324202902</v>
      </c>
      <c r="C217" s="5">
        <v>1.511403753615E-40</v>
      </c>
      <c r="D217" s="6">
        <v>3.1340569948777998E-39</v>
      </c>
      <c r="E217" s="3" t="s">
        <v>1919</v>
      </c>
      <c r="F217" s="3" t="s">
        <v>1920</v>
      </c>
      <c r="G217" s="3">
        <v>50997</v>
      </c>
      <c r="H217" s="7" t="str">
        <f>HYPERLINK("http://www.ensembl.org/Mus_musculus/Gene/Summary?db=core;g=ENSMUSG00000017314","ENSMUSG00000017314")</f>
        <v>ENSMUSG00000017314</v>
      </c>
      <c r="I217" s="7" t="str">
        <f>HYPERLINK("http://www.informatics.jax.org/marker/MGI:1858257","MGI:1858257")</f>
        <v>MGI:1858257</v>
      </c>
      <c r="J217" s="4" t="s">
        <v>12</v>
      </c>
    </row>
    <row r="218" spans="1:10" x14ac:dyDescent="0.25">
      <c r="A218" s="2">
        <v>12069.733088361199</v>
      </c>
      <c r="B218" s="3">
        <v>3.1885003731631998</v>
      </c>
      <c r="C218" s="5">
        <v>5.8059221491408701E-125</v>
      </c>
      <c r="D218" s="6">
        <v>7.4831885477815597E-123</v>
      </c>
      <c r="E218" s="3" t="s">
        <v>316</v>
      </c>
      <c r="F218" s="3" t="s">
        <v>317</v>
      </c>
      <c r="G218" s="3">
        <v>21938</v>
      </c>
      <c r="H218" s="7" t="str">
        <f>HYPERLINK("http://www.ensembl.org/Mus_musculus/Gene/Summary?db=core;g=ENSMUSG00000028599","ENSMUSG00000028599")</f>
        <v>ENSMUSG00000028599</v>
      </c>
      <c r="I218" s="7" t="str">
        <f>HYPERLINK("http://www.informatics.jax.org/marker/MGI:1314883","MGI:1314883")</f>
        <v>MGI:1314883</v>
      </c>
      <c r="J218" s="4" t="s">
        <v>12</v>
      </c>
    </row>
    <row r="219" spans="1:10" x14ac:dyDescent="0.25">
      <c r="A219" s="2">
        <v>371.358566303646</v>
      </c>
      <c r="B219" s="3">
        <v>3.1838077579645598</v>
      </c>
      <c r="C219" s="5">
        <v>2.6100498130625001E-28</v>
      </c>
      <c r="D219" s="6">
        <v>3.6144790950556501E-27</v>
      </c>
      <c r="E219" s="3" t="s">
        <v>2866</v>
      </c>
      <c r="F219" s="3" t="s">
        <v>2867</v>
      </c>
      <c r="G219" s="3">
        <v>11603</v>
      </c>
      <c r="H219" s="7" t="str">
        <f>HYPERLINK("http://www.ensembl.org/Mus_musculus/Gene/Summary?db=core;g=ENSMUSG00000041936","ENSMUSG00000041936")</f>
        <v>ENSMUSG00000041936</v>
      </c>
      <c r="I219" s="7" t="str">
        <f>HYPERLINK("http://www.informatics.jax.org/marker/MGI:87961","MGI:87961")</f>
        <v>MGI:87961</v>
      </c>
      <c r="J219" s="4" t="s">
        <v>12</v>
      </c>
    </row>
    <row r="220" spans="1:10" x14ac:dyDescent="0.25">
      <c r="A220" s="2">
        <v>2507.4674414474198</v>
      </c>
      <c r="B220" s="3">
        <v>3.18323761013664</v>
      </c>
      <c r="C220" s="5">
        <v>4.0042325083113801E-210</v>
      </c>
      <c r="D220" s="6">
        <v>1.6800737247638401E-207</v>
      </c>
      <c r="E220" s="3" t="s">
        <v>104</v>
      </c>
      <c r="F220" s="3" t="s">
        <v>105</v>
      </c>
      <c r="G220" s="3">
        <v>30935</v>
      </c>
      <c r="H220" s="7" t="str">
        <f>HYPERLINK("http://www.ensembl.org/Mus_musculus/Gene/Summary?db=core;g=ENSMUSG00000060519","ENSMUSG00000060519")</f>
        <v>ENSMUSG00000060519</v>
      </c>
      <c r="I220" s="7" t="str">
        <f>HYPERLINK("http://www.informatics.jax.org/marker/MGI:1353652","MGI:1353652")</f>
        <v>MGI:1353652</v>
      </c>
      <c r="J220" s="4" t="s">
        <v>12</v>
      </c>
    </row>
    <row r="221" spans="1:10" x14ac:dyDescent="0.25">
      <c r="A221" s="2">
        <v>32.7693068316864</v>
      </c>
      <c r="B221" s="3">
        <v>3.1812248204250499</v>
      </c>
      <c r="C221" s="5">
        <v>5.0002581327316696E-35</v>
      </c>
      <c r="D221" s="6">
        <v>8.6723914140253802E-34</v>
      </c>
      <c r="E221" s="3" t="s">
        <v>2291</v>
      </c>
      <c r="F221" s="3" t="s">
        <v>2292</v>
      </c>
      <c r="G221" s="3">
        <v>64450</v>
      </c>
      <c r="H221" s="7" t="str">
        <f>HYPERLINK("http://www.ensembl.org/Mus_musculus/Gene/Summary?db=core;g=ENSMUSG00000048216","ENSMUSG00000048216")</f>
        <v>ENSMUSG00000048216</v>
      </c>
      <c r="I221" s="7" t="str">
        <f>HYPERLINK("http://www.informatics.jax.org/marker/MGI:1927851","MGI:1927851")</f>
        <v>MGI:1927851</v>
      </c>
      <c r="J221" s="4" t="s">
        <v>12</v>
      </c>
    </row>
    <row r="222" spans="1:10" x14ac:dyDescent="0.25">
      <c r="A222" s="2">
        <v>293.17427224387899</v>
      </c>
      <c r="B222" s="3">
        <v>3.17990738257854</v>
      </c>
      <c r="C222" s="5">
        <v>3.8727214580985399E-79</v>
      </c>
      <c r="D222" s="6">
        <v>2.19454215958917E-77</v>
      </c>
      <c r="E222" s="3" t="s">
        <v>708</v>
      </c>
      <c r="F222" s="3" t="s">
        <v>709</v>
      </c>
      <c r="G222" s="3">
        <v>17133</v>
      </c>
      <c r="H222" s="7" t="str">
        <f>HYPERLINK("http://www.ensembl.org/Mus_musculus/Gene/Summary?db=core;g=ENSMUSG00000042622","ENSMUSG00000042622")</f>
        <v>ENSMUSG00000042622</v>
      </c>
      <c r="I222" s="7" t="str">
        <f>HYPERLINK("http://www.informatics.jax.org/marker/MGI:96910","MGI:96910")</f>
        <v>MGI:96910</v>
      </c>
      <c r="J222" s="4" t="s">
        <v>12</v>
      </c>
    </row>
    <row r="223" spans="1:10" x14ac:dyDescent="0.25">
      <c r="A223" s="2">
        <v>838.37194624239396</v>
      </c>
      <c r="B223" s="3">
        <v>3.1726679621518099</v>
      </c>
      <c r="C223" s="5">
        <v>2.1137661846667502E-24</v>
      </c>
      <c r="D223" s="6">
        <v>2.5232124189847599E-23</v>
      </c>
      <c r="E223" s="3" t="s">
        <v>3324</v>
      </c>
      <c r="F223" s="3" t="s">
        <v>3325</v>
      </c>
      <c r="G223" s="3">
        <v>20308</v>
      </c>
      <c r="H223" s="7" t="str">
        <f>HYPERLINK("http://www.ensembl.org/Mus_musculus/Gene/Summary?db=core;g=ENSMUSG00000019122","ENSMUSG00000019122")</f>
        <v>ENSMUSG00000019122</v>
      </c>
      <c r="I223" s="7" t="str">
        <f>HYPERLINK("http://www.informatics.jax.org/marker/MGI:104533","MGI:104533")</f>
        <v>MGI:104533</v>
      </c>
      <c r="J223" s="4" t="s">
        <v>12</v>
      </c>
    </row>
    <row r="224" spans="1:10" x14ac:dyDescent="0.25">
      <c r="A224" s="2">
        <v>37.094819471677702</v>
      </c>
      <c r="B224" s="3">
        <v>3.16474966746825</v>
      </c>
      <c r="C224" s="5">
        <v>2.25603610730468E-32</v>
      </c>
      <c r="D224" s="6">
        <v>3.5477696998443701E-31</v>
      </c>
      <c r="E224" s="3" t="s">
        <v>2525</v>
      </c>
      <c r="F224" s="3" t="s">
        <v>2526</v>
      </c>
      <c r="G224" s="3">
        <v>17387</v>
      </c>
      <c r="H224" s="7" t="str">
        <f>HYPERLINK("http://www.ensembl.org/Mus_musculus/Gene/Summary?db=core;g=ENSMUSG00000000957","ENSMUSG00000000957")</f>
        <v>ENSMUSG00000000957</v>
      </c>
      <c r="I224" s="7" t="str">
        <f>HYPERLINK("http://www.informatics.jax.org/marker/MGI:101900","MGI:101900")</f>
        <v>MGI:101900</v>
      </c>
      <c r="J224" s="4" t="s">
        <v>12</v>
      </c>
    </row>
    <row r="225" spans="1:10" x14ac:dyDescent="0.25">
      <c r="A225" s="2">
        <v>8256.3370291932297</v>
      </c>
      <c r="B225" s="3">
        <v>3.1602125788080002</v>
      </c>
      <c r="C225" s="5">
        <v>1.5473537476585999E-139</v>
      </c>
      <c r="D225" s="6">
        <v>2.5428179919856398E-137</v>
      </c>
      <c r="E225" s="3" t="s">
        <v>250</v>
      </c>
      <c r="F225" s="3" t="s">
        <v>251</v>
      </c>
      <c r="G225" s="3">
        <v>65221</v>
      </c>
      <c r="H225" s="7" t="str">
        <f>HYPERLINK("http://www.ensembl.org/Mus_musculus/Gene/Summary?db=core;g=ENSMUSG00000024737","ENSMUSG00000024737")</f>
        <v>ENSMUSG00000024737</v>
      </c>
      <c r="I225" s="7" t="str">
        <f>HYPERLINK("http://www.informatics.jax.org/marker/MGI:1929691","MGI:1929691")</f>
        <v>MGI:1929691</v>
      </c>
      <c r="J225" s="4" t="s">
        <v>12</v>
      </c>
    </row>
    <row r="226" spans="1:10" x14ac:dyDescent="0.25">
      <c r="A226" s="2">
        <v>1293.4473210025001</v>
      </c>
      <c r="B226" s="3">
        <v>3.1600571076953798</v>
      </c>
      <c r="C226" s="5">
        <v>6.0353585564242399E-105</v>
      </c>
      <c r="D226" s="6">
        <v>5.2662509173754796E-103</v>
      </c>
      <c r="E226" s="3" t="s">
        <v>464</v>
      </c>
      <c r="F226" s="3" t="s">
        <v>465</v>
      </c>
      <c r="G226" s="3">
        <v>18793</v>
      </c>
      <c r="H226" s="7" t="str">
        <f>HYPERLINK("http://www.ensembl.org/Mus_musculus/Gene/Summary?db=core;g=ENSMUSG00000046223","ENSMUSG00000046223")</f>
        <v>ENSMUSG00000046223</v>
      </c>
      <c r="I226" s="7" t="str">
        <f>HYPERLINK("http://www.informatics.jax.org/marker/MGI:97612","MGI:97612")</f>
        <v>MGI:97612</v>
      </c>
      <c r="J226" s="4" t="s">
        <v>12</v>
      </c>
    </row>
    <row r="227" spans="1:10" x14ac:dyDescent="0.25">
      <c r="A227" s="2">
        <v>1288.29385346309</v>
      </c>
      <c r="B227" s="3">
        <v>3.1589849594916299</v>
      </c>
      <c r="C227" s="5">
        <v>3.3600136173445902E-95</v>
      </c>
      <c r="D227" s="6">
        <v>2.47236822888192E-93</v>
      </c>
      <c r="E227" s="3" t="s">
        <v>548</v>
      </c>
      <c r="F227" s="3" t="s">
        <v>549</v>
      </c>
      <c r="G227" s="3" t="s">
        <v>83</v>
      </c>
      <c r="H227" s="7" t="str">
        <f>HYPERLINK("http://www.ensembl.org/Mus_musculus/Gene/Summary?db=core;g=ENSMUSG00000101628","ENSMUSG00000101628")</f>
        <v>ENSMUSG00000101628</v>
      </c>
      <c r="I227" s="7" t="str">
        <f>HYPERLINK("http://www.informatics.jax.org/marker/MGI:5578883","MGI:5578883")</f>
        <v>MGI:5578883</v>
      </c>
      <c r="J227" s="4" t="s">
        <v>331</v>
      </c>
    </row>
    <row r="228" spans="1:10" x14ac:dyDescent="0.25">
      <c r="A228" s="2">
        <v>690.95434818673402</v>
      </c>
      <c r="B228" s="3">
        <v>3.1548076136046199</v>
      </c>
      <c r="C228" s="3">
        <v>0</v>
      </c>
      <c r="D228" s="4">
        <v>0</v>
      </c>
      <c r="E228" s="3" t="s">
        <v>29</v>
      </c>
      <c r="F228" s="3" t="s">
        <v>30</v>
      </c>
      <c r="G228" s="3">
        <v>27052</v>
      </c>
      <c r="H228" s="7" t="str">
        <f>HYPERLINK("http://www.ensembl.org/Mus_musculus/Gene/Summary?db=core;g=ENSMUSG00000021322","ENSMUSG00000021322")</f>
        <v>ENSMUSG00000021322</v>
      </c>
      <c r="I228" s="7" t="str">
        <f>HYPERLINK("http://www.informatics.jax.org/marker/MGI:1350928","MGI:1350928")</f>
        <v>MGI:1350928</v>
      </c>
      <c r="J228" s="4" t="s">
        <v>12</v>
      </c>
    </row>
    <row r="229" spans="1:10" x14ac:dyDescent="0.25">
      <c r="A229" s="2">
        <v>5.1086276752357103</v>
      </c>
      <c r="B229" s="3">
        <v>3.1540479209750698</v>
      </c>
      <c r="C229" s="5">
        <v>1.02201112324416E-12</v>
      </c>
      <c r="D229" s="6">
        <v>6.8527913466082597E-12</v>
      </c>
      <c r="E229" s="3" t="s">
        <v>5899</v>
      </c>
      <c r="F229" s="3" t="s">
        <v>5900</v>
      </c>
      <c r="G229" s="3">
        <v>23844</v>
      </c>
      <c r="H229" s="7" t="str">
        <f>HYPERLINK("http://www.ensembl.org/Mus_musculus/Gene/Summary?db=core;g=ENSMUSG00000028255","ENSMUSG00000028255")</f>
        <v>ENSMUSG00000028255</v>
      </c>
      <c r="I229" s="7" t="str">
        <f>HYPERLINK("http://www.informatics.jax.org/marker/MGI:1346342","MGI:1346342")</f>
        <v>MGI:1346342</v>
      </c>
      <c r="J229" s="4" t="s">
        <v>12</v>
      </c>
    </row>
    <row r="230" spans="1:10" x14ac:dyDescent="0.25">
      <c r="A230" s="2">
        <v>409.86513551950299</v>
      </c>
      <c r="B230" s="3">
        <v>3.1469546836925502</v>
      </c>
      <c r="C230" s="5">
        <v>1.50095684754729E-78</v>
      </c>
      <c r="D230" s="6">
        <v>8.4327262204081505E-77</v>
      </c>
      <c r="E230" s="3" t="s">
        <v>714</v>
      </c>
      <c r="F230" s="3" t="s">
        <v>715</v>
      </c>
      <c r="G230" s="3">
        <v>74153</v>
      </c>
      <c r="H230" s="7" t="str">
        <f>HYPERLINK("http://www.ensembl.org/Mus_musculus/Gene/Summary?db=core;g=ENSMUSG00000032596","ENSMUSG00000032596")</f>
        <v>ENSMUSG00000032596</v>
      </c>
      <c r="I230" s="7" t="str">
        <f>HYPERLINK("http://www.informatics.jax.org/marker/MGI:1349462","MGI:1349462")</f>
        <v>MGI:1349462</v>
      </c>
      <c r="J230" s="4" t="s">
        <v>12</v>
      </c>
    </row>
    <row r="231" spans="1:10" x14ac:dyDescent="0.25">
      <c r="A231" s="2">
        <v>6.1812812954541396</v>
      </c>
      <c r="B231" s="3">
        <v>3.1444562389136701</v>
      </c>
      <c r="C231" s="5">
        <v>1.2310922082823401E-13</v>
      </c>
      <c r="D231" s="6">
        <v>8.7422176259732195E-13</v>
      </c>
      <c r="E231" s="3" t="s">
        <v>5571</v>
      </c>
      <c r="F231" s="3" t="s">
        <v>5572</v>
      </c>
      <c r="G231" s="3" t="s">
        <v>83</v>
      </c>
      <c r="H231" s="7" t="str">
        <f>HYPERLINK("http://www.ensembl.org/Mus_musculus/Gene/Summary?db=core;g=ENSMUSG00000073778","ENSMUSG00000073778")</f>
        <v>ENSMUSG00000073778</v>
      </c>
      <c r="I231" s="7" t="str">
        <f>HYPERLINK("http://www.informatics.jax.org/marker/MGI:3642460","MGI:3642460")</f>
        <v>MGI:3642460</v>
      </c>
      <c r="J231" s="4" t="s">
        <v>932</v>
      </c>
    </row>
    <row r="232" spans="1:10" x14ac:dyDescent="0.25">
      <c r="A232" s="2">
        <v>5.4937563994737904</v>
      </c>
      <c r="B232" s="3">
        <v>3.1433963127645401</v>
      </c>
      <c r="C232" s="5">
        <v>2.3176032509432799E-12</v>
      </c>
      <c r="D232" s="6">
        <v>1.5229302268777499E-11</v>
      </c>
      <c r="E232" s="3" t="s">
        <v>6019</v>
      </c>
      <c r="F232" s="3" t="s">
        <v>6020</v>
      </c>
      <c r="G232" s="3">
        <v>433470</v>
      </c>
      <c r="H232" s="7" t="str">
        <f>HYPERLINK("http://www.ensembl.org/Mus_musculus/Gene/Summary?db=core;g=ENSMUSG00000033213","ENSMUSG00000033213")</f>
        <v>ENSMUSG00000033213</v>
      </c>
      <c r="I232" s="7" t="str">
        <f>HYPERLINK("http://www.informatics.jax.org/marker/MGI:3034182","MGI:3034182")</f>
        <v>MGI:3034182</v>
      </c>
      <c r="J232" s="4" t="s">
        <v>12</v>
      </c>
    </row>
    <row r="233" spans="1:10" x14ac:dyDescent="0.25">
      <c r="A233" s="2">
        <v>2035.5535204758701</v>
      </c>
      <c r="B233" s="3">
        <v>3.1423374939382902</v>
      </c>
      <c r="C233" s="5">
        <v>8.29906405096501E-70</v>
      </c>
      <c r="D233" s="6">
        <v>3.7883690528942097E-68</v>
      </c>
      <c r="E233" s="3" t="s">
        <v>876</v>
      </c>
      <c r="F233" s="3" t="s">
        <v>877</v>
      </c>
      <c r="G233" s="3">
        <v>20846</v>
      </c>
      <c r="H233" s="7" t="str">
        <f>HYPERLINK("http://www.ensembl.org/Mus_musculus/Gene/Summary?db=core;g=ENSMUSG00000026104","ENSMUSG00000026104")</f>
        <v>ENSMUSG00000026104</v>
      </c>
      <c r="I233" s="7" t="str">
        <f>HYPERLINK("http://www.informatics.jax.org/marker/MGI:103063","MGI:103063")</f>
        <v>MGI:103063</v>
      </c>
      <c r="J233" s="4" t="s">
        <v>12</v>
      </c>
    </row>
    <row r="234" spans="1:10" x14ac:dyDescent="0.25">
      <c r="A234" s="2">
        <v>12.7058772703299</v>
      </c>
      <c r="B234" s="3">
        <v>3.1320145301659998</v>
      </c>
      <c r="C234" s="5">
        <v>1.2469721389718399E-18</v>
      </c>
      <c r="D234" s="6">
        <v>1.16211203121572E-17</v>
      </c>
      <c r="E234" s="3" t="s">
        <v>4249</v>
      </c>
      <c r="F234" s="3" t="s">
        <v>4250</v>
      </c>
      <c r="G234" s="3" t="s">
        <v>83</v>
      </c>
      <c r="H234" s="7" t="str">
        <f>HYPERLINK("http://www.ensembl.org/Mus_musculus/Gene/Summary?db=core;g=ENSMUSG00000097572","ENSMUSG00000097572")</f>
        <v>ENSMUSG00000097572</v>
      </c>
      <c r="I234" s="7" t="str">
        <f>HYPERLINK("http://www.informatics.jax.org/marker/MGI:5477291","MGI:5477291")</f>
        <v>MGI:5477291</v>
      </c>
      <c r="J234" s="4" t="s">
        <v>939</v>
      </c>
    </row>
    <row r="235" spans="1:10" x14ac:dyDescent="0.25">
      <c r="A235" s="2">
        <v>403.16910580085403</v>
      </c>
      <c r="B235" s="3">
        <v>3.12814858316501</v>
      </c>
      <c r="C235" s="5">
        <v>2.0072191198073401E-124</v>
      </c>
      <c r="D235" s="6">
        <v>2.5373308360641498E-122</v>
      </c>
      <c r="E235" s="3" t="s">
        <v>323</v>
      </c>
      <c r="F235" s="3" t="s">
        <v>324</v>
      </c>
      <c r="G235" s="3">
        <v>215418</v>
      </c>
      <c r="H235" s="7" t="str">
        <f>HYPERLINK("http://www.ensembl.org/Mus_musculus/Gene/Summary?db=core;g=ENSMUSG00000032515","ENSMUSG00000032515")</f>
        <v>ENSMUSG00000032515</v>
      </c>
      <c r="I235" s="7" t="str">
        <f>HYPERLINK("http://www.informatics.jax.org/marker/MGI:2387989","MGI:2387989")</f>
        <v>MGI:2387989</v>
      </c>
      <c r="J235" s="4" t="s">
        <v>12</v>
      </c>
    </row>
    <row r="236" spans="1:10" x14ac:dyDescent="0.25">
      <c r="A236" s="2">
        <v>12.5576690280989</v>
      </c>
      <c r="B236" s="3">
        <v>3.1210471703746299</v>
      </c>
      <c r="C236" s="5">
        <v>7.7841003064740605E-14</v>
      </c>
      <c r="D236" s="6">
        <v>5.5920749742684303E-13</v>
      </c>
      <c r="E236" s="3" t="s">
        <v>5507</v>
      </c>
      <c r="F236" s="3" t="s">
        <v>5508</v>
      </c>
      <c r="G236" s="3">
        <v>14106</v>
      </c>
      <c r="H236" s="7" t="str">
        <f>HYPERLINK("http://www.ensembl.org/Mus_musculus/Gene/Summary?db=core;g=ENSMUSG00000033837","ENSMUSG00000033837")</f>
        <v>ENSMUSG00000033837</v>
      </c>
      <c r="I236" s="7" t="str">
        <f>HYPERLINK("http://www.informatics.jax.org/marker/MGI:1347465","MGI:1347465")</f>
        <v>MGI:1347465</v>
      </c>
      <c r="J236" s="4" t="s">
        <v>12</v>
      </c>
    </row>
    <row r="237" spans="1:10" x14ac:dyDescent="0.25">
      <c r="A237" s="2">
        <v>967.15726042209405</v>
      </c>
      <c r="B237" s="3">
        <v>3.1199363870421202</v>
      </c>
      <c r="C237" s="5">
        <v>1.4634023188080699E-224</v>
      </c>
      <c r="D237" s="6">
        <v>7.2145734317237696E-222</v>
      </c>
      <c r="E237" s="3" t="s">
        <v>90</v>
      </c>
      <c r="F237" s="3" t="s">
        <v>91</v>
      </c>
      <c r="G237" s="3">
        <v>211228</v>
      </c>
      <c r="H237" s="7" t="str">
        <f>HYPERLINK("http://www.ensembl.org/Mus_musculus/Gene/Summary?db=core;g=ENSMUSG00000049988","ENSMUSG00000049988")</f>
        <v>ENSMUSG00000049988</v>
      </c>
      <c r="I237" s="7" t="str">
        <f>HYPERLINK("http://www.informatics.jax.org/marker/MGI:2445284","MGI:2445284")</f>
        <v>MGI:2445284</v>
      </c>
      <c r="J237" s="4" t="s">
        <v>12</v>
      </c>
    </row>
    <row r="238" spans="1:10" x14ac:dyDescent="0.25">
      <c r="A238" s="2">
        <v>1821.2935976604599</v>
      </c>
      <c r="B238" s="3">
        <v>3.1154725255759899</v>
      </c>
      <c r="C238" s="5">
        <v>1.7626519786179799E-219</v>
      </c>
      <c r="D238" s="6">
        <v>8.4779261020357706E-217</v>
      </c>
      <c r="E238" s="3" t="s">
        <v>92</v>
      </c>
      <c r="F238" s="3" t="s">
        <v>93</v>
      </c>
      <c r="G238" s="3">
        <v>12633</v>
      </c>
      <c r="H238" s="7" t="str">
        <f>HYPERLINK("http://www.ensembl.org/Mus_musculus/Gene/Summary?db=core;g=ENSMUSG00000026031","ENSMUSG00000026031")</f>
        <v>ENSMUSG00000026031</v>
      </c>
      <c r="I238" s="7" t="str">
        <f>HYPERLINK("http://www.informatics.jax.org/marker/MGI:1336166","MGI:1336166")</f>
        <v>MGI:1336166</v>
      </c>
      <c r="J238" s="4" t="s">
        <v>12</v>
      </c>
    </row>
    <row r="239" spans="1:10" x14ac:dyDescent="0.25">
      <c r="A239" s="2">
        <v>494.27927394095298</v>
      </c>
      <c r="B239" s="3">
        <v>3.1115293786302698</v>
      </c>
      <c r="C239" s="5">
        <v>3.4953258198239399E-119</v>
      </c>
      <c r="D239" s="6">
        <v>4.0545779509957797E-117</v>
      </c>
      <c r="E239" s="3" t="s">
        <v>352</v>
      </c>
      <c r="F239" s="3" t="s">
        <v>353</v>
      </c>
      <c r="G239" s="3">
        <v>73379</v>
      </c>
      <c r="H239" s="7" t="str">
        <f>HYPERLINK("http://www.ensembl.org/Mus_musculus/Gene/Summary?db=core;g=ENSMUSG00000035107","ENSMUSG00000035107")</f>
        <v>ENSMUSG00000035107</v>
      </c>
      <c r="I239" s="7" t="str">
        <f>HYPERLINK("http://www.informatics.jax.org/marker/MGI:1920629","MGI:1920629")</f>
        <v>MGI:1920629</v>
      </c>
      <c r="J239" s="4" t="s">
        <v>12</v>
      </c>
    </row>
    <row r="240" spans="1:10" x14ac:dyDescent="0.25">
      <c r="A240" s="2">
        <v>33.518904598732497</v>
      </c>
      <c r="B240" s="3">
        <v>3.1083842681995302</v>
      </c>
      <c r="C240" s="5">
        <v>3.1520013061544398E-29</v>
      </c>
      <c r="D240" s="6">
        <v>4.5271278774483302E-28</v>
      </c>
      <c r="E240" s="3" t="s">
        <v>2764</v>
      </c>
      <c r="F240" s="3" t="s">
        <v>2765</v>
      </c>
      <c r="G240" s="3">
        <v>64292</v>
      </c>
      <c r="H240" s="7" t="str">
        <f>HYPERLINK("http://www.ensembl.org/Mus_musculus/Gene/Summary?db=core;g=ENSMUSG00000050737","ENSMUSG00000050737")</f>
        <v>ENSMUSG00000050737</v>
      </c>
      <c r="I240" s="7" t="str">
        <f>HYPERLINK("http://www.informatics.jax.org/marker/MGI:1927593","MGI:1927593")</f>
        <v>MGI:1927593</v>
      </c>
      <c r="J240" s="4" t="s">
        <v>12</v>
      </c>
    </row>
    <row r="241" spans="1:10" x14ac:dyDescent="0.25">
      <c r="A241" s="2">
        <v>1862.18719002688</v>
      </c>
      <c r="B241" s="3">
        <v>3.1020501417791002</v>
      </c>
      <c r="C241" s="5">
        <v>4.5148243589352598E-250</v>
      </c>
      <c r="D241" s="6">
        <v>3.29749393919271E-247</v>
      </c>
      <c r="E241" s="3" t="s">
        <v>63</v>
      </c>
      <c r="F241" s="3" t="s">
        <v>64</v>
      </c>
      <c r="G241" s="3">
        <v>216799</v>
      </c>
      <c r="H241" s="7" t="str">
        <f>HYPERLINK("http://www.ensembl.org/Mus_musculus/Gene/Summary?db=core;g=ENSMUSG00000032691","ENSMUSG00000032691")</f>
        <v>ENSMUSG00000032691</v>
      </c>
      <c r="I241" s="7" t="str">
        <f>HYPERLINK("http://www.informatics.jax.org/marker/MGI:2653833","MGI:2653833")</f>
        <v>MGI:2653833</v>
      </c>
      <c r="J241" s="4" t="s">
        <v>12</v>
      </c>
    </row>
    <row r="242" spans="1:10" x14ac:dyDescent="0.25">
      <c r="A242" s="2">
        <v>72.6083541437158</v>
      </c>
      <c r="B242" s="3">
        <v>3.0998669333185802</v>
      </c>
      <c r="C242" s="5">
        <v>3.2517809620508599E-39</v>
      </c>
      <c r="D242" s="6">
        <v>6.4707487963312804E-38</v>
      </c>
      <c r="E242" s="3" t="s">
        <v>1999</v>
      </c>
      <c r="F242" s="3" t="s">
        <v>2000</v>
      </c>
      <c r="G242" s="3">
        <v>83382</v>
      </c>
      <c r="H242" s="7" t="str">
        <f>HYPERLINK("http://www.ensembl.org/Mus_musculus/Gene/Summary?db=core;g=ENSMUSG00000030474","ENSMUSG00000030474")</f>
        <v>ENSMUSG00000030474</v>
      </c>
      <c r="I242" s="7" t="str">
        <f>HYPERLINK("http://www.informatics.jax.org/marker/MGI:1932475","MGI:1932475")</f>
        <v>MGI:1932475</v>
      </c>
      <c r="J242" s="4" t="s">
        <v>12</v>
      </c>
    </row>
    <row r="243" spans="1:10" x14ac:dyDescent="0.25">
      <c r="A243" s="2">
        <v>4.8178277153549498</v>
      </c>
      <c r="B243" s="3">
        <v>3.09890431610199</v>
      </c>
      <c r="C243" s="5">
        <v>1.9465909545021301E-11</v>
      </c>
      <c r="D243" s="6">
        <v>1.1939898482980399E-10</v>
      </c>
      <c r="E243" s="3" t="s">
        <v>6447</v>
      </c>
      <c r="F243" s="3" t="s">
        <v>6448</v>
      </c>
      <c r="G243" s="3">
        <v>20415</v>
      </c>
      <c r="H243" s="7" t="str">
        <f>HYPERLINK("http://www.ensembl.org/Mus_musculus/Gene/Summary?db=core;g=ENSMUSG00000005202","ENSMUSG00000005202")</f>
        <v>ENSMUSG00000005202</v>
      </c>
      <c r="I243" s="7" t="str">
        <f>HYPERLINK("http://www.informatics.jax.org/marker/MGI:98295","MGI:98295")</f>
        <v>MGI:98295</v>
      </c>
      <c r="J243" s="4" t="s">
        <v>12</v>
      </c>
    </row>
    <row r="244" spans="1:10" x14ac:dyDescent="0.25">
      <c r="A244" s="2">
        <v>94.065830291892695</v>
      </c>
      <c r="B244" s="3">
        <v>3.0981457523690699</v>
      </c>
      <c r="C244" s="5">
        <v>1.06097870726465E-44</v>
      </c>
      <c r="D244" s="6">
        <v>2.47310875972328E-43</v>
      </c>
      <c r="E244" s="3" t="s">
        <v>1708</v>
      </c>
      <c r="F244" s="3" t="s">
        <v>1709</v>
      </c>
      <c r="G244" s="3">
        <v>16782</v>
      </c>
      <c r="H244" s="7" t="str">
        <f>HYPERLINK("http://www.ensembl.org/Mus_musculus/Gene/Summary?db=core;g=ENSMUSG00000026479","ENSMUSG00000026479")</f>
        <v>ENSMUSG00000026479</v>
      </c>
      <c r="I244" s="7" t="str">
        <f>HYPERLINK("http://www.informatics.jax.org/marker/MGI:99913","MGI:99913")</f>
        <v>MGI:99913</v>
      </c>
      <c r="J244" s="4" t="s">
        <v>12</v>
      </c>
    </row>
    <row r="245" spans="1:10" x14ac:dyDescent="0.25">
      <c r="A245" s="2">
        <v>283.73558366350198</v>
      </c>
      <c r="B245" s="3">
        <v>3.09530927103035</v>
      </c>
      <c r="C245" s="5">
        <v>1.51933907938963E-195</v>
      </c>
      <c r="D245" s="6">
        <v>5.54840123065991E-193</v>
      </c>
      <c r="E245" s="3" t="s">
        <v>118</v>
      </c>
      <c r="F245" s="3" t="s">
        <v>119</v>
      </c>
      <c r="G245" s="3">
        <v>73914</v>
      </c>
      <c r="H245" s="7" t="str">
        <f>HYPERLINK("http://www.ensembl.org/Mus_musculus/Gene/Summary?db=core;g=ENSMUSG00000020227","ENSMUSG00000020227")</f>
        <v>ENSMUSG00000020227</v>
      </c>
      <c r="I245" s="7" t="str">
        <f>HYPERLINK("http://www.informatics.jax.org/marker/MGI:1921164","MGI:1921164")</f>
        <v>MGI:1921164</v>
      </c>
      <c r="J245" s="4" t="s">
        <v>12</v>
      </c>
    </row>
    <row r="246" spans="1:10" x14ac:dyDescent="0.25">
      <c r="A246" s="2">
        <v>118.211815722976</v>
      </c>
      <c r="B246" s="3">
        <v>3.09418096549792</v>
      </c>
      <c r="C246" s="5">
        <v>2.04529685603255E-61</v>
      </c>
      <c r="D246" s="6">
        <v>7.7119032506619203E-60</v>
      </c>
      <c r="E246" s="3" t="s">
        <v>1062</v>
      </c>
      <c r="F246" s="3" t="s">
        <v>1063</v>
      </c>
      <c r="G246" s="3">
        <v>230088</v>
      </c>
      <c r="H246" s="7" t="str">
        <f>HYPERLINK("http://www.ensembl.org/Mus_musculus/Gene/Summary?db=core;g=ENSMUSG00000036002","ENSMUSG00000036002")</f>
        <v>ENSMUSG00000036002</v>
      </c>
      <c r="I246" s="7" t="str">
        <f>HYPERLINK("http://www.informatics.jax.org/marker/MGI:2441854","MGI:2441854")</f>
        <v>MGI:2441854</v>
      </c>
      <c r="J246" s="4" t="s">
        <v>12</v>
      </c>
    </row>
    <row r="247" spans="1:10" x14ac:dyDescent="0.25">
      <c r="A247" s="2">
        <v>7.5909006834025403</v>
      </c>
      <c r="B247" s="3">
        <v>3.0932608594629998</v>
      </c>
      <c r="C247" s="5">
        <v>2.1889736304916101E-15</v>
      </c>
      <c r="D247" s="6">
        <v>1.7156820347096401E-14</v>
      </c>
      <c r="E247" s="3" t="s">
        <v>5049</v>
      </c>
      <c r="F247" s="3" t="s">
        <v>5050</v>
      </c>
      <c r="G247" s="3">
        <v>383435</v>
      </c>
      <c r="H247" s="7" t="str">
        <f>HYPERLINK("http://www.ensembl.org/Mus_musculus/Gene/Summary?db=core;g=ENSMUSG00000099398","ENSMUSG00000099398")</f>
        <v>ENSMUSG00000099398</v>
      </c>
      <c r="I247" s="7" t="str">
        <f>HYPERLINK("http://www.informatics.jax.org/marker/MGI:2686122","MGI:2686122")</f>
        <v>MGI:2686122</v>
      </c>
      <c r="J247" s="4" t="s">
        <v>12</v>
      </c>
    </row>
    <row r="248" spans="1:10" x14ac:dyDescent="0.25">
      <c r="A248" s="2">
        <v>35.321526393183497</v>
      </c>
      <c r="B248" s="3">
        <v>3.0876133494373099</v>
      </c>
      <c r="C248" s="5">
        <v>3.61130084901594E-29</v>
      </c>
      <c r="D248" s="6">
        <v>5.1679864109284698E-28</v>
      </c>
      <c r="E248" s="3" t="s">
        <v>2774</v>
      </c>
      <c r="F248" s="3" t="s">
        <v>2775</v>
      </c>
      <c r="G248" s="3">
        <v>269799</v>
      </c>
      <c r="H248" s="7" t="str">
        <f>HYPERLINK("http://www.ensembl.org/Mus_musculus/Gene/Summary?db=core;g=ENSMUSG00000049037","ENSMUSG00000049037")</f>
        <v>ENSMUSG00000049037</v>
      </c>
      <c r="I248" s="7" t="str">
        <f>HYPERLINK("http://www.informatics.jax.org/marker/MGI:3036291","MGI:3036291")</f>
        <v>MGI:3036291</v>
      </c>
      <c r="J248" s="4" t="s">
        <v>12</v>
      </c>
    </row>
    <row r="249" spans="1:10" x14ac:dyDescent="0.25">
      <c r="A249" s="2">
        <v>982.01183978873598</v>
      </c>
      <c r="B249" s="3">
        <v>3.0840225775378198</v>
      </c>
      <c r="C249" s="5">
        <v>3.9396663757000403E-203</v>
      </c>
      <c r="D249" s="6">
        <v>1.5233376652706799E-200</v>
      </c>
      <c r="E249" s="3" t="s">
        <v>112</v>
      </c>
      <c r="F249" s="3" t="s">
        <v>113</v>
      </c>
      <c r="G249" s="3">
        <v>76820</v>
      </c>
      <c r="H249" s="7" t="str">
        <f>HYPERLINK("http://www.ensembl.org/Mus_musculus/Gene/Summary?db=core;g=ENSMUSG00000020589","ENSMUSG00000020589")</f>
        <v>ENSMUSG00000020589</v>
      </c>
      <c r="I249" s="7" t="str">
        <f>HYPERLINK("http://www.informatics.jax.org/marker/MGI:1261783","MGI:1261783")</f>
        <v>MGI:1261783</v>
      </c>
      <c r="J249" s="4" t="s">
        <v>12</v>
      </c>
    </row>
    <row r="250" spans="1:10" x14ac:dyDescent="0.25">
      <c r="A250" s="2">
        <v>2565.6572986076399</v>
      </c>
      <c r="B250" s="3">
        <v>3.0834258601077198</v>
      </c>
      <c r="C250" s="5">
        <v>6.0126837150801199E-183</v>
      </c>
      <c r="D250" s="6">
        <v>1.9761687143563302E-180</v>
      </c>
      <c r="E250" s="3" t="s">
        <v>130</v>
      </c>
      <c r="F250" s="3" t="s">
        <v>131</v>
      </c>
      <c r="G250" s="3">
        <v>227659</v>
      </c>
      <c r="H250" s="7" t="str">
        <f>HYPERLINK("http://www.ensembl.org/Mus_musculus/Gene/Summary?db=core;g=ENSMUSG00000036067","ENSMUSG00000036067")</f>
        <v>ENSMUSG00000036067</v>
      </c>
      <c r="I250" s="7" t="str">
        <f>HYPERLINK("http://www.informatics.jax.org/marker/MGI:2443286","MGI:2443286")</f>
        <v>MGI:2443286</v>
      </c>
      <c r="J250" s="4" t="s">
        <v>12</v>
      </c>
    </row>
    <row r="251" spans="1:10" x14ac:dyDescent="0.25">
      <c r="A251" s="2">
        <v>4.61381561981782</v>
      </c>
      <c r="B251" s="3">
        <v>3.0820802476917502</v>
      </c>
      <c r="C251" s="5">
        <v>4.9161672021837997E-12</v>
      </c>
      <c r="D251" s="6">
        <v>3.1517170750020901E-11</v>
      </c>
      <c r="E251" s="3" t="s">
        <v>6169</v>
      </c>
      <c r="F251" s="3" t="s">
        <v>6170</v>
      </c>
      <c r="G251" s="3">
        <v>15567</v>
      </c>
      <c r="H251" s="7" t="str">
        <f>HYPERLINK("http://www.ensembl.org/Mus_musculus/Gene/Summary?db=core;g=ENSMUSG00000020838","ENSMUSG00000020838")</f>
        <v>ENSMUSG00000020838</v>
      </c>
      <c r="I251" s="7" t="str">
        <f>HYPERLINK("http://www.informatics.jax.org/marker/MGI:96285","MGI:96285")</f>
        <v>MGI:96285</v>
      </c>
      <c r="J251" s="4" t="s">
        <v>12</v>
      </c>
    </row>
    <row r="252" spans="1:10" x14ac:dyDescent="0.25">
      <c r="A252" s="2">
        <v>338.60511575355599</v>
      </c>
      <c r="B252" s="3">
        <v>3.0782165371147201</v>
      </c>
      <c r="C252" s="5">
        <v>9.9405631962014397E-93</v>
      </c>
      <c r="D252" s="6">
        <v>7.0513635334205896E-91</v>
      </c>
      <c r="E252" s="3" t="s">
        <v>568</v>
      </c>
      <c r="F252" s="3" t="s">
        <v>569</v>
      </c>
      <c r="G252" s="3">
        <v>19252</v>
      </c>
      <c r="H252" s="7" t="str">
        <f>HYPERLINK("http://www.ensembl.org/Mus_musculus/Gene/Summary?db=core;g=ENSMUSG00000024190","ENSMUSG00000024190")</f>
        <v>ENSMUSG00000024190</v>
      </c>
      <c r="I252" s="7" t="str">
        <f>HYPERLINK("http://www.informatics.jax.org/marker/MGI:105120","MGI:105120")</f>
        <v>MGI:105120</v>
      </c>
      <c r="J252" s="4" t="s">
        <v>12</v>
      </c>
    </row>
    <row r="253" spans="1:10" x14ac:dyDescent="0.25">
      <c r="A253" s="2">
        <v>16.531348281079801</v>
      </c>
      <c r="B253" s="3">
        <v>3.0659781564049098</v>
      </c>
      <c r="C253" s="5">
        <v>2.6638963813077301E-19</v>
      </c>
      <c r="D253" s="6">
        <v>2.5600407719000202E-18</v>
      </c>
      <c r="E253" s="3" t="s">
        <v>4121</v>
      </c>
      <c r="F253" s="3" t="s">
        <v>4122</v>
      </c>
      <c r="G253" s="3">
        <v>620913</v>
      </c>
      <c r="H253" s="7" t="str">
        <f>HYPERLINK("http://www.ensembl.org/Mus_musculus/Gene/Summary?db=core;g=ENSMUSG00000048852","ENSMUSG00000048852")</f>
        <v>ENSMUSG00000048852</v>
      </c>
      <c r="I253" s="7" t="str">
        <f>HYPERLINK("http://www.informatics.jax.org/marker/MGI:3652173","MGI:3652173")</f>
        <v>MGI:3652173</v>
      </c>
      <c r="J253" s="4" t="s">
        <v>12</v>
      </c>
    </row>
    <row r="254" spans="1:10" x14ac:dyDescent="0.25">
      <c r="A254" s="2">
        <v>70.361480340429395</v>
      </c>
      <c r="B254" s="3">
        <v>3.0573803765076701</v>
      </c>
      <c r="C254" s="5">
        <v>1.9704947193802001E-20</v>
      </c>
      <c r="D254" s="6">
        <v>1.9927259418552601E-19</v>
      </c>
      <c r="E254" s="3" t="s">
        <v>3918</v>
      </c>
      <c r="F254" s="3" t="s">
        <v>3919</v>
      </c>
      <c r="G254" s="3">
        <v>380863</v>
      </c>
      <c r="H254" s="7" t="str">
        <f>HYPERLINK("http://www.ensembl.org/Mus_musculus/Gene/Summary?db=core;g=ENSMUSG00000052485","ENSMUSG00000052485")</f>
        <v>ENSMUSG00000052485</v>
      </c>
      <c r="I254" s="7" t="str">
        <f>HYPERLINK("http://www.informatics.jax.org/marker/MGI:2685751","MGI:2685751")</f>
        <v>MGI:2685751</v>
      </c>
      <c r="J254" s="4" t="s">
        <v>12</v>
      </c>
    </row>
    <row r="255" spans="1:10" x14ac:dyDescent="0.25">
      <c r="A255" s="2">
        <v>20.906848843417201</v>
      </c>
      <c r="B255" s="3">
        <v>3.0440124200195502</v>
      </c>
      <c r="C255" s="5">
        <v>5.3575133956466103E-25</v>
      </c>
      <c r="D255" s="6">
        <v>6.51357362282066E-24</v>
      </c>
      <c r="E255" s="3" t="s">
        <v>3264</v>
      </c>
      <c r="F255" s="3" t="s">
        <v>3265</v>
      </c>
      <c r="G255" s="3">
        <v>16891</v>
      </c>
      <c r="H255" s="7" t="str">
        <f>HYPERLINK("http://www.ensembl.org/Mus_musculus/Gene/Summary?db=core;g=ENSMUSG00000053846","ENSMUSG00000053846")</f>
        <v>ENSMUSG00000053846</v>
      </c>
      <c r="I255" s="7" t="str">
        <f>HYPERLINK("http://www.informatics.jax.org/marker/MGI:1341803","MGI:1341803")</f>
        <v>MGI:1341803</v>
      </c>
      <c r="J255" s="4" t="s">
        <v>12</v>
      </c>
    </row>
    <row r="256" spans="1:10" x14ac:dyDescent="0.25">
      <c r="A256" s="2">
        <v>41.184170644000197</v>
      </c>
      <c r="B256" s="3">
        <v>3.0403557521563398</v>
      </c>
      <c r="C256" s="5">
        <v>9.0683149754957302E-30</v>
      </c>
      <c r="D256" s="6">
        <v>1.3246457134576E-28</v>
      </c>
      <c r="E256" s="3" t="s">
        <v>2718</v>
      </c>
      <c r="F256" s="3" t="s">
        <v>2719</v>
      </c>
      <c r="G256" s="3">
        <v>21664</v>
      </c>
      <c r="H256" s="7" t="str">
        <f>HYPERLINK("http://www.ensembl.org/Mus_musculus/Gene/Summary?db=core;g=ENSMUSG00000020205","ENSMUSG00000020205")</f>
        <v>ENSMUSG00000020205</v>
      </c>
      <c r="I256" s="7" t="str">
        <f>HYPERLINK("http://www.informatics.jax.org/marker/MGI:1096880","MGI:1096880")</f>
        <v>MGI:1096880</v>
      </c>
      <c r="J256" s="4" t="s">
        <v>12</v>
      </c>
    </row>
    <row r="257" spans="1:10" x14ac:dyDescent="0.25">
      <c r="A257" s="2">
        <v>21.951376432558099</v>
      </c>
      <c r="B257" s="3">
        <v>3.0372495898834102</v>
      </c>
      <c r="C257" s="5">
        <v>1.5124345321323701E-18</v>
      </c>
      <c r="D257" s="6">
        <v>1.4042000458404101E-17</v>
      </c>
      <c r="E257" s="3" t="s">
        <v>4265</v>
      </c>
      <c r="F257" s="3" t="s">
        <v>4266</v>
      </c>
      <c r="G257" s="3">
        <v>54384</v>
      </c>
      <c r="H257" s="7" t="str">
        <f>HYPERLINK("http://www.ensembl.org/Mus_musculus/Gene/Summary?db=core;g=ENSMUSG00000039431","ENSMUSG00000039431")</f>
        <v>ENSMUSG00000039431</v>
      </c>
      <c r="I257" s="7" t="str">
        <f>HYPERLINK("http://www.informatics.jax.org/marker/MGI:1891693","MGI:1891693")</f>
        <v>MGI:1891693</v>
      </c>
      <c r="J257" s="4" t="s">
        <v>12</v>
      </c>
    </row>
    <row r="258" spans="1:10" x14ac:dyDescent="0.25">
      <c r="A258" s="2">
        <v>522.28569603748497</v>
      </c>
      <c r="B258" s="3">
        <v>3.0368735387769799</v>
      </c>
      <c r="C258" s="5">
        <v>9.8310380966891596E-96</v>
      </c>
      <c r="D258" s="6">
        <v>7.3157762742154803E-94</v>
      </c>
      <c r="E258" s="3" t="s">
        <v>542</v>
      </c>
      <c r="F258" s="3" t="s">
        <v>543</v>
      </c>
      <c r="G258" s="3" t="s">
        <v>83</v>
      </c>
      <c r="H258" s="7" t="str">
        <f>HYPERLINK("http://www.ensembl.org/Mus_musculus/Gene/Summary?db=core;g=ENSMUSG00000096917","ENSMUSG00000096917")</f>
        <v>ENSMUSG00000096917</v>
      </c>
      <c r="I258" s="7" t="str">
        <f>HYPERLINK("http://www.informatics.jax.org/marker/MGI:1925603","MGI:1925603")</f>
        <v>MGI:1925603</v>
      </c>
      <c r="J258" s="4" t="s">
        <v>331</v>
      </c>
    </row>
    <row r="259" spans="1:10" x14ac:dyDescent="0.25">
      <c r="A259" s="2">
        <v>42.699890755339801</v>
      </c>
      <c r="B259" s="3">
        <v>3.0366622544533199</v>
      </c>
      <c r="C259" s="5">
        <v>2.14986744589038E-19</v>
      </c>
      <c r="D259" s="6">
        <v>2.0782051976940399E-18</v>
      </c>
      <c r="E259" s="3" t="s">
        <v>4097</v>
      </c>
      <c r="F259" s="3" t="s">
        <v>4098</v>
      </c>
      <c r="G259" s="3" t="s">
        <v>83</v>
      </c>
      <c r="H259" s="7" t="str">
        <f>HYPERLINK("http://www.ensembl.org/Mus_musculus/Gene/Summary?db=core;g=ENSMUSG00000090222","ENSMUSG00000090222")</f>
        <v>ENSMUSG00000090222</v>
      </c>
      <c r="I259" s="7" t="str">
        <f>HYPERLINK("http://www.informatics.jax.org/marker/MGI:3840117","MGI:3840117")</f>
        <v>MGI:3840117</v>
      </c>
      <c r="J259" s="4" t="s">
        <v>2683</v>
      </c>
    </row>
    <row r="260" spans="1:10" x14ac:dyDescent="0.25">
      <c r="A260" s="2">
        <v>280.96746406353498</v>
      </c>
      <c r="B260" s="3">
        <v>3.0350532686129799</v>
      </c>
      <c r="C260" s="5">
        <v>1.25774846494932E-66</v>
      </c>
      <c r="D260" s="6">
        <v>5.4154584560700203E-65</v>
      </c>
      <c r="E260" s="3" t="s">
        <v>928</v>
      </c>
      <c r="F260" s="3" t="s">
        <v>929</v>
      </c>
      <c r="G260" s="3">
        <v>23960</v>
      </c>
      <c r="H260" s="7" t="str">
        <f>HYPERLINK("http://www.ensembl.org/Mus_musculus/Gene/Summary?db=core;g=ENSMUSG00000066861","ENSMUSG00000066861")</f>
        <v>ENSMUSG00000066861</v>
      </c>
      <c r="I260" s="7" t="str">
        <f>HYPERLINK("http://www.informatics.jax.org/marker/MGI:97429","MGI:97429")</f>
        <v>MGI:97429</v>
      </c>
      <c r="J260" s="4" t="s">
        <v>12</v>
      </c>
    </row>
    <row r="261" spans="1:10" x14ac:dyDescent="0.25">
      <c r="A261" s="2">
        <v>475.18031318097599</v>
      </c>
      <c r="B261" s="3">
        <v>3.03132898148771</v>
      </c>
      <c r="C261" s="5">
        <v>2.3233646267737799E-99</v>
      </c>
      <c r="D261" s="6">
        <v>1.83267001759916E-97</v>
      </c>
      <c r="E261" s="3" t="s">
        <v>512</v>
      </c>
      <c r="F261" s="3" t="s">
        <v>513</v>
      </c>
      <c r="G261" s="3">
        <v>246730</v>
      </c>
      <c r="H261" s="7" t="str">
        <f>HYPERLINK("http://www.ensembl.org/Mus_musculus/Gene/Summary?db=core;g=ENSMUSG00000052776","ENSMUSG00000052776")</f>
        <v>ENSMUSG00000052776</v>
      </c>
      <c r="I261" s="7" t="str">
        <f>HYPERLINK("http://www.informatics.jax.org/marker/MGI:2180860","MGI:2180860")</f>
        <v>MGI:2180860</v>
      </c>
      <c r="J261" s="4" t="s">
        <v>12</v>
      </c>
    </row>
    <row r="262" spans="1:10" x14ac:dyDescent="0.25">
      <c r="A262" s="2">
        <v>2104.521918334</v>
      </c>
      <c r="B262" s="3">
        <v>3.0176793333686001</v>
      </c>
      <c r="C262" s="5">
        <v>2.2196126800949801E-229</v>
      </c>
      <c r="D262" s="6">
        <v>1.2158545014298001E-226</v>
      </c>
      <c r="E262" s="3" t="s">
        <v>81</v>
      </c>
      <c r="F262" s="3" t="s">
        <v>82</v>
      </c>
      <c r="G262" s="3" t="s">
        <v>83</v>
      </c>
      <c r="H262" s="7" t="str">
        <f>HYPERLINK("http://www.ensembl.org/Mus_musculus/Gene/Summary?db=core;g=ENSMUSG00000062593","ENSMUSG00000062593")</f>
        <v>ENSMUSG00000062593</v>
      </c>
      <c r="I262" s="7" t="str">
        <f>HYPERLINK("http://www.informatics.jax.org/marker/MGI:6121530","MGI:6121530")</f>
        <v>MGI:6121530</v>
      </c>
      <c r="J262" s="4" t="s">
        <v>12</v>
      </c>
    </row>
    <row r="263" spans="1:10" x14ac:dyDescent="0.25">
      <c r="A263" s="2">
        <v>14.6222507554284</v>
      </c>
      <c r="B263" s="3">
        <v>3.0158148964765701</v>
      </c>
      <c r="C263" s="5">
        <v>2.2926031790887501E-15</v>
      </c>
      <c r="D263" s="6">
        <v>1.7940529639535701E-14</v>
      </c>
      <c r="E263" s="3" t="s">
        <v>5057</v>
      </c>
      <c r="F263" s="3" t="s">
        <v>5058</v>
      </c>
      <c r="G263" s="3">
        <v>56471</v>
      </c>
      <c r="H263" s="7" t="str">
        <f>HYPERLINK("http://www.ensembl.org/Mus_musculus/Gene/Summary?db=core;g=ENSMUSG00000022044","ENSMUSG00000022044")</f>
        <v>ENSMUSG00000022044</v>
      </c>
      <c r="I263" s="7" t="str">
        <f>HYPERLINK("http://www.informatics.jax.org/marker/MGI:1931224","MGI:1931224")</f>
        <v>MGI:1931224</v>
      </c>
      <c r="J263" s="4" t="s">
        <v>12</v>
      </c>
    </row>
    <row r="264" spans="1:10" x14ac:dyDescent="0.25">
      <c r="A264" s="2">
        <v>15.076650544398399</v>
      </c>
      <c r="B264" s="3">
        <v>3.0130915498878998</v>
      </c>
      <c r="C264" s="5">
        <v>2.0490280316333001E-17</v>
      </c>
      <c r="D264" s="6">
        <v>1.7871221930034799E-16</v>
      </c>
      <c r="E264" s="3" t="s">
        <v>4539</v>
      </c>
      <c r="F264" s="3" t="s">
        <v>4540</v>
      </c>
      <c r="G264" s="3">
        <v>85031</v>
      </c>
      <c r="H264" s="7" t="str">
        <f>HYPERLINK("http://www.ensembl.org/Mus_musculus/Gene/Summary?db=core;g=ENSMUSG00000002847","ENSMUSG00000002847")</f>
        <v>ENSMUSG00000002847</v>
      </c>
      <c r="I264" s="7" t="str">
        <f>HYPERLINK("http://www.informatics.jax.org/marker/MGI:1934677","MGI:1934677")</f>
        <v>MGI:1934677</v>
      </c>
      <c r="J264" s="4" t="s">
        <v>12</v>
      </c>
    </row>
    <row r="265" spans="1:10" x14ac:dyDescent="0.25">
      <c r="A265" s="2">
        <v>25.296010559627401</v>
      </c>
      <c r="B265" s="3">
        <v>3.01237524394584</v>
      </c>
      <c r="C265" s="5">
        <v>4.9351227273556798E-15</v>
      </c>
      <c r="D265" s="6">
        <v>3.8045590376643499E-14</v>
      </c>
      <c r="E265" s="3" t="s">
        <v>5133</v>
      </c>
      <c r="F265" s="3" t="s">
        <v>5134</v>
      </c>
      <c r="G265" s="3">
        <v>108078</v>
      </c>
      <c r="H265" s="7" t="str">
        <f>HYPERLINK("http://www.ensembl.org/Mus_musculus/Gene/Summary?db=core;g=ENSMUSG00000030162","ENSMUSG00000030162")</f>
        <v>ENSMUSG00000030162</v>
      </c>
      <c r="I265" s="7" t="str">
        <f>HYPERLINK("http://www.informatics.jax.org/marker/MGI:1261434","MGI:1261434")</f>
        <v>MGI:1261434</v>
      </c>
      <c r="J265" s="4" t="s">
        <v>12</v>
      </c>
    </row>
    <row r="266" spans="1:10" x14ac:dyDescent="0.25">
      <c r="A266" s="2">
        <v>34.278926913841801</v>
      </c>
      <c r="B266" s="3">
        <v>3.0015554810932401</v>
      </c>
      <c r="C266" s="5">
        <v>6.4875062572074705E-33</v>
      </c>
      <c r="D266" s="6">
        <v>1.0375800761730001E-31</v>
      </c>
      <c r="E266" s="3" t="s">
        <v>2483</v>
      </c>
      <c r="F266" s="3" t="s">
        <v>2484</v>
      </c>
      <c r="G266" s="3">
        <v>66341</v>
      </c>
      <c r="H266" s="7" t="str">
        <f>HYPERLINK("http://www.ensembl.org/Mus_musculus/Gene/Summary?db=core;g=ENSMUSG00000109864","ENSMUSG00000109864")</f>
        <v>ENSMUSG00000109864</v>
      </c>
      <c r="I266" s="7" t="str">
        <f>HYPERLINK("http://www.informatics.jax.org/marker/MGI:1913591","MGI:1913591")</f>
        <v>MGI:1913591</v>
      </c>
      <c r="J266" s="4" t="s">
        <v>12</v>
      </c>
    </row>
    <row r="267" spans="1:10" x14ac:dyDescent="0.25">
      <c r="A267" s="2">
        <v>8.1527552299495394</v>
      </c>
      <c r="B267" s="3">
        <v>2.9987633316883802</v>
      </c>
      <c r="C267" s="5">
        <v>5.32448100538953E-14</v>
      </c>
      <c r="D267" s="6">
        <v>3.8517522166647698E-13</v>
      </c>
      <c r="E267" s="3" t="s">
        <v>5469</v>
      </c>
      <c r="F267" s="3" t="s">
        <v>5470</v>
      </c>
      <c r="G267" s="3">
        <v>12258</v>
      </c>
      <c r="H267" s="7" t="str">
        <f>HYPERLINK("http://www.ensembl.org/Mus_musculus/Gene/Summary?db=core;g=ENSMUSG00000023224","ENSMUSG00000023224")</f>
        <v>ENSMUSG00000023224</v>
      </c>
      <c r="I267" s="7" t="str">
        <f>HYPERLINK("http://www.informatics.jax.org/marker/MGI:894696","MGI:894696")</f>
        <v>MGI:894696</v>
      </c>
      <c r="J267" s="4" t="s">
        <v>12</v>
      </c>
    </row>
    <row r="268" spans="1:10" x14ac:dyDescent="0.25">
      <c r="A268" s="2">
        <v>115.12293423473599</v>
      </c>
      <c r="B268" s="3">
        <v>2.98607853450565</v>
      </c>
      <c r="C268" s="5">
        <v>5.0666293647851598E-51</v>
      </c>
      <c r="D268" s="6">
        <v>1.3934997360329601E-49</v>
      </c>
      <c r="E268" s="3" t="s">
        <v>1450</v>
      </c>
      <c r="F268" s="3" t="s">
        <v>1451</v>
      </c>
      <c r="G268" s="3" t="s">
        <v>83</v>
      </c>
      <c r="H268" s="7" t="str">
        <f>HYPERLINK("http://www.ensembl.org/Mus_musculus/Gene/Summary?db=core;g=ENSMUSG00000097754","ENSMUSG00000097754")</f>
        <v>ENSMUSG00000097754</v>
      </c>
      <c r="I268" s="7" t="str">
        <f>HYPERLINK("http://www.informatics.jax.org/marker/MGI:5477181","MGI:5477181")</f>
        <v>MGI:5477181</v>
      </c>
      <c r="J268" s="4" t="s">
        <v>939</v>
      </c>
    </row>
    <row r="269" spans="1:10" x14ac:dyDescent="0.25">
      <c r="A269" s="2">
        <v>4.5431886856220398</v>
      </c>
      <c r="B269" s="3">
        <v>2.9859088254116499</v>
      </c>
      <c r="C269" s="5">
        <v>7.4821120777454101E-11</v>
      </c>
      <c r="D269" s="6">
        <v>4.3821577122999502E-10</v>
      </c>
      <c r="E269" s="3" t="s">
        <v>6752</v>
      </c>
      <c r="F269" s="3" t="s">
        <v>6753</v>
      </c>
      <c r="G269" s="3">
        <v>14118</v>
      </c>
      <c r="H269" s="7" t="str">
        <f>HYPERLINK("http://www.ensembl.org/Mus_musculus/Gene/Summary?db=core;g=ENSMUSG00000027204","ENSMUSG00000027204")</f>
        <v>ENSMUSG00000027204</v>
      </c>
      <c r="I269" s="7" t="str">
        <f>HYPERLINK("http://www.informatics.jax.org/marker/MGI:95489","MGI:95489")</f>
        <v>MGI:95489</v>
      </c>
      <c r="J269" s="4" t="s">
        <v>12</v>
      </c>
    </row>
    <row r="270" spans="1:10" x14ac:dyDescent="0.25">
      <c r="A270" s="2">
        <v>111.66734610417799</v>
      </c>
      <c r="B270" s="3">
        <v>2.9826258408856399</v>
      </c>
      <c r="C270" s="5">
        <v>1.02638331061082E-56</v>
      </c>
      <c r="D270" s="6">
        <v>3.3235269105493398E-55</v>
      </c>
      <c r="E270" s="3" t="s">
        <v>1234</v>
      </c>
      <c r="F270" s="3" t="s">
        <v>1235</v>
      </c>
      <c r="G270" s="3">
        <v>17295</v>
      </c>
      <c r="H270" s="7" t="str">
        <f>HYPERLINK("http://www.ensembl.org/Mus_musculus/Gene/Summary?db=core;g=ENSMUSG00000009376","ENSMUSG00000009376")</f>
        <v>ENSMUSG00000009376</v>
      </c>
      <c r="I270" s="7" t="str">
        <f>HYPERLINK("http://www.informatics.jax.org/marker/MGI:96969","MGI:96969")</f>
        <v>MGI:96969</v>
      </c>
      <c r="J270" s="4" t="s">
        <v>12</v>
      </c>
    </row>
    <row r="271" spans="1:10" x14ac:dyDescent="0.25">
      <c r="A271" s="2">
        <v>442.21643941462401</v>
      </c>
      <c r="B271" s="3">
        <v>2.9815235786924199</v>
      </c>
      <c r="C271" s="5">
        <v>6.8604123728749897E-234</v>
      </c>
      <c r="D271" s="6">
        <v>3.9790391762674899E-231</v>
      </c>
      <c r="E271" s="3" t="s">
        <v>77</v>
      </c>
      <c r="F271" s="3" t="s">
        <v>78</v>
      </c>
      <c r="G271" s="3">
        <v>19012</v>
      </c>
      <c r="H271" s="7" t="str">
        <f>HYPERLINK("http://www.ensembl.org/Mus_musculus/Gene/Summary?db=core;g=ENSMUSG00000021759","ENSMUSG00000021759")</f>
        <v>ENSMUSG00000021759</v>
      </c>
      <c r="I271" s="7" t="str">
        <f>HYPERLINK("http://www.informatics.jax.org/marker/MGI:108412","MGI:108412")</f>
        <v>MGI:108412</v>
      </c>
      <c r="J271" s="4" t="s">
        <v>12</v>
      </c>
    </row>
    <row r="272" spans="1:10" x14ac:dyDescent="0.25">
      <c r="A272" s="2">
        <v>26.915737193695598</v>
      </c>
      <c r="B272" s="3">
        <v>2.98082644382399</v>
      </c>
      <c r="C272" s="5">
        <v>6.2778769334417197E-24</v>
      </c>
      <c r="D272" s="6">
        <v>7.3515280954555001E-23</v>
      </c>
      <c r="E272" s="3" t="s">
        <v>3386</v>
      </c>
      <c r="F272" s="3" t="s">
        <v>3387</v>
      </c>
      <c r="G272" s="3">
        <v>100042856</v>
      </c>
      <c r="H272" s="7" t="str">
        <f>HYPERLINK("http://www.ensembl.org/Mus_musculus/Gene/Summary?db=core;g=ENSMUSG00000078606","ENSMUSG00000078606")</f>
        <v>ENSMUSG00000078606</v>
      </c>
      <c r="I272" s="7" t="str">
        <f>HYPERLINK("http://www.informatics.jax.org/marker/MGI:3782245","MGI:3782245")</f>
        <v>MGI:3782245</v>
      </c>
      <c r="J272" s="4" t="s">
        <v>12</v>
      </c>
    </row>
    <row r="273" spans="1:10" x14ac:dyDescent="0.25">
      <c r="A273" s="2">
        <v>4.2356751800787302</v>
      </c>
      <c r="B273" s="3">
        <v>2.9765381531709401</v>
      </c>
      <c r="C273" s="5">
        <v>6.3700174724909805E-11</v>
      </c>
      <c r="D273" s="6">
        <v>3.7542362390174E-10</v>
      </c>
      <c r="E273" s="3" t="s">
        <v>6709</v>
      </c>
      <c r="F273" s="3" t="s">
        <v>6710</v>
      </c>
      <c r="G273" s="3">
        <v>12796</v>
      </c>
      <c r="H273" s="7" t="str">
        <f>HYPERLINK("http://www.ensembl.org/Mus_musculus/Gene/Summary?db=core;g=ENSMUSG00000038357","ENSMUSG00000038357")</f>
        <v>ENSMUSG00000038357</v>
      </c>
      <c r="I273" s="7" t="str">
        <f>HYPERLINK("http://www.informatics.jax.org/marker/MGI:108443","MGI:108443")</f>
        <v>MGI:108443</v>
      </c>
      <c r="J273" s="4" t="s">
        <v>12</v>
      </c>
    </row>
    <row r="274" spans="1:10" x14ac:dyDescent="0.25">
      <c r="A274" s="2">
        <v>3.9354784788709001</v>
      </c>
      <c r="B274" s="3">
        <v>2.9703878255521001</v>
      </c>
      <c r="C274" s="5">
        <v>1.6035896895686501E-10</v>
      </c>
      <c r="D274" s="6">
        <v>9.1899996158947103E-10</v>
      </c>
      <c r="E274" s="3" t="s">
        <v>6900</v>
      </c>
      <c r="F274" s="3" t="s">
        <v>6901</v>
      </c>
      <c r="G274" s="3">
        <v>240327</v>
      </c>
      <c r="H274" s="7" t="str">
        <f>HYPERLINK("http://www.ensembl.org/Mus_musculus/Gene/Summary?db=core;g=ENSMUSG00000073555","ENSMUSG00000073555")</f>
        <v>ENSMUSG00000073555</v>
      </c>
      <c r="I274" s="7" t="str">
        <f>HYPERLINK("http://www.informatics.jax.org/marker/MGI:3644953","MGI:3644953")</f>
        <v>MGI:3644953</v>
      </c>
      <c r="J274" s="4" t="s">
        <v>12</v>
      </c>
    </row>
    <row r="275" spans="1:10" x14ac:dyDescent="0.25">
      <c r="A275" s="2">
        <v>241.52922077529101</v>
      </c>
      <c r="B275" s="3">
        <v>2.9676785009687698</v>
      </c>
      <c r="C275" s="5">
        <v>1.6958095593428399E-86</v>
      </c>
      <c r="D275" s="6">
        <v>1.1000448852052899E-84</v>
      </c>
      <c r="E275" s="3" t="s">
        <v>620</v>
      </c>
      <c r="F275" s="3" t="s">
        <v>621</v>
      </c>
      <c r="G275" s="3">
        <v>320148</v>
      </c>
      <c r="H275" s="7" t="str">
        <f>HYPERLINK("http://www.ensembl.org/Mus_musculus/Gene/Summary?db=core;g=ENSMUSG00000043740","ENSMUSG00000043740")</f>
        <v>ENSMUSG00000043740</v>
      </c>
      <c r="I275" s="7" t="str">
        <f>HYPERLINK("http://www.informatics.jax.org/marker/MGI:2443478","MGI:2443478")</f>
        <v>MGI:2443478</v>
      </c>
      <c r="J275" s="4" t="s">
        <v>12</v>
      </c>
    </row>
    <row r="276" spans="1:10" x14ac:dyDescent="0.25">
      <c r="A276" s="2">
        <v>121.34626038438201</v>
      </c>
      <c r="B276" s="3">
        <v>2.96232833512392</v>
      </c>
      <c r="C276" s="5">
        <v>3.6544644534848298E-33</v>
      </c>
      <c r="D276" s="6">
        <v>5.91675197230878E-32</v>
      </c>
      <c r="E276" s="3" t="s">
        <v>2453</v>
      </c>
      <c r="F276" s="3" t="s">
        <v>2454</v>
      </c>
      <c r="G276" s="3">
        <v>53321</v>
      </c>
      <c r="H276" s="7" t="str">
        <f>HYPERLINK("http://www.ensembl.org/Mus_musculus/Gene/Summary?db=core;g=ENSMUSG00000017167","ENSMUSG00000017167")</f>
        <v>ENSMUSG00000017167</v>
      </c>
      <c r="I276" s="7" t="str">
        <f>HYPERLINK("http://www.informatics.jax.org/marker/MGI:1858201","MGI:1858201")</f>
        <v>MGI:1858201</v>
      </c>
      <c r="J276" s="4" t="s">
        <v>12</v>
      </c>
    </row>
    <row r="277" spans="1:10" x14ac:dyDescent="0.25">
      <c r="A277" s="2">
        <v>5680.4438571709597</v>
      </c>
      <c r="B277" s="3">
        <v>2.9614740526766901</v>
      </c>
      <c r="C277" s="5">
        <v>3.04181972617718E-128</v>
      </c>
      <c r="D277" s="6">
        <v>4.13687482760097E-126</v>
      </c>
      <c r="E277" s="3" t="s">
        <v>300</v>
      </c>
      <c r="F277" s="3" t="s">
        <v>301</v>
      </c>
      <c r="G277" s="3">
        <v>16402</v>
      </c>
      <c r="H277" s="7" t="str">
        <f>HYPERLINK("http://www.ensembl.org/Mus_musculus/Gene/Summary?db=core;g=ENSMUSG00000000555","ENSMUSG00000000555")</f>
        <v>ENSMUSG00000000555</v>
      </c>
      <c r="I277" s="7" t="str">
        <f>HYPERLINK("http://www.informatics.jax.org/marker/MGI:96604","MGI:96604")</f>
        <v>MGI:96604</v>
      </c>
      <c r="J277" s="4" t="s">
        <v>12</v>
      </c>
    </row>
    <row r="278" spans="1:10" x14ac:dyDescent="0.25">
      <c r="A278" s="2">
        <v>20.033908968479</v>
      </c>
      <c r="B278" s="3">
        <v>2.9586378867089298</v>
      </c>
      <c r="C278" s="5">
        <v>2.8635436241896802E-16</v>
      </c>
      <c r="D278" s="6">
        <v>2.3382641933341801E-15</v>
      </c>
      <c r="E278" s="3" t="s">
        <v>4847</v>
      </c>
      <c r="F278" s="3" t="s">
        <v>4848</v>
      </c>
      <c r="G278" s="3">
        <v>330188</v>
      </c>
      <c r="H278" s="7" t="str">
        <f>HYPERLINK("http://www.ensembl.org/Mus_musculus/Gene/Summary?db=core;g=ENSMUSG00000043036","ENSMUSG00000043036")</f>
        <v>ENSMUSG00000043036</v>
      </c>
      <c r="I278" s="7" t="str">
        <f>HYPERLINK("http://www.informatics.jax.org/marker/MGI:3607777","MGI:3607777")</f>
        <v>MGI:3607777</v>
      </c>
      <c r="J278" s="4" t="s">
        <v>12</v>
      </c>
    </row>
    <row r="279" spans="1:10" x14ac:dyDescent="0.25">
      <c r="A279" s="2">
        <v>26.562284814337399</v>
      </c>
      <c r="B279" s="3">
        <v>2.9533439965374702</v>
      </c>
      <c r="C279" s="5">
        <v>2.4495641942143901E-18</v>
      </c>
      <c r="D279" s="6">
        <v>2.2530506487830101E-17</v>
      </c>
      <c r="E279" s="3" t="s">
        <v>4305</v>
      </c>
      <c r="F279" s="3" t="s">
        <v>4306</v>
      </c>
      <c r="G279" s="3">
        <v>109332</v>
      </c>
      <c r="H279" s="7" t="str">
        <f>HYPERLINK("http://www.ensembl.org/Mus_musculus/Gene/Summary?db=core;g=ENSMUSG00000035498","ENSMUSG00000035498")</f>
        <v>ENSMUSG00000035498</v>
      </c>
      <c r="I279" s="7" t="str">
        <f>HYPERLINK("http://www.informatics.jax.org/marker/MGI:2442010","MGI:2442010")</f>
        <v>MGI:2442010</v>
      </c>
      <c r="J279" s="4" t="s">
        <v>12</v>
      </c>
    </row>
    <row r="280" spans="1:10" x14ac:dyDescent="0.25">
      <c r="A280" s="2">
        <v>1574.95494345106</v>
      </c>
      <c r="B280" s="3">
        <v>2.9513390187818702</v>
      </c>
      <c r="C280" s="5">
        <v>5.6391725099489596E-128</v>
      </c>
      <c r="D280" s="6">
        <v>7.6167453353557095E-126</v>
      </c>
      <c r="E280" s="3" t="s">
        <v>302</v>
      </c>
      <c r="F280" s="3" t="s">
        <v>303</v>
      </c>
      <c r="G280" s="3">
        <v>243771</v>
      </c>
      <c r="H280" s="7" t="str">
        <f>HYPERLINK("http://www.ensembl.org/Mus_musculus/Gene/Summary?db=core;g=ENSMUSG00000038507","ENSMUSG00000038507")</f>
        <v>ENSMUSG00000038507</v>
      </c>
      <c r="I280" s="7" t="str">
        <f>HYPERLINK("http://www.informatics.jax.org/marker/MGI:2143990","MGI:2143990")</f>
        <v>MGI:2143990</v>
      </c>
      <c r="J280" s="4" t="s">
        <v>12</v>
      </c>
    </row>
    <row r="281" spans="1:10" x14ac:dyDescent="0.25">
      <c r="A281" s="2">
        <v>18.124740328398001</v>
      </c>
      <c r="B281" s="3">
        <v>2.94834297320793</v>
      </c>
      <c r="C281" s="5">
        <v>3.73221556937735E-16</v>
      </c>
      <c r="D281" s="6">
        <v>3.0325212619745102E-15</v>
      </c>
      <c r="E281" s="3" t="s">
        <v>4871</v>
      </c>
      <c r="F281" s="3" t="s">
        <v>4872</v>
      </c>
      <c r="G281" s="3">
        <v>18671</v>
      </c>
      <c r="H281" s="7" t="str">
        <f>HYPERLINK("http://www.ensembl.org/Mus_musculus/Gene/Summary?db=core;g=ENSMUSG00000040584","ENSMUSG00000040584")</f>
        <v>ENSMUSG00000040584</v>
      </c>
      <c r="I281" s="7" t="str">
        <f>HYPERLINK("http://www.informatics.jax.org/marker/MGI:97570","MGI:97570")</f>
        <v>MGI:97570</v>
      </c>
      <c r="J281" s="4" t="s">
        <v>12</v>
      </c>
    </row>
    <row r="282" spans="1:10" x14ac:dyDescent="0.25">
      <c r="A282" s="2">
        <v>3.2367488935429201</v>
      </c>
      <c r="B282" s="3">
        <v>2.9370676298956302</v>
      </c>
      <c r="C282" s="5">
        <v>1.8187820794467999E-10</v>
      </c>
      <c r="D282" s="6">
        <v>1.03690033555048E-9</v>
      </c>
      <c r="E282" s="3" t="s">
        <v>6936</v>
      </c>
      <c r="F282" s="3" t="s">
        <v>6937</v>
      </c>
      <c r="G282" s="3">
        <v>72560</v>
      </c>
      <c r="H282" s="7" t="str">
        <f>HYPERLINK("http://www.ensembl.org/Mus_musculus/Gene/Summary?db=core;g=ENSMUSG00000043943","ENSMUSG00000043943")</f>
        <v>ENSMUSG00000043943</v>
      </c>
      <c r="I282" s="7" t="str">
        <f>HYPERLINK("http://www.informatics.jax.org/marker/MGI:1919810","MGI:1919810")</f>
        <v>MGI:1919810</v>
      </c>
      <c r="J282" s="4" t="s">
        <v>12</v>
      </c>
    </row>
    <row r="283" spans="1:10" x14ac:dyDescent="0.25">
      <c r="A283" s="2">
        <v>38.283753667733301</v>
      </c>
      <c r="B283" s="3">
        <v>2.93355413609765</v>
      </c>
      <c r="C283" s="5">
        <v>1.0616274963414701E-37</v>
      </c>
      <c r="D283" s="6">
        <v>2.0072190055468699E-36</v>
      </c>
      <c r="E283" s="3" t="s">
        <v>2103</v>
      </c>
      <c r="F283" s="3" t="s">
        <v>2104</v>
      </c>
      <c r="G283" s="3">
        <v>19201</v>
      </c>
      <c r="H283" s="7" t="str">
        <f>HYPERLINK("http://www.ensembl.org/Mus_musculus/Gene/Summary?db=core;g=ENSMUSG00000025429","ENSMUSG00000025429")</f>
        <v>ENSMUSG00000025429</v>
      </c>
      <c r="I283" s="7" t="str">
        <f>HYPERLINK("http://www.informatics.jax.org/marker/MGI:1335088","MGI:1335088")</f>
        <v>MGI:1335088</v>
      </c>
      <c r="J283" s="4" t="s">
        <v>12</v>
      </c>
    </row>
    <row r="284" spans="1:10" x14ac:dyDescent="0.25">
      <c r="A284" s="2">
        <v>856.530611383733</v>
      </c>
      <c r="B284" s="3">
        <v>2.93272969207906</v>
      </c>
      <c r="C284" s="5">
        <v>3.37868387166242E-149</v>
      </c>
      <c r="D284" s="6">
        <v>6.6627645949182996E-147</v>
      </c>
      <c r="E284" s="3" t="s">
        <v>210</v>
      </c>
      <c r="F284" s="3" t="s">
        <v>211</v>
      </c>
      <c r="G284" s="3">
        <v>18712</v>
      </c>
      <c r="H284" s="7" t="str">
        <f>HYPERLINK("http://www.ensembl.org/Mus_musculus/Gene/Summary?db=core;g=ENSMUSG00000024014","ENSMUSG00000024014")</f>
        <v>ENSMUSG00000024014</v>
      </c>
      <c r="I284" s="7" t="str">
        <f>HYPERLINK("http://www.informatics.jax.org/marker/MGI:97584","MGI:97584")</f>
        <v>MGI:97584</v>
      </c>
      <c r="J284" s="4" t="s">
        <v>12</v>
      </c>
    </row>
    <row r="285" spans="1:10" x14ac:dyDescent="0.25">
      <c r="A285" s="2">
        <v>43.6992296937253</v>
      </c>
      <c r="B285" s="3">
        <v>2.9270714850576498</v>
      </c>
      <c r="C285" s="5">
        <v>1.4805836540712301E-26</v>
      </c>
      <c r="D285" s="6">
        <v>1.9246611508427599E-25</v>
      </c>
      <c r="E285" s="3" t="s">
        <v>3052</v>
      </c>
      <c r="F285" s="3" t="s">
        <v>3053</v>
      </c>
      <c r="G285" s="3">
        <v>12579</v>
      </c>
      <c r="H285" s="7" t="str">
        <f>HYPERLINK("http://www.ensembl.org/Mus_musculus/Gene/Summary?db=core;g=ENSMUSG00000073802","ENSMUSG00000073802")</f>
        <v>ENSMUSG00000073802</v>
      </c>
      <c r="I285" s="7" t="str">
        <f>HYPERLINK("http://www.informatics.jax.org/marker/MGI:104737","MGI:104737")</f>
        <v>MGI:104737</v>
      </c>
      <c r="J285" s="4" t="s">
        <v>12</v>
      </c>
    </row>
    <row r="286" spans="1:10" x14ac:dyDescent="0.25">
      <c r="A286" s="2">
        <v>1002.73673783177</v>
      </c>
      <c r="B286" s="3">
        <v>2.9269691393693198</v>
      </c>
      <c r="C286" s="5">
        <v>6.6608365207802498E-137</v>
      </c>
      <c r="D286" s="6">
        <v>1.05928787249828E-134</v>
      </c>
      <c r="E286" s="3" t="s">
        <v>258</v>
      </c>
      <c r="F286" s="3" t="s">
        <v>259</v>
      </c>
      <c r="G286" s="3">
        <v>671535</v>
      </c>
      <c r="H286" s="7" t="str">
        <f>HYPERLINK("http://www.ensembl.org/Mus_musculus/Gene/Summary?db=core;g=ENSMUSG00000063268","ENSMUSG00000063268")</f>
        <v>ENSMUSG00000063268</v>
      </c>
      <c r="I286" s="7" t="str">
        <f>HYPERLINK("http://www.informatics.jax.org/marker/MGI:3712326","MGI:3712326")</f>
        <v>MGI:3712326</v>
      </c>
      <c r="J286" s="4" t="s">
        <v>12</v>
      </c>
    </row>
    <row r="287" spans="1:10" x14ac:dyDescent="0.25">
      <c r="A287" s="2">
        <v>2708.4417789368499</v>
      </c>
      <c r="B287" s="3">
        <v>2.9264911438226902</v>
      </c>
      <c r="C287" s="5">
        <v>4.0745700035951999E-227</v>
      </c>
      <c r="D287" s="6">
        <v>2.1716356884026301E-224</v>
      </c>
      <c r="E287" s="3" t="s">
        <v>84</v>
      </c>
      <c r="F287" s="3" t="s">
        <v>85</v>
      </c>
      <c r="G287" s="3">
        <v>14728</v>
      </c>
      <c r="H287" s="7" t="str">
        <f>HYPERLINK("http://www.ensembl.org/Mus_musculus/Gene/Summary?db=core;g=ENSMUSG00000112148","ENSMUSG00000112148")</f>
        <v>ENSMUSG00000112148</v>
      </c>
      <c r="I287" s="7" t="str">
        <f>HYPERLINK("http://www.informatics.jax.org/marker/MGI:102701","MGI:102701")</f>
        <v>MGI:102701</v>
      </c>
      <c r="J287" s="4" t="s">
        <v>12</v>
      </c>
    </row>
    <row r="288" spans="1:10" x14ac:dyDescent="0.25">
      <c r="A288" s="2">
        <v>220.52234639663999</v>
      </c>
      <c r="B288" s="3">
        <v>2.9229330351220102</v>
      </c>
      <c r="C288" s="5">
        <v>2.09916376556182E-28</v>
      </c>
      <c r="D288" s="6">
        <v>2.9234116848078502E-27</v>
      </c>
      <c r="E288" s="3" t="s">
        <v>2850</v>
      </c>
      <c r="F288" s="3" t="s">
        <v>2851</v>
      </c>
      <c r="G288" s="3">
        <v>18037</v>
      </c>
      <c r="H288" s="7" t="str">
        <f>HYPERLINK("http://www.ensembl.org/Mus_musculus/Gene/Summary?db=core;g=ENSMUSG00000023947","ENSMUSG00000023947")</f>
        <v>ENSMUSG00000023947</v>
      </c>
      <c r="I288" s="7" t="str">
        <f>HYPERLINK("http://www.informatics.jax.org/marker/MGI:1194908","MGI:1194908")</f>
        <v>MGI:1194908</v>
      </c>
      <c r="J288" s="4" t="s">
        <v>12</v>
      </c>
    </row>
    <row r="289" spans="1:10" x14ac:dyDescent="0.25">
      <c r="A289" s="2">
        <v>63.692372891679</v>
      </c>
      <c r="B289" s="3">
        <v>2.9227692357891</v>
      </c>
      <c r="C289" s="5">
        <v>3.22722724730186E-35</v>
      </c>
      <c r="D289" s="6">
        <v>5.6469317938591497E-34</v>
      </c>
      <c r="E289" s="3" t="s">
        <v>2271</v>
      </c>
      <c r="F289" s="3" t="s">
        <v>2272</v>
      </c>
      <c r="G289" s="3">
        <v>20743</v>
      </c>
      <c r="H289" s="7" t="str">
        <f>HYPERLINK("http://www.ensembl.org/Mus_musculus/Gene/Summary?db=core;g=ENSMUSG00000067889","ENSMUSG00000067889")</f>
        <v>ENSMUSG00000067889</v>
      </c>
      <c r="I289" s="7" t="str">
        <f>HYPERLINK("http://www.informatics.jax.org/marker/MGI:1313261","MGI:1313261")</f>
        <v>MGI:1313261</v>
      </c>
      <c r="J289" s="4" t="s">
        <v>12</v>
      </c>
    </row>
    <row r="290" spans="1:10" x14ac:dyDescent="0.25">
      <c r="A290" s="2">
        <v>3.76116875750267</v>
      </c>
      <c r="B290" s="3">
        <v>2.9220627635309602</v>
      </c>
      <c r="C290" s="5">
        <v>2.5662618665044099E-10</v>
      </c>
      <c r="D290" s="6">
        <v>1.4434308045483999E-9</v>
      </c>
      <c r="E290" s="3" t="s">
        <v>7030</v>
      </c>
      <c r="F290" s="3" t="s">
        <v>7031</v>
      </c>
      <c r="G290" s="3">
        <v>22138</v>
      </c>
      <c r="H290" s="7" t="str">
        <f>HYPERLINK("http://www.ensembl.org/Mus_musculus/Gene/Summary?db=core;g=ENSMUSG00000051747","ENSMUSG00000051747")</f>
        <v>ENSMUSG00000051747</v>
      </c>
      <c r="I290" s="7" t="str">
        <f>HYPERLINK("http://www.informatics.jax.org/marker/MGI:98864","MGI:98864")</f>
        <v>MGI:98864</v>
      </c>
      <c r="J290" s="4" t="s">
        <v>12</v>
      </c>
    </row>
    <row r="291" spans="1:10" x14ac:dyDescent="0.25">
      <c r="A291" s="2">
        <v>3.6157404261516102</v>
      </c>
      <c r="B291" s="3">
        <v>2.9185896760797498</v>
      </c>
      <c r="C291" s="5">
        <v>3.4593173512964799E-10</v>
      </c>
      <c r="D291" s="6">
        <v>1.9254230360588902E-9</v>
      </c>
      <c r="E291" s="3" t="s">
        <v>7104</v>
      </c>
      <c r="F291" s="3" t="s">
        <v>7105</v>
      </c>
      <c r="G291" s="3">
        <v>18507</v>
      </c>
      <c r="H291" s="7" t="str">
        <f>HYPERLINK("http://www.ensembl.org/Mus_musculus/Gene/Summary?db=core;g=ENSMUSG00000014030","ENSMUSG00000014030")</f>
        <v>ENSMUSG00000014030</v>
      </c>
      <c r="I291" s="7" t="str">
        <f>HYPERLINK("http://www.informatics.jax.org/marker/MGI:97489","MGI:97489")</f>
        <v>MGI:97489</v>
      </c>
      <c r="J291" s="4" t="s">
        <v>12</v>
      </c>
    </row>
    <row r="292" spans="1:10" x14ac:dyDescent="0.25">
      <c r="A292" s="2">
        <v>1124.4801193036899</v>
      </c>
      <c r="B292" s="3">
        <v>2.9105522240911998</v>
      </c>
      <c r="C292" s="5">
        <v>1.5197277038982599E-135</v>
      </c>
      <c r="D292" s="6">
        <v>2.3975224256698898E-133</v>
      </c>
      <c r="E292" s="3" t="s">
        <v>260</v>
      </c>
      <c r="F292" s="3" t="s">
        <v>261</v>
      </c>
      <c r="G292" s="3">
        <v>209200</v>
      </c>
      <c r="H292" s="7" t="str">
        <f>HYPERLINK("http://www.ensembl.org/Mus_musculus/Gene/Summary?db=core;g=ENSMUSG00000049502","ENSMUSG00000049502")</f>
        <v>ENSMUSG00000049502</v>
      </c>
      <c r="I292" s="7" t="str">
        <f>HYPERLINK("http://www.informatics.jax.org/marker/MGI:2656973","MGI:2656973")</f>
        <v>MGI:2656973</v>
      </c>
      <c r="J292" s="4" t="s">
        <v>12</v>
      </c>
    </row>
    <row r="293" spans="1:10" x14ac:dyDescent="0.25">
      <c r="A293" s="2">
        <v>5.1349027465510702</v>
      </c>
      <c r="B293" s="3">
        <v>2.9026087515328198</v>
      </c>
      <c r="C293" s="5">
        <v>1.85986660569792E-10</v>
      </c>
      <c r="D293" s="6">
        <v>1.0587924210266501E-9</v>
      </c>
      <c r="E293" s="3" t="s">
        <v>6946</v>
      </c>
      <c r="F293" s="3" t="s">
        <v>6947</v>
      </c>
      <c r="G293" s="3">
        <v>11529</v>
      </c>
      <c r="H293" s="7" t="str">
        <f>HYPERLINK("http://www.ensembl.org/Mus_musculus/Gene/Summary?db=core;g=ENSMUSG00000055301","ENSMUSG00000055301")</f>
        <v>ENSMUSG00000055301</v>
      </c>
      <c r="I293" s="7" t="str">
        <f>HYPERLINK("http://www.informatics.jax.org/marker/MGI:87926","MGI:87926")</f>
        <v>MGI:87926</v>
      </c>
      <c r="J293" s="4" t="s">
        <v>12</v>
      </c>
    </row>
    <row r="294" spans="1:10" x14ac:dyDescent="0.25">
      <c r="A294" s="2">
        <v>24.091833504902901</v>
      </c>
      <c r="B294" s="3">
        <v>2.9021709390943098</v>
      </c>
      <c r="C294" s="5">
        <v>2.7996334354329702E-22</v>
      </c>
      <c r="D294" s="6">
        <v>3.0825667976961499E-21</v>
      </c>
      <c r="E294" s="3" t="s">
        <v>3600</v>
      </c>
      <c r="F294" s="3" t="s">
        <v>3601</v>
      </c>
      <c r="G294" s="3" t="s">
        <v>83</v>
      </c>
      <c r="H294" s="7" t="str">
        <f>HYPERLINK("http://www.ensembl.org/Mus_musculus/Gene/Summary?db=core;g=ENSMUSG00000072844","ENSMUSG00000072844")</f>
        <v>ENSMUSG00000072844</v>
      </c>
      <c r="I294" s="7" t="str">
        <f>HYPERLINK("http://www.informatics.jax.org/marker/MGI:3603513","MGI:3603513")</f>
        <v>MGI:3603513</v>
      </c>
      <c r="J294" s="4" t="s">
        <v>331</v>
      </c>
    </row>
    <row r="295" spans="1:10" x14ac:dyDescent="0.25">
      <c r="A295" s="2">
        <v>498.94070274734298</v>
      </c>
      <c r="B295" s="3">
        <v>2.9009200006925799</v>
      </c>
      <c r="C295" s="5">
        <v>1.5483764132399101E-143</v>
      </c>
      <c r="D295" s="6">
        <v>2.7508092674856799E-141</v>
      </c>
      <c r="E295" s="3" t="s">
        <v>232</v>
      </c>
      <c r="F295" s="3" t="s">
        <v>233</v>
      </c>
      <c r="G295" s="3">
        <v>15015</v>
      </c>
      <c r="H295" s="7" t="str">
        <f>HYPERLINK("http://www.ensembl.org/Mus_musculus/Gene/Summary?db=core;g=ENSMUSG00000035929","ENSMUSG00000035929")</f>
        <v>ENSMUSG00000035929</v>
      </c>
      <c r="I295" s="7" t="str">
        <f>HYPERLINK("http://www.informatics.jax.org/marker/MGI:95933","MGI:95933")</f>
        <v>MGI:95933</v>
      </c>
      <c r="J295" s="4" t="s">
        <v>12</v>
      </c>
    </row>
    <row r="296" spans="1:10" x14ac:dyDescent="0.25">
      <c r="A296" s="2">
        <v>3484.10104500648</v>
      </c>
      <c r="B296" s="3">
        <v>2.9006204684836101</v>
      </c>
      <c r="C296" s="5">
        <v>3.53701820539298E-56</v>
      </c>
      <c r="D296" s="6">
        <v>1.13414632537154E-54</v>
      </c>
      <c r="E296" s="3" t="s">
        <v>1246</v>
      </c>
      <c r="F296" s="3" t="s">
        <v>1247</v>
      </c>
      <c r="G296" s="3">
        <v>20971</v>
      </c>
      <c r="H296" s="7" t="str">
        <f>HYPERLINK("http://www.ensembl.org/Mus_musculus/Gene/Summary?db=core;g=ENSMUSG00000017009","ENSMUSG00000017009")</f>
        <v>ENSMUSG00000017009</v>
      </c>
      <c r="I296" s="7" t="str">
        <f>HYPERLINK("http://www.informatics.jax.org/marker/MGI:1349164","MGI:1349164")</f>
        <v>MGI:1349164</v>
      </c>
      <c r="J296" s="4" t="s">
        <v>12</v>
      </c>
    </row>
    <row r="297" spans="1:10" x14ac:dyDescent="0.25">
      <c r="A297" s="2">
        <v>12.4696173675623</v>
      </c>
      <c r="B297" s="3">
        <v>2.8881598278626002</v>
      </c>
      <c r="C297" s="5">
        <v>1.59704305951747E-12</v>
      </c>
      <c r="D297" s="6">
        <v>1.0571899675624201E-11</v>
      </c>
      <c r="E297" s="3" t="s">
        <v>5975</v>
      </c>
      <c r="F297" s="3" t="s">
        <v>5976</v>
      </c>
      <c r="G297" s="3">
        <v>12124</v>
      </c>
      <c r="H297" s="7" t="str">
        <f>HYPERLINK("http://www.ensembl.org/Mus_musculus/Gene/Summary?db=core;g=ENSMUSG00000016758","ENSMUSG00000016758")</f>
        <v>ENSMUSG00000016758</v>
      </c>
      <c r="I297" s="7" t="str">
        <f>HYPERLINK("http://www.informatics.jax.org/marker/MGI:1206591","MGI:1206591")</f>
        <v>MGI:1206591</v>
      </c>
      <c r="J297" s="4" t="s">
        <v>12</v>
      </c>
    </row>
    <row r="298" spans="1:10" x14ac:dyDescent="0.25">
      <c r="A298" s="2">
        <v>3.2118617446148701</v>
      </c>
      <c r="B298" s="3">
        <v>2.88478145404904</v>
      </c>
      <c r="C298" s="5">
        <v>3.2535614147331002E-10</v>
      </c>
      <c r="D298" s="6">
        <v>1.8149994653051399E-9</v>
      </c>
      <c r="E298" s="3" t="s">
        <v>7088</v>
      </c>
      <c r="F298" s="3" t="s">
        <v>7089</v>
      </c>
      <c r="G298" s="3">
        <v>19771</v>
      </c>
      <c r="H298" s="7" t="str">
        <f>HYPERLINK("http://www.ensembl.org/Mus_musculus/Gene/Summary?db=core;g=ENSMUSG00000039194","ENSMUSG00000039194")</f>
        <v>ENSMUSG00000039194</v>
      </c>
      <c r="I298" s="7" t="str">
        <f>HYPERLINK("http://www.informatics.jax.org/marker/MGI:97930","MGI:97930")</f>
        <v>MGI:97930</v>
      </c>
      <c r="J298" s="4" t="s">
        <v>12</v>
      </c>
    </row>
    <row r="299" spans="1:10" x14ac:dyDescent="0.25">
      <c r="A299" s="2">
        <v>14.8785757789452</v>
      </c>
      <c r="B299" s="3">
        <v>2.8839963270122202</v>
      </c>
      <c r="C299" s="5">
        <v>7.0806538665514703E-19</v>
      </c>
      <c r="D299" s="6">
        <v>6.6808848922676998E-18</v>
      </c>
      <c r="E299" s="3" t="s">
        <v>4197</v>
      </c>
      <c r="F299" s="3" t="s">
        <v>4198</v>
      </c>
      <c r="G299" s="3">
        <v>18208</v>
      </c>
      <c r="H299" s="7" t="str">
        <f>HYPERLINK("http://www.ensembl.org/Mus_musculus/Gene/Summary?db=core;g=ENSMUSG00000020902","ENSMUSG00000020902")</f>
        <v>ENSMUSG00000020902</v>
      </c>
      <c r="I299" s="7" t="str">
        <f>HYPERLINK("http://www.informatics.jax.org/marker/MGI:105088","MGI:105088")</f>
        <v>MGI:105088</v>
      </c>
      <c r="J299" s="4" t="s">
        <v>12</v>
      </c>
    </row>
    <row r="300" spans="1:10" x14ac:dyDescent="0.25">
      <c r="A300" s="2">
        <v>28.598763899308999</v>
      </c>
      <c r="B300" s="3">
        <v>2.8767434432379</v>
      </c>
      <c r="C300" s="5">
        <v>2.4588774501381501E-18</v>
      </c>
      <c r="D300" s="6">
        <v>2.2605623923880799E-17</v>
      </c>
      <c r="E300" s="3" t="s">
        <v>4307</v>
      </c>
      <c r="F300" s="3" t="s">
        <v>4308</v>
      </c>
      <c r="G300" s="3">
        <v>15451</v>
      </c>
      <c r="H300" s="7" t="str">
        <f>HYPERLINK("http://www.ensembl.org/Mus_musculus/Gene/Summary?db=core;g=ENSMUSG00000001249","ENSMUSG00000001249")</f>
        <v>ENSMUSG00000001249</v>
      </c>
      <c r="I300" s="7" t="str">
        <f>HYPERLINK("http://www.informatics.jax.org/marker/MGI:1196620","MGI:1196620")</f>
        <v>MGI:1196620</v>
      </c>
      <c r="J300" s="4" t="s">
        <v>12</v>
      </c>
    </row>
    <row r="301" spans="1:10" x14ac:dyDescent="0.25">
      <c r="A301" s="2">
        <v>26.495635116426801</v>
      </c>
      <c r="B301" s="3">
        <v>2.8756397392898299</v>
      </c>
      <c r="C301" s="5">
        <v>3.2885797793144701E-21</v>
      </c>
      <c r="D301" s="6">
        <v>3.4258210907597199E-20</v>
      </c>
      <c r="E301" s="3" t="s">
        <v>3804</v>
      </c>
      <c r="F301" s="3" t="s">
        <v>3805</v>
      </c>
      <c r="G301" s="3">
        <v>11864</v>
      </c>
      <c r="H301" s="7" t="str">
        <f>HYPERLINK("http://www.ensembl.org/Mus_musculus/Gene/Summary?db=core;g=ENSMUSG00000015709","ENSMUSG00000015709")</f>
        <v>ENSMUSG00000015709</v>
      </c>
      <c r="I301" s="7" t="str">
        <f>HYPERLINK("http://www.informatics.jax.org/marker/MGI:107188","MGI:107188")</f>
        <v>MGI:107188</v>
      </c>
      <c r="J301" s="4" t="s">
        <v>12</v>
      </c>
    </row>
    <row r="302" spans="1:10" x14ac:dyDescent="0.25">
      <c r="A302" s="2">
        <v>30.428802817030601</v>
      </c>
      <c r="B302" s="3">
        <v>2.8701189929522299</v>
      </c>
      <c r="C302" s="5">
        <v>3.80974564912029E-27</v>
      </c>
      <c r="D302" s="6">
        <v>5.0354010858345897E-26</v>
      </c>
      <c r="E302" s="3" t="s">
        <v>3002</v>
      </c>
      <c r="F302" s="3" t="s">
        <v>3003</v>
      </c>
      <c r="G302" s="3">
        <v>327957</v>
      </c>
      <c r="H302" s="7" t="str">
        <f>HYPERLINK("http://www.ensembl.org/Mus_musculus/Gene/Summary?db=core;g=ENSMUSG00000057135","ENSMUSG00000057135")</f>
        <v>ENSMUSG00000057135</v>
      </c>
      <c r="I302" s="7" t="str">
        <f>HYPERLINK("http://www.informatics.jax.org/marker/MGI:3610314","MGI:3610314")</f>
        <v>MGI:3610314</v>
      </c>
      <c r="J302" s="4" t="s">
        <v>12</v>
      </c>
    </row>
    <row r="303" spans="1:10" x14ac:dyDescent="0.25">
      <c r="A303" s="2">
        <v>166.66117866839801</v>
      </c>
      <c r="B303" s="3">
        <v>2.8697347846330201</v>
      </c>
      <c r="C303" s="5">
        <v>3.9771637940655099E-44</v>
      </c>
      <c r="D303" s="6">
        <v>9.0985696077693694E-43</v>
      </c>
      <c r="E303" s="3" t="s">
        <v>1740</v>
      </c>
      <c r="F303" s="3" t="s">
        <v>1741</v>
      </c>
      <c r="G303" s="3">
        <v>434484</v>
      </c>
      <c r="H303" s="7" t="str">
        <f>HYPERLINK("http://www.ensembl.org/Mus_musculus/Gene/Summary?db=core;g=ENSMUSG00000070031","ENSMUSG00000070031")</f>
        <v>ENSMUSG00000070031</v>
      </c>
      <c r="I303" s="7" t="str">
        <f>HYPERLINK("http://www.informatics.jax.org/marker/MGI:3702467","MGI:3702467")</f>
        <v>MGI:3702467</v>
      </c>
      <c r="J303" s="4" t="s">
        <v>12</v>
      </c>
    </row>
    <row r="304" spans="1:10" x14ac:dyDescent="0.25">
      <c r="A304" s="2">
        <v>1085.2283618082199</v>
      </c>
      <c r="B304" s="3">
        <v>2.8608959087486499</v>
      </c>
      <c r="C304" s="5">
        <v>5.1604906244167902E-184</v>
      </c>
      <c r="D304" s="6">
        <v>1.7248283917542199E-181</v>
      </c>
      <c r="E304" s="3" t="s">
        <v>128</v>
      </c>
      <c r="F304" s="3" t="s">
        <v>129</v>
      </c>
      <c r="G304" s="3">
        <v>76089</v>
      </c>
      <c r="H304" s="7" t="str">
        <f>HYPERLINK("http://www.ensembl.org/Mus_musculus/Gene/Summary?db=core;g=ENSMUSG00000062232","ENSMUSG00000062232")</f>
        <v>ENSMUSG00000062232</v>
      </c>
      <c r="I304" s="7" t="str">
        <f>HYPERLINK("http://www.informatics.jax.org/marker/MGI:2659071","MGI:2659071")</f>
        <v>MGI:2659071</v>
      </c>
      <c r="J304" s="4" t="s">
        <v>12</v>
      </c>
    </row>
    <row r="305" spans="1:10" x14ac:dyDescent="0.25">
      <c r="A305" s="2">
        <v>4.96058272285656</v>
      </c>
      <c r="B305" s="3">
        <v>2.8589247373966802</v>
      </c>
      <c r="C305" s="5">
        <v>2.50448238715756E-10</v>
      </c>
      <c r="D305" s="6">
        <v>1.41029105296251E-9</v>
      </c>
      <c r="E305" s="3" t="s">
        <v>7022</v>
      </c>
      <c r="F305" s="3" t="s">
        <v>7023</v>
      </c>
      <c r="G305" s="3">
        <v>228765</v>
      </c>
      <c r="H305" s="7" t="str">
        <f>HYPERLINK("http://www.ensembl.org/Mus_musculus/Gene/Summary?db=core;g=ENSMUSG00000027456","ENSMUSG00000027456")</f>
        <v>ENSMUSG00000027456</v>
      </c>
      <c r="I305" s="7" t="str">
        <f>HYPERLINK("http://www.informatics.jax.org/marker/MGI:2385156","MGI:2385156")</f>
        <v>MGI:2385156</v>
      </c>
      <c r="J305" s="4" t="s">
        <v>12</v>
      </c>
    </row>
    <row r="306" spans="1:10" x14ac:dyDescent="0.25">
      <c r="A306" s="2">
        <v>2845.58961428059</v>
      </c>
      <c r="B306" s="3">
        <v>2.8582964933690098</v>
      </c>
      <c r="C306" s="5">
        <v>3.1238102764123703E-278</v>
      </c>
      <c r="D306" s="6">
        <v>2.80006993867509E-275</v>
      </c>
      <c r="E306" s="3" t="s">
        <v>53</v>
      </c>
      <c r="F306" s="3" t="s">
        <v>54</v>
      </c>
      <c r="G306" s="3">
        <v>226691</v>
      </c>
      <c r="H306" s="7" t="str">
        <f>HYPERLINK("http://www.ensembl.org/Mus_musculus/Gene/Summary?db=core;g=ENSMUSG00000073490","ENSMUSG00000073490")</f>
        <v>ENSMUSG00000073490</v>
      </c>
      <c r="I306" s="7" t="str">
        <f>HYPERLINK("http://www.informatics.jax.org/marker/MGI:2138302","MGI:2138302")</f>
        <v>MGI:2138302</v>
      </c>
      <c r="J306" s="4" t="s">
        <v>12</v>
      </c>
    </row>
    <row r="307" spans="1:10" x14ac:dyDescent="0.25">
      <c r="A307" s="2">
        <v>24.701128013420501</v>
      </c>
      <c r="B307" s="3">
        <v>2.8282731906069798</v>
      </c>
      <c r="C307" s="5">
        <v>1.61025607079075E-25</v>
      </c>
      <c r="D307" s="6">
        <v>2.0059538670874101E-24</v>
      </c>
      <c r="E307" s="3" t="s">
        <v>3185</v>
      </c>
      <c r="F307" s="3" t="s">
        <v>3186</v>
      </c>
      <c r="G307" s="3" t="s">
        <v>83</v>
      </c>
      <c r="H307" s="7" t="str">
        <f>HYPERLINK("http://www.ensembl.org/Mus_musculus/Gene/Summary?db=core;g=ENSMUSG00000096957","ENSMUSG00000096957")</f>
        <v>ENSMUSG00000096957</v>
      </c>
      <c r="I307" s="7" t="str">
        <f>HYPERLINK("http://www.informatics.jax.org/marker/MGI:2142601","MGI:2142601")</f>
        <v>MGI:2142601</v>
      </c>
      <c r="J307" s="4" t="s">
        <v>3187</v>
      </c>
    </row>
    <row r="308" spans="1:10" x14ac:dyDescent="0.25">
      <c r="A308" s="2">
        <v>4.4165159210399896</v>
      </c>
      <c r="B308" s="3">
        <v>2.8255838003118199</v>
      </c>
      <c r="C308" s="5">
        <v>1.7385293101364699E-9</v>
      </c>
      <c r="D308" s="6">
        <v>9.1447847415020495E-9</v>
      </c>
      <c r="E308" s="3" t="s">
        <v>7516</v>
      </c>
      <c r="F308" s="3" t="s">
        <v>7517</v>
      </c>
      <c r="G308" s="3" t="s">
        <v>83</v>
      </c>
      <c r="H308" s="7" t="str">
        <f>HYPERLINK("http://www.ensembl.org/Mus_musculus/Gene/Summary?db=core;g=ENSMUSG00000029409","ENSMUSG00000029409")</f>
        <v>ENSMUSG00000029409</v>
      </c>
      <c r="I308" s="7" t="str">
        <f>HYPERLINK("http://www.informatics.jax.org/marker/MGI:1930915","MGI:1930915")</f>
        <v>MGI:1930915</v>
      </c>
      <c r="J308" s="4" t="s">
        <v>331</v>
      </c>
    </row>
    <row r="309" spans="1:10" x14ac:dyDescent="0.25">
      <c r="A309" s="2">
        <v>4.2616558701408396</v>
      </c>
      <c r="B309" s="3">
        <v>2.8218063923061099</v>
      </c>
      <c r="C309" s="5">
        <v>3.04621568748309E-10</v>
      </c>
      <c r="D309" s="6">
        <v>1.7027033264503001E-9</v>
      </c>
      <c r="E309" s="3" t="s">
        <v>7074</v>
      </c>
      <c r="F309" s="3" t="s">
        <v>7075</v>
      </c>
      <c r="G309" s="3" t="s">
        <v>83</v>
      </c>
      <c r="H309" s="7" t="str">
        <f>HYPERLINK("http://www.ensembl.org/Mus_musculus/Gene/Summary?db=core;g=ENSMUSG00000118342","ENSMUSG00000118342")</f>
        <v>ENSMUSG00000118342</v>
      </c>
      <c r="I309" s="7" t="str">
        <f>HYPERLINK("http://www.informatics.jax.org/marker/MGI:6303075","MGI:6303075")</f>
        <v>MGI:6303075</v>
      </c>
      <c r="J309" s="4" t="s">
        <v>939</v>
      </c>
    </row>
    <row r="310" spans="1:10" x14ac:dyDescent="0.25">
      <c r="A310" s="2">
        <v>2.9312458073939198</v>
      </c>
      <c r="B310" s="3">
        <v>2.80638797051598</v>
      </c>
      <c r="C310" s="5">
        <v>1.80725949451444E-9</v>
      </c>
      <c r="D310" s="6">
        <v>9.4961783191646003E-9</v>
      </c>
      <c r="E310" s="3" t="s">
        <v>7524</v>
      </c>
      <c r="F310" s="3" t="s">
        <v>7525</v>
      </c>
      <c r="G310" s="3">
        <v>110168</v>
      </c>
      <c r="H310" s="7" t="str">
        <f>HYPERLINK("http://www.ensembl.org/Mus_musculus/Gene/Summary?db=core;g=ENSMUSG00000050350","ENSMUSG00000050350")</f>
        <v>ENSMUSG00000050350</v>
      </c>
      <c r="I310" s="7" t="str">
        <f>HYPERLINK("http://www.informatics.jax.org/marker/MGI:107859","MGI:107859")</f>
        <v>MGI:107859</v>
      </c>
      <c r="J310" s="4" t="s">
        <v>12</v>
      </c>
    </row>
    <row r="311" spans="1:10" x14ac:dyDescent="0.25">
      <c r="A311" s="2">
        <v>64.575045957887596</v>
      </c>
      <c r="B311" s="3">
        <v>2.7985169188794599</v>
      </c>
      <c r="C311" s="5">
        <v>4.8772557120212501E-24</v>
      </c>
      <c r="D311" s="6">
        <v>5.7352106524185503E-23</v>
      </c>
      <c r="E311" s="3" t="s">
        <v>3346</v>
      </c>
      <c r="F311" s="3" t="s">
        <v>3347</v>
      </c>
      <c r="G311" s="3">
        <v>677884</v>
      </c>
      <c r="H311" s="7" t="str">
        <f>HYPERLINK("http://www.ensembl.org/Mus_musculus/Gene/Summary?db=core;g=ENSMUSG00000038729","ENSMUSG00000038729")</f>
        <v>ENSMUSG00000038729</v>
      </c>
      <c r="I311" s="7" t="str">
        <f>HYPERLINK("http://www.informatics.jax.org/marker/MGI:5141924","MGI:5141924")</f>
        <v>MGI:5141924</v>
      </c>
      <c r="J311" s="4" t="s">
        <v>12</v>
      </c>
    </row>
    <row r="312" spans="1:10" x14ac:dyDescent="0.25">
      <c r="A312" s="2">
        <v>64.431682460666806</v>
      </c>
      <c r="B312" s="3">
        <v>2.7984016563532301</v>
      </c>
      <c r="C312" s="5">
        <v>3.5705015653503303E-24</v>
      </c>
      <c r="D312" s="6">
        <v>4.2339321027485499E-23</v>
      </c>
      <c r="E312" s="3" t="s">
        <v>3346</v>
      </c>
      <c r="F312" s="3" t="s">
        <v>3347</v>
      </c>
      <c r="G312" s="3">
        <v>677884</v>
      </c>
      <c r="H312" s="7" t="str">
        <f>HYPERLINK("http://www.ensembl.org/Mus_musculus/Gene/Summary?db=core;g=ENSMUSG00000089945","ENSMUSG00000089945")</f>
        <v>ENSMUSG00000089945</v>
      </c>
      <c r="I312" s="7" t="str">
        <f>HYPERLINK("http://www.informatics.jax.org/marker/MGI:5141924","MGI:5141924")</f>
        <v>MGI:5141924</v>
      </c>
      <c r="J312" s="4" t="s">
        <v>12</v>
      </c>
    </row>
    <row r="313" spans="1:10" x14ac:dyDescent="0.25">
      <c r="A313" s="2">
        <v>2.8838942568917099</v>
      </c>
      <c r="B313" s="3">
        <v>2.7929813830884398</v>
      </c>
      <c r="C313" s="5">
        <v>1.4185690385281399E-9</v>
      </c>
      <c r="D313" s="6">
        <v>7.5078318410560901E-9</v>
      </c>
      <c r="E313" s="3" t="s">
        <v>7470</v>
      </c>
      <c r="F313" s="3" t="s">
        <v>7471</v>
      </c>
      <c r="G313" s="3" t="s">
        <v>83</v>
      </c>
      <c r="H313" s="7" t="str">
        <f>HYPERLINK("http://www.ensembl.org/Mus_musculus/Gene/Summary?db=core;g=ENSMUSG00000106227","ENSMUSG00000106227")</f>
        <v>ENSMUSG00000106227</v>
      </c>
      <c r="I313" s="7" t="str">
        <f>HYPERLINK("http://www.informatics.jax.org/marker/MGI:5663601","MGI:5663601")</f>
        <v>MGI:5663601</v>
      </c>
      <c r="J313" s="4" t="s">
        <v>939</v>
      </c>
    </row>
    <row r="314" spans="1:10" x14ac:dyDescent="0.25">
      <c r="A314" s="2">
        <v>5.6073907941893104</v>
      </c>
      <c r="B314" s="3">
        <v>2.7880794287756201</v>
      </c>
      <c r="C314" s="5">
        <v>1.44037666413258E-10</v>
      </c>
      <c r="D314" s="6">
        <v>8.2811159815436002E-10</v>
      </c>
      <c r="E314" s="3" t="s">
        <v>6878</v>
      </c>
      <c r="F314" s="3" t="s">
        <v>6879</v>
      </c>
      <c r="G314" s="3">
        <v>12503</v>
      </c>
      <c r="H314" s="7" t="str">
        <f>HYPERLINK("http://www.ensembl.org/Mus_musculus/Gene/Summary?db=core;g=ENSMUSG00000005763","ENSMUSG00000005763")</f>
        <v>ENSMUSG00000005763</v>
      </c>
      <c r="I314" s="7" t="str">
        <f>HYPERLINK("http://www.informatics.jax.org/marker/MGI:88334","MGI:88334")</f>
        <v>MGI:88334</v>
      </c>
      <c r="J314" s="4" t="s">
        <v>12</v>
      </c>
    </row>
    <row r="315" spans="1:10" x14ac:dyDescent="0.25">
      <c r="A315" s="2">
        <v>16456.8371422532</v>
      </c>
      <c r="B315" s="3">
        <v>2.7848604304002902</v>
      </c>
      <c r="C315" s="5">
        <v>1.1128345768121201E-208</v>
      </c>
      <c r="D315" s="6">
        <v>4.5718953864031102E-206</v>
      </c>
      <c r="E315" s="3" t="s">
        <v>106</v>
      </c>
      <c r="F315" s="3" t="s">
        <v>107</v>
      </c>
      <c r="G315" s="3">
        <v>13058</v>
      </c>
      <c r="H315" s="7" t="str">
        <f>HYPERLINK("http://www.ensembl.org/Mus_musculus/Gene/Summary?db=core;g=ENSMUSG00000015340","ENSMUSG00000015340")</f>
        <v>ENSMUSG00000015340</v>
      </c>
      <c r="I315" s="7" t="str">
        <f>HYPERLINK("http://www.informatics.jax.org/marker/MGI:88574","MGI:88574")</f>
        <v>MGI:88574</v>
      </c>
      <c r="J315" s="4" t="s">
        <v>12</v>
      </c>
    </row>
    <row r="316" spans="1:10" x14ac:dyDescent="0.25">
      <c r="A316" s="2">
        <v>5.4801163813847698</v>
      </c>
      <c r="B316" s="3">
        <v>2.7842737812727099</v>
      </c>
      <c r="C316" s="5">
        <v>1.1821100685741799E-10</v>
      </c>
      <c r="D316" s="6">
        <v>6.8401439413975505E-10</v>
      </c>
      <c r="E316" s="3" t="s">
        <v>6834</v>
      </c>
      <c r="F316" s="3" t="s">
        <v>6835</v>
      </c>
      <c r="G316" s="3">
        <v>66643</v>
      </c>
      <c r="H316" s="7" t="str">
        <f>HYPERLINK("http://www.ensembl.org/Mus_musculus/Gene/Summary?db=core;g=ENSMUSG00000047786","ENSMUSG00000047786")</f>
        <v>ENSMUSG00000047786</v>
      </c>
      <c r="I316" s="7" t="str">
        <f>HYPERLINK("http://www.informatics.jax.org/marker/MGI:1913893","MGI:1913893")</f>
        <v>MGI:1913893</v>
      </c>
      <c r="J316" s="4" t="s">
        <v>12</v>
      </c>
    </row>
    <row r="317" spans="1:10" x14ac:dyDescent="0.25">
      <c r="A317" s="2">
        <v>3.0096818701144699</v>
      </c>
      <c r="B317" s="3">
        <v>2.7779630531838899</v>
      </c>
      <c r="C317" s="5">
        <v>2.4918279308827098E-9</v>
      </c>
      <c r="D317" s="6">
        <v>1.29326801274926E-8</v>
      </c>
      <c r="E317" s="3" t="s">
        <v>7618</v>
      </c>
      <c r="F317" s="3" t="s">
        <v>7619</v>
      </c>
      <c r="G317" s="3">
        <v>623781</v>
      </c>
      <c r="H317" s="7" t="str">
        <f>HYPERLINK("http://www.ensembl.org/Mus_musculus/Gene/Summary?db=core;g=ENSMUSG00000055926","ENSMUSG00000055926")</f>
        <v>ENSMUSG00000055926</v>
      </c>
      <c r="I317" s="7" t="str">
        <f>HYPERLINK("http://www.informatics.jax.org/marker/MGI:3651144","MGI:3651144")</f>
        <v>MGI:3651144</v>
      </c>
      <c r="J317" s="4" t="s">
        <v>12</v>
      </c>
    </row>
    <row r="318" spans="1:10" x14ac:dyDescent="0.25">
      <c r="A318" s="2">
        <v>44.121210407768302</v>
      </c>
      <c r="B318" s="3">
        <v>2.7750379036955701</v>
      </c>
      <c r="C318" s="5">
        <v>4.41405924423757E-29</v>
      </c>
      <c r="D318" s="6">
        <v>6.29849842954883E-28</v>
      </c>
      <c r="E318" s="3" t="s">
        <v>2782</v>
      </c>
      <c r="F318" s="3" t="s">
        <v>2783</v>
      </c>
      <c r="G318" s="3" t="s">
        <v>83</v>
      </c>
      <c r="H318" s="7" t="str">
        <f>HYPERLINK("http://www.ensembl.org/Mus_musculus/Gene/Summary?db=core;g=ENSMUSG00000109036","ENSMUSG00000109036")</f>
        <v>ENSMUSG00000109036</v>
      </c>
      <c r="I318" s="7" t="str">
        <f>HYPERLINK("http://www.informatics.jax.org/marker/MGI:1917383","MGI:1917383")</f>
        <v>MGI:1917383</v>
      </c>
      <c r="J318" s="4" t="s">
        <v>1828</v>
      </c>
    </row>
    <row r="319" spans="1:10" x14ac:dyDescent="0.25">
      <c r="A319" s="2">
        <v>3334.1606791437598</v>
      </c>
      <c r="B319" s="3">
        <v>2.77305996757448</v>
      </c>
      <c r="C319" s="5">
        <v>4.6864162715163803E-46</v>
      </c>
      <c r="D319" s="6">
        <v>1.1327053838187399E-44</v>
      </c>
      <c r="E319" s="3" t="s">
        <v>1646</v>
      </c>
      <c r="F319" s="3" t="s">
        <v>1647</v>
      </c>
      <c r="G319" s="3">
        <v>15894</v>
      </c>
      <c r="H319" s="7" t="str">
        <f>HYPERLINK("http://www.ensembl.org/Mus_musculus/Gene/Summary?db=core;g=ENSMUSG00000037405","ENSMUSG00000037405")</f>
        <v>ENSMUSG00000037405</v>
      </c>
      <c r="I319" s="7" t="str">
        <f>HYPERLINK("http://www.informatics.jax.org/marker/MGI:96392","MGI:96392")</f>
        <v>MGI:96392</v>
      </c>
      <c r="J319" s="4" t="s">
        <v>12</v>
      </c>
    </row>
    <row r="320" spans="1:10" x14ac:dyDescent="0.25">
      <c r="A320" s="2">
        <v>2160.8713255217499</v>
      </c>
      <c r="B320" s="3">
        <v>2.7690119242744502</v>
      </c>
      <c r="C320" s="5">
        <v>1.8169888219860001E-76</v>
      </c>
      <c r="D320" s="6">
        <v>9.6840593431253906E-75</v>
      </c>
      <c r="E320" s="3" t="s">
        <v>752</v>
      </c>
      <c r="F320" s="3" t="s">
        <v>753</v>
      </c>
      <c r="G320" s="3">
        <v>80719</v>
      </c>
      <c r="H320" s="7" t="str">
        <f>HYPERLINK("http://www.ensembl.org/Mus_musculus/Gene/Summary?db=core;g=ENSMUSG00000035004","ENSMUSG00000035004")</f>
        <v>ENSMUSG00000035004</v>
      </c>
      <c r="I320" s="7" t="str">
        <f>HYPERLINK("http://www.informatics.jax.org/marker/MGI:1891393","MGI:1891393")</f>
        <v>MGI:1891393</v>
      </c>
      <c r="J320" s="4" t="s">
        <v>12</v>
      </c>
    </row>
    <row r="321" spans="1:10" x14ac:dyDescent="0.25">
      <c r="A321" s="2">
        <v>623.91290692930795</v>
      </c>
      <c r="B321" s="3">
        <v>2.7502176062034001</v>
      </c>
      <c r="C321" s="5">
        <v>1.7859247461655399E-95</v>
      </c>
      <c r="D321" s="6">
        <v>1.3190425466061601E-93</v>
      </c>
      <c r="E321" s="3" t="s">
        <v>546</v>
      </c>
      <c r="F321" s="3" t="s">
        <v>547</v>
      </c>
      <c r="G321" s="3">
        <v>67916</v>
      </c>
      <c r="H321" s="7" t="str">
        <f>HYPERLINK("http://www.ensembl.org/Mus_musculus/Gene/Summary?db=core;g=ENSMUSG00000028517","ENSMUSG00000028517")</f>
        <v>ENSMUSG00000028517</v>
      </c>
      <c r="I321" s="7" t="str">
        <f>HYPERLINK("http://www.informatics.jax.org/marker/MGI:1915166","MGI:1915166")</f>
        <v>MGI:1915166</v>
      </c>
      <c r="J321" s="4" t="s">
        <v>12</v>
      </c>
    </row>
    <row r="322" spans="1:10" x14ac:dyDescent="0.25">
      <c r="A322" s="2">
        <v>2.1415303609798402</v>
      </c>
      <c r="B322" s="3">
        <v>2.7474230064709801</v>
      </c>
      <c r="C322" s="5">
        <v>3.6957379227182401E-9</v>
      </c>
      <c r="D322" s="6">
        <v>1.89446196610355E-8</v>
      </c>
      <c r="E322" s="3" t="s">
        <v>7710</v>
      </c>
      <c r="F322" s="3" t="s">
        <v>7711</v>
      </c>
      <c r="G322" s="3" t="s">
        <v>83</v>
      </c>
      <c r="H322" s="7" t="str">
        <f>HYPERLINK("http://www.ensembl.org/Mus_musculus/Gene/Summary?db=core;g=ENSMUSG00000097804","ENSMUSG00000097804")</f>
        <v>ENSMUSG00000097804</v>
      </c>
      <c r="I322" s="7" t="str">
        <f>HYPERLINK("http://www.informatics.jax.org/marker/MGI:4439609","MGI:4439609")</f>
        <v>MGI:4439609</v>
      </c>
      <c r="J322" s="4" t="s">
        <v>932</v>
      </c>
    </row>
    <row r="323" spans="1:10" x14ac:dyDescent="0.25">
      <c r="A323" s="2">
        <v>8.9242457659699603</v>
      </c>
      <c r="B323" s="3">
        <v>2.74097221670855</v>
      </c>
      <c r="C323" s="5">
        <v>3.5117915791530299E-12</v>
      </c>
      <c r="D323" s="6">
        <v>2.28330134984826E-11</v>
      </c>
      <c r="E323" s="3" t="s">
        <v>6083</v>
      </c>
      <c r="F323" s="3" t="s">
        <v>6084</v>
      </c>
      <c r="G323" s="3" t="s">
        <v>83</v>
      </c>
      <c r="H323" s="7" t="str">
        <f>HYPERLINK("http://www.ensembl.org/Mus_musculus/Gene/Summary?db=core;g=ENSMUSG00000085196","ENSMUSG00000085196")</f>
        <v>ENSMUSG00000085196</v>
      </c>
      <c r="I323" s="7" t="str">
        <f>HYPERLINK("http://www.informatics.jax.org/marker/MGI:3705162","MGI:3705162")</f>
        <v>MGI:3705162</v>
      </c>
      <c r="J323" s="4" t="s">
        <v>939</v>
      </c>
    </row>
    <row r="324" spans="1:10" x14ac:dyDescent="0.25">
      <c r="A324" s="2">
        <v>1478.58265715576</v>
      </c>
      <c r="B324" s="3">
        <v>2.7370827374937998</v>
      </c>
      <c r="C324" s="5">
        <v>2.99383100149887E-148</v>
      </c>
      <c r="D324" s="6">
        <v>5.6767641682267002E-146</v>
      </c>
      <c r="E324" s="3" t="s">
        <v>218</v>
      </c>
      <c r="F324" s="3" t="s">
        <v>219</v>
      </c>
      <c r="G324" s="3">
        <v>56489</v>
      </c>
      <c r="H324" s="7" t="str">
        <f>HYPERLINK("http://www.ensembl.org/Mus_musculus/Gene/Summary?db=core;g=ENSMUSG00000042349","ENSMUSG00000042349")</f>
        <v>ENSMUSG00000042349</v>
      </c>
      <c r="I324" s="7" t="str">
        <f>HYPERLINK("http://www.informatics.jax.org/marker/MGI:1929612","MGI:1929612")</f>
        <v>MGI:1929612</v>
      </c>
      <c r="J324" s="4" t="s">
        <v>12</v>
      </c>
    </row>
    <row r="325" spans="1:10" x14ac:dyDescent="0.25">
      <c r="A325" s="2">
        <v>1252.9131463215799</v>
      </c>
      <c r="B325" s="3">
        <v>2.7366719323333299</v>
      </c>
      <c r="C325" s="5">
        <v>8.1804445707213695E-87</v>
      </c>
      <c r="D325" s="6">
        <v>5.3594141838745997E-85</v>
      </c>
      <c r="E325" s="3" t="s">
        <v>614</v>
      </c>
      <c r="F325" s="3" t="s">
        <v>615</v>
      </c>
      <c r="G325" s="3">
        <v>231712</v>
      </c>
      <c r="H325" s="7" t="str">
        <f>HYPERLINK("http://www.ensembl.org/Mus_musculus/Gene/Summary?db=core;g=ENSMUSG00000042726","ENSMUSG00000042726")</f>
        <v>ENSMUSG00000042726</v>
      </c>
      <c r="I325" s="7" t="str">
        <f>HYPERLINK("http://www.informatics.jax.org/marker/MGI:1923551","MGI:1923551")</f>
        <v>MGI:1923551</v>
      </c>
      <c r="J325" s="4" t="s">
        <v>12</v>
      </c>
    </row>
    <row r="326" spans="1:10" x14ac:dyDescent="0.25">
      <c r="A326" s="2">
        <v>3.3198608427229699</v>
      </c>
      <c r="B326" s="3">
        <v>2.72527791169402</v>
      </c>
      <c r="C326" s="5">
        <v>4.2571427189159403E-9</v>
      </c>
      <c r="D326" s="6">
        <v>2.1754561911640899E-8</v>
      </c>
      <c r="E326" s="3" t="s">
        <v>7734</v>
      </c>
      <c r="F326" s="3" t="s">
        <v>7735</v>
      </c>
      <c r="G326" s="3">
        <v>93746</v>
      </c>
      <c r="H326" s="7" t="str">
        <f>HYPERLINK("http://www.ensembl.org/Mus_musculus/Gene/Summary?db=core;g=ENSMUSG00000030205","ENSMUSG00000030205")</f>
        <v>ENSMUSG00000030205</v>
      </c>
      <c r="I326" s="7" t="str">
        <f>HYPERLINK("http://www.informatics.jax.org/marker/MGI:1935037","MGI:1935037")</f>
        <v>MGI:1935037</v>
      </c>
      <c r="J326" s="4" t="s">
        <v>12</v>
      </c>
    </row>
    <row r="327" spans="1:10" x14ac:dyDescent="0.25">
      <c r="A327" s="2">
        <v>110.124656990961</v>
      </c>
      <c r="B327" s="3">
        <v>2.7226077824727799</v>
      </c>
      <c r="C327" s="5">
        <v>3.3962077862518199E-44</v>
      </c>
      <c r="D327" s="6">
        <v>7.7785386230994102E-43</v>
      </c>
      <c r="E327" s="3" t="s">
        <v>1738</v>
      </c>
      <c r="F327" s="3" t="s">
        <v>1739</v>
      </c>
      <c r="G327" s="3">
        <v>74735</v>
      </c>
      <c r="H327" s="7" t="str">
        <f>HYPERLINK("http://www.ensembl.org/Mus_musculus/Gene/Summary?db=core;g=ENSMUSG00000039853","ENSMUSG00000039853")</f>
        <v>ENSMUSG00000039853</v>
      </c>
      <c r="I327" s="7" t="str">
        <f>HYPERLINK("http://www.informatics.jax.org/marker/MGI:1921985","MGI:1921985")</f>
        <v>MGI:1921985</v>
      </c>
      <c r="J327" s="4" t="s">
        <v>12</v>
      </c>
    </row>
    <row r="328" spans="1:10" x14ac:dyDescent="0.25">
      <c r="A328" s="2">
        <v>494.09588108773403</v>
      </c>
      <c r="B328" s="3">
        <v>2.71912531170701</v>
      </c>
      <c r="C328" s="5">
        <v>1.1933390466541899E-89</v>
      </c>
      <c r="D328" s="6">
        <v>8.1427840830521397E-88</v>
      </c>
      <c r="E328" s="3" t="s">
        <v>590</v>
      </c>
      <c r="F328" s="3" t="s">
        <v>591</v>
      </c>
      <c r="G328" s="3">
        <v>70110</v>
      </c>
      <c r="H328" s="7" t="str">
        <f>HYPERLINK("http://www.ensembl.org/Mus_musculus/Gene/Summary?db=core;g=ENSMUSG00000010358","ENSMUSG00000010358")</f>
        <v>ENSMUSG00000010358</v>
      </c>
      <c r="I328" s="7" t="str">
        <f>HYPERLINK("http://www.informatics.jax.org/marker/MGI:1917360","MGI:1917360")</f>
        <v>MGI:1917360</v>
      </c>
      <c r="J328" s="4" t="s">
        <v>12</v>
      </c>
    </row>
    <row r="329" spans="1:10" x14ac:dyDescent="0.25">
      <c r="A329" s="2">
        <v>439.24448179612398</v>
      </c>
      <c r="B329" s="3">
        <v>2.7131307042276802</v>
      </c>
      <c r="C329" s="5">
        <v>3.1978185435494401E-33</v>
      </c>
      <c r="D329" s="6">
        <v>5.1902042533987697E-32</v>
      </c>
      <c r="E329" s="3" t="s">
        <v>2447</v>
      </c>
      <c r="F329" s="3" t="s">
        <v>2448</v>
      </c>
      <c r="G329" s="3">
        <v>12702</v>
      </c>
      <c r="H329" s="7" t="str">
        <f>HYPERLINK("http://www.ensembl.org/Mus_musculus/Gene/Summary?db=core;g=ENSMUSG00000053113","ENSMUSG00000053113")</f>
        <v>ENSMUSG00000053113</v>
      </c>
      <c r="I329" s="7" t="str">
        <f>HYPERLINK("http://www.informatics.jax.org/marker/MGI:1201791","MGI:1201791")</f>
        <v>MGI:1201791</v>
      </c>
      <c r="J329" s="4" t="s">
        <v>12</v>
      </c>
    </row>
    <row r="330" spans="1:10" x14ac:dyDescent="0.25">
      <c r="A330" s="2">
        <v>6.6800436114598396</v>
      </c>
      <c r="B330" s="3">
        <v>2.7115266310419601</v>
      </c>
      <c r="C330" s="5">
        <v>2.7950228168215301E-11</v>
      </c>
      <c r="D330" s="6">
        <v>1.6959338445452499E-10</v>
      </c>
      <c r="E330" s="3" t="s">
        <v>6517</v>
      </c>
      <c r="F330" s="3" t="s">
        <v>6518</v>
      </c>
      <c r="G330" s="3" t="s">
        <v>83</v>
      </c>
      <c r="H330" s="7" t="str">
        <f>HYPERLINK("http://www.ensembl.org/Mus_musculus/Gene/Summary?db=core;g=ENSMUSG00000086184","ENSMUSG00000086184")</f>
        <v>ENSMUSG00000086184</v>
      </c>
      <c r="I330" s="7" t="str">
        <f>HYPERLINK("http://www.informatics.jax.org/marker/MGI:3649980","MGI:3649980")</f>
        <v>MGI:3649980</v>
      </c>
      <c r="J330" s="4" t="s">
        <v>932</v>
      </c>
    </row>
    <row r="331" spans="1:10" x14ac:dyDescent="0.25">
      <c r="A331" s="2">
        <v>531.30606159121896</v>
      </c>
      <c r="B331" s="3">
        <v>2.71065968700412</v>
      </c>
      <c r="C331" s="5">
        <v>5.2983140713348399E-157</v>
      </c>
      <c r="D331" s="6">
        <v>1.21491573821771E-154</v>
      </c>
      <c r="E331" s="3" t="s">
        <v>182</v>
      </c>
      <c r="F331" s="3" t="s">
        <v>183</v>
      </c>
      <c r="G331" s="3">
        <v>16391</v>
      </c>
      <c r="H331" s="7" t="str">
        <f>HYPERLINK("http://www.ensembl.org/Mus_musculus/Gene/Summary?db=core;g=ENSMUSG00000002325","ENSMUSG00000002325")</f>
        <v>ENSMUSG00000002325</v>
      </c>
      <c r="I331" s="7" t="str">
        <f>HYPERLINK("http://www.informatics.jax.org/marker/MGI:107587","MGI:107587")</f>
        <v>MGI:107587</v>
      </c>
      <c r="J331" s="4" t="s">
        <v>12</v>
      </c>
    </row>
    <row r="332" spans="1:10" x14ac:dyDescent="0.25">
      <c r="A332" s="2">
        <v>2327.7121561567801</v>
      </c>
      <c r="B332" s="3">
        <v>2.7101618841586199</v>
      </c>
      <c r="C332" s="5">
        <v>5.7427216079214901E-114</v>
      </c>
      <c r="D332" s="6">
        <v>5.9603405320111504E-112</v>
      </c>
      <c r="E332" s="3" t="s">
        <v>392</v>
      </c>
      <c r="F332" s="3" t="s">
        <v>393</v>
      </c>
      <c r="G332" s="3">
        <v>18035</v>
      </c>
      <c r="H332" s="7" t="str">
        <f>HYPERLINK("http://www.ensembl.org/Mus_musculus/Gene/Summary?db=core;g=ENSMUSG00000021025","ENSMUSG00000021025")</f>
        <v>ENSMUSG00000021025</v>
      </c>
      <c r="I332" s="7" t="str">
        <f>HYPERLINK("http://www.informatics.jax.org/marker/MGI:104741","MGI:104741")</f>
        <v>MGI:104741</v>
      </c>
      <c r="J332" s="4" t="s">
        <v>12</v>
      </c>
    </row>
    <row r="333" spans="1:10" x14ac:dyDescent="0.25">
      <c r="A333" s="2">
        <v>3.4875460047905902</v>
      </c>
      <c r="B333" s="3">
        <v>2.7090980401581799</v>
      </c>
      <c r="C333" s="5">
        <v>7.5095255918825707E-9</v>
      </c>
      <c r="D333" s="6">
        <v>3.7623944276403502E-8</v>
      </c>
      <c r="E333" s="3" t="s">
        <v>7888</v>
      </c>
      <c r="F333" s="3" t="s">
        <v>7889</v>
      </c>
      <c r="G333" s="3">
        <v>330122</v>
      </c>
      <c r="H333" s="7" t="str">
        <f>HYPERLINK("http://www.ensembl.org/Mus_musculus/Gene/Summary?db=core;g=ENSMUSG00000029379","ENSMUSG00000029379")</f>
        <v>ENSMUSG00000029379</v>
      </c>
      <c r="I333" s="7" t="str">
        <f>HYPERLINK("http://www.informatics.jax.org/marker/MGI:3037818","MGI:3037818")</f>
        <v>MGI:3037818</v>
      </c>
      <c r="J333" s="4" t="s">
        <v>12</v>
      </c>
    </row>
    <row r="334" spans="1:10" x14ac:dyDescent="0.25">
      <c r="A334" s="2">
        <v>5.7610638638961396</v>
      </c>
      <c r="B334" s="3">
        <v>2.7026445769123599</v>
      </c>
      <c r="C334" s="5">
        <v>6.2479671479832096E-10</v>
      </c>
      <c r="D334" s="6">
        <v>3.39983201319616E-9</v>
      </c>
      <c r="E334" s="3" t="s">
        <v>7266</v>
      </c>
      <c r="F334" s="3" t="s">
        <v>7267</v>
      </c>
      <c r="G334" s="3">
        <v>68172</v>
      </c>
      <c r="H334" s="7" t="str">
        <f>HYPERLINK("http://www.ensembl.org/Mus_musculus/Gene/Summary?db=core;g=ENSMUSG00000039209","ENSMUSG00000039209")</f>
        <v>ENSMUSG00000039209</v>
      </c>
      <c r="I334" s="7" t="str">
        <f>HYPERLINK("http://www.informatics.jax.org/marker/MGI:1915422","MGI:1915422")</f>
        <v>MGI:1915422</v>
      </c>
      <c r="J334" s="4" t="s">
        <v>12</v>
      </c>
    </row>
    <row r="335" spans="1:10" x14ac:dyDescent="0.25">
      <c r="A335" s="2">
        <v>2.74226893622596</v>
      </c>
      <c r="B335" s="3">
        <v>2.70148433525666</v>
      </c>
      <c r="C335" s="5">
        <v>6.41474883117664E-9</v>
      </c>
      <c r="D335" s="6">
        <v>3.2303696967902297E-8</v>
      </c>
      <c r="E335" s="3" t="s">
        <v>7848</v>
      </c>
      <c r="F335" s="3" t="s">
        <v>7849</v>
      </c>
      <c r="G335" s="3" t="s">
        <v>83</v>
      </c>
      <c r="H335" s="7" t="str">
        <f>HYPERLINK("http://www.ensembl.org/Mus_musculus/Gene/Summary?db=core;g=ENSMUSG00000092284","ENSMUSG00000092284")</f>
        <v>ENSMUSG00000092284</v>
      </c>
      <c r="I335" s="7" t="str">
        <f>HYPERLINK("http://www.informatics.jax.org/marker/MGI:3779813","MGI:3779813")</f>
        <v>MGI:3779813</v>
      </c>
      <c r="J335" s="4" t="s">
        <v>2683</v>
      </c>
    </row>
    <row r="336" spans="1:10" x14ac:dyDescent="0.25">
      <c r="A336" s="2">
        <v>3649.9110505500098</v>
      </c>
      <c r="B336" s="3">
        <v>2.6957957556271901</v>
      </c>
      <c r="C336" s="3">
        <v>0</v>
      </c>
      <c r="D336" s="4">
        <v>0</v>
      </c>
      <c r="E336" s="3" t="s">
        <v>17</v>
      </c>
      <c r="F336" s="3" t="s">
        <v>18</v>
      </c>
      <c r="G336" s="3">
        <v>18174</v>
      </c>
      <c r="H336" s="7" t="str">
        <f>HYPERLINK("http://www.ensembl.org/Mus_musculus/Gene/Summary?db=core;g=ENSMUSG00000023030","ENSMUSG00000023030")</f>
        <v>ENSMUSG00000023030</v>
      </c>
      <c r="I336" s="7" t="str">
        <f>HYPERLINK("http://www.informatics.jax.org/marker/MGI:1345279","MGI:1345279")</f>
        <v>MGI:1345279</v>
      </c>
      <c r="J336" s="4" t="s">
        <v>12</v>
      </c>
    </row>
    <row r="337" spans="1:10" x14ac:dyDescent="0.25">
      <c r="A337" s="2">
        <v>3711.44728871096</v>
      </c>
      <c r="B337" s="3">
        <v>2.6876493460253199</v>
      </c>
      <c r="C337" s="5">
        <v>8.4391032570202202E-34</v>
      </c>
      <c r="D337" s="6">
        <v>1.4008343116871899E-32</v>
      </c>
      <c r="E337" s="3" t="s">
        <v>2393</v>
      </c>
      <c r="F337" s="3" t="s">
        <v>2394</v>
      </c>
      <c r="G337" s="3">
        <v>12475</v>
      </c>
      <c r="H337" s="7" t="str">
        <f>HYPERLINK("http://www.ensembl.org/Mus_musculus/Gene/Summary?db=core;g=ENSMUSG00000051439","ENSMUSG00000051439")</f>
        <v>ENSMUSG00000051439</v>
      </c>
      <c r="I337" s="7" t="str">
        <f>HYPERLINK("http://www.informatics.jax.org/marker/MGI:88318","MGI:88318")</f>
        <v>MGI:88318</v>
      </c>
      <c r="J337" s="4" t="s">
        <v>12</v>
      </c>
    </row>
    <row r="338" spans="1:10" x14ac:dyDescent="0.25">
      <c r="A338" s="2">
        <v>17.291952244982099</v>
      </c>
      <c r="B338" s="3">
        <v>2.6793548311319402</v>
      </c>
      <c r="C338" s="5">
        <v>5.9581594674960102E-17</v>
      </c>
      <c r="D338" s="6">
        <v>5.04920088951531E-16</v>
      </c>
      <c r="E338" s="3" t="s">
        <v>4671</v>
      </c>
      <c r="F338" s="3" t="s">
        <v>4672</v>
      </c>
      <c r="G338" s="3">
        <v>14066</v>
      </c>
      <c r="H338" s="7" t="str">
        <f>HYPERLINK("http://www.ensembl.org/Mus_musculus/Gene/Summary?db=core;g=ENSMUSG00000028128","ENSMUSG00000028128")</f>
        <v>ENSMUSG00000028128</v>
      </c>
      <c r="I338" s="7" t="str">
        <f>HYPERLINK("http://www.informatics.jax.org/marker/MGI:88381","MGI:88381")</f>
        <v>MGI:88381</v>
      </c>
      <c r="J338" s="4" t="s">
        <v>12</v>
      </c>
    </row>
    <row r="339" spans="1:10" x14ac:dyDescent="0.25">
      <c r="A339" s="2">
        <v>996.85767167179995</v>
      </c>
      <c r="B339" s="3">
        <v>2.6687359848364198</v>
      </c>
      <c r="C339" s="5">
        <v>7.4065848802392199E-82</v>
      </c>
      <c r="D339" s="6">
        <v>4.4666010348109303E-80</v>
      </c>
      <c r="E339" s="3" t="s">
        <v>666</v>
      </c>
      <c r="F339" s="3" t="s">
        <v>667</v>
      </c>
      <c r="G339" s="3">
        <v>56791</v>
      </c>
      <c r="H339" s="7" t="str">
        <f>HYPERLINK("http://www.ensembl.org/Mus_musculus/Gene/Summary?db=core;g=ENSMUSG00000027078","ENSMUSG00000027078")</f>
        <v>ENSMUSG00000027078</v>
      </c>
      <c r="I339" s="7" t="str">
        <f>HYPERLINK("http://www.informatics.jax.org/marker/MGI:1914500","MGI:1914500")</f>
        <v>MGI:1914500</v>
      </c>
      <c r="J339" s="4" t="s">
        <v>12</v>
      </c>
    </row>
    <row r="340" spans="1:10" x14ac:dyDescent="0.25">
      <c r="A340" s="2">
        <v>11.0599296145003</v>
      </c>
      <c r="B340" s="3">
        <v>2.6666354456036299</v>
      </c>
      <c r="C340" s="5">
        <v>1.2650009422385299E-13</v>
      </c>
      <c r="D340" s="6">
        <v>8.9636430402241401E-13</v>
      </c>
      <c r="E340" s="3" t="s">
        <v>5583</v>
      </c>
      <c r="F340" s="3" t="s">
        <v>5584</v>
      </c>
      <c r="G340" s="3">
        <v>15486</v>
      </c>
      <c r="H340" s="7" t="str">
        <f>HYPERLINK("http://www.ensembl.org/Mus_musculus/Gene/Summary?db=core;g=ENSMUSG00000031844","ENSMUSG00000031844")</f>
        <v>ENSMUSG00000031844</v>
      </c>
      <c r="I340" s="7" t="str">
        <f>HYPERLINK("http://www.informatics.jax.org/marker/MGI:1096386","MGI:1096386")</f>
        <v>MGI:1096386</v>
      </c>
      <c r="J340" s="4" t="s">
        <v>12</v>
      </c>
    </row>
    <row r="341" spans="1:10" x14ac:dyDescent="0.25">
      <c r="A341" s="2">
        <v>1387.67712125602</v>
      </c>
      <c r="B341" s="3">
        <v>2.66003038254701</v>
      </c>
      <c r="C341" s="5">
        <v>2.21887273938997E-280</v>
      </c>
      <c r="D341" s="6">
        <v>2.0836271628938201E-277</v>
      </c>
      <c r="E341" s="3" t="s">
        <v>51</v>
      </c>
      <c r="F341" s="3" t="s">
        <v>52</v>
      </c>
      <c r="G341" s="3">
        <v>244871</v>
      </c>
      <c r="H341" s="7" t="str">
        <f>HYPERLINK("http://www.ensembl.org/Mus_musculus/Gene/Summary?db=core;g=ENSMUSG00000035164","ENSMUSG00000035164")</f>
        <v>ENSMUSG00000035164</v>
      </c>
      <c r="I341" s="7" t="str">
        <f>HYPERLINK("http://www.informatics.jax.org/marker/MGI:3026959","MGI:3026959")</f>
        <v>MGI:3026959</v>
      </c>
      <c r="J341" s="4" t="s">
        <v>12</v>
      </c>
    </row>
    <row r="342" spans="1:10" x14ac:dyDescent="0.25">
      <c r="A342" s="2">
        <v>340.284799306813</v>
      </c>
      <c r="B342" s="3">
        <v>2.6581110196978401</v>
      </c>
      <c r="C342" s="5">
        <v>5.2990770550200099E-104</v>
      </c>
      <c r="D342" s="6">
        <v>4.5832368212716901E-102</v>
      </c>
      <c r="E342" s="3" t="s">
        <v>468</v>
      </c>
      <c r="F342" s="3" t="s">
        <v>469</v>
      </c>
      <c r="G342" s="3">
        <v>12609</v>
      </c>
      <c r="H342" s="7" t="str">
        <f>HYPERLINK("http://www.ensembl.org/Mus_musculus/Gene/Summary?db=core;g=ENSMUSG00000071637","ENSMUSG00000071637")</f>
        <v>ENSMUSG00000071637</v>
      </c>
      <c r="I342" s="7" t="str">
        <f>HYPERLINK("http://www.informatics.jax.org/marker/MGI:103573","MGI:103573")</f>
        <v>MGI:103573</v>
      </c>
      <c r="J342" s="4" t="s">
        <v>12</v>
      </c>
    </row>
    <row r="343" spans="1:10" x14ac:dyDescent="0.25">
      <c r="A343" s="2">
        <v>4.4180209666586503</v>
      </c>
      <c r="B343" s="3">
        <v>2.6572789639162799</v>
      </c>
      <c r="C343" s="5">
        <v>2.3838773693527199E-9</v>
      </c>
      <c r="D343" s="6">
        <v>1.2397168176064301E-8</v>
      </c>
      <c r="E343" s="3" t="s">
        <v>7602</v>
      </c>
      <c r="F343" s="3" t="s">
        <v>7603</v>
      </c>
      <c r="G343" s="3" t="s">
        <v>83</v>
      </c>
      <c r="H343" s="7" t="str">
        <f>HYPERLINK("http://www.ensembl.org/Mus_musculus/Gene/Summary?db=core;g=ENSMUSG00000081000","ENSMUSG00000081000")</f>
        <v>ENSMUSG00000081000</v>
      </c>
      <c r="I343" s="7" t="str">
        <f>HYPERLINK("http://www.informatics.jax.org/marker/MGI:3649950","MGI:3649950")</f>
        <v>MGI:3649950</v>
      </c>
      <c r="J343" s="4" t="s">
        <v>1043</v>
      </c>
    </row>
    <row r="344" spans="1:10" x14ac:dyDescent="0.25">
      <c r="A344" s="2">
        <v>44.842824386338101</v>
      </c>
      <c r="B344" s="3">
        <v>2.6462454793457599</v>
      </c>
      <c r="C344" s="5">
        <v>2.7029692128248399E-24</v>
      </c>
      <c r="D344" s="6">
        <v>3.2187531930498702E-23</v>
      </c>
      <c r="E344" s="3" t="s">
        <v>3332</v>
      </c>
      <c r="F344" s="3" t="s">
        <v>3333</v>
      </c>
      <c r="G344" s="3">
        <v>628705</v>
      </c>
      <c r="H344" s="7" t="str">
        <f>HYPERLINK("http://www.ensembl.org/Mus_musculus/Gene/Summary?db=core;g=ENSMUSG00000091144","ENSMUSG00000091144")</f>
        <v>ENSMUSG00000091144</v>
      </c>
      <c r="I344" s="7" t="str">
        <f>HYPERLINK("http://www.informatics.jax.org/marker/MGI:3648476","MGI:3648476")</f>
        <v>MGI:3648476</v>
      </c>
      <c r="J344" s="4" t="s">
        <v>12</v>
      </c>
    </row>
    <row r="345" spans="1:10" x14ac:dyDescent="0.25">
      <c r="A345" s="2">
        <v>1325.9726337017801</v>
      </c>
      <c r="B345" s="3">
        <v>2.6412811310373998</v>
      </c>
      <c r="C345" s="5">
        <v>5.4316293672167602E-46</v>
      </c>
      <c r="D345" s="6">
        <v>1.30943436578869E-44</v>
      </c>
      <c r="E345" s="3" t="s">
        <v>1652</v>
      </c>
      <c r="F345" s="3" t="s">
        <v>1653</v>
      </c>
      <c r="G345" s="3">
        <v>21354</v>
      </c>
      <c r="H345" s="7" t="str">
        <f>HYPERLINK("http://www.ensembl.org/Mus_musculus/Gene/Summary?db=core;g=ENSMUSG00000037321","ENSMUSG00000037321")</f>
        <v>ENSMUSG00000037321</v>
      </c>
      <c r="I345" s="7" t="str">
        <f>HYPERLINK("http://www.informatics.jax.org/marker/MGI:98483","MGI:98483")</f>
        <v>MGI:98483</v>
      </c>
      <c r="J345" s="4" t="s">
        <v>12</v>
      </c>
    </row>
    <row r="346" spans="1:10" x14ac:dyDescent="0.25">
      <c r="A346" s="2">
        <v>6.19170873499196</v>
      </c>
      <c r="B346" s="3">
        <v>2.6409822662637401</v>
      </c>
      <c r="C346" s="5">
        <v>1.05208591892235E-9</v>
      </c>
      <c r="D346" s="6">
        <v>5.6362766425288804E-9</v>
      </c>
      <c r="E346" s="3" t="s">
        <v>7380</v>
      </c>
      <c r="F346" s="3" t="s">
        <v>7381</v>
      </c>
      <c r="G346" s="3">
        <v>319165</v>
      </c>
      <c r="H346" s="7" t="str">
        <f>HYPERLINK("http://www.ensembl.org/Mus_musculus/Gene/Summary?db=core;g=ENSMUSG00000071478","ENSMUSG00000071478")</f>
        <v>ENSMUSG00000071478</v>
      </c>
      <c r="I346" s="7" t="str">
        <f>HYPERLINK("http://www.informatics.jax.org/marker/MGI:2448289","MGI:2448289")</f>
        <v>MGI:2448289</v>
      </c>
      <c r="J346" s="4" t="s">
        <v>12</v>
      </c>
    </row>
    <row r="347" spans="1:10" x14ac:dyDescent="0.25">
      <c r="A347" s="2">
        <v>7.4320683053980101</v>
      </c>
      <c r="B347" s="3">
        <v>2.6394479326298601</v>
      </c>
      <c r="C347" s="5">
        <v>2.5458816409196201E-10</v>
      </c>
      <c r="D347" s="6">
        <v>1.4323762042492101E-9</v>
      </c>
      <c r="E347" s="3" t="s">
        <v>7028</v>
      </c>
      <c r="F347" s="3" t="s">
        <v>7029</v>
      </c>
      <c r="G347" s="3">
        <v>11828</v>
      </c>
      <c r="H347" s="7" t="str">
        <f>HYPERLINK("http://www.ensembl.org/Mus_musculus/Gene/Summary?db=core;g=ENSMUSG00000028435","ENSMUSG00000028435")</f>
        <v>ENSMUSG00000028435</v>
      </c>
      <c r="I347" s="7" t="str">
        <f>HYPERLINK("http://www.informatics.jax.org/marker/MGI:1333777","MGI:1333777")</f>
        <v>MGI:1333777</v>
      </c>
      <c r="J347" s="4" t="s">
        <v>12</v>
      </c>
    </row>
    <row r="348" spans="1:10" x14ac:dyDescent="0.25">
      <c r="A348" s="2">
        <v>3.2148507828374102</v>
      </c>
      <c r="B348" s="3">
        <v>2.63701169530332</v>
      </c>
      <c r="C348" s="5">
        <v>1.8289250373113999E-8</v>
      </c>
      <c r="D348" s="6">
        <v>8.8549967433785406E-8</v>
      </c>
      <c r="E348" s="3" t="s">
        <v>8163</v>
      </c>
      <c r="F348" s="3" t="s">
        <v>8164</v>
      </c>
      <c r="G348" s="3">
        <v>17329</v>
      </c>
      <c r="H348" s="7" t="str">
        <f>HYPERLINK("http://www.ensembl.org/Mus_musculus/Gene/Summary?db=core;g=ENSMUSG00000029417","ENSMUSG00000029417")</f>
        <v>ENSMUSG00000029417</v>
      </c>
      <c r="I348" s="7" t="str">
        <f>HYPERLINK("http://www.informatics.jax.org/marker/MGI:1352449","MGI:1352449")</f>
        <v>MGI:1352449</v>
      </c>
      <c r="J348" s="4" t="s">
        <v>12</v>
      </c>
    </row>
    <row r="349" spans="1:10" x14ac:dyDescent="0.25">
      <c r="A349" s="2">
        <v>342.16200207191798</v>
      </c>
      <c r="B349" s="3">
        <v>2.6365372270115</v>
      </c>
      <c r="C349" s="5">
        <v>5.2971525463417601E-106</v>
      </c>
      <c r="D349" s="6">
        <v>4.7053985681918703E-104</v>
      </c>
      <c r="E349" s="3" t="s">
        <v>456</v>
      </c>
      <c r="F349" s="3" t="s">
        <v>457</v>
      </c>
      <c r="G349" s="3" t="s">
        <v>83</v>
      </c>
      <c r="H349" s="7" t="str">
        <f>HYPERLINK("http://www.ensembl.org/Mus_musculus/Gene/Summary?db=core;g=ENSMUSG00000072621","ENSMUSG00000072621")</f>
        <v>ENSMUSG00000072621</v>
      </c>
      <c r="I349" s="7" t="str">
        <f>HYPERLINK("http://www.informatics.jax.org/marker/MGI:3512288","MGI:3512288")</f>
        <v>MGI:3512288</v>
      </c>
      <c r="J349" s="4" t="s">
        <v>320</v>
      </c>
    </row>
    <row r="350" spans="1:10" x14ac:dyDescent="0.25">
      <c r="A350" s="2">
        <v>135.382878917554</v>
      </c>
      <c r="B350" s="3">
        <v>2.6337373626171199</v>
      </c>
      <c r="C350" s="5">
        <v>1.0565233637082401E-42</v>
      </c>
      <c r="D350" s="6">
        <v>2.32011589446843E-41</v>
      </c>
      <c r="E350" s="3" t="s">
        <v>1812</v>
      </c>
      <c r="F350" s="3" t="s">
        <v>1813</v>
      </c>
      <c r="G350" s="3" t="s">
        <v>83</v>
      </c>
      <c r="H350" s="7" t="str">
        <f>HYPERLINK("http://www.ensembl.org/Mus_musculus/Gene/Summary?db=core;g=ENSMUSG00000100838","ENSMUSG00000100838")</f>
        <v>ENSMUSG00000100838</v>
      </c>
      <c r="I350" s="7" t="str">
        <f>HYPERLINK("http://www.informatics.jax.org/marker/MGI:5579800","MGI:5579800")</f>
        <v>MGI:5579800</v>
      </c>
      <c r="J350" s="4" t="s">
        <v>12</v>
      </c>
    </row>
    <row r="351" spans="1:10" x14ac:dyDescent="0.25">
      <c r="A351" s="2">
        <v>2.63014183075633</v>
      </c>
      <c r="B351" s="3">
        <v>2.63296518384045</v>
      </c>
      <c r="C351" s="5">
        <v>1.2579606371677301E-8</v>
      </c>
      <c r="D351" s="6">
        <v>6.1893672068232395E-8</v>
      </c>
      <c r="E351" s="3" t="s">
        <v>8033</v>
      </c>
      <c r="F351" s="3" t="s">
        <v>8034</v>
      </c>
      <c r="G351" s="3">
        <v>20299</v>
      </c>
      <c r="H351" s="7" t="str">
        <f>HYPERLINK("http://www.ensembl.org/Mus_musculus/Gene/Summary?db=core;g=ENSMUSG00000031779","ENSMUSG00000031779")</f>
        <v>ENSMUSG00000031779</v>
      </c>
      <c r="I351" s="7" t="str">
        <f>HYPERLINK("http://www.informatics.jax.org/marker/MGI:1306779","MGI:1306779")</f>
        <v>MGI:1306779</v>
      </c>
      <c r="J351" s="4" t="s">
        <v>12</v>
      </c>
    </row>
    <row r="352" spans="1:10" x14ac:dyDescent="0.25">
      <c r="A352" s="2">
        <v>95.1107021125421</v>
      </c>
      <c r="B352" s="3">
        <v>2.6252977743999999</v>
      </c>
      <c r="C352" s="5">
        <v>1.0817856385329499E-40</v>
      </c>
      <c r="D352" s="6">
        <v>2.2455592412494501E-39</v>
      </c>
      <c r="E352" s="3" t="s">
        <v>1917</v>
      </c>
      <c r="F352" s="3" t="s">
        <v>1918</v>
      </c>
      <c r="G352" s="3">
        <v>69581</v>
      </c>
      <c r="H352" s="7" t="str">
        <f>HYPERLINK("http://www.ensembl.org/Mus_musculus/Gene/Summary?db=core;g=ENSMUSG00000039960","ENSMUSG00000039960")</f>
        <v>ENSMUSG00000039960</v>
      </c>
      <c r="I352" s="7" t="str">
        <f>HYPERLINK("http://www.informatics.jax.org/marker/MGI:1916831","MGI:1916831")</f>
        <v>MGI:1916831</v>
      </c>
      <c r="J352" s="4" t="s">
        <v>12</v>
      </c>
    </row>
    <row r="353" spans="1:10" x14ac:dyDescent="0.25">
      <c r="A353" s="2">
        <v>3.1515225934154598</v>
      </c>
      <c r="B353" s="3">
        <v>2.62150662437696</v>
      </c>
      <c r="C353" s="5">
        <v>1.0446269302562E-8</v>
      </c>
      <c r="D353" s="6">
        <v>5.17459006899077E-8</v>
      </c>
      <c r="E353" s="3" t="s">
        <v>7979</v>
      </c>
      <c r="F353" s="3" t="s">
        <v>7980</v>
      </c>
      <c r="G353" s="3">
        <v>70948</v>
      </c>
      <c r="H353" s="7" t="str">
        <f>HYPERLINK("http://www.ensembl.org/Mus_musculus/Gene/Summary?db=core;g=ENSMUSG00000035560","ENSMUSG00000035560")</f>
        <v>ENSMUSG00000035560</v>
      </c>
      <c r="I353" s="7" t="str">
        <f>HYPERLINK("http://www.informatics.jax.org/marker/MGI:1918198","MGI:1918198")</f>
        <v>MGI:1918198</v>
      </c>
      <c r="J353" s="4" t="s">
        <v>12</v>
      </c>
    </row>
    <row r="354" spans="1:10" x14ac:dyDescent="0.25">
      <c r="A354" s="2">
        <v>588.85787992374696</v>
      </c>
      <c r="B354" s="3">
        <v>2.6201343200265699</v>
      </c>
      <c r="C354" s="5">
        <v>3.6462044787787901E-22</v>
      </c>
      <c r="D354" s="6">
        <v>3.9879729518312701E-21</v>
      </c>
      <c r="E354" s="3" t="s">
        <v>3624</v>
      </c>
      <c r="F354" s="3" t="s">
        <v>3625</v>
      </c>
      <c r="G354" s="3">
        <v>54153</v>
      </c>
      <c r="H354" s="7" t="str">
        <f>HYPERLINK("http://www.ensembl.org/Mus_musculus/Gene/Summary?db=core;g=ENSMUSG00000004952","ENSMUSG00000004952")</f>
        <v>ENSMUSG00000004952</v>
      </c>
      <c r="I354" s="7" t="str">
        <f>HYPERLINK("http://www.informatics.jax.org/marker/MGI:1858600","MGI:1858600")</f>
        <v>MGI:1858600</v>
      </c>
      <c r="J354" s="4" t="s">
        <v>12</v>
      </c>
    </row>
    <row r="355" spans="1:10" x14ac:dyDescent="0.25">
      <c r="A355" s="2">
        <v>3.0232916496427902</v>
      </c>
      <c r="B355" s="3">
        <v>2.6174549751883398</v>
      </c>
      <c r="C355" s="5">
        <v>1.3285178033777201E-8</v>
      </c>
      <c r="D355" s="6">
        <v>6.5105295930936098E-8</v>
      </c>
      <c r="E355" s="3" t="s">
        <v>8065</v>
      </c>
      <c r="F355" s="3" t="s">
        <v>8066</v>
      </c>
      <c r="G355" s="3" t="s">
        <v>83</v>
      </c>
      <c r="H355" s="7" t="str">
        <f>HYPERLINK("http://www.ensembl.org/Mus_musculus/Gene/Summary?db=core;g=ENSMUSG00000103114","ENSMUSG00000103114")</f>
        <v>ENSMUSG00000103114</v>
      </c>
      <c r="I355" s="7" t="str">
        <f>HYPERLINK("http://www.informatics.jax.org/marker/MGI:5591359","MGI:5591359")</f>
        <v>MGI:5591359</v>
      </c>
      <c r="J355" s="4" t="s">
        <v>939</v>
      </c>
    </row>
    <row r="356" spans="1:10" x14ac:dyDescent="0.25">
      <c r="A356" s="2">
        <v>1005.5549271377801</v>
      </c>
      <c r="B356" s="3">
        <v>2.6121172817732998</v>
      </c>
      <c r="C356" s="5">
        <v>7.0348168691028897E-76</v>
      </c>
      <c r="D356" s="6">
        <v>3.6797503622999697E-74</v>
      </c>
      <c r="E356" s="3" t="s">
        <v>766</v>
      </c>
      <c r="F356" s="3" t="s">
        <v>767</v>
      </c>
      <c r="G356" s="3">
        <v>12575</v>
      </c>
      <c r="H356" s="7" t="str">
        <f>HYPERLINK("http://www.ensembl.org/Mus_musculus/Gene/Summary?db=core;g=ENSMUSG00000023067","ENSMUSG00000023067")</f>
        <v>ENSMUSG00000023067</v>
      </c>
      <c r="I356" s="7" t="str">
        <f>HYPERLINK("http://www.informatics.jax.org/marker/MGI:104556","MGI:104556")</f>
        <v>MGI:104556</v>
      </c>
      <c r="J356" s="4" t="s">
        <v>12</v>
      </c>
    </row>
    <row r="357" spans="1:10" x14ac:dyDescent="0.25">
      <c r="A357" s="2">
        <v>2501.7363589249699</v>
      </c>
      <c r="B357" s="3">
        <v>2.5890674283254902</v>
      </c>
      <c r="C357" s="5">
        <v>3.7351862174737701E-142</v>
      </c>
      <c r="D357" s="6">
        <v>6.46121686040199E-140</v>
      </c>
      <c r="E357" s="3" t="s">
        <v>238</v>
      </c>
      <c r="F357" s="3" t="s">
        <v>239</v>
      </c>
      <c r="G357" s="3">
        <v>57783</v>
      </c>
      <c r="H357" s="7" t="str">
        <f>HYPERLINK("http://www.ensembl.org/Mus_musculus/Gene/Summary?db=core;g=ENSMUSG00000020400","ENSMUSG00000020400")</f>
        <v>ENSMUSG00000020400</v>
      </c>
      <c r="I357" s="7" t="str">
        <f>HYPERLINK("http://www.informatics.jax.org/marker/MGI:1926194","MGI:1926194")</f>
        <v>MGI:1926194</v>
      </c>
      <c r="J357" s="4" t="s">
        <v>12</v>
      </c>
    </row>
    <row r="358" spans="1:10" x14ac:dyDescent="0.25">
      <c r="A358" s="2">
        <v>8.7662699111859297</v>
      </c>
      <c r="B358" s="3">
        <v>2.5827308336599102</v>
      </c>
      <c r="C358" s="5">
        <v>4.4201053865795498E-11</v>
      </c>
      <c r="D358" s="6">
        <v>2.6413478249499602E-10</v>
      </c>
      <c r="E358" s="3" t="s">
        <v>6617</v>
      </c>
      <c r="F358" s="3" t="s">
        <v>6618</v>
      </c>
      <c r="G358" s="3">
        <v>110751</v>
      </c>
      <c r="H358" s="7" t="str">
        <f>HYPERLINK("http://www.ensembl.org/Mus_musculus/Gene/Summary?db=core;g=ENSMUSG00000027318","ENSMUSG00000027318")</f>
        <v>ENSMUSG00000027318</v>
      </c>
      <c r="I358" s="7" t="str">
        <f>HYPERLINK("http://www.informatics.jax.org/marker/MGI:1341813","MGI:1341813")</f>
        <v>MGI:1341813</v>
      </c>
      <c r="J358" s="4" t="s">
        <v>12</v>
      </c>
    </row>
    <row r="359" spans="1:10" x14ac:dyDescent="0.25">
      <c r="A359" s="2">
        <v>1465.82414587825</v>
      </c>
      <c r="B359" s="3">
        <v>2.5747588821639802</v>
      </c>
      <c r="C359" s="5">
        <v>1.5083893004652599E-35</v>
      </c>
      <c r="D359" s="6">
        <v>2.66297555999776E-34</v>
      </c>
      <c r="E359" s="3" t="s">
        <v>2251</v>
      </c>
      <c r="F359" s="3" t="s">
        <v>2252</v>
      </c>
      <c r="G359" s="3">
        <v>18591</v>
      </c>
      <c r="H359" s="7" t="str">
        <f>HYPERLINK("http://www.ensembl.org/Mus_musculus/Gene/Summary?db=core;g=ENSMUSG00000000489","ENSMUSG00000000489")</f>
        <v>ENSMUSG00000000489</v>
      </c>
      <c r="I359" s="7" t="str">
        <f>HYPERLINK("http://www.informatics.jax.org/marker/MGI:97528","MGI:97528")</f>
        <v>MGI:97528</v>
      </c>
      <c r="J359" s="4" t="s">
        <v>12</v>
      </c>
    </row>
    <row r="360" spans="1:10" x14ac:dyDescent="0.25">
      <c r="A360" s="2">
        <v>356.80047396047701</v>
      </c>
      <c r="B360" s="3">
        <v>2.5738962181151201</v>
      </c>
      <c r="C360" s="5">
        <v>1.20837919524636E-86</v>
      </c>
      <c r="D360" s="6">
        <v>7.8904760696219402E-85</v>
      </c>
      <c r="E360" s="3" t="s">
        <v>616</v>
      </c>
      <c r="F360" s="3" t="s">
        <v>617</v>
      </c>
      <c r="G360" s="3">
        <v>18413</v>
      </c>
      <c r="H360" s="7" t="str">
        <f>HYPERLINK("http://www.ensembl.org/Mus_musculus/Gene/Summary?db=core;g=ENSMUSG00000058755","ENSMUSG00000058755")</f>
        <v>ENSMUSG00000058755</v>
      </c>
      <c r="I360" s="7" t="str">
        <f>HYPERLINK("http://www.informatics.jax.org/marker/MGI:104749","MGI:104749")</f>
        <v>MGI:104749</v>
      </c>
      <c r="J360" s="4" t="s">
        <v>12</v>
      </c>
    </row>
    <row r="361" spans="1:10" x14ac:dyDescent="0.25">
      <c r="A361" s="2">
        <v>2.3847694093115499</v>
      </c>
      <c r="B361" s="3">
        <v>2.5733903186867302</v>
      </c>
      <c r="C361" s="5">
        <v>3.6862841149527801E-8</v>
      </c>
      <c r="D361" s="6">
        <v>1.7328610905093901E-7</v>
      </c>
      <c r="E361" s="3" t="s">
        <v>8407</v>
      </c>
      <c r="F361" s="3" t="s">
        <v>8408</v>
      </c>
      <c r="G361" s="3">
        <v>21822</v>
      </c>
      <c r="H361" s="7" t="str">
        <f>HYPERLINK("http://www.ensembl.org/Mus_musculus/Gene/Summary?db=core;g=ENSMUSG00000078922","ENSMUSG00000078922")</f>
        <v>ENSMUSG00000078922</v>
      </c>
      <c r="I361" s="7" t="str">
        <f>HYPERLINK("http://www.informatics.jax.org/marker/MGI:98734","MGI:98734")</f>
        <v>MGI:98734</v>
      </c>
      <c r="J361" s="4" t="s">
        <v>12</v>
      </c>
    </row>
    <row r="362" spans="1:10" x14ac:dyDescent="0.25">
      <c r="A362" s="2">
        <v>5.3912238770512699</v>
      </c>
      <c r="B362" s="3">
        <v>2.5691796314318598</v>
      </c>
      <c r="C362" s="5">
        <v>2.1711669265106099E-8</v>
      </c>
      <c r="D362" s="6">
        <v>1.0440236964347499E-7</v>
      </c>
      <c r="E362" s="3" t="s">
        <v>8219</v>
      </c>
      <c r="F362" s="3" t="s">
        <v>8220</v>
      </c>
      <c r="G362" s="3">
        <v>13421</v>
      </c>
      <c r="H362" s="7" t="str">
        <f>HYPERLINK("http://www.ensembl.org/Mus_musculus/Gene/Summary?db=core;g=ENSMUSG00000025279","ENSMUSG00000025279")</f>
        <v>ENSMUSG00000025279</v>
      </c>
      <c r="I362" s="7" t="str">
        <f>HYPERLINK("http://www.informatics.jax.org/marker/MGI:1314633","MGI:1314633")</f>
        <v>MGI:1314633</v>
      </c>
      <c r="J362" s="4" t="s">
        <v>12</v>
      </c>
    </row>
    <row r="363" spans="1:10" x14ac:dyDescent="0.25">
      <c r="A363" s="2">
        <v>7.4500455811030903</v>
      </c>
      <c r="B363" s="3">
        <v>2.5644678032226902</v>
      </c>
      <c r="C363" s="5">
        <v>1.2236751660668699E-8</v>
      </c>
      <c r="D363" s="6">
        <v>6.0266918768328406E-8</v>
      </c>
      <c r="E363" s="3" t="s">
        <v>8025</v>
      </c>
      <c r="F363" s="3" t="s">
        <v>8026</v>
      </c>
      <c r="G363" s="3" t="s">
        <v>83</v>
      </c>
      <c r="H363" s="7" t="str">
        <f>HYPERLINK("http://www.ensembl.org/Mus_musculus/Gene/Summary?db=core;g=ENSMUSG00000079138","ENSMUSG00000079138")</f>
        <v>ENSMUSG00000079138</v>
      </c>
      <c r="I363" s="7" t="str">
        <f>HYPERLINK("http://www.informatics.jax.org/marker/MGI:3645903","MGI:3645903")</f>
        <v>MGI:3645903</v>
      </c>
      <c r="J363" s="4" t="s">
        <v>1043</v>
      </c>
    </row>
    <row r="364" spans="1:10" x14ac:dyDescent="0.25">
      <c r="A364" s="2">
        <v>14.785890467438101</v>
      </c>
      <c r="B364" s="3">
        <v>2.5587621834527301</v>
      </c>
      <c r="C364" s="5">
        <v>4.0146521077254701E-13</v>
      </c>
      <c r="D364" s="6">
        <v>2.76042327630217E-12</v>
      </c>
      <c r="E364" s="3" t="s">
        <v>5753</v>
      </c>
      <c r="F364" s="3" t="s">
        <v>5754</v>
      </c>
      <c r="G364" s="3">
        <v>104886</v>
      </c>
      <c r="H364" s="7" t="str">
        <f>HYPERLINK("http://www.ensembl.org/Mus_musculus/Gene/Summary?db=core;g=ENSMUSG00000021062","ENSMUSG00000021062")</f>
        <v>ENSMUSG00000021062</v>
      </c>
      <c r="I364" s="7" t="str">
        <f>HYPERLINK("http://www.informatics.jax.org/marker/MGI:1916865","MGI:1916865")</f>
        <v>MGI:1916865</v>
      </c>
      <c r="J364" s="4" t="s">
        <v>12</v>
      </c>
    </row>
    <row r="365" spans="1:10" x14ac:dyDescent="0.25">
      <c r="A365" s="2">
        <v>3.1704166579855002</v>
      </c>
      <c r="B365" s="3">
        <v>2.5563107872912401</v>
      </c>
      <c r="C365" s="5">
        <v>3.42566064369025E-8</v>
      </c>
      <c r="D365" s="6">
        <v>1.6153521734474399E-7</v>
      </c>
      <c r="E365" s="3" t="s">
        <v>8381</v>
      </c>
      <c r="F365" s="3" t="s">
        <v>8382</v>
      </c>
      <c r="G365" s="3">
        <v>326623</v>
      </c>
      <c r="H365" s="7" t="str">
        <f>HYPERLINK("http://www.ensembl.org/Mus_musculus/Gene/Summary?db=core;g=ENSMUSG00000050395","ENSMUSG00000050395")</f>
        <v>ENSMUSG00000050395</v>
      </c>
      <c r="I365" s="7" t="str">
        <f>HYPERLINK("http://www.informatics.jax.org/marker/MGI:2180140","MGI:2180140")</f>
        <v>MGI:2180140</v>
      </c>
      <c r="J365" s="4" t="s">
        <v>12</v>
      </c>
    </row>
    <row r="366" spans="1:10" x14ac:dyDescent="0.25">
      <c r="A366" s="2">
        <v>10.3876316200913</v>
      </c>
      <c r="B366" s="3">
        <v>2.54529245496665</v>
      </c>
      <c r="C366" s="5">
        <v>6.4871283970235E-11</v>
      </c>
      <c r="D366" s="6">
        <v>3.8209728790114498E-10</v>
      </c>
      <c r="E366" s="3" t="s">
        <v>6713</v>
      </c>
      <c r="F366" s="3" t="s">
        <v>6714</v>
      </c>
      <c r="G366" s="3" t="s">
        <v>83</v>
      </c>
      <c r="H366" s="7" t="str">
        <f>HYPERLINK("http://www.ensembl.org/Mus_musculus/Gene/Summary?db=core;g=ENSMUSG00000106468","ENSMUSG00000106468")</f>
        <v>ENSMUSG00000106468</v>
      </c>
      <c r="I366" s="7" t="str">
        <f>HYPERLINK("http://www.informatics.jax.org/marker/MGI:6096129","MGI:6096129")</f>
        <v>MGI:6096129</v>
      </c>
      <c r="J366" s="4" t="s">
        <v>6715</v>
      </c>
    </row>
    <row r="367" spans="1:10" x14ac:dyDescent="0.25">
      <c r="A367" s="2">
        <v>6.0324377122202897</v>
      </c>
      <c r="B367" s="3">
        <v>2.5452508703900101</v>
      </c>
      <c r="C367" s="5">
        <v>6.4148720753704504E-9</v>
      </c>
      <c r="D367" s="6">
        <v>3.2303696967902297E-8</v>
      </c>
      <c r="E367" s="3" t="s">
        <v>7846</v>
      </c>
      <c r="F367" s="3" t="s">
        <v>7847</v>
      </c>
      <c r="G367" s="3" t="s">
        <v>83</v>
      </c>
      <c r="H367" s="7" t="str">
        <f>HYPERLINK("http://www.ensembl.org/Mus_musculus/Gene/Summary?db=core;g=ENSMUSG00000085953","ENSMUSG00000085953")</f>
        <v>ENSMUSG00000085953</v>
      </c>
      <c r="I367" s="7" t="str">
        <f>HYPERLINK("http://www.informatics.jax.org/marker/MGI:3782942","MGI:3782942")</f>
        <v>MGI:3782942</v>
      </c>
      <c r="J367" s="4" t="s">
        <v>932</v>
      </c>
    </row>
    <row r="368" spans="1:10" x14ac:dyDescent="0.25">
      <c r="A368" s="2">
        <v>3.3394825695332599</v>
      </c>
      <c r="B368" s="3">
        <v>2.5412782517217201</v>
      </c>
      <c r="C368" s="5">
        <v>5.2130553251645798E-8</v>
      </c>
      <c r="D368" s="6">
        <v>2.4194269478052602E-7</v>
      </c>
      <c r="E368" s="3" t="s">
        <v>8515</v>
      </c>
      <c r="F368" s="3" t="s">
        <v>8516</v>
      </c>
      <c r="G368" s="3">
        <v>217306</v>
      </c>
      <c r="H368" s="7" t="str">
        <f>HYPERLINK("http://www.ensembl.org/Mus_musculus/Gene/Summary?db=core;g=ENSMUSG00000048498","ENSMUSG00000048498")</f>
        <v>ENSMUSG00000048498</v>
      </c>
      <c r="I368" s="7" t="str">
        <f>HYPERLINK("http://www.informatics.jax.org/marker/MGI:2387602","MGI:2387602")</f>
        <v>MGI:2387602</v>
      </c>
      <c r="J368" s="4" t="s">
        <v>12</v>
      </c>
    </row>
    <row r="369" spans="1:10" x14ac:dyDescent="0.25">
      <c r="A369" s="2">
        <v>419.09111266477203</v>
      </c>
      <c r="B369" s="3">
        <v>2.5409935439683902</v>
      </c>
      <c r="C369" s="5">
        <v>1.6876098940091E-109</v>
      </c>
      <c r="D369" s="6">
        <v>1.5847460528504501E-107</v>
      </c>
      <c r="E369" s="3" t="s">
        <v>432</v>
      </c>
      <c r="F369" s="3" t="s">
        <v>433</v>
      </c>
      <c r="G369" s="3">
        <v>19698</v>
      </c>
      <c r="H369" s="7" t="str">
        <f>HYPERLINK("http://www.ensembl.org/Mus_musculus/Gene/Summary?db=core;g=ENSMUSG00000002983","ENSMUSG00000002983")</f>
        <v>ENSMUSG00000002983</v>
      </c>
      <c r="I369" s="7" t="str">
        <f>HYPERLINK("http://www.informatics.jax.org/marker/MGI:103289","MGI:103289")</f>
        <v>MGI:103289</v>
      </c>
      <c r="J369" s="4" t="s">
        <v>12</v>
      </c>
    </row>
    <row r="370" spans="1:10" x14ac:dyDescent="0.25">
      <c r="A370" s="2">
        <v>13.6405744751426</v>
      </c>
      <c r="B370" s="3">
        <v>2.5362288458553999</v>
      </c>
      <c r="C370" s="5">
        <v>4.9868690475489199E-15</v>
      </c>
      <c r="D370" s="6">
        <v>3.8384487750844899E-14</v>
      </c>
      <c r="E370" s="3" t="s">
        <v>5141</v>
      </c>
      <c r="F370" s="3" t="s">
        <v>5142</v>
      </c>
      <c r="G370" s="3" t="s">
        <v>83</v>
      </c>
      <c r="H370" s="7" t="str">
        <f>HYPERLINK("http://www.ensembl.org/Mus_musculus/Gene/Summary?db=core;g=ENSMUSG00000097077","ENSMUSG00000097077")</f>
        <v>ENSMUSG00000097077</v>
      </c>
      <c r="I370" s="7" t="str">
        <f>HYPERLINK("http://www.informatics.jax.org/marker/MGI:4439636","MGI:4439636")</f>
        <v>MGI:4439636</v>
      </c>
      <c r="J370" s="4" t="s">
        <v>932</v>
      </c>
    </row>
    <row r="371" spans="1:10" x14ac:dyDescent="0.25">
      <c r="A371" s="2">
        <v>36.228476997541399</v>
      </c>
      <c r="B371" s="3">
        <v>2.5324841455429401</v>
      </c>
      <c r="C371" s="5">
        <v>1.6957128507354598E-21</v>
      </c>
      <c r="D371" s="6">
        <v>1.79012084670789E-20</v>
      </c>
      <c r="E371" s="3" t="s">
        <v>3754</v>
      </c>
      <c r="F371" s="3" t="s">
        <v>3755</v>
      </c>
      <c r="G371" s="3" t="s">
        <v>83</v>
      </c>
      <c r="H371" s="7" t="str">
        <f>HYPERLINK("http://www.ensembl.org/Mus_musculus/Gene/Summary?db=core;g=ENSMUSG00000063611","ENSMUSG00000063611")</f>
        <v>ENSMUSG00000063611</v>
      </c>
      <c r="I371" s="7" t="str">
        <f>HYPERLINK("http://www.informatics.jax.org/marker/MGI:3642322","MGI:3642322")</f>
        <v>MGI:3642322</v>
      </c>
      <c r="J371" s="4" t="s">
        <v>939</v>
      </c>
    </row>
    <row r="372" spans="1:10" x14ac:dyDescent="0.25">
      <c r="A372" s="2">
        <v>107.665598435907</v>
      </c>
      <c r="B372" s="3">
        <v>2.5135350262215299</v>
      </c>
      <c r="C372" s="5">
        <v>6.7848781894867498E-18</v>
      </c>
      <c r="D372" s="6">
        <v>6.0927958969343695E-17</v>
      </c>
      <c r="E372" s="3" t="s">
        <v>4409</v>
      </c>
      <c r="F372" s="3" t="s">
        <v>4410</v>
      </c>
      <c r="G372" s="3">
        <v>14058</v>
      </c>
      <c r="H372" s="7" t="str">
        <f>HYPERLINK("http://www.ensembl.org/Mus_musculus/Gene/Summary?db=core;g=ENSMUSG00000031444","ENSMUSG00000031444")</f>
        <v>ENSMUSG00000031444</v>
      </c>
      <c r="I372" s="7" t="str">
        <f>HYPERLINK("http://www.informatics.jax.org/marker/MGI:103107","MGI:103107")</f>
        <v>MGI:103107</v>
      </c>
      <c r="J372" s="4" t="s">
        <v>12</v>
      </c>
    </row>
    <row r="373" spans="1:10" x14ac:dyDescent="0.25">
      <c r="A373" s="2">
        <v>2.8569827452099101</v>
      </c>
      <c r="B373" s="3">
        <v>2.5039194607986199</v>
      </c>
      <c r="C373" s="5">
        <v>5.4615144780182602E-8</v>
      </c>
      <c r="D373" s="6">
        <v>2.5299756990021102E-7</v>
      </c>
      <c r="E373" s="3" t="s">
        <v>8531</v>
      </c>
      <c r="F373" s="3" t="s">
        <v>8532</v>
      </c>
      <c r="G373" s="3" t="s">
        <v>83</v>
      </c>
      <c r="H373" s="7" t="str">
        <f>HYPERLINK("http://www.ensembl.org/Mus_musculus/Gene/Summary?db=core;g=ENSMUSG00000079491","ENSMUSG00000079491")</f>
        <v>ENSMUSG00000079491</v>
      </c>
      <c r="I373" s="7" t="str">
        <f>HYPERLINK("http://www.informatics.jax.org/marker/MGI:95942","MGI:95942")</f>
        <v>MGI:95942</v>
      </c>
      <c r="J373" s="4" t="s">
        <v>976</v>
      </c>
    </row>
    <row r="374" spans="1:10" x14ac:dyDescent="0.25">
      <c r="A374" s="2">
        <v>2.8072146791885499</v>
      </c>
      <c r="B374" s="3">
        <v>2.5009394491782602</v>
      </c>
      <c r="C374" s="5">
        <v>9.38320987192555E-8</v>
      </c>
      <c r="D374" s="6">
        <v>4.2654886739136002E-7</v>
      </c>
      <c r="E374" s="3" t="s">
        <v>8693</v>
      </c>
      <c r="F374" s="3" t="s">
        <v>8694</v>
      </c>
      <c r="G374" s="3">
        <v>629303</v>
      </c>
      <c r="H374" s="7" t="str">
        <f>HYPERLINK("http://www.ensembl.org/Mus_musculus/Gene/Summary?db=core;g=ENSMUSG00000018925","ENSMUSG00000018925")</f>
        <v>ENSMUSG00000018925</v>
      </c>
      <c r="I374" s="7" t="str">
        <f>HYPERLINK("http://www.informatics.jax.org/marker/MGI:3650286","MGI:3650286")</f>
        <v>MGI:3650286</v>
      </c>
      <c r="J374" s="4" t="s">
        <v>12</v>
      </c>
    </row>
    <row r="375" spans="1:10" x14ac:dyDescent="0.25">
      <c r="A375" s="2">
        <v>1460.4911859433701</v>
      </c>
      <c r="B375" s="3">
        <v>2.4975396057909198</v>
      </c>
      <c r="C375" s="5">
        <v>7.4150841933351402E-90</v>
      </c>
      <c r="D375" s="6">
        <v>5.0772729268253103E-88</v>
      </c>
      <c r="E375" s="3" t="s">
        <v>588</v>
      </c>
      <c r="F375" s="3" t="s">
        <v>589</v>
      </c>
      <c r="G375" s="3">
        <v>56792</v>
      </c>
      <c r="H375" s="7" t="str">
        <f>HYPERLINK("http://www.ensembl.org/Mus_musculus/Gene/Summary?db=core;g=ENSMUSG00000029254","ENSMUSG00000029254")</f>
        <v>ENSMUSG00000029254</v>
      </c>
      <c r="I375" s="7" t="str">
        <f>HYPERLINK("http://www.informatics.jax.org/marker/MGI:1926193","MGI:1926193")</f>
        <v>MGI:1926193</v>
      </c>
      <c r="J375" s="4" t="s">
        <v>12</v>
      </c>
    </row>
    <row r="376" spans="1:10" x14ac:dyDescent="0.25">
      <c r="A376" s="2">
        <v>38.112363549720797</v>
      </c>
      <c r="B376" s="3">
        <v>2.4953768671035901</v>
      </c>
      <c r="C376" s="5">
        <v>2.9709741245973799E-26</v>
      </c>
      <c r="D376" s="6">
        <v>3.81429750892319E-25</v>
      </c>
      <c r="E376" s="3" t="s">
        <v>3090</v>
      </c>
      <c r="F376" s="3" t="s">
        <v>3091</v>
      </c>
      <c r="G376" s="3">
        <v>100040766</v>
      </c>
      <c r="H376" s="7" t="str">
        <f>HYPERLINK("http://www.ensembl.org/Mus_musculus/Gene/Summary?db=core;g=ENSMUSG00000079429","ENSMUSG00000079429")</f>
        <v>ENSMUSG00000079429</v>
      </c>
      <c r="I376" s="7" t="str">
        <f>HYPERLINK("http://www.informatics.jax.org/marker/MGI:3705228","MGI:3705228")</f>
        <v>MGI:3705228</v>
      </c>
      <c r="J376" s="4" t="s">
        <v>12</v>
      </c>
    </row>
    <row r="377" spans="1:10" x14ac:dyDescent="0.25">
      <c r="A377" s="2">
        <v>2.29275276809499</v>
      </c>
      <c r="B377" s="3">
        <v>2.4917200459110802</v>
      </c>
      <c r="C377" s="5">
        <v>9.4801911962034106E-8</v>
      </c>
      <c r="D377" s="6">
        <v>4.3056050296898E-7</v>
      </c>
      <c r="E377" s="3" t="s">
        <v>8701</v>
      </c>
      <c r="F377" s="3" t="s">
        <v>8702</v>
      </c>
      <c r="G377" s="3">
        <v>24046</v>
      </c>
      <c r="H377" s="7" t="str">
        <f>HYPERLINK("http://www.ensembl.org/Mus_musculus/Gene/Summary?db=core;g=ENSMUSG00000034115","ENSMUSG00000034115")</f>
        <v>ENSMUSG00000034115</v>
      </c>
      <c r="I377" s="7" t="str">
        <f>HYPERLINK("http://www.informatics.jax.org/marker/MGI:1345149","MGI:1345149")</f>
        <v>MGI:1345149</v>
      </c>
      <c r="J377" s="4" t="s">
        <v>12</v>
      </c>
    </row>
    <row r="378" spans="1:10" x14ac:dyDescent="0.25">
      <c r="A378" s="2">
        <v>44.797252077787697</v>
      </c>
      <c r="B378" s="3">
        <v>2.4902134758582499</v>
      </c>
      <c r="C378" s="5">
        <v>2.5239823885283601E-28</v>
      </c>
      <c r="D378" s="6">
        <v>3.5026694371414002E-27</v>
      </c>
      <c r="E378" s="3" t="s">
        <v>2858</v>
      </c>
      <c r="F378" s="3" t="s">
        <v>2859</v>
      </c>
      <c r="G378" s="3">
        <v>18733</v>
      </c>
      <c r="H378" s="7" t="str">
        <f>HYPERLINK("http://www.ensembl.org/Mus_musculus/Gene/Summary?db=core;g=ENSMUSG00000058818","ENSMUSG00000058818")</f>
        <v>ENSMUSG00000058818</v>
      </c>
      <c r="I378" s="7" t="str">
        <f>HYPERLINK("http://www.informatics.jax.org/marker/MGI:894311","MGI:894311")</f>
        <v>MGI:894311</v>
      </c>
      <c r="J378" s="4" t="s">
        <v>12</v>
      </c>
    </row>
    <row r="379" spans="1:10" x14ac:dyDescent="0.25">
      <c r="A379" s="2">
        <v>2193.4265670171399</v>
      </c>
      <c r="B379" s="3">
        <v>2.4831486065986899</v>
      </c>
      <c r="C379" s="5">
        <v>8.9678509184892799E-74</v>
      </c>
      <c r="D379" s="6">
        <v>4.4101251898406102E-72</v>
      </c>
      <c r="E379" s="3" t="s">
        <v>814</v>
      </c>
      <c r="F379" s="3" t="s">
        <v>815</v>
      </c>
      <c r="G379" s="3">
        <v>18858</v>
      </c>
      <c r="H379" s="7" t="str">
        <f>HYPERLINK("http://www.ensembl.org/Mus_musculus/Gene/Summary?db=core;g=ENSMUSG00000018217","ENSMUSG00000018217")</f>
        <v>ENSMUSG00000018217</v>
      </c>
      <c r="I379" s="7" t="str">
        <f>HYPERLINK("http://www.informatics.jax.org/marker/MGI:97631","MGI:97631")</f>
        <v>MGI:97631</v>
      </c>
      <c r="J379" s="4" t="s">
        <v>12</v>
      </c>
    </row>
    <row r="380" spans="1:10" x14ac:dyDescent="0.25">
      <c r="A380" s="2">
        <v>5084.0993546383097</v>
      </c>
      <c r="B380" s="3">
        <v>2.4810995581931898</v>
      </c>
      <c r="C380" s="5">
        <v>6.9734879939975995E-225</v>
      </c>
      <c r="D380" s="6">
        <v>3.5260816215803303E-222</v>
      </c>
      <c r="E380" s="3" t="s">
        <v>88</v>
      </c>
      <c r="F380" s="3" t="s">
        <v>89</v>
      </c>
      <c r="G380" s="3">
        <v>213391</v>
      </c>
      <c r="H380" s="7" t="str">
        <f>HYPERLINK("http://www.ensembl.org/Mus_musculus/Gene/Summary?db=core;g=ENSMUSG00000042129","ENSMUSG00000042129")</f>
        <v>ENSMUSG00000042129</v>
      </c>
      <c r="I380" s="7" t="str">
        <f>HYPERLINK("http://www.informatics.jax.org/marker/MGI:2386853","MGI:2386853")</f>
        <v>MGI:2386853</v>
      </c>
      <c r="J380" s="4" t="s">
        <v>12</v>
      </c>
    </row>
    <row r="381" spans="1:10" x14ac:dyDescent="0.25">
      <c r="A381" s="2">
        <v>1981.8516176917601</v>
      </c>
      <c r="B381" s="3">
        <v>2.4808530981363699</v>
      </c>
      <c r="C381" s="5">
        <v>3.7209443079911998E-113</v>
      </c>
      <c r="D381" s="6">
        <v>3.80191822557443E-111</v>
      </c>
      <c r="E381" s="3" t="s">
        <v>398</v>
      </c>
      <c r="F381" s="3" t="s">
        <v>399</v>
      </c>
      <c r="G381" s="3">
        <v>210808</v>
      </c>
      <c r="H381" s="7" t="str">
        <f>HYPERLINK("http://www.ensembl.org/Mus_musculus/Gene/Summary?db=core;g=ENSMUSG00000044350","ENSMUSG00000044350")</f>
        <v>ENSMUSG00000044350</v>
      </c>
      <c r="I381" s="7" t="str">
        <f>HYPERLINK("http://www.informatics.jax.org/marker/MGI:2445077","MGI:2445077")</f>
        <v>MGI:2445077</v>
      </c>
      <c r="J381" s="4" t="s">
        <v>12</v>
      </c>
    </row>
    <row r="382" spans="1:10" x14ac:dyDescent="0.25">
      <c r="A382" s="2">
        <v>5789.6112713768298</v>
      </c>
      <c r="B382" s="3">
        <v>2.4805354614804598</v>
      </c>
      <c r="C382" s="5">
        <v>1.73658559903171E-33</v>
      </c>
      <c r="D382" s="6">
        <v>2.8537890010754401E-32</v>
      </c>
      <c r="E382" s="3" t="s">
        <v>2417</v>
      </c>
      <c r="F382" s="3" t="s">
        <v>2418</v>
      </c>
      <c r="G382" s="3">
        <v>76650</v>
      </c>
      <c r="H382" s="7" t="str">
        <f>HYPERLINK("http://www.ensembl.org/Mus_musculus/Gene/Summary?db=core;g=ENSMUSG00000032802","ENSMUSG00000032802")</f>
        <v>ENSMUSG00000032802</v>
      </c>
      <c r="I382" s="7" t="str">
        <f>HYPERLINK("http://www.informatics.jax.org/marker/MGI:104971","MGI:104971")</f>
        <v>MGI:104971</v>
      </c>
      <c r="J382" s="4" t="s">
        <v>12</v>
      </c>
    </row>
    <row r="383" spans="1:10" x14ac:dyDescent="0.25">
      <c r="A383" s="2">
        <v>2.2216963425795599</v>
      </c>
      <c r="B383" s="3">
        <v>2.47976810889205</v>
      </c>
      <c r="C383" s="5">
        <v>1.09856523472882E-7</v>
      </c>
      <c r="D383" s="6">
        <v>4.9664618131252398E-7</v>
      </c>
      <c r="E383" s="3" t="s">
        <v>8741</v>
      </c>
      <c r="F383" s="3" t="s">
        <v>8742</v>
      </c>
      <c r="G383" s="3">
        <v>102638047</v>
      </c>
      <c r="H383" s="7" t="str">
        <f>HYPERLINK("http://www.ensembl.org/Mus_musculus/Gene/Summary?db=core;g=ENSMUSG00000079808","ENSMUSG00000079808")</f>
        <v>ENSMUSG00000079808</v>
      </c>
      <c r="I383" s="3" t="s">
        <v>83</v>
      </c>
      <c r="J383" s="4" t="s">
        <v>12</v>
      </c>
    </row>
    <row r="384" spans="1:10" x14ac:dyDescent="0.25">
      <c r="A384" s="2">
        <v>307.91850754115501</v>
      </c>
      <c r="B384" s="3">
        <v>2.4791614618962101</v>
      </c>
      <c r="C384" s="5">
        <v>6.3367283701431298E-62</v>
      </c>
      <c r="D384" s="6">
        <v>2.41702675936601E-60</v>
      </c>
      <c r="E384" s="3" t="s">
        <v>1050</v>
      </c>
      <c r="F384" s="3" t="s">
        <v>1051</v>
      </c>
      <c r="G384" s="3">
        <v>240672</v>
      </c>
      <c r="H384" s="7" t="str">
        <f>HYPERLINK("http://www.ensembl.org/Mus_musculus/Gene/Summary?db=core;g=ENSMUSG00000034765","ENSMUSG00000034765")</f>
        <v>ENSMUSG00000034765</v>
      </c>
      <c r="I384" s="7" t="str">
        <f>HYPERLINK("http://www.informatics.jax.org/marker/MGI:2685183","MGI:2685183")</f>
        <v>MGI:2685183</v>
      </c>
      <c r="J384" s="4" t="s">
        <v>12</v>
      </c>
    </row>
    <row r="385" spans="1:10" x14ac:dyDescent="0.25">
      <c r="A385" s="2">
        <v>163.23175755921</v>
      </c>
      <c r="B385" s="3">
        <v>2.4704222367247799</v>
      </c>
      <c r="C385" s="5">
        <v>1.3070379349840799E-53</v>
      </c>
      <c r="D385" s="6">
        <v>3.8355339401615997E-52</v>
      </c>
      <c r="E385" s="3" t="s">
        <v>1358</v>
      </c>
      <c r="F385" s="3" t="s">
        <v>1359</v>
      </c>
      <c r="G385" s="3">
        <v>20821</v>
      </c>
      <c r="H385" s="7" t="str">
        <f>HYPERLINK("http://www.ensembl.org/Mus_musculus/Gene/Summary?db=core;g=ENSMUSG00000030966","ENSMUSG00000030966")</f>
        <v>ENSMUSG00000030966</v>
      </c>
      <c r="I385" s="7" t="str">
        <f>HYPERLINK("http://www.informatics.jax.org/marker/MGI:106657","MGI:106657")</f>
        <v>MGI:106657</v>
      </c>
      <c r="J385" s="4" t="s">
        <v>12</v>
      </c>
    </row>
    <row r="386" spans="1:10" x14ac:dyDescent="0.25">
      <c r="A386" s="2">
        <v>2.3839018463991501</v>
      </c>
      <c r="B386" s="3">
        <v>2.4693302484875601</v>
      </c>
      <c r="C386" s="5">
        <v>1.0510177572497199E-7</v>
      </c>
      <c r="D386" s="6">
        <v>4.7602366038044298E-7</v>
      </c>
      <c r="E386" s="3" t="s">
        <v>8725</v>
      </c>
      <c r="F386" s="3" t="s">
        <v>8726</v>
      </c>
      <c r="G386" s="3" t="s">
        <v>83</v>
      </c>
      <c r="H386" s="7" t="str">
        <f>HYPERLINK("http://www.ensembl.org/Mus_musculus/Gene/Summary?db=core;g=ENSMUSG00000095366","ENSMUSG00000095366")</f>
        <v>ENSMUSG00000095366</v>
      </c>
      <c r="I386" s="7" t="str">
        <f>HYPERLINK("http://www.informatics.jax.org/marker/MGI:5434024","MGI:5434024")</f>
        <v>MGI:5434024</v>
      </c>
      <c r="J386" s="4" t="s">
        <v>939</v>
      </c>
    </row>
    <row r="387" spans="1:10" x14ac:dyDescent="0.25">
      <c r="A387" s="2">
        <v>244.92165629155301</v>
      </c>
      <c r="B387" s="3">
        <v>2.4654653924343202</v>
      </c>
      <c r="C387" s="5">
        <v>1.4443637283499E-67</v>
      </c>
      <c r="D387" s="6">
        <v>6.3154884086607403E-66</v>
      </c>
      <c r="E387" s="3" t="s">
        <v>914</v>
      </c>
      <c r="F387" s="3" t="s">
        <v>915</v>
      </c>
      <c r="G387" s="3">
        <v>211949</v>
      </c>
      <c r="H387" s="7" t="str">
        <f>HYPERLINK("http://www.ensembl.org/Mus_musculus/Gene/Summary?db=core;g=ENSMUSG00000046997","ENSMUSG00000046997")</f>
        <v>ENSMUSG00000046997</v>
      </c>
      <c r="I387" s="7" t="str">
        <f>HYPERLINK("http://www.informatics.jax.org/marker/MGI:2183445","MGI:2183445")</f>
        <v>MGI:2183445</v>
      </c>
      <c r="J387" s="4" t="s">
        <v>12</v>
      </c>
    </row>
    <row r="388" spans="1:10" x14ac:dyDescent="0.25">
      <c r="A388" s="2">
        <v>120.85050897372599</v>
      </c>
      <c r="B388" s="3">
        <v>2.4650806177983902</v>
      </c>
      <c r="C388" s="5">
        <v>5.2160087754173401E-15</v>
      </c>
      <c r="D388" s="6">
        <v>4.0116884965378299E-14</v>
      </c>
      <c r="E388" s="3" t="s">
        <v>5145</v>
      </c>
      <c r="F388" s="3" t="s">
        <v>5146</v>
      </c>
      <c r="G388" s="3">
        <v>75695</v>
      </c>
      <c r="H388" s="7" t="str">
        <f>HYPERLINK("http://www.ensembl.org/Mus_musculus/Gene/Summary?db=core;g=ENSMUSG00000029392","ENSMUSG00000029392")</f>
        <v>ENSMUSG00000029392</v>
      </c>
      <c r="I388" s="7" t="str">
        <f>HYPERLINK("http://www.informatics.jax.org/marker/MGI:1922945","MGI:1922945")</f>
        <v>MGI:1922945</v>
      </c>
      <c r="J388" s="4" t="s">
        <v>12</v>
      </c>
    </row>
    <row r="389" spans="1:10" x14ac:dyDescent="0.25">
      <c r="A389" s="2">
        <v>12.4510189092884</v>
      </c>
      <c r="B389" s="3">
        <v>2.4635829599210499</v>
      </c>
      <c r="C389" s="5">
        <v>2.1426808922735399E-13</v>
      </c>
      <c r="D389" s="6">
        <v>1.50208557396496E-12</v>
      </c>
      <c r="E389" s="3" t="s">
        <v>5643</v>
      </c>
      <c r="F389" s="3" t="s">
        <v>5644</v>
      </c>
      <c r="G389" s="3">
        <v>16177</v>
      </c>
      <c r="H389" s="7" t="str">
        <f>HYPERLINK("http://www.ensembl.org/Mus_musculus/Gene/Summary?db=core;g=ENSMUSG00000026072","ENSMUSG00000026072")</f>
        <v>ENSMUSG00000026072</v>
      </c>
      <c r="I389" s="7" t="str">
        <f>HYPERLINK("http://www.informatics.jax.org/marker/MGI:96545","MGI:96545")</f>
        <v>MGI:96545</v>
      </c>
      <c r="J389" s="4" t="s">
        <v>12</v>
      </c>
    </row>
    <row r="390" spans="1:10" x14ac:dyDescent="0.25">
      <c r="A390" s="2">
        <v>43.089894459096101</v>
      </c>
      <c r="B390" s="3">
        <v>2.45783937754205</v>
      </c>
      <c r="C390" s="5">
        <v>4.7638645484870799E-20</v>
      </c>
      <c r="D390" s="6">
        <v>4.7255235863262201E-19</v>
      </c>
      <c r="E390" s="3" t="s">
        <v>3994</v>
      </c>
      <c r="F390" s="3" t="s">
        <v>3995</v>
      </c>
      <c r="G390" s="3" t="s">
        <v>83</v>
      </c>
      <c r="H390" s="7" t="str">
        <f>HYPERLINK("http://www.ensembl.org/Mus_musculus/Gene/Summary?db=core;g=ENSMUSG00000115855","ENSMUSG00000115855")</f>
        <v>ENSMUSG00000115855</v>
      </c>
      <c r="I390" s="7" t="str">
        <f>HYPERLINK("http://www.informatics.jax.org/marker/MGI:5593802","MGI:5593802")</f>
        <v>MGI:5593802</v>
      </c>
      <c r="J390" s="4" t="s">
        <v>939</v>
      </c>
    </row>
    <row r="391" spans="1:10" x14ac:dyDescent="0.25">
      <c r="A391" s="2">
        <v>48.572516395963902</v>
      </c>
      <c r="B391" s="3">
        <v>2.45592099348048</v>
      </c>
      <c r="C391" s="5">
        <v>6.9751943914570599E-16</v>
      </c>
      <c r="D391" s="6">
        <v>5.5914972926639501E-15</v>
      </c>
      <c r="E391" s="3" t="s">
        <v>4937</v>
      </c>
      <c r="F391" s="3" t="s">
        <v>4938</v>
      </c>
      <c r="G391" s="3">
        <v>432555</v>
      </c>
      <c r="H391" s="7" t="str">
        <f>HYPERLINK("http://www.ensembl.org/Mus_musculus/Gene/Summary?db=core;g=ENSMUSG00000058163","ENSMUSG00000058163")</f>
        <v>ENSMUSG00000058163</v>
      </c>
      <c r="I391" s="7" t="str">
        <f>HYPERLINK("http://www.informatics.jax.org/marker/MGI:3645205","MGI:3645205")</f>
        <v>MGI:3645205</v>
      </c>
      <c r="J391" s="4" t="s">
        <v>12</v>
      </c>
    </row>
    <row r="392" spans="1:10" x14ac:dyDescent="0.25">
      <c r="A392" s="2">
        <v>476.34521659235998</v>
      </c>
      <c r="B392" s="3">
        <v>2.4529747629526901</v>
      </c>
      <c r="C392" s="5">
        <v>1.3080447902523399E-150</v>
      </c>
      <c r="D392" s="6">
        <v>2.6869420066433499E-148</v>
      </c>
      <c r="E392" s="3" t="s">
        <v>202</v>
      </c>
      <c r="F392" s="3" t="s">
        <v>203</v>
      </c>
      <c r="G392" s="3">
        <v>76187</v>
      </c>
      <c r="H392" s="7" t="str">
        <f>HYPERLINK("http://www.ensembl.org/Mus_musculus/Gene/Summary?db=core;g=ENSMUSG00000025911","ENSMUSG00000025911")</f>
        <v>ENSMUSG00000025911</v>
      </c>
      <c r="I392" s="7" t="str">
        <f>HYPERLINK("http://www.informatics.jax.org/marker/MGI:1923437","MGI:1923437")</f>
        <v>MGI:1923437</v>
      </c>
      <c r="J392" s="4" t="s">
        <v>12</v>
      </c>
    </row>
    <row r="393" spans="1:10" x14ac:dyDescent="0.25">
      <c r="A393" s="2">
        <v>6574.1453788258495</v>
      </c>
      <c r="B393" s="3">
        <v>2.45197378944773</v>
      </c>
      <c r="C393" s="5">
        <v>1.2471356894388999E-35</v>
      </c>
      <c r="D393" s="6">
        <v>2.2056964839224299E-34</v>
      </c>
      <c r="E393" s="3" t="s">
        <v>2247</v>
      </c>
      <c r="F393" s="3" t="s">
        <v>2248</v>
      </c>
      <c r="G393" s="3">
        <v>15368</v>
      </c>
      <c r="H393" s="7" t="str">
        <f>HYPERLINK("http://www.ensembl.org/Mus_musculus/Gene/Summary?db=core;g=ENSMUSG00000005413","ENSMUSG00000005413")</f>
        <v>ENSMUSG00000005413</v>
      </c>
      <c r="I393" s="7" t="str">
        <f>HYPERLINK("http://www.informatics.jax.org/marker/MGI:96163","MGI:96163")</f>
        <v>MGI:96163</v>
      </c>
      <c r="J393" s="4" t="s">
        <v>12</v>
      </c>
    </row>
    <row r="394" spans="1:10" x14ac:dyDescent="0.25">
      <c r="A394" s="2">
        <v>3173.0199089028602</v>
      </c>
      <c r="B394" s="3">
        <v>2.4440474065318298</v>
      </c>
      <c r="C394" s="5">
        <v>1.9590585897798201E-80</v>
      </c>
      <c r="D394" s="6">
        <v>1.1396057637303299E-78</v>
      </c>
      <c r="E394" s="3" t="s">
        <v>690</v>
      </c>
      <c r="F394" s="3" t="s">
        <v>691</v>
      </c>
      <c r="G394" s="3">
        <v>98999</v>
      </c>
      <c r="H394" s="7" t="str">
        <f>HYPERLINK("http://www.ensembl.org/Mus_musculus/Gene/Summary?db=core;g=ENSMUSG00000039501","ENSMUSG00000039501")</f>
        <v>ENSMUSG00000039501</v>
      </c>
      <c r="I394" s="7" t="str">
        <f>HYPERLINK("http://www.informatics.jax.org/marker/MGI:2138982","MGI:2138982")</f>
        <v>MGI:2138982</v>
      </c>
      <c r="J394" s="4" t="s">
        <v>12</v>
      </c>
    </row>
    <row r="395" spans="1:10" x14ac:dyDescent="0.25">
      <c r="A395" s="2">
        <v>22.316044543329401</v>
      </c>
      <c r="B395" s="3">
        <v>2.4437640567457102</v>
      </c>
      <c r="C395" s="5">
        <v>1.3635168194384501E-16</v>
      </c>
      <c r="D395" s="6">
        <v>1.1354962702418201E-15</v>
      </c>
      <c r="E395" s="3" t="s">
        <v>4753</v>
      </c>
      <c r="F395" s="3" t="s">
        <v>4754</v>
      </c>
      <c r="G395" s="3">
        <v>225341</v>
      </c>
      <c r="H395" s="7" t="str">
        <f>HYPERLINK("http://www.ensembl.org/Mus_musculus/Gene/Summary?db=core;g=ENSMUSG00000024395","ENSMUSG00000024395")</f>
        <v>ENSMUSG00000024395</v>
      </c>
      <c r="I395" s="7" t="str">
        <f>HYPERLINK("http://www.informatics.jax.org/marker/MGI:2385067","MGI:2385067")</f>
        <v>MGI:2385067</v>
      </c>
      <c r="J395" s="4" t="s">
        <v>12</v>
      </c>
    </row>
    <row r="396" spans="1:10" x14ac:dyDescent="0.25">
      <c r="A396" s="2">
        <v>1140.5311625320601</v>
      </c>
      <c r="B396" s="3">
        <v>2.43841846100542</v>
      </c>
      <c r="C396" s="5">
        <v>4.3289588521377301E-142</v>
      </c>
      <c r="D396" s="6">
        <v>7.4232233534048602E-140</v>
      </c>
      <c r="E396" s="3" t="s">
        <v>240</v>
      </c>
      <c r="F396" s="3" t="s">
        <v>241</v>
      </c>
      <c r="G396" s="3">
        <v>75234</v>
      </c>
      <c r="H396" s="7" t="str">
        <f>HYPERLINK("http://www.ensembl.org/Mus_musculus/Gene/Summary?db=core;g=ENSMUSG00000028793","ENSMUSG00000028793")</f>
        <v>ENSMUSG00000028793</v>
      </c>
      <c r="I396" s="7" t="str">
        <f>HYPERLINK("http://www.informatics.jax.org/marker/MGI:1922484","MGI:1922484")</f>
        <v>MGI:1922484</v>
      </c>
      <c r="J396" s="4" t="s">
        <v>12</v>
      </c>
    </row>
    <row r="397" spans="1:10" x14ac:dyDescent="0.25">
      <c r="A397" s="2">
        <v>217.610352737814</v>
      </c>
      <c r="B397" s="3">
        <v>2.4383028406874798</v>
      </c>
      <c r="C397" s="5">
        <v>7.70330705856527E-13</v>
      </c>
      <c r="D397" s="6">
        <v>5.20058935963393E-12</v>
      </c>
      <c r="E397" s="3" t="s">
        <v>5859</v>
      </c>
      <c r="F397" s="3" t="s">
        <v>5860</v>
      </c>
      <c r="G397" s="3">
        <v>232413</v>
      </c>
      <c r="H397" s="7" t="str">
        <f>HYPERLINK("http://www.ensembl.org/Mus_musculus/Gene/Summary?db=core;g=ENSMUSG00000053063","ENSMUSG00000053063")</f>
        <v>ENSMUSG00000053063</v>
      </c>
      <c r="I397" s="7" t="str">
        <f>HYPERLINK("http://www.informatics.jax.org/marker/MGI:3040968","MGI:3040968")</f>
        <v>MGI:3040968</v>
      </c>
      <c r="J397" s="4" t="s">
        <v>12</v>
      </c>
    </row>
    <row r="398" spans="1:10" x14ac:dyDescent="0.25">
      <c r="A398" s="2">
        <v>213.133121637785</v>
      </c>
      <c r="B398" s="3">
        <v>2.4369042526534499</v>
      </c>
      <c r="C398" s="5">
        <v>1.06774526016995E-56</v>
      </c>
      <c r="D398" s="6">
        <v>3.4517928738608902E-55</v>
      </c>
      <c r="E398" s="3" t="s">
        <v>1236</v>
      </c>
      <c r="F398" s="3" t="s">
        <v>1237</v>
      </c>
      <c r="G398" s="3">
        <v>50498</v>
      </c>
      <c r="H398" s="7" t="str">
        <f>HYPERLINK("http://www.ensembl.org/Mus_musculus/Gene/Summary?db=core;g=ENSMUSG00000003206","ENSMUSG00000003206")</f>
        <v>ENSMUSG00000003206</v>
      </c>
      <c r="I398" s="7" t="str">
        <f>HYPERLINK("http://www.informatics.jax.org/marker/MGI:1354171","MGI:1354171")</f>
        <v>MGI:1354171</v>
      </c>
      <c r="J398" s="4" t="s">
        <v>12</v>
      </c>
    </row>
    <row r="399" spans="1:10" x14ac:dyDescent="0.25">
      <c r="A399" s="2">
        <v>40.411741917077997</v>
      </c>
      <c r="B399" s="3">
        <v>2.4367105131345999</v>
      </c>
      <c r="C399" s="5">
        <v>1.73137853057901E-26</v>
      </c>
      <c r="D399" s="6">
        <v>2.2491952979590201E-25</v>
      </c>
      <c r="E399" s="3" t="s">
        <v>3054</v>
      </c>
      <c r="F399" s="3" t="s">
        <v>3055</v>
      </c>
      <c r="G399" s="3">
        <v>109225</v>
      </c>
      <c r="H399" s="7" t="str">
        <f>HYPERLINK("http://www.ensembl.org/Mus_musculus/Gene/Summary?db=core;g=ENSMUSG00000024672","ENSMUSG00000024672")</f>
        <v>ENSMUSG00000024672</v>
      </c>
      <c r="I399" s="7" t="str">
        <f>HYPERLINK("http://www.informatics.jax.org/marker/MGI:1918846","MGI:1918846")</f>
        <v>MGI:1918846</v>
      </c>
      <c r="J399" s="4" t="s">
        <v>12</v>
      </c>
    </row>
    <row r="400" spans="1:10" x14ac:dyDescent="0.25">
      <c r="A400" s="2">
        <v>581.12731909287004</v>
      </c>
      <c r="B400" s="3">
        <v>2.43457014019295</v>
      </c>
      <c r="C400" s="5">
        <v>3.7905997137911798E-248</v>
      </c>
      <c r="D400" s="6">
        <v>2.6696652269986401E-245</v>
      </c>
      <c r="E400" s="3" t="s">
        <v>65</v>
      </c>
      <c r="F400" s="3" t="s">
        <v>66</v>
      </c>
      <c r="G400" s="3">
        <v>18719</v>
      </c>
      <c r="H400" s="7" t="str">
        <f>HYPERLINK("http://www.ensembl.org/Mus_musculus/Gene/Summary?db=core;g=ENSMUSG00000024867","ENSMUSG00000024867")</f>
        <v>ENSMUSG00000024867</v>
      </c>
      <c r="I400" s="7" t="str">
        <f>HYPERLINK("http://www.informatics.jax.org/marker/MGI:107930","MGI:107930")</f>
        <v>MGI:107930</v>
      </c>
      <c r="J400" s="4" t="s">
        <v>12</v>
      </c>
    </row>
    <row r="401" spans="1:10" x14ac:dyDescent="0.25">
      <c r="A401" s="2">
        <v>3.1973919899439198</v>
      </c>
      <c r="B401" s="3">
        <v>2.4344011654847701</v>
      </c>
      <c r="C401" s="5">
        <v>8.5717785513451297E-8</v>
      </c>
      <c r="D401" s="6">
        <v>3.9065281495846099E-7</v>
      </c>
      <c r="E401" s="3" t="s">
        <v>8671</v>
      </c>
      <c r="F401" s="3" t="s">
        <v>8672</v>
      </c>
      <c r="G401" s="3">
        <v>100043332</v>
      </c>
      <c r="H401" s="7" t="str">
        <f>HYPERLINK("http://www.ensembl.org/Mus_musculus/Gene/Summary?db=core;g=ENSMUSG00000096140","ENSMUSG00000096140")</f>
        <v>ENSMUSG00000096140</v>
      </c>
      <c r="I401" s="7" t="str">
        <f>HYPERLINK("http://www.informatics.jax.org/marker/MGI:1925106","MGI:1925106")</f>
        <v>MGI:1925106</v>
      </c>
      <c r="J401" s="4" t="s">
        <v>12</v>
      </c>
    </row>
    <row r="402" spans="1:10" x14ac:dyDescent="0.25">
      <c r="A402" s="2">
        <v>7.5336353278197796</v>
      </c>
      <c r="B402" s="3">
        <v>2.43249209018028</v>
      </c>
      <c r="C402" s="5">
        <v>6.7734523650773899E-9</v>
      </c>
      <c r="D402" s="6">
        <v>3.4039877838768099E-8</v>
      </c>
      <c r="E402" s="3" t="s">
        <v>7864</v>
      </c>
      <c r="F402" s="3" t="s">
        <v>7865</v>
      </c>
      <c r="G402" s="3">
        <v>338362</v>
      </c>
      <c r="H402" s="7" t="str">
        <f>HYPERLINK("http://www.ensembl.org/Mus_musculus/Gene/Summary?db=core;g=ENSMUSG00000047712","ENSMUSG00000047712")</f>
        <v>ENSMUSG00000047712</v>
      </c>
      <c r="I402" s="7" t="str">
        <f>HYPERLINK("http://www.informatics.jax.org/marker/MGI:2442406","MGI:2442406")</f>
        <v>MGI:2442406</v>
      </c>
      <c r="J402" s="4" t="s">
        <v>12</v>
      </c>
    </row>
    <row r="403" spans="1:10" x14ac:dyDescent="0.25">
      <c r="A403" s="2">
        <v>7.7554709556849399</v>
      </c>
      <c r="B403" s="3">
        <v>2.4320219515263002</v>
      </c>
      <c r="C403" s="5">
        <v>1.92488286988032E-9</v>
      </c>
      <c r="D403" s="6">
        <v>1.00953963282021E-8</v>
      </c>
      <c r="E403" s="3" t="s">
        <v>7538</v>
      </c>
      <c r="F403" s="3" t="s">
        <v>7539</v>
      </c>
      <c r="G403" s="3">
        <v>67331</v>
      </c>
      <c r="H403" s="7" t="str">
        <f>HYPERLINK("http://www.ensembl.org/Mus_musculus/Gene/Summary?db=core;g=ENSMUSG00000003341","ENSMUSG00000003341")</f>
        <v>ENSMUSG00000003341</v>
      </c>
      <c r="I403" s="7" t="str">
        <f>HYPERLINK("http://www.informatics.jax.org/marker/MGI:1914581","MGI:1914581")</f>
        <v>MGI:1914581</v>
      </c>
      <c r="J403" s="4" t="s">
        <v>12</v>
      </c>
    </row>
    <row r="404" spans="1:10" x14ac:dyDescent="0.25">
      <c r="A404" s="2">
        <v>2.72188014193725</v>
      </c>
      <c r="B404" s="3">
        <v>2.43187319346243</v>
      </c>
      <c r="C404" s="5">
        <v>2.0958210175958299E-7</v>
      </c>
      <c r="D404" s="6">
        <v>9.2667243199528595E-7</v>
      </c>
      <c r="E404" s="3" t="s">
        <v>8937</v>
      </c>
      <c r="F404" s="3" t="s">
        <v>8938</v>
      </c>
      <c r="G404" s="3" t="s">
        <v>83</v>
      </c>
      <c r="H404" s="7" t="str">
        <f>HYPERLINK("http://www.ensembl.org/Mus_musculus/Gene/Summary?db=core;g=ENSMUSG00000114163","ENSMUSG00000114163")</f>
        <v>ENSMUSG00000114163</v>
      </c>
      <c r="I404" s="7" t="str">
        <f>HYPERLINK("http://www.informatics.jax.org/marker/MGI:5591455","MGI:5591455")</f>
        <v>MGI:5591455</v>
      </c>
      <c r="J404" s="4" t="s">
        <v>939</v>
      </c>
    </row>
    <row r="405" spans="1:10" x14ac:dyDescent="0.25">
      <c r="A405" s="2">
        <v>23.746507521555401</v>
      </c>
      <c r="B405" s="3">
        <v>2.4254143705355999</v>
      </c>
      <c r="C405" s="5">
        <v>2.8317307028960599E-16</v>
      </c>
      <c r="D405" s="6">
        <v>2.3142034588110298E-15</v>
      </c>
      <c r="E405" s="3" t="s">
        <v>4843</v>
      </c>
      <c r="F405" s="3" t="s">
        <v>4844</v>
      </c>
      <c r="G405" s="3">
        <v>18798</v>
      </c>
      <c r="H405" s="7" t="str">
        <f>HYPERLINK("http://www.ensembl.org/Mus_musculus/Gene/Summary?db=core;g=ENSMUSG00000039943","ENSMUSG00000039943")</f>
        <v>ENSMUSG00000039943</v>
      </c>
      <c r="I405" s="7" t="str">
        <f>HYPERLINK("http://www.informatics.jax.org/marker/MGI:107464","MGI:107464")</f>
        <v>MGI:107464</v>
      </c>
      <c r="J405" s="4" t="s">
        <v>12</v>
      </c>
    </row>
    <row r="406" spans="1:10" x14ac:dyDescent="0.25">
      <c r="A406" s="2">
        <v>501.68800495438001</v>
      </c>
      <c r="B406" s="3">
        <v>2.4253002088764699</v>
      </c>
      <c r="C406" s="5">
        <v>7.6650894483279797E-115</v>
      </c>
      <c r="D406" s="6">
        <v>8.1266432215606295E-113</v>
      </c>
      <c r="E406" s="3" t="s">
        <v>384</v>
      </c>
      <c r="F406" s="3" t="s">
        <v>385</v>
      </c>
      <c r="G406" s="3">
        <v>99382</v>
      </c>
      <c r="H406" s="7" t="str">
        <f>HYPERLINK("http://www.ensembl.org/Mus_musculus/Gene/Summary?db=core;g=ENSMUSG00000032724","ENSMUSG00000032724")</f>
        <v>ENSMUSG00000032724</v>
      </c>
      <c r="I406" s="7" t="str">
        <f>HYPERLINK("http://www.informatics.jax.org/marker/MGI:2139365","MGI:2139365")</f>
        <v>MGI:2139365</v>
      </c>
      <c r="J406" s="4" t="s">
        <v>12</v>
      </c>
    </row>
    <row r="407" spans="1:10" x14ac:dyDescent="0.25">
      <c r="A407" s="2">
        <v>402.75584975422498</v>
      </c>
      <c r="B407" s="3">
        <v>2.42129565116733</v>
      </c>
      <c r="C407" s="5">
        <v>4.3137673443153803E-120</v>
      </c>
      <c r="D407" s="6">
        <v>5.1556055775696496E-118</v>
      </c>
      <c r="E407" s="3" t="s">
        <v>342</v>
      </c>
      <c r="F407" s="3" t="s">
        <v>343</v>
      </c>
      <c r="G407" s="3">
        <v>209212</v>
      </c>
      <c r="H407" s="7" t="str">
        <f>HYPERLINK("http://www.ensembl.org/Mus_musculus/Gene/Summary?db=core;g=ENSMUSG00000041153","ENSMUSG00000041153")</f>
        <v>ENSMUSG00000041153</v>
      </c>
      <c r="I407" s="7" t="str">
        <f>HYPERLINK("http://www.informatics.jax.org/marker/MGI:2384798","MGI:2384798")</f>
        <v>MGI:2384798</v>
      </c>
      <c r="J407" s="4" t="s">
        <v>12</v>
      </c>
    </row>
    <row r="408" spans="1:10" x14ac:dyDescent="0.25">
      <c r="A408" s="2">
        <v>2.00563371635856</v>
      </c>
      <c r="B408" s="3">
        <v>2.4197917652854302</v>
      </c>
      <c r="C408" s="5">
        <v>2.28991930969955E-7</v>
      </c>
      <c r="D408" s="6">
        <v>1.00955083360776E-6</v>
      </c>
      <c r="E408" s="3" t="s">
        <v>8963</v>
      </c>
      <c r="F408" s="3" t="s">
        <v>8964</v>
      </c>
      <c r="G408" s="3">
        <v>110557</v>
      </c>
      <c r="H408" s="7" t="str">
        <f>HYPERLINK("http://www.ensembl.org/Mus_musculus/Gene/Summary?db=core;g=ENSMUSG00000073409","ENSMUSG00000073409")</f>
        <v>ENSMUSG00000073409</v>
      </c>
      <c r="I408" s="7" t="str">
        <f>HYPERLINK("http://www.informatics.jax.org/marker/MGI:95935","MGI:95935")</f>
        <v>MGI:95935</v>
      </c>
      <c r="J408" s="4" t="s">
        <v>12</v>
      </c>
    </row>
    <row r="409" spans="1:10" x14ac:dyDescent="0.25">
      <c r="A409" s="2">
        <v>310.40189889679999</v>
      </c>
      <c r="B409" s="3">
        <v>2.4178902552890702</v>
      </c>
      <c r="C409" s="5">
        <v>1.38313376476221E-50</v>
      </c>
      <c r="D409" s="6">
        <v>3.7673201437998298E-49</v>
      </c>
      <c r="E409" s="3" t="s">
        <v>1464</v>
      </c>
      <c r="F409" s="3" t="s">
        <v>1465</v>
      </c>
      <c r="G409" s="3">
        <v>19204</v>
      </c>
      <c r="H409" s="7" t="str">
        <f>HYPERLINK("http://www.ensembl.org/Mus_musculus/Gene/Summary?db=core;g=ENSMUSG00000056529","ENSMUSG00000056529")</f>
        <v>ENSMUSG00000056529</v>
      </c>
      <c r="I409" s="7" t="str">
        <f>HYPERLINK("http://www.informatics.jax.org/marker/MGI:106066","MGI:106066")</f>
        <v>MGI:106066</v>
      </c>
      <c r="J409" s="4" t="s">
        <v>12</v>
      </c>
    </row>
    <row r="410" spans="1:10" x14ac:dyDescent="0.25">
      <c r="A410" s="2">
        <v>2.17098354422785</v>
      </c>
      <c r="B410" s="3">
        <v>2.4123239442856401</v>
      </c>
      <c r="C410" s="5">
        <v>2.3953906764203201E-7</v>
      </c>
      <c r="D410" s="6">
        <v>1.0539291418788201E-6</v>
      </c>
      <c r="E410" s="3" t="s">
        <v>8981</v>
      </c>
      <c r="F410" s="3" t="s">
        <v>8982</v>
      </c>
      <c r="G410" s="3" t="s">
        <v>83</v>
      </c>
      <c r="H410" s="7" t="str">
        <f>HYPERLINK("http://www.ensembl.org/Mus_musculus/Gene/Summary?db=core;g=ENSMUSG00000110500","ENSMUSG00000110500")</f>
        <v>ENSMUSG00000110500</v>
      </c>
      <c r="I410" s="7" t="str">
        <f>HYPERLINK("http://www.informatics.jax.org/marker/MGI:5591727","MGI:5591727")</f>
        <v>MGI:5591727</v>
      </c>
      <c r="J410" s="4" t="s">
        <v>939</v>
      </c>
    </row>
    <row r="411" spans="1:10" x14ac:dyDescent="0.25">
      <c r="A411" s="2">
        <v>3.78075515032649</v>
      </c>
      <c r="B411" s="3">
        <v>2.4069892384405001</v>
      </c>
      <c r="C411" s="5">
        <v>6.9431949477490098E-8</v>
      </c>
      <c r="D411" s="6">
        <v>3.1878883438791702E-7</v>
      </c>
      <c r="E411" s="3" t="s">
        <v>8607</v>
      </c>
      <c r="F411" s="3" t="s">
        <v>8608</v>
      </c>
      <c r="G411" s="3">
        <v>12180</v>
      </c>
      <c r="H411" s="7" t="str">
        <f>HYPERLINK("http://www.ensembl.org/Mus_musculus/Gene/Summary?db=core;g=ENSMUSG00000055027","ENSMUSG00000055027")</f>
        <v>ENSMUSG00000055027</v>
      </c>
      <c r="I411" s="7" t="str">
        <f>HYPERLINK("http://www.informatics.jax.org/marker/MGI:104790","MGI:104790")</f>
        <v>MGI:104790</v>
      </c>
      <c r="J411" s="4" t="s">
        <v>12</v>
      </c>
    </row>
    <row r="412" spans="1:10" x14ac:dyDescent="0.25">
      <c r="A412" s="2">
        <v>130.243116953384</v>
      </c>
      <c r="B412" s="3">
        <v>2.40480296083823</v>
      </c>
      <c r="C412" s="5">
        <v>6.2763753728584903E-65</v>
      </c>
      <c r="D412" s="6">
        <v>2.5947614749008303E-63</v>
      </c>
      <c r="E412" s="3" t="s">
        <v>968</v>
      </c>
      <c r="F412" s="3" t="s">
        <v>969</v>
      </c>
      <c r="G412" s="3">
        <v>21817</v>
      </c>
      <c r="H412" s="7" t="str">
        <f>HYPERLINK("http://www.ensembl.org/Mus_musculus/Gene/Summary?db=core;g=ENSMUSG00000037820","ENSMUSG00000037820")</f>
        <v>ENSMUSG00000037820</v>
      </c>
      <c r="I412" s="7" t="str">
        <f>HYPERLINK("http://www.informatics.jax.org/marker/MGI:98731","MGI:98731")</f>
        <v>MGI:98731</v>
      </c>
      <c r="J412" s="4" t="s">
        <v>12</v>
      </c>
    </row>
    <row r="413" spans="1:10" x14ac:dyDescent="0.25">
      <c r="A413" s="2">
        <v>1474.3565703678601</v>
      </c>
      <c r="B413" s="3">
        <v>2.39717887887595</v>
      </c>
      <c r="C413" s="5">
        <v>3.4885314883097098E-34</v>
      </c>
      <c r="D413" s="6">
        <v>5.8747942740792102E-33</v>
      </c>
      <c r="E413" s="3" t="s">
        <v>2359</v>
      </c>
      <c r="F413" s="3" t="s">
        <v>2360</v>
      </c>
      <c r="G413" s="3">
        <v>17474</v>
      </c>
      <c r="H413" s="7" t="str">
        <f>HYPERLINK("http://www.ensembl.org/Mus_musculus/Gene/Summary?db=core;g=ENSMUSG00000030144","ENSMUSG00000030144")</f>
        <v>ENSMUSG00000030144</v>
      </c>
      <c r="I413" s="7" t="str">
        <f>HYPERLINK("http://www.informatics.jax.org/marker/MGI:1298389","MGI:1298389")</f>
        <v>MGI:1298389</v>
      </c>
      <c r="J413" s="4" t="s">
        <v>12</v>
      </c>
    </row>
    <row r="414" spans="1:10" x14ac:dyDescent="0.25">
      <c r="A414" s="2">
        <v>515.58002009403594</v>
      </c>
      <c r="B414" s="3">
        <v>2.3964215157916802</v>
      </c>
      <c r="C414" s="5">
        <v>2.53939573786166E-51</v>
      </c>
      <c r="D414" s="6">
        <v>7.0261839311425904E-50</v>
      </c>
      <c r="E414" s="3" t="s">
        <v>1440</v>
      </c>
      <c r="F414" s="3" t="s">
        <v>1441</v>
      </c>
      <c r="G414" s="3">
        <v>19039</v>
      </c>
      <c r="H414" s="7" t="str">
        <f>HYPERLINK("http://www.ensembl.org/Mus_musculus/Gene/Summary?db=core;g=ENSMUSG00000033880","ENSMUSG00000033880")</f>
        <v>ENSMUSG00000033880</v>
      </c>
      <c r="I414" s="7" t="str">
        <f>HYPERLINK("http://www.informatics.jax.org/marker/MGI:99554","MGI:99554")</f>
        <v>MGI:99554</v>
      </c>
      <c r="J414" s="4" t="s">
        <v>12</v>
      </c>
    </row>
    <row r="415" spans="1:10" x14ac:dyDescent="0.25">
      <c r="A415" s="2">
        <v>149.04313666787701</v>
      </c>
      <c r="B415" s="3">
        <v>2.3951484737341899</v>
      </c>
      <c r="C415" s="5">
        <v>5.8156460596061396E-31</v>
      </c>
      <c r="D415" s="6">
        <v>8.8218877150333099E-30</v>
      </c>
      <c r="E415" s="3" t="s">
        <v>2617</v>
      </c>
      <c r="F415" s="3" t="s">
        <v>2618</v>
      </c>
      <c r="G415" s="3">
        <v>11541</v>
      </c>
      <c r="H415" s="7" t="str">
        <f>HYPERLINK("http://www.ensembl.org/Mus_musculus/Gene/Summary?db=core;g=ENSMUSG00000018500","ENSMUSG00000018500")</f>
        <v>ENSMUSG00000018500</v>
      </c>
      <c r="I415" s="7" t="str">
        <f>HYPERLINK("http://www.informatics.jax.org/marker/MGI:99403","MGI:99403")</f>
        <v>MGI:99403</v>
      </c>
      <c r="J415" s="4" t="s">
        <v>12</v>
      </c>
    </row>
    <row r="416" spans="1:10" x14ac:dyDescent="0.25">
      <c r="A416" s="2">
        <v>2.91316722489052</v>
      </c>
      <c r="B416" s="3">
        <v>2.3924868855877901</v>
      </c>
      <c r="C416" s="5">
        <v>2.8597846281720199E-7</v>
      </c>
      <c r="D416" s="6">
        <v>1.25016521541903E-6</v>
      </c>
      <c r="E416" s="3" t="s">
        <v>9037</v>
      </c>
      <c r="F416" s="3" t="s">
        <v>9038</v>
      </c>
      <c r="G416" s="3" t="s">
        <v>83</v>
      </c>
      <c r="H416" s="7" t="str">
        <f>HYPERLINK("http://www.ensembl.org/Mus_musculus/Gene/Summary?db=core;g=ENSMUSG00000086196","ENSMUSG00000086196")</f>
        <v>ENSMUSG00000086196</v>
      </c>
      <c r="I416" s="7" t="str">
        <f>HYPERLINK("http://www.informatics.jax.org/marker/MGI:3652223","MGI:3652223")</f>
        <v>MGI:3652223</v>
      </c>
      <c r="J416" s="4" t="s">
        <v>932</v>
      </c>
    </row>
    <row r="417" spans="1:10" x14ac:dyDescent="0.25">
      <c r="A417" s="2">
        <v>3.67658345365997</v>
      </c>
      <c r="B417" s="3">
        <v>2.3809153195994699</v>
      </c>
      <c r="C417" s="5">
        <v>1.51830133802367E-7</v>
      </c>
      <c r="D417" s="6">
        <v>6.76477686078329E-7</v>
      </c>
      <c r="E417" s="3" t="s">
        <v>8869</v>
      </c>
      <c r="F417" s="3" t="s">
        <v>8870</v>
      </c>
      <c r="G417" s="3">
        <v>19275</v>
      </c>
      <c r="H417" s="7" t="str">
        <f>HYPERLINK("http://www.ensembl.org/Mus_musculus/Gene/Summary?db=core;g=ENSMUSG00000026204","ENSMUSG00000026204")</f>
        <v>ENSMUSG00000026204</v>
      </c>
      <c r="I417" s="7" t="str">
        <f>HYPERLINK("http://www.informatics.jax.org/marker/MGI:102765","MGI:102765")</f>
        <v>MGI:102765</v>
      </c>
      <c r="J417" s="4" t="s">
        <v>12</v>
      </c>
    </row>
    <row r="418" spans="1:10" x14ac:dyDescent="0.25">
      <c r="A418" s="2">
        <v>50.806354820340097</v>
      </c>
      <c r="B418" s="3">
        <v>2.3740814935535899</v>
      </c>
      <c r="C418" s="5">
        <v>3.4738984265994702E-25</v>
      </c>
      <c r="D418" s="6">
        <v>4.2576306384425998E-24</v>
      </c>
      <c r="E418" s="3" t="s">
        <v>3238</v>
      </c>
      <c r="F418" s="3" t="s">
        <v>3239</v>
      </c>
      <c r="G418" s="3">
        <v>66102</v>
      </c>
      <c r="H418" s="7" t="str">
        <f>HYPERLINK("http://www.ensembl.org/Mus_musculus/Gene/Summary?db=core;g=ENSMUSG00000018920","ENSMUSG00000018920")</f>
        <v>ENSMUSG00000018920</v>
      </c>
      <c r="I418" s="7" t="str">
        <f>HYPERLINK("http://www.informatics.jax.org/marker/MGI:1932682","MGI:1932682")</f>
        <v>MGI:1932682</v>
      </c>
      <c r="J418" s="4" t="s">
        <v>12</v>
      </c>
    </row>
    <row r="419" spans="1:10" x14ac:dyDescent="0.25">
      <c r="A419" s="2">
        <v>34.026433045887799</v>
      </c>
      <c r="B419" s="3">
        <v>2.36503033951784</v>
      </c>
      <c r="C419" s="5">
        <v>2.8502319197442503E-23</v>
      </c>
      <c r="D419" s="6">
        <v>3.2526952232266499E-22</v>
      </c>
      <c r="E419" s="3" t="s">
        <v>3474</v>
      </c>
      <c r="F419" s="3" t="s">
        <v>3475</v>
      </c>
      <c r="G419" s="3" t="s">
        <v>83</v>
      </c>
      <c r="H419" s="7" t="str">
        <f>HYPERLINK("http://www.ensembl.org/Mus_musculus/Gene/Summary?db=core;g=ENSMUSG00000082419","ENSMUSG00000082419")</f>
        <v>ENSMUSG00000082419</v>
      </c>
      <c r="I419" s="7" t="str">
        <f>HYPERLINK("http://www.informatics.jax.org/marker/MGI:3650957","MGI:3650957")</f>
        <v>MGI:3650957</v>
      </c>
      <c r="J419" s="4" t="s">
        <v>1043</v>
      </c>
    </row>
    <row r="420" spans="1:10" x14ac:dyDescent="0.25">
      <c r="A420" s="2">
        <v>1.78204098250739</v>
      </c>
      <c r="B420" s="3">
        <v>2.3639266189727999</v>
      </c>
      <c r="C420" s="5">
        <v>3.4209079717322098E-7</v>
      </c>
      <c r="D420" s="6">
        <v>1.48362228288012E-6</v>
      </c>
      <c r="E420" s="3" t="s">
        <v>9109</v>
      </c>
      <c r="F420" s="3" t="s">
        <v>9110</v>
      </c>
      <c r="G420" s="3">
        <v>78906</v>
      </c>
      <c r="H420" s="7" t="str">
        <f>HYPERLINK("http://www.ensembl.org/Mus_musculus/Gene/Summary?db=core;g=ENSMUSG00000035852","ENSMUSG00000035852")</f>
        <v>ENSMUSG00000035852</v>
      </c>
      <c r="I420" s="7" t="str">
        <f>HYPERLINK("http://www.informatics.jax.org/marker/MGI:1926156","MGI:1926156")</f>
        <v>MGI:1926156</v>
      </c>
      <c r="J420" s="4" t="s">
        <v>12</v>
      </c>
    </row>
    <row r="421" spans="1:10" x14ac:dyDescent="0.25">
      <c r="A421" s="2">
        <v>49.051123745921799</v>
      </c>
      <c r="B421" s="3">
        <v>2.3638831027661098</v>
      </c>
      <c r="C421" s="5">
        <v>1.91358648573924E-26</v>
      </c>
      <c r="D421" s="6">
        <v>2.4793643560300802E-25</v>
      </c>
      <c r="E421" s="3" t="s">
        <v>3062</v>
      </c>
      <c r="F421" s="3" t="s">
        <v>3063</v>
      </c>
      <c r="G421" s="3">
        <v>55948</v>
      </c>
      <c r="H421" s="7" t="str">
        <f>HYPERLINK("http://www.ensembl.org/Mus_musculus/Gene/Summary?db=core;g=ENSMUSG00000047281","ENSMUSG00000047281")</f>
        <v>ENSMUSG00000047281</v>
      </c>
      <c r="I421" s="7" t="str">
        <f>HYPERLINK("http://www.informatics.jax.org/marker/MGI:1891831","MGI:1891831")</f>
        <v>MGI:1891831</v>
      </c>
      <c r="J421" s="4" t="s">
        <v>12</v>
      </c>
    </row>
    <row r="422" spans="1:10" x14ac:dyDescent="0.25">
      <c r="A422" s="2">
        <v>1266.7317989866201</v>
      </c>
      <c r="B422" s="3">
        <v>2.3622697275897702</v>
      </c>
      <c r="C422" s="5">
        <v>2.8556070804238301E-295</v>
      </c>
      <c r="D422" s="6">
        <v>3.5195357266223602E-292</v>
      </c>
      <c r="E422" s="3" t="s">
        <v>41</v>
      </c>
      <c r="F422" s="3" t="s">
        <v>42</v>
      </c>
      <c r="G422" s="3">
        <v>217344</v>
      </c>
      <c r="H422" s="7" t="str">
        <f>HYPERLINK("http://www.ensembl.org/Mus_musculus/Gene/Summary?db=core;g=ENSMUSG00000020806","ENSMUSG00000020806")</f>
        <v>ENSMUSG00000020806</v>
      </c>
      <c r="I422" s="7" t="str">
        <f>HYPERLINK("http://www.informatics.jax.org/marker/MGI:2442473","MGI:2442473")</f>
        <v>MGI:2442473</v>
      </c>
      <c r="J422" s="4" t="s">
        <v>12</v>
      </c>
    </row>
    <row r="423" spans="1:10" x14ac:dyDescent="0.25">
      <c r="A423" s="2">
        <v>46.670035350649599</v>
      </c>
      <c r="B423" s="3">
        <v>2.3565665538325899</v>
      </c>
      <c r="C423" s="5">
        <v>3.11517803329705E-8</v>
      </c>
      <c r="D423" s="6">
        <v>1.47423352091716E-7</v>
      </c>
      <c r="E423" s="3" t="s">
        <v>8351</v>
      </c>
      <c r="F423" s="3" t="s">
        <v>8352</v>
      </c>
      <c r="G423" s="3">
        <v>17381</v>
      </c>
      <c r="H423" s="7" t="str">
        <f>HYPERLINK("http://www.ensembl.org/Mus_musculus/Gene/Summary?db=core;g=ENSMUSG00000049723","ENSMUSG00000049723")</f>
        <v>ENSMUSG00000049723</v>
      </c>
      <c r="I423" s="7" t="str">
        <f>HYPERLINK("http://www.informatics.jax.org/marker/MGI:97005","MGI:97005")</f>
        <v>MGI:97005</v>
      </c>
      <c r="J423" s="4" t="s">
        <v>12</v>
      </c>
    </row>
    <row r="424" spans="1:10" x14ac:dyDescent="0.25">
      <c r="A424" s="2">
        <v>672.846812825455</v>
      </c>
      <c r="B424" s="3">
        <v>2.3464450768545899</v>
      </c>
      <c r="C424" s="5">
        <v>6.0799998445466101E-49</v>
      </c>
      <c r="D424" s="6">
        <v>1.6072063932233099E-47</v>
      </c>
      <c r="E424" s="3" t="s">
        <v>1508</v>
      </c>
      <c r="F424" s="3" t="s">
        <v>1509</v>
      </c>
      <c r="G424" s="3">
        <v>20530</v>
      </c>
      <c r="H424" s="7" t="str">
        <f>HYPERLINK("http://www.ensembl.org/Mus_musculus/Gene/Summary?db=core;g=ENSMUSG00000066152","ENSMUSG00000066152")</f>
        <v>ENSMUSG00000066152</v>
      </c>
      <c r="I424" s="7" t="str">
        <f>HYPERLINK("http://www.informatics.jax.org/marker/MGI:1333844","MGI:1333844")</f>
        <v>MGI:1333844</v>
      </c>
      <c r="J424" s="4" t="s">
        <v>12</v>
      </c>
    </row>
    <row r="425" spans="1:10" x14ac:dyDescent="0.25">
      <c r="A425" s="2">
        <v>2.9281941055212899</v>
      </c>
      <c r="B425" s="3">
        <v>2.3418122704264501</v>
      </c>
      <c r="C425" s="5">
        <v>4.2424692936055099E-7</v>
      </c>
      <c r="D425" s="6">
        <v>1.82269051132681E-6</v>
      </c>
      <c r="E425" s="3" t="s">
        <v>9195</v>
      </c>
      <c r="F425" s="3" t="s">
        <v>9196</v>
      </c>
      <c r="G425" s="3" t="s">
        <v>83</v>
      </c>
      <c r="H425" s="7" t="str">
        <f>HYPERLINK("http://www.ensembl.org/Mus_musculus/Gene/Summary?db=core;g=ENSMUSG00000118258","ENSMUSG00000118258")</f>
        <v>ENSMUSG00000118258</v>
      </c>
      <c r="I425" s="7" t="str">
        <f>HYPERLINK("http://www.informatics.jax.org/marker/MGI:5011261","MGI:5011261")</f>
        <v>MGI:5011261</v>
      </c>
      <c r="J425" s="4" t="s">
        <v>1043</v>
      </c>
    </row>
    <row r="426" spans="1:10" x14ac:dyDescent="0.25">
      <c r="A426" s="2">
        <v>2813.53647272733</v>
      </c>
      <c r="B426" s="3">
        <v>2.3384470250604701</v>
      </c>
      <c r="C426" s="5">
        <v>2.60052156385779E-162</v>
      </c>
      <c r="D426" s="6">
        <v>6.4102856549094403E-160</v>
      </c>
      <c r="E426" s="3" t="s">
        <v>170</v>
      </c>
      <c r="F426" s="3" t="s">
        <v>171</v>
      </c>
      <c r="G426" s="3">
        <v>11910</v>
      </c>
      <c r="H426" s="7" t="str">
        <f>HYPERLINK("http://www.ensembl.org/Mus_musculus/Gene/Summary?db=core;g=ENSMUSG00000026628","ENSMUSG00000026628")</f>
        <v>ENSMUSG00000026628</v>
      </c>
      <c r="I426" s="7" t="str">
        <f>HYPERLINK("http://www.informatics.jax.org/marker/MGI:109384","MGI:109384")</f>
        <v>MGI:109384</v>
      </c>
      <c r="J426" s="4" t="s">
        <v>12</v>
      </c>
    </row>
    <row r="427" spans="1:10" x14ac:dyDescent="0.25">
      <c r="A427" s="2">
        <v>11166.582128286</v>
      </c>
      <c r="B427" s="3">
        <v>2.3375906105597899</v>
      </c>
      <c r="C427" s="5">
        <v>2.19771377044982E-100</v>
      </c>
      <c r="D427" s="6">
        <v>1.7617445346857898E-98</v>
      </c>
      <c r="E427" s="3" t="s">
        <v>504</v>
      </c>
      <c r="F427" s="3" t="s">
        <v>505</v>
      </c>
      <c r="G427" s="3">
        <v>12874</v>
      </c>
      <c r="H427" s="7" t="str">
        <f>HYPERLINK("http://www.ensembl.org/Mus_musculus/Gene/Summary?db=core;g=ENSMUSG00000020841","ENSMUSG00000020841")</f>
        <v>ENSMUSG00000020841</v>
      </c>
      <c r="I427" s="7" t="str">
        <f>HYPERLINK("http://www.informatics.jax.org/marker/MGI:107265","MGI:107265")</f>
        <v>MGI:107265</v>
      </c>
      <c r="J427" s="4" t="s">
        <v>12</v>
      </c>
    </row>
    <row r="428" spans="1:10" x14ac:dyDescent="0.25">
      <c r="A428" s="2">
        <v>2.33855253207502</v>
      </c>
      <c r="B428" s="3">
        <v>2.3369913669206199</v>
      </c>
      <c r="C428" s="5">
        <v>6.11867303085233E-7</v>
      </c>
      <c r="D428" s="6">
        <v>2.5892753684207699E-6</v>
      </c>
      <c r="E428" s="3" t="s">
        <v>9335</v>
      </c>
      <c r="F428" s="3" t="s">
        <v>9336</v>
      </c>
      <c r="G428" s="3">
        <v>16196</v>
      </c>
      <c r="H428" s="7" t="str">
        <f>HYPERLINK("http://www.ensembl.org/Mus_musculus/Gene/Summary?db=core;g=ENSMUSG00000040329","ENSMUSG00000040329")</f>
        <v>ENSMUSG00000040329</v>
      </c>
      <c r="I428" s="7" t="str">
        <f>HYPERLINK("http://www.informatics.jax.org/marker/MGI:96561","MGI:96561")</f>
        <v>MGI:96561</v>
      </c>
      <c r="J428" s="4" t="s">
        <v>12</v>
      </c>
    </row>
    <row r="429" spans="1:10" x14ac:dyDescent="0.25">
      <c r="A429" s="2">
        <v>6.4293947682208499</v>
      </c>
      <c r="B429" s="3">
        <v>2.3336911439613601</v>
      </c>
      <c r="C429" s="5">
        <v>6.0634000396981102E-9</v>
      </c>
      <c r="D429" s="6">
        <v>3.05962765565114E-8</v>
      </c>
      <c r="E429" s="3" t="s">
        <v>7832</v>
      </c>
      <c r="F429" s="3" t="s">
        <v>7833</v>
      </c>
      <c r="G429" s="3" t="s">
        <v>83</v>
      </c>
      <c r="H429" s="7" t="str">
        <f>HYPERLINK("http://www.ensembl.org/Mus_musculus/Gene/Summary?db=core;g=ENSMUSG00000108720","ENSMUSG00000108720")</f>
        <v>ENSMUSG00000108720</v>
      </c>
      <c r="I429" s="7" t="str">
        <f>HYPERLINK("http://www.informatics.jax.org/marker/MGI:5753248","MGI:5753248")</f>
        <v>MGI:5753248</v>
      </c>
      <c r="J429" s="4" t="s">
        <v>932</v>
      </c>
    </row>
    <row r="430" spans="1:10" x14ac:dyDescent="0.25">
      <c r="A430" s="2">
        <v>3.6850348941937399</v>
      </c>
      <c r="B430" s="3">
        <v>2.3334520306040401</v>
      </c>
      <c r="C430" s="5">
        <v>1.3201648520046501E-7</v>
      </c>
      <c r="D430" s="6">
        <v>5.9234700526807001E-7</v>
      </c>
      <c r="E430" s="3" t="s">
        <v>8807</v>
      </c>
      <c r="F430" s="3" t="s">
        <v>8808</v>
      </c>
      <c r="G430" s="3">
        <v>73707</v>
      </c>
      <c r="H430" s="7" t="str">
        <f>HYPERLINK("http://www.ensembl.org/Mus_musculus/Gene/Summary?db=core;g=ENSMUSG00000055523","ENSMUSG00000055523")</f>
        <v>ENSMUSG00000055523</v>
      </c>
      <c r="I430" s="7" t="str">
        <f>HYPERLINK("http://www.informatics.jax.org/marker/MGI:106025","MGI:106025")</f>
        <v>MGI:106025</v>
      </c>
      <c r="J430" s="4" t="s">
        <v>12</v>
      </c>
    </row>
    <row r="431" spans="1:10" x14ac:dyDescent="0.25">
      <c r="A431" s="2">
        <v>4700.0232678673301</v>
      </c>
      <c r="B431" s="3">
        <v>2.3327615394386298</v>
      </c>
      <c r="C431" s="3">
        <v>0</v>
      </c>
      <c r="D431" s="4">
        <v>0</v>
      </c>
      <c r="E431" s="3" t="s">
        <v>23</v>
      </c>
      <c r="F431" s="3" t="s">
        <v>24</v>
      </c>
      <c r="G431" s="3">
        <v>320207</v>
      </c>
      <c r="H431" s="7" t="str">
        <f>HYPERLINK("http://www.ensembl.org/Mus_musculus/Gene/Summary?db=core;g=ENSMUSG00000020901","ENSMUSG00000020901")</f>
        <v>ENSMUSG00000020901</v>
      </c>
      <c r="I431" s="7" t="str">
        <f>HYPERLINK("http://www.informatics.jax.org/marker/MGI:2443588","MGI:2443588")</f>
        <v>MGI:2443588</v>
      </c>
      <c r="J431" s="4" t="s">
        <v>12</v>
      </c>
    </row>
    <row r="432" spans="1:10" x14ac:dyDescent="0.25">
      <c r="A432" s="2">
        <v>4.9481086039989002</v>
      </c>
      <c r="B432" s="3">
        <v>2.3305794060523302</v>
      </c>
      <c r="C432" s="5">
        <v>2.47451322547118E-7</v>
      </c>
      <c r="D432" s="6">
        <v>1.0870439030138501E-6</v>
      </c>
      <c r="E432" s="3" t="s">
        <v>8995</v>
      </c>
      <c r="F432" s="3" t="s">
        <v>8996</v>
      </c>
      <c r="G432" s="3" t="s">
        <v>83</v>
      </c>
      <c r="H432" s="7" t="str">
        <f>HYPERLINK("http://www.ensembl.org/Mus_musculus/Gene/Summary?db=core;g=ENSMUSG00000118369","ENSMUSG00000118369")</f>
        <v>ENSMUSG00000118369</v>
      </c>
      <c r="I432" s="7" t="str">
        <f>HYPERLINK("http://www.informatics.jax.org/marker/MGI:5589700","MGI:5589700")</f>
        <v>MGI:5589700</v>
      </c>
      <c r="J432" s="4" t="s">
        <v>331</v>
      </c>
    </row>
    <row r="433" spans="1:10" x14ac:dyDescent="0.25">
      <c r="A433" s="2">
        <v>385.51346259939999</v>
      </c>
      <c r="B433" s="3">
        <v>2.33031561019089</v>
      </c>
      <c r="C433" s="5">
        <v>2.8918766955364E-103</v>
      </c>
      <c r="D433" s="6">
        <v>2.4267152525947999E-101</v>
      </c>
      <c r="E433" s="3" t="s">
        <v>482</v>
      </c>
      <c r="F433" s="3" t="s">
        <v>483</v>
      </c>
      <c r="G433" s="3">
        <v>15162</v>
      </c>
      <c r="H433" s="7" t="str">
        <f>HYPERLINK("http://www.ensembl.org/Mus_musculus/Gene/Summary?db=core;g=ENSMUSG00000003283","ENSMUSG00000003283")</f>
        <v>ENSMUSG00000003283</v>
      </c>
      <c r="I433" s="7" t="str">
        <f>HYPERLINK("http://www.informatics.jax.org/marker/MGI:96052","MGI:96052")</f>
        <v>MGI:96052</v>
      </c>
      <c r="J433" s="4" t="s">
        <v>12</v>
      </c>
    </row>
    <row r="434" spans="1:10" x14ac:dyDescent="0.25">
      <c r="A434" s="2">
        <v>44.546370072520801</v>
      </c>
      <c r="B434" s="3">
        <v>2.3248968302323498</v>
      </c>
      <c r="C434" s="5">
        <v>1.9989060515085401E-25</v>
      </c>
      <c r="D434" s="6">
        <v>2.48226872391362E-24</v>
      </c>
      <c r="E434" s="3" t="s">
        <v>3196</v>
      </c>
      <c r="F434" s="3" t="s">
        <v>3197</v>
      </c>
      <c r="G434" s="3">
        <v>16173</v>
      </c>
      <c r="H434" s="7" t="str">
        <f>HYPERLINK("http://www.ensembl.org/Mus_musculus/Gene/Summary?db=core;g=ENSMUSG00000039217","ENSMUSG00000039217")</f>
        <v>ENSMUSG00000039217</v>
      </c>
      <c r="I434" s="7" t="str">
        <f>HYPERLINK("http://www.informatics.jax.org/marker/MGI:107936","MGI:107936")</f>
        <v>MGI:107936</v>
      </c>
      <c r="J434" s="4" t="s">
        <v>12</v>
      </c>
    </row>
    <row r="435" spans="1:10" x14ac:dyDescent="0.25">
      <c r="A435" s="2">
        <v>9.3341803438992503</v>
      </c>
      <c r="B435" s="3">
        <v>2.3214758765561698</v>
      </c>
      <c r="C435" s="5">
        <v>4.6307715232989897E-9</v>
      </c>
      <c r="D435" s="6">
        <v>2.3584404555644701E-8</v>
      </c>
      <c r="E435" s="3" t="s">
        <v>7760</v>
      </c>
      <c r="F435" s="3" t="s">
        <v>7761</v>
      </c>
      <c r="G435" s="3">
        <v>107527</v>
      </c>
      <c r="H435" s="7" t="str">
        <f>HYPERLINK("http://www.ensembl.org/Mus_musculus/Gene/Summary?db=core;g=ENSMUSG00000070942","ENSMUSG00000070942")</f>
        <v>ENSMUSG00000070942</v>
      </c>
      <c r="I435" s="7" t="str">
        <f>HYPERLINK("http://www.informatics.jax.org/marker/MGI:1913107","MGI:1913107")</f>
        <v>MGI:1913107</v>
      </c>
      <c r="J435" s="4" t="s">
        <v>12</v>
      </c>
    </row>
    <row r="436" spans="1:10" x14ac:dyDescent="0.25">
      <c r="A436" s="2">
        <v>2.5125698882039802</v>
      </c>
      <c r="B436" s="3">
        <v>2.31984138532603</v>
      </c>
      <c r="C436" s="5">
        <v>7.3364267834133995E-7</v>
      </c>
      <c r="D436" s="6">
        <v>3.0762138245569301E-6</v>
      </c>
      <c r="E436" s="3" t="s">
        <v>9421</v>
      </c>
      <c r="F436" s="3" t="s">
        <v>9422</v>
      </c>
      <c r="G436" s="3">
        <v>627214</v>
      </c>
      <c r="H436" s="7" t="str">
        <f>HYPERLINK("http://www.ensembl.org/Mus_musculus/Gene/Summary?db=core;g=ENSMUSG00000073805","ENSMUSG00000073805")</f>
        <v>ENSMUSG00000073805</v>
      </c>
      <c r="I436" s="7" t="str">
        <f>HYPERLINK("http://www.informatics.jax.org/marker/MGI:3605068","MGI:3605068")</f>
        <v>MGI:3605068</v>
      </c>
      <c r="J436" s="4" t="s">
        <v>12</v>
      </c>
    </row>
    <row r="437" spans="1:10" x14ac:dyDescent="0.25">
      <c r="A437" s="2">
        <v>2.0985876333384299</v>
      </c>
      <c r="B437" s="3">
        <v>2.31714026147763</v>
      </c>
      <c r="C437" s="5">
        <v>7.0558704824137103E-7</v>
      </c>
      <c r="D437" s="6">
        <v>2.9648788815938299E-6</v>
      </c>
      <c r="E437" s="3" t="s">
        <v>9401</v>
      </c>
      <c r="F437" s="3" t="s">
        <v>9402</v>
      </c>
      <c r="G437" s="3">
        <v>242667</v>
      </c>
      <c r="H437" s="7" t="str">
        <f>HYPERLINK("http://www.ensembl.org/Mus_musculus/Gene/Summary?db=core;g=ENSMUSG00000042388","ENSMUSG00000042388")</f>
        <v>ENSMUSG00000042388</v>
      </c>
      <c r="I437" s="7" t="str">
        <f>HYPERLINK("http://www.informatics.jax.org/marker/MGI:3039563","MGI:3039563")</f>
        <v>MGI:3039563</v>
      </c>
      <c r="J437" s="4" t="s">
        <v>12</v>
      </c>
    </row>
    <row r="438" spans="1:10" x14ac:dyDescent="0.25">
      <c r="A438" s="2">
        <v>14.668605162452501</v>
      </c>
      <c r="B438" s="3">
        <v>2.3115507501369299</v>
      </c>
      <c r="C438" s="5">
        <v>2.2592136001497201E-10</v>
      </c>
      <c r="D438" s="6">
        <v>1.27765105233589E-9</v>
      </c>
      <c r="E438" s="3" t="s">
        <v>6992</v>
      </c>
      <c r="F438" s="3" t="s">
        <v>6993</v>
      </c>
      <c r="G438" s="3">
        <v>12700</v>
      </c>
      <c r="H438" s="7" t="str">
        <f>HYPERLINK("http://www.ensembl.org/Mus_musculus/Gene/Summary?db=core;g=ENSMUSG00000032578","ENSMUSG00000032578")</f>
        <v>ENSMUSG00000032578</v>
      </c>
      <c r="I438" s="7" t="str">
        <f>HYPERLINK("http://www.informatics.jax.org/marker/MGI:103159","MGI:103159")</f>
        <v>MGI:103159</v>
      </c>
      <c r="J438" s="4" t="s">
        <v>12</v>
      </c>
    </row>
    <row r="439" spans="1:10" x14ac:dyDescent="0.25">
      <c r="A439" s="2">
        <v>4610.6770798003099</v>
      </c>
      <c r="B439" s="3">
        <v>2.3114712698346001</v>
      </c>
      <c r="C439" s="5">
        <v>1.9410995969169401E-134</v>
      </c>
      <c r="D439" s="6">
        <v>3.0379749246985797E-132</v>
      </c>
      <c r="E439" s="3" t="s">
        <v>262</v>
      </c>
      <c r="F439" s="3" t="s">
        <v>263</v>
      </c>
      <c r="G439" s="3">
        <v>20963</v>
      </c>
      <c r="H439" s="7" t="str">
        <f>HYPERLINK("http://www.ensembl.org/Mus_musculus/Gene/Summary?db=core;g=ENSMUSG00000021457","ENSMUSG00000021457")</f>
        <v>ENSMUSG00000021457</v>
      </c>
      <c r="I439" s="7" t="str">
        <f>HYPERLINK("http://www.informatics.jax.org/marker/MGI:99515","MGI:99515")</f>
        <v>MGI:99515</v>
      </c>
      <c r="J439" s="4" t="s">
        <v>12</v>
      </c>
    </row>
    <row r="440" spans="1:10" x14ac:dyDescent="0.25">
      <c r="A440" s="2">
        <v>2394.6945268253298</v>
      </c>
      <c r="B440" s="3">
        <v>2.3099666011426701</v>
      </c>
      <c r="C440" s="3">
        <v>0</v>
      </c>
      <c r="D440" s="4">
        <v>0</v>
      </c>
      <c r="E440" s="3" t="s">
        <v>10</v>
      </c>
      <c r="F440" s="3" t="s">
        <v>11</v>
      </c>
      <c r="G440" s="3">
        <v>20442</v>
      </c>
      <c r="H440" s="7" t="str">
        <f>HYPERLINK("http://www.ensembl.org/Mus_musculus/Gene/Summary?db=core;g=ENSMUSG00000013846","ENSMUSG00000013846")</f>
        <v>ENSMUSG00000013846</v>
      </c>
      <c r="I440" s="7" t="str">
        <f>HYPERLINK("http://www.informatics.jax.org/marker/MGI:98304","MGI:98304")</f>
        <v>MGI:98304</v>
      </c>
      <c r="J440" s="4" t="s">
        <v>12</v>
      </c>
    </row>
    <row r="441" spans="1:10" x14ac:dyDescent="0.25">
      <c r="A441" s="2">
        <v>7.2387514950568201</v>
      </c>
      <c r="B441" s="3">
        <v>2.3075791064804498</v>
      </c>
      <c r="C441" s="5">
        <v>6.33256115578539E-8</v>
      </c>
      <c r="D441" s="6">
        <v>2.9170312074769402E-7</v>
      </c>
      <c r="E441" s="3" t="s">
        <v>8579</v>
      </c>
      <c r="F441" s="3" t="s">
        <v>8580</v>
      </c>
      <c r="G441" s="3">
        <v>71703</v>
      </c>
      <c r="H441" s="7" t="str">
        <f>HYPERLINK("http://www.ensembl.org/Mus_musculus/Gene/Summary?db=core;g=ENSMUSG00000049047","ENSMUSG00000049047")</f>
        <v>ENSMUSG00000049047</v>
      </c>
      <c r="I441" s="7" t="str">
        <f>HYPERLINK("http://www.informatics.jax.org/marker/MGI:1918953","MGI:1918953")</f>
        <v>MGI:1918953</v>
      </c>
      <c r="J441" s="4" t="s">
        <v>12</v>
      </c>
    </row>
    <row r="442" spans="1:10" x14ac:dyDescent="0.25">
      <c r="A442" s="2">
        <v>358.00519198680701</v>
      </c>
      <c r="B442" s="3">
        <v>2.3059308032242201</v>
      </c>
      <c r="C442" s="5">
        <v>1.8947693719209901E-181</v>
      </c>
      <c r="D442" s="6">
        <v>6.1253855761117903E-179</v>
      </c>
      <c r="E442" s="3" t="s">
        <v>132</v>
      </c>
      <c r="F442" s="3" t="s">
        <v>133</v>
      </c>
      <c r="G442" s="3">
        <v>19332</v>
      </c>
      <c r="H442" s="7" t="str">
        <f>HYPERLINK("http://www.ensembl.org/Mus_musculus/Gene/Summary?db=core;g=ENSMUSG00000031504","ENSMUSG00000031504")</f>
        <v>ENSMUSG00000031504</v>
      </c>
      <c r="I442" s="7" t="str">
        <f>HYPERLINK("http://www.informatics.jax.org/marker/MGI:102789","MGI:102789")</f>
        <v>MGI:102789</v>
      </c>
      <c r="J442" s="4" t="s">
        <v>12</v>
      </c>
    </row>
    <row r="443" spans="1:10" x14ac:dyDescent="0.25">
      <c r="A443" s="2">
        <v>1420.5794496324199</v>
      </c>
      <c r="B443" s="3">
        <v>2.2896990249289799</v>
      </c>
      <c r="C443" s="5">
        <v>3.9818642861998199E-177</v>
      </c>
      <c r="D443" s="6">
        <v>1.26648973748162E-174</v>
      </c>
      <c r="E443" s="3" t="s">
        <v>134</v>
      </c>
      <c r="F443" s="3" t="s">
        <v>135</v>
      </c>
      <c r="G443" s="3">
        <v>68279</v>
      </c>
      <c r="H443" s="7" t="str">
        <f>HYPERLINK("http://www.ensembl.org/Mus_musculus/Gene/Summary?db=core;g=ENSMUSG00000011008","ENSMUSG00000011008")</f>
        <v>ENSMUSG00000011008</v>
      </c>
      <c r="I443" s="7" t="str">
        <f>HYPERLINK("http://www.informatics.jax.org/marker/MGI:1915529","MGI:1915529")</f>
        <v>MGI:1915529</v>
      </c>
      <c r="J443" s="4" t="s">
        <v>12</v>
      </c>
    </row>
    <row r="444" spans="1:10" x14ac:dyDescent="0.25">
      <c r="A444" s="2">
        <v>58.134985981754497</v>
      </c>
      <c r="B444" s="3">
        <v>2.28654055265197</v>
      </c>
      <c r="C444" s="5">
        <v>1.7853359451711601E-17</v>
      </c>
      <c r="D444" s="6">
        <v>1.56405263610729E-16</v>
      </c>
      <c r="E444" s="3" t="s">
        <v>4519</v>
      </c>
      <c r="F444" s="3" t="s">
        <v>4520</v>
      </c>
      <c r="G444" s="3">
        <v>73656</v>
      </c>
      <c r="H444" s="7" t="str">
        <f>HYPERLINK("http://www.ensembl.org/Mus_musculus/Gene/Summary?db=core;g=ENSMUSG00000079419","ENSMUSG00000079419")</f>
        <v>ENSMUSG00000079419</v>
      </c>
      <c r="I444" s="7" t="str">
        <f>HYPERLINK("http://www.informatics.jax.org/marker/MGI:2385644","MGI:2385644")</f>
        <v>MGI:2385644</v>
      </c>
      <c r="J444" s="4" t="s">
        <v>12</v>
      </c>
    </row>
    <row r="445" spans="1:10" x14ac:dyDescent="0.25">
      <c r="A445" s="2">
        <v>722.011832327305</v>
      </c>
      <c r="B445" s="3">
        <v>2.2859996987466702</v>
      </c>
      <c r="C445" s="5">
        <v>1.8390523680651799E-94</v>
      </c>
      <c r="D445" s="6">
        <v>1.34318935919428E-92</v>
      </c>
      <c r="E445" s="3" t="s">
        <v>552</v>
      </c>
      <c r="F445" s="3" t="s">
        <v>553</v>
      </c>
      <c r="G445" s="3">
        <v>212167</v>
      </c>
      <c r="H445" s="7" t="str">
        <f>HYPERLINK("http://www.ensembl.org/Mus_musculus/Gene/Summary?db=core;g=ENSMUSG00000039934","ENSMUSG00000039934")</f>
        <v>ENSMUSG00000039934</v>
      </c>
      <c r="I445" s="7" t="str">
        <f>HYPERLINK("http://www.informatics.jax.org/marker/MGI:2442259","MGI:2442259")</f>
        <v>MGI:2442259</v>
      </c>
      <c r="J445" s="4" t="s">
        <v>12</v>
      </c>
    </row>
    <row r="446" spans="1:10" x14ac:dyDescent="0.25">
      <c r="A446" s="2">
        <v>455.04531903869901</v>
      </c>
      <c r="B446" s="3">
        <v>2.2813432431159302</v>
      </c>
      <c r="C446" s="5">
        <v>2.5306923746375401E-27</v>
      </c>
      <c r="D446" s="6">
        <v>3.3696997723060302E-26</v>
      </c>
      <c r="E446" s="3" t="s">
        <v>2980</v>
      </c>
      <c r="F446" s="3" t="s">
        <v>2981</v>
      </c>
      <c r="G446" s="3">
        <v>21355</v>
      </c>
      <c r="H446" s="7" t="str">
        <f>HYPERLINK("http://www.ensembl.org/Mus_musculus/Gene/Summary?db=core;g=ENSMUSG00000024339","ENSMUSG00000024339")</f>
        <v>ENSMUSG00000024339</v>
      </c>
      <c r="I446" s="7" t="str">
        <f>HYPERLINK("http://www.informatics.jax.org/marker/MGI:98484","MGI:98484")</f>
        <v>MGI:98484</v>
      </c>
      <c r="J446" s="4" t="s">
        <v>12</v>
      </c>
    </row>
    <row r="447" spans="1:10" x14ac:dyDescent="0.25">
      <c r="A447" s="2">
        <v>4212.10231696964</v>
      </c>
      <c r="B447" s="3">
        <v>2.2805017966014098</v>
      </c>
      <c r="C447" s="5">
        <v>1.15780758625707E-144</v>
      </c>
      <c r="D447" s="6">
        <v>2.0946757432100501E-142</v>
      </c>
      <c r="E447" s="3" t="s">
        <v>228</v>
      </c>
      <c r="F447" s="3" t="s">
        <v>229</v>
      </c>
      <c r="G447" s="3">
        <v>326618</v>
      </c>
      <c r="H447" s="7" t="str">
        <f>HYPERLINK("http://www.ensembl.org/Mus_musculus/Gene/Summary?db=core;g=ENSMUSG00000031799","ENSMUSG00000031799")</f>
        <v>ENSMUSG00000031799</v>
      </c>
      <c r="I447" s="7" t="str">
        <f>HYPERLINK("http://www.informatics.jax.org/marker/MGI:2449202","MGI:2449202")</f>
        <v>MGI:2449202</v>
      </c>
      <c r="J447" s="4" t="s">
        <v>12</v>
      </c>
    </row>
    <row r="448" spans="1:10" x14ac:dyDescent="0.25">
      <c r="A448" s="2">
        <v>555.42733389542605</v>
      </c>
      <c r="B448" s="3">
        <v>2.2772358404872701</v>
      </c>
      <c r="C448" s="5">
        <v>1.66887855551599E-208</v>
      </c>
      <c r="D448" s="6">
        <v>6.7163847173010695E-206</v>
      </c>
      <c r="E448" s="3" t="s">
        <v>108</v>
      </c>
      <c r="F448" s="3" t="s">
        <v>109</v>
      </c>
      <c r="G448" s="3">
        <v>70686</v>
      </c>
      <c r="H448" s="7" t="str">
        <f>HYPERLINK("http://www.ensembl.org/Mus_musculus/Gene/Summary?db=core;g=ENSMUSG00000030203","ENSMUSG00000030203")</f>
        <v>ENSMUSG00000030203</v>
      </c>
      <c r="I448" s="7" t="str">
        <f>HYPERLINK("http://www.informatics.jax.org/marker/MGI:1917936","MGI:1917936")</f>
        <v>MGI:1917936</v>
      </c>
      <c r="J448" s="4" t="s">
        <v>12</v>
      </c>
    </row>
    <row r="449" spans="1:10" x14ac:dyDescent="0.25">
      <c r="A449" s="2">
        <v>5463.7980075278401</v>
      </c>
      <c r="B449" s="3">
        <v>2.2758318204477401</v>
      </c>
      <c r="C449" s="3">
        <v>0</v>
      </c>
      <c r="D449" s="4">
        <v>0</v>
      </c>
      <c r="E449" s="3" t="s">
        <v>31</v>
      </c>
      <c r="F449" s="3" t="s">
        <v>32</v>
      </c>
      <c r="G449" s="3">
        <v>20656</v>
      </c>
      <c r="H449" s="7" t="str">
        <f>HYPERLINK("http://www.ensembl.org/Mus_musculus/Gene/Summary?db=core;g=ENSMUSG00000006818","ENSMUSG00000006818")</f>
        <v>ENSMUSG00000006818</v>
      </c>
      <c r="I449" s="7" t="str">
        <f>HYPERLINK("http://www.informatics.jax.org/marker/MGI:98352","MGI:98352")</f>
        <v>MGI:98352</v>
      </c>
      <c r="J449" s="4" t="s">
        <v>12</v>
      </c>
    </row>
    <row r="450" spans="1:10" x14ac:dyDescent="0.25">
      <c r="A450" s="2">
        <v>11.2597190901866</v>
      </c>
      <c r="B450" s="3">
        <v>2.27401536765713</v>
      </c>
      <c r="C450" s="5">
        <v>3.26510805812199E-12</v>
      </c>
      <c r="D450" s="6">
        <v>2.12782322888849E-11</v>
      </c>
      <c r="E450" s="3" t="s">
        <v>6069</v>
      </c>
      <c r="F450" s="3" t="s">
        <v>6070</v>
      </c>
      <c r="G450" s="3" t="s">
        <v>83</v>
      </c>
      <c r="H450" s="7" t="str">
        <f>HYPERLINK("http://www.ensembl.org/Mus_musculus/Gene/Summary?db=core;g=ENSMUSG00000079323","ENSMUSG00000079323")</f>
        <v>ENSMUSG00000079323</v>
      </c>
      <c r="I450" s="7" t="str">
        <f>HYPERLINK("http://www.informatics.jax.org/marker/MGI:5313108","MGI:5313108")</f>
        <v>MGI:5313108</v>
      </c>
      <c r="J450" s="4" t="s">
        <v>12</v>
      </c>
    </row>
    <row r="451" spans="1:10" x14ac:dyDescent="0.25">
      <c r="A451" s="2">
        <v>1087.95268662693</v>
      </c>
      <c r="B451" s="3">
        <v>2.2734023734071198</v>
      </c>
      <c r="C451" s="5">
        <v>7.9169345497377095E-82</v>
      </c>
      <c r="D451" s="6">
        <v>4.7598155280740199E-80</v>
      </c>
      <c r="E451" s="3" t="s">
        <v>668</v>
      </c>
      <c r="F451" s="3" t="s">
        <v>669</v>
      </c>
      <c r="G451" s="3">
        <v>503610</v>
      </c>
      <c r="H451" s="7" t="str">
        <f>HYPERLINK("http://www.ensembl.org/Mus_musculus/Gene/Summary?db=core;g=ENSMUSG00000037553","ENSMUSG00000037553")</f>
        <v>ENSMUSG00000037553</v>
      </c>
      <c r="I451" s="7" t="str">
        <f>HYPERLINK("http://www.informatics.jax.org/marker/MGI:3527792","MGI:3527792")</f>
        <v>MGI:3527792</v>
      </c>
      <c r="J451" s="4" t="s">
        <v>12</v>
      </c>
    </row>
    <row r="452" spans="1:10" x14ac:dyDescent="0.25">
      <c r="A452" s="2">
        <v>2296.1897716295998</v>
      </c>
      <c r="B452" s="3">
        <v>2.2722857718180798</v>
      </c>
      <c r="C452" s="5">
        <v>6.1651645725156998E-104</v>
      </c>
      <c r="D452" s="6">
        <v>5.2859584943482398E-102</v>
      </c>
      <c r="E452" s="3" t="s">
        <v>472</v>
      </c>
      <c r="F452" s="3" t="s">
        <v>473</v>
      </c>
      <c r="G452" s="3">
        <v>19106</v>
      </c>
      <c r="H452" s="7" t="str">
        <f>HYPERLINK("http://www.ensembl.org/Mus_musculus/Gene/Summary?db=core;g=ENSMUSG00000024079","ENSMUSG00000024079")</f>
        <v>ENSMUSG00000024079</v>
      </c>
      <c r="I452" s="7" t="str">
        <f>HYPERLINK("http://www.informatics.jax.org/marker/MGI:1353449","MGI:1353449")</f>
        <v>MGI:1353449</v>
      </c>
      <c r="J452" s="4" t="s">
        <v>12</v>
      </c>
    </row>
    <row r="453" spans="1:10" x14ac:dyDescent="0.25">
      <c r="A453" s="2">
        <v>8.6102269412301702</v>
      </c>
      <c r="B453" s="3">
        <v>2.2704845549917998</v>
      </c>
      <c r="C453" s="5">
        <v>2.0268456463761599E-7</v>
      </c>
      <c r="D453" s="6">
        <v>8.9758356493460205E-7</v>
      </c>
      <c r="E453" s="3" t="s">
        <v>8923</v>
      </c>
      <c r="F453" s="3" t="s">
        <v>8924</v>
      </c>
      <c r="G453" s="3">
        <v>20609</v>
      </c>
      <c r="H453" s="7" t="str">
        <f>HYPERLINK("http://www.ensembl.org/Mus_musculus/Gene/Summary?db=core;g=ENSMUSG00000050824","ENSMUSG00000050824")</f>
        <v>ENSMUSG00000050824</v>
      </c>
      <c r="I453" s="7" t="str">
        <f>HYPERLINK("http://www.informatics.jax.org/marker/MGI:894282","MGI:894282")</f>
        <v>MGI:894282</v>
      </c>
      <c r="J453" s="4" t="s">
        <v>12</v>
      </c>
    </row>
    <row r="454" spans="1:10" x14ac:dyDescent="0.25">
      <c r="A454" s="2">
        <v>2.5488473250330399</v>
      </c>
      <c r="B454" s="3">
        <v>2.2695102566537502</v>
      </c>
      <c r="C454" s="5">
        <v>1.2838548952821999E-6</v>
      </c>
      <c r="D454" s="6">
        <v>5.2562694141219797E-6</v>
      </c>
      <c r="E454" s="3" t="s">
        <v>9649</v>
      </c>
      <c r="F454" s="3" t="s">
        <v>9650</v>
      </c>
      <c r="G454" s="3" t="s">
        <v>83</v>
      </c>
      <c r="H454" s="7" t="str">
        <f>HYPERLINK("http://www.ensembl.org/Mus_musculus/Gene/Summary?db=core;g=ENSMUSG00000103907","ENSMUSG00000103907")</f>
        <v>ENSMUSG00000103907</v>
      </c>
      <c r="I454" s="7" t="str">
        <f>HYPERLINK("http://www.informatics.jax.org/marker/MGI:5610726","MGI:5610726")</f>
        <v>MGI:5610726</v>
      </c>
      <c r="J454" s="4" t="s">
        <v>1828</v>
      </c>
    </row>
    <row r="455" spans="1:10" x14ac:dyDescent="0.25">
      <c r="A455" s="2">
        <v>71.119914227939901</v>
      </c>
      <c r="B455" s="3">
        <v>2.2649914930625998</v>
      </c>
      <c r="C455" s="5">
        <v>5.6404672310137498E-31</v>
      </c>
      <c r="D455" s="6">
        <v>8.5627416316852197E-30</v>
      </c>
      <c r="E455" s="3" t="s">
        <v>2615</v>
      </c>
      <c r="F455" s="3" t="s">
        <v>2616</v>
      </c>
      <c r="G455" s="3">
        <v>68667</v>
      </c>
      <c r="H455" s="7" t="str">
        <f>HYPERLINK("http://www.ensembl.org/Mus_musculus/Gene/Summary?db=core;g=ENSMUSG00000038260","ENSMUSG00000038260")</f>
        <v>ENSMUSG00000038260</v>
      </c>
      <c r="I455" s="7" t="str">
        <f>HYPERLINK("http://www.informatics.jax.org/marker/MGI:1915917","MGI:1915917")</f>
        <v>MGI:1915917</v>
      </c>
      <c r="J455" s="4" t="s">
        <v>12</v>
      </c>
    </row>
    <row r="456" spans="1:10" x14ac:dyDescent="0.25">
      <c r="A456" s="2">
        <v>411.48713893290397</v>
      </c>
      <c r="B456" s="3">
        <v>2.26478964588012</v>
      </c>
      <c r="C456" s="5">
        <v>1.01125729845609E-94</v>
      </c>
      <c r="D456" s="6">
        <v>7.41338064146989E-93</v>
      </c>
      <c r="E456" s="3" t="s">
        <v>550</v>
      </c>
      <c r="F456" s="3" t="s">
        <v>551</v>
      </c>
      <c r="G456" s="3">
        <v>74178</v>
      </c>
      <c r="H456" s="7" t="str">
        <f>HYPERLINK("http://www.ensembl.org/Mus_musculus/Gene/Summary?db=core;g=ENSMUSG00000042608","ENSMUSG00000042608")</f>
        <v>ENSMUSG00000042608</v>
      </c>
      <c r="I456" s="7" t="str">
        <f>HYPERLINK("http://www.informatics.jax.org/marker/MGI:1921428","MGI:1921428")</f>
        <v>MGI:1921428</v>
      </c>
      <c r="J456" s="4" t="s">
        <v>12</v>
      </c>
    </row>
    <row r="457" spans="1:10" x14ac:dyDescent="0.25">
      <c r="A457" s="2">
        <v>723.68975988707302</v>
      </c>
      <c r="B457" s="3">
        <v>2.2630802907996501</v>
      </c>
      <c r="C457" s="5">
        <v>7.7157524394966104E-129</v>
      </c>
      <c r="D457" s="6">
        <v>1.08681884362052E-126</v>
      </c>
      <c r="E457" s="3" t="s">
        <v>290</v>
      </c>
      <c r="F457" s="3" t="s">
        <v>291</v>
      </c>
      <c r="G457" s="3">
        <v>108960</v>
      </c>
      <c r="H457" s="7" t="str">
        <f>HYPERLINK("http://www.ensembl.org/Mus_musculus/Gene/Summary?db=core;g=ENSMUSG00000060477","ENSMUSG00000060477")</f>
        <v>ENSMUSG00000060477</v>
      </c>
      <c r="I457" s="7" t="str">
        <f>HYPERLINK("http://www.informatics.jax.org/marker/MGI:2429603","MGI:2429603")</f>
        <v>MGI:2429603</v>
      </c>
      <c r="J457" s="4" t="s">
        <v>12</v>
      </c>
    </row>
    <row r="458" spans="1:10" x14ac:dyDescent="0.25">
      <c r="A458" s="2">
        <v>51.4046994939917</v>
      </c>
      <c r="B458" s="3">
        <v>2.2588703745127399</v>
      </c>
      <c r="C458" s="5">
        <v>1.6367335913213999E-16</v>
      </c>
      <c r="D458" s="6">
        <v>1.3572912708518901E-15</v>
      </c>
      <c r="E458" s="3" t="s">
        <v>4773</v>
      </c>
      <c r="F458" s="3" t="s">
        <v>4774</v>
      </c>
      <c r="G458" s="3">
        <v>227671</v>
      </c>
      <c r="H458" s="7" t="str">
        <f>HYPERLINK("http://www.ensembl.org/Mus_musculus/Gene/Summary?db=core;g=ENSMUSG00000026829","ENSMUSG00000026829")</f>
        <v>ENSMUSG00000026829</v>
      </c>
      <c r="I458" s="7" t="str">
        <f>HYPERLINK("http://www.informatics.jax.org/marker/MGI:2449143","MGI:2449143")</f>
        <v>MGI:2449143</v>
      </c>
      <c r="J458" s="4" t="s">
        <v>12</v>
      </c>
    </row>
    <row r="459" spans="1:10" x14ac:dyDescent="0.25">
      <c r="A459" s="2">
        <v>1666.7511838178</v>
      </c>
      <c r="B459" s="3">
        <v>2.2530173726077201</v>
      </c>
      <c r="C459" s="5">
        <v>1.19463335155949E-157</v>
      </c>
      <c r="D459" s="6">
        <v>2.8045440110420399E-155</v>
      </c>
      <c r="E459" s="3" t="s">
        <v>178</v>
      </c>
      <c r="F459" s="3" t="s">
        <v>179</v>
      </c>
      <c r="G459" s="3">
        <v>17246</v>
      </c>
      <c r="H459" s="7" t="str">
        <f>HYPERLINK("http://www.ensembl.org/Mus_musculus/Gene/Summary?db=core;g=ENSMUSG00000020184","ENSMUSG00000020184")</f>
        <v>ENSMUSG00000020184</v>
      </c>
      <c r="I459" s="7" t="str">
        <f>HYPERLINK("http://www.informatics.jax.org/marker/MGI:96952","MGI:96952")</f>
        <v>MGI:96952</v>
      </c>
      <c r="J459" s="4" t="s">
        <v>12</v>
      </c>
    </row>
    <row r="460" spans="1:10" x14ac:dyDescent="0.25">
      <c r="A460" s="2">
        <v>5114.2783728618097</v>
      </c>
      <c r="B460" s="3">
        <v>2.2503208077202901</v>
      </c>
      <c r="C460" s="5">
        <v>5.3409530812243497E-67</v>
      </c>
      <c r="D460" s="6">
        <v>2.3097279553014098E-65</v>
      </c>
      <c r="E460" s="3" t="s">
        <v>924</v>
      </c>
      <c r="F460" s="3" t="s">
        <v>925</v>
      </c>
      <c r="G460" s="3">
        <v>24088</v>
      </c>
      <c r="H460" s="7" t="str">
        <f>HYPERLINK("http://www.ensembl.org/Mus_musculus/Gene/Summary?db=core;g=ENSMUSG00000027995","ENSMUSG00000027995")</f>
        <v>ENSMUSG00000027995</v>
      </c>
      <c r="I460" s="7" t="str">
        <f>HYPERLINK("http://www.informatics.jax.org/marker/MGI:1346060","MGI:1346060")</f>
        <v>MGI:1346060</v>
      </c>
      <c r="J460" s="4" t="s">
        <v>12</v>
      </c>
    </row>
    <row r="461" spans="1:10" x14ac:dyDescent="0.25">
      <c r="A461" s="2">
        <v>2582.3531742312298</v>
      </c>
      <c r="B461" s="3">
        <v>2.2503057414205498</v>
      </c>
      <c r="C461" s="5">
        <v>4.5063046055633803E-59</v>
      </c>
      <c r="D461" s="6">
        <v>1.5645127961568601E-57</v>
      </c>
      <c r="E461" s="3" t="s">
        <v>1152</v>
      </c>
      <c r="F461" s="3" t="s">
        <v>1153</v>
      </c>
      <c r="G461" s="3">
        <v>11853</v>
      </c>
      <c r="H461" s="7" t="str">
        <f>HYPERLINK("http://www.ensembl.org/Mus_musculus/Gene/Summary?db=core;g=ENSMUSG00000002233","ENSMUSG00000002233")</f>
        <v>ENSMUSG00000002233</v>
      </c>
      <c r="I461" s="7" t="str">
        <f>HYPERLINK("http://www.informatics.jax.org/marker/MGI:106028","MGI:106028")</f>
        <v>MGI:106028</v>
      </c>
      <c r="J461" s="4" t="s">
        <v>12</v>
      </c>
    </row>
    <row r="462" spans="1:10" x14ac:dyDescent="0.25">
      <c r="A462" s="2">
        <v>278.40991070128501</v>
      </c>
      <c r="B462" s="3">
        <v>2.2492080707659898</v>
      </c>
      <c r="C462" s="5">
        <v>1.08123585378743E-64</v>
      </c>
      <c r="D462" s="6">
        <v>4.4513509471165298E-63</v>
      </c>
      <c r="E462" s="3" t="s">
        <v>972</v>
      </c>
      <c r="F462" s="3" t="s">
        <v>973</v>
      </c>
      <c r="G462" s="3">
        <v>64685</v>
      </c>
      <c r="H462" s="7" t="str">
        <f>HYPERLINK("http://www.ensembl.org/Mus_musculus/Gene/Summary?db=core;g=ENSMUSG00000026946","ENSMUSG00000026946")</f>
        <v>ENSMUSG00000026946</v>
      </c>
      <c r="I462" s="7" t="str">
        <f>HYPERLINK("http://www.informatics.jax.org/marker/MGI:1928368","MGI:1928368")</f>
        <v>MGI:1928368</v>
      </c>
      <c r="J462" s="4" t="s">
        <v>12</v>
      </c>
    </row>
    <row r="463" spans="1:10" x14ac:dyDescent="0.25">
      <c r="A463" s="2">
        <v>7869.6926081696802</v>
      </c>
      <c r="B463" s="3">
        <v>2.2427475399918602</v>
      </c>
      <c r="C463" s="5">
        <v>2.55737875910859E-98</v>
      </c>
      <c r="D463" s="6">
        <v>1.98549248541817E-96</v>
      </c>
      <c r="E463" s="3" t="s">
        <v>520</v>
      </c>
      <c r="F463" s="3" t="s">
        <v>521</v>
      </c>
      <c r="G463" s="3">
        <v>21928</v>
      </c>
      <c r="H463" s="7" t="str">
        <f>HYPERLINK("http://www.ensembl.org/Mus_musculus/Gene/Summary?db=core;g=ENSMUSG00000021281","ENSMUSG00000021281")</f>
        <v>ENSMUSG00000021281</v>
      </c>
      <c r="I463" s="7" t="str">
        <f>HYPERLINK("http://www.informatics.jax.org/marker/MGI:104960","MGI:104960")</f>
        <v>MGI:104960</v>
      </c>
      <c r="J463" s="4" t="s">
        <v>12</v>
      </c>
    </row>
    <row r="464" spans="1:10" x14ac:dyDescent="0.25">
      <c r="A464" s="2">
        <v>2.0404247951536898</v>
      </c>
      <c r="B464" s="3">
        <v>2.2370593827642802</v>
      </c>
      <c r="C464" s="5">
        <v>1.69231869933203E-6</v>
      </c>
      <c r="D464" s="6">
        <v>6.8414359882795301E-6</v>
      </c>
      <c r="E464" s="3" t="s">
        <v>9771</v>
      </c>
      <c r="F464" s="3" t="s">
        <v>9772</v>
      </c>
      <c r="G464" s="3" t="s">
        <v>83</v>
      </c>
      <c r="H464" s="7" t="str">
        <f>HYPERLINK("http://www.ensembl.org/Mus_musculus/Gene/Summary?db=core;g=ENSMUSG00000113228","ENSMUSG00000113228")</f>
        <v>ENSMUSG00000113228</v>
      </c>
      <c r="I464" s="7" t="str">
        <f>HYPERLINK("http://www.informatics.jax.org/marker/MGI:1922270","MGI:1922270")</f>
        <v>MGI:1922270</v>
      </c>
      <c r="J464" s="4" t="s">
        <v>939</v>
      </c>
    </row>
    <row r="465" spans="1:10" x14ac:dyDescent="0.25">
      <c r="A465" s="2">
        <v>158.56361561447801</v>
      </c>
      <c r="B465" s="3">
        <v>2.2325485989393101</v>
      </c>
      <c r="C465" s="5">
        <v>1.6665381889452899E-31</v>
      </c>
      <c r="D465" s="6">
        <v>2.5615068656275199E-30</v>
      </c>
      <c r="E465" s="3" t="s">
        <v>2583</v>
      </c>
      <c r="F465" s="3" t="s">
        <v>2584</v>
      </c>
      <c r="G465" s="3" t="s">
        <v>83</v>
      </c>
      <c r="H465" s="7" t="str">
        <f>HYPERLINK("http://www.ensembl.org/Mus_musculus/Gene/Summary?db=core;g=ENSMUSG00000085148","ENSMUSG00000085148")</f>
        <v>ENSMUSG00000085148</v>
      </c>
      <c r="I465" s="7" t="str">
        <f>HYPERLINK("http://www.informatics.jax.org/marker/MGI:1914348","MGI:1914348")</f>
        <v>MGI:1914348</v>
      </c>
      <c r="J465" s="4" t="s">
        <v>331</v>
      </c>
    </row>
    <row r="466" spans="1:10" x14ac:dyDescent="0.25">
      <c r="A466" s="2">
        <v>1.37188098421077</v>
      </c>
      <c r="B466" s="3">
        <v>2.2275221700265302</v>
      </c>
      <c r="C466" s="5">
        <v>1.16202946827904E-6</v>
      </c>
      <c r="D466" s="6">
        <v>4.7779860538912904E-6</v>
      </c>
      <c r="E466" s="3" t="s">
        <v>9607</v>
      </c>
      <c r="F466" s="3" t="s">
        <v>9608</v>
      </c>
      <c r="G466" s="3" t="s">
        <v>83</v>
      </c>
      <c r="H466" s="7" t="str">
        <f>HYPERLINK("http://www.ensembl.org/Mus_musculus/Gene/Summary?db=core;g=ENSMUSG00000063388","ENSMUSG00000063388")</f>
        <v>ENSMUSG00000063388</v>
      </c>
      <c r="I466" s="7" t="str">
        <f>HYPERLINK("http://www.informatics.jax.org/marker/MGI:2384767","MGI:2384767")</f>
        <v>MGI:2384767</v>
      </c>
      <c r="J466" s="4" t="s">
        <v>1043</v>
      </c>
    </row>
    <row r="467" spans="1:10" x14ac:dyDescent="0.25">
      <c r="A467" s="2">
        <v>13.844303124845201</v>
      </c>
      <c r="B467" s="3">
        <v>2.2273332174579701</v>
      </c>
      <c r="C467" s="5">
        <v>8.9193215572703902E-12</v>
      </c>
      <c r="D467" s="6">
        <v>5.6015611818271299E-11</v>
      </c>
      <c r="E467" s="3" t="s">
        <v>6297</v>
      </c>
      <c r="F467" s="3" t="s">
        <v>6298</v>
      </c>
      <c r="G467" s="3">
        <v>545486</v>
      </c>
      <c r="H467" s="7" t="str">
        <f>HYPERLINK("http://www.ensembl.org/Mus_musculus/Gene/Summary?db=core;g=ENSMUSG00000016255","ENSMUSG00000016255")</f>
        <v>ENSMUSG00000016255</v>
      </c>
      <c r="I467" s="7" t="str">
        <f>HYPERLINK("http://www.informatics.jax.org/marker/MGI:107814","MGI:107814")</f>
        <v>MGI:107814</v>
      </c>
      <c r="J467" s="4" t="s">
        <v>12</v>
      </c>
    </row>
    <row r="468" spans="1:10" x14ac:dyDescent="0.25">
      <c r="A468" s="2">
        <v>404.67501977021499</v>
      </c>
      <c r="B468" s="3">
        <v>2.2212955801102199</v>
      </c>
      <c r="C468" s="5">
        <v>6.4014719896513702E-113</v>
      </c>
      <c r="D468" s="6">
        <v>6.5070632802023202E-111</v>
      </c>
      <c r="E468" s="3" t="s">
        <v>400</v>
      </c>
      <c r="F468" s="3" t="s">
        <v>401</v>
      </c>
      <c r="G468" s="3">
        <v>83921</v>
      </c>
      <c r="H468" s="7" t="str">
        <f>HYPERLINK("http://www.ensembl.org/Mus_musculus/Gene/Summary?db=core;g=ENSMUSG00000024754","ENSMUSG00000024754")</f>
        <v>ENSMUSG00000024754</v>
      </c>
      <c r="I468" s="7" t="str">
        <f>HYPERLINK("http://www.informatics.jax.org/marker/MGI:1890373","MGI:1890373")</f>
        <v>MGI:1890373</v>
      </c>
      <c r="J468" s="4" t="s">
        <v>12</v>
      </c>
    </row>
    <row r="469" spans="1:10" x14ac:dyDescent="0.25">
      <c r="A469" s="2">
        <v>193.65317427980199</v>
      </c>
      <c r="B469" s="3">
        <v>2.2199023128378301</v>
      </c>
      <c r="C469" s="5">
        <v>4.8137739113602701E-40</v>
      </c>
      <c r="D469" s="6">
        <v>9.79668988367448E-39</v>
      </c>
      <c r="E469" s="3" t="s">
        <v>1953</v>
      </c>
      <c r="F469" s="3" t="s">
        <v>1954</v>
      </c>
      <c r="G469" s="3">
        <v>12227</v>
      </c>
      <c r="H469" s="7" t="str">
        <f>HYPERLINK("http://www.ensembl.org/Mus_musculus/Gene/Summary?db=core;g=ENSMUSG00000020423","ENSMUSG00000020423")</f>
        <v>ENSMUSG00000020423</v>
      </c>
      <c r="I469" s="7" t="str">
        <f>HYPERLINK("http://www.informatics.jax.org/marker/MGI:108384","MGI:108384")</f>
        <v>MGI:108384</v>
      </c>
      <c r="J469" s="4" t="s">
        <v>12</v>
      </c>
    </row>
    <row r="470" spans="1:10" x14ac:dyDescent="0.25">
      <c r="A470" s="2">
        <v>1014.01141842323</v>
      </c>
      <c r="B470" s="3">
        <v>2.2183889588098098</v>
      </c>
      <c r="C470" s="5">
        <v>1.0351524443231201E-244</v>
      </c>
      <c r="D470" s="6">
        <v>6.5849052264683599E-242</v>
      </c>
      <c r="E470" s="3" t="s">
        <v>71</v>
      </c>
      <c r="F470" s="3" t="s">
        <v>72</v>
      </c>
      <c r="G470" s="3">
        <v>22350</v>
      </c>
      <c r="H470" s="7" t="str">
        <f>HYPERLINK("http://www.ensembl.org/Mus_musculus/Gene/Summary?db=core;g=ENSMUSG00000052397","ENSMUSG00000052397")</f>
        <v>ENSMUSG00000052397</v>
      </c>
      <c r="I470" s="7" t="str">
        <f>HYPERLINK("http://www.informatics.jax.org/marker/MGI:98931","MGI:98931")</f>
        <v>MGI:98931</v>
      </c>
      <c r="J470" s="4" t="s">
        <v>12</v>
      </c>
    </row>
    <row r="471" spans="1:10" x14ac:dyDescent="0.25">
      <c r="A471" s="2">
        <v>261.196650403722</v>
      </c>
      <c r="B471" s="3">
        <v>2.2137165568686501</v>
      </c>
      <c r="C471" s="5">
        <v>8.5465053566897703E-113</v>
      </c>
      <c r="D471" s="6">
        <v>8.6429274684062695E-111</v>
      </c>
      <c r="E471" s="3" t="s">
        <v>402</v>
      </c>
      <c r="F471" s="3" t="s">
        <v>403</v>
      </c>
      <c r="G471" s="3">
        <v>54427</v>
      </c>
      <c r="H471" s="7" t="str">
        <f>HYPERLINK("http://www.ensembl.org/Mus_musculus/Gene/Summary?db=core;g=ENSMUSG00000000730","ENSMUSG00000000730")</f>
        <v>ENSMUSG00000000730</v>
      </c>
      <c r="I471" s="7" t="str">
        <f>HYPERLINK("http://www.informatics.jax.org/marker/MGI:1859287","MGI:1859287")</f>
        <v>MGI:1859287</v>
      </c>
      <c r="J471" s="4" t="s">
        <v>12</v>
      </c>
    </row>
    <row r="472" spans="1:10" x14ac:dyDescent="0.25">
      <c r="A472" s="2">
        <v>610.93636923714496</v>
      </c>
      <c r="B472" s="3">
        <v>2.21236661322276</v>
      </c>
      <c r="C472" s="5">
        <v>1.52072662665199E-58</v>
      </c>
      <c r="D472" s="6">
        <v>5.1704705306167601E-57</v>
      </c>
      <c r="E472" s="3" t="s">
        <v>1176</v>
      </c>
      <c r="F472" s="3" t="s">
        <v>1177</v>
      </c>
      <c r="G472" s="3">
        <v>19730</v>
      </c>
      <c r="H472" s="7" t="str">
        <f>HYPERLINK("http://www.ensembl.org/Mus_musculus/Gene/Summary?db=core;g=ENSMUSG00000026821","ENSMUSG00000026821")</f>
        <v>ENSMUSG00000026821</v>
      </c>
      <c r="I472" s="7" t="str">
        <f>HYPERLINK("http://www.informatics.jax.org/marker/MGI:107485","MGI:107485")</f>
        <v>MGI:107485</v>
      </c>
      <c r="J472" s="4" t="s">
        <v>12</v>
      </c>
    </row>
    <row r="473" spans="1:10" x14ac:dyDescent="0.25">
      <c r="A473" s="2">
        <v>474.500379240732</v>
      </c>
      <c r="B473" s="3">
        <v>2.2120247002318401</v>
      </c>
      <c r="C473" s="5">
        <v>6.3991351330055503E-97</v>
      </c>
      <c r="D473" s="6">
        <v>4.8722372518482398E-95</v>
      </c>
      <c r="E473" s="3" t="s">
        <v>530</v>
      </c>
      <c r="F473" s="3" t="s">
        <v>531</v>
      </c>
      <c r="G473" s="3">
        <v>17872</v>
      </c>
      <c r="H473" s="7" t="str">
        <f>HYPERLINK("http://www.ensembl.org/Mus_musculus/Gene/Summary?db=core;g=ENSMUSG00000040435","ENSMUSG00000040435")</f>
        <v>ENSMUSG00000040435</v>
      </c>
      <c r="I473" s="7" t="str">
        <f>HYPERLINK("http://www.informatics.jax.org/marker/MGI:1927072","MGI:1927072")</f>
        <v>MGI:1927072</v>
      </c>
      <c r="J473" s="4" t="s">
        <v>12</v>
      </c>
    </row>
    <row r="474" spans="1:10" x14ac:dyDescent="0.25">
      <c r="A474" s="2">
        <v>1.68721389301779</v>
      </c>
      <c r="B474" s="3">
        <v>2.20785842894648</v>
      </c>
      <c r="C474" s="5">
        <v>1.9833623133312698E-6</v>
      </c>
      <c r="D474" s="6">
        <v>7.9771374299189498E-6</v>
      </c>
      <c r="E474" s="3" t="s">
        <v>9821</v>
      </c>
      <c r="F474" s="3" t="s">
        <v>9822</v>
      </c>
      <c r="G474" s="3">
        <v>623121</v>
      </c>
      <c r="H474" s="7" t="str">
        <f>HYPERLINK("http://www.ensembl.org/Mus_musculus/Gene/Summary?db=core;g=ENSMUSG00000073491","ENSMUSG00000073491")</f>
        <v>ENSMUSG00000073491</v>
      </c>
      <c r="I474" s="7" t="str">
        <f>HYPERLINK("http://www.informatics.jax.org/marker/MGI:3695276","MGI:3695276")</f>
        <v>MGI:3695276</v>
      </c>
      <c r="J474" s="4" t="s">
        <v>12</v>
      </c>
    </row>
    <row r="475" spans="1:10" x14ac:dyDescent="0.25">
      <c r="A475" s="2">
        <v>199.28572613182399</v>
      </c>
      <c r="B475" s="3">
        <v>2.20750105427499</v>
      </c>
      <c r="C475" s="5">
        <v>5.0566181933374899E-36</v>
      </c>
      <c r="D475" s="6">
        <v>9.0816494328429298E-35</v>
      </c>
      <c r="E475" s="3" t="s">
        <v>2213</v>
      </c>
      <c r="F475" s="3" t="s">
        <v>2214</v>
      </c>
      <c r="G475" s="3">
        <v>15040</v>
      </c>
      <c r="H475" s="7" t="str">
        <f>HYPERLINK("http://www.ensembl.org/Mus_musculus/Gene/Summary?db=core;g=ENSMUSG00000067212","ENSMUSG00000067212")</f>
        <v>ENSMUSG00000067212</v>
      </c>
      <c r="I475" s="7" t="str">
        <f>HYPERLINK("http://www.informatics.jax.org/marker/MGI:95957","MGI:95957")</f>
        <v>MGI:95957</v>
      </c>
      <c r="J475" s="4" t="s">
        <v>12</v>
      </c>
    </row>
    <row r="476" spans="1:10" x14ac:dyDescent="0.25">
      <c r="A476" s="2">
        <v>105.020253527406</v>
      </c>
      <c r="B476" s="3">
        <v>2.2012122014901401</v>
      </c>
      <c r="C476" s="5">
        <v>4.3185147959976403E-8</v>
      </c>
      <c r="D476" s="6">
        <v>2.0151706525573501E-7</v>
      </c>
      <c r="E476" s="3" t="s">
        <v>8469</v>
      </c>
      <c r="F476" s="3" t="s">
        <v>8470</v>
      </c>
      <c r="G476" s="3">
        <v>11433</v>
      </c>
      <c r="H476" s="7" t="str">
        <f>HYPERLINK("http://www.ensembl.org/Mus_musculus/Gene/Summary?db=core;g=ENSMUSG00000001348","ENSMUSG00000001348")</f>
        <v>ENSMUSG00000001348</v>
      </c>
      <c r="I476" s="7" t="str">
        <f>HYPERLINK("http://www.informatics.jax.org/marker/MGI:87883","MGI:87883")</f>
        <v>MGI:87883</v>
      </c>
      <c r="J476" s="4" t="s">
        <v>12</v>
      </c>
    </row>
    <row r="477" spans="1:10" x14ac:dyDescent="0.25">
      <c r="A477" s="2">
        <v>261.43910802456799</v>
      </c>
      <c r="B477" s="3">
        <v>2.2008598543872</v>
      </c>
      <c r="C477" s="5">
        <v>9.5805375786236599E-16</v>
      </c>
      <c r="D477" s="6">
        <v>7.6119339665776996E-15</v>
      </c>
      <c r="E477" s="3" t="s">
        <v>4981</v>
      </c>
      <c r="F477" s="3" t="s">
        <v>4982</v>
      </c>
      <c r="G477" s="3">
        <v>246256</v>
      </c>
      <c r="H477" s="7" t="str">
        <f>HYPERLINK("http://www.ensembl.org/Mus_musculus/Gene/Summary?db=core;g=ENSMUSG00000059089","ENSMUSG00000059089")</f>
        <v>ENSMUSG00000059089</v>
      </c>
      <c r="I477" s="7" t="str">
        <f>HYPERLINK("http://www.informatics.jax.org/marker/MGI:2179523","MGI:2179523")</f>
        <v>MGI:2179523</v>
      </c>
      <c r="J477" s="4" t="s">
        <v>12</v>
      </c>
    </row>
    <row r="478" spans="1:10" x14ac:dyDescent="0.25">
      <c r="A478" s="2">
        <v>2912.4696238041802</v>
      </c>
      <c r="B478" s="3">
        <v>2.19924367619564</v>
      </c>
      <c r="C478" s="5">
        <v>7.6745711911705896E-92</v>
      </c>
      <c r="D478" s="6">
        <v>5.3477930703139197E-90</v>
      </c>
      <c r="E478" s="3" t="s">
        <v>578</v>
      </c>
      <c r="F478" s="3" t="s">
        <v>579</v>
      </c>
      <c r="G478" s="3">
        <v>18034</v>
      </c>
      <c r="H478" s="7" t="str">
        <f>HYPERLINK("http://www.ensembl.org/Mus_musculus/Gene/Summary?db=core;g=ENSMUSG00000025225","ENSMUSG00000025225")</f>
        <v>ENSMUSG00000025225</v>
      </c>
      <c r="I478" s="7" t="str">
        <f>HYPERLINK("http://www.informatics.jax.org/marker/MGI:1099800","MGI:1099800")</f>
        <v>MGI:1099800</v>
      </c>
      <c r="J478" s="4" t="s">
        <v>12</v>
      </c>
    </row>
    <row r="479" spans="1:10" x14ac:dyDescent="0.25">
      <c r="A479" s="2">
        <v>4756.7228155329904</v>
      </c>
      <c r="B479" s="3">
        <v>2.1920380445746299</v>
      </c>
      <c r="C479" s="5">
        <v>5.1585138236837402E-90</v>
      </c>
      <c r="D479" s="6">
        <v>3.5444561882593498E-88</v>
      </c>
      <c r="E479" s="3" t="s">
        <v>586</v>
      </c>
      <c r="F479" s="3" t="s">
        <v>587</v>
      </c>
      <c r="G479" s="3">
        <v>21356</v>
      </c>
      <c r="H479" s="7" t="str">
        <f>HYPERLINK("http://www.ensembl.org/Mus_musculus/Gene/Summary?db=core;g=ENSMUSG00000024308","ENSMUSG00000024308")</f>
        <v>ENSMUSG00000024308</v>
      </c>
      <c r="I479" s="7" t="str">
        <f>HYPERLINK("http://www.informatics.jax.org/marker/MGI:1201689","MGI:1201689")</f>
        <v>MGI:1201689</v>
      </c>
      <c r="J479" s="4" t="s">
        <v>12</v>
      </c>
    </row>
    <row r="480" spans="1:10" x14ac:dyDescent="0.25">
      <c r="A480" s="2">
        <v>2.5309578316020298</v>
      </c>
      <c r="B480" s="3">
        <v>2.1885443951045001</v>
      </c>
      <c r="C480" s="5">
        <v>2.8973272651728802E-6</v>
      </c>
      <c r="D480" s="6">
        <v>1.1459250338659201E-5</v>
      </c>
      <c r="E480" s="3" t="s">
        <v>9988</v>
      </c>
      <c r="F480" s="3" t="s">
        <v>9989</v>
      </c>
      <c r="G480" s="3">
        <v>231134</v>
      </c>
      <c r="H480" s="7" t="str">
        <f>HYPERLINK("http://www.ensembl.org/Mus_musculus/Gene/Summary?db=core;g=ENSMUSG00000044716","ENSMUSG00000044716")</f>
        <v>ENSMUSG00000044716</v>
      </c>
      <c r="I480" s="7" t="str">
        <f>HYPERLINK("http://www.informatics.jax.org/marker/MGI:3584043","MGI:3584043")</f>
        <v>MGI:3584043</v>
      </c>
      <c r="J480" s="4" t="s">
        <v>12</v>
      </c>
    </row>
    <row r="481" spans="1:10" x14ac:dyDescent="0.25">
      <c r="A481" s="2">
        <v>174.542462785239</v>
      </c>
      <c r="B481" s="3">
        <v>2.1879512578824998</v>
      </c>
      <c r="C481" s="5">
        <v>1.4666594137628599E-39</v>
      </c>
      <c r="D481" s="6">
        <v>2.9452671730553502E-38</v>
      </c>
      <c r="E481" s="3" t="s">
        <v>1981</v>
      </c>
      <c r="F481" s="3" t="s">
        <v>1982</v>
      </c>
      <c r="G481" s="3">
        <v>72580</v>
      </c>
      <c r="H481" s="7" t="str">
        <f>HYPERLINK("http://www.ensembl.org/Mus_musculus/Gene/Summary?db=core;g=ENSMUSG00000039531","ENSMUSG00000039531")</f>
        <v>ENSMUSG00000039531</v>
      </c>
      <c r="I481" s="7" t="str">
        <f>HYPERLINK("http://www.informatics.jax.org/marker/MGI:1919830","MGI:1919830")</f>
        <v>MGI:1919830</v>
      </c>
      <c r="J481" s="4" t="s">
        <v>12</v>
      </c>
    </row>
    <row r="482" spans="1:10" x14ac:dyDescent="0.25">
      <c r="A482" s="2">
        <v>13.250592346435401</v>
      </c>
      <c r="B482" s="3">
        <v>2.1865766634686401</v>
      </c>
      <c r="C482" s="5">
        <v>3.1899067904338597E-11</v>
      </c>
      <c r="D482" s="6">
        <v>1.92428760805616E-10</v>
      </c>
      <c r="E482" s="3" t="s">
        <v>6555</v>
      </c>
      <c r="F482" s="3" t="s">
        <v>6556</v>
      </c>
      <c r="G482" s="3">
        <v>69903</v>
      </c>
      <c r="H482" s="7" t="str">
        <f>HYPERLINK("http://www.ensembl.org/Mus_musculus/Gene/Summary?db=core;g=ENSMUSG00000044562","ENSMUSG00000044562")</f>
        <v>ENSMUSG00000044562</v>
      </c>
      <c r="I482" s="7" t="str">
        <f>HYPERLINK("http://www.informatics.jax.org/marker/MGI:1917153","MGI:1917153")</f>
        <v>MGI:1917153</v>
      </c>
      <c r="J482" s="4" t="s">
        <v>12</v>
      </c>
    </row>
    <row r="483" spans="1:10" x14ac:dyDescent="0.25">
      <c r="A483" s="2">
        <v>1701.97341778599</v>
      </c>
      <c r="B483" s="3">
        <v>2.1823089413974999</v>
      </c>
      <c r="C483" s="5">
        <v>9.63815190976542E-48</v>
      </c>
      <c r="D483" s="6">
        <v>2.4587885596452001E-46</v>
      </c>
      <c r="E483" s="3" t="s">
        <v>1562</v>
      </c>
      <c r="F483" s="3" t="s">
        <v>1563</v>
      </c>
      <c r="G483" s="3">
        <v>16149</v>
      </c>
      <c r="H483" s="7" t="str">
        <f>HYPERLINK("http://www.ensembl.org/Mus_musculus/Gene/Summary?db=core;g=ENSMUSG00000024610","ENSMUSG00000024610")</f>
        <v>ENSMUSG00000024610</v>
      </c>
      <c r="I483" s="7" t="str">
        <f>HYPERLINK("http://www.informatics.jax.org/marker/MGI:96534","MGI:96534")</f>
        <v>MGI:96534</v>
      </c>
      <c r="J483" s="4" t="s">
        <v>12</v>
      </c>
    </row>
    <row r="484" spans="1:10" x14ac:dyDescent="0.25">
      <c r="A484" s="2">
        <v>2.1785997967402899</v>
      </c>
      <c r="B484" s="3">
        <v>2.1780059240809502</v>
      </c>
      <c r="C484" s="5">
        <v>3.19006077837914E-6</v>
      </c>
      <c r="D484" s="6">
        <v>1.2546469595061201E-5</v>
      </c>
      <c r="E484" s="3" t="s">
        <v>10044</v>
      </c>
      <c r="F484" s="3" t="s">
        <v>10045</v>
      </c>
      <c r="G484" s="3">
        <v>60361</v>
      </c>
      <c r="H484" s="7" t="str">
        <f>HYPERLINK("http://www.ensembl.org/Mus_musculus/Gene/Summary?db=core;g=ENSMUSG00000056290","ENSMUSG00000056290")</f>
        <v>ENSMUSG00000056290</v>
      </c>
      <c r="I484" s="7" t="str">
        <f>HYPERLINK("http://www.informatics.jax.org/marker/MGI:1913083","MGI:1913083")</f>
        <v>MGI:1913083</v>
      </c>
      <c r="J484" s="4" t="s">
        <v>12</v>
      </c>
    </row>
    <row r="485" spans="1:10" x14ac:dyDescent="0.25">
      <c r="A485" s="2">
        <v>3.7080590920696999</v>
      </c>
      <c r="B485" s="3">
        <v>2.1763081650691398</v>
      </c>
      <c r="C485" s="5">
        <v>3.57923791930515E-6</v>
      </c>
      <c r="D485" s="6">
        <v>1.4018385654160399E-5</v>
      </c>
      <c r="E485" s="3" t="s">
        <v>10086</v>
      </c>
      <c r="F485" s="3" t="s">
        <v>10087</v>
      </c>
      <c r="G485" s="3">
        <v>239827</v>
      </c>
      <c r="H485" s="7" t="str">
        <f>HYPERLINK("http://www.ensembl.org/Mus_musculus/Gene/Summary?db=core;g=ENSMUSG00000045625","ENSMUSG00000045625")</f>
        <v>ENSMUSG00000045625</v>
      </c>
      <c r="I485" s="7" t="str">
        <f>HYPERLINK("http://www.informatics.jax.org/marker/MGI:2443822","MGI:2443822")</f>
        <v>MGI:2443822</v>
      </c>
      <c r="J485" s="4" t="s">
        <v>12</v>
      </c>
    </row>
    <row r="486" spans="1:10" x14ac:dyDescent="0.25">
      <c r="A486" s="2">
        <v>584.65542550323005</v>
      </c>
      <c r="B486" s="3">
        <v>2.1736966207861799</v>
      </c>
      <c r="C486" s="5">
        <v>3.17243539401968E-40</v>
      </c>
      <c r="D486" s="6">
        <v>6.5167110385487598E-39</v>
      </c>
      <c r="E486" s="3" t="s">
        <v>1937</v>
      </c>
      <c r="F486" s="3" t="s">
        <v>1938</v>
      </c>
      <c r="G486" s="3">
        <v>16362</v>
      </c>
      <c r="H486" s="7" t="str">
        <f>HYPERLINK("http://www.ensembl.org/Mus_musculus/Gene/Summary?db=core;g=ENSMUSG00000018899","ENSMUSG00000018899")</f>
        <v>ENSMUSG00000018899</v>
      </c>
      <c r="I486" s="7" t="str">
        <f>HYPERLINK("http://www.informatics.jax.org/marker/MGI:96590","MGI:96590")</f>
        <v>MGI:96590</v>
      </c>
      <c r="J486" s="4" t="s">
        <v>12</v>
      </c>
    </row>
    <row r="487" spans="1:10" x14ac:dyDescent="0.25">
      <c r="A487" s="2">
        <v>4.8719052103408798</v>
      </c>
      <c r="B487" s="3">
        <v>2.1723094982349598</v>
      </c>
      <c r="C487" s="5">
        <v>6.0763461039992903E-7</v>
      </c>
      <c r="D487" s="6">
        <v>2.5719155434828499E-6</v>
      </c>
      <c r="E487" s="3" t="s">
        <v>9333</v>
      </c>
      <c r="F487" s="3" t="s">
        <v>9334</v>
      </c>
      <c r="G487" s="3" t="s">
        <v>83</v>
      </c>
      <c r="H487" s="7" t="str">
        <f>HYPERLINK("http://www.ensembl.org/Mus_musculus/Gene/Summary?db=core;g=ENSMUSG00000054598","ENSMUSG00000054598")</f>
        <v>ENSMUSG00000054598</v>
      </c>
      <c r="I487" s="7" t="str">
        <f>HYPERLINK("http://www.informatics.jax.org/marker/MGI:3041166","MGI:3041166")</f>
        <v>MGI:3041166</v>
      </c>
      <c r="J487" s="4" t="s">
        <v>12</v>
      </c>
    </row>
    <row r="488" spans="1:10" x14ac:dyDescent="0.25">
      <c r="A488" s="2">
        <v>2.9079933873966599</v>
      </c>
      <c r="B488" s="3">
        <v>2.1649926974479201</v>
      </c>
      <c r="C488" s="5">
        <v>3.8059913363974901E-6</v>
      </c>
      <c r="D488" s="6">
        <v>1.4865151347545799E-5</v>
      </c>
      <c r="E488" s="3" t="s">
        <v>10114</v>
      </c>
      <c r="F488" s="3" t="s">
        <v>10115</v>
      </c>
      <c r="G488" s="3">
        <v>12769</v>
      </c>
      <c r="H488" s="7" t="str">
        <f>HYPERLINK("http://www.ensembl.org/Mus_musculus/Gene/Summary?db=core;g=ENSMUSG00000029530","ENSMUSG00000029530")</f>
        <v>ENSMUSG00000029530</v>
      </c>
      <c r="I488" s="7" t="str">
        <f>HYPERLINK("http://www.informatics.jax.org/marker/MGI:1341902","MGI:1341902")</f>
        <v>MGI:1341902</v>
      </c>
      <c r="J488" s="4" t="s">
        <v>12</v>
      </c>
    </row>
    <row r="489" spans="1:10" x14ac:dyDescent="0.25">
      <c r="A489" s="2">
        <v>1096.6486084488299</v>
      </c>
      <c r="B489" s="3">
        <v>2.1645974145948101</v>
      </c>
      <c r="C489" s="5">
        <v>1.85227306009224E-270</v>
      </c>
      <c r="D489" s="6">
        <v>1.4610729898007599E-267</v>
      </c>
      <c r="E489" s="3" t="s">
        <v>59</v>
      </c>
      <c r="F489" s="3" t="s">
        <v>60</v>
      </c>
      <c r="G489" s="3">
        <v>21353</v>
      </c>
      <c r="H489" s="7" t="str">
        <f>HYPERLINK("http://www.ensembl.org/Mus_musculus/Gene/Summary?db=core;g=ENSMUSG00000064289","ENSMUSG00000064289")</f>
        <v>ENSMUSG00000064289</v>
      </c>
      <c r="I489" s="7" t="str">
        <f>HYPERLINK("http://www.informatics.jax.org/marker/MGI:107676","MGI:107676")</f>
        <v>MGI:107676</v>
      </c>
      <c r="J489" s="4" t="s">
        <v>12</v>
      </c>
    </row>
    <row r="490" spans="1:10" x14ac:dyDescent="0.25">
      <c r="A490" s="2">
        <v>19.573791598921702</v>
      </c>
      <c r="B490" s="3">
        <v>2.1622635924517</v>
      </c>
      <c r="C490" s="5">
        <v>9.8362203546284395E-14</v>
      </c>
      <c r="D490" s="6">
        <v>7.0304554328841198E-13</v>
      </c>
      <c r="E490" s="3" t="s">
        <v>5535</v>
      </c>
      <c r="F490" s="3" t="s">
        <v>5536</v>
      </c>
      <c r="G490" s="3" t="s">
        <v>83</v>
      </c>
      <c r="H490" s="7" t="str">
        <f>HYPERLINK("http://www.ensembl.org/Mus_musculus/Gene/Summary?db=core;g=ENSMUSG00000112226","ENSMUSG00000112226")</f>
        <v>ENSMUSG00000112226</v>
      </c>
      <c r="I490" s="7" t="str">
        <f>HYPERLINK("http://www.informatics.jax.org/marker/MGI:6098486","MGI:6098486")</f>
        <v>MGI:6098486</v>
      </c>
      <c r="J490" s="4" t="s">
        <v>1043</v>
      </c>
    </row>
    <row r="491" spans="1:10" x14ac:dyDescent="0.25">
      <c r="A491" s="2">
        <v>1.99606646837781</v>
      </c>
      <c r="B491" s="3">
        <v>2.1616927169622402</v>
      </c>
      <c r="C491" s="5">
        <v>2.4646816484659399E-6</v>
      </c>
      <c r="D491" s="6">
        <v>9.8169101409307697E-6</v>
      </c>
      <c r="E491" s="3" t="s">
        <v>9917</v>
      </c>
      <c r="F491" s="3" t="s">
        <v>9918</v>
      </c>
      <c r="G491" s="3" t="s">
        <v>83</v>
      </c>
      <c r="H491" s="7" t="str">
        <f>HYPERLINK("http://www.ensembl.org/Mus_musculus/Gene/Summary?db=core;g=ENSMUSG00000098934","ENSMUSG00000098934")</f>
        <v>ENSMUSG00000098934</v>
      </c>
      <c r="I491" s="7" t="str">
        <f>HYPERLINK("http://www.informatics.jax.org/marker/MGI:5011038","MGI:5011038")</f>
        <v>MGI:5011038</v>
      </c>
      <c r="J491" s="4" t="s">
        <v>2683</v>
      </c>
    </row>
    <row r="492" spans="1:10" x14ac:dyDescent="0.25">
      <c r="A492" s="2">
        <v>11.081974536877601</v>
      </c>
      <c r="B492" s="3">
        <v>2.1547338748598399</v>
      </c>
      <c r="C492" s="5">
        <v>1.7756456134131299E-10</v>
      </c>
      <c r="D492" s="6">
        <v>1.0128935926094E-9</v>
      </c>
      <c r="E492" s="3" t="s">
        <v>6932</v>
      </c>
      <c r="F492" s="3" t="s">
        <v>6933</v>
      </c>
      <c r="G492" s="3">
        <v>381522</v>
      </c>
      <c r="H492" s="7" t="str">
        <f>HYPERLINK("http://www.ensembl.org/Mus_musculus/Gene/Summary?db=core;g=ENSMUSG00000035539","ENSMUSG00000035539")</f>
        <v>ENSMUSG00000035539</v>
      </c>
      <c r="I492" s="7" t="str">
        <f>HYPERLINK("http://www.informatics.jax.org/marker/MGI:2685871","MGI:2685871")</f>
        <v>MGI:2685871</v>
      </c>
      <c r="J492" s="4" t="s">
        <v>12</v>
      </c>
    </row>
    <row r="493" spans="1:10" x14ac:dyDescent="0.25">
      <c r="A493" s="2">
        <v>176.004535479894</v>
      </c>
      <c r="B493" s="3">
        <v>2.1535938022935599</v>
      </c>
      <c r="C493" s="5">
        <v>3.0268842453700701E-84</v>
      </c>
      <c r="D493" s="6">
        <v>1.91929766298063E-82</v>
      </c>
      <c r="E493" s="3" t="s">
        <v>634</v>
      </c>
      <c r="F493" s="3" t="s">
        <v>635</v>
      </c>
      <c r="G493" s="3">
        <v>12051</v>
      </c>
      <c r="H493" s="7" t="str">
        <f>HYPERLINK("http://www.ensembl.org/Mus_musculus/Gene/Summary?db=core;g=ENSMUSG00000053175","ENSMUSG00000053175")</f>
        <v>ENSMUSG00000053175</v>
      </c>
      <c r="I493" s="7" t="str">
        <f>HYPERLINK("http://www.informatics.jax.org/marker/MGI:88140","MGI:88140")</f>
        <v>MGI:88140</v>
      </c>
      <c r="J493" s="4" t="s">
        <v>12</v>
      </c>
    </row>
    <row r="494" spans="1:10" x14ac:dyDescent="0.25">
      <c r="A494" s="2">
        <v>865.67254300970797</v>
      </c>
      <c r="B494" s="3">
        <v>2.15301852064731</v>
      </c>
      <c r="C494" s="5">
        <v>2.5205555910863099E-102</v>
      </c>
      <c r="D494" s="6">
        <v>2.0539403411661999E-100</v>
      </c>
      <c r="E494" s="3" t="s">
        <v>496</v>
      </c>
      <c r="F494" s="3" t="s">
        <v>497</v>
      </c>
      <c r="G494" s="3">
        <v>235610</v>
      </c>
      <c r="H494" s="7" t="str">
        <f>HYPERLINK("http://www.ensembl.org/Mus_musculus/Gene/Summary?db=core;g=ENSMUSG00000025646","ENSMUSG00000025646")</f>
        <v>ENSMUSG00000025646</v>
      </c>
      <c r="I494" s="7" t="str">
        <f>HYPERLINK("http://www.informatics.jax.org/marker/MGI:1925349","MGI:1925349")</f>
        <v>MGI:1925349</v>
      </c>
      <c r="J494" s="4" t="s">
        <v>12</v>
      </c>
    </row>
    <row r="495" spans="1:10" x14ac:dyDescent="0.25">
      <c r="A495" s="2">
        <v>306.52518250409702</v>
      </c>
      <c r="B495" s="3">
        <v>2.14548451770357</v>
      </c>
      <c r="C495" s="5">
        <v>1.0193033421212E-44</v>
      </c>
      <c r="D495" s="6">
        <v>2.3815950126339099E-43</v>
      </c>
      <c r="E495" s="3" t="s">
        <v>1704</v>
      </c>
      <c r="F495" s="3" t="s">
        <v>1705</v>
      </c>
      <c r="G495" s="3">
        <v>106878</v>
      </c>
      <c r="H495" s="7" t="str">
        <f>HYPERLINK("http://www.ensembl.org/Mus_musculus/Gene/Summary?db=core;g=ENSMUSG00000038059","ENSMUSG00000038059")</f>
        <v>ENSMUSG00000038059</v>
      </c>
      <c r="I495" s="7" t="str">
        <f>HYPERLINK("http://www.informatics.jax.org/marker/MGI:1917088","MGI:1917088")</f>
        <v>MGI:1917088</v>
      </c>
      <c r="J495" s="4" t="s">
        <v>12</v>
      </c>
    </row>
    <row r="496" spans="1:10" x14ac:dyDescent="0.25">
      <c r="A496" s="2">
        <v>2.2368038670932102</v>
      </c>
      <c r="B496" s="3">
        <v>2.1445344209383999</v>
      </c>
      <c r="C496" s="5">
        <v>4.5863545237847499E-6</v>
      </c>
      <c r="D496" s="6">
        <v>1.77617657519708E-5</v>
      </c>
      <c r="E496" s="3" t="s">
        <v>10198</v>
      </c>
      <c r="F496" s="3" t="s">
        <v>10199</v>
      </c>
      <c r="G496" s="3">
        <v>66654</v>
      </c>
      <c r="H496" s="7" t="str">
        <f>HYPERLINK("http://www.ensembl.org/Mus_musculus/Gene/Summary?db=core;g=ENSMUSG00000032065","ENSMUSG00000032065")</f>
        <v>ENSMUSG00000032065</v>
      </c>
      <c r="I496" s="7" t="str">
        <f>HYPERLINK("http://www.informatics.jax.org/marker/MGI:1913904","MGI:1913904")</f>
        <v>MGI:1913904</v>
      </c>
      <c r="J496" s="4" t="s">
        <v>12</v>
      </c>
    </row>
    <row r="497" spans="1:10" x14ac:dyDescent="0.25">
      <c r="A497" s="2">
        <v>5.5905575545002897</v>
      </c>
      <c r="B497" s="3">
        <v>2.14370445125064</v>
      </c>
      <c r="C497" s="5">
        <v>1.4338064818516299E-7</v>
      </c>
      <c r="D497" s="6">
        <v>6.40422736627728E-7</v>
      </c>
      <c r="E497" s="3" t="s">
        <v>8847</v>
      </c>
      <c r="F497" s="3" t="s">
        <v>8848</v>
      </c>
      <c r="G497" s="3" t="s">
        <v>83</v>
      </c>
      <c r="H497" s="7" t="str">
        <f>HYPERLINK("http://www.ensembl.org/Mus_musculus/Gene/Summary?db=core;g=ENSMUSG00000106149","ENSMUSG00000106149")</f>
        <v>ENSMUSG00000106149</v>
      </c>
      <c r="I497" s="7" t="str">
        <f>HYPERLINK("http://www.informatics.jax.org/marker/MGI:5663567","MGI:5663567")</f>
        <v>MGI:5663567</v>
      </c>
      <c r="J497" s="4" t="s">
        <v>1828</v>
      </c>
    </row>
    <row r="498" spans="1:10" x14ac:dyDescent="0.25">
      <c r="A498" s="2">
        <v>1734.6281455941801</v>
      </c>
      <c r="B498" s="3">
        <v>2.1392345282773899</v>
      </c>
      <c r="C498" s="5">
        <v>3.5006671754127402E-58</v>
      </c>
      <c r="D498" s="6">
        <v>1.1820746010126599E-56</v>
      </c>
      <c r="E498" s="3" t="s">
        <v>1184</v>
      </c>
      <c r="F498" s="3" t="s">
        <v>1185</v>
      </c>
      <c r="G498" s="3">
        <v>171504</v>
      </c>
      <c r="H498" s="7" t="str">
        <f>HYPERLINK("http://www.ensembl.org/Mus_musculus/Gene/Summary?db=core;g=ENSMUSG00000042759","ENSMUSG00000042759")</f>
        <v>ENSMUSG00000042759</v>
      </c>
      <c r="I498" s="7" t="str">
        <f>HYPERLINK("http://www.informatics.jax.org/marker/MGI:2176230","MGI:2176230")</f>
        <v>MGI:2176230</v>
      </c>
      <c r="J498" s="4" t="s">
        <v>12</v>
      </c>
    </row>
    <row r="499" spans="1:10" x14ac:dyDescent="0.25">
      <c r="A499" s="2">
        <v>1.7305723662930499</v>
      </c>
      <c r="B499" s="3">
        <v>2.1357642427937402</v>
      </c>
      <c r="C499" s="5">
        <v>4.7046204678799601E-6</v>
      </c>
      <c r="D499" s="6">
        <v>1.8205477948703499E-5</v>
      </c>
      <c r="E499" s="3" t="s">
        <v>10206</v>
      </c>
      <c r="F499" s="3" t="s">
        <v>10207</v>
      </c>
      <c r="G499" s="3">
        <v>210530</v>
      </c>
      <c r="H499" s="7" t="str">
        <f>HYPERLINK("http://www.ensembl.org/Mus_musculus/Gene/Summary?db=core;g=ENSMUSG00000038168","ENSMUSG00000038168")</f>
        <v>ENSMUSG00000038168</v>
      </c>
      <c r="I499" s="7" t="str">
        <f>HYPERLINK("http://www.informatics.jax.org/marker/MGI:2146663","MGI:2146663")</f>
        <v>MGI:2146663</v>
      </c>
      <c r="J499" s="4" t="s">
        <v>12</v>
      </c>
    </row>
    <row r="500" spans="1:10" x14ac:dyDescent="0.25">
      <c r="A500" s="2">
        <v>2.4161035253173302</v>
      </c>
      <c r="B500" s="3">
        <v>2.1334224444235899</v>
      </c>
      <c r="C500" s="5">
        <v>4.8143262788804997E-6</v>
      </c>
      <c r="D500" s="6">
        <v>1.8608097651807802E-5</v>
      </c>
      <c r="E500" s="3" t="s">
        <v>10218</v>
      </c>
      <c r="F500" s="3" t="s">
        <v>10219</v>
      </c>
      <c r="G500" s="3" t="s">
        <v>83</v>
      </c>
      <c r="H500" s="7" t="str">
        <f>HYPERLINK("http://www.ensembl.org/Mus_musculus/Gene/Summary?db=core;g=ENSMUSG00000074805","ENSMUSG00000074805")</f>
        <v>ENSMUSG00000074805</v>
      </c>
      <c r="I500" s="7" t="str">
        <f>HYPERLINK("http://www.informatics.jax.org/marker/MGI:3650458","MGI:3650458")</f>
        <v>MGI:3650458</v>
      </c>
      <c r="J500" s="4" t="s">
        <v>932</v>
      </c>
    </row>
    <row r="501" spans="1:10" x14ac:dyDescent="0.25">
      <c r="A501" s="2">
        <v>7.4908762151508004</v>
      </c>
      <c r="B501" s="3">
        <v>2.1305898389479201</v>
      </c>
      <c r="C501" s="5">
        <v>1.8228447710724402E-8</v>
      </c>
      <c r="D501" s="6">
        <v>8.8280924638028001E-8</v>
      </c>
      <c r="E501" s="3" t="s">
        <v>8161</v>
      </c>
      <c r="F501" s="3" t="s">
        <v>8162</v>
      </c>
      <c r="G501" s="3" t="s">
        <v>83</v>
      </c>
      <c r="H501" s="7" t="str">
        <f>HYPERLINK("http://www.ensembl.org/Mus_musculus/Gene/Summary?db=core;g=ENSMUSG00000116946","ENSMUSG00000116946")</f>
        <v>ENSMUSG00000116946</v>
      </c>
      <c r="I501" s="7" t="str">
        <f>HYPERLINK("http://www.informatics.jax.org/marker/MGI:5624327","MGI:5624327")</f>
        <v>MGI:5624327</v>
      </c>
      <c r="J501" s="4" t="s">
        <v>939</v>
      </c>
    </row>
    <row r="502" spans="1:10" x14ac:dyDescent="0.25">
      <c r="A502" s="2">
        <v>352.82443666695798</v>
      </c>
      <c r="B502" s="3">
        <v>2.1295181686010598</v>
      </c>
      <c r="C502" s="5">
        <v>6.9955701774601699E-84</v>
      </c>
      <c r="D502" s="6">
        <v>4.3655899968200798E-82</v>
      </c>
      <c r="E502" s="3" t="s">
        <v>644</v>
      </c>
      <c r="F502" s="3" t="s">
        <v>645</v>
      </c>
      <c r="G502" s="3">
        <v>71934</v>
      </c>
      <c r="H502" s="7" t="str">
        <f>HYPERLINK("http://www.ensembl.org/Mus_musculus/Gene/Summary?db=core;g=ENSMUSG00000027555","ENSMUSG00000027555")</f>
        <v>ENSMUSG00000027555</v>
      </c>
      <c r="I502" s="7" t="str">
        <f>HYPERLINK("http://www.informatics.jax.org/marker/MGI:1931322","MGI:1931322")</f>
        <v>MGI:1931322</v>
      </c>
      <c r="J502" s="4" t="s">
        <v>12</v>
      </c>
    </row>
    <row r="503" spans="1:10" x14ac:dyDescent="0.25">
      <c r="A503" s="2">
        <v>1072.98028000865</v>
      </c>
      <c r="B503" s="3">
        <v>2.1293883029335898</v>
      </c>
      <c r="C503" s="5">
        <v>3.62481840583634E-140</v>
      </c>
      <c r="D503" s="6">
        <v>6.0577473697536098E-138</v>
      </c>
      <c r="E503" s="3" t="s">
        <v>246</v>
      </c>
      <c r="F503" s="3" t="s">
        <v>247</v>
      </c>
      <c r="G503" s="3">
        <v>13537</v>
      </c>
      <c r="H503" s="7" t="str">
        <f>HYPERLINK("http://www.ensembl.org/Mus_musculus/Gene/Summary?db=core;g=ENSMUSG00000027368","ENSMUSG00000027368")</f>
        <v>ENSMUSG00000027368</v>
      </c>
      <c r="I503" s="7" t="str">
        <f>HYPERLINK("http://www.informatics.jax.org/marker/MGI:101911","MGI:101911")</f>
        <v>MGI:101911</v>
      </c>
      <c r="J503" s="4" t="s">
        <v>12</v>
      </c>
    </row>
    <row r="504" spans="1:10" x14ac:dyDescent="0.25">
      <c r="A504" s="2">
        <v>4.5664579023444896</v>
      </c>
      <c r="B504" s="3">
        <v>2.1277697265660001</v>
      </c>
      <c r="C504" s="5">
        <v>2.57981810552767E-6</v>
      </c>
      <c r="D504" s="6">
        <v>1.0248592474014E-5</v>
      </c>
      <c r="E504" s="3" t="s">
        <v>9943</v>
      </c>
      <c r="F504" s="3" t="s">
        <v>9944</v>
      </c>
      <c r="G504" s="3">
        <v>29809</v>
      </c>
      <c r="H504" s="7" t="str">
        <f>HYPERLINK("http://www.ensembl.org/Mus_musculus/Gene/Summary?db=core;g=ENSMUSG00000026721","ENSMUSG00000026721")</f>
        <v>ENSMUSG00000026721</v>
      </c>
      <c r="I504" s="7" t="str">
        <f>HYPERLINK("http://www.informatics.jax.org/marker/MGI:1352507","MGI:1352507")</f>
        <v>MGI:1352507</v>
      </c>
      <c r="J504" s="4" t="s">
        <v>12</v>
      </c>
    </row>
    <row r="505" spans="1:10" x14ac:dyDescent="0.25">
      <c r="A505" s="2">
        <v>8361.9665338519408</v>
      </c>
      <c r="B505" s="3">
        <v>2.12229926872334</v>
      </c>
      <c r="C505" s="5">
        <v>3.9799489835974899E-74</v>
      </c>
      <c r="D505" s="6">
        <v>1.9819341908217799E-72</v>
      </c>
      <c r="E505" s="3" t="s">
        <v>804</v>
      </c>
      <c r="F505" s="3" t="s">
        <v>805</v>
      </c>
      <c r="G505" s="3">
        <v>286940</v>
      </c>
      <c r="H505" s="7" t="str">
        <f>HYPERLINK("http://www.ensembl.org/Mus_musculus/Gene/Summary?db=core;g=ENSMUSG00000025278","ENSMUSG00000025278")</f>
        <v>ENSMUSG00000025278</v>
      </c>
      <c r="I505" s="7" t="str">
        <f>HYPERLINK("http://www.informatics.jax.org/marker/MGI:2446089","MGI:2446089")</f>
        <v>MGI:2446089</v>
      </c>
      <c r="J505" s="4" t="s">
        <v>12</v>
      </c>
    </row>
    <row r="506" spans="1:10" x14ac:dyDescent="0.25">
      <c r="A506" s="2">
        <v>9825.7471035594499</v>
      </c>
      <c r="B506" s="3">
        <v>2.1186834601548998</v>
      </c>
      <c r="C506" s="5">
        <v>4.0174377915701299E-65</v>
      </c>
      <c r="D506" s="6">
        <v>1.6643670850790499E-63</v>
      </c>
      <c r="E506" s="3" t="s">
        <v>966</v>
      </c>
      <c r="F506" s="3" t="s">
        <v>967</v>
      </c>
      <c r="G506" s="3">
        <v>18412</v>
      </c>
      <c r="H506" s="7" t="str">
        <f>HYPERLINK("http://www.ensembl.org/Mus_musculus/Gene/Summary?db=core;g=ENSMUSG00000015837","ENSMUSG00000015837")</f>
        <v>ENSMUSG00000015837</v>
      </c>
      <c r="I506" s="7" t="str">
        <f>HYPERLINK("http://www.informatics.jax.org/marker/MGI:107931","MGI:107931")</f>
        <v>MGI:107931</v>
      </c>
      <c r="J506" s="4" t="s">
        <v>12</v>
      </c>
    </row>
    <row r="507" spans="1:10" x14ac:dyDescent="0.25">
      <c r="A507" s="2">
        <v>1.9868042457048201</v>
      </c>
      <c r="B507" s="3">
        <v>2.1158389572749701</v>
      </c>
      <c r="C507" s="5">
        <v>6.41186462342025E-6</v>
      </c>
      <c r="D507" s="6">
        <v>2.4499509857362402E-5</v>
      </c>
      <c r="E507" s="3" t="s">
        <v>10336</v>
      </c>
      <c r="F507" s="3" t="s">
        <v>10337</v>
      </c>
      <c r="G507" s="3">
        <v>240047</v>
      </c>
      <c r="H507" s="7" t="str">
        <f>HYPERLINK("http://www.ensembl.org/Mus_musculus/Gene/Summary?db=core;g=ENSMUSG00000023903","ENSMUSG00000023903")</f>
        <v>ENSMUSG00000023903</v>
      </c>
      <c r="I507" s="7" t="str">
        <f>HYPERLINK("http://www.informatics.jax.org/marker/MGI:2443938","MGI:2443938")</f>
        <v>MGI:2443938</v>
      </c>
      <c r="J507" s="4" t="s">
        <v>12</v>
      </c>
    </row>
    <row r="508" spans="1:10" x14ac:dyDescent="0.25">
      <c r="A508" s="2">
        <v>1305.9785759464701</v>
      </c>
      <c r="B508" s="3">
        <v>2.1144840249226302</v>
      </c>
      <c r="C508" s="5">
        <v>1.57507999221393E-109</v>
      </c>
      <c r="D508" s="6">
        <v>1.4861520309310401E-107</v>
      </c>
      <c r="E508" s="3" t="s">
        <v>430</v>
      </c>
      <c r="F508" s="3" t="s">
        <v>431</v>
      </c>
      <c r="G508" s="3">
        <v>16822</v>
      </c>
      <c r="H508" s="7" t="str">
        <f>HYPERLINK("http://www.ensembl.org/Mus_musculus/Gene/Summary?db=core;g=ENSMUSG00000002699","ENSMUSG00000002699")</f>
        <v>ENSMUSG00000002699</v>
      </c>
      <c r="I508" s="7" t="str">
        <f>HYPERLINK("http://www.informatics.jax.org/marker/MGI:1321402","MGI:1321402")</f>
        <v>MGI:1321402</v>
      </c>
      <c r="J508" s="4" t="s">
        <v>12</v>
      </c>
    </row>
    <row r="509" spans="1:10" x14ac:dyDescent="0.25">
      <c r="A509" s="2">
        <v>9.2164851827212804</v>
      </c>
      <c r="B509" s="3">
        <v>2.1121567930070499</v>
      </c>
      <c r="C509" s="5">
        <v>7.0518337341122799E-9</v>
      </c>
      <c r="D509" s="6">
        <v>3.5393779902441897E-8</v>
      </c>
      <c r="E509" s="3" t="s">
        <v>7874</v>
      </c>
      <c r="F509" s="3" t="s">
        <v>7875</v>
      </c>
      <c r="G509" s="3" t="s">
        <v>83</v>
      </c>
      <c r="H509" s="7" t="str">
        <f>HYPERLINK("http://www.ensembl.org/Mus_musculus/Gene/Summary?db=core;g=ENSMUSG00000105940","ENSMUSG00000105940")</f>
        <v>ENSMUSG00000105940</v>
      </c>
      <c r="I509" s="7" t="str">
        <f>HYPERLINK("http://www.informatics.jax.org/marker/MGI:5662772","MGI:5662772")</f>
        <v>MGI:5662772</v>
      </c>
      <c r="J509" s="4" t="s">
        <v>1828</v>
      </c>
    </row>
    <row r="510" spans="1:10" x14ac:dyDescent="0.25">
      <c r="A510" s="2">
        <v>3.11245059198429</v>
      </c>
      <c r="B510" s="3">
        <v>2.09180602733232</v>
      </c>
      <c r="C510" s="5">
        <v>6.1342573946436198E-6</v>
      </c>
      <c r="D510" s="6">
        <v>2.3484285735269302E-5</v>
      </c>
      <c r="E510" s="3" t="s">
        <v>10316</v>
      </c>
      <c r="F510" s="3" t="s">
        <v>10317</v>
      </c>
      <c r="G510" s="3" t="s">
        <v>83</v>
      </c>
      <c r="H510" s="7" t="str">
        <f>HYPERLINK("http://www.ensembl.org/Mus_musculus/Gene/Summary?db=core;g=ENSMUSG00000109341","ENSMUSG00000109341")</f>
        <v>ENSMUSG00000109341</v>
      </c>
      <c r="I510" s="7" t="str">
        <f>HYPERLINK("http://www.informatics.jax.org/marker/MGI:5590032","MGI:5590032")</f>
        <v>MGI:5590032</v>
      </c>
      <c r="J510" s="4" t="s">
        <v>932</v>
      </c>
    </row>
    <row r="511" spans="1:10" x14ac:dyDescent="0.25">
      <c r="A511" s="2">
        <v>6.2558314772530004</v>
      </c>
      <c r="B511" s="3">
        <v>2.0899318237919</v>
      </c>
      <c r="C511" s="5">
        <v>3.3449579457166299E-7</v>
      </c>
      <c r="D511" s="6">
        <v>1.45196061390121E-6</v>
      </c>
      <c r="E511" s="3" t="s">
        <v>9101</v>
      </c>
      <c r="F511" s="3" t="s">
        <v>9102</v>
      </c>
      <c r="G511" s="3">
        <v>76072</v>
      </c>
      <c r="H511" s="7" t="str">
        <f>HYPERLINK("http://www.ensembl.org/Mus_musculus/Gene/Summary?db=core;g=ENSMUSG00000063851","ENSMUSG00000063851")</f>
        <v>ENSMUSG00000063851</v>
      </c>
      <c r="I511" s="7" t="str">
        <f>HYPERLINK("http://www.informatics.jax.org/marker/MGI:1923322","MGI:1923322")</f>
        <v>MGI:1923322</v>
      </c>
      <c r="J511" s="4" t="s">
        <v>12</v>
      </c>
    </row>
    <row r="512" spans="1:10" x14ac:dyDescent="0.25">
      <c r="A512" s="2">
        <v>1923.7849428238201</v>
      </c>
      <c r="B512" s="3">
        <v>2.0861460836743499</v>
      </c>
      <c r="C512" s="5">
        <v>1.4545717950300401E-98</v>
      </c>
      <c r="D512" s="6">
        <v>1.13826015071398E-96</v>
      </c>
      <c r="E512" s="3" t="s">
        <v>516</v>
      </c>
      <c r="F512" s="3" t="s">
        <v>517</v>
      </c>
      <c r="G512" s="3">
        <v>16656</v>
      </c>
      <c r="H512" s="7" t="str">
        <f>HYPERLINK("http://www.ensembl.org/Mus_musculus/Gene/Summary?db=core;g=ENSMUSG00000028634","ENSMUSG00000028634")</f>
        <v>ENSMUSG00000028634</v>
      </c>
      <c r="I512" s="7" t="str">
        <f>HYPERLINK("http://www.informatics.jax.org/marker/MGI:106589","MGI:106589")</f>
        <v>MGI:106589</v>
      </c>
      <c r="J512" s="4" t="s">
        <v>12</v>
      </c>
    </row>
    <row r="513" spans="1:10" x14ac:dyDescent="0.25">
      <c r="A513" s="2">
        <v>1.92736019882162</v>
      </c>
      <c r="B513" s="3">
        <v>2.0797484471085301</v>
      </c>
      <c r="C513" s="5">
        <v>6.6390508656876998E-6</v>
      </c>
      <c r="D513" s="6">
        <v>2.5328319417945699E-5</v>
      </c>
      <c r="E513" s="3" t="s">
        <v>10352</v>
      </c>
      <c r="F513" s="3" t="s">
        <v>10353</v>
      </c>
      <c r="G513" s="3">
        <v>381411</v>
      </c>
      <c r="H513" s="7" t="str">
        <f>HYPERLINK("http://www.ensembl.org/Mus_musculus/Gene/Summary?db=core;g=ENSMUSG00000075023","ENSMUSG00000075023")</f>
        <v>ENSMUSG00000075023</v>
      </c>
      <c r="I513" s="7" t="str">
        <f>HYPERLINK("http://www.informatics.jax.org/marker/MGI:3584519","MGI:3584519")</f>
        <v>MGI:3584519</v>
      </c>
      <c r="J513" s="4" t="s">
        <v>12</v>
      </c>
    </row>
    <row r="514" spans="1:10" x14ac:dyDescent="0.25">
      <c r="A514" s="2">
        <v>413.79688923407798</v>
      </c>
      <c r="B514" s="3">
        <v>2.0760536324175098</v>
      </c>
      <c r="C514" s="5">
        <v>4.7841768139134398E-60</v>
      </c>
      <c r="D514" s="6">
        <v>1.7374579515722501E-58</v>
      </c>
      <c r="E514" s="3" t="s">
        <v>1102</v>
      </c>
      <c r="F514" s="3" t="s">
        <v>1103</v>
      </c>
      <c r="G514" s="3">
        <v>212168</v>
      </c>
      <c r="H514" s="7" t="str">
        <f>HYPERLINK("http://www.ensembl.org/Mus_musculus/Gene/Summary?db=core;g=ENSMUSG00000035671","ENSMUSG00000035671")</f>
        <v>ENSMUSG00000035671</v>
      </c>
      <c r="I514" s="7" t="str">
        <f>HYPERLINK("http://www.informatics.jax.org/marker/MGI:2443726","MGI:2443726")</f>
        <v>MGI:2443726</v>
      </c>
      <c r="J514" s="4" t="s">
        <v>12</v>
      </c>
    </row>
    <row r="515" spans="1:10" x14ac:dyDescent="0.25">
      <c r="A515" s="2">
        <v>49.402877947861299</v>
      </c>
      <c r="B515" s="3">
        <v>2.0744288393185499</v>
      </c>
      <c r="C515" s="5">
        <v>6.32118623258515E-25</v>
      </c>
      <c r="D515" s="6">
        <v>7.6710026157894798E-24</v>
      </c>
      <c r="E515" s="3" t="s">
        <v>3270</v>
      </c>
      <c r="F515" s="3" t="s">
        <v>3271</v>
      </c>
      <c r="G515" s="3">
        <v>69217</v>
      </c>
      <c r="H515" s="7" t="str">
        <f>HYPERLINK("http://www.ensembl.org/Mus_musculus/Gene/Summary?db=core;g=ENSMUSG00000040428","ENSMUSG00000040428")</f>
        <v>ENSMUSG00000040428</v>
      </c>
      <c r="I515" s="7" t="str">
        <f>HYPERLINK("http://www.informatics.jax.org/marker/MGI:1916467","MGI:1916467")</f>
        <v>MGI:1916467</v>
      </c>
      <c r="J515" s="4" t="s">
        <v>12</v>
      </c>
    </row>
    <row r="516" spans="1:10" x14ac:dyDescent="0.25">
      <c r="A516" s="2">
        <v>47.926382861894801</v>
      </c>
      <c r="B516" s="3">
        <v>2.06978943288164</v>
      </c>
      <c r="C516" s="5">
        <v>1.50303316317875E-27</v>
      </c>
      <c r="D516" s="6">
        <v>2.01768645186419E-26</v>
      </c>
      <c r="E516" s="3" t="s">
        <v>2956</v>
      </c>
      <c r="F516" s="3" t="s">
        <v>2957</v>
      </c>
      <c r="G516" s="3">
        <v>74121</v>
      </c>
      <c r="H516" s="7" t="str">
        <f>HYPERLINK("http://www.ensembl.org/Mus_musculus/Gene/Summary?db=core;g=ENSMUSG00000027380","ENSMUSG00000027380")</f>
        <v>ENSMUSG00000027380</v>
      </c>
      <c r="I516" s="7" t="str">
        <f>HYPERLINK("http://www.informatics.jax.org/marker/MGI:1921371","MGI:1921371")</f>
        <v>MGI:1921371</v>
      </c>
      <c r="J516" s="4" t="s">
        <v>12</v>
      </c>
    </row>
    <row r="517" spans="1:10" x14ac:dyDescent="0.25">
      <c r="A517" s="2">
        <v>2.20677741383671</v>
      </c>
      <c r="B517" s="3">
        <v>2.0695803115372802</v>
      </c>
      <c r="C517" s="5">
        <v>9.8001686942712995E-6</v>
      </c>
      <c r="D517" s="6">
        <v>3.6720373674905899E-5</v>
      </c>
      <c r="E517" s="3" t="s">
        <v>10540</v>
      </c>
      <c r="F517" s="3" t="s">
        <v>10541</v>
      </c>
      <c r="G517" s="3">
        <v>243312</v>
      </c>
      <c r="H517" s="7" t="str">
        <f>HYPERLINK("http://www.ensembl.org/Mus_musculus/Gene/Summary?db=core;g=ENSMUSG00000048988","ENSMUSG00000048988")</f>
        <v>ENSMUSG00000048988</v>
      </c>
      <c r="I517" s="7" t="str">
        <f>HYPERLINK("http://www.informatics.jax.org/marker/MGI:2442479","MGI:2442479")</f>
        <v>MGI:2442479</v>
      </c>
      <c r="J517" s="4" t="s">
        <v>12</v>
      </c>
    </row>
    <row r="518" spans="1:10" x14ac:dyDescent="0.25">
      <c r="A518" s="2">
        <v>2.51888257252457</v>
      </c>
      <c r="B518" s="3">
        <v>2.0657907886514102</v>
      </c>
      <c r="C518" s="5">
        <v>7.3577679147252003E-6</v>
      </c>
      <c r="D518" s="6">
        <v>2.7989039984255601E-5</v>
      </c>
      <c r="E518" s="3" t="s">
        <v>10382</v>
      </c>
      <c r="F518" s="3" t="s">
        <v>10383</v>
      </c>
      <c r="G518" s="3" t="s">
        <v>83</v>
      </c>
      <c r="H518" s="7" t="str">
        <f>HYPERLINK("http://www.ensembl.org/Mus_musculus/Gene/Summary?db=core;g=ENSMUSG00000082088","ENSMUSG00000082088")</f>
        <v>ENSMUSG00000082088</v>
      </c>
      <c r="I518" s="7" t="str">
        <f>HYPERLINK("http://www.informatics.jax.org/marker/MGI:3783195","MGI:3783195")</f>
        <v>MGI:3783195</v>
      </c>
      <c r="J518" s="4" t="s">
        <v>2683</v>
      </c>
    </row>
    <row r="519" spans="1:10" x14ac:dyDescent="0.25">
      <c r="A519" s="2">
        <v>19.784547317024298</v>
      </c>
      <c r="B519" s="3">
        <v>2.0651525550048699</v>
      </c>
      <c r="C519" s="5">
        <v>5.5349463766396998E-11</v>
      </c>
      <c r="D519" s="6">
        <v>3.28169400322714E-10</v>
      </c>
      <c r="E519" s="3" t="s">
        <v>6669</v>
      </c>
      <c r="F519" s="3" t="s">
        <v>6670</v>
      </c>
      <c r="G519" s="3">
        <v>11833</v>
      </c>
      <c r="H519" s="7" t="str">
        <f>HYPERLINK("http://www.ensembl.org/Mus_musculus/Gene/Summary?db=core;g=ENSMUSG00000030762","ENSMUSG00000030762")</f>
        <v>ENSMUSG00000030762</v>
      </c>
      <c r="I519" s="7" t="str">
        <f>HYPERLINK("http://www.informatics.jax.org/marker/MGI:1195271","MGI:1195271")</f>
        <v>MGI:1195271</v>
      </c>
      <c r="J519" s="4" t="s">
        <v>12</v>
      </c>
    </row>
    <row r="520" spans="1:10" x14ac:dyDescent="0.25">
      <c r="A520" s="2">
        <v>1504.72041589433</v>
      </c>
      <c r="B520" s="3">
        <v>2.0648658399734998</v>
      </c>
      <c r="C520" s="5">
        <v>9.8807230369142701E-78</v>
      </c>
      <c r="D520" s="6">
        <v>5.4124405079986E-76</v>
      </c>
      <c r="E520" s="3" t="s">
        <v>732</v>
      </c>
      <c r="F520" s="3" t="s">
        <v>733</v>
      </c>
      <c r="G520" s="3">
        <v>13163</v>
      </c>
      <c r="H520" s="7" t="str">
        <f>HYPERLINK("http://www.ensembl.org/Mus_musculus/Gene/Summary?db=core;g=ENSMUSG00000002307","ENSMUSG00000002307")</f>
        <v>ENSMUSG00000002307</v>
      </c>
      <c r="I520" s="7" t="str">
        <f>HYPERLINK("http://www.informatics.jax.org/marker/MGI:1197015","MGI:1197015")</f>
        <v>MGI:1197015</v>
      </c>
      <c r="J520" s="4" t="s">
        <v>12</v>
      </c>
    </row>
    <row r="521" spans="1:10" x14ac:dyDescent="0.25">
      <c r="A521" s="2">
        <v>2.13129076178324</v>
      </c>
      <c r="B521" s="3">
        <v>2.0645522945247299</v>
      </c>
      <c r="C521" s="5">
        <v>7.67300633989295E-6</v>
      </c>
      <c r="D521" s="6">
        <v>2.9137624691447899E-5</v>
      </c>
      <c r="E521" s="3" t="s">
        <v>10400</v>
      </c>
      <c r="F521" s="3" t="s">
        <v>10401</v>
      </c>
      <c r="G521" s="3">
        <v>209590</v>
      </c>
      <c r="H521" s="7" t="str">
        <f>HYPERLINK("http://www.ensembl.org/Mus_musculus/Gene/Summary?db=core;g=ENSMUSG00000049093","ENSMUSG00000049093")</f>
        <v>ENSMUSG00000049093</v>
      </c>
      <c r="I521" s="7" t="str">
        <f>HYPERLINK("http://www.informatics.jax.org/marker/MGI:2181693","MGI:2181693")</f>
        <v>MGI:2181693</v>
      </c>
      <c r="J521" s="4" t="s">
        <v>12</v>
      </c>
    </row>
    <row r="522" spans="1:10" x14ac:dyDescent="0.25">
      <c r="A522" s="2">
        <v>1112.4234727533999</v>
      </c>
      <c r="B522" s="3">
        <v>2.0622958425711602</v>
      </c>
      <c r="C522" s="5">
        <v>1.51528485219031E-27</v>
      </c>
      <c r="D522" s="6">
        <v>2.0327494751832E-26</v>
      </c>
      <c r="E522" s="3" t="s">
        <v>2958</v>
      </c>
      <c r="F522" s="3" t="s">
        <v>2959</v>
      </c>
      <c r="G522" s="3">
        <v>100041194</v>
      </c>
      <c r="H522" s="7" t="str">
        <f>HYPERLINK("http://www.ensembl.org/Mus_musculus/Gene/Summary?db=core;g=ENSMUSG00000072812","ENSMUSG00000072812")</f>
        <v>ENSMUSG00000072812</v>
      </c>
      <c r="I522" s="7" t="str">
        <f>HYPERLINK("http://www.informatics.jax.org/marker/MGI:2144831","MGI:2144831")</f>
        <v>MGI:2144831</v>
      </c>
      <c r="J522" s="4" t="s">
        <v>12</v>
      </c>
    </row>
    <row r="523" spans="1:10" x14ac:dyDescent="0.25">
      <c r="A523" s="2">
        <v>101.61819723011099</v>
      </c>
      <c r="B523" s="3">
        <v>2.0619848882848602</v>
      </c>
      <c r="C523" s="5">
        <v>5.5536277157951898E-6</v>
      </c>
      <c r="D523" s="6">
        <v>2.1356774289290399E-5</v>
      </c>
      <c r="E523" s="3" t="s">
        <v>10270</v>
      </c>
      <c r="F523" s="3" t="s">
        <v>10271</v>
      </c>
      <c r="G523" s="3">
        <v>21942</v>
      </c>
      <c r="H523" s="7" t="str">
        <f>HYPERLINK("http://www.ensembl.org/Mus_musculus/Gene/Summary?db=core;g=ENSMUSG00000028965","ENSMUSG00000028965")</f>
        <v>ENSMUSG00000028965</v>
      </c>
      <c r="I523" s="7" t="str">
        <f>HYPERLINK("http://www.informatics.jax.org/marker/MGI:1101059","MGI:1101059")</f>
        <v>MGI:1101059</v>
      </c>
      <c r="J523" s="4" t="s">
        <v>12</v>
      </c>
    </row>
    <row r="524" spans="1:10" x14ac:dyDescent="0.25">
      <c r="A524" s="2">
        <v>64.073876691872101</v>
      </c>
      <c r="B524" s="3">
        <v>2.0617570657865598</v>
      </c>
      <c r="C524" s="5">
        <v>3.5820594824072401E-33</v>
      </c>
      <c r="D524" s="6">
        <v>5.8042903034569304E-32</v>
      </c>
      <c r="E524" s="3" t="s">
        <v>2451</v>
      </c>
      <c r="F524" s="3" t="s">
        <v>2452</v>
      </c>
      <c r="G524" s="3" t="s">
        <v>83</v>
      </c>
      <c r="H524" s="7" t="str">
        <f>HYPERLINK("http://www.ensembl.org/Mus_musculus/Gene/Summary?db=core;g=ENSMUSG00000067577","ENSMUSG00000067577")</f>
        <v>ENSMUSG00000067577</v>
      </c>
      <c r="I524" s="7" t="str">
        <f>HYPERLINK("http://www.informatics.jax.org/marker/MGI:2685520","MGI:2685520")</f>
        <v>MGI:2685520</v>
      </c>
      <c r="J524" s="4" t="s">
        <v>331</v>
      </c>
    </row>
    <row r="525" spans="1:10" x14ac:dyDescent="0.25">
      <c r="A525" s="2">
        <v>56.624250534628402</v>
      </c>
      <c r="B525" s="3">
        <v>2.0617550308653998</v>
      </c>
      <c r="C525" s="5">
        <v>1.7824375373192301E-23</v>
      </c>
      <c r="D525" s="6">
        <v>2.0507391036134901E-22</v>
      </c>
      <c r="E525" s="3" t="s">
        <v>3446</v>
      </c>
      <c r="F525" s="3" t="s">
        <v>3447</v>
      </c>
      <c r="G525" s="3" t="s">
        <v>83</v>
      </c>
      <c r="H525" s="7" t="str">
        <f>HYPERLINK("http://www.ensembl.org/Mus_musculus/Gene/Summary?db=core;g=ENSMUSG00000097000","ENSMUSG00000097000")</f>
        <v>ENSMUSG00000097000</v>
      </c>
      <c r="I525" s="7" t="str">
        <f>HYPERLINK("http://www.informatics.jax.org/marker/MGI:4937069","MGI:4937069")</f>
        <v>MGI:4937069</v>
      </c>
      <c r="J525" s="4" t="s">
        <v>932</v>
      </c>
    </row>
    <row r="526" spans="1:10" x14ac:dyDescent="0.25">
      <c r="A526" s="2">
        <v>1.53183116108184</v>
      </c>
      <c r="B526" s="3">
        <v>2.0576710189010701</v>
      </c>
      <c r="C526" s="5">
        <v>1.07625571644733E-5</v>
      </c>
      <c r="D526" s="6">
        <v>4.0181300129385497E-5</v>
      </c>
      <c r="E526" s="3" t="s">
        <v>10577</v>
      </c>
      <c r="F526" s="3" t="s">
        <v>10578</v>
      </c>
      <c r="G526" s="3" t="s">
        <v>83</v>
      </c>
      <c r="H526" s="7" t="str">
        <f>HYPERLINK("http://www.ensembl.org/Mus_musculus/Gene/Summary?db=core;g=ENSMUSG00000085363","ENSMUSG00000085363")</f>
        <v>ENSMUSG00000085363</v>
      </c>
      <c r="I526" s="7" t="str">
        <f>HYPERLINK("http://www.informatics.jax.org/marker/MGI:3705145","MGI:3705145")</f>
        <v>MGI:3705145</v>
      </c>
      <c r="J526" s="4" t="s">
        <v>932</v>
      </c>
    </row>
    <row r="527" spans="1:10" x14ac:dyDescent="0.25">
      <c r="A527" s="2">
        <v>11.6531897568487</v>
      </c>
      <c r="B527" s="3">
        <v>2.05425497040439</v>
      </c>
      <c r="C527" s="5">
        <v>8.5944412963970899E-9</v>
      </c>
      <c r="D527" s="6">
        <v>4.2874369432064398E-8</v>
      </c>
      <c r="E527" s="3" t="s">
        <v>7922</v>
      </c>
      <c r="F527" s="3" t="s">
        <v>7923</v>
      </c>
      <c r="G527" s="3" t="s">
        <v>83</v>
      </c>
      <c r="H527" s="7" t="str">
        <f>HYPERLINK("http://www.ensembl.org/Mus_musculus/Gene/Summary?db=core;g=ENSMUSG00000083298","ENSMUSG00000083298")</f>
        <v>ENSMUSG00000083298</v>
      </c>
      <c r="I527" s="7" t="str">
        <f>HYPERLINK("http://www.informatics.jax.org/marker/MGI:3650335","MGI:3650335")</f>
        <v>MGI:3650335</v>
      </c>
      <c r="J527" s="4" t="s">
        <v>1043</v>
      </c>
    </row>
    <row r="528" spans="1:10" x14ac:dyDescent="0.25">
      <c r="A528" s="2">
        <v>2.8870185018486598</v>
      </c>
      <c r="B528" s="3">
        <v>2.05396254688223</v>
      </c>
      <c r="C528" s="5">
        <v>1.0007617419456599E-5</v>
      </c>
      <c r="D528" s="6">
        <v>3.7454965935032099E-5</v>
      </c>
      <c r="E528" s="3" t="s">
        <v>10551</v>
      </c>
      <c r="F528" s="3" t="s">
        <v>10552</v>
      </c>
      <c r="G528" s="3">
        <v>327766</v>
      </c>
      <c r="H528" s="7" t="str">
        <f>HYPERLINK("http://www.ensembl.org/Mus_musculus/Gene/Summary?db=core;g=ENSMUSG00000060044","ENSMUSG00000060044")</f>
        <v>ENSMUSG00000060044</v>
      </c>
      <c r="I528" s="7" t="str">
        <f>HYPERLINK("http://www.informatics.jax.org/marker/MGI:2143537","MGI:2143537")</f>
        <v>MGI:2143537</v>
      </c>
      <c r="J528" s="4" t="s">
        <v>12</v>
      </c>
    </row>
    <row r="529" spans="1:10" x14ac:dyDescent="0.25">
      <c r="A529" s="2">
        <v>3.6758843152181</v>
      </c>
      <c r="B529" s="3">
        <v>2.05292069622601</v>
      </c>
      <c r="C529" s="5">
        <v>2.8926893894000598E-6</v>
      </c>
      <c r="D529" s="6">
        <v>1.14453922068558E-5</v>
      </c>
      <c r="E529" s="3" t="s">
        <v>9984</v>
      </c>
      <c r="F529" s="3" t="s">
        <v>9985</v>
      </c>
      <c r="G529" s="3" t="s">
        <v>83</v>
      </c>
      <c r="H529" s="7" t="str">
        <f>HYPERLINK("http://www.ensembl.org/Mus_musculus/Gene/Summary?db=core;g=ENSMUSG00000104920","ENSMUSG00000104920")</f>
        <v>ENSMUSG00000104920</v>
      </c>
      <c r="I529" s="7" t="str">
        <f>HYPERLINK("http://www.informatics.jax.org/marker/MGI:5663352","MGI:5663352")</f>
        <v>MGI:5663352</v>
      </c>
      <c r="J529" s="4" t="s">
        <v>1043</v>
      </c>
    </row>
    <row r="530" spans="1:10" x14ac:dyDescent="0.25">
      <c r="A530" s="2">
        <v>3.8622738122776199</v>
      </c>
      <c r="B530" s="3">
        <v>2.04887549026156</v>
      </c>
      <c r="C530" s="5">
        <v>2.1944472217464501E-6</v>
      </c>
      <c r="D530" s="6">
        <v>8.7831335930261598E-6</v>
      </c>
      <c r="E530" s="3" t="s">
        <v>9867</v>
      </c>
      <c r="F530" s="3" t="s">
        <v>9868</v>
      </c>
      <c r="G530" s="3">
        <v>546726</v>
      </c>
      <c r="H530" s="7" t="str">
        <f>HYPERLINK("http://www.ensembl.org/Mus_musculus/Gene/Summary?db=core;g=ENSMUSG00000062432","ENSMUSG00000062432")</f>
        <v>ENSMUSG00000062432</v>
      </c>
      <c r="I530" s="7" t="str">
        <f>HYPERLINK("http://www.informatics.jax.org/marker/MGI:2679699","MGI:2679699")</f>
        <v>MGI:2679699</v>
      </c>
      <c r="J530" s="4" t="s">
        <v>12</v>
      </c>
    </row>
    <row r="531" spans="1:10" x14ac:dyDescent="0.25">
      <c r="A531" s="2">
        <v>9.1713049682294603</v>
      </c>
      <c r="B531" s="3">
        <v>2.0474209680519002</v>
      </c>
      <c r="C531" s="5">
        <v>2.0526207384607501E-7</v>
      </c>
      <c r="D531" s="6">
        <v>9.0818220692048201E-7</v>
      </c>
      <c r="E531" s="3" t="s">
        <v>8931</v>
      </c>
      <c r="F531" s="3" t="s">
        <v>8932</v>
      </c>
      <c r="G531" s="3">
        <v>81879</v>
      </c>
      <c r="H531" s="7" t="str">
        <f>HYPERLINK("http://www.ensembl.org/Mus_musculus/Gene/Summary?db=core;g=ENSMUSG00000026380","ENSMUSG00000026380")</f>
        <v>ENSMUSG00000026380</v>
      </c>
      <c r="I531" s="7" t="str">
        <f>HYPERLINK("http://www.informatics.jax.org/marker/MGI:2444691","MGI:2444691")</f>
        <v>MGI:2444691</v>
      </c>
      <c r="J531" s="4" t="s">
        <v>12</v>
      </c>
    </row>
    <row r="532" spans="1:10" x14ac:dyDescent="0.25">
      <c r="A532" s="2">
        <v>11.1514467862361</v>
      </c>
      <c r="B532" s="3">
        <v>2.04528079968724</v>
      </c>
      <c r="C532" s="5">
        <v>8.2237579844997004E-10</v>
      </c>
      <c r="D532" s="6">
        <v>4.4357906852936E-9</v>
      </c>
      <c r="E532" s="3" t="s">
        <v>7330</v>
      </c>
      <c r="F532" s="3" t="s">
        <v>7331</v>
      </c>
      <c r="G532" s="3" t="s">
        <v>83</v>
      </c>
      <c r="H532" s="7" t="str">
        <f>HYPERLINK("http://www.ensembl.org/Mus_musculus/Gene/Summary?db=core;g=ENSMUSG00000111818","ENSMUSG00000111818")</f>
        <v>ENSMUSG00000111818</v>
      </c>
      <c r="I532" s="7" t="str">
        <f>HYPERLINK("http://www.informatics.jax.org/marker/MGI:5009827","MGI:5009827")</f>
        <v>MGI:5009827</v>
      </c>
      <c r="J532" s="4" t="s">
        <v>331</v>
      </c>
    </row>
    <row r="533" spans="1:10" x14ac:dyDescent="0.25">
      <c r="A533" s="2">
        <v>362.18221332332899</v>
      </c>
      <c r="B533" s="3">
        <v>2.04201378080286</v>
      </c>
      <c r="C533" s="5">
        <v>5.2257349104872399E-41</v>
      </c>
      <c r="D533" s="6">
        <v>1.0939648878429799E-39</v>
      </c>
      <c r="E533" s="3" t="s">
        <v>1901</v>
      </c>
      <c r="F533" s="3" t="s">
        <v>1902</v>
      </c>
      <c r="G533" s="3">
        <v>277203</v>
      </c>
      <c r="H533" s="7" t="str">
        <f>HYPERLINK("http://www.ensembl.org/Mus_musculus/Gene/Summary?db=core;g=ENSMUSG00000079625","ENSMUSG00000079625")</f>
        <v>ENSMUSG00000079625</v>
      </c>
      <c r="I533" s="7" t="str">
        <f>HYPERLINK("http://www.informatics.jax.org/marker/MGI:3645933","MGI:3645933")</f>
        <v>MGI:3645933</v>
      </c>
      <c r="J533" s="4" t="s">
        <v>12</v>
      </c>
    </row>
    <row r="534" spans="1:10" x14ac:dyDescent="0.25">
      <c r="A534" s="2">
        <v>50.228294319840302</v>
      </c>
      <c r="B534" s="3">
        <v>2.04187823530946</v>
      </c>
      <c r="C534" s="5">
        <v>7.0041510241753903E-16</v>
      </c>
      <c r="D534" s="6">
        <v>5.6124282079129903E-15</v>
      </c>
      <c r="E534" s="3" t="s">
        <v>4939</v>
      </c>
      <c r="F534" s="3" t="s">
        <v>4940</v>
      </c>
      <c r="G534" s="3">
        <v>77579</v>
      </c>
      <c r="H534" s="7" t="str">
        <f>HYPERLINK("http://www.ensembl.org/Mus_musculus/Gene/Summary?db=core;g=ENSMUSG00000020900","ENSMUSG00000020900")</f>
        <v>ENSMUSG00000020900</v>
      </c>
      <c r="I534" s="7" t="str">
        <f>HYPERLINK("http://www.informatics.jax.org/marker/MGI:1930780","MGI:1930780")</f>
        <v>MGI:1930780</v>
      </c>
      <c r="J534" s="4" t="s">
        <v>12</v>
      </c>
    </row>
    <row r="535" spans="1:10" x14ac:dyDescent="0.25">
      <c r="A535" s="2">
        <v>11.2045073655634</v>
      </c>
      <c r="B535" s="3">
        <v>2.0411398626730799</v>
      </c>
      <c r="C535" s="5">
        <v>1.28129876015496E-8</v>
      </c>
      <c r="D535" s="6">
        <v>6.2979091600837206E-8</v>
      </c>
      <c r="E535" s="3" t="s">
        <v>8041</v>
      </c>
      <c r="F535" s="3" t="s">
        <v>8042</v>
      </c>
      <c r="G535" s="3">
        <v>380712</v>
      </c>
      <c r="H535" s="7" t="str">
        <f>HYPERLINK("http://www.ensembl.org/Mus_musculus/Gene/Summary?db=core;g=ENSMUSG00000038217","ENSMUSG00000038217")</f>
        <v>ENSMUSG00000038217</v>
      </c>
      <c r="I535" s="7" t="str">
        <f>HYPERLINK("http://www.informatics.jax.org/marker/MGI:1917141","MGI:1917141")</f>
        <v>MGI:1917141</v>
      </c>
      <c r="J535" s="4" t="s">
        <v>12</v>
      </c>
    </row>
    <row r="536" spans="1:10" x14ac:dyDescent="0.25">
      <c r="A536" s="2">
        <v>4435.1740595110296</v>
      </c>
      <c r="B536" s="3">
        <v>2.0389777368523001</v>
      </c>
      <c r="C536" s="5">
        <v>1.87510990321681E-87</v>
      </c>
      <c r="D536" s="6">
        <v>1.2325722430478499E-85</v>
      </c>
      <c r="E536" s="3" t="s">
        <v>612</v>
      </c>
      <c r="F536" s="3" t="s">
        <v>613</v>
      </c>
      <c r="G536" s="3">
        <v>80752</v>
      </c>
      <c r="H536" s="7" t="str">
        <f>HYPERLINK("http://www.ensembl.org/Mus_musculus/Gene/Summary?db=core;g=ENSMUSG00000025854","ENSMUSG00000025854")</f>
        <v>ENSMUSG00000025854</v>
      </c>
      <c r="I536" s="7" t="str">
        <f>HYPERLINK("http://www.informatics.jax.org/marker/MGI:2136853","MGI:2136853")</f>
        <v>MGI:2136853</v>
      </c>
      <c r="J536" s="4" t="s">
        <v>12</v>
      </c>
    </row>
    <row r="537" spans="1:10" x14ac:dyDescent="0.25">
      <c r="A537" s="2">
        <v>331.57764313412002</v>
      </c>
      <c r="B537" s="3">
        <v>2.0337914095872098</v>
      </c>
      <c r="C537" s="5">
        <v>2.8988910578931001E-28</v>
      </c>
      <c r="D537" s="6">
        <v>4.0032305085190397E-27</v>
      </c>
      <c r="E537" s="3" t="s">
        <v>2874</v>
      </c>
      <c r="F537" s="3" t="s">
        <v>2875</v>
      </c>
      <c r="G537" s="3">
        <v>50723</v>
      </c>
      <c r="H537" s="7" t="str">
        <f>HYPERLINK("http://www.ensembl.org/Mus_musculus/Gene/Summary?db=core;g=ENSMUSG00000000732","ENSMUSG00000000732")</f>
        <v>ENSMUSG00000000732</v>
      </c>
      <c r="I537" s="7" t="str">
        <f>HYPERLINK("http://www.informatics.jax.org/marker/MGI:1354701","MGI:1354701")</f>
        <v>MGI:1354701</v>
      </c>
      <c r="J537" s="4" t="s">
        <v>12</v>
      </c>
    </row>
    <row r="538" spans="1:10" x14ac:dyDescent="0.25">
      <c r="A538" s="2">
        <v>2.292141084856</v>
      </c>
      <c r="B538" s="3">
        <v>2.0287657116578699</v>
      </c>
      <c r="C538" s="5">
        <v>1.0991887077158699E-5</v>
      </c>
      <c r="D538" s="6">
        <v>4.0998678487151502E-5</v>
      </c>
      <c r="E538" s="3" t="s">
        <v>10587</v>
      </c>
      <c r="F538" s="3" t="s">
        <v>10588</v>
      </c>
      <c r="G538" s="3" t="s">
        <v>83</v>
      </c>
      <c r="H538" s="7" t="str">
        <f>HYPERLINK("http://www.ensembl.org/Mus_musculus/Gene/Summary?db=core;g=ENSMUSG00000081769","ENSMUSG00000081769")</f>
        <v>ENSMUSG00000081769</v>
      </c>
      <c r="I538" s="7" t="str">
        <f>HYPERLINK("http://www.informatics.jax.org/marker/MGI:3650088","MGI:3650088")</f>
        <v>MGI:3650088</v>
      </c>
      <c r="J538" s="4" t="s">
        <v>12</v>
      </c>
    </row>
    <row r="539" spans="1:10" x14ac:dyDescent="0.25">
      <c r="A539" s="2">
        <v>367.40771938828101</v>
      </c>
      <c r="B539" s="3">
        <v>2.0273475331655502</v>
      </c>
      <c r="C539" s="5">
        <v>1.52629521520803E-43</v>
      </c>
      <c r="D539" s="6">
        <v>3.4319887849375403E-42</v>
      </c>
      <c r="E539" s="3" t="s">
        <v>1770</v>
      </c>
      <c r="F539" s="3" t="s">
        <v>1771</v>
      </c>
      <c r="G539" s="3">
        <v>15051</v>
      </c>
      <c r="H539" s="7" t="str">
        <f>HYPERLINK("http://www.ensembl.org/Mus_musculus/Gene/Summary?db=core;g=ENSMUSG00000056116","ENSMUSG00000056116")</f>
        <v>ENSMUSG00000056116</v>
      </c>
      <c r="I539" s="7" t="str">
        <f>HYPERLINK("http://www.informatics.jax.org/marker/MGI:95956","MGI:95956")</f>
        <v>MGI:95956</v>
      </c>
      <c r="J539" s="4" t="s">
        <v>12</v>
      </c>
    </row>
    <row r="540" spans="1:10" x14ac:dyDescent="0.25">
      <c r="A540" s="2">
        <v>2.5092282253192</v>
      </c>
      <c r="B540" s="3">
        <v>2.0240116955387499</v>
      </c>
      <c r="C540" s="5">
        <v>1.5626357085084001E-5</v>
      </c>
      <c r="D540" s="6">
        <v>5.7491000320495403E-5</v>
      </c>
      <c r="E540" s="3" t="s">
        <v>10732</v>
      </c>
      <c r="F540" s="3" t="s">
        <v>10733</v>
      </c>
      <c r="G540" s="3">
        <v>13082</v>
      </c>
      <c r="H540" s="7" t="str">
        <f>HYPERLINK("http://www.ensembl.org/Mus_musculus/Gene/Summary?db=core;g=ENSMUSG00000024987","ENSMUSG00000024987")</f>
        <v>ENSMUSG00000024987</v>
      </c>
      <c r="I540" s="7" t="str">
        <f>HYPERLINK("http://www.informatics.jax.org/marker/MGI:1096359","MGI:1096359")</f>
        <v>MGI:1096359</v>
      </c>
      <c r="J540" s="4" t="s">
        <v>12</v>
      </c>
    </row>
    <row r="541" spans="1:10" x14ac:dyDescent="0.25">
      <c r="A541" s="2">
        <v>132.49723945554001</v>
      </c>
      <c r="B541" s="3">
        <v>2.0205054034335701</v>
      </c>
      <c r="C541" s="5">
        <v>8.3067225169735095E-57</v>
      </c>
      <c r="D541" s="6">
        <v>2.6942198689920699E-55</v>
      </c>
      <c r="E541" s="3" t="s">
        <v>1232</v>
      </c>
      <c r="F541" s="3" t="s">
        <v>1233</v>
      </c>
      <c r="G541" s="3">
        <v>218793</v>
      </c>
      <c r="H541" s="7" t="str">
        <f>HYPERLINK("http://www.ensembl.org/Mus_musculus/Gene/Summary?db=core;g=ENSMUSG00000058317","ENSMUSG00000058317")</f>
        <v>ENSMUSG00000058317</v>
      </c>
      <c r="I541" s="7" t="str">
        <f>HYPERLINK("http://www.informatics.jax.org/marker/MGI:2384997","MGI:2384997")</f>
        <v>MGI:2384997</v>
      </c>
      <c r="J541" s="4" t="s">
        <v>12</v>
      </c>
    </row>
    <row r="542" spans="1:10" x14ac:dyDescent="0.25">
      <c r="A542" s="2">
        <v>341.34767489984102</v>
      </c>
      <c r="B542" s="3">
        <v>2.0149051086603902</v>
      </c>
      <c r="C542" s="5">
        <v>9.2742465720721703E-45</v>
      </c>
      <c r="D542" s="6">
        <v>2.1694916061834299E-43</v>
      </c>
      <c r="E542" s="3" t="s">
        <v>1702</v>
      </c>
      <c r="F542" s="3" t="s">
        <v>1703</v>
      </c>
      <c r="G542" s="3">
        <v>214854</v>
      </c>
      <c r="H542" s="7" t="str">
        <f>HYPERLINK("http://www.ensembl.org/Mus_musculus/Gene/Summary?db=core;g=ENSMUSG00000047180","ENSMUSG00000047180")</f>
        <v>ENSMUSG00000047180</v>
      </c>
      <c r="I542" s="7" t="str">
        <f>HYPERLINK("http://www.informatics.jax.org/marker/MGI:2429944","MGI:2429944")</f>
        <v>MGI:2429944</v>
      </c>
      <c r="J542" s="4" t="s">
        <v>12</v>
      </c>
    </row>
    <row r="543" spans="1:10" x14ac:dyDescent="0.25">
      <c r="A543" s="2">
        <v>6.7973375804060101</v>
      </c>
      <c r="B543" s="3">
        <v>2.0138371121855401</v>
      </c>
      <c r="C543" s="5">
        <v>3.6303768975041601E-7</v>
      </c>
      <c r="D543" s="6">
        <v>1.57066767044278E-6</v>
      </c>
      <c r="E543" s="3" t="s">
        <v>9131</v>
      </c>
      <c r="F543" s="3" t="s">
        <v>9132</v>
      </c>
      <c r="G543" s="3">
        <v>242125</v>
      </c>
      <c r="H543" s="7" t="str">
        <f>HYPERLINK("http://www.ensembl.org/Mus_musculus/Gene/Summary?db=core;g=ENSMUSG00000044313","ENSMUSG00000044313")</f>
        <v>ENSMUSG00000044313</v>
      </c>
      <c r="I543" s="7" t="str">
        <f>HYPERLINK("http://www.informatics.jax.org/marker/MGI:2446273","MGI:2446273")</f>
        <v>MGI:2446273</v>
      </c>
      <c r="J543" s="4" t="s">
        <v>12</v>
      </c>
    </row>
    <row r="544" spans="1:10" x14ac:dyDescent="0.25">
      <c r="A544" s="2">
        <v>3977.1975856580202</v>
      </c>
      <c r="B544" s="3">
        <v>2.01188447510116</v>
      </c>
      <c r="C544" s="5">
        <v>2.61973861451576E-211</v>
      </c>
      <c r="D544" s="6">
        <v>1.1230705538750201E-208</v>
      </c>
      <c r="E544" s="3" t="s">
        <v>102</v>
      </c>
      <c r="F544" s="3" t="s">
        <v>103</v>
      </c>
      <c r="G544" s="3">
        <v>18033</v>
      </c>
      <c r="H544" s="7" t="str">
        <f>HYPERLINK("http://www.ensembl.org/Mus_musculus/Gene/Summary?db=core;g=ENSMUSG00000028163","ENSMUSG00000028163")</f>
        <v>ENSMUSG00000028163</v>
      </c>
      <c r="I544" s="7" t="str">
        <f>HYPERLINK("http://www.informatics.jax.org/marker/MGI:97312","MGI:97312")</f>
        <v>MGI:97312</v>
      </c>
      <c r="J544" s="4" t="s">
        <v>12</v>
      </c>
    </row>
    <row r="545" spans="1:10" x14ac:dyDescent="0.25">
      <c r="A545" s="2">
        <v>441.63203378646699</v>
      </c>
      <c r="B545" s="3">
        <v>2.0098572515139002</v>
      </c>
      <c r="C545" s="5">
        <v>3.35345122004042E-112</v>
      </c>
      <c r="D545" s="6">
        <v>3.3399019221816698E-110</v>
      </c>
      <c r="E545" s="3" t="s">
        <v>408</v>
      </c>
      <c r="F545" s="3" t="s">
        <v>409</v>
      </c>
      <c r="G545" s="3">
        <v>20441</v>
      </c>
      <c r="H545" s="7" t="str">
        <f>HYPERLINK("http://www.ensembl.org/Mus_musculus/Gene/Summary?db=core;g=ENSMUSG00000028538","ENSMUSG00000028538")</f>
        <v>ENSMUSG00000028538</v>
      </c>
      <c r="I545" s="7" t="str">
        <f>HYPERLINK("http://www.informatics.jax.org/marker/MGI:1316659","MGI:1316659")</f>
        <v>MGI:1316659</v>
      </c>
      <c r="J545" s="4" t="s">
        <v>12</v>
      </c>
    </row>
    <row r="546" spans="1:10" x14ac:dyDescent="0.25">
      <c r="A546" s="2">
        <v>6.07465787446153</v>
      </c>
      <c r="B546" s="3">
        <v>2.0071552557575698</v>
      </c>
      <c r="C546" s="5">
        <v>5.1181841073712004E-7</v>
      </c>
      <c r="D546" s="6">
        <v>2.1813397578854602E-6</v>
      </c>
      <c r="E546" s="3" t="s">
        <v>9269</v>
      </c>
      <c r="F546" s="3" t="s">
        <v>9270</v>
      </c>
      <c r="G546" s="3" t="s">
        <v>83</v>
      </c>
      <c r="H546" s="7" t="str">
        <f>HYPERLINK("http://www.ensembl.org/Mus_musculus/Gene/Summary?db=core;g=ENSMUSG00000093672","ENSMUSG00000093672")</f>
        <v>ENSMUSG00000093672</v>
      </c>
      <c r="I546" s="7" t="str">
        <f>HYPERLINK("http://www.informatics.jax.org/marker/MGI:5313102","MGI:5313102")</f>
        <v>MGI:5313102</v>
      </c>
      <c r="J546" s="4" t="s">
        <v>932</v>
      </c>
    </row>
    <row r="547" spans="1:10" x14ac:dyDescent="0.25">
      <c r="A547" s="2">
        <v>2.5416079715917301</v>
      </c>
      <c r="B547" s="3">
        <v>2.0070527382357799</v>
      </c>
      <c r="C547" s="5">
        <v>1.2893275261079601E-5</v>
      </c>
      <c r="D547" s="6">
        <v>4.7809671593393503E-5</v>
      </c>
      <c r="E547" s="3" t="s">
        <v>10650</v>
      </c>
      <c r="F547" s="3" t="s">
        <v>10651</v>
      </c>
      <c r="G547" s="3">
        <v>230779</v>
      </c>
      <c r="H547" s="7" t="str">
        <f>HYPERLINK("http://www.ensembl.org/Mus_musculus/Gene/Summary?db=core;g=ENSMUSG00000023232","ENSMUSG00000023232")</f>
        <v>ENSMUSG00000023232</v>
      </c>
      <c r="I547" s="7" t="str">
        <f>HYPERLINK("http://www.informatics.jax.org/marker/MGI:1919132","MGI:1919132")</f>
        <v>MGI:1919132</v>
      </c>
      <c r="J547" s="4" t="s">
        <v>12</v>
      </c>
    </row>
    <row r="548" spans="1:10" x14ac:dyDescent="0.25">
      <c r="A548" s="2">
        <v>28.345191722016999</v>
      </c>
      <c r="B548" s="3">
        <v>2.0046242050011398</v>
      </c>
      <c r="C548" s="5">
        <v>2.9625737678665101E-18</v>
      </c>
      <c r="D548" s="6">
        <v>2.7097381587350399E-17</v>
      </c>
      <c r="E548" s="3" t="s">
        <v>4329</v>
      </c>
      <c r="F548" s="3" t="s">
        <v>4330</v>
      </c>
      <c r="G548" s="3">
        <v>75051</v>
      </c>
      <c r="H548" s="7" t="str">
        <f>HYPERLINK("http://www.ensembl.org/Mus_musculus/Gene/Summary?db=core;g=ENSMUSG00000070883","ENSMUSG00000070883")</f>
        <v>ENSMUSG00000070883</v>
      </c>
      <c r="I548" s="7" t="str">
        <f>HYPERLINK("http://www.informatics.jax.org/marker/MGI:1923100","MGI:1923100")</f>
        <v>MGI:1923100</v>
      </c>
      <c r="J548" s="4" t="s">
        <v>12</v>
      </c>
    </row>
    <row r="549" spans="1:10" x14ac:dyDescent="0.25">
      <c r="A549" s="2">
        <v>100.241076172627</v>
      </c>
      <c r="B549" s="3">
        <v>2.0045258151166201</v>
      </c>
      <c r="C549" s="5">
        <v>6.9045689666438496E-29</v>
      </c>
      <c r="D549" s="6">
        <v>9.8025989936800996E-28</v>
      </c>
      <c r="E549" s="3" t="s">
        <v>2796</v>
      </c>
      <c r="F549" s="3" t="s">
        <v>2797</v>
      </c>
      <c r="G549" s="3" t="s">
        <v>83</v>
      </c>
      <c r="H549" s="7" t="str">
        <f>HYPERLINK("http://www.ensembl.org/Mus_musculus/Gene/Summary?db=core;g=ENSMUSG00000116657","ENSMUSG00000116657")</f>
        <v>ENSMUSG00000116657</v>
      </c>
      <c r="I549" s="7" t="str">
        <f>HYPERLINK("http://www.informatics.jax.org/marker/MGI:6215288","MGI:6215288")</f>
        <v>MGI:6215288</v>
      </c>
      <c r="J549" s="4" t="s">
        <v>932</v>
      </c>
    </row>
    <row r="550" spans="1:10" x14ac:dyDescent="0.25">
      <c r="A550" s="2">
        <v>1681.8570392371601</v>
      </c>
      <c r="B550" s="3">
        <v>2.00377888633049</v>
      </c>
      <c r="C550" s="5">
        <v>3.53220362327121E-46</v>
      </c>
      <c r="D550" s="6">
        <v>8.5782087993729404E-45</v>
      </c>
      <c r="E550" s="3" t="s">
        <v>1640</v>
      </c>
      <c r="F550" s="3" t="s">
        <v>1641</v>
      </c>
      <c r="G550" s="3">
        <v>11504</v>
      </c>
      <c r="H550" s="7" t="str">
        <f>HYPERLINK("http://www.ensembl.org/Mus_musculus/Gene/Summary?db=core;g=ENSMUSG00000022893","ENSMUSG00000022893")</f>
        <v>ENSMUSG00000022893</v>
      </c>
      <c r="I550" s="7" t="str">
        <f>HYPERLINK("http://www.informatics.jax.org/marker/MGI:109249","MGI:109249")</f>
        <v>MGI:109249</v>
      </c>
      <c r="J550" s="4" t="s">
        <v>12</v>
      </c>
    </row>
    <row r="551" spans="1:10" x14ac:dyDescent="0.25">
      <c r="A551" s="2">
        <v>456.96729586875398</v>
      </c>
      <c r="B551" s="3">
        <v>2.0036272550539</v>
      </c>
      <c r="C551" s="5">
        <v>1.9923067901133701E-11</v>
      </c>
      <c r="D551" s="6">
        <v>1.2212710569174899E-10</v>
      </c>
      <c r="E551" s="3" t="s">
        <v>6451</v>
      </c>
      <c r="F551" s="3" t="s">
        <v>6452</v>
      </c>
      <c r="G551" s="3">
        <v>14130</v>
      </c>
      <c r="H551" s="7" t="str">
        <f>HYPERLINK("http://www.ensembl.org/Mus_musculus/Gene/Summary?db=core;g=ENSMUSG00000026656","ENSMUSG00000026656")</f>
        <v>ENSMUSG00000026656</v>
      </c>
      <c r="I551" s="7" t="str">
        <f>HYPERLINK("http://www.informatics.jax.org/marker/MGI:95499","MGI:95499")</f>
        <v>MGI:95499</v>
      </c>
      <c r="J551" s="4" t="s">
        <v>12</v>
      </c>
    </row>
    <row r="552" spans="1:10" x14ac:dyDescent="0.25">
      <c r="A552" s="2">
        <v>2998.2512374128701</v>
      </c>
      <c r="B552" s="3">
        <v>2.00186107131838</v>
      </c>
      <c r="C552" s="5">
        <v>1.20955240319057E-246</v>
      </c>
      <c r="D552" s="6">
        <v>8.22495634169588E-244</v>
      </c>
      <c r="E552" s="3" t="s">
        <v>67</v>
      </c>
      <c r="F552" s="3" t="s">
        <v>68</v>
      </c>
      <c r="G552" s="3">
        <v>67579</v>
      </c>
      <c r="H552" s="7" t="str">
        <f>HYPERLINK("http://www.ensembl.org/Mus_musculus/Gene/Summary?db=core;g=ENSMUSG00000020300","ENSMUSG00000020300")</f>
        <v>ENSMUSG00000020300</v>
      </c>
      <c r="I552" s="7" t="str">
        <f>HYPERLINK("http://www.informatics.jax.org/marker/MGI:1914829","MGI:1914829")</f>
        <v>MGI:1914829</v>
      </c>
      <c r="J552" s="4" t="s">
        <v>12</v>
      </c>
    </row>
    <row r="553" spans="1:10" x14ac:dyDescent="0.25">
      <c r="A553" s="2">
        <v>773.75720012342197</v>
      </c>
      <c r="B553" s="3">
        <v>2.0006725639573699</v>
      </c>
      <c r="C553" s="5">
        <v>8.4893340580238997E-53</v>
      </c>
      <c r="D553" s="6">
        <v>2.4439367536384101E-51</v>
      </c>
      <c r="E553" s="3" t="s">
        <v>1386</v>
      </c>
      <c r="F553" s="3" t="s">
        <v>1387</v>
      </c>
      <c r="G553" s="3">
        <v>80885</v>
      </c>
      <c r="H553" s="7" t="str">
        <f>HYPERLINK("http://www.ensembl.org/Mus_musculus/Gene/Summary?db=core;g=ENSMUSG00000045502","ENSMUSG00000045502")</f>
        <v>ENSMUSG00000045502</v>
      </c>
      <c r="I553" s="7" t="str">
        <f>HYPERLINK("http://www.informatics.jax.org/marker/MGI:1933383","MGI:1933383")</f>
        <v>MGI:1933383</v>
      </c>
      <c r="J553" s="4" t="s">
        <v>12</v>
      </c>
    </row>
    <row r="554" spans="1:10" x14ac:dyDescent="0.25">
      <c r="A554" s="2">
        <v>163.68161571452401</v>
      </c>
      <c r="B554" s="3">
        <v>1.9996175555992299</v>
      </c>
      <c r="C554" s="5">
        <v>1.0536580229626001E-42</v>
      </c>
      <c r="D554" s="6">
        <v>2.3164031452422E-41</v>
      </c>
      <c r="E554" s="3" t="s">
        <v>1810</v>
      </c>
      <c r="F554" s="3" t="s">
        <v>1811</v>
      </c>
      <c r="G554" s="3">
        <v>26410</v>
      </c>
      <c r="H554" s="7" t="str">
        <f>HYPERLINK("http://www.ensembl.org/Mus_musculus/Gene/Summary?db=core;g=ENSMUSG00000024235","ENSMUSG00000024235")</f>
        <v>ENSMUSG00000024235</v>
      </c>
      <c r="I554" s="7" t="str">
        <f>HYPERLINK("http://www.informatics.jax.org/marker/MGI:1346878","MGI:1346878")</f>
        <v>MGI:1346878</v>
      </c>
      <c r="J554" s="4" t="s">
        <v>12</v>
      </c>
    </row>
    <row r="555" spans="1:10" x14ac:dyDescent="0.25">
      <c r="A555" s="2">
        <v>2090.5972733611102</v>
      </c>
      <c r="B555" s="3">
        <v>1.99919080556204</v>
      </c>
      <c r="C555" s="5">
        <v>2.1207248858242501E-147</v>
      </c>
      <c r="D555" s="6">
        <v>3.9453485611749198E-145</v>
      </c>
      <c r="E555" s="3" t="s">
        <v>222</v>
      </c>
      <c r="F555" s="3" t="s">
        <v>223</v>
      </c>
      <c r="G555" s="3">
        <v>20525</v>
      </c>
      <c r="H555" s="7" t="str">
        <f>HYPERLINK("http://www.ensembl.org/Mus_musculus/Gene/Summary?db=core;g=ENSMUSG00000028645","ENSMUSG00000028645")</f>
        <v>ENSMUSG00000028645</v>
      </c>
      <c r="I555" s="7" t="str">
        <f>HYPERLINK("http://www.informatics.jax.org/marker/MGI:95755","MGI:95755")</f>
        <v>MGI:95755</v>
      </c>
      <c r="J555" s="4" t="s">
        <v>12</v>
      </c>
    </row>
    <row r="556" spans="1:10" x14ac:dyDescent="0.25">
      <c r="A556" s="2">
        <v>104.780908258978</v>
      </c>
      <c r="B556" s="3">
        <v>1.9954440787608001</v>
      </c>
      <c r="C556" s="5">
        <v>5.2630731526922203E-8</v>
      </c>
      <c r="D556" s="6">
        <v>2.4420659428491898E-7</v>
      </c>
      <c r="E556" s="3" t="s">
        <v>8517</v>
      </c>
      <c r="F556" s="3" t="s">
        <v>8518</v>
      </c>
      <c r="G556" s="3">
        <v>16197</v>
      </c>
      <c r="H556" s="7" t="str">
        <f>HYPERLINK("http://www.ensembl.org/Mus_musculus/Gene/Summary?db=core;g=ENSMUSG00000003882","ENSMUSG00000003882")</f>
        <v>ENSMUSG00000003882</v>
      </c>
      <c r="I556" s="7" t="str">
        <f>HYPERLINK("http://www.informatics.jax.org/marker/MGI:96562","MGI:96562")</f>
        <v>MGI:96562</v>
      </c>
      <c r="J556" s="4" t="s">
        <v>12</v>
      </c>
    </row>
    <row r="557" spans="1:10" x14ac:dyDescent="0.25">
      <c r="A557" s="2">
        <v>105.196965838884</v>
      </c>
      <c r="B557" s="3">
        <v>1.9949401076004301</v>
      </c>
      <c r="C557" s="5">
        <v>2.6967132226658599E-33</v>
      </c>
      <c r="D557" s="6">
        <v>4.3877215141064897E-32</v>
      </c>
      <c r="E557" s="3" t="s">
        <v>2441</v>
      </c>
      <c r="F557" s="3" t="s">
        <v>2442</v>
      </c>
      <c r="G557" s="3">
        <v>107607</v>
      </c>
      <c r="H557" s="7" t="str">
        <f>HYPERLINK("http://www.ensembl.org/Mus_musculus/Gene/Summary?db=core;g=ENSMUSG00000038058","ENSMUSG00000038058")</f>
        <v>ENSMUSG00000038058</v>
      </c>
      <c r="I557" s="7" t="str">
        <f>HYPERLINK("http://www.informatics.jax.org/marker/MGI:1341839","MGI:1341839")</f>
        <v>MGI:1341839</v>
      </c>
      <c r="J557" s="4" t="s">
        <v>12</v>
      </c>
    </row>
    <row r="558" spans="1:10" x14ac:dyDescent="0.25">
      <c r="A558" s="2">
        <v>401.50141852437298</v>
      </c>
      <c r="B558" s="3">
        <v>1.9932990353105999</v>
      </c>
      <c r="C558" s="5">
        <v>1.23527390699335E-86</v>
      </c>
      <c r="D558" s="6">
        <v>8.0394724243923497E-85</v>
      </c>
      <c r="E558" s="3" t="s">
        <v>618</v>
      </c>
      <c r="F558" s="3" t="s">
        <v>619</v>
      </c>
      <c r="G558" s="3">
        <v>100121</v>
      </c>
      <c r="H558" s="7" t="str">
        <f>HYPERLINK("http://www.ensembl.org/Mus_musculus/Gene/Summary?db=core;g=ENSMUSG00000035517","ENSMUSG00000035517")</f>
        <v>ENSMUSG00000035517</v>
      </c>
      <c r="I558" s="7" t="str">
        <f>HYPERLINK("http://www.informatics.jax.org/marker/MGI:2140279","MGI:2140279")</f>
        <v>MGI:2140279</v>
      </c>
      <c r="J558" s="4" t="s">
        <v>12</v>
      </c>
    </row>
    <row r="559" spans="1:10" x14ac:dyDescent="0.25">
      <c r="A559" s="2">
        <v>1680.1845554121301</v>
      </c>
      <c r="B559" s="3">
        <v>1.99317784189327</v>
      </c>
      <c r="C559" s="5">
        <v>1.3803850047864899E-111</v>
      </c>
      <c r="D559" s="6">
        <v>1.36789911027084E-109</v>
      </c>
      <c r="E559" s="3" t="s">
        <v>410</v>
      </c>
      <c r="F559" s="3" t="s">
        <v>411</v>
      </c>
      <c r="G559" s="3">
        <v>74645</v>
      </c>
      <c r="H559" s="7" t="str">
        <f>HYPERLINK("http://www.ensembl.org/Mus_musculus/Gene/Summary?db=core;g=ENSMUSG00000044468","ENSMUSG00000044468")</f>
        <v>ENSMUSG00000044468</v>
      </c>
      <c r="I559" s="7" t="str">
        <f>HYPERLINK("http://www.informatics.jax.org/marker/MGI:1921895","MGI:1921895")</f>
        <v>MGI:1921895</v>
      </c>
      <c r="J559" s="4" t="s">
        <v>12</v>
      </c>
    </row>
    <row r="560" spans="1:10" x14ac:dyDescent="0.25">
      <c r="A560" s="2">
        <v>1755.3522353951801</v>
      </c>
      <c r="B560" s="3">
        <v>1.9878245054092101</v>
      </c>
      <c r="C560" s="5">
        <v>1.2658042250337699E-63</v>
      </c>
      <c r="D560" s="6">
        <v>5.0838410015613104E-62</v>
      </c>
      <c r="E560" s="3" t="s">
        <v>997</v>
      </c>
      <c r="F560" s="3" t="s">
        <v>998</v>
      </c>
      <c r="G560" s="3">
        <v>69550</v>
      </c>
      <c r="H560" s="7" t="str">
        <f>HYPERLINK("http://www.ensembl.org/Mus_musculus/Gene/Summary?db=core;g=ENSMUSG00000046718","ENSMUSG00000046718")</f>
        <v>ENSMUSG00000046718</v>
      </c>
      <c r="I560" s="7" t="str">
        <f>HYPERLINK("http://www.informatics.jax.org/marker/MGI:1916800","MGI:1916800")</f>
        <v>MGI:1916800</v>
      </c>
      <c r="J560" s="4" t="s">
        <v>12</v>
      </c>
    </row>
    <row r="561" spans="1:10" x14ac:dyDescent="0.25">
      <c r="A561" s="2">
        <v>236.69131321159</v>
      </c>
      <c r="B561" s="3">
        <v>1.9858055471187299</v>
      </c>
      <c r="C561" s="5">
        <v>2.4130971844419699E-32</v>
      </c>
      <c r="D561" s="6">
        <v>3.7917351774657999E-31</v>
      </c>
      <c r="E561" s="3" t="s">
        <v>2527</v>
      </c>
      <c r="F561" s="3" t="s">
        <v>2528</v>
      </c>
      <c r="G561" s="3" t="s">
        <v>83</v>
      </c>
      <c r="H561" s="7" t="str">
        <f>HYPERLINK("http://www.ensembl.org/Mus_musculus/Gene/Summary?db=core;g=ENSMUSG00000103847","ENSMUSG00000103847")</f>
        <v>ENSMUSG00000103847</v>
      </c>
      <c r="I561" s="7" t="str">
        <f>HYPERLINK("http://www.informatics.jax.org/marker/MGI:5012241","MGI:5012241")</f>
        <v>MGI:5012241</v>
      </c>
      <c r="J561" s="4" t="s">
        <v>1043</v>
      </c>
    </row>
    <row r="562" spans="1:10" x14ac:dyDescent="0.25">
      <c r="A562" s="2">
        <v>20.830688769709798</v>
      </c>
      <c r="B562" s="3">
        <v>1.9832383058901399</v>
      </c>
      <c r="C562" s="5">
        <v>4.5848215655572597E-11</v>
      </c>
      <c r="D562" s="6">
        <v>2.7372897751374199E-10</v>
      </c>
      <c r="E562" s="3" t="s">
        <v>6623</v>
      </c>
      <c r="F562" s="3" t="s">
        <v>6624</v>
      </c>
      <c r="G562" s="3">
        <v>68794</v>
      </c>
      <c r="H562" s="7" t="str">
        <f>HYPERLINK("http://www.ensembl.org/Mus_musculus/Gene/Summary?db=core;g=ENSMUSG00000068699","ENSMUSG00000068699")</f>
        <v>ENSMUSG00000068699</v>
      </c>
      <c r="I562" s="7" t="str">
        <f>HYPERLINK("http://www.informatics.jax.org/marker/MGI:95557","MGI:95557")</f>
        <v>MGI:95557</v>
      </c>
      <c r="J562" s="4" t="s">
        <v>12</v>
      </c>
    </row>
    <row r="563" spans="1:10" x14ac:dyDescent="0.25">
      <c r="A563" s="2">
        <v>14035.4759159156</v>
      </c>
      <c r="B563" s="3">
        <v>1.9796568005000299</v>
      </c>
      <c r="C563" s="5">
        <v>6.4561130946879295E-151</v>
      </c>
      <c r="D563" s="6">
        <v>1.35441010880049E-148</v>
      </c>
      <c r="E563" s="3" t="s">
        <v>198</v>
      </c>
      <c r="F563" s="3" t="s">
        <v>199</v>
      </c>
      <c r="G563" s="3">
        <v>17164</v>
      </c>
      <c r="H563" s="7" t="str">
        <f>HYPERLINK("http://www.ensembl.org/Mus_musculus/Gene/Summary?db=core;g=ENSMUSG00000016528","ENSMUSG00000016528")</f>
        <v>ENSMUSG00000016528</v>
      </c>
      <c r="I563" s="7" t="str">
        <f>HYPERLINK("http://www.informatics.jax.org/marker/MGI:109298","MGI:109298")</f>
        <v>MGI:109298</v>
      </c>
      <c r="J563" s="4" t="s">
        <v>12</v>
      </c>
    </row>
    <row r="564" spans="1:10" x14ac:dyDescent="0.25">
      <c r="A564" s="2">
        <v>1.8996615104153201</v>
      </c>
      <c r="B564" s="3">
        <v>1.97514364801166</v>
      </c>
      <c r="C564" s="5">
        <v>2.33930277665527E-5</v>
      </c>
      <c r="D564" s="6">
        <v>8.4504580977545196E-5</v>
      </c>
      <c r="E564" s="3" t="s">
        <v>10930</v>
      </c>
      <c r="F564" s="3" t="s">
        <v>10931</v>
      </c>
      <c r="G564" s="3" t="s">
        <v>83</v>
      </c>
      <c r="H564" s="7" t="str">
        <f>HYPERLINK("http://www.ensembl.org/Mus_musculus/Gene/Summary?db=core;g=ENSMUSG00000117384","ENSMUSG00000117384")</f>
        <v>ENSMUSG00000117384</v>
      </c>
      <c r="I564" s="7" t="str">
        <f>HYPERLINK("http://www.informatics.jax.org/marker/MGI:3026976","MGI:3026976")</f>
        <v>MGI:3026976</v>
      </c>
      <c r="J564" s="4" t="s">
        <v>939</v>
      </c>
    </row>
    <row r="565" spans="1:10" x14ac:dyDescent="0.25">
      <c r="A565" s="2">
        <v>2.6367540654118802</v>
      </c>
      <c r="B565" s="3">
        <v>1.9725224851244201</v>
      </c>
      <c r="C565" s="5">
        <v>1.85229150187484E-5</v>
      </c>
      <c r="D565" s="6">
        <v>6.7567866106126406E-5</v>
      </c>
      <c r="E565" s="3" t="s">
        <v>10822</v>
      </c>
      <c r="F565" s="3" t="s">
        <v>10823</v>
      </c>
      <c r="G565" s="3">
        <v>19894</v>
      </c>
      <c r="H565" s="7" t="str">
        <f>HYPERLINK("http://www.ensembl.org/Mus_musculus/Gene/Summary?db=core;g=ENSMUSG00000029608","ENSMUSG00000029608")</f>
        <v>ENSMUSG00000029608</v>
      </c>
      <c r="I565" s="7" t="str">
        <f>HYPERLINK("http://www.informatics.jax.org/marker/MGI:102788","MGI:102788")</f>
        <v>MGI:102788</v>
      </c>
      <c r="J565" s="4" t="s">
        <v>12</v>
      </c>
    </row>
    <row r="566" spans="1:10" x14ac:dyDescent="0.25">
      <c r="A566" s="2">
        <v>2.6278483770337799</v>
      </c>
      <c r="B566" s="3">
        <v>1.97154364238855</v>
      </c>
      <c r="C566" s="5">
        <v>2.24962030702428E-5</v>
      </c>
      <c r="D566" s="6">
        <v>8.1399105421135401E-5</v>
      </c>
      <c r="E566" s="3" t="s">
        <v>10912</v>
      </c>
      <c r="F566" s="3" t="s">
        <v>10913</v>
      </c>
      <c r="G566" s="3" t="s">
        <v>83</v>
      </c>
      <c r="H566" s="7" t="str">
        <f>HYPERLINK("http://www.ensembl.org/Mus_musculus/Gene/Summary?db=core;g=ENSMUSG00000117239","ENSMUSG00000117239")</f>
        <v>ENSMUSG00000117239</v>
      </c>
      <c r="I566" s="7" t="str">
        <f>HYPERLINK("http://www.informatics.jax.org/marker/MGI:1354371","MGI:1354371")</f>
        <v>MGI:1354371</v>
      </c>
      <c r="J566" s="4" t="s">
        <v>5705</v>
      </c>
    </row>
    <row r="567" spans="1:10" x14ac:dyDescent="0.25">
      <c r="A567" s="2">
        <v>2307.2264997757302</v>
      </c>
      <c r="B567" s="3">
        <v>1.96920099008722</v>
      </c>
      <c r="C567" s="5">
        <v>4.3830890923925498E-177</v>
      </c>
      <c r="D567" s="6">
        <v>1.3719764587616E-174</v>
      </c>
      <c r="E567" s="3" t="s">
        <v>136</v>
      </c>
      <c r="F567" s="3" t="s">
        <v>137</v>
      </c>
      <c r="G567" s="3">
        <v>56417</v>
      </c>
      <c r="H567" s="7" t="str">
        <f>HYPERLINK("http://www.ensembl.org/Mus_musculus/Gene/Summary?db=core;g=ENSMUSG00000027951","ENSMUSG00000027951")</f>
        <v>ENSMUSG00000027951</v>
      </c>
      <c r="I567" s="7" t="str">
        <f>HYPERLINK("http://www.informatics.jax.org/marker/MGI:1889575","MGI:1889575")</f>
        <v>MGI:1889575</v>
      </c>
      <c r="J567" s="4" t="s">
        <v>12</v>
      </c>
    </row>
    <row r="568" spans="1:10" x14ac:dyDescent="0.25">
      <c r="A568" s="2">
        <v>2.88074438621911</v>
      </c>
      <c r="B568" s="3">
        <v>1.9605712357791301</v>
      </c>
      <c r="C568" s="5">
        <v>2.1737055937956499E-5</v>
      </c>
      <c r="D568" s="6">
        <v>7.8753397592596497E-5</v>
      </c>
      <c r="E568" s="3" t="s">
        <v>10898</v>
      </c>
      <c r="F568" s="3" t="s">
        <v>10899</v>
      </c>
      <c r="G568" s="3" t="s">
        <v>83</v>
      </c>
      <c r="H568" s="7" t="str">
        <f>HYPERLINK("http://www.ensembl.org/Mus_musculus/Gene/Summary?db=core;g=ENSMUSG00000118024","ENSMUSG00000118024")</f>
        <v>ENSMUSG00000118024</v>
      </c>
      <c r="I568" s="7" t="str">
        <f>HYPERLINK("http://www.informatics.jax.org/marker/MGI:6303343","MGI:6303343")</f>
        <v>MGI:6303343</v>
      </c>
      <c r="J568" s="4" t="s">
        <v>939</v>
      </c>
    </row>
    <row r="569" spans="1:10" x14ac:dyDescent="0.25">
      <c r="A569" s="2">
        <v>148.656560183257</v>
      </c>
      <c r="B569" s="3">
        <v>1.9604055885043501</v>
      </c>
      <c r="C569" s="5">
        <v>6.20690589484778E-60</v>
      </c>
      <c r="D569" s="6">
        <v>2.2417616162343999E-58</v>
      </c>
      <c r="E569" s="3" t="s">
        <v>1108</v>
      </c>
      <c r="F569" s="3" t="s">
        <v>1109</v>
      </c>
      <c r="G569" s="3">
        <v>66597</v>
      </c>
      <c r="H569" s="7" t="str">
        <f>HYPERLINK("http://www.ensembl.org/Mus_musculus/Gene/Summary?db=core;g=ENSMUSG00000035235","ENSMUSG00000035235")</f>
        <v>ENSMUSG00000035235</v>
      </c>
      <c r="I569" s="7" t="str">
        <f>HYPERLINK("http://www.informatics.jax.org/marker/MGI:1913847","MGI:1913847")</f>
        <v>MGI:1913847</v>
      </c>
      <c r="J569" s="4" t="s">
        <v>12</v>
      </c>
    </row>
    <row r="570" spans="1:10" x14ac:dyDescent="0.25">
      <c r="A570" s="2">
        <v>80.507658511793394</v>
      </c>
      <c r="B570" s="3">
        <v>1.95711829465599</v>
      </c>
      <c r="C570" s="5">
        <v>3.7303310425298596E-12</v>
      </c>
      <c r="D570" s="6">
        <v>2.4198068473252899E-11</v>
      </c>
      <c r="E570" s="3" t="s">
        <v>6097</v>
      </c>
      <c r="F570" s="3" t="s">
        <v>6098</v>
      </c>
      <c r="G570" s="3">
        <v>64008</v>
      </c>
      <c r="H570" s="7" t="str">
        <f>HYPERLINK("http://www.ensembl.org/Mus_musculus/Gene/Summary?db=core;g=ENSMUSG00000032204","ENSMUSG00000032204")</f>
        <v>ENSMUSG00000032204</v>
      </c>
      <c r="I570" s="7" t="str">
        <f>HYPERLINK("http://www.informatics.jax.org/marker/MGI:1891066","MGI:1891066")</f>
        <v>MGI:1891066</v>
      </c>
      <c r="J570" s="4" t="s">
        <v>12</v>
      </c>
    </row>
    <row r="571" spans="1:10" x14ac:dyDescent="0.25">
      <c r="A571" s="2">
        <v>572.19540765819602</v>
      </c>
      <c r="B571" s="3">
        <v>1.95642322188072</v>
      </c>
      <c r="C571" s="5">
        <v>1.04000422662831E-173</v>
      </c>
      <c r="D571" s="6">
        <v>2.9723019346536701E-171</v>
      </c>
      <c r="E571" s="3" t="s">
        <v>148</v>
      </c>
      <c r="F571" s="3" t="s">
        <v>149</v>
      </c>
      <c r="G571" s="3">
        <v>73205</v>
      </c>
      <c r="H571" s="7" t="str">
        <f>HYPERLINK("http://www.ensembl.org/Mus_musculus/Gene/Summary?db=core;g=ENSMUSG00000028300","ENSMUSG00000028300")</f>
        <v>ENSMUSG00000028300</v>
      </c>
      <c r="I571" s="7" t="str">
        <f>HYPERLINK("http://www.informatics.jax.org/marker/MGI:1920455","MGI:1920455")</f>
        <v>MGI:1920455</v>
      </c>
      <c r="J571" s="4" t="s">
        <v>12</v>
      </c>
    </row>
    <row r="572" spans="1:10" x14ac:dyDescent="0.25">
      <c r="A572" s="2">
        <v>2.0968948036845698</v>
      </c>
      <c r="B572" s="3">
        <v>1.9526719799951899</v>
      </c>
      <c r="C572" s="5">
        <v>3.1774008729486898E-5</v>
      </c>
      <c r="D572" s="4">
        <v>1.1306088995768301E-4</v>
      </c>
      <c r="E572" s="3" t="s">
        <v>11096</v>
      </c>
      <c r="F572" s="3" t="s">
        <v>11097</v>
      </c>
      <c r="G572" s="3">
        <v>68393</v>
      </c>
      <c r="H572" s="7" t="str">
        <f>HYPERLINK("http://www.ensembl.org/Mus_musculus/Gene/Summary?db=core;g=ENSMUSG00000012187","ENSMUSG00000012187")</f>
        <v>ENSMUSG00000012187</v>
      </c>
      <c r="I572" s="7" t="str">
        <f>HYPERLINK("http://www.informatics.jax.org/marker/MGI:1915643","MGI:1915643")</f>
        <v>MGI:1915643</v>
      </c>
      <c r="J572" s="4" t="s">
        <v>12</v>
      </c>
    </row>
    <row r="573" spans="1:10" x14ac:dyDescent="0.25">
      <c r="A573" s="2">
        <v>58.150138703230198</v>
      </c>
      <c r="B573" s="3">
        <v>1.95198985402729</v>
      </c>
      <c r="C573" s="5">
        <v>1.5545489263399301E-39</v>
      </c>
      <c r="D573" s="6">
        <v>3.1185864524337199E-38</v>
      </c>
      <c r="E573" s="3" t="s">
        <v>1983</v>
      </c>
      <c r="F573" s="3" t="s">
        <v>1984</v>
      </c>
      <c r="G573" s="3">
        <v>622675</v>
      </c>
      <c r="H573" s="7" t="str">
        <f>HYPERLINK("http://www.ensembl.org/Mus_musculus/Gene/Summary?db=core;g=ENSMUSG00000071064","ENSMUSG00000071064")</f>
        <v>ENSMUSG00000071064</v>
      </c>
      <c r="I573" s="7" t="str">
        <f>HYPERLINK("http://www.informatics.jax.org/marker/MGI:2444807","MGI:2444807")</f>
        <v>MGI:2444807</v>
      </c>
      <c r="J573" s="4" t="s">
        <v>12</v>
      </c>
    </row>
    <row r="574" spans="1:10" x14ac:dyDescent="0.25">
      <c r="A574" s="2">
        <v>97.938268490598205</v>
      </c>
      <c r="B574" s="3">
        <v>1.95113416184029</v>
      </c>
      <c r="C574" s="5">
        <v>8.5709454814107296E-22</v>
      </c>
      <c r="D574" s="6">
        <v>9.1908126641337502E-21</v>
      </c>
      <c r="E574" s="3" t="s">
        <v>3696</v>
      </c>
      <c r="F574" s="3" t="s">
        <v>3697</v>
      </c>
      <c r="G574" s="3">
        <v>27062</v>
      </c>
      <c r="H574" s="7" t="str">
        <f>HYPERLINK("http://www.ensembl.org/Mus_musculus/Gene/Summary?db=core;g=ENSMUSG00000054423","ENSMUSG00000054423")</f>
        <v>ENSMUSG00000054423</v>
      </c>
      <c r="I574" s="7" t="str">
        <f>HYPERLINK("http://www.informatics.jax.org/marker/MGI:1350922","MGI:1350922")</f>
        <v>MGI:1350922</v>
      </c>
      <c r="J574" s="4" t="s">
        <v>12</v>
      </c>
    </row>
    <row r="575" spans="1:10" x14ac:dyDescent="0.25">
      <c r="A575" s="2">
        <v>661.33197100641905</v>
      </c>
      <c r="B575" s="3">
        <v>1.9501303433944599</v>
      </c>
      <c r="C575" s="5">
        <v>1.8490920685633E-90</v>
      </c>
      <c r="D575" s="6">
        <v>1.2794419505988801E-88</v>
      </c>
      <c r="E575" s="3" t="s">
        <v>582</v>
      </c>
      <c r="F575" s="3" t="s">
        <v>583</v>
      </c>
      <c r="G575" s="3">
        <v>52118</v>
      </c>
      <c r="H575" s="7" t="str">
        <f>HYPERLINK("http://www.ensembl.org/Mus_musculus/Gene/Summary?db=core;g=ENSMUSG00000040511","ENSMUSG00000040511")</f>
        <v>ENSMUSG00000040511</v>
      </c>
      <c r="I575" s="7" t="str">
        <f>HYPERLINK("http://www.informatics.jax.org/marker/MGI:107741","MGI:107741")</f>
        <v>MGI:107741</v>
      </c>
      <c r="J575" s="4" t="s">
        <v>12</v>
      </c>
    </row>
    <row r="576" spans="1:10" x14ac:dyDescent="0.25">
      <c r="A576" s="2">
        <v>1.4653503518453399</v>
      </c>
      <c r="B576" s="3">
        <v>1.94780777132658</v>
      </c>
      <c r="C576" s="5">
        <v>2.77085118392962E-5</v>
      </c>
      <c r="D576" s="6">
        <v>9.9365676208568898E-5</v>
      </c>
      <c r="E576" s="3" t="s">
        <v>11010</v>
      </c>
      <c r="F576" s="3" t="s">
        <v>11011</v>
      </c>
      <c r="G576" s="3">
        <v>12833</v>
      </c>
      <c r="H576" s="7" t="str">
        <f>HYPERLINK("http://www.ensembl.org/Mus_musculus/Gene/Summary?db=core;g=ENSMUSG00000001119","ENSMUSG00000001119")</f>
        <v>ENSMUSG00000001119</v>
      </c>
      <c r="I576" s="7" t="str">
        <f>HYPERLINK("http://www.informatics.jax.org/marker/MGI:88459","MGI:88459")</f>
        <v>MGI:88459</v>
      </c>
      <c r="J576" s="4" t="s">
        <v>12</v>
      </c>
    </row>
    <row r="577" spans="1:10" x14ac:dyDescent="0.25">
      <c r="A577" s="2">
        <v>2.40359597372631</v>
      </c>
      <c r="B577" s="3">
        <v>1.9473484507229999</v>
      </c>
      <c r="C577" s="5">
        <v>3.0517586458821799E-5</v>
      </c>
      <c r="D577" s="4">
        <v>1.0890459735214699E-4</v>
      </c>
      <c r="E577" s="3" t="s">
        <v>11064</v>
      </c>
      <c r="F577" s="3" t="s">
        <v>11065</v>
      </c>
      <c r="G577" s="3">
        <v>74338</v>
      </c>
      <c r="H577" s="7" t="str">
        <f>HYPERLINK("http://www.ensembl.org/Mus_musculus/Gene/Summary?db=core;g=ENSMUSG00000021565","ENSMUSG00000021565")</f>
        <v>ENSMUSG00000021565</v>
      </c>
      <c r="I577" s="7" t="str">
        <f>HYPERLINK("http://www.informatics.jax.org/marker/MGI:1921588","MGI:1921588")</f>
        <v>MGI:1921588</v>
      </c>
      <c r="J577" s="4" t="s">
        <v>12</v>
      </c>
    </row>
    <row r="578" spans="1:10" x14ac:dyDescent="0.25">
      <c r="A578" s="2">
        <v>4.7198777824027296</v>
      </c>
      <c r="B578" s="3">
        <v>1.9473208051759601</v>
      </c>
      <c r="C578" s="5">
        <v>1.04956396280347E-5</v>
      </c>
      <c r="D578" s="6">
        <v>3.9221908937814001E-5</v>
      </c>
      <c r="E578" s="3" t="s">
        <v>10567</v>
      </c>
      <c r="F578" s="3" t="s">
        <v>10568</v>
      </c>
      <c r="G578" s="3">
        <v>109575</v>
      </c>
      <c r="H578" s="7" t="str">
        <f>HYPERLINK("http://www.ensembl.org/Mus_musculus/Gene/Summary?db=core;g=ENSMUSG00000037477","ENSMUSG00000037477")</f>
        <v>ENSMUSG00000037477</v>
      </c>
      <c r="I578" s="7" t="str">
        <f>HYPERLINK("http://www.informatics.jax.org/marker/MGI:1261436","MGI:1261436")</f>
        <v>MGI:1261436</v>
      </c>
      <c r="J578" s="4" t="s">
        <v>12</v>
      </c>
    </row>
    <row r="579" spans="1:10" x14ac:dyDescent="0.25">
      <c r="A579" s="2">
        <v>6.5145224357993703</v>
      </c>
      <c r="B579" s="3">
        <v>1.9465392326506801</v>
      </c>
      <c r="C579" s="5">
        <v>2.1694435983265201E-6</v>
      </c>
      <c r="D579" s="6">
        <v>8.69364514509224E-6</v>
      </c>
      <c r="E579" s="3" t="s">
        <v>9857</v>
      </c>
      <c r="F579" s="3" t="s">
        <v>9858</v>
      </c>
      <c r="G579" s="3">
        <v>16633</v>
      </c>
      <c r="H579" s="7" t="str">
        <f>HYPERLINK("http://www.ensembl.org/Mus_musculus/Gene/Summary?db=core;g=ENSMUSG00000030187","ENSMUSG00000030187")</f>
        <v>ENSMUSG00000030187</v>
      </c>
      <c r="I579" s="7" t="str">
        <f>HYPERLINK("http://www.informatics.jax.org/marker/MGI:101906","MGI:101906")</f>
        <v>MGI:101906</v>
      </c>
      <c r="J579" s="4" t="s">
        <v>12</v>
      </c>
    </row>
    <row r="580" spans="1:10" x14ac:dyDescent="0.25">
      <c r="A580" s="2">
        <v>5.9693421981689596</v>
      </c>
      <c r="B580" s="3">
        <v>1.9465130655208001</v>
      </c>
      <c r="C580" s="5">
        <v>1.1493623836632399E-6</v>
      </c>
      <c r="D580" s="6">
        <v>4.7268876341687597E-6</v>
      </c>
      <c r="E580" s="3" t="s">
        <v>9605</v>
      </c>
      <c r="F580" s="3" t="s">
        <v>9606</v>
      </c>
      <c r="G580" s="3" t="s">
        <v>83</v>
      </c>
      <c r="H580" s="7" t="str">
        <f>HYPERLINK("http://www.ensembl.org/Mus_musculus/Gene/Summary?db=core;g=ENSMUSG00000113679","ENSMUSG00000113679")</f>
        <v>ENSMUSG00000113679</v>
      </c>
      <c r="I580" s="7" t="str">
        <f>HYPERLINK("http://www.informatics.jax.org/marker/MGI:3642011","MGI:3642011")</f>
        <v>MGI:3642011</v>
      </c>
      <c r="J580" s="4" t="s">
        <v>331</v>
      </c>
    </row>
    <row r="581" spans="1:10" x14ac:dyDescent="0.25">
      <c r="A581" s="2">
        <v>1257.90761136585</v>
      </c>
      <c r="B581" s="3">
        <v>1.9395492646436601</v>
      </c>
      <c r="C581" s="5">
        <v>2.6721250860764299E-107</v>
      </c>
      <c r="D581" s="6">
        <v>2.4395512359919999E-105</v>
      </c>
      <c r="E581" s="3" t="s">
        <v>444</v>
      </c>
      <c r="F581" s="3" t="s">
        <v>445</v>
      </c>
      <c r="G581" s="3">
        <v>101985</v>
      </c>
      <c r="H581" s="7" t="str">
        <f>HYPERLINK("http://www.ensembl.org/Mus_musculus/Gene/Summary?db=core;g=ENSMUSG00000031792","ENSMUSG00000031792")</f>
        <v>ENSMUSG00000031792</v>
      </c>
      <c r="I581" s="7" t="str">
        <f>HYPERLINK("http://www.informatics.jax.org/marker/MGI:2142454","MGI:2142454")</f>
        <v>MGI:2142454</v>
      </c>
      <c r="J581" s="4" t="s">
        <v>12</v>
      </c>
    </row>
    <row r="582" spans="1:10" x14ac:dyDescent="0.25">
      <c r="A582" s="2">
        <v>16.559108488080199</v>
      </c>
      <c r="B582" s="3">
        <v>1.9377655596054499</v>
      </c>
      <c r="C582" s="5">
        <v>4.9534440390830198E-9</v>
      </c>
      <c r="D582" s="6">
        <v>2.5162781156805E-8</v>
      </c>
      <c r="E582" s="3" t="s">
        <v>7780</v>
      </c>
      <c r="F582" s="3" t="s">
        <v>7781</v>
      </c>
      <c r="G582" s="3">
        <v>98365</v>
      </c>
      <c r="H582" s="7" t="str">
        <f>HYPERLINK("http://www.ensembl.org/Mus_musculus/Gene/Summary?db=core;g=ENSMUSG00000026548","ENSMUSG00000026548")</f>
        <v>ENSMUSG00000026548</v>
      </c>
      <c r="I582" s="7" t="str">
        <f>HYPERLINK("http://www.informatics.jax.org/marker/MGI:1923692","MGI:1923692")</f>
        <v>MGI:1923692</v>
      </c>
      <c r="J582" s="4" t="s">
        <v>12</v>
      </c>
    </row>
    <row r="583" spans="1:10" x14ac:dyDescent="0.25">
      <c r="A583" s="2">
        <v>3.1272643772853899</v>
      </c>
      <c r="B583" s="3">
        <v>1.93765270280428</v>
      </c>
      <c r="C583" s="5">
        <v>1.9201241503651602E-5</v>
      </c>
      <c r="D583" s="6">
        <v>6.9887132235513003E-5</v>
      </c>
      <c r="E583" s="3" t="s">
        <v>10848</v>
      </c>
      <c r="F583" s="3" t="s">
        <v>10849</v>
      </c>
      <c r="G583" s="3" t="s">
        <v>83</v>
      </c>
      <c r="H583" s="7" t="str">
        <f>HYPERLINK("http://www.ensembl.org/Mus_musculus/Gene/Summary?db=core;g=ENSMUSG00000104568","ENSMUSG00000104568")</f>
        <v>ENSMUSG00000104568</v>
      </c>
      <c r="I583" s="7" t="str">
        <f>HYPERLINK("http://www.informatics.jax.org/marker/MGI:5663392","MGI:5663392")</f>
        <v>MGI:5663392</v>
      </c>
      <c r="J583" s="4" t="s">
        <v>932</v>
      </c>
    </row>
    <row r="584" spans="1:10" x14ac:dyDescent="0.25">
      <c r="A584" s="2">
        <v>406.00434190024498</v>
      </c>
      <c r="B584" s="3">
        <v>1.9363720467243299</v>
      </c>
      <c r="C584" s="5">
        <v>2.5151817177080802E-62</v>
      </c>
      <c r="D584" s="6">
        <v>9.6684958037433393E-61</v>
      </c>
      <c r="E584" s="3" t="s">
        <v>1041</v>
      </c>
      <c r="F584" s="3" t="s">
        <v>1042</v>
      </c>
      <c r="G584" s="3" t="s">
        <v>83</v>
      </c>
      <c r="H584" s="7" t="str">
        <f>HYPERLINK("http://www.ensembl.org/Mus_musculus/Gene/Summary?db=core;g=ENSMUSG00000091549","ENSMUSG00000091549")</f>
        <v>ENSMUSG00000091549</v>
      </c>
      <c r="I584" s="7" t="str">
        <f>HYPERLINK("http://www.informatics.jax.org/marker/MGI:3644071","MGI:3644071")</f>
        <v>MGI:3644071</v>
      </c>
      <c r="J584" s="4" t="s">
        <v>1043</v>
      </c>
    </row>
    <row r="585" spans="1:10" x14ac:dyDescent="0.25">
      <c r="A585" s="2">
        <v>1.69661656730748</v>
      </c>
      <c r="B585" s="3">
        <v>1.9343382252436401</v>
      </c>
      <c r="C585" s="5">
        <v>3.0212003450095601E-5</v>
      </c>
      <c r="D585" s="4">
        <v>1.07853133243281E-4</v>
      </c>
      <c r="E585" s="3" t="s">
        <v>11060</v>
      </c>
      <c r="F585" s="3" t="s">
        <v>11061</v>
      </c>
      <c r="G585" s="3">
        <v>15977</v>
      </c>
      <c r="H585" s="7" t="str">
        <f>HYPERLINK("http://www.ensembl.org/Mus_musculus/Gene/Summary?db=core;g=ENSMUSG00000048806","ENSMUSG00000048806")</f>
        <v>ENSMUSG00000048806</v>
      </c>
      <c r="I585" s="7" t="str">
        <f>HYPERLINK("http://www.informatics.jax.org/marker/MGI:107657","MGI:107657")</f>
        <v>MGI:107657</v>
      </c>
      <c r="J585" s="4" t="s">
        <v>12</v>
      </c>
    </row>
    <row r="586" spans="1:10" x14ac:dyDescent="0.25">
      <c r="A586" s="2">
        <v>5.7859523706098797</v>
      </c>
      <c r="B586" s="3">
        <v>1.9270774382332601</v>
      </c>
      <c r="C586" s="5">
        <v>1.04327308159033E-6</v>
      </c>
      <c r="D586" s="6">
        <v>4.3076518360471904E-6</v>
      </c>
      <c r="E586" s="3" t="s">
        <v>9567</v>
      </c>
      <c r="F586" s="3" t="s">
        <v>9568</v>
      </c>
      <c r="G586" s="3" t="s">
        <v>83</v>
      </c>
      <c r="H586" s="7" t="str">
        <f>HYPERLINK("http://www.ensembl.org/Mus_musculus/Gene/Summary?db=core;g=ENSMUSG00000094210","ENSMUSG00000094210")</f>
        <v>ENSMUSG00000094210</v>
      </c>
      <c r="I586" s="7" t="str">
        <f>HYPERLINK("http://www.informatics.jax.org/marker/MGI:5453227","MGI:5453227")</f>
        <v>MGI:5453227</v>
      </c>
      <c r="J586" s="4" t="s">
        <v>6715</v>
      </c>
    </row>
    <row r="587" spans="1:10" x14ac:dyDescent="0.25">
      <c r="A587" s="2">
        <v>14.9471119900972</v>
      </c>
      <c r="B587" s="3">
        <v>1.9257040342610201</v>
      </c>
      <c r="C587" s="5">
        <v>1.6377204885058199E-8</v>
      </c>
      <c r="D587" s="6">
        <v>7.9664154004279006E-8</v>
      </c>
      <c r="E587" s="3" t="s">
        <v>8125</v>
      </c>
      <c r="F587" s="3" t="s">
        <v>8126</v>
      </c>
      <c r="G587" s="3">
        <v>17395</v>
      </c>
      <c r="H587" s="7" t="str">
        <f>HYPERLINK("http://www.ensembl.org/Mus_musculus/Gene/Summary?db=core;g=ENSMUSG00000017737","ENSMUSG00000017737")</f>
        <v>ENSMUSG00000017737</v>
      </c>
      <c r="I587" s="7" t="str">
        <f>HYPERLINK("http://www.informatics.jax.org/marker/MGI:97011","MGI:97011")</f>
        <v>MGI:97011</v>
      </c>
      <c r="J587" s="4" t="s">
        <v>12</v>
      </c>
    </row>
    <row r="588" spans="1:10" x14ac:dyDescent="0.25">
      <c r="A588" s="2">
        <v>2.2533163591126399</v>
      </c>
      <c r="B588" s="3">
        <v>1.92315954276991</v>
      </c>
      <c r="C588" s="5">
        <v>4.1615797825383199E-5</v>
      </c>
      <c r="D588" s="4">
        <v>1.46155571347561E-4</v>
      </c>
      <c r="E588" s="3" t="s">
        <v>11241</v>
      </c>
      <c r="F588" s="3" t="s">
        <v>11242</v>
      </c>
      <c r="G588" s="3" t="s">
        <v>83</v>
      </c>
      <c r="H588" s="7" t="str">
        <f>HYPERLINK("http://www.ensembl.org/Mus_musculus/Gene/Summary?db=core;g=ENSMUSG00000098434","ENSMUSG00000098434")</f>
        <v>ENSMUSG00000098434</v>
      </c>
      <c r="I588" s="7" t="str">
        <f>HYPERLINK("http://www.informatics.jax.org/marker/MGI:1923941","MGI:1923941")</f>
        <v>MGI:1923941</v>
      </c>
      <c r="J588" s="4" t="s">
        <v>939</v>
      </c>
    </row>
    <row r="589" spans="1:10" x14ac:dyDescent="0.25">
      <c r="A589" s="2">
        <v>763.16075684904001</v>
      </c>
      <c r="B589" s="3">
        <v>1.9212429144851</v>
      </c>
      <c r="C589" s="5">
        <v>3.1025495253089602E-111</v>
      </c>
      <c r="D589" s="6">
        <v>3.0438943601538698E-109</v>
      </c>
      <c r="E589" s="3" t="s">
        <v>414</v>
      </c>
      <c r="F589" s="3" t="s">
        <v>415</v>
      </c>
      <c r="G589" s="3">
        <v>97287</v>
      </c>
      <c r="H589" s="7" t="str">
        <f>HYPERLINK("http://www.ensembl.org/Mus_musculus/Gene/Summary?db=core;g=ENSMUSG00000030269","ENSMUSG00000030269")</f>
        <v>ENSMUSG00000030269</v>
      </c>
      <c r="I589" s="7" t="str">
        <f>HYPERLINK("http://www.informatics.jax.org/marker/MGI:1916075","MGI:1916075")</f>
        <v>MGI:1916075</v>
      </c>
      <c r="J589" s="4" t="s">
        <v>12</v>
      </c>
    </row>
    <row r="590" spans="1:10" x14ac:dyDescent="0.25">
      <c r="A590" s="2">
        <v>3.0722697894001798</v>
      </c>
      <c r="B590" s="3">
        <v>1.91932271708281</v>
      </c>
      <c r="C590" s="5">
        <v>2.1647265631532102E-5</v>
      </c>
      <c r="D590" s="6">
        <v>7.8442498760347807E-5</v>
      </c>
      <c r="E590" s="3" t="s">
        <v>10896</v>
      </c>
      <c r="F590" s="3" t="s">
        <v>10897</v>
      </c>
      <c r="G590" s="3">
        <v>319161</v>
      </c>
      <c r="H590" s="7" t="str">
        <f>HYPERLINK("http://www.ensembl.org/Mus_musculus/Gene/Summary?db=core;g=ENSMUSG00000069305","ENSMUSG00000069305")</f>
        <v>ENSMUSG00000069305</v>
      </c>
      <c r="I590" s="7" t="str">
        <f>HYPERLINK("http://www.informatics.jax.org/marker/MGI:4843992","MGI:4843992")</f>
        <v>MGI:4843992</v>
      </c>
      <c r="J590" s="4" t="s">
        <v>12</v>
      </c>
    </row>
    <row r="591" spans="1:10" x14ac:dyDescent="0.25">
      <c r="A591" s="2">
        <v>3435.7487241379899</v>
      </c>
      <c r="B591" s="3">
        <v>1.9156392150652899</v>
      </c>
      <c r="C591" s="5">
        <v>2.2528400828829901E-148</v>
      </c>
      <c r="D591" s="6">
        <v>4.3554908269071201E-146</v>
      </c>
      <c r="E591" s="3" t="s">
        <v>214</v>
      </c>
      <c r="F591" s="3" t="s">
        <v>215</v>
      </c>
      <c r="G591" s="3">
        <v>192657</v>
      </c>
      <c r="H591" s="7" t="str">
        <f>HYPERLINK("http://www.ensembl.org/Mus_musculus/Gene/Summary?db=core;g=ENSMUSG00000001542","ENSMUSG00000001542")</f>
        <v>ENSMUSG00000001542</v>
      </c>
      <c r="I591" s="7" t="str">
        <f>HYPERLINK("http://www.informatics.jax.org/marker/MGI:2183438","MGI:2183438")</f>
        <v>MGI:2183438</v>
      </c>
      <c r="J591" s="4" t="s">
        <v>12</v>
      </c>
    </row>
    <row r="592" spans="1:10" x14ac:dyDescent="0.25">
      <c r="A592" s="2">
        <v>1.4015454254039901</v>
      </c>
      <c r="B592" s="3">
        <v>1.9124181794589701</v>
      </c>
      <c r="C592" s="5">
        <v>3.1380294477685598E-5</v>
      </c>
      <c r="D592" s="4">
        <v>1.1176077426403499E-4</v>
      </c>
      <c r="E592" s="3" t="s">
        <v>11086</v>
      </c>
      <c r="F592" s="3" t="s">
        <v>11087</v>
      </c>
      <c r="G592" s="3" t="s">
        <v>83</v>
      </c>
      <c r="H592" s="7" t="str">
        <f>HYPERLINK("http://www.ensembl.org/Mus_musculus/Gene/Summary?db=core;g=ENSMUSG00000082079","ENSMUSG00000082079")</f>
        <v>ENSMUSG00000082079</v>
      </c>
      <c r="I592" s="7" t="str">
        <f>HYPERLINK("http://www.informatics.jax.org/marker/MGI:3649996","MGI:3649996")</f>
        <v>MGI:3649996</v>
      </c>
      <c r="J592" s="4" t="s">
        <v>12</v>
      </c>
    </row>
    <row r="593" spans="1:10" x14ac:dyDescent="0.25">
      <c r="A593" s="2">
        <v>547.731868318225</v>
      </c>
      <c r="B593" s="3">
        <v>1.9099494916670801</v>
      </c>
      <c r="C593" s="5">
        <v>3.2211518940401202E-61</v>
      </c>
      <c r="D593" s="6">
        <v>1.20992600667564E-59</v>
      </c>
      <c r="E593" s="3" t="s">
        <v>1066</v>
      </c>
      <c r="F593" s="3" t="s">
        <v>1067</v>
      </c>
      <c r="G593" s="3">
        <v>106759</v>
      </c>
      <c r="H593" s="7" t="str">
        <f>HYPERLINK("http://www.ensembl.org/Mus_musculus/Gene/Summary?db=core;g=ENSMUSG00000047123","ENSMUSG00000047123")</f>
        <v>ENSMUSG00000047123</v>
      </c>
      <c r="I593" s="7" t="str">
        <f>HYPERLINK("http://www.informatics.jax.org/marker/MGI:2147032","MGI:2147032")</f>
        <v>MGI:2147032</v>
      </c>
      <c r="J593" s="4" t="s">
        <v>12</v>
      </c>
    </row>
    <row r="594" spans="1:10" x14ac:dyDescent="0.25">
      <c r="A594" s="2">
        <v>20.9851163007114</v>
      </c>
      <c r="B594" s="3">
        <v>1.90954814543959</v>
      </c>
      <c r="C594" s="5">
        <v>1.2598263140271401E-9</v>
      </c>
      <c r="D594" s="6">
        <v>6.7109062432779999E-9</v>
      </c>
      <c r="E594" s="3" t="s">
        <v>7422</v>
      </c>
      <c r="F594" s="3" t="s">
        <v>7423</v>
      </c>
      <c r="G594" s="3">
        <v>15375</v>
      </c>
      <c r="H594" s="7" t="str">
        <f>HYPERLINK("http://www.ensembl.org/Mus_musculus/Gene/Summary?db=core;g=ENSMUSG00000035451","ENSMUSG00000035451")</f>
        <v>ENSMUSG00000035451</v>
      </c>
      <c r="I594" s="7" t="str">
        <f>HYPERLINK("http://www.informatics.jax.org/marker/MGI:1347472","MGI:1347472")</f>
        <v>MGI:1347472</v>
      </c>
      <c r="J594" s="4" t="s">
        <v>12</v>
      </c>
    </row>
    <row r="595" spans="1:10" x14ac:dyDescent="0.25">
      <c r="A595" s="2">
        <v>83.674942876795996</v>
      </c>
      <c r="B595" s="3">
        <v>1.9092925398628999</v>
      </c>
      <c r="C595" s="5">
        <v>1.0766300569678399E-8</v>
      </c>
      <c r="D595" s="6">
        <v>5.3291025912163E-8</v>
      </c>
      <c r="E595" s="3" t="s">
        <v>7985</v>
      </c>
      <c r="F595" s="3" t="s">
        <v>7986</v>
      </c>
      <c r="G595" s="3">
        <v>16168</v>
      </c>
      <c r="H595" s="7" t="str">
        <f>HYPERLINK("http://www.ensembl.org/Mus_musculus/Gene/Summary?db=core;g=ENSMUSG00000031712","ENSMUSG00000031712")</f>
        <v>ENSMUSG00000031712</v>
      </c>
      <c r="I595" s="7" t="str">
        <f>HYPERLINK("http://www.informatics.jax.org/marker/MGI:103014","MGI:103014")</f>
        <v>MGI:103014</v>
      </c>
      <c r="J595" s="4" t="s">
        <v>12</v>
      </c>
    </row>
    <row r="596" spans="1:10" x14ac:dyDescent="0.25">
      <c r="A596" s="2">
        <v>1.6354914770982301</v>
      </c>
      <c r="B596" s="3">
        <v>1.9076783417238801</v>
      </c>
      <c r="C596" s="5">
        <v>4.1127814248240103E-5</v>
      </c>
      <c r="D596" s="4">
        <v>1.4459627330634599E-4</v>
      </c>
      <c r="E596" s="3" t="s">
        <v>11229</v>
      </c>
      <c r="F596" s="3" t="s">
        <v>11230</v>
      </c>
      <c r="G596" s="3" t="s">
        <v>83</v>
      </c>
      <c r="H596" s="7" t="str">
        <f>HYPERLINK("http://www.ensembl.org/Mus_musculus/Gene/Summary?db=core;g=ENSMUSG00000112711","ENSMUSG00000112711")</f>
        <v>ENSMUSG00000112711</v>
      </c>
      <c r="I596" s="7" t="str">
        <f>HYPERLINK("http://www.informatics.jax.org/marker/MGI:5591711","MGI:5591711")</f>
        <v>MGI:5591711</v>
      </c>
      <c r="J596" s="4" t="s">
        <v>939</v>
      </c>
    </row>
    <row r="597" spans="1:10" x14ac:dyDescent="0.25">
      <c r="A597" s="2">
        <v>53.825374039031303</v>
      </c>
      <c r="B597" s="3">
        <v>1.90687700990006</v>
      </c>
      <c r="C597" s="5">
        <v>1.86033143560836E-16</v>
      </c>
      <c r="D597" s="6">
        <v>1.5349680297153499E-15</v>
      </c>
      <c r="E597" s="3" t="s">
        <v>4797</v>
      </c>
      <c r="F597" s="3" t="s">
        <v>4798</v>
      </c>
      <c r="G597" s="3">
        <v>12519</v>
      </c>
      <c r="H597" s="7" t="str">
        <f>HYPERLINK("http://www.ensembl.org/Mus_musculus/Gene/Summary?db=core;g=ENSMUSG00000075122","ENSMUSG00000075122")</f>
        <v>ENSMUSG00000075122</v>
      </c>
      <c r="I597" s="7" t="str">
        <f>HYPERLINK("http://www.informatics.jax.org/marker/MGI:101775","MGI:101775")</f>
        <v>MGI:101775</v>
      </c>
      <c r="J597" s="4" t="s">
        <v>12</v>
      </c>
    </row>
    <row r="598" spans="1:10" x14ac:dyDescent="0.25">
      <c r="A598" s="2">
        <v>2558.0641922741802</v>
      </c>
      <c r="B598" s="3">
        <v>1.9054256726721499</v>
      </c>
      <c r="C598" s="5">
        <v>9.7879745155956599E-18</v>
      </c>
      <c r="D598" s="6">
        <v>8.7104397489327794E-17</v>
      </c>
      <c r="E598" s="3" t="s">
        <v>4449</v>
      </c>
      <c r="F598" s="3" t="s">
        <v>4450</v>
      </c>
      <c r="G598" s="3">
        <v>12977</v>
      </c>
      <c r="H598" s="7" t="str">
        <f>HYPERLINK("http://www.ensembl.org/Mus_musculus/Gene/Summary?db=core;g=ENSMUSG00000014599","ENSMUSG00000014599")</f>
        <v>ENSMUSG00000014599</v>
      </c>
      <c r="I598" s="7" t="str">
        <f>HYPERLINK("http://www.informatics.jax.org/marker/MGI:1339753","MGI:1339753")</f>
        <v>MGI:1339753</v>
      </c>
      <c r="J598" s="4" t="s">
        <v>12</v>
      </c>
    </row>
    <row r="599" spans="1:10" x14ac:dyDescent="0.25">
      <c r="A599" s="2">
        <v>1030.2560035824599</v>
      </c>
      <c r="B599" s="3">
        <v>1.90220316128787</v>
      </c>
      <c r="C599" s="5">
        <v>3.0928501699535999E-76</v>
      </c>
      <c r="D599" s="6">
        <v>1.63514759655456E-74</v>
      </c>
      <c r="E599" s="3" t="s">
        <v>758</v>
      </c>
      <c r="F599" s="3" t="s">
        <v>759</v>
      </c>
      <c r="G599" s="3">
        <v>66674</v>
      </c>
      <c r="H599" s="7" t="str">
        <f>HYPERLINK("http://www.ensembl.org/Mus_musculus/Gene/Summary?db=core;g=ENSMUSG00000021930","ENSMUSG00000021930")</f>
        <v>ENSMUSG00000021930</v>
      </c>
      <c r="I599" s="7" t="str">
        <f>HYPERLINK("http://www.informatics.jax.org/marker/MGI:1913924","MGI:1913924")</f>
        <v>MGI:1913924</v>
      </c>
      <c r="J599" s="4" t="s">
        <v>12</v>
      </c>
    </row>
    <row r="600" spans="1:10" x14ac:dyDescent="0.25">
      <c r="A600" s="2">
        <v>2.0743388446536799</v>
      </c>
      <c r="B600" s="3">
        <v>1.89876979599013</v>
      </c>
      <c r="C600" s="5">
        <v>4.8336383627432798E-5</v>
      </c>
      <c r="D600" s="4">
        <v>1.6852784390611301E-4</v>
      </c>
      <c r="E600" s="3" t="s">
        <v>11323</v>
      </c>
      <c r="F600" s="3" t="s">
        <v>11324</v>
      </c>
      <c r="G600" s="3" t="s">
        <v>83</v>
      </c>
      <c r="H600" s="7" t="str">
        <f>HYPERLINK("http://www.ensembl.org/Mus_musculus/Gene/Summary?db=core;g=ENSMUSG00000101731","ENSMUSG00000101731")</f>
        <v>ENSMUSG00000101731</v>
      </c>
      <c r="I600" s="7" t="str">
        <f>HYPERLINK("http://www.informatics.jax.org/marker/MGI:2443278","MGI:2443278")</f>
        <v>MGI:2443278</v>
      </c>
      <c r="J600" s="4" t="s">
        <v>939</v>
      </c>
    </row>
    <row r="601" spans="1:10" x14ac:dyDescent="0.25">
      <c r="A601" s="2">
        <v>4.0561616232597899</v>
      </c>
      <c r="B601" s="3">
        <v>1.8975405620242101</v>
      </c>
      <c r="C601" s="5">
        <v>3.0893713757582203E-5</v>
      </c>
      <c r="D601" s="4">
        <v>1.10147176875705E-4</v>
      </c>
      <c r="E601" s="3" t="s">
        <v>11074</v>
      </c>
      <c r="F601" s="3" t="s">
        <v>11075</v>
      </c>
      <c r="G601" s="3">
        <v>16948</v>
      </c>
      <c r="H601" s="7" t="str">
        <f>HYPERLINK("http://www.ensembl.org/Mus_musculus/Gene/Summary?db=core;g=ENSMUSG00000024529","ENSMUSG00000024529")</f>
        <v>ENSMUSG00000024529</v>
      </c>
      <c r="I601" s="7" t="str">
        <f>HYPERLINK("http://www.informatics.jax.org/marker/MGI:96817","MGI:96817")</f>
        <v>MGI:96817</v>
      </c>
      <c r="J601" s="4" t="s">
        <v>12</v>
      </c>
    </row>
    <row r="602" spans="1:10" x14ac:dyDescent="0.25">
      <c r="A602" s="2">
        <v>51.208548238429699</v>
      </c>
      <c r="B602" s="3">
        <v>1.8926500226762</v>
      </c>
      <c r="C602" s="5">
        <v>2.5517952836990101E-26</v>
      </c>
      <c r="D602" s="6">
        <v>3.28683233145294E-25</v>
      </c>
      <c r="E602" s="3" t="s">
        <v>3080</v>
      </c>
      <c r="F602" s="3" t="s">
        <v>3081</v>
      </c>
      <c r="G602" s="3" t="s">
        <v>83</v>
      </c>
      <c r="H602" s="7" t="str">
        <f>HYPERLINK("http://www.ensembl.org/Mus_musculus/Gene/Summary?db=core;g=ENSMUSG00000097111","ENSMUSG00000097111")</f>
        <v>ENSMUSG00000097111</v>
      </c>
      <c r="I602" s="7" t="str">
        <f>HYPERLINK("http://www.informatics.jax.org/marker/MGI:5477083","MGI:5477083")</f>
        <v>MGI:5477083</v>
      </c>
      <c r="J602" s="4" t="s">
        <v>932</v>
      </c>
    </row>
    <row r="603" spans="1:10" x14ac:dyDescent="0.25">
      <c r="A603" s="2">
        <v>8.7881825778695308</v>
      </c>
      <c r="B603" s="3">
        <v>1.88593913552549</v>
      </c>
      <c r="C603" s="5">
        <v>7.9309035988586797E-7</v>
      </c>
      <c r="D603" s="6">
        <v>3.3156120197051801E-6</v>
      </c>
      <c r="E603" s="3" t="s">
        <v>9449</v>
      </c>
      <c r="F603" s="3" t="s">
        <v>9450</v>
      </c>
      <c r="G603" s="3" t="s">
        <v>83</v>
      </c>
      <c r="H603" s="7" t="str">
        <f>HYPERLINK("http://www.ensembl.org/Mus_musculus/Gene/Summary?db=core;g=ENSMUSG00000091997","ENSMUSG00000091997")</f>
        <v>ENSMUSG00000091997</v>
      </c>
      <c r="I603" s="7" t="str">
        <f>HYPERLINK("http://www.informatics.jax.org/marker/MGI:3645568","MGI:3645568")</f>
        <v>MGI:3645568</v>
      </c>
      <c r="J603" s="4" t="s">
        <v>1043</v>
      </c>
    </row>
    <row r="604" spans="1:10" x14ac:dyDescent="0.25">
      <c r="A604" s="2">
        <v>2.2612273569716699</v>
      </c>
      <c r="B604" s="3">
        <v>1.87881651427934</v>
      </c>
      <c r="C604" s="5">
        <v>6.4839937086393298E-5</v>
      </c>
      <c r="D604" s="4">
        <v>2.2326585635475401E-4</v>
      </c>
      <c r="E604" s="3" t="s">
        <v>11465</v>
      </c>
      <c r="F604" s="3" t="s">
        <v>11466</v>
      </c>
      <c r="G604" s="3">
        <v>14584</v>
      </c>
      <c r="H604" s="7" t="str">
        <f>HYPERLINK("http://www.ensembl.org/Mus_musculus/Gene/Summary?db=core;g=ENSMUSG00000020363","ENSMUSG00000020363")</f>
        <v>ENSMUSG00000020363</v>
      </c>
      <c r="I604" s="7" t="str">
        <f>HYPERLINK("http://www.informatics.jax.org/marker/MGI:1338883","MGI:1338883")</f>
        <v>MGI:1338883</v>
      </c>
      <c r="J604" s="4" t="s">
        <v>12</v>
      </c>
    </row>
    <row r="605" spans="1:10" x14ac:dyDescent="0.25">
      <c r="A605" s="2">
        <v>624.50472299133196</v>
      </c>
      <c r="B605" s="3">
        <v>1.8788124284919501</v>
      </c>
      <c r="C605" s="5">
        <v>1.6853705713547201E-32</v>
      </c>
      <c r="D605" s="6">
        <v>2.6588406133692102E-31</v>
      </c>
      <c r="E605" s="3" t="s">
        <v>2517</v>
      </c>
      <c r="F605" s="3" t="s">
        <v>2518</v>
      </c>
      <c r="G605" s="3">
        <v>18854</v>
      </c>
      <c r="H605" s="7" t="str">
        <f>HYPERLINK("http://www.ensembl.org/Mus_musculus/Gene/Summary?db=core;g=ENSMUSG00000036986","ENSMUSG00000036986")</f>
        <v>ENSMUSG00000036986</v>
      </c>
      <c r="I605" s="7" t="str">
        <f>HYPERLINK("http://www.informatics.jax.org/marker/MGI:104662","MGI:104662")</f>
        <v>MGI:104662</v>
      </c>
      <c r="J605" s="4" t="s">
        <v>12</v>
      </c>
    </row>
    <row r="606" spans="1:10" x14ac:dyDescent="0.25">
      <c r="A606" s="2">
        <v>6.37140515414921</v>
      </c>
      <c r="B606" s="3">
        <v>1.87686430667996</v>
      </c>
      <c r="C606" s="5">
        <v>4.4542108716291996E-6</v>
      </c>
      <c r="D606" s="6">
        <v>1.7277151531968499E-5</v>
      </c>
      <c r="E606" s="3" t="s">
        <v>10182</v>
      </c>
      <c r="F606" s="3" t="s">
        <v>10183</v>
      </c>
      <c r="G606" s="3">
        <v>381677</v>
      </c>
      <c r="H606" s="7" t="str">
        <f>HYPERLINK("http://www.ensembl.org/Mus_musculus/Gene/Summary?db=core;g=ENSMUSG00000037428","ENSMUSG00000037428")</f>
        <v>ENSMUSG00000037428</v>
      </c>
      <c r="I606" s="7" t="str">
        <f>HYPERLINK("http://www.informatics.jax.org/marker/MGI:1343180","MGI:1343180")</f>
        <v>MGI:1343180</v>
      </c>
      <c r="J606" s="4" t="s">
        <v>12</v>
      </c>
    </row>
    <row r="607" spans="1:10" x14ac:dyDescent="0.25">
      <c r="A607" s="2">
        <v>2862.7625364651199</v>
      </c>
      <c r="B607" s="3">
        <v>1.8766287559328001</v>
      </c>
      <c r="C607" s="5">
        <v>2.3333323108504399E-144</v>
      </c>
      <c r="D607" s="6">
        <v>4.1830284699973299E-142</v>
      </c>
      <c r="E607" s="3" t="s">
        <v>230</v>
      </c>
      <c r="F607" s="3" t="s">
        <v>231</v>
      </c>
      <c r="G607" s="3">
        <v>104215</v>
      </c>
      <c r="H607" s="7" t="str">
        <f>HYPERLINK("http://www.ensembl.org/Mus_musculus/Gene/Summary?db=core;g=ENSMUSG00000024143","ENSMUSG00000024143")</f>
        <v>ENSMUSG00000024143</v>
      </c>
      <c r="I607" s="7" t="str">
        <f>HYPERLINK("http://www.informatics.jax.org/marker/MGI:1931553","MGI:1931553")</f>
        <v>MGI:1931553</v>
      </c>
      <c r="J607" s="4" t="s">
        <v>12</v>
      </c>
    </row>
    <row r="608" spans="1:10" x14ac:dyDescent="0.25">
      <c r="A608" s="2">
        <v>951.12303916633505</v>
      </c>
      <c r="B608" s="3">
        <v>1.8723922335555001</v>
      </c>
      <c r="C608" s="5">
        <v>7.3902940193514604E-61</v>
      </c>
      <c r="D608" s="6">
        <v>2.73427013248801E-59</v>
      </c>
      <c r="E608" s="3" t="s">
        <v>1082</v>
      </c>
      <c r="F608" s="3" t="s">
        <v>1083</v>
      </c>
      <c r="G608" s="3">
        <v>18987</v>
      </c>
      <c r="H608" s="7" t="str">
        <f>HYPERLINK("http://www.ensembl.org/Mus_musculus/Gene/Summary?db=core;g=ENSMUSG00000008496","ENSMUSG00000008496")</f>
        <v>ENSMUSG00000008496</v>
      </c>
      <c r="I608" s="7" t="str">
        <f>HYPERLINK("http://www.informatics.jax.org/marker/MGI:101897","MGI:101897")</f>
        <v>MGI:101897</v>
      </c>
      <c r="J608" s="4" t="s">
        <v>12</v>
      </c>
    </row>
    <row r="609" spans="1:10" x14ac:dyDescent="0.25">
      <c r="A609" s="2">
        <v>17.666491108693801</v>
      </c>
      <c r="B609" s="3">
        <v>1.8708576700041399</v>
      </c>
      <c r="C609" s="5">
        <v>1.1479967307293099E-10</v>
      </c>
      <c r="D609" s="6">
        <v>6.6505568536962295E-10</v>
      </c>
      <c r="E609" s="3" t="s">
        <v>6826</v>
      </c>
      <c r="F609" s="3" t="s">
        <v>6827</v>
      </c>
      <c r="G609" s="3" t="s">
        <v>83</v>
      </c>
      <c r="H609" s="7" t="str">
        <f>HYPERLINK("http://www.ensembl.org/Mus_musculus/Gene/Summary?db=core;g=ENSMUSG00000099470","ENSMUSG00000099470")</f>
        <v>ENSMUSG00000099470</v>
      </c>
      <c r="I609" s="7" t="str">
        <f>HYPERLINK("http://www.informatics.jax.org/marker/MGI:5580046","MGI:5580046")</f>
        <v>MGI:5580046</v>
      </c>
      <c r="J609" s="4" t="s">
        <v>939</v>
      </c>
    </row>
    <row r="610" spans="1:10" x14ac:dyDescent="0.25">
      <c r="A610" s="2">
        <v>2.8643986717628298</v>
      </c>
      <c r="B610" s="3">
        <v>1.8702389489498901</v>
      </c>
      <c r="C610" s="5">
        <v>4.5017648435737897E-5</v>
      </c>
      <c r="D610" s="4">
        <v>1.57541797187711E-4</v>
      </c>
      <c r="E610" s="3" t="s">
        <v>11281</v>
      </c>
      <c r="F610" s="3" t="s">
        <v>11282</v>
      </c>
      <c r="G610" s="3" t="s">
        <v>83</v>
      </c>
      <c r="H610" s="7" t="str">
        <f>HYPERLINK("http://www.ensembl.org/Mus_musculus/Gene/Summary?db=core;g=ENSMUSG00000055413","ENSMUSG00000055413")</f>
        <v>ENSMUSG00000055413</v>
      </c>
      <c r="I610" s="7" t="str">
        <f>HYPERLINK("http://www.informatics.jax.org/marker/MGI:95934","MGI:95934")</f>
        <v>MGI:95934</v>
      </c>
      <c r="J610" s="4" t="s">
        <v>976</v>
      </c>
    </row>
    <row r="611" spans="1:10" x14ac:dyDescent="0.25">
      <c r="A611" s="2">
        <v>2.9101953303562502</v>
      </c>
      <c r="B611" s="3">
        <v>1.86987385264261</v>
      </c>
      <c r="C611" s="5">
        <v>5.2905751780243603E-5</v>
      </c>
      <c r="D611" s="4">
        <v>1.8397133223530299E-4</v>
      </c>
      <c r="E611" s="3" t="s">
        <v>11353</v>
      </c>
      <c r="F611" s="3" t="s">
        <v>11354</v>
      </c>
      <c r="G611" s="3">
        <v>80708</v>
      </c>
      <c r="H611" s="7" t="str">
        <f>HYPERLINK("http://www.ensembl.org/Mus_musculus/Gene/Summary?db=core;g=ENSMUSG00000027257","ENSMUSG00000027257")</f>
        <v>ENSMUSG00000027257</v>
      </c>
      <c r="I611" s="7" t="str">
        <f>HYPERLINK("http://www.informatics.jax.org/marker/MGI:1891410","MGI:1891410")</f>
        <v>MGI:1891410</v>
      </c>
      <c r="J611" s="4" t="s">
        <v>12</v>
      </c>
    </row>
    <row r="612" spans="1:10" x14ac:dyDescent="0.25">
      <c r="A612" s="2">
        <v>5.7252624856420304</v>
      </c>
      <c r="B612" s="3">
        <v>1.8650363432342401</v>
      </c>
      <c r="C612" s="5">
        <v>7.2609939739077801E-6</v>
      </c>
      <c r="D612" s="6">
        <v>2.7626239854420501E-5</v>
      </c>
      <c r="E612" s="3" t="s">
        <v>10380</v>
      </c>
      <c r="F612" s="3" t="s">
        <v>10381</v>
      </c>
      <c r="G612" s="3">
        <v>72282</v>
      </c>
      <c r="H612" s="7" t="str">
        <f>HYPERLINK("http://www.ensembl.org/Mus_musculus/Gene/Summary?db=core;g=ENSMUSG00000027713","ENSMUSG00000027713")</f>
        <v>ENSMUSG00000027713</v>
      </c>
      <c r="I612" s="7" t="str">
        <f>HYPERLINK("http://www.informatics.jax.org/marker/MGI:1919532","MGI:1919532")</f>
        <v>MGI:1919532</v>
      </c>
      <c r="J612" s="4" t="s">
        <v>12</v>
      </c>
    </row>
    <row r="613" spans="1:10" x14ac:dyDescent="0.25">
      <c r="A613" s="2">
        <v>9896.8681104637199</v>
      </c>
      <c r="B613" s="3">
        <v>1.8647074137030299</v>
      </c>
      <c r="C613" s="5">
        <v>9.6387321602232406E-164</v>
      </c>
      <c r="D613" s="6">
        <v>2.4685168597350902E-161</v>
      </c>
      <c r="E613" s="3" t="s">
        <v>164</v>
      </c>
      <c r="F613" s="3" t="s">
        <v>165</v>
      </c>
      <c r="G613" s="3">
        <v>50493</v>
      </c>
      <c r="H613" s="7" t="str">
        <f>HYPERLINK("http://www.ensembl.org/Mus_musculus/Gene/Summary?db=core;g=ENSMUSG00000020250","ENSMUSG00000020250")</f>
        <v>ENSMUSG00000020250</v>
      </c>
      <c r="I613" s="7" t="str">
        <f>HYPERLINK("http://www.informatics.jax.org/marker/MGI:1354175","MGI:1354175")</f>
        <v>MGI:1354175</v>
      </c>
      <c r="J613" s="4" t="s">
        <v>12</v>
      </c>
    </row>
    <row r="614" spans="1:10" x14ac:dyDescent="0.25">
      <c r="A614" s="2">
        <v>2.16009174593884</v>
      </c>
      <c r="B614" s="3">
        <v>1.8591274516522101</v>
      </c>
      <c r="C614" s="5">
        <v>7.4875400689015297E-5</v>
      </c>
      <c r="D614" s="4">
        <v>2.55944340715442E-4</v>
      </c>
      <c r="E614" s="3" t="s">
        <v>11549</v>
      </c>
      <c r="F614" s="3" t="s">
        <v>11550</v>
      </c>
      <c r="G614" s="3">
        <v>69453</v>
      </c>
      <c r="H614" s="7" t="str">
        <f>HYPERLINK("http://www.ensembl.org/Mus_musculus/Gene/Summary?db=core;g=ENSMUSG00000036480","ENSMUSG00000036480")</f>
        <v>ENSMUSG00000036480</v>
      </c>
      <c r="I614" s="7" t="str">
        <f>HYPERLINK("http://www.informatics.jax.org/marker/MGI:1916703","MGI:1916703")</f>
        <v>MGI:1916703</v>
      </c>
      <c r="J614" s="4" t="s">
        <v>12</v>
      </c>
    </row>
    <row r="615" spans="1:10" x14ac:dyDescent="0.25">
      <c r="A615" s="2">
        <v>894.88220332212904</v>
      </c>
      <c r="B615" s="3">
        <v>1.85844534369319</v>
      </c>
      <c r="C615" s="5">
        <v>3.2683867600509199E-53</v>
      </c>
      <c r="D615" s="6">
        <v>9.4922808406780801E-52</v>
      </c>
      <c r="E615" s="3" t="s">
        <v>1374</v>
      </c>
      <c r="F615" s="3" t="s">
        <v>1375</v>
      </c>
      <c r="G615" s="3">
        <v>72432</v>
      </c>
      <c r="H615" s="7" t="str">
        <f>HYPERLINK("http://www.ensembl.org/Mus_musculus/Gene/Summary?db=core;g=ENSMUSG00000055561","ENSMUSG00000055561")</f>
        <v>ENSMUSG00000055561</v>
      </c>
      <c r="I615" s="7" t="str">
        <f>HYPERLINK("http://www.informatics.jax.org/marker/MGI:1919682","MGI:1919682")</f>
        <v>MGI:1919682</v>
      </c>
      <c r="J615" s="4" t="s">
        <v>12</v>
      </c>
    </row>
    <row r="616" spans="1:10" x14ac:dyDescent="0.25">
      <c r="A616" s="2">
        <v>1841.5313762234</v>
      </c>
      <c r="B616" s="3">
        <v>1.8567774897510401</v>
      </c>
      <c r="C616" s="5">
        <v>3.77594371159875E-65</v>
      </c>
      <c r="D616" s="6">
        <v>1.5676128419521499E-63</v>
      </c>
      <c r="E616" s="3" t="s">
        <v>964</v>
      </c>
      <c r="F616" s="3" t="s">
        <v>965</v>
      </c>
      <c r="G616" s="3">
        <v>319448</v>
      </c>
      <c r="H616" s="7" t="str">
        <f>HYPERLINK("http://www.ensembl.org/Mus_musculus/Gene/Summary?db=core;g=ENSMUSG00000033487","ENSMUSG00000033487")</f>
        <v>ENSMUSG00000033487</v>
      </c>
      <c r="I616" s="7" t="str">
        <f>HYPERLINK("http://www.informatics.jax.org/marker/MGI:1196463","MGI:1196463")</f>
        <v>MGI:1196463</v>
      </c>
      <c r="J616" s="4" t="s">
        <v>12</v>
      </c>
    </row>
    <row r="617" spans="1:10" x14ac:dyDescent="0.25">
      <c r="A617" s="2">
        <v>583.48637968157095</v>
      </c>
      <c r="B617" s="3">
        <v>1.8525247829109901</v>
      </c>
      <c r="C617" s="5">
        <v>1.3855944747200601E-75</v>
      </c>
      <c r="D617" s="6">
        <v>7.1156049587186607E-74</v>
      </c>
      <c r="E617" s="3" t="s">
        <v>780</v>
      </c>
      <c r="F617" s="3" t="s">
        <v>781</v>
      </c>
      <c r="G617" s="3">
        <v>56738</v>
      </c>
      <c r="H617" s="7" t="str">
        <f>HYPERLINK("http://www.ensembl.org/Mus_musculus/Gene/Summary?db=core;g=ENSMUSG00000064120","ENSMUSG00000064120")</f>
        <v>ENSMUSG00000064120</v>
      </c>
      <c r="I617" s="7" t="str">
        <f>HYPERLINK("http://www.informatics.jax.org/marker/MGI:1928904","MGI:1928904")</f>
        <v>MGI:1928904</v>
      </c>
      <c r="J617" s="4" t="s">
        <v>12</v>
      </c>
    </row>
    <row r="618" spans="1:10" x14ac:dyDescent="0.25">
      <c r="A618" s="2">
        <v>695.10617903139405</v>
      </c>
      <c r="B618" s="3">
        <v>1.85018089096236</v>
      </c>
      <c r="C618" s="5">
        <v>1.4235851809566001E-47</v>
      </c>
      <c r="D618" s="6">
        <v>3.6130115532128997E-46</v>
      </c>
      <c r="E618" s="3" t="s">
        <v>1570</v>
      </c>
      <c r="F618" s="3" t="s">
        <v>1571</v>
      </c>
      <c r="G618" s="3">
        <v>78749</v>
      </c>
      <c r="H618" s="7" t="str">
        <f>HYPERLINK("http://www.ensembl.org/Mus_musculus/Gene/Summary?db=core;g=ENSMUSG00000043336","ENSMUSG00000043336")</f>
        <v>ENSMUSG00000043336</v>
      </c>
      <c r="I618" s="7" t="str">
        <f>HYPERLINK("http://www.informatics.jax.org/marker/MGI:1925999","MGI:1925999")</f>
        <v>MGI:1925999</v>
      </c>
      <c r="J618" s="4" t="s">
        <v>12</v>
      </c>
    </row>
    <row r="619" spans="1:10" x14ac:dyDescent="0.25">
      <c r="A619" s="2">
        <v>27.3777347781879</v>
      </c>
      <c r="B619" s="3">
        <v>1.8493397877072999</v>
      </c>
      <c r="C619" s="5">
        <v>1.78611713740883E-11</v>
      </c>
      <c r="D619" s="6">
        <v>1.09760766437214E-10</v>
      </c>
      <c r="E619" s="3" t="s">
        <v>6435</v>
      </c>
      <c r="F619" s="3" t="s">
        <v>6436</v>
      </c>
      <c r="G619" s="3">
        <v>12870</v>
      </c>
      <c r="H619" s="7" t="str">
        <f>HYPERLINK("http://www.ensembl.org/Mus_musculus/Gene/Summary?db=core;g=ENSMUSG00000003617","ENSMUSG00000003617")</f>
        <v>ENSMUSG00000003617</v>
      </c>
      <c r="I619" s="7" t="str">
        <f>HYPERLINK("http://www.informatics.jax.org/marker/MGI:88476","MGI:88476")</f>
        <v>MGI:88476</v>
      </c>
      <c r="J619" s="4" t="s">
        <v>12</v>
      </c>
    </row>
    <row r="620" spans="1:10" x14ac:dyDescent="0.25">
      <c r="A620" s="2">
        <v>17.319558880517601</v>
      </c>
      <c r="B620" s="3">
        <v>1.8414500275260699</v>
      </c>
      <c r="C620" s="5">
        <v>4.0660770468140598E-10</v>
      </c>
      <c r="D620" s="6">
        <v>2.2460235115734801E-9</v>
      </c>
      <c r="E620" s="3" t="s">
        <v>7158</v>
      </c>
      <c r="F620" s="3" t="s">
        <v>7159</v>
      </c>
      <c r="G620" s="3">
        <v>71130</v>
      </c>
      <c r="H620" s="7" t="str">
        <f>HYPERLINK("http://www.ensembl.org/Mus_musculus/Gene/Summary?db=core;g=ENSMUSG00000052631","ENSMUSG00000052631")</f>
        <v>ENSMUSG00000052631</v>
      </c>
      <c r="I620" s="7" t="str">
        <f>HYPERLINK("http://www.informatics.jax.org/marker/MGI:1918380","MGI:1918380")</f>
        <v>MGI:1918380</v>
      </c>
      <c r="J620" s="4" t="s">
        <v>12</v>
      </c>
    </row>
    <row r="621" spans="1:10" x14ac:dyDescent="0.25">
      <c r="A621" s="2">
        <v>2.15090186438717</v>
      </c>
      <c r="B621" s="3">
        <v>1.8413120950344899</v>
      </c>
      <c r="C621" s="5">
        <v>8.6833634791576699E-5</v>
      </c>
      <c r="D621" s="4">
        <v>2.94726209654026E-4</v>
      </c>
      <c r="E621" s="3" t="s">
        <v>11631</v>
      </c>
      <c r="F621" s="3" t="s">
        <v>11632</v>
      </c>
      <c r="G621" s="3">
        <v>18566</v>
      </c>
      <c r="H621" s="7" t="str">
        <f>HYPERLINK("http://www.ensembl.org/Mus_musculus/Gene/Summary?db=core;g=ENSMUSG00000026285","ENSMUSG00000026285")</f>
        <v>ENSMUSG00000026285</v>
      </c>
      <c r="I621" s="7" t="str">
        <f>HYPERLINK("http://www.informatics.jax.org/marker/MGI:104879","MGI:104879")</f>
        <v>MGI:104879</v>
      </c>
      <c r="J621" s="4" t="s">
        <v>12</v>
      </c>
    </row>
    <row r="622" spans="1:10" x14ac:dyDescent="0.25">
      <c r="A622" s="2">
        <v>2.9322893356008</v>
      </c>
      <c r="B622" s="3">
        <v>1.8411141384043801</v>
      </c>
      <c r="C622" s="5">
        <v>6.0039441594446698E-5</v>
      </c>
      <c r="D622" s="4">
        <v>2.0742427965005E-4</v>
      </c>
      <c r="E622" s="3" t="s">
        <v>11427</v>
      </c>
      <c r="F622" s="3" t="s">
        <v>11428</v>
      </c>
      <c r="G622" s="3" t="s">
        <v>83</v>
      </c>
      <c r="H622" s="7" t="str">
        <f>HYPERLINK("http://www.ensembl.org/Mus_musculus/Gene/Summary?db=core;g=ENSMUSG00000050533","ENSMUSG00000050533")</f>
        <v>ENSMUSG00000050533</v>
      </c>
      <c r="I622" s="7" t="str">
        <f>HYPERLINK("http://www.informatics.jax.org/marker/MGI:3704215","MGI:3704215")</f>
        <v>MGI:3704215</v>
      </c>
      <c r="J622" s="4" t="s">
        <v>1043</v>
      </c>
    </row>
    <row r="623" spans="1:10" x14ac:dyDescent="0.25">
      <c r="A623" s="2">
        <v>1.8745519277924301</v>
      </c>
      <c r="B623" s="3">
        <v>1.8407138357499899</v>
      </c>
      <c r="C623" s="5">
        <v>8.7916947080343799E-5</v>
      </c>
      <c r="D623" s="4">
        <v>2.9824913064241903E-4</v>
      </c>
      <c r="E623" s="3" t="s">
        <v>11637</v>
      </c>
      <c r="F623" s="3" t="s">
        <v>11638</v>
      </c>
      <c r="G623" s="3" t="s">
        <v>83</v>
      </c>
      <c r="H623" s="7" t="str">
        <f>HYPERLINK("http://www.ensembl.org/Mus_musculus/Gene/Summary?db=core;g=ENSMUSG00000090881","ENSMUSG00000090881")</f>
        <v>ENSMUSG00000090881</v>
      </c>
      <c r="I623" s="7" t="str">
        <f>HYPERLINK("http://www.informatics.jax.org/marker/MGI:3644962","MGI:3644962")</f>
        <v>MGI:3644962</v>
      </c>
      <c r="J623" s="4" t="s">
        <v>2683</v>
      </c>
    </row>
    <row r="624" spans="1:10" x14ac:dyDescent="0.25">
      <c r="A624" s="2">
        <v>13.100962041903699</v>
      </c>
      <c r="B624" s="3">
        <v>1.84071221020582</v>
      </c>
      <c r="C624" s="5">
        <v>3.1052958080915403E-8</v>
      </c>
      <c r="D624" s="6">
        <v>1.4706155940337399E-7</v>
      </c>
      <c r="E624" s="3" t="s">
        <v>8345</v>
      </c>
      <c r="F624" s="3" t="s">
        <v>8346</v>
      </c>
      <c r="G624" s="3" t="s">
        <v>83</v>
      </c>
      <c r="H624" s="7" t="str">
        <f>HYPERLINK("http://www.ensembl.org/Mus_musculus/Gene/Summary?db=core;g=ENSMUSG00000104763","ENSMUSG00000104763")</f>
        <v>ENSMUSG00000104763</v>
      </c>
      <c r="I624" s="7" t="str">
        <f>HYPERLINK("http://www.informatics.jax.org/marker/MGI:5439414","MGI:5439414")</f>
        <v>MGI:5439414</v>
      </c>
      <c r="J624" s="4" t="s">
        <v>939</v>
      </c>
    </row>
    <row r="625" spans="1:10" x14ac:dyDescent="0.25">
      <c r="A625" s="2">
        <v>3.7561817318552699</v>
      </c>
      <c r="B625" s="3">
        <v>1.8396091034776501</v>
      </c>
      <c r="C625" s="5">
        <v>3.5070469533787699E-5</v>
      </c>
      <c r="D625" s="4">
        <v>1.2420791293216499E-4</v>
      </c>
      <c r="E625" s="3" t="s">
        <v>11149</v>
      </c>
      <c r="F625" s="3" t="s">
        <v>11150</v>
      </c>
      <c r="G625" s="3" t="s">
        <v>83</v>
      </c>
      <c r="H625" s="7" t="str">
        <f>HYPERLINK("http://www.ensembl.org/Mus_musculus/Gene/Summary?db=core;g=ENSMUSG00000064936","ENSMUSG00000064936")</f>
        <v>ENSMUSG00000064936</v>
      </c>
      <c r="I625" s="7" t="str">
        <f>HYPERLINK("http://www.informatics.jax.org/marker/MGI:5453499","MGI:5453499")</f>
        <v>MGI:5453499</v>
      </c>
      <c r="J625" s="4" t="s">
        <v>11100</v>
      </c>
    </row>
    <row r="626" spans="1:10" x14ac:dyDescent="0.25">
      <c r="A626" s="2">
        <v>11.5986845552488</v>
      </c>
      <c r="B626" s="3">
        <v>1.8353858999916599</v>
      </c>
      <c r="C626" s="5">
        <v>6.2728818973189406E-8</v>
      </c>
      <c r="D626" s="6">
        <v>2.8922429510200898E-7</v>
      </c>
      <c r="E626" s="3" t="s">
        <v>8571</v>
      </c>
      <c r="F626" s="3" t="s">
        <v>8572</v>
      </c>
      <c r="G626" s="3">
        <v>74052</v>
      </c>
      <c r="H626" s="7" t="str">
        <f>HYPERLINK("http://www.ensembl.org/Mus_musculus/Gene/Summary?db=core;g=ENSMUSG00000032514","ENSMUSG00000032514")</f>
        <v>ENSMUSG00000032514</v>
      </c>
      <c r="I626" s="7" t="str">
        <f>HYPERLINK("http://www.informatics.jax.org/marker/MGI:1921302","MGI:1921302")</f>
        <v>MGI:1921302</v>
      </c>
      <c r="J626" s="4" t="s">
        <v>12</v>
      </c>
    </row>
    <row r="627" spans="1:10" x14ac:dyDescent="0.25">
      <c r="A627" s="2">
        <v>2.1226126626006101</v>
      </c>
      <c r="B627" s="3">
        <v>1.8338754420469301</v>
      </c>
      <c r="C627" s="5">
        <v>9.4635292842449499E-5</v>
      </c>
      <c r="D627" s="4">
        <v>3.1993964938335399E-4</v>
      </c>
      <c r="E627" s="3" t="s">
        <v>11677</v>
      </c>
      <c r="F627" s="3" t="s">
        <v>11678</v>
      </c>
      <c r="G627" s="3" t="s">
        <v>83</v>
      </c>
      <c r="H627" s="7" t="str">
        <f>HYPERLINK("http://www.ensembl.org/Mus_musculus/Gene/Summary?db=core;g=ENSMUSG00000116308","ENSMUSG00000116308")</f>
        <v>ENSMUSG00000116308</v>
      </c>
      <c r="I627" s="7" t="str">
        <f>HYPERLINK("http://www.informatics.jax.org/marker/MGI:6155155","MGI:6155155")</f>
        <v>MGI:6155155</v>
      </c>
      <c r="J627" s="4" t="s">
        <v>932</v>
      </c>
    </row>
    <row r="628" spans="1:10" x14ac:dyDescent="0.25">
      <c r="A628" s="2">
        <v>3.1775080804042699</v>
      </c>
      <c r="B628" s="3">
        <v>1.83223408474639</v>
      </c>
      <c r="C628" s="5">
        <v>4.14844696493063E-5</v>
      </c>
      <c r="D628" s="4">
        <v>1.4574625716806E-4</v>
      </c>
      <c r="E628" s="3" t="s">
        <v>11237</v>
      </c>
      <c r="F628" s="3" t="s">
        <v>11238</v>
      </c>
      <c r="G628" s="3">
        <v>240697</v>
      </c>
      <c r="H628" s="7" t="str">
        <f>HYPERLINK("http://www.ensembl.org/Mus_musculus/Gene/Summary?db=core;g=ENSMUSG00000046101","ENSMUSG00000046101")</f>
        <v>ENSMUSG00000046101</v>
      </c>
      <c r="I628" s="7" t="str">
        <f>HYPERLINK("http://www.informatics.jax.org/marker/MGI:3045334","MGI:3045334")</f>
        <v>MGI:3045334</v>
      </c>
      <c r="J628" s="4" t="s">
        <v>12</v>
      </c>
    </row>
    <row r="629" spans="1:10" x14ac:dyDescent="0.25">
      <c r="A629" s="2">
        <v>3.2199667741914002</v>
      </c>
      <c r="B629" s="3">
        <v>1.83035388093354</v>
      </c>
      <c r="C629" s="5">
        <v>5.5636671293074399E-5</v>
      </c>
      <c r="D629" s="4">
        <v>1.9305915148679E-4</v>
      </c>
      <c r="E629" s="3" t="s">
        <v>11377</v>
      </c>
      <c r="F629" s="3" t="s">
        <v>11378</v>
      </c>
      <c r="G629" s="3">
        <v>217151</v>
      </c>
      <c r="H629" s="7" t="str">
        <f>HYPERLINK("http://www.ensembl.org/Mus_musculus/Gene/Summary?db=core;g=ENSMUSG00000038352","ENSMUSG00000038352")</f>
        <v>ENSMUSG00000038352</v>
      </c>
      <c r="I629" s="7" t="str">
        <f>HYPERLINK("http://www.informatics.jax.org/marker/MGI:3028577","MGI:3028577")</f>
        <v>MGI:3028577</v>
      </c>
      <c r="J629" s="4" t="s">
        <v>12</v>
      </c>
    </row>
    <row r="630" spans="1:10" x14ac:dyDescent="0.25">
      <c r="A630" s="2">
        <v>36.833115817794699</v>
      </c>
      <c r="B630" s="3">
        <v>1.8255548936321899</v>
      </c>
      <c r="C630" s="5">
        <v>1.4714332670824801E-11</v>
      </c>
      <c r="D630" s="6">
        <v>9.0875866040922504E-11</v>
      </c>
      <c r="E630" s="3" t="s">
        <v>6403</v>
      </c>
      <c r="F630" s="3" t="s">
        <v>6404</v>
      </c>
      <c r="G630" s="3">
        <v>69553</v>
      </c>
      <c r="H630" s="7" t="str">
        <f>HYPERLINK("http://www.ensembl.org/Mus_musculus/Gene/Summary?db=core;g=ENSMUSG00000074577","ENSMUSG00000074577")</f>
        <v>ENSMUSG00000074577</v>
      </c>
      <c r="I630" s="7" t="str">
        <f>HYPERLINK("http://www.informatics.jax.org/marker/MGI:1916803","MGI:1916803")</f>
        <v>MGI:1916803</v>
      </c>
      <c r="J630" s="4" t="s">
        <v>12</v>
      </c>
    </row>
    <row r="631" spans="1:10" x14ac:dyDescent="0.25">
      <c r="A631" s="2">
        <v>2.2897429118226</v>
      </c>
      <c r="B631" s="3">
        <v>1.8241523208080099</v>
      </c>
      <c r="C631" s="5">
        <v>9.9753821041839705E-5</v>
      </c>
      <c r="D631" s="4">
        <v>3.3666701197074798E-4</v>
      </c>
      <c r="E631" s="3" t="s">
        <v>11697</v>
      </c>
      <c r="F631" s="3" t="s">
        <v>11698</v>
      </c>
      <c r="G631" s="3">
        <v>244698</v>
      </c>
      <c r="H631" s="7" t="str">
        <f>HYPERLINK("http://www.ensembl.org/Mus_musculus/Gene/Summary?db=core;g=ENSMUSG00000031936","ENSMUSG00000031936")</f>
        <v>ENSMUSG00000031936</v>
      </c>
      <c r="I631" s="7" t="str">
        <f>HYPERLINK("http://www.informatics.jax.org/marker/MGI:2685355","MGI:2685355")</f>
        <v>MGI:2685355</v>
      </c>
      <c r="J631" s="4" t="s">
        <v>12</v>
      </c>
    </row>
    <row r="632" spans="1:10" x14ac:dyDescent="0.25">
      <c r="A632" s="2">
        <v>2715.9671402379599</v>
      </c>
      <c r="B632" s="3">
        <v>1.8234647054894599</v>
      </c>
      <c r="C632" s="5">
        <v>2.0475778147010001E-69</v>
      </c>
      <c r="D632" s="6">
        <v>9.2823527599778595E-68</v>
      </c>
      <c r="E632" s="3" t="s">
        <v>882</v>
      </c>
      <c r="F632" s="3" t="s">
        <v>883</v>
      </c>
      <c r="G632" s="3">
        <v>241633</v>
      </c>
      <c r="H632" s="7" t="str">
        <f>HYPERLINK("http://www.ensembl.org/Mus_musculus/Gene/Summary?db=core;g=ENSMUSG00000060131","ENSMUSG00000060131")</f>
        <v>ENSMUSG00000060131</v>
      </c>
      <c r="I632" s="7" t="str">
        <f>HYPERLINK("http://www.informatics.jax.org/marker/MGI:1859664","MGI:1859664")</f>
        <v>MGI:1859664</v>
      </c>
      <c r="J632" s="4" t="s">
        <v>12</v>
      </c>
    </row>
    <row r="633" spans="1:10" x14ac:dyDescent="0.25">
      <c r="A633" s="2">
        <v>10.660549691776</v>
      </c>
      <c r="B633" s="3">
        <v>1.8231950613460199</v>
      </c>
      <c r="C633" s="5">
        <v>6.0857854474246297E-8</v>
      </c>
      <c r="D633" s="6">
        <v>2.8079478011982598E-7</v>
      </c>
      <c r="E633" s="3" t="s">
        <v>8565</v>
      </c>
      <c r="F633" s="3" t="s">
        <v>8566</v>
      </c>
      <c r="G633" s="3">
        <v>83961</v>
      </c>
      <c r="H633" s="7" t="str">
        <f>HYPERLINK("http://www.ensembl.org/Mus_musculus/Gene/Summary?db=core;g=ENSMUSG00000032311","ENSMUSG00000032311")</f>
        <v>ENSMUSG00000032311</v>
      </c>
      <c r="I633" s="7" t="str">
        <f>HYPERLINK("http://www.informatics.jax.org/marker/MGI:1933833","MGI:1933833")</f>
        <v>MGI:1933833</v>
      </c>
      <c r="J633" s="4" t="s">
        <v>12</v>
      </c>
    </row>
    <row r="634" spans="1:10" x14ac:dyDescent="0.25">
      <c r="A634" s="2">
        <v>1.49721368578193</v>
      </c>
      <c r="B634" s="3">
        <v>1.8222868694355401</v>
      </c>
      <c r="C634" s="5">
        <v>8.4465343889916704E-5</v>
      </c>
      <c r="D634" s="4">
        <v>2.8683598786105699E-4</v>
      </c>
      <c r="E634" s="3" t="s">
        <v>11625</v>
      </c>
      <c r="F634" s="3" t="s">
        <v>11626</v>
      </c>
      <c r="G634" s="3">
        <v>320910</v>
      </c>
      <c r="H634" s="7" t="str">
        <f>HYPERLINK("http://www.ensembl.org/Mus_musculus/Gene/Summary?db=core;g=ENSMUSG00000025321","ENSMUSG00000025321")</f>
        <v>ENSMUSG00000025321</v>
      </c>
      <c r="I634" s="7" t="str">
        <f>HYPERLINK("http://www.informatics.jax.org/marker/MGI:1338035","MGI:1338035")</f>
        <v>MGI:1338035</v>
      </c>
      <c r="J634" s="4" t="s">
        <v>12</v>
      </c>
    </row>
    <row r="635" spans="1:10" x14ac:dyDescent="0.25">
      <c r="A635" s="2">
        <v>7720.8422892981898</v>
      </c>
      <c r="B635" s="3">
        <v>1.8190097304419399</v>
      </c>
      <c r="C635" s="5">
        <v>9.69550462898824E-121</v>
      </c>
      <c r="D635" s="6">
        <v>1.1802182178003E-118</v>
      </c>
      <c r="E635" s="3" t="s">
        <v>336</v>
      </c>
      <c r="F635" s="3" t="s">
        <v>337</v>
      </c>
      <c r="G635" s="3">
        <v>83490</v>
      </c>
      <c r="H635" s="7" t="str">
        <f>HYPERLINK("http://www.ensembl.org/Mus_musculus/Gene/Summary?db=core;g=ENSMUSG00000025017","ENSMUSG00000025017")</f>
        <v>ENSMUSG00000025017</v>
      </c>
      <c r="I635" s="7" t="str">
        <f>HYPERLINK("http://www.informatics.jax.org/marker/MGI:1933177","MGI:1933177")</f>
        <v>MGI:1933177</v>
      </c>
      <c r="J635" s="4" t="s">
        <v>12</v>
      </c>
    </row>
    <row r="636" spans="1:10" x14ac:dyDescent="0.25">
      <c r="A636" s="2">
        <v>476.312136080134</v>
      </c>
      <c r="B636" s="3">
        <v>1.8170055510155501</v>
      </c>
      <c r="C636" s="5">
        <v>2.0578669769178E-115</v>
      </c>
      <c r="D636" s="6">
        <v>2.2054965643923401E-113</v>
      </c>
      <c r="E636" s="3" t="s">
        <v>380</v>
      </c>
      <c r="F636" s="3" t="s">
        <v>381</v>
      </c>
      <c r="G636" s="3">
        <v>56772</v>
      </c>
      <c r="H636" s="7" t="str">
        <f>HYPERLINK("http://www.ensembl.org/Mus_musculus/Gene/Summary?db=core;g=ENSMUSG00000053192","ENSMUSG00000053192")</f>
        <v>ENSMUSG00000053192</v>
      </c>
      <c r="I636" s="7" t="str">
        <f>HYPERLINK("http://www.informatics.jax.org/marker/MGI:1929671","MGI:1929671")</f>
        <v>MGI:1929671</v>
      </c>
      <c r="J636" s="4" t="s">
        <v>12</v>
      </c>
    </row>
    <row r="637" spans="1:10" x14ac:dyDescent="0.25">
      <c r="A637" s="2">
        <v>1122.9101289539201</v>
      </c>
      <c r="B637" s="3">
        <v>1.8151890712994201</v>
      </c>
      <c r="C637" s="5">
        <v>2.4835780350150201E-93</v>
      </c>
      <c r="D637" s="6">
        <v>1.78745105293782E-91</v>
      </c>
      <c r="E637" s="3" t="s">
        <v>560</v>
      </c>
      <c r="F637" s="3" t="s">
        <v>561</v>
      </c>
      <c r="G637" s="3">
        <v>18036</v>
      </c>
      <c r="H637" s="7" t="str">
        <f>HYPERLINK("http://www.ensembl.org/Mus_musculus/Gene/Summary?db=core;g=ENSMUSG00000030595","ENSMUSG00000030595")</f>
        <v>ENSMUSG00000030595</v>
      </c>
      <c r="I637" s="7" t="str">
        <f>HYPERLINK("http://www.informatics.jax.org/marker/MGI:104752","MGI:104752")</f>
        <v>MGI:104752</v>
      </c>
      <c r="J637" s="4" t="s">
        <v>12</v>
      </c>
    </row>
    <row r="638" spans="1:10" x14ac:dyDescent="0.25">
      <c r="A638" s="2">
        <v>763.74052951792305</v>
      </c>
      <c r="B638" s="3">
        <v>1.8144282851798399</v>
      </c>
      <c r="C638" s="5">
        <v>1.4923952019669601E-44</v>
      </c>
      <c r="D638" s="6">
        <v>3.46235686856334E-43</v>
      </c>
      <c r="E638" s="3" t="s">
        <v>1716</v>
      </c>
      <c r="F638" s="3" t="s">
        <v>1717</v>
      </c>
      <c r="G638" s="3">
        <v>384309</v>
      </c>
      <c r="H638" s="7" t="str">
        <f>HYPERLINK("http://www.ensembl.org/Mus_musculus/Gene/Summary?db=core;g=ENSMUSG00000043279","ENSMUSG00000043279")</f>
        <v>ENSMUSG00000043279</v>
      </c>
      <c r="I638" s="7" t="str">
        <f>HYPERLINK("http://www.informatics.jax.org/marker/MGI:2685298","MGI:2685298")</f>
        <v>MGI:2685298</v>
      </c>
      <c r="J638" s="4" t="s">
        <v>12</v>
      </c>
    </row>
    <row r="639" spans="1:10" x14ac:dyDescent="0.25">
      <c r="A639" s="2">
        <v>3.19459952497182</v>
      </c>
      <c r="B639" s="3">
        <v>1.81398808363888</v>
      </c>
      <c r="C639" s="5">
        <v>6.50076248740907E-5</v>
      </c>
      <c r="D639" s="4">
        <v>2.23765118260965E-4</v>
      </c>
      <c r="E639" s="3" t="s">
        <v>11469</v>
      </c>
      <c r="F639" s="3" t="s">
        <v>11470</v>
      </c>
      <c r="G639" s="3" t="s">
        <v>83</v>
      </c>
      <c r="H639" s="7" t="str">
        <f>HYPERLINK("http://www.ensembl.org/Mus_musculus/Gene/Summary?db=core;g=ENSMUSG00000098419","ENSMUSG00000098419")</f>
        <v>ENSMUSG00000098419</v>
      </c>
      <c r="I639" s="7" t="str">
        <f>HYPERLINK("http://www.informatics.jax.org/marker/MGI:5531106","MGI:5531106")</f>
        <v>MGI:5531106</v>
      </c>
      <c r="J639" s="4" t="s">
        <v>6715</v>
      </c>
    </row>
    <row r="640" spans="1:10" x14ac:dyDescent="0.25">
      <c r="A640" s="2">
        <v>1.3362727028574</v>
      </c>
      <c r="B640" s="3">
        <v>1.8122756268770599</v>
      </c>
      <c r="C640" s="5">
        <v>8.3216431012495304E-5</v>
      </c>
      <c r="D640" s="4">
        <v>2.8293586544248401E-4</v>
      </c>
      <c r="E640" s="3" t="s">
        <v>11611</v>
      </c>
      <c r="F640" s="3" t="s">
        <v>11612</v>
      </c>
      <c r="G640" s="3" t="s">
        <v>83</v>
      </c>
      <c r="H640" s="7" t="str">
        <f>HYPERLINK("http://www.ensembl.org/Mus_musculus/Gene/Summary?db=core;g=ENSMUSG00000085949","ENSMUSG00000085949")</f>
        <v>ENSMUSG00000085949</v>
      </c>
      <c r="I640" s="7" t="str">
        <f>HYPERLINK("http://www.informatics.jax.org/marker/MGI:3649537","MGI:3649537")</f>
        <v>MGI:3649537</v>
      </c>
      <c r="J640" s="4" t="s">
        <v>939</v>
      </c>
    </row>
    <row r="641" spans="1:10" x14ac:dyDescent="0.25">
      <c r="A641" s="2">
        <v>1445.0470016730601</v>
      </c>
      <c r="B641" s="3">
        <v>1.8122014705710701</v>
      </c>
      <c r="C641" s="5">
        <v>1.29669512354648E-54</v>
      </c>
      <c r="D641" s="6">
        <v>3.9522145032977798E-53</v>
      </c>
      <c r="E641" s="3" t="s">
        <v>1310</v>
      </c>
      <c r="F641" s="3" t="s">
        <v>1311</v>
      </c>
      <c r="G641" s="3">
        <v>18950</v>
      </c>
      <c r="H641" s="7" t="str">
        <f>HYPERLINK("http://www.ensembl.org/Mus_musculus/Gene/Summary?db=core;g=ENSMUSG00000115338","ENSMUSG00000115338")</f>
        <v>ENSMUSG00000115338</v>
      </c>
      <c r="I641" s="7" t="str">
        <f>HYPERLINK("http://www.informatics.jax.org/marker/MGI:97365","MGI:97365")</f>
        <v>MGI:97365</v>
      </c>
      <c r="J641" s="4" t="s">
        <v>12</v>
      </c>
    </row>
    <row r="642" spans="1:10" x14ac:dyDescent="0.25">
      <c r="A642" s="2">
        <v>3135.4785469184799</v>
      </c>
      <c r="B642" s="3">
        <v>1.80949550601364</v>
      </c>
      <c r="C642" s="5">
        <v>6.23809377440398E-174</v>
      </c>
      <c r="D642" s="6">
        <v>1.80904719457715E-171</v>
      </c>
      <c r="E642" s="3" t="s">
        <v>146</v>
      </c>
      <c r="F642" s="3" t="s">
        <v>147</v>
      </c>
      <c r="G642" s="3">
        <v>19271</v>
      </c>
      <c r="H642" s="7" t="str">
        <f>HYPERLINK("http://www.ensembl.org/Mus_musculus/Gene/Summary?db=core;g=ENSMUSG00000025314","ENSMUSG00000025314")</f>
        <v>ENSMUSG00000025314</v>
      </c>
      <c r="I642" s="7" t="str">
        <f>HYPERLINK("http://www.informatics.jax.org/marker/MGI:104574","MGI:104574")</f>
        <v>MGI:104574</v>
      </c>
      <c r="J642" s="4" t="s">
        <v>12</v>
      </c>
    </row>
    <row r="643" spans="1:10" x14ac:dyDescent="0.25">
      <c r="A643" s="2">
        <v>4.1848755209468997</v>
      </c>
      <c r="B643" s="3">
        <v>1.80878781783786</v>
      </c>
      <c r="C643" s="5">
        <v>8.3372136548354005E-5</v>
      </c>
      <c r="D643" s="4">
        <v>2.83416399367961E-4</v>
      </c>
      <c r="E643" s="3" t="s">
        <v>11613</v>
      </c>
      <c r="F643" s="3" t="s">
        <v>11614</v>
      </c>
      <c r="G643" s="3" t="s">
        <v>83</v>
      </c>
      <c r="H643" s="7" t="str">
        <f>HYPERLINK("http://www.ensembl.org/Mus_musculus/Gene/Summary?db=core;g=ENSMUSG00000101191","ENSMUSG00000101191")</f>
        <v>ENSMUSG00000101191</v>
      </c>
      <c r="I643" s="7" t="str">
        <f>HYPERLINK("http://www.informatics.jax.org/marker/MGI:5579515","MGI:5579515")</f>
        <v>MGI:5579515</v>
      </c>
      <c r="J643" s="4" t="s">
        <v>932</v>
      </c>
    </row>
    <row r="644" spans="1:10" x14ac:dyDescent="0.25">
      <c r="A644" s="2">
        <v>248.917668449736</v>
      </c>
      <c r="B644" s="3">
        <v>1.8077296652214101</v>
      </c>
      <c r="C644" s="5">
        <v>1.19568853297024E-10</v>
      </c>
      <c r="D644" s="6">
        <v>6.9146562669129199E-10</v>
      </c>
      <c r="E644" s="3" t="s">
        <v>6838</v>
      </c>
      <c r="F644" s="3" t="s">
        <v>6839</v>
      </c>
      <c r="G644" s="3">
        <v>15439</v>
      </c>
      <c r="H644" s="7" t="str">
        <f>HYPERLINK("http://www.ensembl.org/Mus_musculus/Gene/Summary?db=core;g=ENSMUSG00000031722","ENSMUSG00000031722")</f>
        <v>ENSMUSG00000031722</v>
      </c>
      <c r="I644" s="7" t="str">
        <f>HYPERLINK("http://www.informatics.jax.org/marker/MGI:96211","MGI:96211")</f>
        <v>MGI:96211</v>
      </c>
      <c r="J644" s="4" t="s">
        <v>12</v>
      </c>
    </row>
    <row r="645" spans="1:10" x14ac:dyDescent="0.25">
      <c r="A645" s="2">
        <v>3.5557397860700899</v>
      </c>
      <c r="B645" s="3">
        <v>1.8051784098416701</v>
      </c>
      <c r="C645" s="5">
        <v>8.1721367397776806E-5</v>
      </c>
      <c r="D645" s="4">
        <v>2.7814038058062801E-4</v>
      </c>
      <c r="E645" s="3" t="s">
        <v>11599</v>
      </c>
      <c r="F645" s="3" t="s">
        <v>11600</v>
      </c>
      <c r="G645" s="3">
        <v>20511</v>
      </c>
      <c r="H645" s="7" t="str">
        <f>HYPERLINK("http://www.ensembl.org/Mus_musculus/Gene/Summary?db=core;g=ENSMUSG00000005089","ENSMUSG00000005089")</f>
        <v>ENSMUSG00000005089</v>
      </c>
      <c r="I645" s="7" t="str">
        <f>HYPERLINK("http://www.informatics.jax.org/marker/MGI:101931","MGI:101931")</f>
        <v>MGI:101931</v>
      </c>
      <c r="J645" s="4" t="s">
        <v>12</v>
      </c>
    </row>
    <row r="646" spans="1:10" x14ac:dyDescent="0.25">
      <c r="A646" s="2">
        <v>325.17567680664303</v>
      </c>
      <c r="B646" s="3">
        <v>1.80327639384477</v>
      </c>
      <c r="C646" s="5">
        <v>1.5801925395411501E-51</v>
      </c>
      <c r="D646" s="6">
        <v>4.4075525996819596E-50</v>
      </c>
      <c r="E646" s="3" t="s">
        <v>1430</v>
      </c>
      <c r="F646" s="3" t="s">
        <v>1431</v>
      </c>
      <c r="G646" s="3">
        <v>381560</v>
      </c>
      <c r="H646" s="7" t="str">
        <f>HYPERLINK("http://www.ensembl.org/Mus_musculus/Gene/Summary?db=core;g=ENSMUSG00000037752","ENSMUSG00000037752")</f>
        <v>ENSMUSG00000037752</v>
      </c>
      <c r="I646" s="7" t="str">
        <f>HYPERLINK("http://www.informatics.jax.org/marker/MGI:2685877","MGI:2685877")</f>
        <v>MGI:2685877</v>
      </c>
      <c r="J646" s="4" t="s">
        <v>12</v>
      </c>
    </row>
    <row r="647" spans="1:10" x14ac:dyDescent="0.25">
      <c r="A647" s="2">
        <v>4223.2874494371399</v>
      </c>
      <c r="B647" s="3">
        <v>1.8026763828033801</v>
      </c>
      <c r="C647" s="5">
        <v>1.2533471674818801E-149</v>
      </c>
      <c r="D647" s="6">
        <v>2.4965662770447201E-147</v>
      </c>
      <c r="E647" s="3" t="s">
        <v>208</v>
      </c>
      <c r="F647" s="3" t="s">
        <v>209</v>
      </c>
      <c r="G647" s="3">
        <v>22323</v>
      </c>
      <c r="H647" s="7" t="str">
        <f>HYPERLINK("http://www.ensembl.org/Mus_musculus/Gene/Summary?db=core;g=ENSMUSG00000030403","ENSMUSG00000030403")</f>
        <v>ENSMUSG00000030403</v>
      </c>
      <c r="I647" s="7" t="str">
        <f>HYPERLINK("http://www.informatics.jax.org/marker/MGI:109268","MGI:109268")</f>
        <v>MGI:109268</v>
      </c>
      <c r="J647" s="4" t="s">
        <v>12</v>
      </c>
    </row>
    <row r="648" spans="1:10" x14ac:dyDescent="0.25">
      <c r="A648" s="2">
        <v>863.55306764256602</v>
      </c>
      <c r="B648" s="3">
        <v>1.7987382271679799</v>
      </c>
      <c r="C648" s="5">
        <v>5.9912788806154795E-54</v>
      </c>
      <c r="D648" s="6">
        <v>1.7793376434598998E-52</v>
      </c>
      <c r="E648" s="3" t="s">
        <v>1344</v>
      </c>
      <c r="F648" s="3" t="s">
        <v>1345</v>
      </c>
      <c r="G648" s="3">
        <v>80287</v>
      </c>
      <c r="H648" s="7" t="str">
        <f>HYPERLINK("http://www.ensembl.org/Mus_musculus/Gene/Summary?db=core;g=ENSMUSG00000009585","ENSMUSG00000009585")</f>
        <v>ENSMUSG00000009585</v>
      </c>
      <c r="I648" s="7" t="str">
        <f>HYPERLINK("http://www.informatics.jax.org/marker/MGI:1933111","MGI:1933111")</f>
        <v>MGI:1933111</v>
      </c>
      <c r="J648" s="4" t="s">
        <v>12</v>
      </c>
    </row>
    <row r="649" spans="1:10" x14ac:dyDescent="0.25">
      <c r="A649" s="2">
        <v>16.028009250222201</v>
      </c>
      <c r="B649" s="3">
        <v>1.79648300183553</v>
      </c>
      <c r="C649" s="5">
        <v>2.9719212626896102E-10</v>
      </c>
      <c r="D649" s="6">
        <v>1.6630615011418601E-9</v>
      </c>
      <c r="E649" s="3" t="s">
        <v>7066</v>
      </c>
      <c r="F649" s="3" t="s">
        <v>7067</v>
      </c>
      <c r="G649" s="3">
        <v>78284</v>
      </c>
      <c r="H649" s="7" t="str">
        <f>HYPERLINK("http://www.ensembl.org/Mus_musculus/Gene/Summary?db=core;g=ENSMUSG00000027938","ENSMUSG00000027938")</f>
        <v>ENSMUSG00000027938</v>
      </c>
      <c r="I649" s="7" t="str">
        <f>HYPERLINK("http://www.informatics.jax.org/marker/MGI:1916603","MGI:1916603")</f>
        <v>MGI:1916603</v>
      </c>
      <c r="J649" s="4" t="s">
        <v>12</v>
      </c>
    </row>
    <row r="650" spans="1:10" x14ac:dyDescent="0.25">
      <c r="A650" s="2">
        <v>2.6222561044725299</v>
      </c>
      <c r="B650" s="3">
        <v>1.7964050162483201</v>
      </c>
      <c r="C650" s="3">
        <v>1.2751975355331199E-4</v>
      </c>
      <c r="D650" s="4">
        <v>4.2434855553008798E-4</v>
      </c>
      <c r="E650" s="3" t="s">
        <v>11863</v>
      </c>
      <c r="F650" s="3" t="s">
        <v>11864</v>
      </c>
      <c r="G650" s="3">
        <v>20254</v>
      </c>
      <c r="H650" s="7" t="str">
        <f>HYPERLINK("http://www.ensembl.org/Mus_musculus/Gene/Summary?db=core;g=ENSMUSG00000050711","ENSMUSG00000050711")</f>
        <v>ENSMUSG00000050711</v>
      </c>
      <c r="I650" s="7" t="str">
        <f>HYPERLINK("http://www.informatics.jax.org/marker/MGI:103033","MGI:103033")</f>
        <v>MGI:103033</v>
      </c>
      <c r="J650" s="4" t="s">
        <v>12</v>
      </c>
    </row>
    <row r="651" spans="1:10" x14ac:dyDescent="0.25">
      <c r="A651" s="2">
        <v>1.8465838183133401</v>
      </c>
      <c r="B651" s="3">
        <v>1.79563467914047</v>
      </c>
      <c r="C651" s="3">
        <v>1.2979219676324699E-4</v>
      </c>
      <c r="D651" s="4">
        <v>4.3140099783772599E-4</v>
      </c>
      <c r="E651" s="3" t="s">
        <v>11877</v>
      </c>
      <c r="F651" s="3" t="s">
        <v>11878</v>
      </c>
      <c r="G651" s="3" t="s">
        <v>83</v>
      </c>
      <c r="H651" s="7" t="str">
        <f>HYPERLINK("http://www.ensembl.org/Mus_musculus/Gene/Summary?db=core;g=ENSMUSG00000092418","ENSMUSG00000092418")</f>
        <v>ENSMUSG00000092418</v>
      </c>
      <c r="I651" s="7" t="str">
        <f>HYPERLINK("http://www.informatics.jax.org/marker/MGI:5141871","MGI:5141871")</f>
        <v>MGI:5141871</v>
      </c>
      <c r="J651" s="4" t="s">
        <v>932</v>
      </c>
    </row>
    <row r="652" spans="1:10" x14ac:dyDescent="0.25">
      <c r="A652" s="2">
        <v>514.30820522614601</v>
      </c>
      <c r="B652" s="3">
        <v>1.7955836858761101</v>
      </c>
      <c r="C652" s="5">
        <v>1.77264702017187E-44</v>
      </c>
      <c r="D652" s="6">
        <v>4.10288723448232E-43</v>
      </c>
      <c r="E652" s="3" t="s">
        <v>1720</v>
      </c>
      <c r="F652" s="3" t="s">
        <v>1721</v>
      </c>
      <c r="G652" s="3">
        <v>66548</v>
      </c>
      <c r="H652" s="7" t="str">
        <f>HYPERLINK("http://www.ensembl.org/Mus_musculus/Gene/Summary?db=core;g=ENSMUSG00000043822","ENSMUSG00000043822")</f>
        <v>ENSMUSG00000043822</v>
      </c>
      <c r="I652" s="7" t="str">
        <f>HYPERLINK("http://www.informatics.jax.org/marker/MGI:1913798","MGI:1913798")</f>
        <v>MGI:1913798</v>
      </c>
      <c r="J652" s="4" t="s">
        <v>12</v>
      </c>
    </row>
    <row r="653" spans="1:10" x14ac:dyDescent="0.25">
      <c r="A653" s="2">
        <v>5.1644997352500299</v>
      </c>
      <c r="B653" s="3">
        <v>1.79523882623757</v>
      </c>
      <c r="C653" s="5">
        <v>1.4362280676238799E-5</v>
      </c>
      <c r="D653" s="6">
        <v>5.3028304612512502E-5</v>
      </c>
      <c r="E653" s="3" t="s">
        <v>10694</v>
      </c>
      <c r="F653" s="3" t="s">
        <v>10695</v>
      </c>
      <c r="G653" s="3" t="s">
        <v>83</v>
      </c>
      <c r="H653" s="7" t="str">
        <f>HYPERLINK("http://www.ensembl.org/Mus_musculus/Gene/Summary?db=core;g=ENSMUSG00000086411","ENSMUSG00000086411")</f>
        <v>ENSMUSG00000086411</v>
      </c>
      <c r="I653" s="7" t="str">
        <f>HYPERLINK("http://www.informatics.jax.org/marker/MGI:3651467","MGI:3651467")</f>
        <v>MGI:3651467</v>
      </c>
      <c r="J653" s="4" t="s">
        <v>932</v>
      </c>
    </row>
    <row r="654" spans="1:10" x14ac:dyDescent="0.25">
      <c r="A654" s="2">
        <v>4.8173277491334403</v>
      </c>
      <c r="B654" s="3">
        <v>1.7948183817512</v>
      </c>
      <c r="C654" s="5">
        <v>1.6909724409319399E-5</v>
      </c>
      <c r="D654" s="6">
        <v>6.1912321825432202E-5</v>
      </c>
      <c r="E654" s="3" t="s">
        <v>10784</v>
      </c>
      <c r="F654" s="3" t="s">
        <v>10785</v>
      </c>
      <c r="G654" s="3">
        <v>320560</v>
      </c>
      <c r="H654" s="7" t="str">
        <f>HYPERLINK("http://www.ensembl.org/Mus_musculus/Gene/Summary?db=core;g=ENSMUSG00000030313","ENSMUSG00000030313")</f>
        <v>ENSMUSG00000030313</v>
      </c>
      <c r="I654" s="7" t="str">
        <f>HYPERLINK("http://www.informatics.jax.org/marker/MGI:2444273","MGI:2444273")</f>
        <v>MGI:2444273</v>
      </c>
      <c r="J654" s="4" t="s">
        <v>12</v>
      </c>
    </row>
    <row r="655" spans="1:10" x14ac:dyDescent="0.25">
      <c r="A655" s="2">
        <v>321.852199254732</v>
      </c>
      <c r="B655" s="3">
        <v>1.7933624977206399</v>
      </c>
      <c r="C655" s="5">
        <v>7.9033339862582202E-56</v>
      </c>
      <c r="D655" s="6">
        <v>2.4857056811644699E-54</v>
      </c>
      <c r="E655" s="3" t="s">
        <v>1270</v>
      </c>
      <c r="F655" s="3" t="s">
        <v>1271</v>
      </c>
      <c r="G655" s="3">
        <v>11796</v>
      </c>
      <c r="H655" s="7" t="str">
        <f>HYPERLINK("http://www.ensembl.org/Mus_musculus/Gene/Summary?db=core;g=ENSMUSG00000032000","ENSMUSG00000032000")</f>
        <v>ENSMUSG00000032000</v>
      </c>
      <c r="I655" s="7" t="str">
        <f>HYPERLINK("http://www.informatics.jax.org/marker/MGI:1197007","MGI:1197007")</f>
        <v>MGI:1197007</v>
      </c>
      <c r="J655" s="4" t="s">
        <v>12</v>
      </c>
    </row>
    <row r="656" spans="1:10" x14ac:dyDescent="0.25">
      <c r="A656" s="2">
        <v>882.89137609623003</v>
      </c>
      <c r="B656" s="3">
        <v>1.7902478242612101</v>
      </c>
      <c r="C656" s="5">
        <v>3.2567146656726501E-137</v>
      </c>
      <c r="D656" s="6">
        <v>5.2213344070784302E-135</v>
      </c>
      <c r="E656" s="3" t="s">
        <v>256</v>
      </c>
      <c r="F656" s="3" t="s">
        <v>257</v>
      </c>
      <c r="G656" s="3">
        <v>53380</v>
      </c>
      <c r="H656" s="7" t="str">
        <f>HYPERLINK("http://www.ensembl.org/Mus_musculus/Gene/Summary?db=core;g=ENSMUSG00000031429","ENSMUSG00000031429")</f>
        <v>ENSMUSG00000031429</v>
      </c>
      <c r="I656" s="7" t="str">
        <f>HYPERLINK("http://www.informatics.jax.org/marker/MGI:1858898","MGI:1858898")</f>
        <v>MGI:1858898</v>
      </c>
      <c r="J656" s="4" t="s">
        <v>12</v>
      </c>
    </row>
    <row r="657" spans="1:10" x14ac:dyDescent="0.25">
      <c r="A657" s="2">
        <v>2286.3938917171799</v>
      </c>
      <c r="B657" s="3">
        <v>1.7891495121973799</v>
      </c>
      <c r="C657" s="5">
        <v>5.6449408076673505E-109</v>
      </c>
      <c r="D657" s="6">
        <v>5.2508600343018902E-107</v>
      </c>
      <c r="E657" s="3" t="s">
        <v>436</v>
      </c>
      <c r="F657" s="3" t="s">
        <v>437</v>
      </c>
      <c r="G657" s="3">
        <v>72075</v>
      </c>
      <c r="H657" s="7" t="str">
        <f>HYPERLINK("http://www.ensembl.org/Mus_musculus/Gene/Summary?db=core;g=ENSMUSG00000049401","ENSMUSG00000049401")</f>
        <v>ENSMUSG00000049401</v>
      </c>
      <c r="I657" s="7" t="str">
        <f>HYPERLINK("http://www.informatics.jax.org/marker/MGI:1919325","MGI:1919325")</f>
        <v>MGI:1919325</v>
      </c>
      <c r="J657" s="4" t="s">
        <v>12</v>
      </c>
    </row>
    <row r="658" spans="1:10" x14ac:dyDescent="0.25">
      <c r="A658" s="2">
        <v>21.317228021366599</v>
      </c>
      <c r="B658" s="3">
        <v>1.78891481850351</v>
      </c>
      <c r="C658" s="5">
        <v>2.25704392297148E-11</v>
      </c>
      <c r="D658" s="6">
        <v>1.37883848082397E-10</v>
      </c>
      <c r="E658" s="3" t="s">
        <v>6473</v>
      </c>
      <c r="F658" s="3" t="s">
        <v>6474</v>
      </c>
      <c r="G658" s="3">
        <v>16797</v>
      </c>
      <c r="H658" s="7" t="str">
        <f>HYPERLINK("http://www.ensembl.org/Mus_musculus/Gene/Summary?db=core;g=ENSMUSG00000030742","ENSMUSG00000030742")</f>
        <v>ENSMUSG00000030742</v>
      </c>
      <c r="I658" s="7" t="str">
        <f>HYPERLINK("http://www.informatics.jax.org/marker/MGI:1342293","MGI:1342293")</f>
        <v>MGI:1342293</v>
      </c>
      <c r="J658" s="4" t="s">
        <v>12</v>
      </c>
    </row>
    <row r="659" spans="1:10" x14ac:dyDescent="0.25">
      <c r="A659" s="2">
        <v>1230.59547229277</v>
      </c>
      <c r="B659" s="3">
        <v>1.78707720971179</v>
      </c>
      <c r="C659" s="5">
        <v>2.2276601053281E-127</v>
      </c>
      <c r="D659" s="6">
        <v>2.9482857232933E-125</v>
      </c>
      <c r="E659" s="3" t="s">
        <v>308</v>
      </c>
      <c r="F659" s="3" t="s">
        <v>309</v>
      </c>
      <c r="G659" s="3">
        <v>319520</v>
      </c>
      <c r="H659" s="7" t="str">
        <f>HYPERLINK("http://www.ensembl.org/Mus_musculus/Gene/Summary?db=core;g=ENSMUSG00000031530","ENSMUSG00000031530")</f>
        <v>ENSMUSG00000031530</v>
      </c>
      <c r="I659" s="7" t="str">
        <f>HYPERLINK("http://www.informatics.jax.org/marker/MGI:2442191","MGI:2442191")</f>
        <v>MGI:2442191</v>
      </c>
      <c r="J659" s="4" t="s">
        <v>12</v>
      </c>
    </row>
    <row r="660" spans="1:10" x14ac:dyDescent="0.25">
      <c r="A660" s="2">
        <v>47.574035920841297</v>
      </c>
      <c r="B660" s="3">
        <v>1.7851445768377401</v>
      </c>
      <c r="C660" s="5">
        <v>3.3663530748455499E-15</v>
      </c>
      <c r="D660" s="6">
        <v>2.6135623085021401E-14</v>
      </c>
      <c r="E660" s="3" t="s">
        <v>5097</v>
      </c>
      <c r="F660" s="3" t="s">
        <v>5098</v>
      </c>
      <c r="G660" s="3">
        <v>58218</v>
      </c>
      <c r="H660" s="7" t="str">
        <f>HYPERLINK("http://www.ensembl.org/Mus_musculus/Gene/Summary?db=core;g=ENSMUSG00000041754","ENSMUSG00000041754")</f>
        <v>ENSMUSG00000041754</v>
      </c>
      <c r="I660" s="7" t="str">
        <f>HYPERLINK("http://www.informatics.jax.org/marker/MGI:1930003","MGI:1930003")</f>
        <v>MGI:1930003</v>
      </c>
      <c r="J660" s="4" t="s">
        <v>12</v>
      </c>
    </row>
    <row r="661" spans="1:10" x14ac:dyDescent="0.25">
      <c r="A661" s="2">
        <v>120.85041551232401</v>
      </c>
      <c r="B661" s="3">
        <v>1.78467368219636</v>
      </c>
      <c r="C661" s="5">
        <v>1.8422766999690899E-36</v>
      </c>
      <c r="D661" s="6">
        <v>3.3638607892028103E-35</v>
      </c>
      <c r="E661" s="3" t="s">
        <v>2177</v>
      </c>
      <c r="F661" s="3" t="s">
        <v>2178</v>
      </c>
      <c r="G661" s="3">
        <v>217305</v>
      </c>
      <c r="H661" s="7" t="str">
        <f>HYPERLINK("http://www.ensembl.org/Mus_musculus/Gene/Summary?db=core;g=ENSMUSG00000034641","ENSMUSG00000034641")</f>
        <v>ENSMUSG00000034641</v>
      </c>
      <c r="I661" s="7" t="str">
        <f>HYPERLINK("http://www.informatics.jax.org/marker/MGI:2442358","MGI:2442358")</f>
        <v>MGI:2442358</v>
      </c>
      <c r="J661" s="4" t="s">
        <v>12</v>
      </c>
    </row>
    <row r="662" spans="1:10" x14ac:dyDescent="0.25">
      <c r="A662" s="2">
        <v>4.8662412563239901</v>
      </c>
      <c r="B662" s="3">
        <v>1.78428714036475</v>
      </c>
      <c r="C662" s="5">
        <v>3.3690767080961702E-5</v>
      </c>
      <c r="D662" s="4">
        <v>1.19579180496142E-4</v>
      </c>
      <c r="E662" s="3" t="s">
        <v>11125</v>
      </c>
      <c r="F662" s="3" t="s">
        <v>11126</v>
      </c>
      <c r="G662" s="3" t="s">
        <v>83</v>
      </c>
      <c r="H662" s="7" t="str">
        <f>HYPERLINK("http://www.ensembl.org/Mus_musculus/Gene/Summary?db=core;g=ENSMUSG00000097472","ENSMUSG00000097472")</f>
        <v>ENSMUSG00000097472</v>
      </c>
      <c r="I662" s="7" t="str">
        <f>HYPERLINK("http://www.informatics.jax.org/marker/MGI:5477080","MGI:5477080")</f>
        <v>MGI:5477080</v>
      </c>
      <c r="J662" s="4" t="s">
        <v>932</v>
      </c>
    </row>
    <row r="663" spans="1:10" x14ac:dyDescent="0.25">
      <c r="A663" s="2">
        <v>1566.0770318293501</v>
      </c>
      <c r="B663" s="3">
        <v>1.77990066187056</v>
      </c>
      <c r="C663" s="5">
        <v>1.51065093556333E-104</v>
      </c>
      <c r="D663" s="6">
        <v>1.3123364074585399E-102</v>
      </c>
      <c r="E663" s="3" t="s">
        <v>466</v>
      </c>
      <c r="F663" s="3" t="s">
        <v>467</v>
      </c>
      <c r="G663" s="3">
        <v>208846</v>
      </c>
      <c r="H663" s="7" t="str">
        <f>HYPERLINK("http://www.ensembl.org/Mus_musculus/Gene/Summary?db=core;g=ENSMUSG00000034574","ENSMUSG00000034574")</f>
        <v>ENSMUSG00000034574</v>
      </c>
      <c r="I663" s="7" t="str">
        <f>HYPERLINK("http://www.informatics.jax.org/marker/MGI:1914596","MGI:1914596")</f>
        <v>MGI:1914596</v>
      </c>
      <c r="J663" s="4" t="s">
        <v>12</v>
      </c>
    </row>
    <row r="664" spans="1:10" x14ac:dyDescent="0.25">
      <c r="A664" s="2">
        <v>4.64978406234696</v>
      </c>
      <c r="B664" s="3">
        <v>1.7793493789067201</v>
      </c>
      <c r="C664" s="5">
        <v>6.4287966680213297E-5</v>
      </c>
      <c r="D664" s="4">
        <v>2.2144256819804501E-4</v>
      </c>
      <c r="E664" s="3" t="s">
        <v>11461</v>
      </c>
      <c r="F664" s="3" t="s">
        <v>11462</v>
      </c>
      <c r="G664" s="3" t="s">
        <v>83</v>
      </c>
      <c r="H664" s="7" t="str">
        <f>HYPERLINK("http://www.ensembl.org/Mus_musculus/Gene/Summary?db=core;g=ENSMUSG00000115961","ENSMUSG00000115961")</f>
        <v>ENSMUSG00000115961</v>
      </c>
      <c r="I664" s="7" t="str">
        <f>HYPERLINK("http://www.informatics.jax.org/marker/MGI:5624294","MGI:5624294")</f>
        <v>MGI:5624294</v>
      </c>
      <c r="J664" s="4" t="s">
        <v>939</v>
      </c>
    </row>
    <row r="665" spans="1:10" x14ac:dyDescent="0.25">
      <c r="A665" s="2">
        <v>47.981920625215103</v>
      </c>
      <c r="B665" s="3">
        <v>1.77811829726415</v>
      </c>
      <c r="C665" s="5">
        <v>7.6309512942867801E-20</v>
      </c>
      <c r="D665" s="6">
        <v>7.5166013747919801E-19</v>
      </c>
      <c r="E665" s="3" t="s">
        <v>4022</v>
      </c>
      <c r="F665" s="3" t="s">
        <v>4023</v>
      </c>
      <c r="G665" s="3" t="s">
        <v>83</v>
      </c>
      <c r="H665" s="7" t="str">
        <f>HYPERLINK("http://www.ensembl.org/Mus_musculus/Gene/Summary?db=core;g=ENSMUSG00000117628","ENSMUSG00000117628")</f>
        <v>ENSMUSG00000117628</v>
      </c>
      <c r="I665" s="7" t="str">
        <f>HYPERLINK("http://www.informatics.jax.org/marker/MGI:6275301","MGI:6275301")</f>
        <v>MGI:6275301</v>
      </c>
      <c r="J665" s="4" t="s">
        <v>4024</v>
      </c>
    </row>
    <row r="666" spans="1:10" x14ac:dyDescent="0.25">
      <c r="A666" s="2">
        <v>70.303250040514399</v>
      </c>
      <c r="B666" s="3">
        <v>1.7777933489649</v>
      </c>
      <c r="C666" s="5">
        <v>2.7340032787697499E-16</v>
      </c>
      <c r="D666" s="6">
        <v>2.23711803557425E-15</v>
      </c>
      <c r="E666" s="3" t="s">
        <v>4837</v>
      </c>
      <c r="F666" s="3" t="s">
        <v>4838</v>
      </c>
      <c r="G666" s="3">
        <v>58206</v>
      </c>
      <c r="H666" s="7" t="str">
        <f>HYPERLINK("http://www.ensembl.org/Mus_musculus/Gene/Summary?db=core;g=ENSMUSG00000006310","ENSMUSG00000006310")</f>
        <v>ENSMUSG00000006310</v>
      </c>
      <c r="I666" s="7" t="str">
        <f>HYPERLINK("http://www.informatics.jax.org/marker/MGI:1891838","MGI:1891838")</f>
        <v>MGI:1891838</v>
      </c>
      <c r="J666" s="4" t="s">
        <v>12</v>
      </c>
    </row>
    <row r="667" spans="1:10" x14ac:dyDescent="0.25">
      <c r="A667" s="2">
        <v>1105.90002929209</v>
      </c>
      <c r="B667" s="3">
        <v>1.77688821999775</v>
      </c>
      <c r="C667" s="5">
        <v>1.4460274187829799E-48</v>
      </c>
      <c r="D667" s="6">
        <v>3.7769087017748799E-47</v>
      </c>
      <c r="E667" s="3" t="s">
        <v>1526</v>
      </c>
      <c r="F667" s="3" t="s">
        <v>1527</v>
      </c>
      <c r="G667" s="3">
        <v>100213</v>
      </c>
      <c r="H667" s="7" t="str">
        <f>HYPERLINK("http://www.ensembl.org/Mus_musculus/Gene/Summary?db=core;g=ENSMUSG00000035969","ENSMUSG00000035969")</f>
        <v>ENSMUSG00000035969</v>
      </c>
      <c r="I667" s="7" t="str">
        <f>HYPERLINK("http://www.informatics.jax.org/marker/MGI:2140371","MGI:2140371")</f>
        <v>MGI:2140371</v>
      </c>
      <c r="J667" s="4" t="s">
        <v>12</v>
      </c>
    </row>
    <row r="668" spans="1:10" x14ac:dyDescent="0.25">
      <c r="A668" s="2">
        <v>737.51700056383504</v>
      </c>
      <c r="B668" s="3">
        <v>1.77454008023716</v>
      </c>
      <c r="C668" s="5">
        <v>2.1085727136389001E-36</v>
      </c>
      <c r="D668" s="6">
        <v>3.8429809531385399E-35</v>
      </c>
      <c r="E668" s="3" t="s">
        <v>2181</v>
      </c>
      <c r="F668" s="3" t="s">
        <v>2182</v>
      </c>
      <c r="G668" s="3">
        <v>20708</v>
      </c>
      <c r="H668" s="7" t="str">
        <f>HYPERLINK("http://www.ensembl.org/Mus_musculus/Gene/Summary?db=core;g=ENSMUSG00000042842","ENSMUSG00000042842")</f>
        <v>ENSMUSG00000042842</v>
      </c>
      <c r="I668" s="7" t="str">
        <f>HYPERLINK("http://www.informatics.jax.org/marker/MGI:894688","MGI:894688")</f>
        <v>MGI:894688</v>
      </c>
      <c r="J668" s="4" t="s">
        <v>12</v>
      </c>
    </row>
    <row r="669" spans="1:10" x14ac:dyDescent="0.25">
      <c r="A669" s="2">
        <v>221.18993898280101</v>
      </c>
      <c r="B669" s="3">
        <v>1.7732844384964399</v>
      </c>
      <c r="C669" s="5">
        <v>2.39968284050208E-63</v>
      </c>
      <c r="D669" s="6">
        <v>9.5406745190929496E-62</v>
      </c>
      <c r="E669" s="3" t="s">
        <v>1007</v>
      </c>
      <c r="F669" s="3" t="s">
        <v>1008</v>
      </c>
      <c r="G669" s="3">
        <v>21426</v>
      </c>
      <c r="H669" s="7" t="str">
        <f>HYPERLINK("http://www.ensembl.org/Mus_musculus/Gene/Summary?db=core;g=ENSMUSG00000029553","ENSMUSG00000029553")</f>
        <v>ENSMUSG00000029553</v>
      </c>
      <c r="I669" s="7" t="str">
        <f>HYPERLINK("http://www.informatics.jax.org/marker/MGI:1333760","MGI:1333760")</f>
        <v>MGI:1333760</v>
      </c>
      <c r="J669" s="4" t="s">
        <v>12</v>
      </c>
    </row>
    <row r="670" spans="1:10" x14ac:dyDescent="0.25">
      <c r="A670" s="2">
        <v>231.76511913303901</v>
      </c>
      <c r="B670" s="3">
        <v>1.7725573343029799</v>
      </c>
      <c r="C670" s="5">
        <v>3.5021483379946202E-53</v>
      </c>
      <c r="D670" s="6">
        <v>1.0141316479479299E-51</v>
      </c>
      <c r="E670" s="3" t="s">
        <v>1378</v>
      </c>
      <c r="F670" s="3" t="s">
        <v>1379</v>
      </c>
      <c r="G670" s="3" t="s">
        <v>83</v>
      </c>
      <c r="H670" s="7" t="str">
        <f>HYPERLINK("http://www.ensembl.org/Mus_musculus/Gene/Summary?db=core;g=ENSMUSG00000110388","ENSMUSG00000110388")</f>
        <v>ENSMUSG00000110388</v>
      </c>
      <c r="I670" s="7" t="str">
        <f>HYPERLINK("http://www.informatics.jax.org/marker/MGI:5589488","MGI:5589488")</f>
        <v>MGI:5589488</v>
      </c>
      <c r="J670" s="4" t="s">
        <v>932</v>
      </c>
    </row>
    <row r="671" spans="1:10" x14ac:dyDescent="0.25">
      <c r="A671" s="2">
        <v>3745.24659511755</v>
      </c>
      <c r="B671" s="3">
        <v>1.7705645359016899</v>
      </c>
      <c r="C671" s="5">
        <v>1.08180372681442E-126</v>
      </c>
      <c r="D671" s="6">
        <v>1.4127926816410799E-124</v>
      </c>
      <c r="E671" s="3" t="s">
        <v>312</v>
      </c>
      <c r="F671" s="3" t="s">
        <v>313</v>
      </c>
      <c r="G671" s="3">
        <v>15163</v>
      </c>
      <c r="H671" s="7" t="str">
        <f>HYPERLINK("http://www.ensembl.org/Mus_musculus/Gene/Summary?db=core;g=ENSMUSG00000022831","ENSMUSG00000022831")</f>
        <v>ENSMUSG00000022831</v>
      </c>
      <c r="I671" s="7" t="str">
        <f>HYPERLINK("http://www.informatics.jax.org/marker/MGI:104568","MGI:104568")</f>
        <v>MGI:104568</v>
      </c>
      <c r="J671" s="4" t="s">
        <v>12</v>
      </c>
    </row>
    <row r="672" spans="1:10" x14ac:dyDescent="0.25">
      <c r="A672" s="2">
        <v>14301.349142335401</v>
      </c>
      <c r="B672" s="3">
        <v>1.7666990420144899</v>
      </c>
      <c r="C672" s="5">
        <v>6.4044545945418299E-118</v>
      </c>
      <c r="D672" s="6">
        <v>7.0952721687845405E-116</v>
      </c>
      <c r="E672" s="3" t="s">
        <v>368</v>
      </c>
      <c r="F672" s="3" t="s">
        <v>369</v>
      </c>
      <c r="G672" s="3">
        <v>29876</v>
      </c>
      <c r="H672" s="7" t="str">
        <f>HYPERLINK("http://www.ensembl.org/Mus_musculus/Gene/Summary?db=core;g=ENSMUSG00000037242","ENSMUSG00000037242")</f>
        <v>ENSMUSG00000037242</v>
      </c>
      <c r="I672" s="7" t="str">
        <f>HYPERLINK("http://www.informatics.jax.org/marker/MGI:1352754","MGI:1352754")</f>
        <v>MGI:1352754</v>
      </c>
      <c r="J672" s="4" t="s">
        <v>12</v>
      </c>
    </row>
    <row r="673" spans="1:10" x14ac:dyDescent="0.25">
      <c r="A673" s="2">
        <v>585.09228171868904</v>
      </c>
      <c r="B673" s="3">
        <v>1.76525987236995</v>
      </c>
      <c r="C673" s="5">
        <v>5.5979139138896596E-40</v>
      </c>
      <c r="D673" s="6">
        <v>1.1380501276485E-38</v>
      </c>
      <c r="E673" s="3" t="s">
        <v>1957</v>
      </c>
      <c r="F673" s="3" t="s">
        <v>1958</v>
      </c>
      <c r="G673" s="3" t="s">
        <v>83</v>
      </c>
      <c r="H673" s="7" t="str">
        <f>HYPERLINK("http://www.ensembl.org/Mus_musculus/Gene/Summary?db=core;g=ENSMUSG00000021871","ENSMUSG00000021871")</f>
        <v>ENSMUSG00000021871</v>
      </c>
      <c r="I673" s="7" t="str">
        <f>HYPERLINK("http://www.informatics.jax.org/marker/MGI:6121535","MGI:6121535")</f>
        <v>MGI:6121535</v>
      </c>
      <c r="J673" s="4" t="s">
        <v>12</v>
      </c>
    </row>
    <row r="674" spans="1:10" x14ac:dyDescent="0.25">
      <c r="A674" s="2">
        <v>266.90121343598298</v>
      </c>
      <c r="B674" s="3">
        <v>1.76199307669531</v>
      </c>
      <c r="C674" s="5">
        <v>1.88979780962618E-51</v>
      </c>
      <c r="D674" s="6">
        <v>5.2562500431351499E-50</v>
      </c>
      <c r="E674" s="3" t="s">
        <v>1434</v>
      </c>
      <c r="F674" s="3" t="s">
        <v>1435</v>
      </c>
      <c r="G674" s="3">
        <v>69028</v>
      </c>
      <c r="H674" s="7" t="str">
        <f>HYPERLINK("http://www.ensembl.org/Mus_musculus/Gene/Summary?db=core;g=ENSMUSG00000026088","ENSMUSG00000026088")</f>
        <v>ENSMUSG00000026088</v>
      </c>
      <c r="I674" s="7" t="str">
        <f>HYPERLINK("http://www.informatics.jax.org/marker/MGI:1916278","MGI:1916278")</f>
        <v>MGI:1916278</v>
      </c>
      <c r="J674" s="4" t="s">
        <v>12</v>
      </c>
    </row>
    <row r="675" spans="1:10" x14ac:dyDescent="0.25">
      <c r="A675" s="2">
        <v>1.6325510036172299</v>
      </c>
      <c r="B675" s="3">
        <v>1.7613678079465001</v>
      </c>
      <c r="C675" s="3">
        <v>1.4505822956018799E-4</v>
      </c>
      <c r="D675" s="4">
        <v>4.7923409062270198E-4</v>
      </c>
      <c r="E675" s="3" t="s">
        <v>11949</v>
      </c>
      <c r="F675" s="3" t="s">
        <v>11950</v>
      </c>
      <c r="G675" s="3" t="s">
        <v>83</v>
      </c>
      <c r="H675" s="7" t="str">
        <f>HYPERLINK("http://www.ensembl.org/Mus_musculus/Gene/Summary?db=core;g=ENSMUSG00000112662","ENSMUSG00000112662")</f>
        <v>ENSMUSG00000112662</v>
      </c>
      <c r="I675" s="7" t="str">
        <f>HYPERLINK("http://www.informatics.jax.org/marker/MGI:6097178","MGI:6097178")</f>
        <v>MGI:6097178</v>
      </c>
      <c r="J675" s="4" t="s">
        <v>939</v>
      </c>
    </row>
    <row r="676" spans="1:10" x14ac:dyDescent="0.25">
      <c r="A676" s="2">
        <v>967.28857448540805</v>
      </c>
      <c r="B676" s="3">
        <v>1.75926666957018</v>
      </c>
      <c r="C676" s="5">
        <v>2.9428072947483699E-175</v>
      </c>
      <c r="D676" s="6">
        <v>9.0675249769434099E-173</v>
      </c>
      <c r="E676" s="3" t="s">
        <v>138</v>
      </c>
      <c r="F676" s="3" t="s">
        <v>139</v>
      </c>
      <c r="G676" s="3">
        <v>23872</v>
      </c>
      <c r="H676" s="7" t="str">
        <f>HYPERLINK("http://www.ensembl.org/Mus_musculus/Gene/Summary?db=core;g=ENSMUSG00000022895","ENSMUSG00000022895")</f>
        <v>ENSMUSG00000022895</v>
      </c>
      <c r="I676" s="7" t="str">
        <f>HYPERLINK("http://www.informatics.jax.org/marker/MGI:95456","MGI:95456")</f>
        <v>MGI:95456</v>
      </c>
      <c r="J676" s="4" t="s">
        <v>12</v>
      </c>
    </row>
    <row r="677" spans="1:10" x14ac:dyDescent="0.25">
      <c r="A677" s="2">
        <v>5.9294400666975502</v>
      </c>
      <c r="B677" s="3">
        <v>1.7573752095162201</v>
      </c>
      <c r="C677" s="5">
        <v>1.2047051332686399E-5</v>
      </c>
      <c r="D677" s="6">
        <v>4.48072146889054E-5</v>
      </c>
      <c r="E677" s="3" t="s">
        <v>10617</v>
      </c>
      <c r="F677" s="3" t="s">
        <v>8624</v>
      </c>
      <c r="G677" s="3" t="s">
        <v>83</v>
      </c>
      <c r="H677" s="7" t="str">
        <f>HYPERLINK("http://www.ensembl.org/Mus_musculus/Gene/Summary?db=core;g=ENSMUSG00000115115","ENSMUSG00000115115")</f>
        <v>ENSMUSG00000115115</v>
      </c>
      <c r="I677" s="3" t="s">
        <v>83</v>
      </c>
      <c r="J677" s="4" t="s">
        <v>12</v>
      </c>
    </row>
    <row r="678" spans="1:10" x14ac:dyDescent="0.25">
      <c r="A678" s="2">
        <v>1293.2851925928301</v>
      </c>
      <c r="B678" s="3">
        <v>1.7562706279924001</v>
      </c>
      <c r="C678" s="5">
        <v>4.67438360425288E-154</v>
      </c>
      <c r="D678" s="6">
        <v>1.0474868713166701E-151</v>
      </c>
      <c r="E678" s="3" t="s">
        <v>186</v>
      </c>
      <c r="F678" s="3" t="s">
        <v>187</v>
      </c>
      <c r="G678" s="3">
        <v>56048</v>
      </c>
      <c r="H678" s="7" t="str">
        <f>HYPERLINK("http://www.ensembl.org/Mus_musculus/Gene/Summary?db=core;g=ENSMUSG00000057554","ENSMUSG00000057554")</f>
        <v>ENSMUSG00000057554</v>
      </c>
      <c r="I678" s="7" t="str">
        <f>HYPERLINK("http://www.informatics.jax.org/marker/MGI:1928481","MGI:1928481")</f>
        <v>MGI:1928481</v>
      </c>
      <c r="J678" s="4" t="s">
        <v>12</v>
      </c>
    </row>
    <row r="679" spans="1:10" x14ac:dyDescent="0.25">
      <c r="A679" s="2">
        <v>707.25667533627995</v>
      </c>
      <c r="B679" s="3">
        <v>1.75611086117646</v>
      </c>
      <c r="C679" s="5">
        <v>1.00196435937291E-80</v>
      </c>
      <c r="D679" s="6">
        <v>5.8631267557370101E-79</v>
      </c>
      <c r="E679" s="3" t="s">
        <v>686</v>
      </c>
      <c r="F679" s="3" t="s">
        <v>687</v>
      </c>
      <c r="G679" s="3">
        <v>71607</v>
      </c>
      <c r="H679" s="7" t="str">
        <f>HYPERLINK("http://www.ensembl.org/Mus_musculus/Gene/Summary?db=core;g=ENSMUSG00000031662","ENSMUSG00000031662")</f>
        <v>ENSMUSG00000031662</v>
      </c>
      <c r="I679" s="7" t="str">
        <f>HYPERLINK("http://www.informatics.jax.org/marker/MGI:1918857","MGI:1918857")</f>
        <v>MGI:1918857</v>
      </c>
      <c r="J679" s="4" t="s">
        <v>12</v>
      </c>
    </row>
    <row r="680" spans="1:10" x14ac:dyDescent="0.25">
      <c r="A680" s="2">
        <v>6.0538891760812499</v>
      </c>
      <c r="B680" s="3">
        <v>1.7556292676569301</v>
      </c>
      <c r="C680" s="5">
        <v>3.8822056526638502E-5</v>
      </c>
      <c r="D680" s="4">
        <v>1.36877190840917E-4</v>
      </c>
      <c r="E680" s="3" t="s">
        <v>11197</v>
      </c>
      <c r="F680" s="3" t="s">
        <v>11198</v>
      </c>
      <c r="G680" s="3" t="s">
        <v>83</v>
      </c>
      <c r="H680" s="7" t="str">
        <f>HYPERLINK("http://www.ensembl.org/Mus_musculus/Gene/Summary?db=core;g=ENSMUSG00000107546","ENSMUSG00000107546")</f>
        <v>ENSMUSG00000107546</v>
      </c>
      <c r="I680" s="7" t="str">
        <f>HYPERLINK("http://www.informatics.jax.org/marker/MGI:5295667","MGI:5295667")</f>
        <v>MGI:5295667</v>
      </c>
      <c r="J680" s="4" t="s">
        <v>932</v>
      </c>
    </row>
    <row r="681" spans="1:10" x14ac:dyDescent="0.25">
      <c r="A681" s="2">
        <v>1603.3294845072201</v>
      </c>
      <c r="B681" s="3">
        <v>1.7535711778877301</v>
      </c>
      <c r="C681" s="5">
        <v>5.6113088223394298E-130</v>
      </c>
      <c r="D681" s="6">
        <v>8.0770080274842104E-128</v>
      </c>
      <c r="E681" s="3" t="s">
        <v>284</v>
      </c>
      <c r="F681" s="3" t="s">
        <v>285</v>
      </c>
      <c r="G681" s="3">
        <v>214133</v>
      </c>
      <c r="H681" s="7" t="str">
        <f>HYPERLINK("http://www.ensembl.org/Mus_musculus/Gene/Summary?db=core;g=ENSMUSG00000040943","ENSMUSG00000040943")</f>
        <v>ENSMUSG00000040943</v>
      </c>
      <c r="I681" s="7" t="str">
        <f>HYPERLINK("http://www.informatics.jax.org/marker/MGI:2443298","MGI:2443298")</f>
        <v>MGI:2443298</v>
      </c>
      <c r="J681" s="4" t="s">
        <v>12</v>
      </c>
    </row>
    <row r="682" spans="1:10" x14ac:dyDescent="0.25">
      <c r="A682" s="2">
        <v>1.4416603084980599</v>
      </c>
      <c r="B682" s="3">
        <v>1.7516253066106899</v>
      </c>
      <c r="C682" s="3">
        <v>1.5730952137466001E-4</v>
      </c>
      <c r="D682" s="4">
        <v>5.1736887283327195E-4</v>
      </c>
      <c r="E682" s="3" t="s">
        <v>12003</v>
      </c>
      <c r="F682" s="3" t="s">
        <v>12004</v>
      </c>
      <c r="G682" s="3">
        <v>232313</v>
      </c>
      <c r="H682" s="7" t="str">
        <f>HYPERLINK("http://www.ensembl.org/Mus_musculus/Gene/Summary?db=core;g=ENSMUSG00000030074","ENSMUSG00000030074")</f>
        <v>ENSMUSG00000030074</v>
      </c>
      <c r="I682" s="7" t="str">
        <f>HYPERLINK("http://www.informatics.jax.org/marker/MGI:2682940","MGI:2682940")</f>
        <v>MGI:2682940</v>
      </c>
      <c r="J682" s="4" t="s">
        <v>12</v>
      </c>
    </row>
    <row r="683" spans="1:10" x14ac:dyDescent="0.25">
      <c r="A683" s="2">
        <v>145.29338452414299</v>
      </c>
      <c r="B683" s="3">
        <v>1.7505537435677101</v>
      </c>
      <c r="C683" s="5">
        <v>1.4711284175927E-22</v>
      </c>
      <c r="D683" s="6">
        <v>1.63716999971377E-21</v>
      </c>
      <c r="E683" s="3" t="s">
        <v>3562</v>
      </c>
      <c r="F683" s="3" t="s">
        <v>3563</v>
      </c>
      <c r="G683" s="3">
        <v>213233</v>
      </c>
      <c r="H683" s="7" t="str">
        <f>HYPERLINK("http://www.ensembl.org/Mus_musculus/Gene/Summary?db=core;g=ENSMUSG00000038213","ENSMUSG00000038213")</f>
        <v>ENSMUSG00000038213</v>
      </c>
      <c r="I683" s="7" t="str">
        <f>HYPERLINK("http://www.informatics.jax.org/marker/MGI:2384853","MGI:2384853")</f>
        <v>MGI:2384853</v>
      </c>
      <c r="J683" s="4" t="s">
        <v>12</v>
      </c>
    </row>
    <row r="684" spans="1:10" x14ac:dyDescent="0.25">
      <c r="A684" s="2">
        <v>1.33572289015027</v>
      </c>
      <c r="B684" s="3">
        <v>1.7500025316735299</v>
      </c>
      <c r="C684" s="3">
        <v>1.0460208596797999E-4</v>
      </c>
      <c r="D684" s="4">
        <v>3.5218595446279198E-4</v>
      </c>
      <c r="E684" s="3" t="s">
        <v>11725</v>
      </c>
      <c r="F684" s="3" t="s">
        <v>11726</v>
      </c>
      <c r="G684" s="3">
        <v>16924</v>
      </c>
      <c r="H684" s="7" t="str">
        <f>HYPERLINK("http://www.ensembl.org/Mus_musculus/Gene/Summary?db=core;g=ENSMUSG00000029228","ENSMUSG00000029228")</f>
        <v>ENSMUSG00000029228</v>
      </c>
      <c r="I684" s="7" t="str">
        <f>HYPERLINK("http://www.informatics.jax.org/marker/MGI:1278335","MGI:1278335")</f>
        <v>MGI:1278335</v>
      </c>
      <c r="J684" s="4" t="s">
        <v>12</v>
      </c>
    </row>
    <row r="685" spans="1:10" x14ac:dyDescent="0.25">
      <c r="A685" s="2">
        <v>45.879844639114701</v>
      </c>
      <c r="B685" s="3">
        <v>1.7450565325418399</v>
      </c>
      <c r="C685" s="5">
        <v>3.3664037334990099E-6</v>
      </c>
      <c r="D685" s="6">
        <v>1.32110411193235E-5</v>
      </c>
      <c r="E685" s="3" t="s">
        <v>10066</v>
      </c>
      <c r="F685" s="3" t="s">
        <v>10067</v>
      </c>
      <c r="G685" s="3" t="s">
        <v>83</v>
      </c>
      <c r="H685" s="7" t="str">
        <f>HYPERLINK("http://www.ensembl.org/Mus_musculus/Gene/Summary?db=core;g=ENSMUSG00000093765","ENSMUSG00000093765")</f>
        <v>ENSMUSG00000093765</v>
      </c>
      <c r="I685" s="7" t="str">
        <f>HYPERLINK("http://www.informatics.jax.org/marker/MGI:5313105","MGI:5313105")</f>
        <v>MGI:5313105</v>
      </c>
      <c r="J685" s="4" t="s">
        <v>932</v>
      </c>
    </row>
    <row r="686" spans="1:10" x14ac:dyDescent="0.25">
      <c r="A686" s="2">
        <v>216.83298309783601</v>
      </c>
      <c r="B686" s="3">
        <v>1.74377974782288</v>
      </c>
      <c r="C686" s="5">
        <v>1.54330126166135E-24</v>
      </c>
      <c r="D686" s="6">
        <v>1.8523372416288401E-23</v>
      </c>
      <c r="E686" s="3" t="s">
        <v>3306</v>
      </c>
      <c r="F686" s="3" t="s">
        <v>3307</v>
      </c>
      <c r="G686" s="3">
        <v>56312</v>
      </c>
      <c r="H686" s="7" t="str">
        <f>HYPERLINK("http://www.ensembl.org/Mus_musculus/Gene/Summary?db=core;g=ENSMUSG00000030717","ENSMUSG00000030717")</f>
        <v>ENSMUSG00000030717</v>
      </c>
      <c r="I686" s="7" t="str">
        <f>HYPERLINK("http://www.informatics.jax.org/marker/MGI:1891834","MGI:1891834")</f>
        <v>MGI:1891834</v>
      </c>
      <c r="J686" s="4" t="s">
        <v>12</v>
      </c>
    </row>
    <row r="687" spans="1:10" x14ac:dyDescent="0.25">
      <c r="A687" s="2">
        <v>5.7812393695000504</v>
      </c>
      <c r="B687" s="3">
        <v>1.7409981615786301</v>
      </c>
      <c r="C687" s="5">
        <v>3.2142981645445701E-5</v>
      </c>
      <c r="D687" s="4">
        <v>1.1435316580339E-4</v>
      </c>
      <c r="E687" s="3" t="s">
        <v>11098</v>
      </c>
      <c r="F687" s="3" t="s">
        <v>11099</v>
      </c>
      <c r="G687" s="3" t="s">
        <v>83</v>
      </c>
      <c r="H687" s="7" t="str">
        <f>HYPERLINK("http://www.ensembl.org/Mus_musculus/Gene/Summary?db=core;g=ENSMUSG00000088856","ENSMUSG00000088856")</f>
        <v>ENSMUSG00000088856</v>
      </c>
      <c r="I687" s="7" t="str">
        <f>HYPERLINK("http://www.informatics.jax.org/marker/MGI:5454504","MGI:5454504")</f>
        <v>MGI:5454504</v>
      </c>
      <c r="J687" s="4" t="s">
        <v>11100</v>
      </c>
    </row>
    <row r="688" spans="1:10" x14ac:dyDescent="0.25">
      <c r="A688" s="2">
        <v>842.42059879840701</v>
      </c>
      <c r="B688" s="3">
        <v>1.7392697210346799</v>
      </c>
      <c r="C688" s="5">
        <v>3.89494301416186E-77</v>
      </c>
      <c r="D688" s="6">
        <v>2.1159304749110701E-75</v>
      </c>
      <c r="E688" s="3" t="s">
        <v>738</v>
      </c>
      <c r="F688" s="3" t="s">
        <v>739</v>
      </c>
      <c r="G688" s="3">
        <v>54721</v>
      </c>
      <c r="H688" s="7" t="str">
        <f>HYPERLINK("http://www.ensembl.org/Mus_musculus/Gene/Summary?db=core;g=ENSMUSG00000032175","ENSMUSG00000032175")</f>
        <v>ENSMUSG00000032175</v>
      </c>
      <c r="I688" s="7" t="str">
        <f>HYPERLINK("http://www.informatics.jax.org/marker/MGI:1929470","MGI:1929470")</f>
        <v>MGI:1929470</v>
      </c>
      <c r="J688" s="4" t="s">
        <v>12</v>
      </c>
    </row>
    <row r="689" spans="1:10" x14ac:dyDescent="0.25">
      <c r="A689" s="2">
        <v>1.58449776191728</v>
      </c>
      <c r="B689" s="3">
        <v>1.73635693226985</v>
      </c>
      <c r="C689" s="3">
        <v>1.2397821739326001E-4</v>
      </c>
      <c r="D689" s="4">
        <v>4.1319088169597401E-4</v>
      </c>
      <c r="E689" s="3" t="s">
        <v>11845</v>
      </c>
      <c r="F689" s="3" t="s">
        <v>11846</v>
      </c>
      <c r="G689" s="3">
        <v>75886</v>
      </c>
      <c r="H689" s="7" t="str">
        <f>HYPERLINK("http://www.ensembl.org/Mus_musculus/Gene/Summary?db=core;g=ENSMUSG00000009093","ENSMUSG00000009093")</f>
        <v>ENSMUSG00000009093</v>
      </c>
      <c r="I689" s="7" t="str">
        <f>HYPERLINK("http://www.informatics.jax.org/marker/MGI:1923136","MGI:1923136")</f>
        <v>MGI:1923136</v>
      </c>
      <c r="J689" s="4" t="s">
        <v>12</v>
      </c>
    </row>
    <row r="690" spans="1:10" x14ac:dyDescent="0.25">
      <c r="A690" s="2">
        <v>1.61194371608118</v>
      </c>
      <c r="B690" s="3">
        <v>1.7321244296962499</v>
      </c>
      <c r="C690" s="3">
        <v>2.1869710790909701E-4</v>
      </c>
      <c r="D690" s="4">
        <v>7.0688525946031801E-4</v>
      </c>
      <c r="E690" s="3" t="s">
        <v>12213</v>
      </c>
      <c r="F690" s="3" t="s">
        <v>12214</v>
      </c>
      <c r="G690" s="3" t="s">
        <v>83</v>
      </c>
      <c r="H690" s="7" t="str">
        <f>HYPERLINK("http://www.ensembl.org/Mus_musculus/Gene/Summary?db=core;g=ENSMUSG00000113613","ENSMUSG00000113613")</f>
        <v>ENSMUSG00000113613</v>
      </c>
      <c r="I690" s="7" t="str">
        <f>HYPERLINK("http://www.informatics.jax.org/marker/MGI:5623778","MGI:5623778")</f>
        <v>MGI:5623778</v>
      </c>
      <c r="J690" s="4" t="s">
        <v>932</v>
      </c>
    </row>
    <row r="691" spans="1:10" x14ac:dyDescent="0.25">
      <c r="A691" s="2">
        <v>1.0596704228446501</v>
      </c>
      <c r="B691" s="3">
        <v>1.7318142931093301</v>
      </c>
      <c r="C691" s="5">
        <v>6.0756645178809601E-5</v>
      </c>
      <c r="D691" s="4">
        <v>2.0982855392751799E-4</v>
      </c>
      <c r="E691" s="3" t="s">
        <v>11431</v>
      </c>
      <c r="F691" s="3" t="s">
        <v>11432</v>
      </c>
      <c r="G691" s="3">
        <v>319236</v>
      </c>
      <c r="H691" s="7" t="str">
        <f>HYPERLINK("http://www.ensembl.org/Mus_musculus/Gene/Summary?db=core;g=ENSMUSG00000057143","ENSMUSG00000057143")</f>
        <v>ENSMUSG00000057143</v>
      </c>
      <c r="I691" s="7" t="str">
        <f>HYPERLINK("http://www.informatics.jax.org/marker/MGI:4821183","MGI:4821183")</f>
        <v>MGI:4821183</v>
      </c>
      <c r="J691" s="4" t="s">
        <v>12</v>
      </c>
    </row>
    <row r="692" spans="1:10" x14ac:dyDescent="0.25">
      <c r="A692" s="2">
        <v>544.75166499463796</v>
      </c>
      <c r="B692" s="3">
        <v>1.7302808782819501</v>
      </c>
      <c r="C692" s="5">
        <v>5.6773293118760498E-51</v>
      </c>
      <c r="D692" s="6">
        <v>1.5571200838692E-49</v>
      </c>
      <c r="E692" s="3" t="s">
        <v>1454</v>
      </c>
      <c r="F692" s="3" t="s">
        <v>1455</v>
      </c>
      <c r="G692" s="3">
        <v>84035</v>
      </c>
      <c r="H692" s="7" t="str">
        <f>HYPERLINK("http://www.ensembl.org/Mus_musculus/Gene/Summary?db=core;g=ENSMUSG00000020393","ENSMUSG00000020393")</f>
        <v>ENSMUSG00000020393</v>
      </c>
      <c r="I692" s="7" t="str">
        <f>HYPERLINK("http://www.informatics.jax.org/marker/MGI:1933988","MGI:1933988")</f>
        <v>MGI:1933988</v>
      </c>
      <c r="J692" s="4" t="s">
        <v>12</v>
      </c>
    </row>
    <row r="693" spans="1:10" x14ac:dyDescent="0.25">
      <c r="A693" s="2">
        <v>3.7980963303715201</v>
      </c>
      <c r="B693" s="3">
        <v>1.7283165954306701</v>
      </c>
      <c r="C693" s="5">
        <v>8.8504034592197994E-5</v>
      </c>
      <c r="D693" s="4">
        <v>3.0018912317821499E-4</v>
      </c>
      <c r="E693" s="3" t="s">
        <v>11639</v>
      </c>
      <c r="F693" s="3" t="s">
        <v>11640</v>
      </c>
      <c r="G693" s="3">
        <v>16994</v>
      </c>
      <c r="H693" s="7" t="str">
        <f>HYPERLINK("http://www.ensembl.org/Mus_musculus/Gene/Summary?db=core;g=ENSMUSG00000024399","ENSMUSG00000024399")</f>
        <v>ENSMUSG00000024399</v>
      </c>
      <c r="I693" s="7" t="str">
        <f>HYPERLINK("http://www.informatics.jax.org/marker/MGI:104796","MGI:104796")</f>
        <v>MGI:104796</v>
      </c>
      <c r="J693" s="4" t="s">
        <v>12</v>
      </c>
    </row>
    <row r="694" spans="1:10" x14ac:dyDescent="0.25">
      <c r="A694" s="2">
        <v>1.2402733809214801</v>
      </c>
      <c r="B694" s="3">
        <v>1.72815281295269</v>
      </c>
      <c r="C694" s="3">
        <v>1.4422400279266999E-4</v>
      </c>
      <c r="D694" s="4">
        <v>4.7671762237201599E-4</v>
      </c>
      <c r="E694" s="3" t="s">
        <v>11943</v>
      </c>
      <c r="F694" s="3" t="s">
        <v>11944</v>
      </c>
      <c r="G694" s="3" t="s">
        <v>83</v>
      </c>
      <c r="H694" s="7" t="str">
        <f>HYPERLINK("http://www.ensembl.org/Mus_musculus/Gene/Summary?db=core;g=ENSMUSG00000108207","ENSMUSG00000108207")</f>
        <v>ENSMUSG00000108207</v>
      </c>
      <c r="I694" s="7" t="str">
        <f>HYPERLINK("http://www.informatics.jax.org/marker/MGI:1917070","MGI:1917070")</f>
        <v>MGI:1917070</v>
      </c>
      <c r="J694" s="4" t="s">
        <v>331</v>
      </c>
    </row>
    <row r="695" spans="1:10" x14ac:dyDescent="0.25">
      <c r="A695" s="2">
        <v>15.8854416586454</v>
      </c>
      <c r="B695" s="3">
        <v>1.72564617098351</v>
      </c>
      <c r="C695" s="5">
        <v>3.10613391991926E-6</v>
      </c>
      <c r="D695" s="6">
        <v>1.22383538263352E-5</v>
      </c>
      <c r="E695" s="3" t="s">
        <v>10026</v>
      </c>
      <c r="F695" s="3" t="s">
        <v>10027</v>
      </c>
      <c r="G695" s="3" t="s">
        <v>83</v>
      </c>
      <c r="H695" s="7" t="str">
        <f>HYPERLINK("http://www.ensembl.org/Mus_musculus/Gene/Summary?db=core;g=ENSMUSG00000108060","ENSMUSG00000108060")</f>
        <v>ENSMUSG00000108060</v>
      </c>
      <c r="I695" s="7" t="str">
        <f>HYPERLINK("http://www.informatics.jax.org/marker/MGI:2443531","MGI:2443531")</f>
        <v>MGI:2443531</v>
      </c>
      <c r="J695" s="4" t="s">
        <v>331</v>
      </c>
    </row>
    <row r="696" spans="1:10" x14ac:dyDescent="0.25">
      <c r="A696" s="2">
        <v>4.9887031840538798</v>
      </c>
      <c r="B696" s="3">
        <v>1.7248197890289201</v>
      </c>
      <c r="C696" s="5">
        <v>1.9213039281262901E-5</v>
      </c>
      <c r="D696" s="6">
        <v>6.9904268381273802E-5</v>
      </c>
      <c r="E696" s="3" t="s">
        <v>10852</v>
      </c>
      <c r="F696" s="3" t="s">
        <v>10853</v>
      </c>
      <c r="G696" s="3" t="s">
        <v>83</v>
      </c>
      <c r="H696" s="7" t="str">
        <f>HYPERLINK("http://www.ensembl.org/Mus_musculus/Gene/Summary?db=core;g=ENSMUSG00000106115","ENSMUSG00000106115")</f>
        <v>ENSMUSG00000106115</v>
      </c>
      <c r="I696" s="7" t="str">
        <f>HYPERLINK("http://www.informatics.jax.org/marker/MGI:5663557","MGI:5663557")</f>
        <v>MGI:5663557</v>
      </c>
      <c r="J696" s="4" t="s">
        <v>1828</v>
      </c>
    </row>
    <row r="697" spans="1:10" x14ac:dyDescent="0.25">
      <c r="A697" s="2">
        <v>44.783671701054601</v>
      </c>
      <c r="B697" s="3">
        <v>1.7237534564830601</v>
      </c>
      <c r="C697" s="5">
        <v>1.9323342126413201E-17</v>
      </c>
      <c r="D697" s="6">
        <v>1.6890793738159101E-16</v>
      </c>
      <c r="E697" s="3" t="s">
        <v>4529</v>
      </c>
      <c r="F697" s="3" t="s">
        <v>4530</v>
      </c>
      <c r="G697" s="3" t="s">
        <v>83</v>
      </c>
      <c r="H697" s="7" t="str">
        <f>HYPERLINK("http://www.ensembl.org/Mus_musculus/Gene/Summary?db=core;g=ENSMUSG00000097081","ENSMUSG00000097081")</f>
        <v>ENSMUSG00000097081</v>
      </c>
      <c r="I697" s="7" t="str">
        <f>HYPERLINK("http://www.informatics.jax.org/marker/MGI:3642471","MGI:3642471")</f>
        <v>MGI:3642471</v>
      </c>
      <c r="J697" s="4" t="s">
        <v>932</v>
      </c>
    </row>
    <row r="698" spans="1:10" x14ac:dyDescent="0.25">
      <c r="A698" s="2">
        <v>1.9788301968322499</v>
      </c>
      <c r="B698" s="3">
        <v>1.72373856872642</v>
      </c>
      <c r="C698" s="3">
        <v>2.3292782291896801E-4</v>
      </c>
      <c r="D698" s="4">
        <v>7.5030001110128295E-4</v>
      </c>
      <c r="E698" s="3" t="s">
        <v>12255</v>
      </c>
      <c r="F698" s="3" t="s">
        <v>12256</v>
      </c>
      <c r="G698" s="3">
        <v>245423</v>
      </c>
      <c r="H698" s="7" t="str">
        <f>HYPERLINK("http://www.ensembl.org/Mus_musculus/Gene/Summary?db=core;g=ENSMUSG00000079584","ENSMUSG00000079584")</f>
        <v>ENSMUSG00000079584</v>
      </c>
      <c r="I698" s="7" t="str">
        <f>HYPERLINK("http://www.informatics.jax.org/marker/MGI:2685210","MGI:2685210")</f>
        <v>MGI:2685210</v>
      </c>
      <c r="J698" s="4" t="s">
        <v>12</v>
      </c>
    </row>
    <row r="699" spans="1:10" x14ac:dyDescent="0.25">
      <c r="A699" s="2">
        <v>270.77742440422003</v>
      </c>
      <c r="B699" s="3">
        <v>1.72120742752946</v>
      </c>
      <c r="C699" s="5">
        <v>2.08545608087353E-33</v>
      </c>
      <c r="D699" s="6">
        <v>3.4100492466688202E-32</v>
      </c>
      <c r="E699" s="3" t="s">
        <v>2429</v>
      </c>
      <c r="F699" s="3" t="s">
        <v>2430</v>
      </c>
      <c r="G699" s="3">
        <v>14659</v>
      </c>
      <c r="H699" s="7" t="str">
        <f>HYPERLINK("http://www.ensembl.org/Mus_musculus/Gene/Summary?db=core;g=ENSMUSG00000062310","ENSMUSG00000062310")</f>
        <v>ENSMUSG00000062310</v>
      </c>
      <c r="I699" s="7" t="str">
        <f>HYPERLINK("http://www.informatics.jax.org/marker/MGI:108038","MGI:108038")</f>
        <v>MGI:108038</v>
      </c>
      <c r="J699" s="4" t="s">
        <v>12</v>
      </c>
    </row>
    <row r="700" spans="1:10" x14ac:dyDescent="0.25">
      <c r="A700" s="2">
        <v>15.058055184761599</v>
      </c>
      <c r="B700" s="3">
        <v>1.7206725325785901</v>
      </c>
      <c r="C700" s="5">
        <v>1.3997090125519201E-6</v>
      </c>
      <c r="D700" s="6">
        <v>5.6970612440709903E-6</v>
      </c>
      <c r="E700" s="3" t="s">
        <v>9705</v>
      </c>
      <c r="F700" s="3" t="s">
        <v>9706</v>
      </c>
      <c r="G700" s="3">
        <v>72446</v>
      </c>
      <c r="H700" s="7" t="str">
        <f>HYPERLINK("http://www.ensembl.org/Mus_musculus/Gene/Summary?db=core;g=ENSMUSG00000032841","ENSMUSG00000032841")</f>
        <v>ENSMUSG00000032841</v>
      </c>
      <c r="I700" s="7" t="str">
        <f>HYPERLINK("http://www.informatics.jax.org/marker/MGI:1919696","MGI:1919696")</f>
        <v>MGI:1919696</v>
      </c>
      <c r="J700" s="4" t="s">
        <v>12</v>
      </c>
    </row>
    <row r="701" spans="1:10" x14ac:dyDescent="0.25">
      <c r="A701" s="2">
        <v>22.228663804249599</v>
      </c>
      <c r="B701" s="3">
        <v>1.71468712374652</v>
      </c>
      <c r="C701" s="5">
        <v>1.351351325634E-10</v>
      </c>
      <c r="D701" s="6">
        <v>7.7828995740369495E-10</v>
      </c>
      <c r="E701" s="3" t="s">
        <v>6866</v>
      </c>
      <c r="F701" s="3" t="s">
        <v>6867</v>
      </c>
      <c r="G701" s="3">
        <v>319181</v>
      </c>
      <c r="H701" s="7" t="str">
        <f>HYPERLINK("http://www.ensembl.org/Mus_musculus/Gene/Summary?db=core;g=ENSMUSG00000058385","ENSMUSG00000058385")</f>
        <v>ENSMUSG00000058385</v>
      </c>
      <c r="I701" s="7" t="str">
        <f>HYPERLINK("http://www.informatics.jax.org/marker/MGI:2448386","MGI:2448386")</f>
        <v>MGI:2448386</v>
      </c>
      <c r="J701" s="4" t="s">
        <v>12</v>
      </c>
    </row>
    <row r="702" spans="1:10" x14ac:dyDescent="0.25">
      <c r="A702" s="2">
        <v>195.89239006811201</v>
      </c>
      <c r="B702" s="3">
        <v>1.71375145195326</v>
      </c>
      <c r="C702" s="5">
        <v>2.13491348487287E-44</v>
      </c>
      <c r="D702" s="6">
        <v>4.9298002250225997E-43</v>
      </c>
      <c r="E702" s="3" t="s">
        <v>1724</v>
      </c>
      <c r="F702" s="3" t="s">
        <v>1725</v>
      </c>
      <c r="G702" s="3">
        <v>12142</v>
      </c>
      <c r="H702" s="7" t="str">
        <f>HYPERLINK("http://www.ensembl.org/Mus_musculus/Gene/Summary?db=core;g=ENSMUSG00000038151","ENSMUSG00000038151")</f>
        <v>ENSMUSG00000038151</v>
      </c>
      <c r="I702" s="7" t="str">
        <f>HYPERLINK("http://www.informatics.jax.org/marker/MGI:99655","MGI:99655")</f>
        <v>MGI:99655</v>
      </c>
      <c r="J702" s="4" t="s">
        <v>12</v>
      </c>
    </row>
    <row r="703" spans="1:10" x14ac:dyDescent="0.25">
      <c r="A703" s="2">
        <v>3.3921266019599301</v>
      </c>
      <c r="B703" s="3">
        <v>1.7129289586429799</v>
      </c>
      <c r="C703" s="3">
        <v>1.11350747602866E-4</v>
      </c>
      <c r="D703" s="4">
        <v>3.7350514419603998E-4</v>
      </c>
      <c r="E703" s="3" t="s">
        <v>11769</v>
      </c>
      <c r="F703" s="3" t="s">
        <v>11770</v>
      </c>
      <c r="G703" s="3" t="s">
        <v>83</v>
      </c>
      <c r="H703" s="7" t="str">
        <f>HYPERLINK("http://www.ensembl.org/Mus_musculus/Gene/Summary?db=core;g=ENSMUSG00000085524","ENSMUSG00000085524")</f>
        <v>ENSMUSG00000085524</v>
      </c>
      <c r="I703" s="7" t="str">
        <f>HYPERLINK("http://www.informatics.jax.org/marker/MGI:3649242","MGI:3649242")</f>
        <v>MGI:3649242</v>
      </c>
      <c r="J703" s="4" t="s">
        <v>932</v>
      </c>
    </row>
    <row r="704" spans="1:10" x14ac:dyDescent="0.25">
      <c r="A704" s="2">
        <v>297.09133371903698</v>
      </c>
      <c r="B704" s="3">
        <v>1.71001102674382</v>
      </c>
      <c r="C704" s="5">
        <v>1.3430982869813799E-66</v>
      </c>
      <c r="D704" s="6">
        <v>5.7703481959200002E-65</v>
      </c>
      <c r="E704" s="3" t="s">
        <v>930</v>
      </c>
      <c r="F704" s="3" t="s">
        <v>931</v>
      </c>
      <c r="G704" s="3" t="s">
        <v>83</v>
      </c>
      <c r="H704" s="7" t="str">
        <f>HYPERLINK("http://www.ensembl.org/Mus_musculus/Gene/Summary?db=core;g=ENSMUSG00000085295","ENSMUSG00000085295")</f>
        <v>ENSMUSG00000085295</v>
      </c>
      <c r="I704" s="7" t="str">
        <f>HYPERLINK("http://www.informatics.jax.org/marker/MGI:1918889","MGI:1918889")</f>
        <v>MGI:1918889</v>
      </c>
      <c r="J704" s="4" t="s">
        <v>932</v>
      </c>
    </row>
    <row r="705" spans="1:10" x14ac:dyDescent="0.25">
      <c r="A705" s="2">
        <v>2634.8741969691901</v>
      </c>
      <c r="B705" s="3">
        <v>1.7087036560761999</v>
      </c>
      <c r="C705" s="5">
        <v>1.04132910408958E-80</v>
      </c>
      <c r="D705" s="6">
        <v>6.0754467256350405E-79</v>
      </c>
      <c r="E705" s="3" t="s">
        <v>688</v>
      </c>
      <c r="F705" s="3" t="s">
        <v>689</v>
      </c>
      <c r="G705" s="3">
        <v>14081</v>
      </c>
      <c r="H705" s="7" t="str">
        <f>HYPERLINK("http://www.ensembl.org/Mus_musculus/Gene/Summary?db=core;g=ENSMUSG00000018796","ENSMUSG00000018796")</f>
        <v>ENSMUSG00000018796</v>
      </c>
      <c r="I705" s="7" t="str">
        <f>HYPERLINK("http://www.informatics.jax.org/marker/MGI:102797","MGI:102797")</f>
        <v>MGI:102797</v>
      </c>
      <c r="J705" s="4" t="s">
        <v>12</v>
      </c>
    </row>
    <row r="706" spans="1:10" x14ac:dyDescent="0.25">
      <c r="A706" s="2">
        <v>424.68836336754299</v>
      </c>
      <c r="B706" s="3">
        <v>1.7084545338355801</v>
      </c>
      <c r="C706" s="5">
        <v>9.7048014355017896E-35</v>
      </c>
      <c r="D706" s="6">
        <v>1.6699710672608701E-33</v>
      </c>
      <c r="E706" s="3" t="s">
        <v>2309</v>
      </c>
      <c r="F706" s="3" t="s">
        <v>2310</v>
      </c>
      <c r="G706" s="3">
        <v>102657</v>
      </c>
      <c r="H706" s="7" t="str">
        <f>HYPERLINK("http://www.ensembl.org/Mus_musculus/Gene/Summary?db=core;g=ENSMUSG00000035914","ENSMUSG00000035914")</f>
        <v>ENSMUSG00000035914</v>
      </c>
      <c r="I706" s="7" t="str">
        <f>HYPERLINK("http://www.informatics.jax.org/marker/MGI:2183926","MGI:2183926")</f>
        <v>MGI:2183926</v>
      </c>
      <c r="J706" s="4" t="s">
        <v>12</v>
      </c>
    </row>
    <row r="707" spans="1:10" x14ac:dyDescent="0.25">
      <c r="A707" s="2">
        <v>89.221764355912995</v>
      </c>
      <c r="B707" s="3">
        <v>1.7046723268494399</v>
      </c>
      <c r="C707" s="5">
        <v>1.03574937662789E-17</v>
      </c>
      <c r="D707" s="6">
        <v>9.2045866187931097E-17</v>
      </c>
      <c r="E707" s="3" t="s">
        <v>4455</v>
      </c>
      <c r="F707" s="3" t="s">
        <v>4456</v>
      </c>
      <c r="G707" s="3">
        <v>30805</v>
      </c>
      <c r="H707" s="7" t="str">
        <f>HYPERLINK("http://www.ensembl.org/Mus_musculus/Gene/Summary?db=core;g=ENSMUSG00000020334","ENSMUSG00000020334")</f>
        <v>ENSMUSG00000020334</v>
      </c>
      <c r="I707" s="7" t="str">
        <f>HYPERLINK("http://www.informatics.jax.org/marker/MGI:1353479","MGI:1353479")</f>
        <v>MGI:1353479</v>
      </c>
      <c r="J707" s="4" t="s">
        <v>12</v>
      </c>
    </row>
    <row r="708" spans="1:10" x14ac:dyDescent="0.25">
      <c r="A708" s="2">
        <v>20.380320298708401</v>
      </c>
      <c r="B708" s="3">
        <v>1.7006288602023101</v>
      </c>
      <c r="C708" s="5">
        <v>4.5762283362093697E-10</v>
      </c>
      <c r="D708" s="6">
        <v>2.5125876927946299E-9</v>
      </c>
      <c r="E708" s="3" t="s">
        <v>7202</v>
      </c>
      <c r="F708" s="3" t="s">
        <v>7203</v>
      </c>
      <c r="G708" s="3">
        <v>16816</v>
      </c>
      <c r="H708" s="7" t="str">
        <f>HYPERLINK("http://www.ensembl.org/Mus_musculus/Gene/Summary?db=core;g=ENSMUSG00000035237","ENSMUSG00000035237")</f>
        <v>ENSMUSG00000035237</v>
      </c>
      <c r="I708" s="7" t="str">
        <f>HYPERLINK("http://www.informatics.jax.org/marker/MGI:96755","MGI:96755")</f>
        <v>MGI:96755</v>
      </c>
      <c r="J708" s="4" t="s">
        <v>12</v>
      </c>
    </row>
    <row r="709" spans="1:10" x14ac:dyDescent="0.25">
      <c r="A709" s="2">
        <v>3.8546665354924099</v>
      </c>
      <c r="B709" s="3">
        <v>1.7005456431786601</v>
      </c>
      <c r="C709" s="3">
        <v>1.14175167587782E-4</v>
      </c>
      <c r="D709" s="4">
        <v>3.8213413184505301E-4</v>
      </c>
      <c r="E709" s="3" t="s">
        <v>11795</v>
      </c>
      <c r="F709" s="3" t="s">
        <v>11796</v>
      </c>
      <c r="G709" s="3">
        <v>16876</v>
      </c>
      <c r="H709" s="7" t="str">
        <f>HYPERLINK("http://www.ensembl.org/Mus_musculus/Gene/Summary?db=core;g=ENSMUSG00000019230","ENSMUSG00000019230")</f>
        <v>ENSMUSG00000019230</v>
      </c>
      <c r="I709" s="7" t="str">
        <f>HYPERLINK("http://www.informatics.jax.org/marker/MGI:1316721","MGI:1316721")</f>
        <v>MGI:1316721</v>
      </c>
      <c r="J709" s="4" t="s">
        <v>12</v>
      </c>
    </row>
    <row r="710" spans="1:10" x14ac:dyDescent="0.25">
      <c r="A710" s="2">
        <v>2181.4144758656198</v>
      </c>
      <c r="B710" s="3">
        <v>1.7002295623699999</v>
      </c>
      <c r="C710" s="5">
        <v>1.9636581625768099E-281</v>
      </c>
      <c r="D710" s="6">
        <v>1.9361669483007302E-278</v>
      </c>
      <c r="E710" s="3" t="s">
        <v>49</v>
      </c>
      <c r="F710" s="3" t="s">
        <v>50</v>
      </c>
      <c r="G710" s="3">
        <v>231549</v>
      </c>
      <c r="H710" s="7" t="str">
        <f>HYPERLINK("http://www.ensembl.org/Mus_musculus/Gene/Summary?db=core;g=ENSMUSG00000046079","ENSMUSG00000046079")</f>
        <v>ENSMUSG00000046079</v>
      </c>
      <c r="I710" s="7" t="str">
        <f>HYPERLINK("http://www.informatics.jax.org/marker/MGI:1922368","MGI:1922368")</f>
        <v>MGI:1922368</v>
      </c>
      <c r="J710" s="4" t="s">
        <v>12</v>
      </c>
    </row>
    <row r="711" spans="1:10" x14ac:dyDescent="0.25">
      <c r="A711" s="2">
        <v>2.0969445370630999</v>
      </c>
      <c r="B711" s="3">
        <v>1.6980065659580199</v>
      </c>
      <c r="C711" s="3">
        <v>3.1185231333487399E-4</v>
      </c>
      <c r="D711" s="4">
        <v>9.8584924959341301E-4</v>
      </c>
      <c r="E711" s="3" t="s">
        <v>12489</v>
      </c>
      <c r="F711" s="3" t="s">
        <v>12490</v>
      </c>
      <c r="G711" s="3">
        <v>17880</v>
      </c>
      <c r="H711" s="7" t="str">
        <f>HYPERLINK("http://www.ensembl.org/Mus_musculus/Gene/Summary?db=core;g=ENSMUSG00000018830","ENSMUSG00000018830")</f>
        <v>ENSMUSG00000018830</v>
      </c>
      <c r="I711" s="7" t="str">
        <f>HYPERLINK("http://www.informatics.jax.org/marker/MGI:102643","MGI:102643")</f>
        <v>MGI:102643</v>
      </c>
      <c r="J711" s="4" t="s">
        <v>12</v>
      </c>
    </row>
    <row r="712" spans="1:10" x14ac:dyDescent="0.25">
      <c r="A712" s="2">
        <v>1521.3858383327299</v>
      </c>
      <c r="B712" s="3">
        <v>1.69769250418471</v>
      </c>
      <c r="C712" s="5">
        <v>2.561211876445E-100</v>
      </c>
      <c r="D712" s="6">
        <v>2.0448217896152E-98</v>
      </c>
      <c r="E712" s="3" t="s">
        <v>506</v>
      </c>
      <c r="F712" s="3" t="s">
        <v>507</v>
      </c>
      <c r="G712" s="3">
        <v>78388</v>
      </c>
      <c r="H712" s="7" t="str">
        <f>HYPERLINK("http://www.ensembl.org/Mus_musculus/Gene/Summary?db=core;g=ENSMUSG00000030681","ENSMUSG00000030681")</f>
        <v>ENSMUSG00000030681</v>
      </c>
      <c r="I712" s="7" t="str">
        <f>HYPERLINK("http://www.informatics.jax.org/marker/MGI:1925638","MGI:1925638")</f>
        <v>MGI:1925638</v>
      </c>
      <c r="J712" s="4" t="s">
        <v>12</v>
      </c>
    </row>
    <row r="713" spans="1:10" x14ac:dyDescent="0.25">
      <c r="A713" s="2">
        <v>240.470243359542</v>
      </c>
      <c r="B713" s="3">
        <v>1.6956455587836901</v>
      </c>
      <c r="C713" s="5">
        <v>2.26556371625561E-79</v>
      </c>
      <c r="D713" s="6">
        <v>1.294983086509E-77</v>
      </c>
      <c r="E713" s="3" t="s">
        <v>702</v>
      </c>
      <c r="F713" s="3" t="s">
        <v>703</v>
      </c>
      <c r="G713" s="3">
        <v>68262</v>
      </c>
      <c r="H713" s="7" t="str">
        <f>HYPERLINK("http://www.ensembl.org/Mus_musculus/Gene/Summary?db=core;g=ENSMUSG00000023827","ENSMUSG00000023827")</f>
        <v>ENSMUSG00000023827</v>
      </c>
      <c r="I713" s="7" t="str">
        <f>HYPERLINK("http://www.informatics.jax.org/marker/MGI:1915512","MGI:1915512")</f>
        <v>MGI:1915512</v>
      </c>
      <c r="J713" s="4" t="s">
        <v>12</v>
      </c>
    </row>
    <row r="714" spans="1:10" x14ac:dyDescent="0.25">
      <c r="A714" s="2">
        <v>1578.4321268194201</v>
      </c>
      <c r="B714" s="3">
        <v>1.6950266240360199</v>
      </c>
      <c r="C714" s="5">
        <v>3.9270706778787498E-110</v>
      </c>
      <c r="D714" s="6">
        <v>3.7776504276960503E-108</v>
      </c>
      <c r="E714" s="3" t="s">
        <v>422</v>
      </c>
      <c r="F714" s="3" t="s">
        <v>423</v>
      </c>
      <c r="G714" s="3">
        <v>81018</v>
      </c>
      <c r="H714" s="7" t="str">
        <f>HYPERLINK("http://www.ensembl.org/Mus_musculus/Gene/Summary?db=core;g=ENSMUSG00000006418","ENSMUSG00000006418")</f>
        <v>ENSMUSG00000006418</v>
      </c>
      <c r="I714" s="7" t="str">
        <f>HYPERLINK("http://www.informatics.jax.org/marker/MGI:1933159","MGI:1933159")</f>
        <v>MGI:1933159</v>
      </c>
      <c r="J714" s="4" t="s">
        <v>12</v>
      </c>
    </row>
    <row r="715" spans="1:10" x14ac:dyDescent="0.25">
      <c r="A715" s="2">
        <v>465.32360853006799</v>
      </c>
      <c r="B715" s="3">
        <v>1.6936073185459599</v>
      </c>
      <c r="C715" s="5">
        <v>2.7359392909517302E-88</v>
      </c>
      <c r="D715" s="6">
        <v>1.8413898572548801E-86</v>
      </c>
      <c r="E715" s="3" t="s">
        <v>598</v>
      </c>
      <c r="F715" s="3" t="s">
        <v>599</v>
      </c>
      <c r="G715" s="3">
        <v>231830</v>
      </c>
      <c r="H715" s="7" t="str">
        <f>HYPERLINK("http://www.ensembl.org/Mus_musculus/Gene/Summary?db=core;g=ENSMUSG00000036718","ENSMUSG00000036718")</f>
        <v>ENSMUSG00000036718</v>
      </c>
      <c r="I715" s="7" t="str">
        <f>HYPERLINK("http://www.informatics.jax.org/marker/MGI:2444818","MGI:2444818")</f>
        <v>MGI:2444818</v>
      </c>
      <c r="J715" s="4" t="s">
        <v>12</v>
      </c>
    </row>
    <row r="716" spans="1:10" x14ac:dyDescent="0.25">
      <c r="A716" s="2">
        <v>4.0376581083060197</v>
      </c>
      <c r="B716" s="3">
        <v>1.6929939261084901</v>
      </c>
      <c r="C716" s="3">
        <v>2.6401443590555798E-4</v>
      </c>
      <c r="D716" s="4">
        <v>8.44366635753747E-4</v>
      </c>
      <c r="E716" s="3" t="s">
        <v>12343</v>
      </c>
      <c r="F716" s="3" t="s">
        <v>12344</v>
      </c>
      <c r="G716" s="3" t="s">
        <v>83</v>
      </c>
      <c r="H716" s="7" t="str">
        <f>HYPERLINK("http://www.ensembl.org/Mus_musculus/Gene/Summary?db=core;g=ENSMUSG00000118410","ENSMUSG00000118410")</f>
        <v>ENSMUSG00000118410</v>
      </c>
      <c r="I716" s="3" t="s">
        <v>83</v>
      </c>
      <c r="J716" s="4" t="s">
        <v>12345</v>
      </c>
    </row>
    <row r="717" spans="1:10" x14ac:dyDescent="0.25">
      <c r="A717" s="2">
        <v>64.250789702045495</v>
      </c>
      <c r="B717" s="3">
        <v>1.69195965349151</v>
      </c>
      <c r="C717" s="5">
        <v>7.7058784475212604E-20</v>
      </c>
      <c r="D717" s="6">
        <v>7.5828304882793997E-19</v>
      </c>
      <c r="E717" s="3" t="s">
        <v>4027</v>
      </c>
      <c r="F717" s="3" t="s">
        <v>4028</v>
      </c>
      <c r="G717" s="3" t="s">
        <v>83</v>
      </c>
      <c r="H717" s="7" t="str">
        <f>HYPERLINK("http://www.ensembl.org/Mus_musculus/Gene/Summary?db=core;g=ENSMUSG00000112627","ENSMUSG00000112627")</f>
        <v>ENSMUSG00000112627</v>
      </c>
      <c r="I717" s="7" t="str">
        <f>HYPERLINK("http://www.informatics.jax.org/marker/MGI:1918336","MGI:1918336")</f>
        <v>MGI:1918336</v>
      </c>
      <c r="J717" s="4" t="s">
        <v>3187</v>
      </c>
    </row>
    <row r="718" spans="1:10" x14ac:dyDescent="0.25">
      <c r="A718" s="2">
        <v>1.5599538801550601</v>
      </c>
      <c r="B718" s="3">
        <v>1.6915492723926</v>
      </c>
      <c r="C718" s="3">
        <v>2.5158871582738198E-4</v>
      </c>
      <c r="D718" s="4">
        <v>8.0645797726202402E-4</v>
      </c>
      <c r="E718" s="3" t="s">
        <v>12315</v>
      </c>
      <c r="F718" s="3" t="s">
        <v>12316</v>
      </c>
      <c r="G718" s="3">
        <v>20728</v>
      </c>
      <c r="H718" s="7" t="str">
        <f>HYPERLINK("http://www.ensembl.org/Mus_musculus/Gene/Summary?db=core;g=ENSMUSG00000004359","ENSMUSG00000004359")</f>
        <v>ENSMUSG00000004359</v>
      </c>
      <c r="I718" s="7" t="str">
        <f>HYPERLINK("http://www.informatics.jax.org/marker/MGI:1341168","MGI:1341168")</f>
        <v>MGI:1341168</v>
      </c>
      <c r="J718" s="4" t="s">
        <v>12</v>
      </c>
    </row>
    <row r="719" spans="1:10" x14ac:dyDescent="0.25">
      <c r="A719" s="2">
        <v>17.297850243121999</v>
      </c>
      <c r="B719" s="3">
        <v>1.69100230699305</v>
      </c>
      <c r="C719" s="5">
        <v>1.5022214846218299E-8</v>
      </c>
      <c r="D719" s="6">
        <v>7.3253728181855904E-8</v>
      </c>
      <c r="E719" s="3" t="s">
        <v>8105</v>
      </c>
      <c r="F719" s="3" t="s">
        <v>8106</v>
      </c>
      <c r="G719" s="3">
        <v>14422</v>
      </c>
      <c r="H719" s="7" t="str">
        <f>HYPERLINK("http://www.ensembl.org/Mus_musculus/Gene/Summary?db=core;g=ENSMUSG00000013418","ENSMUSG00000013418")</f>
        <v>ENSMUSG00000013418</v>
      </c>
      <c r="I719" s="7" t="str">
        <f>HYPERLINK("http://www.informatics.jax.org/marker/MGI:1342058","MGI:1342058")</f>
        <v>MGI:1342058</v>
      </c>
      <c r="J719" s="4" t="s">
        <v>12</v>
      </c>
    </row>
    <row r="720" spans="1:10" x14ac:dyDescent="0.25">
      <c r="A720" s="2">
        <v>80.532651288131305</v>
      </c>
      <c r="B720" s="3">
        <v>1.6897817014566201</v>
      </c>
      <c r="C720" s="5">
        <v>4.4847894340714098E-8</v>
      </c>
      <c r="D720" s="6">
        <v>2.09028711037315E-7</v>
      </c>
      <c r="E720" s="3" t="s">
        <v>8479</v>
      </c>
      <c r="F720" s="3" t="s">
        <v>8480</v>
      </c>
      <c r="G720" s="3">
        <v>72027</v>
      </c>
      <c r="H720" s="7" t="str">
        <f>HYPERLINK("http://www.ensembl.org/Mus_musculus/Gene/Summary?db=core;g=ENSMUSG00000063354","ENSMUSG00000063354")</f>
        <v>ENSMUSG00000063354</v>
      </c>
      <c r="I720" s="7" t="str">
        <f>HYPERLINK("http://www.informatics.jax.org/marker/MGI:1919277","MGI:1919277")</f>
        <v>MGI:1919277</v>
      </c>
      <c r="J720" s="4" t="s">
        <v>12</v>
      </c>
    </row>
    <row r="721" spans="1:10" x14ac:dyDescent="0.25">
      <c r="A721" s="2">
        <v>93.143741001127793</v>
      </c>
      <c r="B721" s="3">
        <v>1.68559329775489</v>
      </c>
      <c r="C721" s="5">
        <v>1.6495222497230899E-35</v>
      </c>
      <c r="D721" s="6">
        <v>2.9095329843058501E-34</v>
      </c>
      <c r="E721" s="3" t="s">
        <v>2253</v>
      </c>
      <c r="F721" s="3" t="s">
        <v>2254</v>
      </c>
      <c r="G721" s="3">
        <v>20167</v>
      </c>
      <c r="H721" s="7" t="str">
        <f>HYPERLINK("http://www.ensembl.org/Mus_musculus/Gene/Summary?db=core;g=ENSMUSG00000030401","ENSMUSG00000030401")</f>
        <v>ENSMUSG00000030401</v>
      </c>
      <c r="I721" s="7" t="str">
        <f>HYPERLINK("http://www.informatics.jax.org/marker/MGI:107612","MGI:107612")</f>
        <v>MGI:107612</v>
      </c>
      <c r="J721" s="4" t="s">
        <v>12</v>
      </c>
    </row>
    <row r="722" spans="1:10" x14ac:dyDescent="0.25">
      <c r="A722" s="2">
        <v>30.867102021289501</v>
      </c>
      <c r="B722" s="3">
        <v>1.6812411814242401</v>
      </c>
      <c r="C722" s="5">
        <v>2.1635049573308699E-12</v>
      </c>
      <c r="D722" s="6">
        <v>1.42404264881725E-11</v>
      </c>
      <c r="E722" s="3" t="s">
        <v>6009</v>
      </c>
      <c r="F722" s="3" t="s">
        <v>6010</v>
      </c>
      <c r="G722" s="3" t="s">
        <v>83</v>
      </c>
      <c r="H722" s="7" t="str">
        <f>HYPERLINK("http://www.ensembl.org/Mus_musculus/Gene/Summary?db=core;g=ENSMUSG00000115902","ENSMUSG00000115902")</f>
        <v>ENSMUSG00000115902</v>
      </c>
      <c r="I722" s="3" t="s">
        <v>83</v>
      </c>
      <c r="J722" s="4" t="s">
        <v>932</v>
      </c>
    </row>
    <row r="723" spans="1:10" x14ac:dyDescent="0.25">
      <c r="A723" s="2">
        <v>2008.0897308257099</v>
      </c>
      <c r="B723" s="3">
        <v>1.68021839564292</v>
      </c>
      <c r="C723" s="5">
        <v>1.00221220532551E-301</v>
      </c>
      <c r="D723" s="6">
        <v>1.4116874777870699E-298</v>
      </c>
      <c r="E723" s="3" t="s">
        <v>37</v>
      </c>
      <c r="F723" s="3" t="s">
        <v>38</v>
      </c>
      <c r="G723" s="3">
        <v>67014</v>
      </c>
      <c r="H723" s="7" t="str">
        <f>HYPERLINK("http://www.ensembl.org/Mus_musculus/Gene/Summary?db=core;g=ENSMUSG00000022724","ENSMUSG00000022724")</f>
        <v>ENSMUSG00000022724</v>
      </c>
      <c r="I723" s="7" t="str">
        <f>HYPERLINK("http://www.informatics.jax.org/marker/MGI:1914264","MGI:1914264")</f>
        <v>MGI:1914264</v>
      </c>
      <c r="J723" s="4" t="s">
        <v>12</v>
      </c>
    </row>
    <row r="724" spans="1:10" x14ac:dyDescent="0.25">
      <c r="A724" s="2">
        <v>21.4212019745652</v>
      </c>
      <c r="B724" s="3">
        <v>1.6765434122790299</v>
      </c>
      <c r="C724" s="5">
        <v>4.8307762743398203E-9</v>
      </c>
      <c r="D724" s="6">
        <v>2.4571294333242501E-8</v>
      </c>
      <c r="E724" s="3" t="s">
        <v>7770</v>
      </c>
      <c r="F724" s="3" t="s">
        <v>7771</v>
      </c>
      <c r="G724" s="3" t="s">
        <v>83</v>
      </c>
      <c r="H724" s="7" t="str">
        <f>HYPERLINK("http://www.ensembl.org/Mus_musculus/Gene/Summary?db=core;g=ENSMUSG00000104818","ENSMUSG00000104818")</f>
        <v>ENSMUSG00000104818</v>
      </c>
      <c r="I724" s="7" t="str">
        <f>HYPERLINK("http://www.informatics.jax.org/marker/MGI:5663798","MGI:5663798")</f>
        <v>MGI:5663798</v>
      </c>
      <c r="J724" s="4" t="s">
        <v>939</v>
      </c>
    </row>
    <row r="725" spans="1:10" x14ac:dyDescent="0.25">
      <c r="A725" s="2">
        <v>1.50114159828173</v>
      </c>
      <c r="B725" s="3">
        <v>1.67643764725552</v>
      </c>
      <c r="C725" s="3">
        <v>3.1481709338544099E-4</v>
      </c>
      <c r="D725" s="4">
        <v>9.9474332343549104E-4</v>
      </c>
      <c r="E725" s="3" t="s">
        <v>12495</v>
      </c>
      <c r="F725" s="3" t="s">
        <v>12496</v>
      </c>
      <c r="G725" s="3">
        <v>14582</v>
      </c>
      <c r="H725" s="7" t="str">
        <f>HYPERLINK("http://www.ensembl.org/Mus_musculus/Gene/Summary?db=core;g=ENSMUSG00000026815","ENSMUSG00000026815")</f>
        <v>ENSMUSG00000026815</v>
      </c>
      <c r="I725" s="7" t="str">
        <f>HYPERLINK("http://www.informatics.jax.org/marker/MGI:1276578","MGI:1276578")</f>
        <v>MGI:1276578</v>
      </c>
      <c r="J725" s="4" t="s">
        <v>12</v>
      </c>
    </row>
    <row r="726" spans="1:10" x14ac:dyDescent="0.25">
      <c r="A726" s="2">
        <v>20.056910525734398</v>
      </c>
      <c r="B726" s="3">
        <v>1.67505159696968</v>
      </c>
      <c r="C726" s="5">
        <v>5.2703225822155801E-9</v>
      </c>
      <c r="D726" s="6">
        <v>2.6710552896759502E-8</v>
      </c>
      <c r="E726" s="3" t="s">
        <v>7798</v>
      </c>
      <c r="F726" s="3" t="s">
        <v>7799</v>
      </c>
      <c r="G726" s="3" t="s">
        <v>83</v>
      </c>
      <c r="H726" s="7" t="str">
        <f>HYPERLINK("http://www.ensembl.org/Mus_musculus/Gene/Summary?db=core;g=ENSMUSG00000097534","ENSMUSG00000097534")</f>
        <v>ENSMUSG00000097534</v>
      </c>
      <c r="I726" s="7" t="str">
        <f>HYPERLINK("http://www.informatics.jax.org/marker/MGI:4439599","MGI:4439599")</f>
        <v>MGI:4439599</v>
      </c>
      <c r="J726" s="4" t="s">
        <v>3187</v>
      </c>
    </row>
    <row r="727" spans="1:10" x14ac:dyDescent="0.25">
      <c r="A727" s="2">
        <v>59.120780710466903</v>
      </c>
      <c r="B727" s="3">
        <v>1.6746753777910699</v>
      </c>
      <c r="C727" s="5">
        <v>1.1528642703739301E-17</v>
      </c>
      <c r="D727" s="6">
        <v>1.02131551715067E-16</v>
      </c>
      <c r="E727" s="3" t="s">
        <v>4469</v>
      </c>
      <c r="F727" s="3" t="s">
        <v>4470</v>
      </c>
      <c r="G727" s="3">
        <v>226098</v>
      </c>
      <c r="H727" s="7" t="str">
        <f>HYPERLINK("http://www.ensembl.org/Mus_musculus/Gene/Summary?db=core;g=ENSMUSG00000041180","ENSMUSG00000041180")</f>
        <v>ENSMUSG00000041180</v>
      </c>
      <c r="I727" s="7" t="str">
        <f>HYPERLINK("http://www.informatics.jax.org/marker/MGI:2442663","MGI:2442663")</f>
        <v>MGI:2442663</v>
      </c>
      <c r="J727" s="4" t="s">
        <v>12</v>
      </c>
    </row>
    <row r="728" spans="1:10" x14ac:dyDescent="0.25">
      <c r="A728" s="2">
        <v>7.9436059034935296</v>
      </c>
      <c r="B728" s="3">
        <v>1.67330995788823</v>
      </c>
      <c r="C728" s="5">
        <v>3.88029052458925E-5</v>
      </c>
      <c r="D728" s="4">
        <v>1.36861615354856E-4</v>
      </c>
      <c r="E728" s="3" t="s">
        <v>11193</v>
      </c>
      <c r="F728" s="3" t="s">
        <v>11194</v>
      </c>
      <c r="G728" s="3">
        <v>319998</v>
      </c>
      <c r="H728" s="7" t="str">
        <f>HYPERLINK("http://www.ensembl.org/Mus_musculus/Gene/Summary?db=core;g=ENSMUSG00000051703","ENSMUSG00000051703")</f>
        <v>ENSMUSG00000051703</v>
      </c>
      <c r="I728" s="7" t="str">
        <f>HYPERLINK("http://www.informatics.jax.org/marker/MGI:2443133","MGI:2443133")</f>
        <v>MGI:2443133</v>
      </c>
      <c r="J728" s="4" t="s">
        <v>12</v>
      </c>
    </row>
    <row r="729" spans="1:10" x14ac:dyDescent="0.25">
      <c r="A729" s="2">
        <v>70.346320825972398</v>
      </c>
      <c r="B729" s="3">
        <v>1.6722320169737299</v>
      </c>
      <c r="C729" s="5">
        <v>2.4803911558325898E-28</v>
      </c>
      <c r="D729" s="6">
        <v>3.4470270326299298E-27</v>
      </c>
      <c r="E729" s="3" t="s">
        <v>2856</v>
      </c>
      <c r="F729" s="3" t="s">
        <v>2857</v>
      </c>
      <c r="G729" s="3" t="s">
        <v>83</v>
      </c>
      <c r="H729" s="7" t="str">
        <f>HYPERLINK("http://www.ensembl.org/Mus_musculus/Gene/Summary?db=core;g=ENSMUSG00000081650","ENSMUSG00000081650")</f>
        <v>ENSMUSG00000081650</v>
      </c>
      <c r="I729" s="7" t="str">
        <f>HYPERLINK("http://www.informatics.jax.org/marker/MGI:3802038","MGI:3802038")</f>
        <v>MGI:3802038</v>
      </c>
      <c r="J729" s="4" t="s">
        <v>12</v>
      </c>
    </row>
    <row r="730" spans="1:10" x14ac:dyDescent="0.25">
      <c r="A730" s="2">
        <v>18.720731297671101</v>
      </c>
      <c r="B730" s="3">
        <v>1.6662543911633101</v>
      </c>
      <c r="C730" s="5">
        <v>5.4502213583908502E-5</v>
      </c>
      <c r="D730" s="4">
        <v>1.89222473921598E-4</v>
      </c>
      <c r="E730" s="3" t="s">
        <v>11371</v>
      </c>
      <c r="F730" s="3" t="s">
        <v>11372</v>
      </c>
      <c r="G730" s="3">
        <v>69065</v>
      </c>
      <c r="H730" s="7" t="str">
        <f>HYPERLINK("http://www.ensembl.org/Mus_musculus/Gene/Summary?db=core;g=ENSMUSG00000027313","ENSMUSG00000027313")</f>
        <v>ENSMUSG00000027313</v>
      </c>
      <c r="I730" s="7" t="str">
        <f>HYPERLINK("http://www.informatics.jax.org/marker/MGI:1916315","MGI:1916315")</f>
        <v>MGI:1916315</v>
      </c>
      <c r="J730" s="4" t="s">
        <v>12</v>
      </c>
    </row>
    <row r="731" spans="1:10" x14ac:dyDescent="0.25">
      <c r="A731" s="2">
        <v>53.719164242957298</v>
      </c>
      <c r="B731" s="3">
        <v>1.6657539708939499</v>
      </c>
      <c r="C731" s="5">
        <v>3.0190350673642999E-9</v>
      </c>
      <c r="D731" s="6">
        <v>1.5585175792781201E-8</v>
      </c>
      <c r="E731" s="3" t="s">
        <v>7656</v>
      </c>
      <c r="F731" s="3" t="s">
        <v>7657</v>
      </c>
      <c r="G731" s="3" t="s">
        <v>83</v>
      </c>
      <c r="H731" s="7" t="str">
        <f>HYPERLINK("http://www.ensembl.org/Mus_musculus/Gene/Summary?db=core;g=ENSMUSG00000067203","ENSMUSG00000067203")</f>
        <v>ENSMUSG00000067203</v>
      </c>
      <c r="I731" s="7" t="str">
        <f>HYPERLINK("http://www.informatics.jax.org/marker/MGI:95906","MGI:95906")</f>
        <v>MGI:95906</v>
      </c>
      <c r="J731" s="4" t="s">
        <v>320</v>
      </c>
    </row>
    <row r="732" spans="1:10" x14ac:dyDescent="0.25">
      <c r="A732" s="2">
        <v>1.3399225701242801</v>
      </c>
      <c r="B732" s="3">
        <v>1.66517439660763</v>
      </c>
      <c r="C732" s="3">
        <v>1.70549618044914E-4</v>
      </c>
      <c r="D732" s="4">
        <v>5.5775098969248799E-4</v>
      </c>
      <c r="E732" s="3" t="s">
        <v>12071</v>
      </c>
      <c r="F732" s="3" t="s">
        <v>12072</v>
      </c>
      <c r="G732" s="3">
        <v>329178</v>
      </c>
      <c r="H732" s="7" t="str">
        <f>HYPERLINK("http://www.ensembl.org/Mus_musculus/Gene/Summary?db=core;g=ENSMUSG00000055567","ENSMUSG00000055567")</f>
        <v>ENSMUSG00000055567</v>
      </c>
      <c r="I732" s="7" t="str">
        <f>HYPERLINK("http://www.informatics.jax.org/marker/MGI:2652882","MGI:2652882")</f>
        <v>MGI:2652882</v>
      </c>
      <c r="J732" s="4" t="s">
        <v>12</v>
      </c>
    </row>
    <row r="733" spans="1:10" x14ac:dyDescent="0.25">
      <c r="A733" s="2">
        <v>1153.04003516127</v>
      </c>
      <c r="B733" s="3">
        <v>1.6639557485146499</v>
      </c>
      <c r="C733" s="5">
        <v>3.8732677190891301E-68</v>
      </c>
      <c r="D733" s="6">
        <v>1.71720002961841E-66</v>
      </c>
      <c r="E733" s="3" t="s">
        <v>902</v>
      </c>
      <c r="F733" s="3" t="s">
        <v>903</v>
      </c>
      <c r="G733" s="3">
        <v>74568</v>
      </c>
      <c r="H733" s="7" t="str">
        <f>HYPERLINK("http://www.ensembl.org/Mus_musculus/Gene/Summary?db=core;g=ENSMUSG00000012519","ENSMUSG00000012519")</f>
        <v>ENSMUSG00000012519</v>
      </c>
      <c r="I733" s="7" t="str">
        <f>HYPERLINK("http://www.informatics.jax.org/marker/MGI:1921818","MGI:1921818")</f>
        <v>MGI:1921818</v>
      </c>
      <c r="J733" s="4" t="s">
        <v>12</v>
      </c>
    </row>
    <row r="734" spans="1:10" x14ac:dyDescent="0.25">
      <c r="A734" s="2">
        <v>5.7543822287635402</v>
      </c>
      <c r="B734" s="3">
        <v>1.6630154578251199</v>
      </c>
      <c r="C734" s="5">
        <v>2.41288325963206E-5</v>
      </c>
      <c r="D734" s="6">
        <v>8.7003214262103306E-5</v>
      </c>
      <c r="E734" s="3" t="s">
        <v>10950</v>
      </c>
      <c r="F734" s="3" t="s">
        <v>10951</v>
      </c>
      <c r="G734" s="3" t="s">
        <v>83</v>
      </c>
      <c r="H734" s="7" t="str">
        <f>HYPERLINK("http://www.ensembl.org/Mus_musculus/Gene/Summary?db=core;g=ENSMUSG00000096929","ENSMUSG00000096929")</f>
        <v>ENSMUSG00000096929</v>
      </c>
      <c r="I734" s="7" t="str">
        <f>HYPERLINK("http://www.informatics.jax.org/marker/MGI:2443958","MGI:2443958")</f>
        <v>MGI:2443958</v>
      </c>
      <c r="J734" s="4" t="s">
        <v>331</v>
      </c>
    </row>
    <row r="735" spans="1:10" x14ac:dyDescent="0.25">
      <c r="A735" s="2">
        <v>11.126566462103</v>
      </c>
      <c r="B735" s="3">
        <v>1.6617030048814201</v>
      </c>
      <c r="C735" s="5">
        <v>5.16429614999734E-6</v>
      </c>
      <c r="D735" s="6">
        <v>1.9898382195769399E-5</v>
      </c>
      <c r="E735" s="3" t="s">
        <v>10250</v>
      </c>
      <c r="F735" s="3" t="s">
        <v>10251</v>
      </c>
      <c r="G735" s="3">
        <v>381853</v>
      </c>
      <c r="H735" s="7" t="str">
        <f>HYPERLINK("http://www.ensembl.org/Mus_musculus/Gene/Summary?db=core;g=ENSMUSG00000030406","ENSMUSG00000030406")</f>
        <v>ENSMUSG00000030406</v>
      </c>
      <c r="I735" s="7" t="str">
        <f>HYPERLINK("http://www.informatics.jax.org/marker/MGI:1352753","MGI:1352753")</f>
        <v>MGI:1352753</v>
      </c>
      <c r="J735" s="4" t="s">
        <v>12</v>
      </c>
    </row>
    <row r="736" spans="1:10" x14ac:dyDescent="0.25">
      <c r="A736" s="2">
        <v>289.86292664740898</v>
      </c>
      <c r="B736" s="3">
        <v>1.65222722449031</v>
      </c>
      <c r="C736" s="5">
        <v>5.0483077978549502E-46</v>
      </c>
      <c r="D736" s="6">
        <v>1.21851444031456E-44</v>
      </c>
      <c r="E736" s="3" t="s">
        <v>1650</v>
      </c>
      <c r="F736" s="3" t="s">
        <v>1651</v>
      </c>
      <c r="G736" s="3">
        <v>75329</v>
      </c>
      <c r="H736" s="7" t="str">
        <f>HYPERLINK("http://www.ensembl.org/Mus_musculus/Gene/Summary?db=core;g=ENSMUSG00000039200","ENSMUSG00000039200")</f>
        <v>ENSMUSG00000039200</v>
      </c>
      <c r="I736" s="7" t="str">
        <f>HYPERLINK("http://www.informatics.jax.org/marker/MGI:1922579","MGI:1922579")</f>
        <v>MGI:1922579</v>
      </c>
      <c r="J736" s="4" t="s">
        <v>12</v>
      </c>
    </row>
    <row r="737" spans="1:10" x14ac:dyDescent="0.25">
      <c r="A737" s="2">
        <v>1736.1464661742</v>
      </c>
      <c r="B737" s="3">
        <v>1.6515527040839499</v>
      </c>
      <c r="C737" s="5">
        <v>1.32567187479915E-118</v>
      </c>
      <c r="D737" s="6">
        <v>1.49384282120224E-116</v>
      </c>
      <c r="E737" s="3" t="s">
        <v>362</v>
      </c>
      <c r="F737" s="3" t="s">
        <v>363</v>
      </c>
      <c r="G737" s="3">
        <v>66878</v>
      </c>
      <c r="H737" s="7" t="str">
        <f>HYPERLINK("http://www.ensembl.org/Mus_musculus/Gene/Summary?db=core;g=ENSMUSG00000024404","ENSMUSG00000024404")</f>
        <v>ENSMUSG00000024404</v>
      </c>
      <c r="I737" s="7" t="str">
        <f>HYPERLINK("http://www.informatics.jax.org/marker/MGI:1914128","MGI:1914128")</f>
        <v>MGI:1914128</v>
      </c>
      <c r="J737" s="4" t="s">
        <v>12</v>
      </c>
    </row>
    <row r="738" spans="1:10" x14ac:dyDescent="0.25">
      <c r="A738" s="2">
        <v>1.6916291279854601</v>
      </c>
      <c r="B738" s="3">
        <v>1.65008614670147</v>
      </c>
      <c r="C738" s="3">
        <v>4.3920128809944801E-4</v>
      </c>
      <c r="D738" s="4">
        <v>1.3601419669507101E-3</v>
      </c>
      <c r="E738" s="3" t="s">
        <v>12743</v>
      </c>
      <c r="F738" s="3" t="s">
        <v>12744</v>
      </c>
      <c r="G738" s="3">
        <v>229595</v>
      </c>
      <c r="H738" s="7" t="str">
        <f>HYPERLINK("http://www.ensembl.org/Mus_musculus/Gene/Summary?db=core;g=ENSMUSG00000015850","ENSMUSG00000015850")</f>
        <v>ENSMUSG00000015850</v>
      </c>
      <c r="I738" s="7" t="str">
        <f>HYPERLINK("http://www.informatics.jax.org/marker/MGI:2389008","MGI:2389008")</f>
        <v>MGI:2389008</v>
      </c>
      <c r="J738" s="4" t="s">
        <v>12</v>
      </c>
    </row>
    <row r="739" spans="1:10" x14ac:dyDescent="0.25">
      <c r="A739" s="2">
        <v>0.975545949212414</v>
      </c>
      <c r="B739" s="3">
        <v>1.6500485031018799</v>
      </c>
      <c r="C739" s="3">
        <v>1.8740389898717701E-4</v>
      </c>
      <c r="D739" s="4">
        <v>6.0983579010348598E-4</v>
      </c>
      <c r="E739" s="3" t="s">
        <v>12131</v>
      </c>
      <c r="F739" s="3" t="s">
        <v>12132</v>
      </c>
      <c r="G739" s="3" t="s">
        <v>83</v>
      </c>
      <c r="H739" s="7" t="str">
        <f>HYPERLINK("http://www.ensembl.org/Mus_musculus/Gene/Summary?db=core;g=ENSMUSG00000117269","ENSMUSG00000117269")</f>
        <v>ENSMUSG00000117269</v>
      </c>
      <c r="I739" s="7" t="str">
        <f>HYPERLINK("http://www.informatics.jax.org/marker/MGI:3780113","MGI:3780113")</f>
        <v>MGI:3780113</v>
      </c>
      <c r="J739" s="4" t="s">
        <v>1043</v>
      </c>
    </row>
    <row r="740" spans="1:10" x14ac:dyDescent="0.25">
      <c r="A740" s="2">
        <v>4.4992689908269901</v>
      </c>
      <c r="B740" s="3">
        <v>1.6485313902067</v>
      </c>
      <c r="C740" s="3">
        <v>1.9341050719704701E-4</v>
      </c>
      <c r="D740" s="4">
        <v>6.2865587636818396E-4</v>
      </c>
      <c r="E740" s="3" t="s">
        <v>12145</v>
      </c>
      <c r="F740" s="3" t="s">
        <v>12146</v>
      </c>
      <c r="G740" s="3">
        <v>384009</v>
      </c>
      <c r="H740" s="7" t="str">
        <f>HYPERLINK("http://www.ensembl.org/Mus_musculus/Gene/Summary?db=core;g=ENSMUSG00000028480","ENSMUSG00000028480")</f>
        <v>ENSMUSG00000028480</v>
      </c>
      <c r="I740" s="7" t="str">
        <f>HYPERLINK("http://www.informatics.jax.org/marker/MGI:1917770","MGI:1917770")</f>
        <v>MGI:1917770</v>
      </c>
      <c r="J740" s="4" t="s">
        <v>12</v>
      </c>
    </row>
    <row r="741" spans="1:10" x14ac:dyDescent="0.25">
      <c r="A741" s="2">
        <v>427.23759693631501</v>
      </c>
      <c r="B741" s="3">
        <v>1.6474820706287401</v>
      </c>
      <c r="C741" s="5">
        <v>2.07073321062207E-25</v>
      </c>
      <c r="D741" s="6">
        <v>2.5666158965095599E-24</v>
      </c>
      <c r="E741" s="3" t="s">
        <v>3202</v>
      </c>
      <c r="F741" s="3" t="s">
        <v>3203</v>
      </c>
      <c r="G741" s="3">
        <v>18574</v>
      </c>
      <c r="H741" s="7" t="str">
        <f>HYPERLINK("http://www.ensembl.org/Mus_musculus/Gene/Summary?db=core;g=ENSMUSG00000022489","ENSMUSG00000022489")</f>
        <v>ENSMUSG00000022489</v>
      </c>
      <c r="I741" s="7" t="str">
        <f>HYPERLINK("http://www.informatics.jax.org/marker/MGI:97523","MGI:97523")</f>
        <v>MGI:97523</v>
      </c>
      <c r="J741" s="4" t="s">
        <v>12</v>
      </c>
    </row>
    <row r="742" spans="1:10" x14ac:dyDescent="0.25">
      <c r="A742" s="2">
        <v>5.2165337242409802</v>
      </c>
      <c r="B742" s="3">
        <v>1.64747541818443</v>
      </c>
      <c r="C742" s="3">
        <v>1.07509401532458E-4</v>
      </c>
      <c r="D742" s="4">
        <v>3.6129608013293598E-4</v>
      </c>
      <c r="E742" s="3" t="s">
        <v>11747</v>
      </c>
      <c r="F742" s="3" t="s">
        <v>11748</v>
      </c>
      <c r="G742" s="3" t="s">
        <v>83</v>
      </c>
      <c r="H742" s="7" t="str">
        <f>HYPERLINK("http://www.ensembl.org/Mus_musculus/Gene/Summary?db=core;g=ENSMUSG00000115739","ENSMUSG00000115739")</f>
        <v>ENSMUSG00000115739</v>
      </c>
      <c r="I742" s="7" t="str">
        <f>HYPERLINK("http://www.informatics.jax.org/marker/MGI:6118725","MGI:6118725")</f>
        <v>MGI:6118725</v>
      </c>
      <c r="J742" s="4" t="s">
        <v>1828</v>
      </c>
    </row>
    <row r="743" spans="1:10" x14ac:dyDescent="0.25">
      <c r="A743" s="2">
        <v>1002.24072717355</v>
      </c>
      <c r="B743" s="3">
        <v>1.64663396203648</v>
      </c>
      <c r="C743" s="5">
        <v>6.5391285358048502E-133</v>
      </c>
      <c r="D743" s="6">
        <v>9.9193549789285894E-131</v>
      </c>
      <c r="E743" s="3" t="s">
        <v>270</v>
      </c>
      <c r="F743" s="3" t="s">
        <v>271</v>
      </c>
      <c r="G743" s="3">
        <v>17135</v>
      </c>
      <c r="H743" s="7" t="str">
        <f>HYPERLINK("http://www.ensembl.org/Mus_musculus/Gene/Summary?db=core;g=ENSMUSG00000018143","ENSMUSG00000018143")</f>
        <v>ENSMUSG00000018143</v>
      </c>
      <c r="I743" s="7" t="str">
        <f>HYPERLINK("http://www.informatics.jax.org/marker/MGI:99951","MGI:99951")</f>
        <v>MGI:99951</v>
      </c>
      <c r="J743" s="4" t="s">
        <v>12</v>
      </c>
    </row>
    <row r="744" spans="1:10" x14ac:dyDescent="0.25">
      <c r="A744" s="2">
        <v>144.18060288760799</v>
      </c>
      <c r="B744" s="3">
        <v>1.64383890796687</v>
      </c>
      <c r="C744" s="5">
        <v>2.2451654395948601E-9</v>
      </c>
      <c r="D744" s="6">
        <v>1.17128736689975E-8</v>
      </c>
      <c r="E744" s="3" t="s">
        <v>7578</v>
      </c>
      <c r="F744" s="3" t="s">
        <v>7579</v>
      </c>
      <c r="G744" s="3">
        <v>13198</v>
      </c>
      <c r="H744" s="7" t="str">
        <f>HYPERLINK("http://www.ensembl.org/Mus_musculus/Gene/Summary?db=core;g=ENSMUSG00000025408","ENSMUSG00000025408")</f>
        <v>ENSMUSG00000025408</v>
      </c>
      <c r="I744" s="7" t="str">
        <f>HYPERLINK("http://www.informatics.jax.org/marker/MGI:109247","MGI:109247")</f>
        <v>MGI:109247</v>
      </c>
      <c r="J744" s="4" t="s">
        <v>12</v>
      </c>
    </row>
    <row r="745" spans="1:10" x14ac:dyDescent="0.25">
      <c r="A745" s="2">
        <v>3.54693755443573</v>
      </c>
      <c r="B745" s="3">
        <v>1.64243885237973</v>
      </c>
      <c r="C745" s="3">
        <v>4.0237127020681E-4</v>
      </c>
      <c r="D745" s="4">
        <v>1.25312088573568E-3</v>
      </c>
      <c r="E745" s="3" t="s">
        <v>12677</v>
      </c>
      <c r="F745" s="3" t="s">
        <v>12678</v>
      </c>
      <c r="G745" s="3">
        <v>12777</v>
      </c>
      <c r="H745" s="7" t="str">
        <f>HYPERLINK("http://www.ensembl.org/Mus_musculus/Gene/Summary?db=core;g=ENSMUSG00000044052","ENSMUSG00000044052")</f>
        <v>ENSMUSG00000044052</v>
      </c>
      <c r="I745" s="7" t="str">
        <f>HYPERLINK("http://www.informatics.jax.org/marker/MGI:1096320","MGI:1096320")</f>
        <v>MGI:1096320</v>
      </c>
      <c r="J745" s="4" t="s">
        <v>12</v>
      </c>
    </row>
    <row r="746" spans="1:10" x14ac:dyDescent="0.25">
      <c r="A746" s="2">
        <v>1.6847189977499799</v>
      </c>
      <c r="B746" s="3">
        <v>1.64151629568118</v>
      </c>
      <c r="C746" s="3">
        <v>4.8724804274921798E-4</v>
      </c>
      <c r="D746" s="4">
        <v>1.5027418522074701E-3</v>
      </c>
      <c r="E746" s="3" t="s">
        <v>12797</v>
      </c>
      <c r="F746" s="3" t="s">
        <v>12798</v>
      </c>
      <c r="G746" s="3" t="s">
        <v>83</v>
      </c>
      <c r="H746" s="7" t="str">
        <f>HYPERLINK("http://www.ensembl.org/Mus_musculus/Gene/Summary?db=core;g=ENSMUSG00000111133","ENSMUSG00000111133")</f>
        <v>ENSMUSG00000111133</v>
      </c>
      <c r="I746" s="7" t="str">
        <f>HYPERLINK("http://www.informatics.jax.org/marker/MGI:3779529","MGI:3779529")</f>
        <v>MGI:3779529</v>
      </c>
      <c r="J746" s="4" t="s">
        <v>1043</v>
      </c>
    </row>
    <row r="747" spans="1:10" x14ac:dyDescent="0.25">
      <c r="A747" s="2">
        <v>1.90642926917946</v>
      </c>
      <c r="B747" s="3">
        <v>1.63637000700146</v>
      </c>
      <c r="C747" s="3">
        <v>5.0771230125059002E-4</v>
      </c>
      <c r="D747" s="4">
        <v>1.56146078924854E-3</v>
      </c>
      <c r="E747" s="3" t="s">
        <v>12833</v>
      </c>
      <c r="F747" s="3" t="s">
        <v>12834</v>
      </c>
      <c r="G747" s="3">
        <v>263764</v>
      </c>
      <c r="H747" s="7" t="str">
        <f>HYPERLINK("http://www.ensembl.org/Mus_musculus/Gene/Summary?db=core;g=ENSMUSG00000050967","ENSMUSG00000050967")</f>
        <v>ENSMUSG00000050967</v>
      </c>
      <c r="I747" s="7" t="str">
        <f>HYPERLINK("http://www.informatics.jax.org/marker/MGI:1928333","MGI:1928333")</f>
        <v>MGI:1928333</v>
      </c>
      <c r="J747" s="4" t="s">
        <v>12</v>
      </c>
    </row>
    <row r="748" spans="1:10" x14ac:dyDescent="0.25">
      <c r="A748" s="2">
        <v>245.281158978387</v>
      </c>
      <c r="B748" s="3">
        <v>1.6360468416501099</v>
      </c>
      <c r="C748" s="5">
        <v>1.2818561019958501E-41</v>
      </c>
      <c r="D748" s="6">
        <v>2.7239442167411798E-40</v>
      </c>
      <c r="E748" s="3" t="s">
        <v>1873</v>
      </c>
      <c r="F748" s="3" t="s">
        <v>1874</v>
      </c>
      <c r="G748" s="3">
        <v>192656</v>
      </c>
      <c r="H748" s="7" t="str">
        <f>HYPERLINK("http://www.ensembl.org/Mus_musculus/Gene/Summary?db=core;g=ENSMUSG00000041135","ENSMUSG00000041135")</f>
        <v>ENSMUSG00000041135</v>
      </c>
      <c r="I748" s="7" t="str">
        <f>HYPERLINK("http://www.informatics.jax.org/marker/MGI:1891456","MGI:1891456")</f>
        <v>MGI:1891456</v>
      </c>
      <c r="J748" s="4" t="s">
        <v>12</v>
      </c>
    </row>
    <row r="749" spans="1:10" x14ac:dyDescent="0.25">
      <c r="A749" s="2">
        <v>234.576763376336</v>
      </c>
      <c r="B749" s="3">
        <v>1.6343493297775</v>
      </c>
      <c r="C749" s="5">
        <v>2.5275551026527801E-47</v>
      </c>
      <c r="D749" s="6">
        <v>6.3738346066896202E-46</v>
      </c>
      <c r="E749" s="3" t="s">
        <v>1580</v>
      </c>
      <c r="F749" s="3" t="s">
        <v>1581</v>
      </c>
      <c r="G749" s="3">
        <v>81905</v>
      </c>
      <c r="H749" s="7" t="str">
        <f>HYPERLINK("http://www.ensembl.org/Mus_musculus/Gene/Summary?db=core;g=ENSMUSG00000053395","ENSMUSG00000053395")</f>
        <v>ENSMUSG00000053395</v>
      </c>
      <c r="I749" s="7" t="str">
        <f>HYPERLINK("http://www.informatics.jax.org/marker/MGI:1932376","MGI:1932376")</f>
        <v>MGI:1932376</v>
      </c>
      <c r="J749" s="4" t="s">
        <v>12</v>
      </c>
    </row>
    <row r="750" spans="1:10" x14ac:dyDescent="0.25">
      <c r="A750" s="2">
        <v>1117.77933180523</v>
      </c>
      <c r="B750" s="3">
        <v>1.6329491384742301</v>
      </c>
      <c r="C750" s="5">
        <v>1.1012912391535101E-27</v>
      </c>
      <c r="D750" s="6">
        <v>1.4854626016489299E-26</v>
      </c>
      <c r="E750" s="3" t="s">
        <v>2942</v>
      </c>
      <c r="F750" s="3" t="s">
        <v>2943</v>
      </c>
      <c r="G750" s="3">
        <v>240354</v>
      </c>
      <c r="H750" s="7" t="str">
        <f>HYPERLINK("http://www.ensembl.org/Mus_musculus/Gene/Summary?db=core;g=ENSMUSG00000032688","ENSMUSG00000032688")</f>
        <v>ENSMUSG00000032688</v>
      </c>
      <c r="I750" s="7" t="str">
        <f>HYPERLINK("http://www.informatics.jax.org/marker/MGI:2445027","MGI:2445027")</f>
        <v>MGI:2445027</v>
      </c>
      <c r="J750" s="4" t="s">
        <v>12</v>
      </c>
    </row>
    <row r="751" spans="1:10" x14ac:dyDescent="0.25">
      <c r="A751" s="2">
        <v>1460.83859864633</v>
      </c>
      <c r="B751" s="3">
        <v>1.6315324174005099</v>
      </c>
      <c r="C751" s="5">
        <v>1.3034410451316901E-13</v>
      </c>
      <c r="D751" s="6">
        <v>9.2293922477547303E-13</v>
      </c>
      <c r="E751" s="3" t="s">
        <v>5587</v>
      </c>
      <c r="F751" s="3" t="s">
        <v>5588</v>
      </c>
      <c r="G751" s="3">
        <v>17476</v>
      </c>
      <c r="H751" s="7" t="str">
        <f>HYPERLINK("http://www.ensembl.org/Mus_musculus/Gene/Summary?db=core;g=ENSMUSG00000046805","ENSMUSG00000046805")</f>
        <v>ENSMUSG00000046805</v>
      </c>
      <c r="I751" s="7" t="str">
        <f>HYPERLINK("http://www.informatics.jax.org/marker/MGI:1333743","MGI:1333743")</f>
        <v>MGI:1333743</v>
      </c>
      <c r="J751" s="4" t="s">
        <v>12</v>
      </c>
    </row>
    <row r="752" spans="1:10" x14ac:dyDescent="0.25">
      <c r="A752" s="2">
        <v>462.32187354730502</v>
      </c>
      <c r="B752" s="3">
        <v>1.6274381488652101</v>
      </c>
      <c r="C752" s="5">
        <v>1.79173582116308E-120</v>
      </c>
      <c r="D752" s="6">
        <v>2.1676705762782801E-118</v>
      </c>
      <c r="E752" s="3" t="s">
        <v>338</v>
      </c>
      <c r="F752" s="3" t="s">
        <v>339</v>
      </c>
      <c r="G752" s="3">
        <v>18442</v>
      </c>
      <c r="H752" s="7" t="str">
        <f>HYPERLINK("http://www.ensembl.org/Mus_musculus/Gene/Summary?db=core;g=ENSMUSG00000032860","ENSMUSG00000032860")</f>
        <v>ENSMUSG00000032860</v>
      </c>
      <c r="I752" s="7" t="str">
        <f>HYPERLINK("http://www.informatics.jax.org/marker/MGI:105107","MGI:105107")</f>
        <v>MGI:105107</v>
      </c>
      <c r="J752" s="4" t="s">
        <v>12</v>
      </c>
    </row>
    <row r="753" spans="1:10" x14ac:dyDescent="0.25">
      <c r="A753" s="2">
        <v>4902.1412352768602</v>
      </c>
      <c r="B753" s="3">
        <v>1.62728271036845</v>
      </c>
      <c r="C753" s="5">
        <v>2.1883147653458199E-123</v>
      </c>
      <c r="D753" s="6">
        <v>2.73123842864681E-121</v>
      </c>
      <c r="E753" s="3" t="s">
        <v>327</v>
      </c>
      <c r="F753" s="3" t="s">
        <v>328</v>
      </c>
      <c r="G753" s="3">
        <v>217069</v>
      </c>
      <c r="H753" s="7" t="str">
        <f>HYPERLINK("http://www.ensembl.org/Mus_musculus/Gene/Summary?db=core;g=ENSMUSG00000000275","ENSMUSG00000000275")</f>
        <v>ENSMUSG00000000275</v>
      </c>
      <c r="I753" s="7" t="str">
        <f>HYPERLINK("http://www.informatics.jax.org/marker/MGI:102749","MGI:102749")</f>
        <v>MGI:102749</v>
      </c>
      <c r="J753" s="4" t="s">
        <v>12</v>
      </c>
    </row>
    <row r="754" spans="1:10" x14ac:dyDescent="0.25">
      <c r="A754" s="2">
        <v>93.040960087202293</v>
      </c>
      <c r="B754" s="3">
        <v>1.62642059163396</v>
      </c>
      <c r="C754" s="5">
        <v>2.7285536003071798E-11</v>
      </c>
      <c r="D754" s="6">
        <v>1.6566218287579299E-10</v>
      </c>
      <c r="E754" s="3" t="s">
        <v>6513</v>
      </c>
      <c r="F754" s="3" t="s">
        <v>6514</v>
      </c>
      <c r="G754" s="3">
        <v>60525</v>
      </c>
      <c r="H754" s="7" t="str">
        <f>HYPERLINK("http://www.ensembl.org/Mus_musculus/Gene/Summary?db=core;g=ENSMUSG00000027605","ENSMUSG00000027605")</f>
        <v>ENSMUSG00000027605</v>
      </c>
      <c r="I754" s="7" t="str">
        <f>HYPERLINK("http://www.informatics.jax.org/marker/MGI:1890410","MGI:1890410")</f>
        <v>MGI:1890410</v>
      </c>
      <c r="J754" s="4" t="s">
        <v>12</v>
      </c>
    </row>
    <row r="755" spans="1:10" x14ac:dyDescent="0.25">
      <c r="A755" s="2">
        <v>1.1673012098689499</v>
      </c>
      <c r="B755" s="3">
        <v>1.62579553346729</v>
      </c>
      <c r="C755" s="3">
        <v>2.9638709079797998E-4</v>
      </c>
      <c r="D755" s="4">
        <v>9.4012440574813699E-4</v>
      </c>
      <c r="E755" s="3" t="s">
        <v>12447</v>
      </c>
      <c r="F755" s="3" t="s">
        <v>12448</v>
      </c>
      <c r="G755" s="3" t="s">
        <v>83</v>
      </c>
      <c r="H755" s="7" t="str">
        <f>HYPERLINK("http://www.ensembl.org/Mus_musculus/Gene/Summary?db=core;g=ENSMUSG00000107715","ENSMUSG00000107715")</f>
        <v>ENSMUSG00000107715</v>
      </c>
      <c r="I755" s="7" t="str">
        <f>HYPERLINK("http://www.informatics.jax.org/marker/MGI:5690527","MGI:5690527")</f>
        <v>MGI:5690527</v>
      </c>
      <c r="J755" s="4" t="s">
        <v>1828</v>
      </c>
    </row>
    <row r="756" spans="1:10" x14ac:dyDescent="0.25">
      <c r="A756" s="2">
        <v>518.44578939115399</v>
      </c>
      <c r="B756" s="3">
        <v>1.62494379410112</v>
      </c>
      <c r="C756" s="5">
        <v>4.0974089343601203E-59</v>
      </c>
      <c r="D756" s="6">
        <v>1.4250600385464099E-57</v>
      </c>
      <c r="E756" s="3" t="s">
        <v>1150</v>
      </c>
      <c r="F756" s="3" t="s">
        <v>1151</v>
      </c>
      <c r="G756" s="3">
        <v>54397</v>
      </c>
      <c r="H756" s="7" t="str">
        <f>HYPERLINK("http://www.ensembl.org/Mus_musculus/Gene/Summary?db=core;g=ENSMUSG00000015474","ENSMUSG00000015474")</f>
        <v>ENSMUSG00000015474</v>
      </c>
      <c r="I756" s="7" t="str">
        <f>HYPERLINK("http://www.informatics.jax.org/marker/MGI:1860075","MGI:1860075")</f>
        <v>MGI:1860075</v>
      </c>
      <c r="J756" s="4" t="s">
        <v>12</v>
      </c>
    </row>
    <row r="757" spans="1:10" x14ac:dyDescent="0.25">
      <c r="A757" s="2">
        <v>32.627880860929402</v>
      </c>
      <c r="B757" s="3">
        <v>1.62294291833495</v>
      </c>
      <c r="C757" s="5">
        <v>2.6366692354886401E-10</v>
      </c>
      <c r="D757" s="6">
        <v>1.4821869248528E-9</v>
      </c>
      <c r="E757" s="3" t="s">
        <v>7034</v>
      </c>
      <c r="F757" s="3" t="s">
        <v>7035</v>
      </c>
      <c r="G757" s="3">
        <v>54613</v>
      </c>
      <c r="H757" s="7" t="str">
        <f>HYPERLINK("http://www.ensembl.org/Mus_musculus/Gene/Summary?db=core;g=ENSMUSG00000022747","ENSMUSG00000022747")</f>
        <v>ENSMUSG00000022747</v>
      </c>
      <c r="I757" s="7" t="str">
        <f>HYPERLINK("http://www.informatics.jax.org/marker/MGI:1888707","MGI:1888707")</f>
        <v>MGI:1888707</v>
      </c>
      <c r="J757" s="4" t="s">
        <v>12</v>
      </c>
    </row>
    <row r="758" spans="1:10" x14ac:dyDescent="0.25">
      <c r="A758" s="2">
        <v>15.638458062233701</v>
      </c>
      <c r="B758" s="3">
        <v>1.6228897755189799</v>
      </c>
      <c r="C758" s="5">
        <v>4.1472398342258302E-6</v>
      </c>
      <c r="D758" s="6">
        <v>1.61404321158345E-5</v>
      </c>
      <c r="E758" s="3" t="s">
        <v>7578</v>
      </c>
      <c r="F758" s="3" t="s">
        <v>7579</v>
      </c>
      <c r="G758" s="3" t="s">
        <v>83</v>
      </c>
      <c r="H758" s="7" t="str">
        <f>HYPERLINK("http://www.ensembl.org/Mus_musculus/Gene/Summary?db=core;g=ENSMUSG00000116429","ENSMUSG00000116429")</f>
        <v>ENSMUSG00000116429</v>
      </c>
      <c r="I758" s="7" t="str">
        <f>HYPERLINK("http://www.informatics.jax.org/marker/MGI:109247","MGI:109247")</f>
        <v>MGI:109247</v>
      </c>
      <c r="J758" s="4" t="s">
        <v>12</v>
      </c>
    </row>
    <row r="759" spans="1:10" x14ac:dyDescent="0.25">
      <c r="A759" s="2">
        <v>20.605289977546501</v>
      </c>
      <c r="B759" s="3">
        <v>1.62223825671747</v>
      </c>
      <c r="C759" s="5">
        <v>1.9967238976472399E-8</v>
      </c>
      <c r="D759" s="6">
        <v>9.6295904283696599E-8</v>
      </c>
      <c r="E759" s="3" t="s">
        <v>8195</v>
      </c>
      <c r="F759" s="3" t="s">
        <v>8196</v>
      </c>
      <c r="G759" s="3">
        <v>242748</v>
      </c>
      <c r="H759" s="7" t="str">
        <f>HYPERLINK("http://www.ensembl.org/Mus_musculus/Gene/Summary?db=core;g=ENSMUSG00000041544","ENSMUSG00000041544")</f>
        <v>ENSMUSG00000041544</v>
      </c>
      <c r="I759" s="7" t="str">
        <f>HYPERLINK("http://www.informatics.jax.org/marker/MGI:2444403","MGI:2444403")</f>
        <v>MGI:2444403</v>
      </c>
      <c r="J759" s="4" t="s">
        <v>12</v>
      </c>
    </row>
    <row r="760" spans="1:10" x14ac:dyDescent="0.25">
      <c r="A760" s="2">
        <v>1316.7517198729599</v>
      </c>
      <c r="B760" s="3">
        <v>1.6220250692876199</v>
      </c>
      <c r="C760" s="5">
        <v>1.6643733266252099E-42</v>
      </c>
      <c r="D760" s="6">
        <v>3.6427793563872502E-41</v>
      </c>
      <c r="E760" s="3" t="s">
        <v>1818</v>
      </c>
      <c r="F760" s="3" t="s">
        <v>1819</v>
      </c>
      <c r="G760" s="3">
        <v>19188</v>
      </c>
      <c r="H760" s="7" t="str">
        <f>HYPERLINK("http://www.ensembl.org/Mus_musculus/Gene/Summary?db=core;g=ENSMUSG00000079197","ENSMUSG00000079197")</f>
        <v>ENSMUSG00000079197</v>
      </c>
      <c r="I760" s="7" t="str">
        <f>HYPERLINK("http://www.informatics.jax.org/marker/MGI:1096365","MGI:1096365")</f>
        <v>MGI:1096365</v>
      </c>
      <c r="J760" s="4" t="s">
        <v>12</v>
      </c>
    </row>
    <row r="761" spans="1:10" x14ac:dyDescent="0.25">
      <c r="A761" s="2">
        <v>4.0059122503950197</v>
      </c>
      <c r="B761" s="3">
        <v>1.61985456559292</v>
      </c>
      <c r="C761" s="3">
        <v>1.72421477196677E-4</v>
      </c>
      <c r="D761" s="4">
        <v>5.6359216481327102E-4</v>
      </c>
      <c r="E761" s="3" t="s">
        <v>12077</v>
      </c>
      <c r="F761" s="3" t="s">
        <v>12078</v>
      </c>
      <c r="G761" s="3" t="s">
        <v>83</v>
      </c>
      <c r="H761" s="7" t="str">
        <f>HYPERLINK("http://www.ensembl.org/Mus_musculus/Gene/Summary?db=core;g=ENSMUSG00000103845","ENSMUSG00000103845")</f>
        <v>ENSMUSG00000103845</v>
      </c>
      <c r="I761" s="7" t="str">
        <f>HYPERLINK("http://www.informatics.jax.org/marker/MGI:5011211","MGI:5011211")</f>
        <v>MGI:5011211</v>
      </c>
      <c r="J761" s="4" t="s">
        <v>1043</v>
      </c>
    </row>
    <row r="762" spans="1:10" x14ac:dyDescent="0.25">
      <c r="A762" s="2">
        <v>2.7692702037055801</v>
      </c>
      <c r="B762" s="3">
        <v>1.6190176234053599</v>
      </c>
      <c r="C762" s="3">
        <v>4.0885150302488098E-4</v>
      </c>
      <c r="D762" s="4">
        <v>1.2722978759114199E-3</v>
      </c>
      <c r="E762" s="3" t="s">
        <v>12687</v>
      </c>
      <c r="F762" s="3" t="s">
        <v>12688</v>
      </c>
      <c r="G762" s="3" t="s">
        <v>83</v>
      </c>
      <c r="H762" s="7" t="str">
        <f>HYPERLINK("http://www.ensembl.org/Mus_musculus/Gene/Summary?db=core;g=ENSMUSG00000090293","ENSMUSG00000090293")</f>
        <v>ENSMUSG00000090293</v>
      </c>
      <c r="I762" s="7" t="str">
        <f>HYPERLINK("http://www.informatics.jax.org/marker/MGI:4937861","MGI:4937861")</f>
        <v>MGI:4937861</v>
      </c>
      <c r="J762" s="4" t="s">
        <v>932</v>
      </c>
    </row>
    <row r="763" spans="1:10" x14ac:dyDescent="0.25">
      <c r="A763" s="2">
        <v>10.3949991660224</v>
      </c>
      <c r="B763" s="3">
        <v>1.61860586359398</v>
      </c>
      <c r="C763" s="5">
        <v>4.3664772758761197E-5</v>
      </c>
      <c r="D763" s="4">
        <v>1.5297021119253299E-4</v>
      </c>
      <c r="E763" s="3" t="s">
        <v>11269</v>
      </c>
      <c r="F763" s="3" t="s">
        <v>11270</v>
      </c>
      <c r="G763" s="3">
        <v>77627</v>
      </c>
      <c r="H763" s="7" t="str">
        <f>HYPERLINK("http://www.ensembl.org/Mus_musculus/Gene/Summary?db=core;g=ENSMUSG00000022441","ENSMUSG00000022441")</f>
        <v>ENSMUSG00000022441</v>
      </c>
      <c r="I763" s="7" t="str">
        <f>HYPERLINK("http://www.informatics.jax.org/marker/MGI:1924877","MGI:1924877")</f>
        <v>MGI:1924877</v>
      </c>
      <c r="J763" s="4" t="s">
        <v>12</v>
      </c>
    </row>
    <row r="764" spans="1:10" x14ac:dyDescent="0.25">
      <c r="A764" s="2">
        <v>1692.97607869953</v>
      </c>
      <c r="B764" s="3">
        <v>1.6172580664674601</v>
      </c>
      <c r="C764" s="5">
        <v>1.58439009688388E-105</v>
      </c>
      <c r="D764" s="6">
        <v>1.3886298982466799E-103</v>
      </c>
      <c r="E764" s="3" t="s">
        <v>462</v>
      </c>
      <c r="F764" s="3" t="s">
        <v>463</v>
      </c>
      <c r="G764" s="3">
        <v>20848</v>
      </c>
      <c r="H764" s="7" t="str">
        <f>HYPERLINK("http://www.ensembl.org/Mus_musculus/Gene/Summary?db=core;g=ENSMUSG00000004040","ENSMUSG00000004040")</f>
        <v>ENSMUSG00000004040</v>
      </c>
      <c r="I764" s="7" t="str">
        <f>HYPERLINK("http://www.informatics.jax.org/marker/MGI:103038","MGI:103038")</f>
        <v>MGI:103038</v>
      </c>
      <c r="J764" s="4" t="s">
        <v>12</v>
      </c>
    </row>
    <row r="765" spans="1:10" x14ac:dyDescent="0.25">
      <c r="A765" s="2">
        <v>1745.3102279032801</v>
      </c>
      <c r="B765" s="3">
        <v>1.61673917784611</v>
      </c>
      <c r="C765" s="5">
        <v>4.5898120958552403E-118</v>
      </c>
      <c r="D765" s="6">
        <v>5.1426758255832601E-116</v>
      </c>
      <c r="E765" s="3" t="s">
        <v>364</v>
      </c>
      <c r="F765" s="3" t="s">
        <v>365</v>
      </c>
      <c r="G765" s="3">
        <v>27008</v>
      </c>
      <c r="H765" s="7" t="str">
        <f>HYPERLINK("http://www.ensembl.org/Mus_musculus/Gene/Summary?db=core;g=ENSMUSG00000033039","ENSMUSG00000033039")</f>
        <v>ENSMUSG00000033039</v>
      </c>
      <c r="I765" s="7" t="str">
        <f>HYPERLINK("http://www.informatics.jax.org/marker/MGI:105870","MGI:105870")</f>
        <v>MGI:105870</v>
      </c>
      <c r="J765" s="4" t="s">
        <v>12</v>
      </c>
    </row>
    <row r="766" spans="1:10" x14ac:dyDescent="0.25">
      <c r="A766" s="2">
        <v>25.869432570775999</v>
      </c>
      <c r="B766" s="3">
        <v>1.61621070542547</v>
      </c>
      <c r="C766" s="5">
        <v>2.7210494988108901E-11</v>
      </c>
      <c r="D766" s="6">
        <v>1.6525745647228501E-10</v>
      </c>
      <c r="E766" s="3" t="s">
        <v>6511</v>
      </c>
      <c r="F766" s="3" t="s">
        <v>6512</v>
      </c>
      <c r="G766" s="3" t="s">
        <v>83</v>
      </c>
      <c r="H766" s="7" t="str">
        <f>HYPERLINK("http://www.ensembl.org/Mus_musculus/Gene/Summary?db=core;g=ENSMUSG00000090582","ENSMUSG00000090582")</f>
        <v>ENSMUSG00000090582</v>
      </c>
      <c r="I766" s="7" t="str">
        <f>HYPERLINK("http://www.informatics.jax.org/marker/MGI:4937851","MGI:4937851")</f>
        <v>MGI:4937851</v>
      </c>
      <c r="J766" s="4" t="s">
        <v>4024</v>
      </c>
    </row>
    <row r="767" spans="1:10" x14ac:dyDescent="0.25">
      <c r="A767" s="2">
        <v>16.545784353679402</v>
      </c>
      <c r="B767" s="3">
        <v>1.6155008058171001</v>
      </c>
      <c r="C767" s="5">
        <v>1.6333846782709501E-5</v>
      </c>
      <c r="D767" s="6">
        <v>5.99150778562185E-5</v>
      </c>
      <c r="E767" s="3" t="s">
        <v>10764</v>
      </c>
      <c r="F767" s="3" t="s">
        <v>10765</v>
      </c>
      <c r="G767" s="3">
        <v>14086</v>
      </c>
      <c r="H767" s="7" t="str">
        <f>HYPERLINK("http://www.ensembl.org/Mus_musculus/Gene/Summary?db=core;g=ENSMUSG00000029581","ENSMUSG00000029581")</f>
        <v>ENSMUSG00000029581</v>
      </c>
      <c r="I767" s="7" t="str">
        <f>HYPERLINK("http://www.informatics.jax.org/marker/MGI:1352745","MGI:1352745")</f>
        <v>MGI:1352745</v>
      </c>
      <c r="J767" s="4" t="s">
        <v>12</v>
      </c>
    </row>
    <row r="768" spans="1:10" x14ac:dyDescent="0.25">
      <c r="A768" s="2">
        <v>994.26722771500704</v>
      </c>
      <c r="B768" s="3">
        <v>1.6134918630238699</v>
      </c>
      <c r="C768" s="5">
        <v>3.0709994066276802E-161</v>
      </c>
      <c r="D768" s="6">
        <v>7.3853790608167996E-159</v>
      </c>
      <c r="E768" s="3" t="s">
        <v>174</v>
      </c>
      <c r="F768" s="3" t="s">
        <v>175</v>
      </c>
      <c r="G768" s="3">
        <v>66306</v>
      </c>
      <c r="H768" s="7" t="str">
        <f>HYPERLINK("http://www.ensembl.org/Mus_musculus/Gene/Summary?db=core;g=ENSMUSG00000034300","ENSMUSG00000034300")</f>
        <v>ENSMUSG00000034300</v>
      </c>
      <c r="I768" s="7" t="str">
        <f>HYPERLINK("http://www.informatics.jax.org/marker/MGI:1913556","MGI:1913556")</f>
        <v>MGI:1913556</v>
      </c>
      <c r="J768" s="4" t="s">
        <v>12</v>
      </c>
    </row>
    <row r="769" spans="1:10" x14ac:dyDescent="0.25">
      <c r="A769" s="2">
        <v>14.6290386528163</v>
      </c>
      <c r="B769" s="3">
        <v>1.60901712555988</v>
      </c>
      <c r="C769" s="5">
        <v>9.0911297026705196E-9</v>
      </c>
      <c r="D769" s="6">
        <v>4.5283424535656203E-8</v>
      </c>
      <c r="E769" s="3" t="s">
        <v>7934</v>
      </c>
      <c r="F769" s="3" t="s">
        <v>7935</v>
      </c>
      <c r="G769" s="3" t="s">
        <v>83</v>
      </c>
      <c r="H769" s="7" t="str">
        <f>HYPERLINK("http://www.ensembl.org/Mus_musculus/Gene/Summary?db=core;g=ENSMUSG00000099397","ENSMUSG00000099397")</f>
        <v>ENSMUSG00000099397</v>
      </c>
      <c r="I769" s="7" t="str">
        <f>HYPERLINK("http://www.informatics.jax.org/marker/MGI:3643362","MGI:3643362")</f>
        <v>MGI:3643362</v>
      </c>
      <c r="J769" s="4" t="s">
        <v>1043</v>
      </c>
    </row>
    <row r="770" spans="1:10" x14ac:dyDescent="0.25">
      <c r="A770" s="2">
        <v>1.61639833615949</v>
      </c>
      <c r="B770" s="3">
        <v>1.60670078837796</v>
      </c>
      <c r="C770" s="3">
        <v>6.3264925419490199E-4</v>
      </c>
      <c r="D770" s="4">
        <v>1.9199512608069401E-3</v>
      </c>
      <c r="E770" s="3" t="s">
        <v>13005</v>
      </c>
      <c r="F770" s="3" t="s">
        <v>13006</v>
      </c>
      <c r="G770" s="3">
        <v>15458</v>
      </c>
      <c r="H770" s="7" t="str">
        <f>HYPERLINK("http://www.ensembl.org/Mus_musculus/Gene/Summary?db=core;g=ENSMUSG00000030895","ENSMUSG00000030895")</f>
        <v>ENSMUSG00000030895</v>
      </c>
      <c r="I770" s="7" t="str">
        <f>HYPERLINK("http://www.informatics.jax.org/marker/MGI:105112","MGI:105112")</f>
        <v>MGI:105112</v>
      </c>
      <c r="J770" s="4" t="s">
        <v>12</v>
      </c>
    </row>
    <row r="771" spans="1:10" x14ac:dyDescent="0.25">
      <c r="A771" s="2">
        <v>2613.1471628316699</v>
      </c>
      <c r="B771" s="3">
        <v>1.6063944288930001</v>
      </c>
      <c r="C771" s="5">
        <v>1.3087567502354401E-212</v>
      </c>
      <c r="D771" s="6">
        <v>5.7352629143650701E-210</v>
      </c>
      <c r="E771" s="3" t="s">
        <v>100</v>
      </c>
      <c r="F771" s="3" t="s">
        <v>101</v>
      </c>
      <c r="G771" s="3">
        <v>218756</v>
      </c>
      <c r="H771" s="7" t="str">
        <f>HYPERLINK("http://www.ensembl.org/Mus_musculus/Gene/Summary?db=core;g=ENSMUSG00000021733","ENSMUSG00000021733")</f>
        <v>ENSMUSG00000021733</v>
      </c>
      <c r="I771" s="7" t="str">
        <f>HYPERLINK("http://www.informatics.jax.org/marker/MGI:2443878","MGI:2443878")</f>
        <v>MGI:2443878</v>
      </c>
      <c r="J771" s="4" t="s">
        <v>12</v>
      </c>
    </row>
    <row r="772" spans="1:10" x14ac:dyDescent="0.25">
      <c r="A772" s="2">
        <v>874.24822565006104</v>
      </c>
      <c r="B772" s="3">
        <v>1.60123521127462</v>
      </c>
      <c r="C772" s="5">
        <v>1.5354846626011699E-23</v>
      </c>
      <c r="D772" s="6">
        <v>1.7728195284833201E-22</v>
      </c>
      <c r="E772" s="3" t="s">
        <v>3434</v>
      </c>
      <c r="F772" s="3" t="s">
        <v>3435</v>
      </c>
      <c r="G772" s="3">
        <v>237886</v>
      </c>
      <c r="H772" s="7" t="str">
        <f>HYPERLINK("http://www.ensembl.org/Mus_musculus/Gene/Summary?db=core;g=ENSMUSG00000069793","ENSMUSG00000069793")</f>
        <v>ENSMUSG00000069793</v>
      </c>
      <c r="I772" s="7" t="str">
        <f>HYPERLINK("http://www.informatics.jax.org/marker/MGI:2445121","MGI:2445121")</f>
        <v>MGI:2445121</v>
      </c>
      <c r="J772" s="4" t="s">
        <v>12</v>
      </c>
    </row>
    <row r="773" spans="1:10" x14ac:dyDescent="0.25">
      <c r="A773" s="2">
        <v>182.71644461298101</v>
      </c>
      <c r="B773" s="3">
        <v>1.60057444883827</v>
      </c>
      <c r="C773" s="5">
        <v>2.52646930864776E-18</v>
      </c>
      <c r="D773" s="6">
        <v>2.3194587880136799E-17</v>
      </c>
      <c r="E773" s="3" t="s">
        <v>4313</v>
      </c>
      <c r="F773" s="3" t="s">
        <v>4314</v>
      </c>
      <c r="G773" s="3">
        <v>58217</v>
      </c>
      <c r="H773" s="7" t="str">
        <f>HYPERLINK("http://www.ensembl.org/Mus_musculus/Gene/Summary?db=core;g=ENSMUSG00000042265","ENSMUSG00000042265")</f>
        <v>ENSMUSG00000042265</v>
      </c>
      <c r="I773" s="7" t="str">
        <f>HYPERLINK("http://www.informatics.jax.org/marker/MGI:1930005","MGI:1930005")</f>
        <v>MGI:1930005</v>
      </c>
      <c r="J773" s="4" t="s">
        <v>12</v>
      </c>
    </row>
    <row r="774" spans="1:10" x14ac:dyDescent="0.25">
      <c r="A774" s="2">
        <v>8.2604094693490993</v>
      </c>
      <c r="B774" s="3">
        <v>1.6001704998285999</v>
      </c>
      <c r="C774" s="5">
        <v>1.6157977519037301E-5</v>
      </c>
      <c r="D774" s="6">
        <v>5.9303055402087199E-5</v>
      </c>
      <c r="E774" s="3" t="s">
        <v>10758</v>
      </c>
      <c r="F774" s="3" t="s">
        <v>10759</v>
      </c>
      <c r="G774" s="3">
        <v>77352</v>
      </c>
      <c r="H774" s="7" t="str">
        <f>HYPERLINK("http://www.ensembl.org/Mus_musculus/Gene/Summary?db=core;g=ENSMUSG00000026601","ENSMUSG00000026601")</f>
        <v>ENSMUSG00000026601</v>
      </c>
      <c r="I774" s="7" t="str">
        <f>HYPERLINK("http://www.informatics.jax.org/marker/MGI:1924602","MGI:1924602")</f>
        <v>MGI:1924602</v>
      </c>
      <c r="J774" s="4" t="s">
        <v>12</v>
      </c>
    </row>
    <row r="775" spans="1:10" x14ac:dyDescent="0.25">
      <c r="A775" s="2">
        <v>473.895665945926</v>
      </c>
      <c r="B775" s="3">
        <v>1.5982494905632101</v>
      </c>
      <c r="C775" s="5">
        <v>1.77096916060675E-70</v>
      </c>
      <c r="D775" s="6">
        <v>8.2366773224446199E-69</v>
      </c>
      <c r="E775" s="3" t="s">
        <v>860</v>
      </c>
      <c r="F775" s="3" t="s">
        <v>861</v>
      </c>
      <c r="G775" s="3">
        <v>71901</v>
      </c>
      <c r="H775" s="7" t="str">
        <f>HYPERLINK("http://www.ensembl.org/Mus_musculus/Gene/Summary?db=core;g=ENSMUSG00000028439","ENSMUSG00000028439")</f>
        <v>ENSMUSG00000028439</v>
      </c>
      <c r="I775" s="7" t="str">
        <f>HYPERLINK("http://www.informatics.jax.org/marker/MGI:1919151","MGI:1919151")</f>
        <v>MGI:1919151</v>
      </c>
      <c r="J775" s="4" t="s">
        <v>12</v>
      </c>
    </row>
    <row r="776" spans="1:10" x14ac:dyDescent="0.25">
      <c r="A776" s="2">
        <v>69.4578431568832</v>
      </c>
      <c r="B776" s="3">
        <v>1.5977542376468199</v>
      </c>
      <c r="C776" s="5">
        <v>6.9064126581238803E-12</v>
      </c>
      <c r="D776" s="6">
        <v>4.3708105782478501E-11</v>
      </c>
      <c r="E776" s="3" t="s">
        <v>6249</v>
      </c>
      <c r="F776" s="3" t="s">
        <v>6250</v>
      </c>
      <c r="G776" s="3">
        <v>213556</v>
      </c>
      <c r="H776" s="7" t="str">
        <f>HYPERLINK("http://www.ensembl.org/Mus_musculus/Gene/Summary?db=core;g=ENSMUSG00000040852","ENSMUSG00000040852")</f>
        <v>ENSMUSG00000040852</v>
      </c>
      <c r="I776" s="7" t="str">
        <f>HYPERLINK("http://www.informatics.jax.org/marker/MGI:2146813","MGI:2146813")</f>
        <v>MGI:2146813</v>
      </c>
      <c r="J776" s="4" t="s">
        <v>12</v>
      </c>
    </row>
    <row r="777" spans="1:10" x14ac:dyDescent="0.25">
      <c r="A777" s="2">
        <v>1303.41011350945</v>
      </c>
      <c r="B777" s="3">
        <v>1.59487778189693</v>
      </c>
      <c r="C777" s="5">
        <v>3.1714070022935699E-133</v>
      </c>
      <c r="D777" s="6">
        <v>4.8480733399402505E-131</v>
      </c>
      <c r="E777" s="3" t="s">
        <v>268</v>
      </c>
      <c r="F777" s="3" t="s">
        <v>269</v>
      </c>
      <c r="G777" s="3">
        <v>229675</v>
      </c>
      <c r="H777" s="7" t="str">
        <f>HYPERLINK("http://www.ensembl.org/Mus_musculus/Gene/Summary?db=core;g=ENSMUSG00000044098","ENSMUSG00000044098")</f>
        <v>ENSMUSG00000044098</v>
      </c>
      <c r="I777" s="7" t="str">
        <f>HYPERLINK("http://www.informatics.jax.org/marker/MGI:2444993","MGI:2444993")</f>
        <v>MGI:2444993</v>
      </c>
      <c r="J777" s="4" t="s">
        <v>12</v>
      </c>
    </row>
    <row r="778" spans="1:10" x14ac:dyDescent="0.25">
      <c r="A778" s="2">
        <v>2.0518046299766199</v>
      </c>
      <c r="B778" s="3">
        <v>1.5934185790091999</v>
      </c>
      <c r="C778" s="3">
        <v>6.8790835792045205E-4</v>
      </c>
      <c r="D778" s="4">
        <v>2.0751954747118399E-3</v>
      </c>
      <c r="E778" s="3" t="s">
        <v>13083</v>
      </c>
      <c r="F778" s="3" t="s">
        <v>13084</v>
      </c>
      <c r="G778" s="3">
        <v>225638</v>
      </c>
      <c r="H778" s="7" t="str">
        <f>HYPERLINK("http://www.ensembl.org/Mus_musculus/Gene/Summary?db=core;g=ENSMUSG00000032845","ENSMUSG00000032845")</f>
        <v>ENSMUSG00000032845</v>
      </c>
      <c r="I778" s="7" t="str">
        <f>HYPERLINK("http://www.informatics.jax.org/marker/MGI:2449492","MGI:2449492")</f>
        <v>MGI:2449492</v>
      </c>
      <c r="J778" s="4" t="s">
        <v>12</v>
      </c>
    </row>
    <row r="779" spans="1:10" x14ac:dyDescent="0.25">
      <c r="A779" s="2">
        <v>264.18577599763199</v>
      </c>
      <c r="B779" s="3">
        <v>1.59034012106156</v>
      </c>
      <c r="C779" s="5">
        <v>1.0794352674429201E-8</v>
      </c>
      <c r="D779" s="6">
        <v>5.34164704491201E-8</v>
      </c>
      <c r="E779" s="3" t="s">
        <v>7987</v>
      </c>
      <c r="F779" s="3" t="s">
        <v>7988</v>
      </c>
      <c r="G779" s="3">
        <v>17119</v>
      </c>
      <c r="H779" s="7" t="str">
        <f>HYPERLINK("http://www.ensembl.org/Mus_musculus/Gene/Summary?db=core;g=ENSMUSG00000001156","ENSMUSG00000001156")</f>
        <v>ENSMUSG00000001156</v>
      </c>
      <c r="I779" s="7" t="str">
        <f>HYPERLINK("http://www.informatics.jax.org/marker/MGI:96908","MGI:96908")</f>
        <v>MGI:96908</v>
      </c>
      <c r="J779" s="4" t="s">
        <v>12</v>
      </c>
    </row>
    <row r="780" spans="1:10" x14ac:dyDescent="0.25">
      <c r="A780" s="2">
        <v>36.692280291347302</v>
      </c>
      <c r="B780" s="3">
        <v>1.5897481916734599</v>
      </c>
      <c r="C780" s="5">
        <v>3.7165935197417801E-12</v>
      </c>
      <c r="D780" s="6">
        <v>2.4124826928672798E-11</v>
      </c>
      <c r="E780" s="3" t="s">
        <v>6093</v>
      </c>
      <c r="F780" s="3" t="s">
        <v>6094</v>
      </c>
      <c r="G780" s="3">
        <v>620695</v>
      </c>
      <c r="H780" s="7" t="str">
        <f>HYPERLINK("http://www.ensembl.org/Mus_musculus/Gene/Summary?db=core;g=ENSMUSG00000087006","ENSMUSG00000087006")</f>
        <v>ENSMUSG00000087006</v>
      </c>
      <c r="I780" s="7" t="str">
        <f>HYPERLINK("http://www.informatics.jax.org/marker/MGI:3652053","MGI:3652053")</f>
        <v>MGI:3652053</v>
      </c>
      <c r="J780" s="4" t="s">
        <v>12</v>
      </c>
    </row>
    <row r="781" spans="1:10" x14ac:dyDescent="0.25">
      <c r="A781" s="2">
        <v>11.971838619868199</v>
      </c>
      <c r="B781" s="3">
        <v>1.5891638959801</v>
      </c>
      <c r="C781" s="5">
        <v>5.3965678413658505E-7</v>
      </c>
      <c r="D781" s="6">
        <v>2.2960154872003098E-6</v>
      </c>
      <c r="E781" s="3" t="s">
        <v>9285</v>
      </c>
      <c r="F781" s="3" t="s">
        <v>9286</v>
      </c>
      <c r="G781" s="3" t="s">
        <v>83</v>
      </c>
      <c r="H781" s="7" t="str">
        <f>HYPERLINK("http://www.ensembl.org/Mus_musculus/Gene/Summary?db=core;g=ENSMUSG00000102606","ENSMUSG00000102606")</f>
        <v>ENSMUSG00000102606</v>
      </c>
      <c r="I781" s="7" t="str">
        <f>HYPERLINK("http://www.informatics.jax.org/marker/MGI:3647596","MGI:3647596")</f>
        <v>MGI:3647596</v>
      </c>
      <c r="J781" s="4" t="s">
        <v>1043</v>
      </c>
    </row>
    <row r="782" spans="1:10" x14ac:dyDescent="0.25">
      <c r="A782" s="2">
        <v>3525.13790786767</v>
      </c>
      <c r="B782" s="3">
        <v>1.5885516098219501</v>
      </c>
      <c r="C782" s="5">
        <v>5.8104334627483802E-51</v>
      </c>
      <c r="D782" s="6">
        <v>1.5914131650749699E-49</v>
      </c>
      <c r="E782" s="3" t="s">
        <v>1456</v>
      </c>
      <c r="F782" s="3" t="s">
        <v>1457</v>
      </c>
      <c r="G782" s="3">
        <v>14972</v>
      </c>
      <c r="H782" s="7" t="str">
        <f>HYPERLINK("http://www.ensembl.org/Mus_musculus/Gene/Summary?db=core;g=ENSMUSG00000061232","ENSMUSG00000061232")</f>
        <v>ENSMUSG00000061232</v>
      </c>
      <c r="I782" s="7" t="str">
        <f>HYPERLINK("http://www.informatics.jax.org/marker/MGI:95904","MGI:95904")</f>
        <v>MGI:95904</v>
      </c>
      <c r="J782" s="4" t="s">
        <v>12</v>
      </c>
    </row>
    <row r="783" spans="1:10" x14ac:dyDescent="0.25">
      <c r="A783" s="2">
        <v>2725.1141011807699</v>
      </c>
      <c r="B783" s="3">
        <v>1.58844722427125</v>
      </c>
      <c r="C783" s="5">
        <v>6.4175725985884603E-56</v>
      </c>
      <c r="D783" s="6">
        <v>2.03791516335209E-54</v>
      </c>
      <c r="E783" s="3" t="s">
        <v>1258</v>
      </c>
      <c r="F783" s="3" t="s">
        <v>1259</v>
      </c>
      <c r="G783" s="3">
        <v>18844</v>
      </c>
      <c r="H783" s="7" t="str">
        <f>HYPERLINK("http://www.ensembl.org/Mus_musculus/Gene/Summary?db=core;g=ENSMUSG00000030084","ENSMUSG00000030084")</f>
        <v>ENSMUSG00000030084</v>
      </c>
      <c r="I783" s="7" t="str">
        <f>HYPERLINK("http://www.informatics.jax.org/marker/MGI:107685","MGI:107685")</f>
        <v>MGI:107685</v>
      </c>
      <c r="J783" s="4" t="s">
        <v>12</v>
      </c>
    </row>
    <row r="784" spans="1:10" x14ac:dyDescent="0.25">
      <c r="A784" s="2">
        <v>520.14602504670199</v>
      </c>
      <c r="B784" s="3">
        <v>1.5861386964695601</v>
      </c>
      <c r="C784" s="5">
        <v>1.9193970976587E-33</v>
      </c>
      <c r="D784" s="6">
        <v>3.1463433720556602E-32</v>
      </c>
      <c r="E784" s="3" t="s">
        <v>2423</v>
      </c>
      <c r="F784" s="3" t="s">
        <v>2424</v>
      </c>
      <c r="G784" s="3">
        <v>12273</v>
      </c>
      <c r="H784" s="7" t="str">
        <f>HYPERLINK("http://www.ensembl.org/Mus_musculus/Gene/Summary?db=core;g=ENSMUSG00000049130","ENSMUSG00000049130")</f>
        <v>ENSMUSG00000049130</v>
      </c>
      <c r="I784" s="7" t="str">
        <f>HYPERLINK("http://www.informatics.jax.org/marker/MGI:88232","MGI:88232")</f>
        <v>MGI:88232</v>
      </c>
      <c r="J784" s="4" t="s">
        <v>12</v>
      </c>
    </row>
    <row r="785" spans="1:10" x14ac:dyDescent="0.25">
      <c r="A785" s="2">
        <v>5.98081624313585</v>
      </c>
      <c r="B785" s="3">
        <v>1.58565635843644</v>
      </c>
      <c r="C785" s="5">
        <v>6.4090769091114204E-5</v>
      </c>
      <c r="D785" s="4">
        <v>2.2080188093584401E-4</v>
      </c>
      <c r="E785" s="3" t="s">
        <v>11459</v>
      </c>
      <c r="F785" s="3" t="s">
        <v>11460</v>
      </c>
      <c r="G785" s="3" t="s">
        <v>83</v>
      </c>
      <c r="H785" s="7" t="str">
        <f>HYPERLINK("http://www.ensembl.org/Mus_musculus/Gene/Summary?db=core;g=ENSMUSG00000115044","ENSMUSG00000115044")</f>
        <v>ENSMUSG00000115044</v>
      </c>
      <c r="I785" s="7" t="str">
        <f>HYPERLINK("http://www.informatics.jax.org/marker/MGI:6118322","MGI:6118322")</f>
        <v>MGI:6118322</v>
      </c>
      <c r="J785" s="4" t="s">
        <v>1828</v>
      </c>
    </row>
    <row r="786" spans="1:10" x14ac:dyDescent="0.25">
      <c r="A786" s="2">
        <v>2.19001738928509</v>
      </c>
      <c r="B786" s="3">
        <v>1.58467367334328</v>
      </c>
      <c r="C786" s="3">
        <v>6.8123894617467997E-4</v>
      </c>
      <c r="D786" s="4">
        <v>2.05833000672776E-3</v>
      </c>
      <c r="E786" s="3" t="s">
        <v>13063</v>
      </c>
      <c r="F786" s="3" t="s">
        <v>13064</v>
      </c>
      <c r="G786" s="3" t="s">
        <v>83</v>
      </c>
      <c r="H786" s="7" t="str">
        <f>HYPERLINK("http://www.ensembl.org/Mus_musculus/Gene/Summary?db=core;g=ENSMUSG00000087593","ENSMUSG00000087593")</f>
        <v>ENSMUSG00000087593</v>
      </c>
      <c r="I786" s="7" t="str">
        <f>HYPERLINK("http://www.informatics.jax.org/marker/MGI:3801857","MGI:3801857")</f>
        <v>MGI:3801857</v>
      </c>
      <c r="J786" s="4" t="s">
        <v>932</v>
      </c>
    </row>
    <row r="787" spans="1:10" x14ac:dyDescent="0.25">
      <c r="A787" s="2">
        <v>673.29376174542199</v>
      </c>
      <c r="B787" s="3">
        <v>1.5823868808035</v>
      </c>
      <c r="C787" s="5">
        <v>7.3864309076681104E-57</v>
      </c>
      <c r="D787" s="6">
        <v>2.4115963162121699E-55</v>
      </c>
      <c r="E787" s="3" t="s">
        <v>1224</v>
      </c>
      <c r="F787" s="3" t="s">
        <v>1225</v>
      </c>
      <c r="G787" s="3" t="s">
        <v>83</v>
      </c>
      <c r="H787" s="7" t="str">
        <f>HYPERLINK("http://www.ensembl.org/Mus_musculus/Gene/Summary?db=core;g=ENSMUSG00000085894","ENSMUSG00000085894")</f>
        <v>ENSMUSG00000085894</v>
      </c>
      <c r="I787" s="7" t="str">
        <f>HYPERLINK("http://www.informatics.jax.org/marker/MGI:3834078","MGI:3834078")</f>
        <v>MGI:3834078</v>
      </c>
      <c r="J787" s="4" t="s">
        <v>331</v>
      </c>
    </row>
    <row r="788" spans="1:10" x14ac:dyDescent="0.25">
      <c r="A788" s="2">
        <v>7.3175623932281599</v>
      </c>
      <c r="B788" s="3">
        <v>1.5815431361886101</v>
      </c>
      <c r="C788" s="5">
        <v>6.83994068048645E-5</v>
      </c>
      <c r="D788" s="4">
        <v>2.3462103012557401E-4</v>
      </c>
      <c r="E788" s="3" t="s">
        <v>11509</v>
      </c>
      <c r="F788" s="3" t="s">
        <v>11510</v>
      </c>
      <c r="G788" s="3" t="s">
        <v>83</v>
      </c>
      <c r="H788" s="7" t="str">
        <f>HYPERLINK("http://www.ensembl.org/Mus_musculus/Gene/Summary?db=core;g=ENSMUSG00000093392","ENSMUSG00000093392")</f>
        <v>ENSMUSG00000093392</v>
      </c>
      <c r="I788" s="7" t="str">
        <f>HYPERLINK("http://www.informatics.jax.org/marker/MGI:3648621","MGI:3648621")</f>
        <v>MGI:3648621</v>
      </c>
      <c r="J788" s="4" t="s">
        <v>5705</v>
      </c>
    </row>
    <row r="789" spans="1:10" x14ac:dyDescent="0.25">
      <c r="A789" s="2">
        <v>45.567007046399098</v>
      </c>
      <c r="B789" s="3">
        <v>1.58153038997191</v>
      </c>
      <c r="C789" s="5">
        <v>5.2350989731829195E-19</v>
      </c>
      <c r="D789" s="6">
        <v>4.9800362639250999E-18</v>
      </c>
      <c r="E789" s="3" t="s">
        <v>4163</v>
      </c>
      <c r="F789" s="3" t="s">
        <v>4164</v>
      </c>
      <c r="G789" s="3" t="s">
        <v>83</v>
      </c>
      <c r="H789" s="7" t="str">
        <f>HYPERLINK("http://www.ensembl.org/Mus_musculus/Gene/Summary?db=core;g=ENSMUSG00000099843","ENSMUSG00000099843")</f>
        <v>ENSMUSG00000099843</v>
      </c>
      <c r="I789" s="7" t="str">
        <f>HYPERLINK("http://www.informatics.jax.org/marker/MGI:3646078","MGI:3646078")</f>
        <v>MGI:3646078</v>
      </c>
      <c r="J789" s="4" t="s">
        <v>939</v>
      </c>
    </row>
    <row r="790" spans="1:10" x14ac:dyDescent="0.25">
      <c r="A790" s="2">
        <v>51.144707540493002</v>
      </c>
      <c r="B790" s="3">
        <v>1.58143909775485</v>
      </c>
      <c r="C790" s="5">
        <v>9.0983038437285305E-14</v>
      </c>
      <c r="D790" s="6">
        <v>6.5124701197214797E-13</v>
      </c>
      <c r="E790" s="3" t="s">
        <v>5527</v>
      </c>
      <c r="F790" s="3" t="s">
        <v>5528</v>
      </c>
      <c r="G790" s="3">
        <v>319710</v>
      </c>
      <c r="H790" s="7" t="str">
        <f>HYPERLINK("http://www.ensembl.org/Mus_musculus/Gene/Summary?db=core;g=ENSMUSG00000048285","ENSMUSG00000048285")</f>
        <v>ENSMUSG00000048285</v>
      </c>
      <c r="I790" s="7" t="str">
        <f>HYPERLINK("http://www.informatics.jax.org/marker/MGI:2442579","MGI:2442579")</f>
        <v>MGI:2442579</v>
      </c>
      <c r="J790" s="4" t="s">
        <v>12</v>
      </c>
    </row>
    <row r="791" spans="1:10" x14ac:dyDescent="0.25">
      <c r="A791" s="2">
        <v>3.2720471651458798</v>
      </c>
      <c r="B791" s="3">
        <v>1.58028468700953</v>
      </c>
      <c r="C791" s="3">
        <v>5.9085052669516499E-4</v>
      </c>
      <c r="D791" s="4">
        <v>1.8030907437989201E-3</v>
      </c>
      <c r="E791" s="3" t="s">
        <v>12933</v>
      </c>
      <c r="F791" s="3" t="s">
        <v>12934</v>
      </c>
      <c r="G791" s="3" t="s">
        <v>83</v>
      </c>
      <c r="H791" s="7" t="str">
        <f>HYPERLINK("http://www.ensembl.org/Mus_musculus/Gene/Summary?db=core;g=ENSMUSG00000097028","ENSMUSG00000097028")</f>
        <v>ENSMUSG00000097028</v>
      </c>
      <c r="I791" s="7" t="str">
        <f>HYPERLINK("http://www.informatics.jax.org/marker/MGI:2443180","MGI:2443180")</f>
        <v>MGI:2443180</v>
      </c>
      <c r="J791" s="4" t="s">
        <v>331</v>
      </c>
    </row>
    <row r="792" spans="1:10" x14ac:dyDescent="0.25">
      <c r="A792" s="2">
        <v>1.5513971689377799</v>
      </c>
      <c r="B792" s="3">
        <v>1.57891466961145</v>
      </c>
      <c r="C792" s="3">
        <v>7.5508892472814497E-4</v>
      </c>
      <c r="D792" s="4">
        <v>2.2674514383491701E-3</v>
      </c>
      <c r="E792" s="3" t="s">
        <v>13143</v>
      </c>
      <c r="F792" s="3" t="s">
        <v>13144</v>
      </c>
      <c r="G792" s="3" t="s">
        <v>83</v>
      </c>
      <c r="H792" s="7" t="str">
        <f>HYPERLINK("http://www.ensembl.org/Mus_musculus/Gene/Summary?db=core;g=ENSMUSG00000109424","ENSMUSG00000109424")</f>
        <v>ENSMUSG00000109424</v>
      </c>
      <c r="I792" s="7" t="str">
        <f>HYPERLINK("http://www.informatics.jax.org/marker/MGI:5753234","MGI:5753234")</f>
        <v>MGI:5753234</v>
      </c>
      <c r="J792" s="4" t="s">
        <v>939</v>
      </c>
    </row>
    <row r="793" spans="1:10" x14ac:dyDescent="0.25">
      <c r="A793" s="2">
        <v>35.571167763773403</v>
      </c>
      <c r="B793" s="3">
        <v>1.5780085768285801</v>
      </c>
      <c r="C793" s="5">
        <v>4.3773801282232298E-12</v>
      </c>
      <c r="D793" s="6">
        <v>2.8187343448792999E-11</v>
      </c>
      <c r="E793" s="3" t="s">
        <v>6141</v>
      </c>
      <c r="F793" s="3" t="s">
        <v>6142</v>
      </c>
      <c r="G793" s="3" t="s">
        <v>83</v>
      </c>
      <c r="H793" s="7" t="str">
        <f>HYPERLINK("http://www.ensembl.org/Mus_musculus/Gene/Summary?db=core;g=ENSMUSG00000113769","ENSMUSG00000113769")</f>
        <v>ENSMUSG00000113769</v>
      </c>
      <c r="I793" s="7" t="str">
        <f>HYPERLINK("http://www.informatics.jax.org/marker/MGI:1923205","MGI:1923205")</f>
        <v>MGI:1923205</v>
      </c>
      <c r="J793" s="4" t="s">
        <v>939</v>
      </c>
    </row>
    <row r="794" spans="1:10" x14ac:dyDescent="0.25">
      <c r="A794" s="2">
        <v>161.553639353688</v>
      </c>
      <c r="B794" s="3">
        <v>1.5776991249294099</v>
      </c>
      <c r="C794" s="5">
        <v>8.2964834377081102E-15</v>
      </c>
      <c r="D794" s="6">
        <v>6.3168592043090295E-14</v>
      </c>
      <c r="E794" s="3" t="s">
        <v>5197</v>
      </c>
      <c r="F794" s="3" t="s">
        <v>5198</v>
      </c>
      <c r="G794" s="3">
        <v>245240</v>
      </c>
      <c r="H794" s="7" t="str">
        <f>HYPERLINK("http://www.ensembl.org/Mus_musculus/Gene/Summary?db=core;g=ENSMUSG00000069892","ENSMUSG00000069892")</f>
        <v>ENSMUSG00000069892</v>
      </c>
      <c r="I794" s="7" t="str">
        <f>HYPERLINK("http://www.informatics.jax.org/marker/MGI:3711310","MGI:3711310")</f>
        <v>MGI:3711310</v>
      </c>
      <c r="J794" s="4" t="s">
        <v>12</v>
      </c>
    </row>
    <row r="795" spans="1:10" x14ac:dyDescent="0.25">
      <c r="A795" s="2">
        <v>1193.37770724956</v>
      </c>
      <c r="B795" s="3">
        <v>1.57597892081792</v>
      </c>
      <c r="C795" s="5">
        <v>1.49990660558064E-34</v>
      </c>
      <c r="D795" s="6">
        <v>2.5564527452074502E-33</v>
      </c>
      <c r="E795" s="3" t="s">
        <v>2331</v>
      </c>
      <c r="F795" s="3" t="s">
        <v>2332</v>
      </c>
      <c r="G795" s="3">
        <v>12306</v>
      </c>
      <c r="H795" s="7" t="str">
        <f>HYPERLINK("http://www.ensembl.org/Mus_musculus/Gene/Summary?db=core;g=ENSMUSG00000032231","ENSMUSG00000032231")</f>
        <v>ENSMUSG00000032231</v>
      </c>
      <c r="I795" s="7" t="str">
        <f>HYPERLINK("http://www.informatics.jax.org/marker/MGI:88246","MGI:88246")</f>
        <v>MGI:88246</v>
      </c>
      <c r="J795" s="4" t="s">
        <v>12</v>
      </c>
    </row>
    <row r="796" spans="1:10" x14ac:dyDescent="0.25">
      <c r="A796" s="2">
        <v>3.4646331818715801</v>
      </c>
      <c r="B796" s="3">
        <v>1.57374258490352</v>
      </c>
      <c r="C796" s="3">
        <v>6.0510754831932302E-4</v>
      </c>
      <c r="D796" s="4">
        <v>1.8431759117789701E-3</v>
      </c>
      <c r="E796" s="3" t="s">
        <v>12957</v>
      </c>
      <c r="F796" s="3" t="s">
        <v>12958</v>
      </c>
      <c r="G796" s="3">
        <v>20289</v>
      </c>
      <c r="H796" s="7" t="str">
        <f>HYPERLINK("http://www.ensembl.org/Mus_musculus/Gene/Summary?db=core;g=ENSMUSG00000034161","ENSMUSG00000034161")</f>
        <v>ENSMUSG00000034161</v>
      </c>
      <c r="I796" s="7" t="str">
        <f>HYPERLINK("http://www.informatics.jax.org/marker/MGI:102934","MGI:102934")</f>
        <v>MGI:102934</v>
      </c>
      <c r="J796" s="4" t="s">
        <v>12</v>
      </c>
    </row>
    <row r="797" spans="1:10" x14ac:dyDescent="0.25">
      <c r="A797" s="2">
        <v>8.3846075642254796</v>
      </c>
      <c r="B797" s="3">
        <v>1.5733231372966401</v>
      </c>
      <c r="C797" s="3">
        <v>1.57070092615593E-4</v>
      </c>
      <c r="D797" s="4">
        <v>5.1675379152143802E-4</v>
      </c>
      <c r="E797" s="3" t="s">
        <v>11999</v>
      </c>
      <c r="F797" s="3" t="s">
        <v>12000</v>
      </c>
      <c r="G797" s="3">
        <v>18104</v>
      </c>
      <c r="H797" s="7" t="str">
        <f>HYPERLINK("http://www.ensembl.org/Mus_musculus/Gene/Summary?db=core;g=ENSMUSG00000003849","ENSMUSG00000003849")</f>
        <v>ENSMUSG00000003849</v>
      </c>
      <c r="I797" s="7" t="str">
        <f>HYPERLINK("http://www.informatics.jax.org/marker/MGI:103187","MGI:103187")</f>
        <v>MGI:103187</v>
      </c>
      <c r="J797" s="4" t="s">
        <v>12</v>
      </c>
    </row>
    <row r="798" spans="1:10" x14ac:dyDescent="0.25">
      <c r="A798" s="2">
        <v>1517.50004972587</v>
      </c>
      <c r="B798" s="3">
        <v>1.57168276647242</v>
      </c>
      <c r="C798" s="5">
        <v>1.04592247229094E-39</v>
      </c>
      <c r="D798" s="6">
        <v>2.1068019564430401E-38</v>
      </c>
      <c r="E798" s="3" t="s">
        <v>1975</v>
      </c>
      <c r="F798" s="3" t="s">
        <v>1976</v>
      </c>
      <c r="G798" s="3">
        <v>17769</v>
      </c>
      <c r="H798" s="7" t="str">
        <f>HYPERLINK("http://www.ensembl.org/Mus_musculus/Gene/Summary?db=core;g=ENSMUSG00000029009","ENSMUSG00000029009")</f>
        <v>ENSMUSG00000029009</v>
      </c>
      <c r="I798" s="7" t="str">
        <f>HYPERLINK("http://www.informatics.jax.org/marker/MGI:106639","MGI:106639")</f>
        <v>MGI:106639</v>
      </c>
      <c r="J798" s="4" t="s">
        <v>12</v>
      </c>
    </row>
    <row r="799" spans="1:10" x14ac:dyDescent="0.25">
      <c r="A799" s="2">
        <v>1592.64792848711</v>
      </c>
      <c r="B799" s="3">
        <v>1.5696902506209101</v>
      </c>
      <c r="C799" s="5">
        <v>1.72777485101666E-186</v>
      </c>
      <c r="D799" s="6">
        <v>6.0842357253658003E-184</v>
      </c>
      <c r="E799" s="3" t="s">
        <v>122</v>
      </c>
      <c r="F799" s="3" t="s">
        <v>123</v>
      </c>
      <c r="G799" s="3">
        <v>241075</v>
      </c>
      <c r="H799" s="7" t="str">
        <f>HYPERLINK("http://www.ensembl.org/Mus_musculus/Gene/Summary?db=core;g=ENSMUSG00000051344","ENSMUSG00000051344")</f>
        <v>ENSMUSG00000051344</v>
      </c>
      <c r="I799" s="7" t="str">
        <f>HYPERLINK("http://www.informatics.jax.org/marker/MGI:2443627","MGI:2443627")</f>
        <v>MGI:2443627</v>
      </c>
      <c r="J799" s="4" t="s">
        <v>12</v>
      </c>
    </row>
    <row r="800" spans="1:10" x14ac:dyDescent="0.25">
      <c r="A800" s="2">
        <v>2188.4498916078801</v>
      </c>
      <c r="B800" s="3">
        <v>1.5690456723523301</v>
      </c>
      <c r="C800" s="5">
        <v>1.18900596961378E-67</v>
      </c>
      <c r="D800" s="6">
        <v>5.2220930335821196E-66</v>
      </c>
      <c r="E800" s="3" t="s">
        <v>910</v>
      </c>
      <c r="F800" s="3" t="s">
        <v>911</v>
      </c>
      <c r="G800" s="3">
        <v>208263</v>
      </c>
      <c r="H800" s="7" t="str">
        <f>HYPERLINK("http://www.ensembl.org/Mus_musculus/Gene/Summary?db=core;g=ENSMUSG00000026466","ENSMUSG00000026466")</f>
        <v>ENSMUSG00000026466</v>
      </c>
      <c r="I800" s="7" t="str">
        <f>HYPERLINK("http://www.informatics.jax.org/marker/MGI:3582693","MGI:3582693")</f>
        <v>MGI:3582693</v>
      </c>
      <c r="J800" s="4" t="s">
        <v>12</v>
      </c>
    </row>
    <row r="801" spans="1:10" x14ac:dyDescent="0.25">
      <c r="A801" s="2">
        <v>19.6840489238588</v>
      </c>
      <c r="B801" s="3">
        <v>1.56795426276594</v>
      </c>
      <c r="C801" s="5">
        <v>1.5630130043586401E-7</v>
      </c>
      <c r="D801" s="6">
        <v>6.9561309966039997E-7</v>
      </c>
      <c r="E801" s="3" t="s">
        <v>8879</v>
      </c>
      <c r="F801" s="3" t="s">
        <v>8880</v>
      </c>
      <c r="G801" s="3" t="s">
        <v>83</v>
      </c>
      <c r="H801" s="7" t="str">
        <f>HYPERLINK("http://www.ensembl.org/Mus_musculus/Gene/Summary?db=core;g=ENSMUSG00000100658","ENSMUSG00000100658")</f>
        <v>ENSMUSG00000100658</v>
      </c>
      <c r="I801" s="7" t="str">
        <f>HYPERLINK("http://www.informatics.jax.org/marker/MGI:3643355","MGI:3643355")</f>
        <v>MGI:3643355</v>
      </c>
      <c r="J801" s="4" t="s">
        <v>939</v>
      </c>
    </row>
    <row r="802" spans="1:10" x14ac:dyDescent="0.25">
      <c r="A802" s="2">
        <v>4.3309036446612001</v>
      </c>
      <c r="B802" s="3">
        <v>1.5676338521967399</v>
      </c>
      <c r="C802" s="3">
        <v>1.9593502062407401E-4</v>
      </c>
      <c r="D802" s="4">
        <v>6.3665160763004297E-4</v>
      </c>
      <c r="E802" s="3" t="s">
        <v>12149</v>
      </c>
      <c r="F802" s="3" t="s">
        <v>12150</v>
      </c>
      <c r="G802" s="3">
        <v>69543</v>
      </c>
      <c r="H802" s="7" t="str">
        <f>HYPERLINK("http://www.ensembl.org/Mus_musculus/Gene/Summary?db=core;g=ENSMUSG00000078144","ENSMUSG00000078144")</f>
        <v>ENSMUSG00000078144</v>
      </c>
      <c r="I802" s="7" t="str">
        <f>HYPERLINK("http://www.informatics.jax.org/marker/MGI:1916793","MGI:1916793")</f>
        <v>MGI:1916793</v>
      </c>
      <c r="J802" s="4" t="s">
        <v>12</v>
      </c>
    </row>
    <row r="803" spans="1:10" x14ac:dyDescent="0.25">
      <c r="A803" s="2">
        <v>4021.4858128020801</v>
      </c>
      <c r="B803" s="3">
        <v>1.5657722023835301</v>
      </c>
      <c r="C803" s="5">
        <v>9.92556337059212E-226</v>
      </c>
      <c r="D803" s="6">
        <v>5.1508449912651702E-223</v>
      </c>
      <c r="E803" s="3" t="s">
        <v>86</v>
      </c>
      <c r="F803" s="3" t="s">
        <v>87</v>
      </c>
      <c r="G803" s="3">
        <v>192185</v>
      </c>
      <c r="H803" s="7" t="str">
        <f>HYPERLINK("http://www.ensembl.org/Mus_musculus/Gene/Summary?db=core;g=ENSMUSG00000029063","ENSMUSG00000029063")</f>
        <v>ENSMUSG00000029063</v>
      </c>
      <c r="I803" s="7" t="str">
        <f>HYPERLINK("http://www.informatics.jax.org/marker/MGI:2183149","MGI:2183149")</f>
        <v>MGI:2183149</v>
      </c>
      <c r="J803" s="4" t="s">
        <v>12</v>
      </c>
    </row>
    <row r="804" spans="1:10" x14ac:dyDescent="0.25">
      <c r="A804" s="2">
        <v>1546.40116615736</v>
      </c>
      <c r="B804" s="3">
        <v>1.5647346818793899</v>
      </c>
      <c r="C804" s="5">
        <v>9.3698633604950896E-104</v>
      </c>
      <c r="D804" s="6">
        <v>7.9302019514576505E-102</v>
      </c>
      <c r="E804" s="3" t="s">
        <v>478</v>
      </c>
      <c r="F804" s="3" t="s">
        <v>479</v>
      </c>
      <c r="G804" s="3">
        <v>30938</v>
      </c>
      <c r="H804" s="7" t="str">
        <f>HYPERLINK("http://www.ensembl.org/Mus_musculus/Gene/Summary?db=core;g=ENSMUSG00000037946","ENSMUSG00000037946")</f>
        <v>ENSMUSG00000037946</v>
      </c>
      <c r="I804" s="7" t="str">
        <f>HYPERLINK("http://www.informatics.jax.org/marker/MGI:1353657","MGI:1353657")</f>
        <v>MGI:1353657</v>
      </c>
      <c r="J804" s="4" t="s">
        <v>12</v>
      </c>
    </row>
    <row r="805" spans="1:10" x14ac:dyDescent="0.25">
      <c r="A805" s="2">
        <v>4.9994682068048402</v>
      </c>
      <c r="B805" s="3">
        <v>1.5641354246317101</v>
      </c>
      <c r="C805" s="3">
        <v>1.7314948918452499E-4</v>
      </c>
      <c r="D805" s="4">
        <v>5.6578424634943299E-4</v>
      </c>
      <c r="E805" s="3" t="s">
        <v>12081</v>
      </c>
      <c r="F805" s="3" t="s">
        <v>12082</v>
      </c>
      <c r="G805" s="3">
        <v>71740</v>
      </c>
      <c r="H805" s="7" t="str">
        <f>HYPERLINK("http://www.ensembl.org/Mus_musculus/Gene/Summary?db=core;g=ENSMUSG00000006411","ENSMUSG00000006411")</f>
        <v>ENSMUSG00000006411</v>
      </c>
      <c r="I805" s="7" t="str">
        <f>HYPERLINK("http://www.informatics.jax.org/marker/MGI:1918990","MGI:1918990")</f>
        <v>MGI:1918990</v>
      </c>
      <c r="J805" s="4" t="s">
        <v>12</v>
      </c>
    </row>
    <row r="806" spans="1:10" x14ac:dyDescent="0.25">
      <c r="A806" s="2">
        <v>40.005449307459699</v>
      </c>
      <c r="B806" s="3">
        <v>1.5640078407192599</v>
      </c>
      <c r="C806" s="5">
        <v>1.6433656118886201E-15</v>
      </c>
      <c r="D806" s="6">
        <v>1.29628679465775E-14</v>
      </c>
      <c r="E806" s="3" t="s">
        <v>5017</v>
      </c>
      <c r="F806" s="3" t="s">
        <v>5018</v>
      </c>
      <c r="G806" s="3">
        <v>282663</v>
      </c>
      <c r="H806" s="7" t="str">
        <f>HYPERLINK("http://www.ensembl.org/Mus_musculus/Gene/Summary?db=core;g=ENSMUSG00000051029","ENSMUSG00000051029")</f>
        <v>ENSMUSG00000051029</v>
      </c>
      <c r="I806" s="7" t="str">
        <f>HYPERLINK("http://www.informatics.jax.org/marker/MGI:2445361","MGI:2445361")</f>
        <v>MGI:2445361</v>
      </c>
      <c r="J806" s="4" t="s">
        <v>12</v>
      </c>
    </row>
    <row r="807" spans="1:10" x14ac:dyDescent="0.25">
      <c r="A807" s="2">
        <v>149.44529971332099</v>
      </c>
      <c r="B807" s="3">
        <v>1.56170456969866</v>
      </c>
      <c r="C807" s="5">
        <v>4.0268029633652604E-9</v>
      </c>
      <c r="D807" s="6">
        <v>2.06095391740366E-8</v>
      </c>
      <c r="E807" s="3" t="s">
        <v>7722</v>
      </c>
      <c r="F807" s="3" t="s">
        <v>7723</v>
      </c>
      <c r="G807" s="3">
        <v>16912</v>
      </c>
      <c r="H807" s="7" t="str">
        <f>HYPERLINK("http://www.ensembl.org/Mus_musculus/Gene/Summary?db=core;g=ENSMUSG00000096727","ENSMUSG00000096727")</f>
        <v>ENSMUSG00000096727</v>
      </c>
      <c r="I807" s="7" t="str">
        <f>HYPERLINK("http://www.informatics.jax.org/marker/MGI:1346526","MGI:1346526")</f>
        <v>MGI:1346526</v>
      </c>
      <c r="J807" s="4" t="s">
        <v>12</v>
      </c>
    </row>
    <row r="808" spans="1:10" x14ac:dyDescent="0.25">
      <c r="A808" s="2">
        <v>653.40048081596001</v>
      </c>
      <c r="B808" s="3">
        <v>1.56044439502439</v>
      </c>
      <c r="C808" s="5">
        <v>1.00554774739594E-11</v>
      </c>
      <c r="D808" s="6">
        <v>6.27910119653196E-11</v>
      </c>
      <c r="E808" s="3" t="s">
        <v>6333</v>
      </c>
      <c r="F808" s="3" t="s">
        <v>6334</v>
      </c>
      <c r="G808" s="3">
        <v>19073</v>
      </c>
      <c r="H808" s="7" t="str">
        <f>HYPERLINK("http://www.ensembl.org/Mus_musculus/Gene/Summary?db=core;g=ENSMUSG00000020077","ENSMUSG00000020077")</f>
        <v>ENSMUSG00000020077</v>
      </c>
      <c r="I808" s="7" t="str">
        <f>HYPERLINK("http://www.informatics.jax.org/marker/MGI:97756","MGI:97756")</f>
        <v>MGI:97756</v>
      </c>
      <c r="J808" s="4" t="s">
        <v>12</v>
      </c>
    </row>
    <row r="809" spans="1:10" x14ac:dyDescent="0.25">
      <c r="A809" s="2">
        <v>1.19615394948607</v>
      </c>
      <c r="B809" s="3">
        <v>1.5594505725745</v>
      </c>
      <c r="C809" s="3">
        <v>6.3562516661498799E-4</v>
      </c>
      <c r="D809" s="4">
        <v>1.9283889670227E-3</v>
      </c>
      <c r="E809" s="3" t="s">
        <v>13009</v>
      </c>
      <c r="F809" s="3" t="s">
        <v>13010</v>
      </c>
      <c r="G809" s="3" t="s">
        <v>83</v>
      </c>
      <c r="H809" s="7" t="str">
        <f>HYPERLINK("http://www.ensembl.org/Mus_musculus/Gene/Summary?db=core;g=ENSMUSG00000116338","ENSMUSG00000116338")</f>
        <v>ENSMUSG00000116338</v>
      </c>
      <c r="I809" s="7" t="str">
        <f>HYPERLINK("http://www.informatics.jax.org/marker/MGI:2443906","MGI:2443906")</f>
        <v>MGI:2443906</v>
      </c>
      <c r="J809" s="4" t="s">
        <v>939</v>
      </c>
    </row>
    <row r="810" spans="1:10" x14ac:dyDescent="0.25">
      <c r="A810" s="2">
        <v>1.1869882795600999</v>
      </c>
      <c r="B810" s="3">
        <v>1.5580712381713</v>
      </c>
      <c r="C810" s="3">
        <v>5.8585407963086399E-4</v>
      </c>
      <c r="D810" s="4">
        <v>1.7889505187861001E-3</v>
      </c>
      <c r="E810" s="3" t="s">
        <v>12925</v>
      </c>
      <c r="F810" s="3" t="s">
        <v>12926</v>
      </c>
      <c r="G810" s="3" t="s">
        <v>83</v>
      </c>
      <c r="H810" s="7" t="str">
        <f>HYPERLINK("http://www.ensembl.org/Mus_musculus/Gene/Summary?db=core;g=ENSMUSG00000117571","ENSMUSG00000117571")</f>
        <v>ENSMUSG00000117571</v>
      </c>
      <c r="I810" s="7" t="str">
        <f>HYPERLINK("http://www.informatics.jax.org/marker/MGI:1921723","MGI:1921723")</f>
        <v>MGI:1921723</v>
      </c>
      <c r="J810" s="4" t="s">
        <v>939</v>
      </c>
    </row>
    <row r="811" spans="1:10" x14ac:dyDescent="0.25">
      <c r="A811" s="2">
        <v>2.0803173921081699</v>
      </c>
      <c r="B811" s="3">
        <v>1.5557651308510401</v>
      </c>
      <c r="C811" s="3">
        <v>9.1867302987692196E-4</v>
      </c>
      <c r="D811" s="4">
        <v>2.7242454359658499E-3</v>
      </c>
      <c r="E811" s="3" t="s">
        <v>13308</v>
      </c>
      <c r="F811" s="3" t="s">
        <v>13309</v>
      </c>
      <c r="G811" s="3" t="s">
        <v>83</v>
      </c>
      <c r="H811" s="7" t="str">
        <f>HYPERLINK("http://www.ensembl.org/Mus_musculus/Gene/Summary?db=core;g=ENSMUSG00000109706","ENSMUSG00000109706")</f>
        <v>ENSMUSG00000109706</v>
      </c>
      <c r="I811" s="7" t="str">
        <f>HYPERLINK("http://www.informatics.jax.org/marker/MGI:104623","MGI:104623")</f>
        <v>MGI:104623</v>
      </c>
      <c r="J811" s="4" t="s">
        <v>1043</v>
      </c>
    </row>
    <row r="812" spans="1:10" x14ac:dyDescent="0.25">
      <c r="A812" s="2">
        <v>6207.4103318736697</v>
      </c>
      <c r="B812" s="3">
        <v>1.55515877125161</v>
      </c>
      <c r="C812" s="5">
        <v>3.8962174813000398E-81</v>
      </c>
      <c r="D812" s="6">
        <v>2.3073095715086099E-79</v>
      </c>
      <c r="E812" s="3" t="s">
        <v>678</v>
      </c>
      <c r="F812" s="3" t="s">
        <v>679</v>
      </c>
      <c r="G812" s="3">
        <v>68585</v>
      </c>
      <c r="H812" s="7" t="str">
        <f>HYPERLINK("http://www.ensembl.org/Mus_musculus/Gene/Summary?db=core;g=ENSMUSG00000020458","ENSMUSG00000020458")</f>
        <v>ENSMUSG00000020458</v>
      </c>
      <c r="I812" s="7" t="str">
        <f>HYPERLINK("http://www.informatics.jax.org/marker/MGI:1915835","MGI:1915835")</f>
        <v>MGI:1915835</v>
      </c>
      <c r="J812" s="4" t="s">
        <v>12</v>
      </c>
    </row>
    <row r="813" spans="1:10" x14ac:dyDescent="0.25">
      <c r="A813" s="2">
        <v>1.50364369837679</v>
      </c>
      <c r="B813" s="3">
        <v>1.5544444849557899</v>
      </c>
      <c r="C813" s="3">
        <v>6.92757807852136E-4</v>
      </c>
      <c r="D813" s="4">
        <v>2.0885467009393302E-3</v>
      </c>
      <c r="E813" s="3" t="s">
        <v>13091</v>
      </c>
      <c r="F813" s="3" t="s">
        <v>13092</v>
      </c>
      <c r="G813" s="3" t="s">
        <v>83</v>
      </c>
      <c r="H813" s="7" t="str">
        <f>HYPERLINK("http://www.ensembl.org/Mus_musculus/Gene/Summary?db=core;g=ENSMUSG00000112963","ENSMUSG00000112963")</f>
        <v>ENSMUSG00000112963</v>
      </c>
      <c r="I813" s="7" t="str">
        <f>HYPERLINK("http://www.informatics.jax.org/marker/MGI:3648840","MGI:3648840")</f>
        <v>MGI:3648840</v>
      </c>
      <c r="J813" s="4" t="s">
        <v>939</v>
      </c>
    </row>
    <row r="814" spans="1:10" x14ac:dyDescent="0.25">
      <c r="A814" s="2">
        <v>1.90037001210532</v>
      </c>
      <c r="B814" s="3">
        <v>1.55403423088155</v>
      </c>
      <c r="C814" s="3">
        <v>9.3526880560498198E-4</v>
      </c>
      <c r="D814" s="4">
        <v>2.76846305111532E-3</v>
      </c>
      <c r="E814" s="3" t="s">
        <v>13332</v>
      </c>
      <c r="F814" s="3" t="s">
        <v>13333</v>
      </c>
      <c r="G814" s="3" t="s">
        <v>83</v>
      </c>
      <c r="H814" s="7" t="str">
        <f>HYPERLINK("http://www.ensembl.org/Mus_musculus/Gene/Summary?db=core;g=ENSMUSG00000098609","ENSMUSG00000098609")</f>
        <v>ENSMUSG00000098609</v>
      </c>
      <c r="I814" s="7" t="str">
        <f>HYPERLINK("http://www.informatics.jax.org/marker/MGI:3642737","MGI:3642737")</f>
        <v>MGI:3642737</v>
      </c>
      <c r="J814" s="4" t="s">
        <v>932</v>
      </c>
    </row>
    <row r="815" spans="1:10" x14ac:dyDescent="0.25">
      <c r="A815" s="2">
        <v>2.6969138702314899</v>
      </c>
      <c r="B815" s="3">
        <v>1.5512098511370001</v>
      </c>
      <c r="C815" s="3">
        <v>7.7898469154485798E-4</v>
      </c>
      <c r="D815" s="4">
        <v>2.3338769549171401E-3</v>
      </c>
      <c r="E815" s="3" t="s">
        <v>13173</v>
      </c>
      <c r="F815" s="3" t="s">
        <v>13174</v>
      </c>
      <c r="G815" s="3" t="s">
        <v>83</v>
      </c>
      <c r="H815" s="7" t="str">
        <f>HYPERLINK("http://www.ensembl.org/Mus_musculus/Gene/Summary?db=core;g=ENSMUSG00000111148","ENSMUSG00000111148")</f>
        <v>ENSMUSG00000111148</v>
      </c>
      <c r="I815" s="7" t="str">
        <f>HYPERLINK("http://www.informatics.jax.org/marker/MGI:3780943","MGI:3780943")</f>
        <v>MGI:3780943</v>
      </c>
      <c r="J815" s="4" t="s">
        <v>1043</v>
      </c>
    </row>
    <row r="816" spans="1:10" x14ac:dyDescent="0.25">
      <c r="A816" s="2">
        <v>2995.3178601914201</v>
      </c>
      <c r="B816" s="3">
        <v>1.55028460437065</v>
      </c>
      <c r="C816" s="5">
        <v>3.29500039645846E-61</v>
      </c>
      <c r="D816" s="6">
        <v>1.23531193570648E-59</v>
      </c>
      <c r="E816" s="3" t="s">
        <v>1068</v>
      </c>
      <c r="F816" s="3" t="s">
        <v>1069</v>
      </c>
      <c r="G816" s="3">
        <v>26373</v>
      </c>
      <c r="H816" s="7" t="str">
        <f>HYPERLINK("http://www.ensembl.org/Mus_musculus/Gene/Summary?db=core;g=ENSMUSG00000036636","ENSMUSG00000036636")</f>
        <v>ENSMUSG00000036636</v>
      </c>
      <c r="I816" s="7" t="str">
        <f>HYPERLINK("http://www.informatics.jax.org/marker/MGI:1347048","MGI:1347048")</f>
        <v>MGI:1347048</v>
      </c>
      <c r="J816" s="4" t="s">
        <v>12</v>
      </c>
    </row>
    <row r="817" spans="1:10" x14ac:dyDescent="0.25">
      <c r="A817" s="2">
        <v>777.16725876466296</v>
      </c>
      <c r="B817" s="3">
        <v>1.5478255692401099</v>
      </c>
      <c r="C817" s="5">
        <v>1.11855415794807E-59</v>
      </c>
      <c r="D817" s="6">
        <v>3.9959942019449303E-58</v>
      </c>
      <c r="E817" s="3" t="s">
        <v>1120</v>
      </c>
      <c r="F817" s="3" t="s">
        <v>1121</v>
      </c>
      <c r="G817" s="3">
        <v>22782</v>
      </c>
      <c r="H817" s="7" t="str">
        <f>HYPERLINK("http://www.ensembl.org/Mus_musculus/Gene/Summary?db=core;g=ENSMUSG00000037434","ENSMUSG00000037434")</f>
        <v>ENSMUSG00000037434</v>
      </c>
      <c r="I817" s="7" t="str">
        <f>HYPERLINK("http://www.informatics.jax.org/marker/MGI:1345281","MGI:1345281")</f>
        <v>MGI:1345281</v>
      </c>
      <c r="J817" s="4" t="s">
        <v>12</v>
      </c>
    </row>
    <row r="818" spans="1:10" x14ac:dyDescent="0.25">
      <c r="A818" s="2">
        <v>731.90344578196596</v>
      </c>
      <c r="B818" s="3">
        <v>1.54729826651372</v>
      </c>
      <c r="C818" s="5">
        <v>1.83675013948331E-49</v>
      </c>
      <c r="D818" s="6">
        <v>4.8880853914454698E-48</v>
      </c>
      <c r="E818" s="3" t="s">
        <v>1498</v>
      </c>
      <c r="F818" s="3" t="s">
        <v>1499</v>
      </c>
      <c r="G818" s="3">
        <v>71720</v>
      </c>
      <c r="H818" s="7" t="str">
        <f>HYPERLINK("http://www.ensembl.org/Mus_musculus/Gene/Summary?db=core;g=ENSMUSG00000029822","ENSMUSG00000029822")</f>
        <v>ENSMUSG00000029822</v>
      </c>
      <c r="I818" s="7" t="str">
        <f>HYPERLINK("http://www.informatics.jax.org/marker/MGI:1918970","MGI:1918970")</f>
        <v>MGI:1918970</v>
      </c>
      <c r="J818" s="4" t="s">
        <v>12</v>
      </c>
    </row>
    <row r="819" spans="1:10" x14ac:dyDescent="0.25">
      <c r="A819" s="2">
        <v>16.1819416565063</v>
      </c>
      <c r="B819" s="3">
        <v>1.5448025456629699</v>
      </c>
      <c r="C819" s="5">
        <v>1.1685569078106699E-8</v>
      </c>
      <c r="D819" s="6">
        <v>5.7653095376598499E-8</v>
      </c>
      <c r="E819" s="3" t="s">
        <v>8011</v>
      </c>
      <c r="F819" s="3" t="s">
        <v>8012</v>
      </c>
      <c r="G819" s="3">
        <v>70166</v>
      </c>
      <c r="H819" s="7" t="str">
        <f>HYPERLINK("http://www.ensembl.org/Mus_musculus/Gene/Summary?db=core;g=ENSMUSG00000024770","ENSMUSG00000024770")</f>
        <v>ENSMUSG00000024770</v>
      </c>
      <c r="I819" s="7" t="str">
        <f>HYPERLINK("http://www.informatics.jax.org/marker/MGI:1917416","MGI:1917416")</f>
        <v>MGI:1917416</v>
      </c>
      <c r="J819" s="4" t="s">
        <v>12</v>
      </c>
    </row>
    <row r="820" spans="1:10" x14ac:dyDescent="0.25">
      <c r="A820" s="2">
        <v>44.987920016128598</v>
      </c>
      <c r="B820" s="3">
        <v>1.54436151888852</v>
      </c>
      <c r="C820" s="5">
        <v>1.1964009700314999E-10</v>
      </c>
      <c r="D820" s="6">
        <v>6.9167479123486204E-10</v>
      </c>
      <c r="E820" s="3" t="s">
        <v>6840</v>
      </c>
      <c r="F820" s="3" t="s">
        <v>6841</v>
      </c>
      <c r="G820" s="3" t="s">
        <v>83</v>
      </c>
      <c r="H820" s="7" t="str">
        <f>HYPERLINK("http://www.ensembl.org/Mus_musculus/Gene/Summary?db=core;g=ENSMUSG00000112843","ENSMUSG00000112843")</f>
        <v>ENSMUSG00000112843</v>
      </c>
      <c r="I820" s="7" t="str">
        <f>HYPERLINK("http://www.informatics.jax.org/marker/MGI:5825861","MGI:5825861")</f>
        <v>MGI:5825861</v>
      </c>
      <c r="J820" s="4" t="s">
        <v>939</v>
      </c>
    </row>
    <row r="821" spans="1:10" x14ac:dyDescent="0.25">
      <c r="A821" s="2">
        <v>40.471016606451897</v>
      </c>
      <c r="B821" s="3">
        <v>1.54262846838219</v>
      </c>
      <c r="C821" s="5">
        <v>1.12184114466935E-15</v>
      </c>
      <c r="D821" s="6">
        <v>8.9060818731399601E-15</v>
      </c>
      <c r="E821" s="3" t="s">
        <v>4985</v>
      </c>
      <c r="F821" s="3" t="s">
        <v>4986</v>
      </c>
      <c r="G821" s="3">
        <v>13488</v>
      </c>
      <c r="H821" s="7" t="str">
        <f>HYPERLINK("http://www.ensembl.org/Mus_musculus/Gene/Summary?db=core;g=ENSMUSG00000021478","ENSMUSG00000021478")</f>
        <v>ENSMUSG00000021478</v>
      </c>
      <c r="I821" s="7" t="str">
        <f>HYPERLINK("http://www.informatics.jax.org/marker/MGI:99578","MGI:99578")</f>
        <v>MGI:99578</v>
      </c>
      <c r="J821" s="4" t="s">
        <v>12</v>
      </c>
    </row>
    <row r="822" spans="1:10" x14ac:dyDescent="0.25">
      <c r="A822" s="2">
        <v>1.01945004670392</v>
      </c>
      <c r="B822" s="3">
        <v>1.54166659341753</v>
      </c>
      <c r="C822" s="3">
        <v>4.20152417523601E-4</v>
      </c>
      <c r="D822" s="4">
        <v>1.30622823168302E-3</v>
      </c>
      <c r="E822" s="3" t="s">
        <v>12699</v>
      </c>
      <c r="F822" s="3" t="s">
        <v>12700</v>
      </c>
      <c r="G822" s="3">
        <v>73660</v>
      </c>
      <c r="H822" s="7" t="str">
        <f>HYPERLINK("http://www.ensembl.org/Mus_musculus/Gene/Summary?db=core;g=ENSMUSG00000024842","ENSMUSG00000024842")</f>
        <v>ENSMUSG00000024842</v>
      </c>
      <c r="I822" s="7" t="str">
        <f>HYPERLINK("http://www.informatics.jax.org/marker/MGI:1920910","MGI:1920910")</f>
        <v>MGI:1920910</v>
      </c>
      <c r="J822" s="4" t="s">
        <v>12</v>
      </c>
    </row>
    <row r="823" spans="1:10" x14ac:dyDescent="0.25">
      <c r="A823" s="2">
        <v>23.981027076710699</v>
      </c>
      <c r="B823" s="3">
        <v>1.5403542088859901</v>
      </c>
      <c r="C823" s="5">
        <v>3.3844477104058998E-10</v>
      </c>
      <c r="D823" s="6">
        <v>1.88481527391145E-9</v>
      </c>
      <c r="E823" s="3" t="s">
        <v>7100</v>
      </c>
      <c r="F823" s="3" t="s">
        <v>7101</v>
      </c>
      <c r="G823" s="3" t="s">
        <v>83</v>
      </c>
      <c r="H823" s="7" t="str">
        <f>HYPERLINK("http://www.ensembl.org/Mus_musculus/Gene/Summary?db=core;g=ENSMUSG00000113165","ENSMUSG00000113165")</f>
        <v>ENSMUSG00000113165</v>
      </c>
      <c r="I823" s="7" t="str">
        <f>HYPERLINK("http://www.informatics.jax.org/marker/MGI:6097080","MGI:6097080")</f>
        <v>MGI:6097080</v>
      </c>
      <c r="J823" s="4" t="s">
        <v>3187</v>
      </c>
    </row>
    <row r="824" spans="1:10" x14ac:dyDescent="0.25">
      <c r="A824" s="2">
        <v>1.4168216309000401</v>
      </c>
      <c r="B824" s="3">
        <v>1.5388445411713101</v>
      </c>
      <c r="C824" s="3">
        <v>4.5771515324908002E-4</v>
      </c>
      <c r="D824" s="4">
        <v>1.41475592822443E-3</v>
      </c>
      <c r="E824" s="3" t="s">
        <v>12769</v>
      </c>
      <c r="F824" s="3" t="s">
        <v>12770</v>
      </c>
      <c r="G824" s="3">
        <v>76681</v>
      </c>
      <c r="H824" s="7" t="str">
        <f>HYPERLINK("http://www.ensembl.org/Mus_musculus/Gene/Summary?db=core;g=ENSMUSG00000066258","ENSMUSG00000066258")</f>
        <v>ENSMUSG00000066258</v>
      </c>
      <c r="I824" s="7" t="str">
        <f>HYPERLINK("http://www.informatics.jax.org/marker/MGI:1923931","MGI:1923931")</f>
        <v>MGI:1923931</v>
      </c>
      <c r="J824" s="4" t="s">
        <v>12</v>
      </c>
    </row>
    <row r="825" spans="1:10" x14ac:dyDescent="0.25">
      <c r="A825" s="2">
        <v>0.98886301294580703</v>
      </c>
      <c r="B825" s="3">
        <v>1.53874975169219</v>
      </c>
      <c r="C825" s="3">
        <v>2.8630664247323299E-4</v>
      </c>
      <c r="D825" s="4">
        <v>9.1005270624954101E-4</v>
      </c>
      <c r="E825" s="3" t="s">
        <v>12420</v>
      </c>
      <c r="F825" s="3" t="s">
        <v>12421</v>
      </c>
      <c r="G825" s="3" t="s">
        <v>83</v>
      </c>
      <c r="H825" s="7" t="str">
        <f>HYPERLINK("http://www.ensembl.org/Mus_musculus/Gene/Summary?db=core;g=ENSMUSG00000088703","ENSMUSG00000088703")</f>
        <v>ENSMUSG00000088703</v>
      </c>
      <c r="I825" s="7" t="str">
        <f>HYPERLINK("http://www.informatics.jax.org/marker/MGI:5455332","MGI:5455332")</f>
        <v>MGI:5455332</v>
      </c>
      <c r="J825" s="4" t="s">
        <v>12422</v>
      </c>
    </row>
    <row r="826" spans="1:10" x14ac:dyDescent="0.25">
      <c r="A826" s="2">
        <v>51.351534227891101</v>
      </c>
      <c r="B826" s="3">
        <v>1.53764224664353</v>
      </c>
      <c r="C826" s="5">
        <v>3.1744198384915102E-13</v>
      </c>
      <c r="D826" s="6">
        <v>2.1941661133912499E-12</v>
      </c>
      <c r="E826" s="3" t="s">
        <v>5723</v>
      </c>
      <c r="F826" s="3" t="s">
        <v>5724</v>
      </c>
      <c r="G826" s="3">
        <v>16004</v>
      </c>
      <c r="H826" s="7" t="str">
        <f>HYPERLINK("http://www.ensembl.org/Mus_musculus/Gene/Summary?db=core;g=ENSMUSG00000023830","ENSMUSG00000023830")</f>
        <v>ENSMUSG00000023830</v>
      </c>
      <c r="I826" s="7" t="str">
        <f>HYPERLINK("http://www.informatics.jax.org/marker/MGI:96435","MGI:96435")</f>
        <v>MGI:96435</v>
      </c>
      <c r="J826" s="4" t="s">
        <v>12</v>
      </c>
    </row>
    <row r="827" spans="1:10" x14ac:dyDescent="0.25">
      <c r="A827" s="2">
        <v>236.02993757382299</v>
      </c>
      <c r="B827" s="3">
        <v>1.53471570601041</v>
      </c>
      <c r="C827" s="5">
        <v>3.2521696059557102E-38</v>
      </c>
      <c r="D827" s="6">
        <v>6.2325349494117198E-37</v>
      </c>
      <c r="E827" s="3" t="s">
        <v>2075</v>
      </c>
      <c r="F827" s="3" t="s">
        <v>2076</v>
      </c>
      <c r="G827" s="3">
        <v>11549</v>
      </c>
      <c r="H827" s="7" t="str">
        <f>HYPERLINK("http://www.ensembl.org/Mus_musculus/Gene/Summary?db=core;g=ENSMUSG00000045875","ENSMUSG00000045875")</f>
        <v>ENSMUSG00000045875</v>
      </c>
      <c r="I827" s="7" t="str">
        <f>HYPERLINK("http://www.informatics.jax.org/marker/MGI:104773","MGI:104773")</f>
        <v>MGI:104773</v>
      </c>
      <c r="J827" s="4" t="s">
        <v>12</v>
      </c>
    </row>
    <row r="828" spans="1:10" x14ac:dyDescent="0.25">
      <c r="A828" s="2">
        <v>4.3147018166472701</v>
      </c>
      <c r="B828" s="3">
        <v>1.5341704616590399</v>
      </c>
      <c r="C828" s="3">
        <v>8.73715260518413E-4</v>
      </c>
      <c r="D828" s="4">
        <v>2.5987428261573299E-3</v>
      </c>
      <c r="E828" s="3" t="s">
        <v>13269</v>
      </c>
      <c r="F828" s="3" t="s">
        <v>13270</v>
      </c>
      <c r="G828" s="3">
        <v>241919</v>
      </c>
      <c r="H828" s="7" t="str">
        <f>HYPERLINK("http://www.ensembl.org/Mus_musculus/Gene/Summary?db=core;g=ENSMUSG00000069072","ENSMUSG00000069072")</f>
        <v>ENSMUSG00000069072</v>
      </c>
      <c r="I828" s="7" t="str">
        <f>HYPERLINK("http://www.informatics.jax.org/marker/MGI:3040688","MGI:3040688")</f>
        <v>MGI:3040688</v>
      </c>
      <c r="J828" s="4" t="s">
        <v>12</v>
      </c>
    </row>
    <row r="829" spans="1:10" x14ac:dyDescent="0.25">
      <c r="A829" s="2">
        <v>11.434474646591299</v>
      </c>
      <c r="B829" s="3">
        <v>1.5340019411852199</v>
      </c>
      <c r="C829" s="5">
        <v>1.30712856680544E-5</v>
      </c>
      <c r="D829" s="6">
        <v>4.8434001009777003E-5</v>
      </c>
      <c r="E829" s="3" t="s">
        <v>10656</v>
      </c>
      <c r="F829" s="3" t="s">
        <v>10657</v>
      </c>
      <c r="G829" s="3">
        <v>11905</v>
      </c>
      <c r="H829" s="7" t="str">
        <f>HYPERLINK("http://www.ensembl.org/Mus_musculus/Gene/Summary?db=core;g=ENSMUSG00000026715","ENSMUSG00000026715")</f>
        <v>ENSMUSG00000026715</v>
      </c>
      <c r="I829" s="7" t="str">
        <f>HYPERLINK("http://www.informatics.jax.org/marker/MGI:88095","MGI:88095")</f>
        <v>MGI:88095</v>
      </c>
      <c r="J829" s="4" t="s">
        <v>12</v>
      </c>
    </row>
    <row r="830" spans="1:10" x14ac:dyDescent="0.25">
      <c r="A830" s="2">
        <v>6.8803784052460504</v>
      </c>
      <c r="B830" s="3">
        <v>1.5313707862794499</v>
      </c>
      <c r="C830" s="5">
        <v>9.1727813994496005E-5</v>
      </c>
      <c r="D830" s="4">
        <v>3.1058937018740699E-4</v>
      </c>
      <c r="E830" s="3" t="s">
        <v>11659</v>
      </c>
      <c r="F830" s="3" t="s">
        <v>11660</v>
      </c>
      <c r="G830" s="3">
        <v>17868</v>
      </c>
      <c r="H830" s="7" t="str">
        <f>HYPERLINK("http://www.ensembl.org/Mus_musculus/Gene/Summary?db=core;g=ENSMUSG00000002100","ENSMUSG00000002100")</f>
        <v>ENSMUSG00000002100</v>
      </c>
      <c r="I830" s="7" t="str">
        <f>HYPERLINK("http://www.informatics.jax.org/marker/MGI:102844","MGI:102844")</f>
        <v>MGI:102844</v>
      </c>
      <c r="J830" s="4" t="s">
        <v>12</v>
      </c>
    </row>
    <row r="831" spans="1:10" x14ac:dyDescent="0.25">
      <c r="A831" s="2">
        <v>73.176747340680905</v>
      </c>
      <c r="B831" s="3">
        <v>1.5297852373297001</v>
      </c>
      <c r="C831" s="5">
        <v>3.2303480952691901E-19</v>
      </c>
      <c r="D831" s="6">
        <v>3.0938545137789499E-18</v>
      </c>
      <c r="E831" s="3" t="s">
        <v>4135</v>
      </c>
      <c r="F831" s="3" t="s">
        <v>4136</v>
      </c>
      <c r="G831" s="3">
        <v>243382</v>
      </c>
      <c r="H831" s="7" t="str">
        <f>HYPERLINK("http://www.ensembl.org/Mus_musculus/Gene/Summary?db=core;g=ENSMUSG00000037826","ENSMUSG00000037826")</f>
        <v>ENSMUSG00000037826</v>
      </c>
      <c r="I831" s="7" t="str">
        <f>HYPERLINK("http://www.informatics.jax.org/marker/MGI:2442111","MGI:2442111")</f>
        <v>MGI:2442111</v>
      </c>
      <c r="J831" s="4" t="s">
        <v>12</v>
      </c>
    </row>
    <row r="832" spans="1:10" x14ac:dyDescent="0.25">
      <c r="A832" s="2">
        <v>1.75864479951813</v>
      </c>
      <c r="B832" s="3">
        <v>1.52973010065876</v>
      </c>
      <c r="C832" s="3">
        <v>9.5861489968224601E-4</v>
      </c>
      <c r="D832" s="4">
        <v>2.8328916262151801E-3</v>
      </c>
      <c r="E832" s="3" t="s">
        <v>13355</v>
      </c>
      <c r="F832" s="3" t="s">
        <v>13356</v>
      </c>
      <c r="G832" s="3">
        <v>545156</v>
      </c>
      <c r="H832" s="7" t="str">
        <f>HYPERLINK("http://www.ensembl.org/Mus_musculus/Gene/Summary?db=core;g=ENSMUSG00000061751","ENSMUSG00000061751")</f>
        <v>ENSMUSG00000061751</v>
      </c>
      <c r="I832" s="7" t="str">
        <f>HYPERLINK("http://www.informatics.jax.org/marker/MGI:2685385","MGI:2685385")</f>
        <v>MGI:2685385</v>
      </c>
      <c r="J832" s="4" t="s">
        <v>12</v>
      </c>
    </row>
    <row r="833" spans="1:10" x14ac:dyDescent="0.25">
      <c r="A833" s="2">
        <v>33.579344066375398</v>
      </c>
      <c r="B833" s="3">
        <v>1.52943551834627</v>
      </c>
      <c r="C833" s="5">
        <v>2.5711905129089002E-6</v>
      </c>
      <c r="D833" s="6">
        <v>1.02163765695272E-5</v>
      </c>
      <c r="E833" s="3" t="s">
        <v>9941</v>
      </c>
      <c r="F833" s="3" t="s">
        <v>9942</v>
      </c>
      <c r="G833" s="3">
        <v>238377</v>
      </c>
      <c r="H833" s="7" t="str">
        <f>HYPERLINK("http://www.ensembl.org/Mus_musculus/Gene/Summary?db=core;g=ENSMUSG00000047415","ENSMUSG00000047415")</f>
        <v>ENSMUSG00000047415</v>
      </c>
      <c r="I833" s="7" t="str">
        <f>HYPERLINK("http://www.informatics.jax.org/marker/MGI:2441763","MGI:2441763")</f>
        <v>MGI:2441763</v>
      </c>
      <c r="J833" s="4" t="s">
        <v>12</v>
      </c>
    </row>
    <row r="834" spans="1:10" x14ac:dyDescent="0.25">
      <c r="A834" s="2">
        <v>256.45182493273802</v>
      </c>
      <c r="B834" s="3">
        <v>1.5292871017006699</v>
      </c>
      <c r="C834" s="5">
        <v>2.5389663283093599E-54</v>
      </c>
      <c r="D834" s="6">
        <v>7.6674450220919804E-53</v>
      </c>
      <c r="E834" s="3" t="s">
        <v>1322</v>
      </c>
      <c r="F834" s="3" t="s">
        <v>1323</v>
      </c>
      <c r="G834" s="3" t="s">
        <v>83</v>
      </c>
      <c r="H834" s="7" t="str">
        <f>HYPERLINK("http://www.ensembl.org/Mus_musculus/Gene/Summary?db=core;g=ENSMUSG00000092176","ENSMUSG00000092176")</f>
        <v>ENSMUSG00000092176</v>
      </c>
      <c r="I834" s="7" t="str">
        <f>HYPERLINK("http://www.informatics.jax.org/marker/MGI:5141925","MGI:5141925")</f>
        <v>MGI:5141925</v>
      </c>
      <c r="J834" s="4" t="s">
        <v>331</v>
      </c>
    </row>
    <row r="835" spans="1:10" x14ac:dyDescent="0.25">
      <c r="A835" s="2">
        <v>3.20858661683733</v>
      </c>
      <c r="B835" s="3">
        <v>1.5290963602202099</v>
      </c>
      <c r="C835" s="3">
        <v>5.4097927166561798E-4</v>
      </c>
      <c r="D835" s="4">
        <v>1.65817621865204E-3</v>
      </c>
      <c r="E835" s="3" t="s">
        <v>12877</v>
      </c>
      <c r="F835" s="3" t="s">
        <v>12878</v>
      </c>
      <c r="G835" s="3" t="s">
        <v>83</v>
      </c>
      <c r="H835" s="7" t="str">
        <f>HYPERLINK("http://www.ensembl.org/Mus_musculus/Gene/Summary?db=core;g=ENSMUSG00000106492","ENSMUSG00000106492")</f>
        <v>ENSMUSG00000106492</v>
      </c>
      <c r="I835" s="7" t="str">
        <f>HYPERLINK("http://www.informatics.jax.org/marker/MGI:5588866","MGI:5588866")</f>
        <v>MGI:5588866</v>
      </c>
      <c r="J835" s="4" t="s">
        <v>939</v>
      </c>
    </row>
    <row r="836" spans="1:10" x14ac:dyDescent="0.25">
      <c r="A836" s="2">
        <v>16811.473564454202</v>
      </c>
      <c r="B836" s="3">
        <v>1.52755450915091</v>
      </c>
      <c r="C836" s="5">
        <v>1.3385475675125099E-58</v>
      </c>
      <c r="D836" s="6">
        <v>4.5589219397835503E-57</v>
      </c>
      <c r="E836" s="3" t="s">
        <v>1174</v>
      </c>
      <c r="F836" s="3" t="s">
        <v>1175</v>
      </c>
      <c r="G836" s="3">
        <v>56193</v>
      </c>
      <c r="H836" s="7" t="str">
        <f>HYPERLINK("http://www.ensembl.org/Mus_musculus/Gene/Summary?db=core;g=ENSMUSG00000020120","ENSMUSG00000020120")</f>
        <v>ENSMUSG00000020120</v>
      </c>
      <c r="I836" s="7" t="str">
        <f>HYPERLINK("http://www.informatics.jax.org/marker/MGI:1860485","MGI:1860485")</f>
        <v>MGI:1860485</v>
      </c>
      <c r="J836" s="4" t="s">
        <v>12</v>
      </c>
    </row>
    <row r="837" spans="1:10" x14ac:dyDescent="0.25">
      <c r="A837" s="2">
        <v>4236.7899967940102</v>
      </c>
      <c r="B837" s="3">
        <v>1.52376032384493</v>
      </c>
      <c r="C837" s="5">
        <v>1.48784790295627E-109</v>
      </c>
      <c r="D837" s="6">
        <v>1.4174087268742899E-107</v>
      </c>
      <c r="E837" s="3" t="s">
        <v>426</v>
      </c>
      <c r="F837" s="3" t="s">
        <v>427</v>
      </c>
      <c r="G837" s="3">
        <v>115488166</v>
      </c>
      <c r="H837" s="7" t="str">
        <f>HYPERLINK("http://www.ensembl.org/Mus_musculus/Gene/Summary?db=core;g=ENSMUSG00000021451","ENSMUSG00000021451")</f>
        <v>ENSMUSG00000021451</v>
      </c>
      <c r="I837" s="7" t="str">
        <f>HYPERLINK("http://www.informatics.jax.org/marker/MGI:109244","MGI:109244")</f>
        <v>MGI:109244</v>
      </c>
      <c r="J837" s="4" t="s">
        <v>12</v>
      </c>
    </row>
    <row r="838" spans="1:10" x14ac:dyDescent="0.25">
      <c r="A838" s="2">
        <v>133.77052803396401</v>
      </c>
      <c r="B838" s="3">
        <v>1.52273090008723</v>
      </c>
      <c r="C838" s="5">
        <v>1.2601928833521501E-46</v>
      </c>
      <c r="D838" s="6">
        <v>3.11026328657127E-45</v>
      </c>
      <c r="E838" s="3" t="s">
        <v>1614</v>
      </c>
      <c r="F838" s="3" t="s">
        <v>1615</v>
      </c>
      <c r="G838" s="3">
        <v>109082</v>
      </c>
      <c r="H838" s="7" t="str">
        <f>HYPERLINK("http://www.ensembl.org/Mus_musculus/Gene/Summary?db=core;g=ENSMUSG00000037816","ENSMUSG00000037816")</f>
        <v>ENSMUSG00000037816</v>
      </c>
      <c r="I838" s="7" t="str">
        <f>HYPERLINK("http://www.informatics.jax.org/marker/MGI:1923584","MGI:1923584")</f>
        <v>MGI:1923584</v>
      </c>
      <c r="J838" s="4" t="s">
        <v>12</v>
      </c>
    </row>
    <row r="839" spans="1:10" x14ac:dyDescent="0.25">
      <c r="A839" s="2">
        <v>535.95002124055804</v>
      </c>
      <c r="B839" s="3">
        <v>1.5218239202499799</v>
      </c>
      <c r="C839" s="5">
        <v>1.1358663372982401E-33</v>
      </c>
      <c r="D839" s="6">
        <v>1.87441708548295E-32</v>
      </c>
      <c r="E839" s="3" t="s">
        <v>2407</v>
      </c>
      <c r="F839" s="3" t="s">
        <v>2408</v>
      </c>
      <c r="G839" s="3">
        <v>235587</v>
      </c>
      <c r="H839" s="7" t="str">
        <f>HYPERLINK("http://www.ensembl.org/Mus_musculus/Gene/Summary?db=core;g=ENSMUSG00000023249","ENSMUSG00000023249")</f>
        <v>ENSMUSG00000023249</v>
      </c>
      <c r="I839" s="7" t="str">
        <f>HYPERLINK("http://www.informatics.jax.org/marker/MGI:1891258","MGI:1891258")</f>
        <v>MGI:1891258</v>
      </c>
      <c r="J839" s="4" t="s">
        <v>12</v>
      </c>
    </row>
    <row r="840" spans="1:10" x14ac:dyDescent="0.25">
      <c r="A840" s="2">
        <v>8.3775663226169996</v>
      </c>
      <c r="B840" s="3">
        <v>1.5217177712265999</v>
      </c>
      <c r="C840" s="5">
        <v>2.0907488909356002E-5</v>
      </c>
      <c r="D840" s="6">
        <v>7.5873331117500995E-5</v>
      </c>
      <c r="E840" s="3" t="s">
        <v>10880</v>
      </c>
      <c r="F840" s="3" t="s">
        <v>10881</v>
      </c>
      <c r="G840" s="3" t="s">
        <v>83</v>
      </c>
      <c r="H840" s="7" t="str">
        <f>HYPERLINK("http://www.ensembl.org/Mus_musculus/Gene/Summary?db=core;g=ENSMUSG00000107352","ENSMUSG00000107352")</f>
        <v>ENSMUSG00000107352</v>
      </c>
      <c r="I840" s="7" t="str">
        <f>HYPERLINK("http://www.informatics.jax.org/marker/MGI:5663797","MGI:5663797")</f>
        <v>MGI:5663797</v>
      </c>
      <c r="J840" s="4" t="s">
        <v>939</v>
      </c>
    </row>
    <row r="841" spans="1:10" x14ac:dyDescent="0.25">
      <c r="A841" s="2">
        <v>1386.5170754399501</v>
      </c>
      <c r="B841" s="3">
        <v>1.5214759257244399</v>
      </c>
      <c r="C841" s="5">
        <v>7.0994848908534395E-107</v>
      </c>
      <c r="D841" s="6">
        <v>6.4516977902133598E-105</v>
      </c>
      <c r="E841" s="3" t="s">
        <v>446</v>
      </c>
      <c r="F841" s="3" t="s">
        <v>447</v>
      </c>
      <c r="G841" s="3">
        <v>227731</v>
      </c>
      <c r="H841" s="7" t="str">
        <f>HYPERLINK("http://www.ensembl.org/Mus_musculus/Gene/Summary?db=core;g=ENSMUSG00000026819","ENSMUSG00000026819")</f>
        <v>ENSMUSG00000026819</v>
      </c>
      <c r="I841" s="7" t="str">
        <f>HYPERLINK("http://www.informatics.jax.org/marker/MGI:1915913","MGI:1915913")</f>
        <v>MGI:1915913</v>
      </c>
      <c r="J841" s="4" t="s">
        <v>12</v>
      </c>
    </row>
    <row r="842" spans="1:10" x14ac:dyDescent="0.25">
      <c r="A842" s="2">
        <v>1.7181898802814899</v>
      </c>
      <c r="B842" s="3">
        <v>1.5205197738011</v>
      </c>
      <c r="C842" s="3">
        <v>1.1438125169267301E-3</v>
      </c>
      <c r="D842" s="4">
        <v>3.3460885378720001E-3</v>
      </c>
      <c r="E842" s="3" t="s">
        <v>13491</v>
      </c>
      <c r="F842" s="3" t="s">
        <v>13492</v>
      </c>
      <c r="G842" s="3" t="s">
        <v>83</v>
      </c>
      <c r="H842" s="7" t="str">
        <f>HYPERLINK("http://www.ensembl.org/Mus_musculus/Gene/Summary?db=core;g=ENSMUSG00000109297","ENSMUSG00000109297")</f>
        <v>ENSMUSG00000109297</v>
      </c>
      <c r="I842" s="7" t="str">
        <f>HYPERLINK("http://www.informatics.jax.org/marker/MGI:5590681","MGI:5590681")</f>
        <v>MGI:5590681</v>
      </c>
      <c r="J842" s="4" t="s">
        <v>939</v>
      </c>
    </row>
    <row r="843" spans="1:10" x14ac:dyDescent="0.25">
      <c r="A843" s="2">
        <v>16.9715524441146</v>
      </c>
      <c r="B843" s="3">
        <v>1.5197691340009201</v>
      </c>
      <c r="C843" s="5">
        <v>1.1077098284292301E-8</v>
      </c>
      <c r="D843" s="6">
        <v>5.4765668846843902E-8</v>
      </c>
      <c r="E843" s="3" t="s">
        <v>7995</v>
      </c>
      <c r="F843" s="3" t="s">
        <v>7996</v>
      </c>
      <c r="G843" s="3">
        <v>71648</v>
      </c>
      <c r="H843" s="7" t="str">
        <f>HYPERLINK("http://www.ensembl.org/Mus_musculus/Gene/Summary?db=core;g=ENSMUSG00000026672","ENSMUSG00000026672")</f>
        <v>ENSMUSG00000026672</v>
      </c>
      <c r="I843" s="7" t="str">
        <f>HYPERLINK("http://www.informatics.jax.org/marker/MGI:1918898","MGI:1918898")</f>
        <v>MGI:1918898</v>
      </c>
      <c r="J843" s="4" t="s">
        <v>12</v>
      </c>
    </row>
    <row r="844" spans="1:10" x14ac:dyDescent="0.25">
      <c r="A844" s="2">
        <v>2878.6106727249498</v>
      </c>
      <c r="B844" s="3">
        <v>1.5191051341644699</v>
      </c>
      <c r="C844" s="5">
        <v>3.4864444665329799E-150</v>
      </c>
      <c r="D844" s="6">
        <v>7.0879056577350897E-148</v>
      </c>
      <c r="E844" s="3" t="s">
        <v>204</v>
      </c>
      <c r="F844" s="3" t="s">
        <v>205</v>
      </c>
      <c r="G844" s="3">
        <v>14571</v>
      </c>
      <c r="H844" s="7" t="str">
        <f>HYPERLINK("http://www.ensembl.org/Mus_musculus/Gene/Summary?db=core;g=ENSMUSG00000026827","ENSMUSG00000026827")</f>
        <v>ENSMUSG00000026827</v>
      </c>
      <c r="I844" s="7" t="str">
        <f>HYPERLINK("http://www.informatics.jax.org/marker/MGI:99778","MGI:99778")</f>
        <v>MGI:99778</v>
      </c>
      <c r="J844" s="4" t="s">
        <v>12</v>
      </c>
    </row>
    <row r="845" spans="1:10" x14ac:dyDescent="0.25">
      <c r="A845" s="2">
        <v>1.3343964780887301</v>
      </c>
      <c r="B845" s="3">
        <v>1.5179351845303699</v>
      </c>
      <c r="C845" s="3">
        <v>1.07345419392275E-3</v>
      </c>
      <c r="D845" s="4">
        <v>3.1510146924913101E-3</v>
      </c>
      <c r="E845" s="3" t="s">
        <v>13445</v>
      </c>
      <c r="F845" s="3" t="s">
        <v>13446</v>
      </c>
      <c r="G845" s="3">
        <v>228785</v>
      </c>
      <c r="H845" s="7" t="str">
        <f>HYPERLINK("http://www.ensembl.org/Mus_musculus/Gene/Summary?db=core;g=ENSMUSG00000027470","ENSMUSG00000027470")</f>
        <v>ENSMUSG00000027470</v>
      </c>
      <c r="I845" s="7" t="str">
        <f>HYPERLINK("http://www.informatics.jax.org/marker/MGI:2139434","MGI:2139434")</f>
        <v>MGI:2139434</v>
      </c>
      <c r="J845" s="4" t="s">
        <v>12</v>
      </c>
    </row>
    <row r="846" spans="1:10" x14ac:dyDescent="0.25">
      <c r="A846" s="2">
        <v>364.07610952736201</v>
      </c>
      <c r="B846" s="3">
        <v>1.5164114452375499</v>
      </c>
      <c r="C846" s="5">
        <v>2.34563541497771E-75</v>
      </c>
      <c r="D846" s="6">
        <v>1.19834016537203E-73</v>
      </c>
      <c r="E846" s="3" t="s">
        <v>784</v>
      </c>
      <c r="F846" s="3" t="s">
        <v>785</v>
      </c>
      <c r="G846" s="3">
        <v>225849</v>
      </c>
      <c r="H846" s="7" t="str">
        <f>HYPERLINK("http://www.ensembl.org/Mus_musculus/Gene/Summary?db=core;g=ENSMUSG00000024777","ENSMUSG00000024777")</f>
        <v>ENSMUSG00000024777</v>
      </c>
      <c r="I846" s="7" t="str">
        <f>HYPERLINK("http://www.informatics.jax.org/marker/MGI:2388480","MGI:2388480")</f>
        <v>MGI:2388480</v>
      </c>
      <c r="J846" s="4" t="s">
        <v>12</v>
      </c>
    </row>
    <row r="847" spans="1:10" x14ac:dyDescent="0.25">
      <c r="A847" s="2">
        <v>3.7358276119853899</v>
      </c>
      <c r="B847" s="3">
        <v>1.5136173681785301</v>
      </c>
      <c r="C847" s="3">
        <v>5.2395605065637505E-4</v>
      </c>
      <c r="D847" s="4">
        <v>1.6089089565468301E-3</v>
      </c>
      <c r="E847" s="3" t="s">
        <v>12853</v>
      </c>
      <c r="F847" s="3" t="s">
        <v>12854</v>
      </c>
      <c r="G847" s="3">
        <v>21933</v>
      </c>
      <c r="H847" s="7" t="str">
        <f>HYPERLINK("http://www.ensembl.org/Mus_musculus/Gene/Summary?db=core;g=ENSMUSG00000022074","ENSMUSG00000022074")</f>
        <v>ENSMUSG00000022074</v>
      </c>
      <c r="I847" s="7" t="str">
        <f>HYPERLINK("http://www.informatics.jax.org/marker/MGI:1341090","MGI:1341090")</f>
        <v>MGI:1341090</v>
      </c>
      <c r="J847" s="4" t="s">
        <v>12</v>
      </c>
    </row>
    <row r="848" spans="1:10" x14ac:dyDescent="0.25">
      <c r="A848" s="2">
        <v>131.67664958052299</v>
      </c>
      <c r="B848" s="3">
        <v>1.51054427300008</v>
      </c>
      <c r="C848" s="5">
        <v>2.74625636694846E-30</v>
      </c>
      <c r="D848" s="6">
        <v>4.0903455858174998E-29</v>
      </c>
      <c r="E848" s="3" t="s">
        <v>2665</v>
      </c>
      <c r="F848" s="3" t="s">
        <v>2666</v>
      </c>
      <c r="G848" s="3">
        <v>214106</v>
      </c>
      <c r="H848" s="7" t="str">
        <f>HYPERLINK("http://www.ensembl.org/Mus_musculus/Gene/Summary?db=core;g=ENSMUSG00000058046","ENSMUSG00000058046")</f>
        <v>ENSMUSG00000058046</v>
      </c>
      <c r="I848" s="7" t="str">
        <f>HYPERLINK("http://www.informatics.jax.org/marker/MGI:3045314","MGI:3045314")</f>
        <v>MGI:3045314</v>
      </c>
      <c r="J848" s="4" t="s">
        <v>12</v>
      </c>
    </row>
    <row r="849" spans="1:10" x14ac:dyDescent="0.25">
      <c r="A849" s="2">
        <v>3.2411838748516799</v>
      </c>
      <c r="B849" s="3">
        <v>1.5099110146685899</v>
      </c>
      <c r="C849" s="3">
        <v>9.5271787713702898E-4</v>
      </c>
      <c r="D849" s="4">
        <v>2.8163088797994599E-3</v>
      </c>
      <c r="E849" s="3" t="s">
        <v>13351</v>
      </c>
      <c r="F849" s="3" t="s">
        <v>13352</v>
      </c>
      <c r="G849" s="3">
        <v>76527</v>
      </c>
      <c r="H849" s="7" t="str">
        <f>HYPERLINK("http://www.ensembl.org/Mus_musculus/Gene/Summary?db=core;g=ENSMUSG00000031750","ENSMUSG00000031750")</f>
        <v>ENSMUSG00000031750</v>
      </c>
      <c r="I849" s="7" t="str">
        <f>HYPERLINK("http://www.informatics.jax.org/marker/MGI:1923777","MGI:1923777")</f>
        <v>MGI:1923777</v>
      </c>
      <c r="J849" s="4" t="s">
        <v>12</v>
      </c>
    </row>
    <row r="850" spans="1:10" x14ac:dyDescent="0.25">
      <c r="A850" s="2">
        <v>424.71054146977201</v>
      </c>
      <c r="B850" s="3">
        <v>1.50946863885806</v>
      </c>
      <c r="C850" s="5">
        <v>1.2048111482358999E-70</v>
      </c>
      <c r="D850" s="6">
        <v>5.6434384425681697E-69</v>
      </c>
      <c r="E850" s="3" t="s">
        <v>854</v>
      </c>
      <c r="F850" s="3" t="s">
        <v>855</v>
      </c>
      <c r="G850" s="3">
        <v>71567</v>
      </c>
      <c r="H850" s="7" t="str">
        <f>HYPERLINK("http://www.ensembl.org/Mus_musculus/Gene/Summary?db=core;g=ENSMUSG00000058298","ENSMUSG00000058298")</f>
        <v>ENSMUSG00000058298</v>
      </c>
      <c r="I850" s="7" t="str">
        <f>HYPERLINK("http://www.informatics.jax.org/marker/MGI:1918817","MGI:1918817")</f>
        <v>MGI:1918817</v>
      </c>
      <c r="J850" s="4" t="s">
        <v>12</v>
      </c>
    </row>
    <row r="851" spans="1:10" x14ac:dyDescent="0.25">
      <c r="A851" s="2">
        <v>2184.31787183595</v>
      </c>
      <c r="B851" s="3">
        <v>1.5074924978757001</v>
      </c>
      <c r="C851" s="5">
        <v>1.06048393889373E-118</v>
      </c>
      <c r="D851" s="6">
        <v>1.2018817974129001E-116</v>
      </c>
      <c r="E851" s="3" t="s">
        <v>360</v>
      </c>
      <c r="F851" s="3" t="s">
        <v>361</v>
      </c>
      <c r="G851" s="3">
        <v>12608</v>
      </c>
      <c r="H851" s="7" t="str">
        <f>HYPERLINK("http://www.ensembl.org/Mus_musculus/Gene/Summary?db=core;g=ENSMUSG00000056501","ENSMUSG00000056501")</f>
        <v>ENSMUSG00000056501</v>
      </c>
      <c r="I851" s="7" t="str">
        <f>HYPERLINK("http://www.informatics.jax.org/marker/MGI:88373","MGI:88373")</f>
        <v>MGI:88373</v>
      </c>
      <c r="J851" s="4" t="s">
        <v>12</v>
      </c>
    </row>
    <row r="852" spans="1:10" x14ac:dyDescent="0.25">
      <c r="A852" s="2">
        <v>1.1157161042133601</v>
      </c>
      <c r="B852" s="3">
        <v>1.50615963354949</v>
      </c>
      <c r="C852" s="3">
        <v>4.8944737924371299E-4</v>
      </c>
      <c r="D852" s="4">
        <v>1.5088169952612201E-3</v>
      </c>
      <c r="E852" s="3" t="s">
        <v>12803</v>
      </c>
      <c r="F852" s="3" t="s">
        <v>12804</v>
      </c>
      <c r="G852" s="3">
        <v>18008</v>
      </c>
      <c r="H852" s="7" t="str">
        <f>HYPERLINK("http://www.ensembl.org/Mus_musculus/Gene/Summary?db=core;g=ENSMUSG00000004891","ENSMUSG00000004891")</f>
        <v>ENSMUSG00000004891</v>
      </c>
      <c r="I852" s="7" t="str">
        <f>HYPERLINK("http://www.informatics.jax.org/marker/MGI:101784","MGI:101784")</f>
        <v>MGI:101784</v>
      </c>
      <c r="J852" s="4" t="s">
        <v>12</v>
      </c>
    </row>
    <row r="853" spans="1:10" x14ac:dyDescent="0.25">
      <c r="A853" s="2">
        <v>3748.93508900899</v>
      </c>
      <c r="B853" s="3">
        <v>1.5043305449665401</v>
      </c>
      <c r="C853" s="5">
        <v>1.05357329626345E-172</v>
      </c>
      <c r="D853" s="6">
        <v>2.9262627327204699E-170</v>
      </c>
      <c r="E853" s="3" t="s">
        <v>152</v>
      </c>
      <c r="F853" s="3" t="s">
        <v>153</v>
      </c>
      <c r="G853" s="3">
        <v>19229</v>
      </c>
      <c r="H853" s="7" t="str">
        <f>HYPERLINK("http://www.ensembl.org/Mus_musculus/Gene/Summary?db=core;g=ENSMUSG00000059456","ENSMUSG00000059456")</f>
        <v>ENSMUSG00000059456</v>
      </c>
      <c r="I853" s="7" t="str">
        <f>HYPERLINK("http://www.informatics.jax.org/marker/MGI:104908","MGI:104908")</f>
        <v>MGI:104908</v>
      </c>
      <c r="J853" s="4" t="s">
        <v>12</v>
      </c>
    </row>
    <row r="854" spans="1:10" x14ac:dyDescent="0.25">
      <c r="A854" s="2">
        <v>894.18636303050096</v>
      </c>
      <c r="B854" s="3">
        <v>1.5032907286963999</v>
      </c>
      <c r="C854" s="5">
        <v>9.3008890504464596E-54</v>
      </c>
      <c r="D854" s="6">
        <v>2.74160735537824E-52</v>
      </c>
      <c r="E854" s="3" t="s">
        <v>1354</v>
      </c>
      <c r="F854" s="3" t="s">
        <v>1355</v>
      </c>
      <c r="G854" s="3">
        <v>73112</v>
      </c>
      <c r="H854" s="7" t="str">
        <f>HYPERLINK("http://www.ensembl.org/Mus_musculus/Gene/Summary?db=core;g=ENSMUSG00000078453","ENSMUSG00000078453")</f>
        <v>ENSMUSG00000078453</v>
      </c>
      <c r="I854" s="7" t="str">
        <f>HYPERLINK("http://www.informatics.jax.org/marker/MGI:1920362","MGI:1920362")</f>
        <v>MGI:1920362</v>
      </c>
      <c r="J854" s="4" t="s">
        <v>12</v>
      </c>
    </row>
    <row r="855" spans="1:10" x14ac:dyDescent="0.25">
      <c r="A855" s="2">
        <v>1152.3418920363699</v>
      </c>
      <c r="B855" s="3">
        <v>1.5019879498784501</v>
      </c>
      <c r="C855" s="5">
        <v>1.40634100798851E-36</v>
      </c>
      <c r="D855" s="6">
        <v>2.5726386528324097E-35</v>
      </c>
      <c r="E855" s="3" t="s">
        <v>2173</v>
      </c>
      <c r="F855" s="3" t="s">
        <v>2174</v>
      </c>
      <c r="G855" s="3">
        <v>17118</v>
      </c>
      <c r="H855" s="7" t="str">
        <f>HYPERLINK("http://www.ensembl.org/Mus_musculus/Gene/Summary?db=core;g=ENSMUSG00000069662","ENSMUSG00000069662")</f>
        <v>ENSMUSG00000069662</v>
      </c>
      <c r="I855" s="7" t="str">
        <f>HYPERLINK("http://www.informatics.jax.org/marker/MGI:96907","MGI:96907")</f>
        <v>MGI:96907</v>
      </c>
      <c r="J855" s="4" t="s">
        <v>12</v>
      </c>
    </row>
    <row r="856" spans="1:10" x14ac:dyDescent="0.25">
      <c r="A856" s="2">
        <v>47.935889984942399</v>
      </c>
      <c r="B856" s="3">
        <v>1.49697087501628</v>
      </c>
      <c r="C856" s="5">
        <v>4.8163832037135503E-17</v>
      </c>
      <c r="D856" s="6">
        <v>4.10631546810338E-16</v>
      </c>
      <c r="E856" s="3" t="s">
        <v>4643</v>
      </c>
      <c r="F856" s="3" t="s">
        <v>4644</v>
      </c>
      <c r="G856" s="3" t="s">
        <v>83</v>
      </c>
      <c r="H856" s="7" t="str">
        <f>HYPERLINK("http://www.ensembl.org/Mus_musculus/Gene/Summary?db=core;g=ENSMUSG00000114980","ENSMUSG00000114980")</f>
        <v>ENSMUSG00000114980</v>
      </c>
      <c r="I856" s="7" t="str">
        <f>HYPERLINK("http://www.informatics.jax.org/marker/MGI:1918514","MGI:1918514")</f>
        <v>MGI:1918514</v>
      </c>
      <c r="J856" s="4" t="s">
        <v>939</v>
      </c>
    </row>
    <row r="857" spans="1:10" x14ac:dyDescent="0.25">
      <c r="A857" s="2">
        <v>1.8208390744288401</v>
      </c>
      <c r="B857" s="3">
        <v>1.4958629234296901</v>
      </c>
      <c r="C857" s="3">
        <v>1.47522890052283E-3</v>
      </c>
      <c r="D857" s="4">
        <v>4.2444578229223996E-3</v>
      </c>
      <c r="E857" s="3" t="s">
        <v>13717</v>
      </c>
      <c r="F857" s="3" t="s">
        <v>13718</v>
      </c>
      <c r="G857" s="3">
        <v>110558</v>
      </c>
      <c r="H857" s="7" t="str">
        <f>HYPERLINK("http://www.ensembl.org/Mus_musculus/Gene/Summary?db=core;g=ENSMUSG00000060550","ENSMUSG00000060550")</f>
        <v>ENSMUSG00000060550</v>
      </c>
      <c r="I857" s="7" t="str">
        <f>HYPERLINK("http://www.informatics.jax.org/marker/MGI:95936","MGI:95936")</f>
        <v>MGI:95936</v>
      </c>
      <c r="J857" s="4" t="s">
        <v>12</v>
      </c>
    </row>
    <row r="858" spans="1:10" x14ac:dyDescent="0.25">
      <c r="A858" s="2">
        <v>484.17504143763398</v>
      </c>
      <c r="B858" s="3">
        <v>1.49307857787888</v>
      </c>
      <c r="C858" s="5">
        <v>9.4201014491995098E-66</v>
      </c>
      <c r="D858" s="6">
        <v>3.9356864529282703E-64</v>
      </c>
      <c r="E858" s="3" t="s">
        <v>958</v>
      </c>
      <c r="F858" s="3" t="s">
        <v>959</v>
      </c>
      <c r="G858" s="3">
        <v>227525</v>
      </c>
      <c r="H858" s="7" t="str">
        <f>HYPERLINK("http://www.ensembl.org/Mus_musculus/Gene/Summary?db=core;g=ENSMUSG00000026648","ENSMUSG00000026648")</f>
        <v>ENSMUSG00000026648</v>
      </c>
      <c r="I858" s="7" t="str">
        <f>HYPERLINK("http://www.informatics.jax.org/marker/MGI:2441769","MGI:2441769")</f>
        <v>MGI:2441769</v>
      </c>
      <c r="J858" s="4" t="s">
        <v>12</v>
      </c>
    </row>
    <row r="859" spans="1:10" x14ac:dyDescent="0.25">
      <c r="A859" s="2">
        <v>14.9518305998537</v>
      </c>
      <c r="B859" s="3">
        <v>1.4916309716912199</v>
      </c>
      <c r="C859" s="5">
        <v>3.0182794760278402E-7</v>
      </c>
      <c r="D859" s="6">
        <v>1.3171159829004001E-6</v>
      </c>
      <c r="E859" s="3" t="s">
        <v>9053</v>
      </c>
      <c r="F859" s="3" t="s">
        <v>9054</v>
      </c>
      <c r="G859" s="3" t="s">
        <v>83</v>
      </c>
      <c r="H859" s="7" t="str">
        <f>HYPERLINK("http://www.ensembl.org/Mus_musculus/Gene/Summary?db=core;g=ENSMUSG00000098679","ENSMUSG00000098679")</f>
        <v>ENSMUSG00000098679</v>
      </c>
      <c r="I859" s="7" t="str">
        <f>HYPERLINK("http://www.informatics.jax.org/marker/MGI:5531256","MGI:5531256")</f>
        <v>MGI:5531256</v>
      </c>
      <c r="J859" s="4" t="s">
        <v>6715</v>
      </c>
    </row>
    <row r="860" spans="1:10" x14ac:dyDescent="0.25">
      <c r="A860" s="2">
        <v>2.7020189146862101</v>
      </c>
      <c r="B860" s="3">
        <v>1.48504729736495</v>
      </c>
      <c r="C860" s="3">
        <v>1.28781094738611E-3</v>
      </c>
      <c r="D860" s="4">
        <v>3.7423565992416902E-3</v>
      </c>
      <c r="E860" s="3" t="s">
        <v>13581</v>
      </c>
      <c r="F860" s="3" t="s">
        <v>13582</v>
      </c>
      <c r="G860" s="3">
        <v>211147</v>
      </c>
      <c r="H860" s="7" t="str">
        <f>HYPERLINK("http://www.ensembl.org/Mus_musculus/Gene/Summary?db=core;g=ENSMUSG00000022269","ENSMUSG00000022269")</f>
        <v>ENSMUSG00000022269</v>
      </c>
      <c r="I860" s="7" t="str">
        <f>HYPERLINK("http://www.informatics.jax.org/marker/MGI:3608327","MGI:3608327")</f>
        <v>MGI:3608327</v>
      </c>
      <c r="J860" s="4" t="s">
        <v>12</v>
      </c>
    </row>
    <row r="861" spans="1:10" x14ac:dyDescent="0.25">
      <c r="A861" s="2">
        <v>54.181814778248899</v>
      </c>
      <c r="B861" s="3">
        <v>1.4848935547870801</v>
      </c>
      <c r="C861" s="5">
        <v>1.0958083234481E-11</v>
      </c>
      <c r="D861" s="6">
        <v>6.8189776391279396E-11</v>
      </c>
      <c r="E861" s="3" t="s">
        <v>6355</v>
      </c>
      <c r="F861" s="3" t="s">
        <v>6356</v>
      </c>
      <c r="G861" s="3">
        <v>12507</v>
      </c>
      <c r="H861" s="7" t="str">
        <f>HYPERLINK("http://www.ensembl.org/Mus_musculus/Gene/Summary?db=core;g=ENSMUSG00000024669","ENSMUSG00000024669")</f>
        <v>ENSMUSG00000024669</v>
      </c>
      <c r="I861" s="7" t="str">
        <f>HYPERLINK("http://www.informatics.jax.org/marker/MGI:88340","MGI:88340")</f>
        <v>MGI:88340</v>
      </c>
      <c r="J861" s="4" t="s">
        <v>12</v>
      </c>
    </row>
    <row r="862" spans="1:10" x14ac:dyDescent="0.25">
      <c r="A862" s="2">
        <v>1.68266201350101</v>
      </c>
      <c r="B862" s="3">
        <v>1.4838285066446699</v>
      </c>
      <c r="C862" s="3">
        <v>1.1237582140130799E-3</v>
      </c>
      <c r="D862" s="4">
        <v>3.2908393199195E-3</v>
      </c>
      <c r="E862" s="3" t="s">
        <v>13477</v>
      </c>
      <c r="F862" s="3" t="s">
        <v>13478</v>
      </c>
      <c r="G862" s="3">
        <v>12835</v>
      </c>
      <c r="H862" s="7" t="str">
        <f>HYPERLINK("http://www.ensembl.org/Mus_musculus/Gene/Summary?db=core;g=ENSMUSG00000048126","ENSMUSG00000048126")</f>
        <v>ENSMUSG00000048126</v>
      </c>
      <c r="I862" s="7" t="str">
        <f>HYPERLINK("http://www.informatics.jax.org/marker/MGI:88461","MGI:88461")</f>
        <v>MGI:88461</v>
      </c>
      <c r="J862" s="4" t="s">
        <v>12</v>
      </c>
    </row>
    <row r="863" spans="1:10" x14ac:dyDescent="0.25">
      <c r="A863" s="2">
        <v>90.415541431507407</v>
      </c>
      <c r="B863" s="3">
        <v>1.4824606051074001</v>
      </c>
      <c r="C863" s="5">
        <v>3.1780169122477002E-27</v>
      </c>
      <c r="D863" s="6">
        <v>4.2173952563610099E-26</v>
      </c>
      <c r="E863" s="3" t="s">
        <v>2990</v>
      </c>
      <c r="F863" s="3" t="s">
        <v>2991</v>
      </c>
      <c r="G863" s="3">
        <v>17869</v>
      </c>
      <c r="H863" s="7" t="str">
        <f>HYPERLINK("http://www.ensembl.org/Mus_musculus/Gene/Summary?db=core;g=ENSMUSG00000022346","ENSMUSG00000022346")</f>
        <v>ENSMUSG00000022346</v>
      </c>
      <c r="I863" s="7" t="str">
        <f>HYPERLINK("http://www.informatics.jax.org/marker/MGI:97250","MGI:97250")</f>
        <v>MGI:97250</v>
      </c>
      <c r="J863" s="4" t="s">
        <v>12</v>
      </c>
    </row>
    <row r="864" spans="1:10" x14ac:dyDescent="0.25">
      <c r="A864" s="2">
        <v>100.583121991355</v>
      </c>
      <c r="B864" s="3">
        <v>1.4818467927244301</v>
      </c>
      <c r="C864" s="5">
        <v>1.11335688260879E-11</v>
      </c>
      <c r="D864" s="6">
        <v>6.92599297320043E-11</v>
      </c>
      <c r="E864" s="3" t="s">
        <v>6357</v>
      </c>
      <c r="F864" s="3" t="s">
        <v>6358</v>
      </c>
      <c r="G864" s="3">
        <v>98496</v>
      </c>
      <c r="H864" s="7" t="str">
        <f>HYPERLINK("http://www.ensembl.org/Mus_musculus/Gene/Summary?db=core;g=ENSMUSG00000045658","ENSMUSG00000045658")</f>
        <v>ENSMUSG00000045658</v>
      </c>
      <c r="I864" s="7" t="str">
        <f>HYPERLINK("http://www.informatics.jax.org/marker/MGI:2138391","MGI:2138391")</f>
        <v>MGI:2138391</v>
      </c>
      <c r="J864" s="4" t="s">
        <v>12</v>
      </c>
    </row>
    <row r="865" spans="1:10" x14ac:dyDescent="0.25">
      <c r="A865" s="2">
        <v>2547.73954961855</v>
      </c>
      <c r="B865" s="3">
        <v>1.4809077926116301</v>
      </c>
      <c r="C865" s="5">
        <v>1.7537215081459501E-71</v>
      </c>
      <c r="D865" s="6">
        <v>8.3333465399128198E-70</v>
      </c>
      <c r="E865" s="3" t="s">
        <v>842</v>
      </c>
      <c r="F865" s="3" t="s">
        <v>843</v>
      </c>
      <c r="G865" s="3">
        <v>70350</v>
      </c>
      <c r="H865" s="7" t="str">
        <f>HYPERLINK("http://www.ensembl.org/Mus_musculus/Gene/Summary?db=core;g=ENSMUSG00000045763","ENSMUSG00000045763")</f>
        <v>ENSMUSG00000045763</v>
      </c>
      <c r="I865" s="7" t="str">
        <f>HYPERLINK("http://www.informatics.jax.org/marker/MGI:1917600","MGI:1917600")</f>
        <v>MGI:1917600</v>
      </c>
      <c r="J865" s="4" t="s">
        <v>12</v>
      </c>
    </row>
    <row r="866" spans="1:10" x14ac:dyDescent="0.25">
      <c r="A866" s="2">
        <v>1.0631257682572299</v>
      </c>
      <c r="B866" s="3">
        <v>1.48089603823611</v>
      </c>
      <c r="C866" s="3">
        <v>9.4078247972741505E-4</v>
      </c>
      <c r="D866" s="4">
        <v>2.7831128863223301E-3</v>
      </c>
      <c r="E866" s="3" t="s">
        <v>13340</v>
      </c>
      <c r="F866" s="3" t="s">
        <v>13341</v>
      </c>
      <c r="G866" s="3" t="s">
        <v>83</v>
      </c>
      <c r="H866" s="7" t="str">
        <f>HYPERLINK("http://www.ensembl.org/Mus_musculus/Gene/Summary?db=core;g=ENSMUSG00000077338","ENSMUSG00000077338")</f>
        <v>ENSMUSG00000077338</v>
      </c>
      <c r="I866" s="7" t="str">
        <f>HYPERLINK("http://www.informatics.jax.org/marker/MGI:5453071","MGI:5453071")</f>
        <v>MGI:5453071</v>
      </c>
      <c r="J866" s="4" t="s">
        <v>13342</v>
      </c>
    </row>
    <row r="867" spans="1:10" x14ac:dyDescent="0.25">
      <c r="A867" s="2">
        <v>5138.7250576240804</v>
      </c>
      <c r="B867" s="3">
        <v>1.47908483801933</v>
      </c>
      <c r="C867" s="5">
        <v>3.0031263486278599E-204</v>
      </c>
      <c r="D867" s="6">
        <v>1.18443303189883E-201</v>
      </c>
      <c r="E867" s="3" t="s">
        <v>110</v>
      </c>
      <c r="F867" s="3" t="s">
        <v>111</v>
      </c>
      <c r="G867" s="3">
        <v>17250</v>
      </c>
      <c r="H867" s="7" t="str">
        <f>HYPERLINK("http://www.ensembl.org/Mus_musculus/Gene/Summary?db=core;g=ENSMUSG00000023088","ENSMUSG00000023088")</f>
        <v>ENSMUSG00000023088</v>
      </c>
      <c r="I867" s="7" t="str">
        <f>HYPERLINK("http://www.informatics.jax.org/marker/MGI:102676","MGI:102676")</f>
        <v>MGI:102676</v>
      </c>
      <c r="J867" s="4" t="s">
        <v>12</v>
      </c>
    </row>
    <row r="868" spans="1:10" x14ac:dyDescent="0.25">
      <c r="A868" s="2">
        <v>1581.2537786589301</v>
      </c>
      <c r="B868" s="3">
        <v>1.47752459024031</v>
      </c>
      <c r="C868" s="5">
        <v>9.9399322992233595E-191</v>
      </c>
      <c r="D868" s="6">
        <v>3.5639175443760898E-188</v>
      </c>
      <c r="E868" s="3" t="s">
        <v>120</v>
      </c>
      <c r="F868" s="3" t="s">
        <v>121</v>
      </c>
      <c r="G868" s="3">
        <v>108058</v>
      </c>
      <c r="H868" s="7" t="str">
        <f>HYPERLINK("http://www.ensembl.org/Mus_musculus/Gene/Summary?db=core;g=ENSMUSG00000053819","ENSMUSG00000053819")</f>
        <v>ENSMUSG00000053819</v>
      </c>
      <c r="I868" s="7" t="str">
        <f>HYPERLINK("http://www.informatics.jax.org/marker/MGI:1341265","MGI:1341265")</f>
        <v>MGI:1341265</v>
      </c>
      <c r="J868" s="4" t="s">
        <v>12</v>
      </c>
    </row>
    <row r="869" spans="1:10" x14ac:dyDescent="0.25">
      <c r="A869" s="2">
        <v>82.491952546344194</v>
      </c>
      <c r="B869" s="3">
        <v>1.4726585337676099</v>
      </c>
      <c r="C869" s="5">
        <v>2.1426273393864401E-16</v>
      </c>
      <c r="D869" s="6">
        <v>1.7649378083834801E-15</v>
      </c>
      <c r="E869" s="3" t="s">
        <v>4805</v>
      </c>
      <c r="F869" s="3" t="s">
        <v>4806</v>
      </c>
      <c r="G869" s="3" t="s">
        <v>83</v>
      </c>
      <c r="H869" s="7" t="str">
        <f>HYPERLINK("http://www.ensembl.org/Mus_musculus/Gene/Summary?db=core;g=ENSMUSG00000113328","ENSMUSG00000113328")</f>
        <v>ENSMUSG00000113328</v>
      </c>
      <c r="I869" s="7" t="str">
        <f>HYPERLINK("http://www.informatics.jax.org/marker/MGI:6096093","MGI:6096093")</f>
        <v>MGI:6096093</v>
      </c>
      <c r="J869" s="4" t="s">
        <v>1828</v>
      </c>
    </row>
    <row r="870" spans="1:10" x14ac:dyDescent="0.25">
      <c r="A870" s="2">
        <v>205.14138314193099</v>
      </c>
      <c r="B870" s="3">
        <v>1.4721913891304701</v>
      </c>
      <c r="C870" s="5">
        <v>4.0433579320958502E-18</v>
      </c>
      <c r="D870" s="6">
        <v>3.66597785843357E-17</v>
      </c>
      <c r="E870" s="3" t="s">
        <v>4367</v>
      </c>
      <c r="F870" s="3" t="s">
        <v>4368</v>
      </c>
      <c r="G870" s="3">
        <v>12517</v>
      </c>
      <c r="H870" s="7" t="str">
        <f>HYPERLINK("http://www.ensembl.org/Mus_musculus/Gene/Summary?db=core;g=ENSMUSG00000028459","ENSMUSG00000028459")</f>
        <v>ENSMUSG00000028459</v>
      </c>
      <c r="I870" s="7" t="str">
        <f>HYPERLINK("http://www.informatics.jax.org/marker/MGI:88345","MGI:88345")</f>
        <v>MGI:88345</v>
      </c>
      <c r="J870" s="4" t="s">
        <v>12</v>
      </c>
    </row>
    <row r="871" spans="1:10" x14ac:dyDescent="0.25">
      <c r="A871" s="2">
        <v>1434.60220853961</v>
      </c>
      <c r="B871" s="3">
        <v>1.4689962610648499</v>
      </c>
      <c r="C871" s="5">
        <v>4.37883285612034E-75</v>
      </c>
      <c r="D871" s="6">
        <v>2.2255305134714701E-73</v>
      </c>
      <c r="E871" s="3" t="s">
        <v>788</v>
      </c>
      <c r="F871" s="3" t="s">
        <v>789</v>
      </c>
      <c r="G871" s="3">
        <v>67245</v>
      </c>
      <c r="H871" s="7" t="str">
        <f>HYPERLINK("http://www.ensembl.org/Mus_musculus/Gene/Summary?db=core;g=ENSMUSG00000020134","ENSMUSG00000020134")</f>
        <v>ENSMUSG00000020134</v>
      </c>
      <c r="I871" s="7" t="str">
        <f>HYPERLINK("http://www.informatics.jax.org/marker/MGI:1914495","MGI:1914495")</f>
        <v>MGI:1914495</v>
      </c>
      <c r="J871" s="4" t="s">
        <v>12</v>
      </c>
    </row>
    <row r="872" spans="1:10" x14ac:dyDescent="0.25">
      <c r="A872" s="2">
        <v>3608.87890514732</v>
      </c>
      <c r="B872" s="3">
        <v>1.46800124546606</v>
      </c>
      <c r="C872" s="5">
        <v>1.6085193383968401E-234</v>
      </c>
      <c r="D872" s="6">
        <v>9.9125004228705106E-232</v>
      </c>
      <c r="E872" s="3" t="s">
        <v>73</v>
      </c>
      <c r="F872" s="3" t="s">
        <v>74</v>
      </c>
      <c r="G872" s="3">
        <v>78781</v>
      </c>
      <c r="H872" s="7" t="str">
        <f>HYPERLINK("http://www.ensembl.org/Mus_musculus/Gene/Summary?db=core;g=ENSMUSG00000029826","ENSMUSG00000029826")</f>
        <v>ENSMUSG00000029826</v>
      </c>
      <c r="I872" s="7" t="str">
        <f>HYPERLINK("http://www.informatics.jax.org/marker/MGI:1926031","MGI:1926031")</f>
        <v>MGI:1926031</v>
      </c>
      <c r="J872" s="4" t="s">
        <v>12</v>
      </c>
    </row>
    <row r="873" spans="1:10" x14ac:dyDescent="0.25">
      <c r="A873" s="2">
        <v>2.6850865823579402</v>
      </c>
      <c r="B873" s="3">
        <v>1.46788275565057</v>
      </c>
      <c r="C873" s="3">
        <v>1.5409641249025401E-3</v>
      </c>
      <c r="D873" s="4">
        <v>4.42455045764096E-3</v>
      </c>
      <c r="E873" s="3" t="s">
        <v>13743</v>
      </c>
      <c r="F873" s="3" t="s">
        <v>13744</v>
      </c>
      <c r="G873" s="3">
        <v>106766</v>
      </c>
      <c r="H873" s="7" t="str">
        <f>HYPERLINK("http://www.ensembl.org/Mus_musculus/Gene/Summary?db=core;g=ENSMUSG00000038781","ENSMUSG00000038781")</f>
        <v>ENSMUSG00000038781</v>
      </c>
      <c r="I873" s="7" t="str">
        <f>HYPERLINK("http://www.informatics.jax.org/marker/MGI:2147039","MGI:2147039")</f>
        <v>MGI:2147039</v>
      </c>
      <c r="J873" s="4" t="s">
        <v>12</v>
      </c>
    </row>
    <row r="874" spans="1:10" x14ac:dyDescent="0.25">
      <c r="A874" s="2">
        <v>17.626787002428301</v>
      </c>
      <c r="B874" s="3">
        <v>1.4656528906136199</v>
      </c>
      <c r="C874" s="5">
        <v>3.35781177159465E-7</v>
      </c>
      <c r="D874" s="6">
        <v>1.45721936918676E-6</v>
      </c>
      <c r="E874" s="3" t="s">
        <v>9103</v>
      </c>
      <c r="F874" s="3" t="s">
        <v>9104</v>
      </c>
      <c r="G874" s="3" t="s">
        <v>83</v>
      </c>
      <c r="H874" s="7" t="str">
        <f>HYPERLINK("http://www.ensembl.org/Mus_musculus/Gene/Summary?db=core;g=ENSMUSG00000098235","ENSMUSG00000098235")</f>
        <v>ENSMUSG00000098235</v>
      </c>
      <c r="I874" s="7" t="str">
        <f>HYPERLINK("http://www.informatics.jax.org/marker/MGI:3646548","MGI:3646548")</f>
        <v>MGI:3646548</v>
      </c>
      <c r="J874" s="4" t="s">
        <v>1043</v>
      </c>
    </row>
    <row r="875" spans="1:10" x14ac:dyDescent="0.25">
      <c r="A875" s="2">
        <v>66.355033372570105</v>
      </c>
      <c r="B875" s="3">
        <v>1.4655839758126701</v>
      </c>
      <c r="C875" s="5">
        <v>3.5434830320127499E-17</v>
      </c>
      <c r="D875" s="6">
        <v>3.0527516553644202E-16</v>
      </c>
      <c r="E875" s="3" t="s">
        <v>4595</v>
      </c>
      <c r="F875" s="3" t="s">
        <v>4596</v>
      </c>
      <c r="G875" s="3">
        <v>621823</v>
      </c>
      <c r="H875" s="7" t="str">
        <f>HYPERLINK("http://www.ensembl.org/Mus_musculus/Gene/Summary?db=core;g=ENSMUSG00000078153","ENSMUSG00000078153")</f>
        <v>ENSMUSG00000078153</v>
      </c>
      <c r="I875" s="7" t="str">
        <f>HYPERLINK("http://www.informatics.jax.org/marker/MGI:1341073","MGI:1341073")</f>
        <v>MGI:1341073</v>
      </c>
      <c r="J875" s="4" t="s">
        <v>12</v>
      </c>
    </row>
    <row r="876" spans="1:10" x14ac:dyDescent="0.25">
      <c r="A876" s="2">
        <v>802.930705393121</v>
      </c>
      <c r="B876" s="3">
        <v>1.46521174340419</v>
      </c>
      <c r="C876" s="5">
        <v>4.3810851494458202E-73</v>
      </c>
      <c r="D876" s="6">
        <v>2.13849007789781E-71</v>
      </c>
      <c r="E876" s="3" t="s">
        <v>820</v>
      </c>
      <c r="F876" s="3" t="s">
        <v>821</v>
      </c>
      <c r="G876" s="3">
        <v>70617</v>
      </c>
      <c r="H876" s="7" t="str">
        <f>HYPERLINK("http://www.ensembl.org/Mus_musculus/Gene/Summary?db=core;g=ENSMUSG00000050549","ENSMUSG00000050549")</f>
        <v>ENSMUSG00000050549</v>
      </c>
      <c r="I876" s="7" t="str">
        <f>HYPERLINK("http://www.informatics.jax.org/marker/MGI:1917867","MGI:1917867")</f>
        <v>MGI:1917867</v>
      </c>
      <c r="J876" s="4" t="s">
        <v>12</v>
      </c>
    </row>
    <row r="877" spans="1:10" x14ac:dyDescent="0.25">
      <c r="A877" s="2">
        <v>783.778466138564</v>
      </c>
      <c r="B877" s="3">
        <v>1.46034136649083</v>
      </c>
      <c r="C877" s="5">
        <v>6.7530523408230099E-35</v>
      </c>
      <c r="D877" s="6">
        <v>1.16815958035991E-33</v>
      </c>
      <c r="E877" s="3" t="s">
        <v>2297</v>
      </c>
      <c r="F877" s="3" t="s">
        <v>2298</v>
      </c>
      <c r="G877" s="3">
        <v>19015</v>
      </c>
      <c r="H877" s="7" t="str">
        <f>HYPERLINK("http://www.ensembl.org/Mus_musculus/Gene/Summary?db=core;g=ENSMUSG00000002250","ENSMUSG00000002250")</f>
        <v>ENSMUSG00000002250</v>
      </c>
      <c r="I877" s="7" t="str">
        <f>HYPERLINK("http://www.informatics.jax.org/marker/MGI:101884","MGI:101884")</f>
        <v>MGI:101884</v>
      </c>
      <c r="J877" s="4" t="s">
        <v>12</v>
      </c>
    </row>
    <row r="878" spans="1:10" x14ac:dyDescent="0.25">
      <c r="A878" s="2">
        <v>2427.1222445998401</v>
      </c>
      <c r="B878" s="3">
        <v>1.4603017387249499</v>
      </c>
      <c r="C878" s="5">
        <v>4.12221445303683E-39</v>
      </c>
      <c r="D878" s="6">
        <v>8.1616535154504303E-38</v>
      </c>
      <c r="E878" s="3" t="s">
        <v>2009</v>
      </c>
      <c r="F878" s="3" t="s">
        <v>2010</v>
      </c>
      <c r="G878" s="3">
        <v>212032</v>
      </c>
      <c r="H878" s="7" t="str">
        <f>HYPERLINK("http://www.ensembl.org/Mus_musculus/Gene/Summary?db=core;g=ENSMUSG00000025877","ENSMUSG00000025877")</f>
        <v>ENSMUSG00000025877</v>
      </c>
      <c r="I878" s="7" t="str">
        <f>HYPERLINK("http://www.informatics.jax.org/marker/MGI:2670962","MGI:2670962")</f>
        <v>MGI:2670962</v>
      </c>
      <c r="J878" s="4" t="s">
        <v>12</v>
      </c>
    </row>
    <row r="879" spans="1:10" x14ac:dyDescent="0.25">
      <c r="A879" s="2">
        <v>737.34252197923797</v>
      </c>
      <c r="B879" s="3">
        <v>1.4598913014989201</v>
      </c>
      <c r="C879" s="5">
        <v>2.7312388593386E-70</v>
      </c>
      <c r="D879" s="6">
        <v>1.2643199602384301E-68</v>
      </c>
      <c r="E879" s="3" t="s">
        <v>864</v>
      </c>
      <c r="F879" s="3" t="s">
        <v>865</v>
      </c>
      <c r="G879" s="3">
        <v>107305</v>
      </c>
      <c r="H879" s="7" t="str">
        <f>HYPERLINK("http://www.ensembl.org/Mus_musculus/Gene/Summary?db=core;g=ENSMUSG00000048832","ENSMUSG00000048832")</f>
        <v>ENSMUSG00000048832</v>
      </c>
      <c r="I879" s="7" t="str">
        <f>HYPERLINK("http://www.informatics.jax.org/marker/MGI:2147661","MGI:2147661")</f>
        <v>MGI:2147661</v>
      </c>
      <c r="J879" s="4" t="s">
        <v>12</v>
      </c>
    </row>
    <row r="880" spans="1:10" x14ac:dyDescent="0.25">
      <c r="A880" s="2">
        <v>6022.9043801202297</v>
      </c>
      <c r="B880" s="3">
        <v>1.4576303595461999</v>
      </c>
      <c r="C880" s="5">
        <v>4.9874661428923801E-12</v>
      </c>
      <c r="D880" s="6">
        <v>3.1932737772025298E-11</v>
      </c>
      <c r="E880" s="3" t="s">
        <v>6177</v>
      </c>
      <c r="F880" s="3" t="s">
        <v>6178</v>
      </c>
      <c r="G880" s="3">
        <v>12505</v>
      </c>
      <c r="H880" s="7" t="str">
        <f>HYPERLINK("http://www.ensembl.org/Mus_musculus/Gene/Summary?db=core;g=ENSMUSG00000005087","ENSMUSG00000005087")</f>
        <v>ENSMUSG00000005087</v>
      </c>
      <c r="I880" s="7" t="str">
        <f>HYPERLINK("http://www.informatics.jax.org/marker/MGI:88338","MGI:88338")</f>
        <v>MGI:88338</v>
      </c>
      <c r="J880" s="4" t="s">
        <v>12</v>
      </c>
    </row>
    <row r="881" spans="1:10" x14ac:dyDescent="0.25">
      <c r="A881" s="2">
        <v>91.147839832449804</v>
      </c>
      <c r="B881" s="3">
        <v>1.45623278411729</v>
      </c>
      <c r="C881" s="5">
        <v>7.1905344415242597E-19</v>
      </c>
      <c r="D881" s="6">
        <v>6.7780754869435198E-18</v>
      </c>
      <c r="E881" s="3" t="s">
        <v>4201</v>
      </c>
      <c r="F881" s="3" t="s">
        <v>4202</v>
      </c>
      <c r="G881" s="3" t="s">
        <v>83</v>
      </c>
      <c r="H881" s="7" t="str">
        <f>HYPERLINK("http://www.ensembl.org/Mus_musculus/Gene/Summary?db=core;g=ENSMUSG00000074813","ENSMUSG00000074813")</f>
        <v>ENSMUSG00000074813</v>
      </c>
      <c r="I881" s="7" t="str">
        <f>HYPERLINK("http://www.informatics.jax.org/marker/MGI:3652191","MGI:3652191")</f>
        <v>MGI:3652191</v>
      </c>
      <c r="J881" s="4" t="s">
        <v>939</v>
      </c>
    </row>
    <row r="882" spans="1:10" x14ac:dyDescent="0.25">
      <c r="A882" s="2">
        <v>218.35993854360001</v>
      </c>
      <c r="B882" s="3">
        <v>1.4559710059604301</v>
      </c>
      <c r="C882" s="5">
        <v>8.3757630857752905E-58</v>
      </c>
      <c r="D882" s="6">
        <v>2.8042452979879201E-56</v>
      </c>
      <c r="E882" s="3" t="s">
        <v>1194</v>
      </c>
      <c r="F882" s="3" t="s">
        <v>1195</v>
      </c>
      <c r="G882" s="3">
        <v>230801</v>
      </c>
      <c r="H882" s="7" t="str">
        <f>HYPERLINK("http://www.ensembl.org/Mus_musculus/Gene/Summary?db=core;g=ENSMUSG00000043257","ENSMUSG00000043257")</f>
        <v>ENSMUSG00000043257</v>
      </c>
      <c r="I882" s="7" t="str">
        <f>HYPERLINK("http://www.informatics.jax.org/marker/MGI:2442480","MGI:2442480")</f>
        <v>MGI:2442480</v>
      </c>
      <c r="J882" s="4" t="s">
        <v>12</v>
      </c>
    </row>
    <row r="883" spans="1:10" x14ac:dyDescent="0.25">
      <c r="A883" s="2">
        <v>2456.0262430673001</v>
      </c>
      <c r="B883" s="3">
        <v>1.4558127944421999</v>
      </c>
      <c r="C883" s="5">
        <v>1.33620847228775E-110</v>
      </c>
      <c r="D883" s="6">
        <v>1.2916681898781601E-108</v>
      </c>
      <c r="E883" s="3" t="s">
        <v>420</v>
      </c>
      <c r="F883" s="3" t="s">
        <v>421</v>
      </c>
      <c r="G883" s="3">
        <v>170737</v>
      </c>
      <c r="H883" s="7" t="str">
        <f>HYPERLINK("http://www.ensembl.org/Mus_musculus/Gene/Summary?db=core;g=ENSMUSG00000033545","ENSMUSG00000033545")</f>
        <v>ENSMUSG00000033545</v>
      </c>
      <c r="I883" s="7" t="str">
        <f>HYPERLINK("http://www.informatics.jax.org/marker/MGI:2177308","MGI:2177308")</f>
        <v>MGI:2177308</v>
      </c>
      <c r="J883" s="4" t="s">
        <v>12</v>
      </c>
    </row>
    <row r="884" spans="1:10" x14ac:dyDescent="0.25">
      <c r="A884" s="2">
        <v>4822.2258857876104</v>
      </c>
      <c r="B884" s="3">
        <v>1.4556418827353499</v>
      </c>
      <c r="C884" s="5">
        <v>5.03396556952392E-39</v>
      </c>
      <c r="D884" s="6">
        <v>9.9170630400611191E-38</v>
      </c>
      <c r="E884" s="3" t="s">
        <v>2019</v>
      </c>
      <c r="F884" s="3" t="s">
        <v>2020</v>
      </c>
      <c r="G884" s="3">
        <v>13885</v>
      </c>
      <c r="H884" s="7" t="str">
        <f>HYPERLINK("http://www.ensembl.org/Mus_musculus/Gene/Summary?db=core;g=ENSMUSG00000021996","ENSMUSG00000021996")</f>
        <v>ENSMUSG00000021996</v>
      </c>
      <c r="I884" s="7" t="str">
        <f>HYPERLINK("http://www.informatics.jax.org/marker/MGI:95421","MGI:95421")</f>
        <v>MGI:95421</v>
      </c>
      <c r="J884" s="4" t="s">
        <v>12</v>
      </c>
    </row>
    <row r="885" spans="1:10" x14ac:dyDescent="0.25">
      <c r="A885" s="2">
        <v>19.9361001758474</v>
      </c>
      <c r="B885" s="3">
        <v>1.45454021959324</v>
      </c>
      <c r="C885" s="5">
        <v>1.1067505957717501E-7</v>
      </c>
      <c r="D885" s="6">
        <v>5.0023199057114002E-7</v>
      </c>
      <c r="E885" s="3" t="s">
        <v>8743</v>
      </c>
      <c r="F885" s="3" t="s">
        <v>8744</v>
      </c>
      <c r="G885" s="3" t="s">
        <v>83</v>
      </c>
      <c r="H885" s="7" t="str">
        <f>HYPERLINK("http://www.ensembl.org/Mus_musculus/Gene/Summary?db=core;g=ENSMUSG00000101438","ENSMUSG00000101438")</f>
        <v>ENSMUSG00000101438</v>
      </c>
      <c r="I885" s="7" t="str">
        <f>HYPERLINK("http://www.informatics.jax.org/marker/MGI:5011597","MGI:5011597")</f>
        <v>MGI:5011597</v>
      </c>
      <c r="J885" s="4" t="s">
        <v>932</v>
      </c>
    </row>
    <row r="886" spans="1:10" x14ac:dyDescent="0.25">
      <c r="A886" s="2">
        <v>145.114695014793</v>
      </c>
      <c r="B886" s="3">
        <v>1.4531295338266901</v>
      </c>
      <c r="C886" s="5">
        <v>1.30527055367623E-10</v>
      </c>
      <c r="D886" s="6">
        <v>7.5307007953467597E-10</v>
      </c>
      <c r="E886" s="3" t="s">
        <v>6854</v>
      </c>
      <c r="F886" s="3" t="s">
        <v>6855</v>
      </c>
      <c r="G886" s="3">
        <v>75581</v>
      </c>
      <c r="H886" s="7" t="str">
        <f>HYPERLINK("http://www.ensembl.org/Mus_musculus/Gene/Summary?db=core;g=ENSMUSG00000029158","ENSMUSG00000029158")</f>
        <v>ENSMUSG00000029158</v>
      </c>
      <c r="I886" s="7" t="str">
        <f>HYPERLINK("http://www.informatics.jax.org/marker/MGI:1922831","MGI:1922831")</f>
        <v>MGI:1922831</v>
      </c>
      <c r="J886" s="4" t="s">
        <v>12</v>
      </c>
    </row>
    <row r="887" spans="1:10" x14ac:dyDescent="0.25">
      <c r="A887" s="2">
        <v>768.49276489478302</v>
      </c>
      <c r="B887" s="3">
        <v>1.4529775347599601</v>
      </c>
      <c r="C887" s="5">
        <v>2.0736082991931798E-37</v>
      </c>
      <c r="D887" s="6">
        <v>3.8981463927635401E-36</v>
      </c>
      <c r="E887" s="3" t="s">
        <v>2115</v>
      </c>
      <c r="F887" s="3" t="s">
        <v>2116</v>
      </c>
      <c r="G887" s="3">
        <v>22021</v>
      </c>
      <c r="H887" s="7" t="str">
        <f>HYPERLINK("http://www.ensembl.org/Mus_musculus/Gene/Summary?db=core;g=ENSMUSG00000034118","ENSMUSG00000034118")</f>
        <v>ENSMUSG00000034118</v>
      </c>
      <c r="I887" s="7" t="str">
        <f>HYPERLINK("http://www.informatics.jax.org/marker/MGI:1298231","MGI:1298231")</f>
        <v>MGI:1298231</v>
      </c>
      <c r="J887" s="4" t="s">
        <v>12</v>
      </c>
    </row>
    <row r="888" spans="1:10" x14ac:dyDescent="0.25">
      <c r="A888" s="2">
        <v>303.93868102671098</v>
      </c>
      <c r="B888" s="3">
        <v>1.4504450611948501</v>
      </c>
      <c r="C888" s="5">
        <v>4.3042491628154201E-23</v>
      </c>
      <c r="D888" s="6">
        <v>4.8781490511908095E-22</v>
      </c>
      <c r="E888" s="3" t="s">
        <v>3498</v>
      </c>
      <c r="F888" s="3" t="s">
        <v>3499</v>
      </c>
      <c r="G888" s="3">
        <v>12795</v>
      </c>
      <c r="H888" s="7" t="str">
        <f>HYPERLINK("http://www.ensembl.org/Mus_musculus/Gene/Summary?db=core;g=ENSMUSG00000028680","ENSMUSG00000028680")</f>
        <v>ENSMUSG00000028680</v>
      </c>
      <c r="I888" s="7" t="str">
        <f>HYPERLINK("http://www.informatics.jax.org/marker/MGI:109604","MGI:109604")</f>
        <v>MGI:109604</v>
      </c>
      <c r="J888" s="4" t="s">
        <v>12</v>
      </c>
    </row>
    <row r="889" spans="1:10" x14ac:dyDescent="0.25">
      <c r="A889" s="2">
        <v>3125.2072340796899</v>
      </c>
      <c r="B889" s="3">
        <v>1.44855871973533</v>
      </c>
      <c r="C889" s="5">
        <v>1.8800521384708099E-50</v>
      </c>
      <c r="D889" s="6">
        <v>5.1137418166406103E-49</v>
      </c>
      <c r="E889" s="3" t="s">
        <v>1466</v>
      </c>
      <c r="F889" s="3" t="s">
        <v>1467</v>
      </c>
      <c r="G889" s="3">
        <v>67702</v>
      </c>
      <c r="H889" s="7" t="str">
        <f>HYPERLINK("http://www.ensembl.org/Mus_musculus/Gene/Summary?db=core;g=ENSMUSG00000048234","ENSMUSG00000048234")</f>
        <v>ENSMUSG00000048234</v>
      </c>
      <c r="I889" s="7" t="str">
        <f>HYPERLINK("http://www.informatics.jax.org/marker/MGI:2677438","MGI:2677438")</f>
        <v>MGI:2677438</v>
      </c>
      <c r="J889" s="4" t="s">
        <v>12</v>
      </c>
    </row>
    <row r="890" spans="1:10" x14ac:dyDescent="0.25">
      <c r="A890" s="2">
        <v>883.62441545253898</v>
      </c>
      <c r="B890" s="3">
        <v>1.44738752755232</v>
      </c>
      <c r="C890" s="5">
        <v>1.6429992679442401E-31</v>
      </c>
      <c r="D890" s="6">
        <v>2.5272968458549501E-30</v>
      </c>
      <c r="E890" s="3" t="s">
        <v>2581</v>
      </c>
      <c r="F890" s="3" t="s">
        <v>2582</v>
      </c>
      <c r="G890" s="3">
        <v>22695</v>
      </c>
      <c r="H890" s="7" t="str">
        <f>HYPERLINK("http://www.ensembl.org/Mus_musculus/Gene/Summary?db=core;g=ENSMUSG00000044786","ENSMUSG00000044786")</f>
        <v>ENSMUSG00000044786</v>
      </c>
      <c r="I890" s="7" t="str">
        <f>HYPERLINK("http://www.informatics.jax.org/marker/MGI:99180","MGI:99180")</f>
        <v>MGI:99180</v>
      </c>
      <c r="J890" s="4" t="s">
        <v>12</v>
      </c>
    </row>
    <row r="891" spans="1:10" x14ac:dyDescent="0.25">
      <c r="A891" s="2">
        <v>57.602406454498102</v>
      </c>
      <c r="B891" s="3">
        <v>1.44631254016063</v>
      </c>
      <c r="C891" s="5">
        <v>5.7633084862465797E-16</v>
      </c>
      <c r="D891" s="6">
        <v>4.6407694303300397E-15</v>
      </c>
      <c r="E891" s="3" t="s">
        <v>4915</v>
      </c>
      <c r="F891" s="3" t="s">
        <v>4916</v>
      </c>
      <c r="G891" s="3">
        <v>360213</v>
      </c>
      <c r="H891" s="7" t="str">
        <f>HYPERLINK("http://www.ensembl.org/Mus_musculus/Gene/Summary?db=core;g=ENSMUSG00000042766","ENSMUSG00000042766")</f>
        <v>ENSMUSG00000042766</v>
      </c>
      <c r="I891" s="7" t="str">
        <f>HYPERLINK("http://www.informatics.jax.org/marker/MGI:2673000","MGI:2673000")</f>
        <v>MGI:2673000</v>
      </c>
      <c r="J891" s="4" t="s">
        <v>12</v>
      </c>
    </row>
    <row r="892" spans="1:10" x14ac:dyDescent="0.25">
      <c r="A892" s="2">
        <v>1.5972944812688801</v>
      </c>
      <c r="B892" s="3">
        <v>1.4462252452856501</v>
      </c>
      <c r="C892" s="3">
        <v>2.11462762151758E-3</v>
      </c>
      <c r="D892" s="4">
        <v>5.9504076336082496E-3</v>
      </c>
      <c r="E892" s="3" t="s">
        <v>14023</v>
      </c>
      <c r="F892" s="3" t="s">
        <v>14024</v>
      </c>
      <c r="G892" s="3">
        <v>432611</v>
      </c>
      <c r="H892" s="7" t="str">
        <f>HYPERLINK("http://www.ensembl.org/Mus_musculus/Gene/Summary?db=core;g=ENSMUSG00000034706","ENSMUSG00000034706")</f>
        <v>ENSMUSG00000034706</v>
      </c>
      <c r="I892" s="7" t="str">
        <f>HYPERLINK("http://www.informatics.jax.org/marker/MGI:2685574","MGI:2685574")</f>
        <v>MGI:2685574</v>
      </c>
      <c r="J892" s="4" t="s">
        <v>12</v>
      </c>
    </row>
    <row r="893" spans="1:10" x14ac:dyDescent="0.25">
      <c r="A893" s="2">
        <v>657.12199224211702</v>
      </c>
      <c r="B893" s="3">
        <v>1.43987496270225</v>
      </c>
      <c r="C893" s="5">
        <v>8.0974344759446201E-64</v>
      </c>
      <c r="D893" s="6">
        <v>3.2721599972464802E-62</v>
      </c>
      <c r="E893" s="3" t="s">
        <v>991</v>
      </c>
      <c r="F893" s="3" t="s">
        <v>992</v>
      </c>
      <c r="G893" s="3">
        <v>71310</v>
      </c>
      <c r="H893" s="7" t="str">
        <f>HYPERLINK("http://www.ensembl.org/Mus_musculus/Gene/Summary?db=core;g=ENSMUSG00000031709","ENSMUSG00000031709")</f>
        <v>ENSMUSG00000031709</v>
      </c>
      <c r="I893" s="7" t="str">
        <f>HYPERLINK("http://www.informatics.jax.org/marker/MGI:1918560","MGI:1918560")</f>
        <v>MGI:1918560</v>
      </c>
      <c r="J893" s="4" t="s">
        <v>12</v>
      </c>
    </row>
    <row r="894" spans="1:10" x14ac:dyDescent="0.25">
      <c r="A894" s="2">
        <v>6.6958322406695503</v>
      </c>
      <c r="B894" s="3">
        <v>1.43722592213514</v>
      </c>
      <c r="C894" s="3">
        <v>1.66511839492245E-4</v>
      </c>
      <c r="D894" s="4">
        <v>5.4545074332011201E-4</v>
      </c>
      <c r="E894" s="3" t="s">
        <v>12051</v>
      </c>
      <c r="F894" s="3" t="s">
        <v>12052</v>
      </c>
      <c r="G894" s="3" t="s">
        <v>83</v>
      </c>
      <c r="H894" s="7" t="str">
        <f>HYPERLINK("http://www.ensembl.org/Mus_musculus/Gene/Summary?db=core;g=ENSMUSG00000107216","ENSMUSG00000107216")</f>
        <v>ENSMUSG00000107216</v>
      </c>
      <c r="I894" s="7" t="str">
        <f>HYPERLINK("http://www.informatics.jax.org/marker/MGI:1919625","MGI:1919625")</f>
        <v>MGI:1919625</v>
      </c>
      <c r="J894" s="4" t="s">
        <v>1828</v>
      </c>
    </row>
    <row r="895" spans="1:10" x14ac:dyDescent="0.25">
      <c r="A895" s="2">
        <v>10.543199164238599</v>
      </c>
      <c r="B895" s="3">
        <v>1.4369002992239901</v>
      </c>
      <c r="C895" s="5">
        <v>5.4037121237719397E-6</v>
      </c>
      <c r="D895" s="6">
        <v>2.0800547156116101E-5</v>
      </c>
      <c r="E895" s="3" t="s">
        <v>10260</v>
      </c>
      <c r="F895" s="3" t="s">
        <v>10261</v>
      </c>
      <c r="G895" s="3">
        <v>320181</v>
      </c>
      <c r="H895" s="7" t="str">
        <f>HYPERLINK("http://www.ensembl.org/Mus_musculus/Gene/Summary?db=core;g=ENSMUSG00000045326","ENSMUSG00000045326")</f>
        <v>ENSMUSG00000045326</v>
      </c>
      <c r="I895" s="7" t="str">
        <f>HYPERLINK("http://www.informatics.jax.org/marker/MGI:2443535","MGI:2443535")</f>
        <v>MGI:2443535</v>
      </c>
      <c r="J895" s="4" t="s">
        <v>12</v>
      </c>
    </row>
    <row r="896" spans="1:10" x14ac:dyDescent="0.25">
      <c r="A896" s="2">
        <v>89.229427174989695</v>
      </c>
      <c r="B896" s="3">
        <v>1.4351232658119</v>
      </c>
      <c r="C896" s="5">
        <v>6.7133450663394797E-14</v>
      </c>
      <c r="D896" s="6">
        <v>4.8334123661268496E-13</v>
      </c>
      <c r="E896" s="3" t="s">
        <v>5495</v>
      </c>
      <c r="F896" s="3" t="s">
        <v>5496</v>
      </c>
      <c r="G896" s="3">
        <v>408067</v>
      </c>
      <c r="H896" s="7" t="str">
        <f>HYPERLINK("http://www.ensembl.org/Mus_musculus/Gene/Summary?db=core;g=ENSMUSG00000059839","ENSMUSG00000059839")</f>
        <v>ENSMUSG00000059839</v>
      </c>
      <c r="I896" s="7" t="str">
        <f>HYPERLINK("http://www.informatics.jax.org/marker/MGI:3040702","MGI:3040702")</f>
        <v>MGI:3040702</v>
      </c>
      <c r="J896" s="4" t="s">
        <v>12</v>
      </c>
    </row>
    <row r="897" spans="1:10" x14ac:dyDescent="0.25">
      <c r="A897" s="2">
        <v>1365.8275112020101</v>
      </c>
      <c r="B897" s="3">
        <v>1.4345135397356299</v>
      </c>
      <c r="C897" s="5">
        <v>3.05817378596386E-74</v>
      </c>
      <c r="D897" s="6">
        <v>1.52676422934702E-72</v>
      </c>
      <c r="E897" s="3" t="s">
        <v>802</v>
      </c>
      <c r="F897" s="3" t="s">
        <v>803</v>
      </c>
      <c r="G897" s="3">
        <v>12521</v>
      </c>
      <c r="H897" s="7" t="str">
        <f>HYPERLINK("http://www.ensembl.org/Mus_musculus/Gene/Summary?db=core;g=ENSMUSG00000027215","ENSMUSG00000027215")</f>
        <v>ENSMUSG00000027215</v>
      </c>
      <c r="I897" s="7" t="str">
        <f>HYPERLINK("http://www.informatics.jax.org/marker/MGI:104651","MGI:104651")</f>
        <v>MGI:104651</v>
      </c>
      <c r="J897" s="4" t="s">
        <v>12</v>
      </c>
    </row>
    <row r="898" spans="1:10" x14ac:dyDescent="0.25">
      <c r="A898" s="2">
        <v>2103.92704358827</v>
      </c>
      <c r="B898" s="3">
        <v>1.4342957206442499</v>
      </c>
      <c r="C898" s="5">
        <v>5.5894005580933203E-155</v>
      </c>
      <c r="D898" s="6">
        <v>1.26693079316782E-152</v>
      </c>
      <c r="E898" s="3" t="s">
        <v>184</v>
      </c>
      <c r="F898" s="3" t="s">
        <v>185</v>
      </c>
      <c r="G898" s="3">
        <v>17355</v>
      </c>
      <c r="H898" s="7" t="str">
        <f>HYPERLINK("http://www.ensembl.org/Mus_musculus/Gene/Summary?db=core;g=ENSMUSG00000029313","ENSMUSG00000029313")</f>
        <v>ENSMUSG00000029313</v>
      </c>
      <c r="I898" s="7" t="str">
        <f>HYPERLINK("http://www.informatics.jax.org/marker/MGI:1100819","MGI:1100819")</f>
        <v>MGI:1100819</v>
      </c>
      <c r="J898" s="4" t="s">
        <v>12</v>
      </c>
    </row>
    <row r="899" spans="1:10" x14ac:dyDescent="0.25">
      <c r="A899" s="2">
        <v>54.711966169674902</v>
      </c>
      <c r="B899" s="3">
        <v>1.4342790921748201</v>
      </c>
      <c r="C899" s="5">
        <v>4.6043671635453496E-13</v>
      </c>
      <c r="D899" s="6">
        <v>3.1527125161498E-12</v>
      </c>
      <c r="E899" s="3" t="s">
        <v>5777</v>
      </c>
      <c r="F899" s="3" t="s">
        <v>5778</v>
      </c>
      <c r="G899" s="3">
        <v>29816</v>
      </c>
      <c r="H899" s="7" t="str">
        <f>HYPERLINK("http://www.ensembl.org/Mus_musculus/Gene/Summary?db=core;g=ENSMUSG00000000915","ENSMUSG00000000915")</f>
        <v>ENSMUSG00000000915</v>
      </c>
      <c r="I899" s="7" t="str">
        <f>HYPERLINK("http://www.informatics.jax.org/marker/MGI:1352504","MGI:1352504")</f>
        <v>MGI:1352504</v>
      </c>
      <c r="J899" s="4" t="s">
        <v>12</v>
      </c>
    </row>
    <row r="900" spans="1:10" x14ac:dyDescent="0.25">
      <c r="A900" s="2">
        <v>1.39001616948027</v>
      </c>
      <c r="B900" s="3">
        <v>1.43240665693314</v>
      </c>
      <c r="C900" s="3">
        <v>2.1215786215971599E-3</v>
      </c>
      <c r="D900" s="4">
        <v>5.96911548265031E-3</v>
      </c>
      <c r="E900" s="3" t="s">
        <v>14025</v>
      </c>
      <c r="F900" s="3" t="s">
        <v>14026</v>
      </c>
      <c r="G900" s="3">
        <v>620078</v>
      </c>
      <c r="H900" s="7" t="str">
        <f>HYPERLINK("http://www.ensembl.org/Mus_musculus/Gene/Summary?db=core;g=ENSMUSG00000052477","ENSMUSG00000052477")</f>
        <v>ENSMUSG00000052477</v>
      </c>
      <c r="I900" s="7" t="str">
        <f>HYPERLINK("http://www.informatics.jax.org/marker/MGI:3612702","MGI:3612702")</f>
        <v>MGI:3612702</v>
      </c>
      <c r="J900" s="4" t="s">
        <v>12</v>
      </c>
    </row>
    <row r="901" spans="1:10" x14ac:dyDescent="0.25">
      <c r="A901" s="2">
        <v>0.98875467662263095</v>
      </c>
      <c r="B901" s="3">
        <v>1.4323419117366001</v>
      </c>
      <c r="C901" s="3">
        <v>1.2496500832914999E-3</v>
      </c>
      <c r="D901" s="4">
        <v>3.6378948394609201E-3</v>
      </c>
      <c r="E901" s="3" t="s">
        <v>13557</v>
      </c>
      <c r="F901" s="3" t="s">
        <v>13558</v>
      </c>
      <c r="G901" s="3">
        <v>207209</v>
      </c>
      <c r="H901" s="7" t="str">
        <f>HYPERLINK("http://www.ensembl.org/Mus_musculus/Gene/Summary?db=core;g=ENSMUSG00000059562","ENSMUSG00000059562")</f>
        <v>ENSMUSG00000059562</v>
      </c>
      <c r="I901" s="7" t="str">
        <f>HYPERLINK("http://www.informatics.jax.org/marker/MGI:2685163","MGI:2685163")</f>
        <v>MGI:2685163</v>
      </c>
      <c r="J901" s="4" t="s">
        <v>12</v>
      </c>
    </row>
    <row r="902" spans="1:10" x14ac:dyDescent="0.25">
      <c r="A902" s="2">
        <v>1104.6171698445701</v>
      </c>
      <c r="B902" s="3">
        <v>1.4307619518602901</v>
      </c>
      <c r="C902" s="5">
        <v>1.6427863098385699E-14</v>
      </c>
      <c r="D902" s="6">
        <v>1.2303739472091401E-13</v>
      </c>
      <c r="E902" s="3" t="s">
        <v>5283</v>
      </c>
      <c r="F902" s="3" t="s">
        <v>5284</v>
      </c>
      <c r="G902" s="3">
        <v>22793</v>
      </c>
      <c r="H902" s="7" t="str">
        <f>HYPERLINK("http://www.ensembl.org/Mus_musculus/Gene/Summary?db=core;g=ENSMUSG00000029860","ENSMUSG00000029860")</f>
        <v>ENSMUSG00000029860</v>
      </c>
      <c r="I902" s="7" t="str">
        <f>HYPERLINK("http://www.informatics.jax.org/marker/MGI:103072","MGI:103072")</f>
        <v>MGI:103072</v>
      </c>
      <c r="J902" s="4" t="s">
        <v>12</v>
      </c>
    </row>
    <row r="903" spans="1:10" x14ac:dyDescent="0.25">
      <c r="A903" s="2">
        <v>18.985432817579301</v>
      </c>
      <c r="B903" s="3">
        <v>1.4300741739780001</v>
      </c>
      <c r="C903" s="5">
        <v>6.35991701571774E-8</v>
      </c>
      <c r="D903" s="6">
        <v>2.9289482379718299E-7</v>
      </c>
      <c r="E903" s="3" t="s">
        <v>8581</v>
      </c>
      <c r="F903" s="3" t="s">
        <v>8582</v>
      </c>
      <c r="G903" s="3" t="s">
        <v>83</v>
      </c>
      <c r="H903" s="7" t="str">
        <f>HYPERLINK("http://www.ensembl.org/Mus_musculus/Gene/Summary?db=core;g=ENSMUSG00000111410","ENSMUSG00000111410")</f>
        <v>ENSMUSG00000111410</v>
      </c>
      <c r="I903" s="7" t="str">
        <f>HYPERLINK("http://www.informatics.jax.org/marker/MGI:6121526","MGI:6121526")</f>
        <v>MGI:6121526</v>
      </c>
      <c r="J903" s="4" t="s">
        <v>12</v>
      </c>
    </row>
    <row r="904" spans="1:10" x14ac:dyDescent="0.25">
      <c r="A904" s="2">
        <v>345.84974774983101</v>
      </c>
      <c r="B904" s="3">
        <v>1.4284822654898099</v>
      </c>
      <c r="C904" s="5">
        <v>3.7938287338860902E-25</v>
      </c>
      <c r="D904" s="6">
        <v>4.6410857712303797E-24</v>
      </c>
      <c r="E904" s="3" t="s">
        <v>3244</v>
      </c>
      <c r="F904" s="3" t="s">
        <v>3245</v>
      </c>
      <c r="G904" s="3">
        <v>239122</v>
      </c>
      <c r="H904" s="7" t="str">
        <f>HYPERLINK("http://www.ensembl.org/Mus_musculus/Gene/Summary?db=core;g=ENSMUSG00000071350","ENSMUSG00000071350")</f>
        <v>ENSMUSG00000071350</v>
      </c>
      <c r="I904" s="7" t="str">
        <f>HYPERLINK("http://www.informatics.jax.org/marker/MGI:2685139","MGI:2685139")</f>
        <v>MGI:2685139</v>
      </c>
      <c r="J904" s="4" t="s">
        <v>12</v>
      </c>
    </row>
    <row r="905" spans="1:10" x14ac:dyDescent="0.25">
      <c r="A905" s="2">
        <v>15.761958656092601</v>
      </c>
      <c r="B905" s="3">
        <v>1.4279119325220799</v>
      </c>
      <c r="C905" s="5">
        <v>2.6092291134625702E-6</v>
      </c>
      <c r="D905" s="6">
        <v>1.0361256165421199E-5</v>
      </c>
      <c r="E905" s="3" t="s">
        <v>9947</v>
      </c>
      <c r="F905" s="3" t="s">
        <v>9948</v>
      </c>
      <c r="G905" s="3">
        <v>446101</v>
      </c>
      <c r="H905" s="7" t="str">
        <f>HYPERLINK("http://www.ensembl.org/Mus_musculus/Gene/Summary?db=core;g=ENSMUSG00000035211","ENSMUSG00000035211")</f>
        <v>ENSMUSG00000035211</v>
      </c>
      <c r="I905" s="7" t="str">
        <f>HYPERLINK("http://www.informatics.jax.org/marker/MGI:2181647","MGI:2181647")</f>
        <v>MGI:2181647</v>
      </c>
      <c r="J905" s="4" t="s">
        <v>12</v>
      </c>
    </row>
    <row r="906" spans="1:10" x14ac:dyDescent="0.25">
      <c r="A906" s="2">
        <v>104.19215376542699</v>
      </c>
      <c r="B906" s="3">
        <v>1.4259204231397899</v>
      </c>
      <c r="C906" s="5">
        <v>2.0064219739674701E-29</v>
      </c>
      <c r="D906" s="6">
        <v>2.90078015591191E-28</v>
      </c>
      <c r="E906" s="3" t="s">
        <v>2746</v>
      </c>
      <c r="F906" s="3" t="s">
        <v>2747</v>
      </c>
      <c r="G906" s="3">
        <v>108811</v>
      </c>
      <c r="H906" s="7" t="str">
        <f>HYPERLINK("http://www.ensembl.org/Mus_musculus/Gene/Summary?db=core;g=ENSMUSG00000034795","ENSMUSG00000034795")</f>
        <v>ENSMUSG00000034795</v>
      </c>
      <c r="I906" s="7" t="str">
        <f>HYPERLINK("http://www.informatics.jax.org/marker/MGI:1918358","MGI:1918358")</f>
        <v>MGI:1918358</v>
      </c>
      <c r="J906" s="4" t="s">
        <v>12</v>
      </c>
    </row>
    <row r="907" spans="1:10" x14ac:dyDescent="0.25">
      <c r="A907" s="2">
        <v>1787.3345764630201</v>
      </c>
      <c r="B907" s="3">
        <v>1.42566494497202</v>
      </c>
      <c r="C907" s="5">
        <v>6.9407980053257001E-48</v>
      </c>
      <c r="D907" s="6">
        <v>1.77756541123406E-46</v>
      </c>
      <c r="E907" s="3" t="s">
        <v>1556</v>
      </c>
      <c r="F907" s="3" t="s">
        <v>1557</v>
      </c>
      <c r="G907" s="3">
        <v>434341</v>
      </c>
      <c r="H907" s="7" t="str">
        <f>HYPERLINK("http://www.ensembl.org/Mus_musculus/Gene/Summary?db=core;g=ENSMUSG00000074151","ENSMUSG00000074151")</f>
        <v>ENSMUSG00000074151</v>
      </c>
      <c r="I907" s="7" t="str">
        <f>HYPERLINK("http://www.informatics.jax.org/marker/MGI:3612191","MGI:3612191")</f>
        <v>MGI:3612191</v>
      </c>
      <c r="J907" s="4" t="s">
        <v>12</v>
      </c>
    </row>
    <row r="908" spans="1:10" x14ac:dyDescent="0.25">
      <c r="A908" s="2">
        <v>2350.8140505531001</v>
      </c>
      <c r="B908" s="3">
        <v>1.4230405099688099</v>
      </c>
      <c r="C908" s="5">
        <v>1.3008317414006001E-173</v>
      </c>
      <c r="D908" s="6">
        <v>3.6646288486313999E-171</v>
      </c>
      <c r="E908" s="3" t="s">
        <v>150</v>
      </c>
      <c r="F908" s="3" t="s">
        <v>151</v>
      </c>
      <c r="G908" s="3">
        <v>319622</v>
      </c>
      <c r="H908" s="7" t="str">
        <f>HYPERLINK("http://www.ensembl.org/Mus_musculus/Gene/Summary?db=core;g=ENSMUSG00000095115","ENSMUSG00000095115")</f>
        <v>ENSMUSG00000095115</v>
      </c>
      <c r="I908" s="7" t="str">
        <f>HYPERLINK("http://www.informatics.jax.org/marker/MGI:2442416","MGI:2442416")</f>
        <v>MGI:2442416</v>
      </c>
      <c r="J908" s="4" t="s">
        <v>12</v>
      </c>
    </row>
    <row r="909" spans="1:10" x14ac:dyDescent="0.25">
      <c r="A909" s="2">
        <v>3713.0067885124499</v>
      </c>
      <c r="B909" s="3">
        <v>1.42155293865098</v>
      </c>
      <c r="C909" s="5">
        <v>1.4289991358172499E-66</v>
      </c>
      <c r="D909" s="6">
        <v>6.1260571648513298E-65</v>
      </c>
      <c r="E909" s="3" t="s">
        <v>933</v>
      </c>
      <c r="F909" s="3" t="s">
        <v>934</v>
      </c>
      <c r="G909" s="3">
        <v>240832</v>
      </c>
      <c r="H909" s="7" t="str">
        <f>HYPERLINK("http://www.ensembl.org/Mus_musculus/Gene/Summary?db=core;g=ENSMUSG00000050565","ENSMUSG00000050565")</f>
        <v>ENSMUSG00000050565</v>
      </c>
      <c r="I909" s="7" t="str">
        <f>HYPERLINK("http://www.informatics.jax.org/marker/MGI:3582695","MGI:3582695")</f>
        <v>MGI:3582695</v>
      </c>
      <c r="J909" s="4" t="s">
        <v>12</v>
      </c>
    </row>
    <row r="910" spans="1:10" x14ac:dyDescent="0.25">
      <c r="A910" s="2">
        <v>375.01975700696102</v>
      </c>
      <c r="B910" s="3">
        <v>1.4205145042671801</v>
      </c>
      <c r="C910" s="5">
        <v>1.05975381145971E-25</v>
      </c>
      <c r="D910" s="6">
        <v>1.33365316923966E-24</v>
      </c>
      <c r="E910" s="3" t="s">
        <v>3153</v>
      </c>
      <c r="F910" s="3" t="s">
        <v>3154</v>
      </c>
      <c r="G910" s="3">
        <v>16570</v>
      </c>
      <c r="H910" s="7" t="str">
        <f>HYPERLINK("http://www.ensembl.org/Mus_musculus/Gene/Summary?db=core;g=ENSMUSG00000020668","ENSMUSG00000020668")</f>
        <v>ENSMUSG00000020668</v>
      </c>
      <c r="I910" s="7" t="str">
        <f>HYPERLINK("http://www.informatics.jax.org/marker/MGI:107979","MGI:107979")</f>
        <v>MGI:107979</v>
      </c>
      <c r="J910" s="4" t="s">
        <v>12</v>
      </c>
    </row>
    <row r="911" spans="1:10" x14ac:dyDescent="0.25">
      <c r="A911" s="2">
        <v>2.4510651742845</v>
      </c>
      <c r="B911" s="3">
        <v>1.4202452373374901</v>
      </c>
      <c r="C911" s="3">
        <v>2.26699081396859E-3</v>
      </c>
      <c r="D911" s="4">
        <v>6.3456435559206001E-3</v>
      </c>
      <c r="E911" s="3" t="s">
        <v>14097</v>
      </c>
      <c r="F911" s="3" t="s">
        <v>14098</v>
      </c>
      <c r="G911" s="3">
        <v>208777</v>
      </c>
      <c r="H911" s="7" t="str">
        <f>HYPERLINK("http://www.ensembl.org/Mus_musculus/Gene/Summary?db=core;g=ENSMUSG00000047793","ENSMUSG00000047793")</f>
        <v>ENSMUSG00000047793</v>
      </c>
      <c r="I911" s="7" t="str">
        <f>HYPERLINK("http://www.informatics.jax.org/marker/MGI:3045960","MGI:3045960")</f>
        <v>MGI:3045960</v>
      </c>
      <c r="J911" s="4" t="s">
        <v>12</v>
      </c>
    </row>
    <row r="912" spans="1:10" x14ac:dyDescent="0.25">
      <c r="A912" s="2">
        <v>1.92376257163557</v>
      </c>
      <c r="B912" s="3">
        <v>1.4200162216016501</v>
      </c>
      <c r="C912" s="3">
        <v>2.5438671377137098E-3</v>
      </c>
      <c r="D912" s="4">
        <v>7.0645064013116999E-3</v>
      </c>
      <c r="E912" s="3" t="s">
        <v>14209</v>
      </c>
      <c r="F912" s="3" t="s">
        <v>14210</v>
      </c>
      <c r="G912" s="3">
        <v>56226</v>
      </c>
      <c r="H912" s="7" t="str">
        <f>HYPERLINK("http://www.ensembl.org/Mus_musculus/Gene/Summary?db=core;g=ENSMUSG00000028943","ENSMUSG00000028943")</f>
        <v>ENSMUSG00000028943</v>
      </c>
      <c r="I912" s="7" t="str">
        <f>HYPERLINK("http://www.informatics.jax.org/marker/MGI:1861630","MGI:1861630")</f>
        <v>MGI:1861630</v>
      </c>
      <c r="J912" s="4" t="s">
        <v>12</v>
      </c>
    </row>
    <row r="913" spans="1:10" x14ac:dyDescent="0.25">
      <c r="A913" s="2">
        <v>4140.9950763914803</v>
      </c>
      <c r="B913" s="3">
        <v>1.4177999249512301</v>
      </c>
      <c r="C913" s="5">
        <v>4.3275283469715499E-234</v>
      </c>
      <c r="D913" s="6">
        <v>2.5860260303720901E-231</v>
      </c>
      <c r="E913" s="3" t="s">
        <v>75</v>
      </c>
      <c r="F913" s="3" t="s">
        <v>76</v>
      </c>
      <c r="G913" s="3">
        <v>319765</v>
      </c>
      <c r="H913" s="7" t="str">
        <f>HYPERLINK("http://www.ensembl.org/Mus_musculus/Gene/Summary?db=core;g=ENSMUSG00000033581","ENSMUSG00000033581")</f>
        <v>ENSMUSG00000033581</v>
      </c>
      <c r="I913" s="7" t="str">
        <f>HYPERLINK("http://www.informatics.jax.org/marker/MGI:1890358","MGI:1890358")</f>
        <v>MGI:1890358</v>
      </c>
      <c r="J913" s="4" t="s">
        <v>12</v>
      </c>
    </row>
    <row r="914" spans="1:10" x14ac:dyDescent="0.25">
      <c r="A914" s="2">
        <v>550.77805256430395</v>
      </c>
      <c r="B914" s="3">
        <v>1.4175401317782099</v>
      </c>
      <c r="C914" s="5">
        <v>7.9990880490492195E-36</v>
      </c>
      <c r="D914" s="6">
        <v>1.42623884563518E-34</v>
      </c>
      <c r="E914" s="3" t="s">
        <v>2229</v>
      </c>
      <c r="F914" s="3" t="s">
        <v>2230</v>
      </c>
      <c r="G914" s="3">
        <v>217119</v>
      </c>
      <c r="H914" s="7" t="str">
        <f>HYPERLINK("http://www.ensembl.org/Mus_musculus/Gene/Summary?db=core;g=ENSMUSG00000020868","ENSMUSG00000020868")</f>
        <v>ENSMUSG00000020868</v>
      </c>
      <c r="I914" s="7" t="str">
        <f>HYPERLINK("http://www.informatics.jax.org/marker/MGI:2444797","MGI:2444797")</f>
        <v>MGI:2444797</v>
      </c>
      <c r="J914" s="4" t="s">
        <v>12</v>
      </c>
    </row>
    <row r="915" spans="1:10" x14ac:dyDescent="0.25">
      <c r="A915" s="2">
        <v>38.190560610475103</v>
      </c>
      <c r="B915" s="3">
        <v>1.4148048797733599</v>
      </c>
      <c r="C915" s="5">
        <v>1.2191397871763899E-7</v>
      </c>
      <c r="D915" s="6">
        <v>5.4839043346529196E-7</v>
      </c>
      <c r="E915" s="3" t="s">
        <v>8785</v>
      </c>
      <c r="F915" s="3" t="s">
        <v>8786</v>
      </c>
      <c r="G915" s="3" t="s">
        <v>83</v>
      </c>
      <c r="H915" s="7" t="str">
        <f>HYPERLINK("http://www.ensembl.org/Mus_musculus/Gene/Summary?db=core;g=ENSMUSG00000114055","ENSMUSG00000114055")</f>
        <v>ENSMUSG00000114055</v>
      </c>
      <c r="I915" s="7" t="str">
        <f>HYPERLINK("http://www.informatics.jax.org/marker/MGI:5591248","MGI:5591248")</f>
        <v>MGI:5591248</v>
      </c>
      <c r="J915" s="4" t="s">
        <v>939</v>
      </c>
    </row>
    <row r="916" spans="1:10" x14ac:dyDescent="0.25">
      <c r="A916" s="2">
        <v>50.503885751885797</v>
      </c>
      <c r="B916" s="3">
        <v>1.4131238875635801</v>
      </c>
      <c r="C916" s="5">
        <v>1.73611616818592E-14</v>
      </c>
      <c r="D916" s="6">
        <v>1.2987940378082799E-13</v>
      </c>
      <c r="E916" s="3" t="s">
        <v>5289</v>
      </c>
      <c r="F916" s="3" t="s">
        <v>5290</v>
      </c>
      <c r="G916" s="3">
        <v>378431</v>
      </c>
      <c r="H916" s="7" t="str">
        <f>HYPERLINK("http://www.ensembl.org/Mus_musculus/Gene/Summary?db=core;g=ENSMUSG00000039891","ENSMUSG00000039891")</f>
        <v>ENSMUSG00000039891</v>
      </c>
      <c r="I916" s="7" t="str">
        <f>HYPERLINK("http://www.informatics.jax.org/marker/MGI:2671945","MGI:2671945")</f>
        <v>MGI:2671945</v>
      </c>
      <c r="J916" s="4" t="s">
        <v>12</v>
      </c>
    </row>
    <row r="917" spans="1:10" x14ac:dyDescent="0.25">
      <c r="A917" s="2">
        <v>1.97535608114768</v>
      </c>
      <c r="B917" s="3">
        <v>1.4130678795235001</v>
      </c>
      <c r="C917" s="3">
        <v>2.66597355270129E-3</v>
      </c>
      <c r="D917" s="4">
        <v>7.3765958270337302E-3</v>
      </c>
      <c r="E917" s="3" t="s">
        <v>14261</v>
      </c>
      <c r="F917" s="3" t="s">
        <v>14262</v>
      </c>
      <c r="G917" s="3">
        <v>17123</v>
      </c>
      <c r="H917" s="7" t="str">
        <f>HYPERLINK("http://www.ensembl.org/Mus_musculus/Gene/Summary?db=core;g=ENSMUSG00000020310","ENSMUSG00000020310")</f>
        <v>ENSMUSG00000020310</v>
      </c>
      <c r="I917" s="7" t="str">
        <f>HYPERLINK("http://www.informatics.jax.org/marker/MGI:103579","MGI:103579")</f>
        <v>MGI:103579</v>
      </c>
      <c r="J917" s="4" t="s">
        <v>12</v>
      </c>
    </row>
    <row r="918" spans="1:10" x14ac:dyDescent="0.25">
      <c r="A918" s="2">
        <v>96.5204826467603</v>
      </c>
      <c r="B918" s="3">
        <v>1.4123502981061899</v>
      </c>
      <c r="C918" s="5">
        <v>2.6918148711471201E-21</v>
      </c>
      <c r="D918" s="6">
        <v>2.8194380615755502E-20</v>
      </c>
      <c r="E918" s="3" t="s">
        <v>3782</v>
      </c>
      <c r="F918" s="3" t="s">
        <v>3783</v>
      </c>
      <c r="G918" s="3">
        <v>240690</v>
      </c>
      <c r="H918" s="7" t="str">
        <f>HYPERLINK("http://www.ensembl.org/Mus_musculus/Gene/Summary?db=core;g=ENSMUSG00000033740","ENSMUSG00000033740")</f>
        <v>ENSMUSG00000033740</v>
      </c>
      <c r="I918" s="7" t="str">
        <f>HYPERLINK("http://www.informatics.jax.org/marker/MGI:2446700","MGI:2446700")</f>
        <v>MGI:2446700</v>
      </c>
      <c r="J918" s="4" t="s">
        <v>12</v>
      </c>
    </row>
    <row r="919" spans="1:10" x14ac:dyDescent="0.25">
      <c r="A919" s="2">
        <v>2408.0697250201601</v>
      </c>
      <c r="B919" s="3">
        <v>1.4108112400128301</v>
      </c>
      <c r="C919" s="5">
        <v>5.8010301907357897E-98</v>
      </c>
      <c r="D919" s="6">
        <v>4.4686060688011599E-96</v>
      </c>
      <c r="E919" s="3" t="s">
        <v>524</v>
      </c>
      <c r="F919" s="3" t="s">
        <v>525</v>
      </c>
      <c r="G919" s="3">
        <v>22682</v>
      </c>
      <c r="H919" s="7" t="str">
        <f>HYPERLINK("http://www.ensembl.org/Mus_musculus/Gene/Summary?db=core;g=ENSMUSG00000024750","ENSMUSG00000024750")</f>
        <v>ENSMUSG00000024750</v>
      </c>
      <c r="I919" s="7" t="str">
        <f>HYPERLINK("http://www.informatics.jax.org/marker/MGI:1278334","MGI:1278334")</f>
        <v>MGI:1278334</v>
      </c>
      <c r="J919" s="4" t="s">
        <v>12</v>
      </c>
    </row>
    <row r="920" spans="1:10" x14ac:dyDescent="0.25">
      <c r="A920" s="2">
        <v>1.5896997836414599</v>
      </c>
      <c r="B920" s="3">
        <v>1.4099071879529901</v>
      </c>
      <c r="C920" s="3">
        <v>1.4169252122012499E-3</v>
      </c>
      <c r="D920" s="4">
        <v>4.08684586581961E-3</v>
      </c>
      <c r="E920" s="3" t="s">
        <v>13683</v>
      </c>
      <c r="F920" s="3" t="s">
        <v>13684</v>
      </c>
      <c r="G920" s="3" t="s">
        <v>83</v>
      </c>
      <c r="H920" s="7" t="str">
        <f>HYPERLINK("http://www.ensembl.org/Mus_musculus/Gene/Summary?db=core;g=ENSMUSG00000085431","ENSMUSG00000085431")</f>
        <v>ENSMUSG00000085431</v>
      </c>
      <c r="I920" s="7" t="str">
        <f>HYPERLINK("http://www.informatics.jax.org/marker/MGI:1925408","MGI:1925408")</f>
        <v>MGI:1925408</v>
      </c>
      <c r="J920" s="4" t="s">
        <v>939</v>
      </c>
    </row>
    <row r="921" spans="1:10" x14ac:dyDescent="0.25">
      <c r="A921" s="2">
        <v>2422.7055185814202</v>
      </c>
      <c r="B921" s="3">
        <v>1.4098817966445001</v>
      </c>
      <c r="C921" s="5">
        <v>2.1483988903604299E-74</v>
      </c>
      <c r="D921" s="6">
        <v>1.07802610987042E-72</v>
      </c>
      <c r="E921" s="3" t="s">
        <v>798</v>
      </c>
      <c r="F921" s="3" t="s">
        <v>799</v>
      </c>
      <c r="G921" s="3">
        <v>11750</v>
      </c>
      <c r="H921" s="7" t="str">
        <f>HYPERLINK("http://www.ensembl.org/Mus_musculus/Gene/Summary?db=core;g=ENSMUSG00000021814","ENSMUSG00000021814")</f>
        <v>ENSMUSG00000021814</v>
      </c>
      <c r="I921" s="7" t="str">
        <f>HYPERLINK("http://www.informatics.jax.org/marker/MGI:88031","MGI:88031")</f>
        <v>MGI:88031</v>
      </c>
      <c r="J921" s="4" t="s">
        <v>12</v>
      </c>
    </row>
    <row r="922" spans="1:10" x14ac:dyDescent="0.25">
      <c r="A922" s="2">
        <v>8.3969635091918509</v>
      </c>
      <c r="B922" s="3">
        <v>1.4094036206390499</v>
      </c>
      <c r="C922" s="5">
        <v>6.5120410393121206E-5</v>
      </c>
      <c r="D922" s="4">
        <v>2.2411422215573299E-4</v>
      </c>
      <c r="E922" s="3" t="s">
        <v>11471</v>
      </c>
      <c r="F922" s="3" t="s">
        <v>11472</v>
      </c>
      <c r="G922" s="3" t="s">
        <v>83</v>
      </c>
      <c r="H922" s="7" t="str">
        <f>HYPERLINK("http://www.ensembl.org/Mus_musculus/Gene/Summary?db=core;g=ENSMUSG00000099874","ENSMUSG00000099874")</f>
        <v>ENSMUSG00000099874</v>
      </c>
      <c r="I922" s="7" t="str">
        <f>HYPERLINK("http://www.informatics.jax.org/marker/MGI:5580335","MGI:5580335")</f>
        <v>MGI:5580335</v>
      </c>
      <c r="J922" s="4" t="s">
        <v>932</v>
      </c>
    </row>
    <row r="923" spans="1:10" x14ac:dyDescent="0.25">
      <c r="A923" s="2">
        <v>115.75843447388399</v>
      </c>
      <c r="B923" s="3">
        <v>1.40906371168498</v>
      </c>
      <c r="C923" s="5">
        <v>1.6972457082100501E-16</v>
      </c>
      <c r="D923" s="6">
        <v>1.4039297552811301E-15</v>
      </c>
      <c r="E923" s="3" t="s">
        <v>4785</v>
      </c>
      <c r="F923" s="3" t="s">
        <v>4786</v>
      </c>
      <c r="G923" s="3">
        <v>235631</v>
      </c>
      <c r="H923" s="7" t="str">
        <f>HYPERLINK("http://www.ensembl.org/Mus_musculus/Gene/Summary?db=core;g=ENSMUSG00000048752","ENSMUSG00000048752")</f>
        <v>ENSMUSG00000048752</v>
      </c>
      <c r="I923" s="7" t="str">
        <f>HYPERLINK("http://www.informatics.jax.org/marker/MGI:2447303","MGI:2447303")</f>
        <v>MGI:2447303</v>
      </c>
      <c r="J923" s="4" t="s">
        <v>12</v>
      </c>
    </row>
    <row r="924" spans="1:10" x14ac:dyDescent="0.25">
      <c r="A924" s="2">
        <v>8.1049476436832393</v>
      </c>
      <c r="B924" s="3">
        <v>1.4077630032211299</v>
      </c>
      <c r="C924" s="3">
        <v>1.17539274755351E-4</v>
      </c>
      <c r="D924" s="4">
        <v>3.92860084436528E-4</v>
      </c>
      <c r="E924" s="3" t="s">
        <v>11811</v>
      </c>
      <c r="F924" s="3" t="s">
        <v>11812</v>
      </c>
      <c r="G924" s="3" t="s">
        <v>83</v>
      </c>
      <c r="H924" s="7" t="str">
        <f>HYPERLINK("http://www.ensembl.org/Mus_musculus/Gene/Summary?db=core;g=ENSMUSG00000086499","ENSMUSG00000086499")</f>
        <v>ENSMUSG00000086499</v>
      </c>
      <c r="I924" s="7" t="str">
        <f>HYPERLINK("http://www.informatics.jax.org/marker/MGI:3801959","MGI:3801959")</f>
        <v>MGI:3801959</v>
      </c>
      <c r="J924" s="4" t="s">
        <v>932</v>
      </c>
    </row>
    <row r="925" spans="1:10" x14ac:dyDescent="0.25">
      <c r="A925" s="2">
        <v>62.521217079489801</v>
      </c>
      <c r="B925" s="3">
        <v>1.40705452490632</v>
      </c>
      <c r="C925" s="5">
        <v>4.1178338028587602E-5</v>
      </c>
      <c r="D925" s="4">
        <v>1.44748097312611E-4</v>
      </c>
      <c r="E925" s="3" t="s">
        <v>11231</v>
      </c>
      <c r="F925" s="3" t="s">
        <v>11232</v>
      </c>
      <c r="G925" s="3">
        <v>74306</v>
      </c>
      <c r="H925" s="7" t="str">
        <f>HYPERLINK("http://www.ensembl.org/Mus_musculus/Gene/Summary?db=core;g=ENSMUSG00000049719","ENSMUSG00000049719")</f>
        <v>ENSMUSG00000049719</v>
      </c>
      <c r="I925" s="7" t="str">
        <f>HYPERLINK("http://www.informatics.jax.org/marker/MGI:1921556","MGI:1921556")</f>
        <v>MGI:1921556</v>
      </c>
      <c r="J925" s="4" t="s">
        <v>12</v>
      </c>
    </row>
    <row r="926" spans="1:10" x14ac:dyDescent="0.25">
      <c r="A926" s="2">
        <v>432.78501964259999</v>
      </c>
      <c r="B926" s="3">
        <v>1.4064352322379401</v>
      </c>
      <c r="C926" s="5">
        <v>2.1050418387323099E-41</v>
      </c>
      <c r="D926" s="6">
        <v>4.4349813098078203E-40</v>
      </c>
      <c r="E926" s="3" t="s">
        <v>1889</v>
      </c>
      <c r="F926" s="3" t="s">
        <v>1890</v>
      </c>
      <c r="G926" s="3">
        <v>74442</v>
      </c>
      <c r="H926" s="7" t="str">
        <f>HYPERLINK("http://www.ensembl.org/Mus_musculus/Gene/Summary?db=core;g=ENSMUSG00000050931","ENSMUSG00000050931")</f>
        <v>ENSMUSG00000050931</v>
      </c>
      <c r="I926" s="7" t="str">
        <f>HYPERLINK("http://www.informatics.jax.org/marker/MGI:1921692","MGI:1921692")</f>
        <v>MGI:1921692</v>
      </c>
      <c r="J926" s="4" t="s">
        <v>12</v>
      </c>
    </row>
    <row r="927" spans="1:10" x14ac:dyDescent="0.25">
      <c r="A927" s="2">
        <v>1.91640715304444</v>
      </c>
      <c r="B927" s="3">
        <v>1.4052205901766399</v>
      </c>
      <c r="C927" s="3">
        <v>2.6983443012851302E-3</v>
      </c>
      <c r="D927" s="4">
        <v>7.4605406531324898E-3</v>
      </c>
      <c r="E927" s="3" t="s">
        <v>14269</v>
      </c>
      <c r="F927" s="3" t="s">
        <v>14270</v>
      </c>
      <c r="G927" s="3">
        <v>278507</v>
      </c>
      <c r="H927" s="7" t="str">
        <f>HYPERLINK("http://www.ensembl.org/Mus_musculus/Gene/Summary?db=core;g=ENSMUSG00000044177","ENSMUSG00000044177")</f>
        <v>ENSMUSG00000044177</v>
      </c>
      <c r="I927" s="7" t="str">
        <f>HYPERLINK("http://www.informatics.jax.org/marker/MGI:2669209","MGI:2669209")</f>
        <v>MGI:2669209</v>
      </c>
      <c r="J927" s="4" t="s">
        <v>12</v>
      </c>
    </row>
    <row r="928" spans="1:10" x14ac:dyDescent="0.25">
      <c r="A928" s="2">
        <v>2.9044823201775798</v>
      </c>
      <c r="B928" s="3">
        <v>1.4042890403761701</v>
      </c>
      <c r="C928" s="3">
        <v>2.44049079525511E-3</v>
      </c>
      <c r="D928" s="4">
        <v>6.7994459568283096E-3</v>
      </c>
      <c r="E928" s="3" t="s">
        <v>14163</v>
      </c>
      <c r="F928" s="3" t="s">
        <v>14164</v>
      </c>
      <c r="G928" s="3">
        <v>383075</v>
      </c>
      <c r="H928" s="7" t="str">
        <f>HYPERLINK("http://www.ensembl.org/Mus_musculus/Gene/Summary?db=core;g=ENSMUSG00000050439","ENSMUSG00000050439")</f>
        <v>ENSMUSG00000050439</v>
      </c>
      <c r="I928" s="7" t="str">
        <f>HYPERLINK("http://www.informatics.jax.org/marker/MGI:2686088","MGI:2686088")</f>
        <v>MGI:2686088</v>
      </c>
      <c r="J928" s="4" t="s">
        <v>12</v>
      </c>
    </row>
    <row r="929" spans="1:10" x14ac:dyDescent="0.25">
      <c r="A929" s="2">
        <v>3999.0475764144298</v>
      </c>
      <c r="B929" s="3">
        <v>1.4010608514756999</v>
      </c>
      <c r="C929" s="5">
        <v>1.5151556387016201E-195</v>
      </c>
      <c r="D929" s="6">
        <v>5.54840123065991E-193</v>
      </c>
      <c r="E929" s="3" t="s">
        <v>116</v>
      </c>
      <c r="F929" s="3" t="s">
        <v>117</v>
      </c>
      <c r="G929" s="3">
        <v>72472</v>
      </c>
      <c r="H929" s="7" t="str">
        <f>HYPERLINK("http://www.ensembl.org/Mus_musculus/Gene/Summary?db=core;g=ENSMUSG00000019838","ENSMUSG00000019838")</f>
        <v>ENSMUSG00000019838</v>
      </c>
      <c r="I929" s="7" t="str">
        <f>HYPERLINK("http://www.informatics.jax.org/marker/MGI:1919722","MGI:1919722")</f>
        <v>MGI:1919722</v>
      </c>
      <c r="J929" s="4" t="s">
        <v>12</v>
      </c>
    </row>
    <row r="930" spans="1:10" x14ac:dyDescent="0.25">
      <c r="A930" s="2">
        <v>1579.25573851478</v>
      </c>
      <c r="B930" s="3">
        <v>1.40016033792318</v>
      </c>
      <c r="C930" s="5">
        <v>1.1387201208544001E-36</v>
      </c>
      <c r="D930" s="6">
        <v>2.0927829248135001E-35</v>
      </c>
      <c r="E930" s="3" t="s">
        <v>2163</v>
      </c>
      <c r="F930" s="3" t="s">
        <v>2164</v>
      </c>
      <c r="G930" s="3">
        <v>19731</v>
      </c>
      <c r="H930" s="7" t="str">
        <f>HYPERLINK("http://www.ensembl.org/Mus_musculus/Gene/Summary?db=core;g=ENSMUSG00000026482","ENSMUSG00000026482")</f>
        <v>ENSMUSG00000026482</v>
      </c>
      <c r="I930" s="7" t="str">
        <f>HYPERLINK("http://www.informatics.jax.org/marker/MGI:107484","MGI:107484")</f>
        <v>MGI:107484</v>
      </c>
      <c r="J930" s="4" t="s">
        <v>12</v>
      </c>
    </row>
    <row r="931" spans="1:10" x14ac:dyDescent="0.25">
      <c r="A931" s="2">
        <v>1072.6942123921799</v>
      </c>
      <c r="B931" s="3">
        <v>1.39964510884514</v>
      </c>
      <c r="C931" s="5">
        <v>1.1830864998053399E-34</v>
      </c>
      <c r="D931" s="6">
        <v>2.0217041400486401E-33</v>
      </c>
      <c r="E931" s="3" t="s">
        <v>2325</v>
      </c>
      <c r="F931" s="3" t="s">
        <v>2326</v>
      </c>
      <c r="G931" s="3">
        <v>19171</v>
      </c>
      <c r="H931" s="7" t="str">
        <f>HYPERLINK("http://www.ensembl.org/Mus_musculus/Gene/Summary?db=core;g=ENSMUSG00000031897","ENSMUSG00000031897")</f>
        <v>ENSMUSG00000031897</v>
      </c>
      <c r="I931" s="7" t="str">
        <f>HYPERLINK("http://www.informatics.jax.org/marker/MGI:1096380","MGI:1096380")</f>
        <v>MGI:1096380</v>
      </c>
      <c r="J931" s="4" t="s">
        <v>12</v>
      </c>
    </row>
    <row r="932" spans="1:10" x14ac:dyDescent="0.25">
      <c r="A932" s="2">
        <v>1.1556693251899299</v>
      </c>
      <c r="B932" s="3">
        <v>1.39944841395592</v>
      </c>
      <c r="C932" s="3">
        <v>1.6158535811597601E-3</v>
      </c>
      <c r="D932" s="4">
        <v>4.6240941257394298E-3</v>
      </c>
      <c r="E932" s="3" t="s">
        <v>13789</v>
      </c>
      <c r="F932" s="3" t="s">
        <v>13790</v>
      </c>
      <c r="G932" s="3" t="s">
        <v>83</v>
      </c>
      <c r="H932" s="7" t="str">
        <f>HYPERLINK("http://www.ensembl.org/Mus_musculus/Gene/Summary?db=core;g=ENSMUSG00000086554","ENSMUSG00000086554")</f>
        <v>ENSMUSG00000086554</v>
      </c>
      <c r="I932" s="7" t="str">
        <f>HYPERLINK("http://www.informatics.jax.org/marker/MGI:1925865","MGI:1925865")</f>
        <v>MGI:1925865</v>
      </c>
      <c r="J932" s="4" t="s">
        <v>932</v>
      </c>
    </row>
    <row r="933" spans="1:10" x14ac:dyDescent="0.25">
      <c r="A933" s="2">
        <v>296.45282633321301</v>
      </c>
      <c r="B933" s="3">
        <v>1.3980770100656501</v>
      </c>
      <c r="C933" s="5">
        <v>4.5675545797128502E-51</v>
      </c>
      <c r="D933" s="6">
        <v>1.25799128927287E-49</v>
      </c>
      <c r="E933" s="3" t="s">
        <v>1448</v>
      </c>
      <c r="F933" s="3" t="s">
        <v>1449</v>
      </c>
      <c r="G933" s="3">
        <v>213438</v>
      </c>
      <c r="H933" s="7" t="str">
        <f>HYPERLINK("http://www.ensembl.org/Mus_musculus/Gene/Summary?db=core;g=ENSMUSG00000054293","ENSMUSG00000054293")</f>
        <v>ENSMUSG00000054293</v>
      </c>
      <c r="I933" s="7" t="str">
        <f>HYPERLINK("http://www.informatics.jax.org/marker/MGI:2441814","MGI:2441814")</f>
        <v>MGI:2441814</v>
      </c>
      <c r="J933" s="4" t="s">
        <v>12</v>
      </c>
    </row>
    <row r="934" spans="1:10" x14ac:dyDescent="0.25">
      <c r="A934" s="2">
        <v>315.64307885624299</v>
      </c>
      <c r="B934" s="3">
        <v>1.39720212740575</v>
      </c>
      <c r="C934" s="5">
        <v>1.4575430740451801E-48</v>
      </c>
      <c r="D934" s="6">
        <v>3.80195098150408E-47</v>
      </c>
      <c r="E934" s="3" t="s">
        <v>1528</v>
      </c>
      <c r="F934" s="3" t="s">
        <v>1529</v>
      </c>
      <c r="G934" s="3">
        <v>245666</v>
      </c>
      <c r="H934" s="7" t="str">
        <f>HYPERLINK("http://www.ensembl.org/Mus_musculus/Gene/Summary?db=core;g=ENSMUSG00000041115","ENSMUSG00000041115")</f>
        <v>ENSMUSG00000041115</v>
      </c>
      <c r="I934" s="7" t="str">
        <f>HYPERLINK("http://www.informatics.jax.org/marker/MGI:3528396","MGI:3528396")</f>
        <v>MGI:3528396</v>
      </c>
      <c r="J934" s="4" t="s">
        <v>12</v>
      </c>
    </row>
    <row r="935" spans="1:10" x14ac:dyDescent="0.25">
      <c r="A935" s="2">
        <v>5390.4230885685802</v>
      </c>
      <c r="B935" s="3">
        <v>1.3966896538414499</v>
      </c>
      <c r="C935" s="5">
        <v>1.26795048906663E-87</v>
      </c>
      <c r="D935" s="6">
        <v>8.3905985383872003E-86</v>
      </c>
      <c r="E935" s="3" t="s">
        <v>608</v>
      </c>
      <c r="F935" s="3" t="s">
        <v>609</v>
      </c>
      <c r="G935" s="3">
        <v>15982</v>
      </c>
      <c r="H935" s="7" t="str">
        <f>HYPERLINK("http://www.ensembl.org/Mus_musculus/Gene/Summary?db=core;g=ENSMUSG00000001627","ENSMUSG00000001627")</f>
        <v>ENSMUSG00000001627</v>
      </c>
      <c r="I935" s="7" t="str">
        <f>HYPERLINK("http://www.informatics.jax.org/marker/MGI:1316717","MGI:1316717")</f>
        <v>MGI:1316717</v>
      </c>
      <c r="J935" s="4" t="s">
        <v>12</v>
      </c>
    </row>
    <row r="936" spans="1:10" x14ac:dyDescent="0.25">
      <c r="A936" s="2">
        <v>88.005025596014093</v>
      </c>
      <c r="B936" s="3">
        <v>1.39602696950199</v>
      </c>
      <c r="C936" s="5">
        <v>2.3032298812396502E-13</v>
      </c>
      <c r="D936" s="6">
        <v>1.60948594110723E-12</v>
      </c>
      <c r="E936" s="3" t="s">
        <v>5661</v>
      </c>
      <c r="F936" s="3" t="s">
        <v>5662</v>
      </c>
      <c r="G936" s="3">
        <v>76073</v>
      </c>
      <c r="H936" s="7" t="str">
        <f>HYPERLINK("http://www.ensembl.org/Mus_musculus/Gene/Summary?db=core;g=ENSMUSG00000024805","ENSMUSG00000024805")</f>
        <v>ENSMUSG00000024805</v>
      </c>
      <c r="I936" s="7" t="str">
        <f>HYPERLINK("http://www.informatics.jax.org/marker/MGI:1923505","MGI:1923505")</f>
        <v>MGI:1923505</v>
      </c>
      <c r="J936" s="4" t="s">
        <v>12</v>
      </c>
    </row>
    <row r="937" spans="1:10" x14ac:dyDescent="0.25">
      <c r="A937" s="2">
        <v>1.0539040361391501</v>
      </c>
      <c r="B937" s="3">
        <v>1.39568722752757</v>
      </c>
      <c r="C937" s="3">
        <v>7.7474544379950504E-4</v>
      </c>
      <c r="D937" s="4">
        <v>2.32188148202527E-3</v>
      </c>
      <c r="E937" s="3" t="s">
        <v>13169</v>
      </c>
      <c r="F937" s="3" t="s">
        <v>13170</v>
      </c>
      <c r="G937" s="3" t="s">
        <v>83</v>
      </c>
      <c r="H937" s="7" t="str">
        <f>HYPERLINK("http://www.ensembl.org/Mus_musculus/Gene/Summary?db=core;g=ENSMUSG00000085977","ENSMUSG00000085977")</f>
        <v>ENSMUSG00000085977</v>
      </c>
      <c r="I937" s="7" t="str">
        <f>HYPERLINK("http://www.informatics.jax.org/marker/MGI:3646761","MGI:3646761")</f>
        <v>MGI:3646761</v>
      </c>
      <c r="J937" s="4" t="s">
        <v>1043</v>
      </c>
    </row>
    <row r="938" spans="1:10" x14ac:dyDescent="0.25">
      <c r="A938" s="2">
        <v>2384.1417518216799</v>
      </c>
      <c r="B938" s="3">
        <v>1.3951113297627</v>
      </c>
      <c r="C938" s="5">
        <v>1.44582153715695E-81</v>
      </c>
      <c r="D938" s="6">
        <v>8.6398790038591298E-80</v>
      </c>
      <c r="E938" s="3" t="s">
        <v>672</v>
      </c>
      <c r="F938" s="3" t="s">
        <v>673</v>
      </c>
      <c r="G938" s="3">
        <v>20947</v>
      </c>
      <c r="H938" s="7" t="str">
        <f>HYPERLINK("http://www.ensembl.org/Mus_musculus/Gene/Summary?db=core;g=ENSMUSG00000031015","ENSMUSG00000031015")</f>
        <v>ENSMUSG00000031015</v>
      </c>
      <c r="I938" s="7" t="str">
        <f>HYPERLINK("http://www.informatics.jax.org/marker/MGI:1298390","MGI:1298390")</f>
        <v>MGI:1298390</v>
      </c>
      <c r="J938" s="4" t="s">
        <v>12</v>
      </c>
    </row>
    <row r="939" spans="1:10" x14ac:dyDescent="0.25">
      <c r="A939" s="2">
        <v>384.83268372294202</v>
      </c>
      <c r="B939" s="3">
        <v>1.39500284493922</v>
      </c>
      <c r="C939" s="5">
        <v>3.0434447669679103E-51</v>
      </c>
      <c r="D939" s="6">
        <v>8.4057045944827901E-50</v>
      </c>
      <c r="E939" s="3" t="s">
        <v>1444</v>
      </c>
      <c r="F939" s="3" t="s">
        <v>1445</v>
      </c>
      <c r="G939" s="3">
        <v>52668</v>
      </c>
      <c r="H939" s="7" t="str">
        <f>HYPERLINK("http://www.ensembl.org/Mus_musculus/Gene/Summary?db=core;g=ENSMUSG00000064215","ENSMUSG00000064215")</f>
        <v>ENSMUSG00000064215</v>
      </c>
      <c r="I939" s="7" t="str">
        <f>HYPERLINK("http://www.informatics.jax.org/marker/MGI:1277180","MGI:1277180")</f>
        <v>MGI:1277180</v>
      </c>
      <c r="J939" s="4" t="s">
        <v>12</v>
      </c>
    </row>
    <row r="940" spans="1:10" x14ac:dyDescent="0.25">
      <c r="A940" s="2">
        <v>2533.5912319600802</v>
      </c>
      <c r="B940" s="3">
        <v>1.39460538055204</v>
      </c>
      <c r="C940" s="5">
        <v>2.4265533478031399E-13</v>
      </c>
      <c r="D940" s="6">
        <v>1.69326369492845E-12</v>
      </c>
      <c r="E940" s="3" t="s">
        <v>5669</v>
      </c>
      <c r="F940" s="3" t="s">
        <v>5670</v>
      </c>
      <c r="G940" s="3">
        <v>18792</v>
      </c>
      <c r="H940" s="7" t="str">
        <f>HYPERLINK("http://www.ensembl.org/Mus_musculus/Gene/Summary?db=core;g=ENSMUSG00000021822","ENSMUSG00000021822")</f>
        <v>ENSMUSG00000021822</v>
      </c>
      <c r="I940" s="7" t="str">
        <f>HYPERLINK("http://www.informatics.jax.org/marker/MGI:97611","MGI:97611")</f>
        <v>MGI:97611</v>
      </c>
      <c r="J940" s="4" t="s">
        <v>12</v>
      </c>
    </row>
    <row r="941" spans="1:10" x14ac:dyDescent="0.25">
      <c r="A941" s="2">
        <v>15.245205503443399</v>
      </c>
      <c r="B941" s="3">
        <v>1.39417591045727</v>
      </c>
      <c r="C941" s="5">
        <v>1.6000703000741902E-5</v>
      </c>
      <c r="D941" s="6">
        <v>5.8782163904835302E-5</v>
      </c>
      <c r="E941" s="3" t="s">
        <v>10748</v>
      </c>
      <c r="F941" s="3" t="s">
        <v>10749</v>
      </c>
      <c r="G941" s="3" t="s">
        <v>83</v>
      </c>
      <c r="H941" s="7" t="str">
        <f>HYPERLINK("http://www.ensembl.org/Mus_musculus/Gene/Summary?db=core;g=ENSMUSG00000087263","ENSMUSG00000087263")</f>
        <v>ENSMUSG00000087263</v>
      </c>
      <c r="I941" s="7" t="str">
        <f>HYPERLINK("http://www.informatics.jax.org/marker/MGI:3783169","MGI:3783169")</f>
        <v>MGI:3783169</v>
      </c>
      <c r="J941" s="4" t="s">
        <v>932</v>
      </c>
    </row>
    <row r="942" spans="1:10" x14ac:dyDescent="0.25">
      <c r="A942" s="2">
        <v>1189.0390142090901</v>
      </c>
      <c r="B942" s="3">
        <v>1.39415409798281</v>
      </c>
      <c r="C942" s="5">
        <v>3.4228256828074397E-27</v>
      </c>
      <c r="D942" s="6">
        <v>4.5361641441507203E-26</v>
      </c>
      <c r="E942" s="3" t="s">
        <v>2994</v>
      </c>
      <c r="F942" s="3" t="s">
        <v>2995</v>
      </c>
      <c r="G942" s="3">
        <v>73690</v>
      </c>
      <c r="H942" s="7" t="str">
        <f>HYPERLINK("http://www.ensembl.org/Mus_musculus/Gene/Summary?db=core;g=ENSMUSG00000056888","ENSMUSG00000056888")</f>
        <v>ENSMUSG00000056888</v>
      </c>
      <c r="I942" s="7" t="str">
        <f>HYPERLINK("http://www.informatics.jax.org/marker/MGI:1920940","MGI:1920940")</f>
        <v>MGI:1920940</v>
      </c>
      <c r="J942" s="4" t="s">
        <v>12</v>
      </c>
    </row>
    <row r="943" spans="1:10" x14ac:dyDescent="0.25">
      <c r="A943" s="2">
        <v>1526.3203210198401</v>
      </c>
      <c r="B943" s="3">
        <v>1.3932168177083499</v>
      </c>
      <c r="C943" s="5">
        <v>9.1315921430769096E-36</v>
      </c>
      <c r="D943" s="6">
        <v>1.6222972708241099E-34</v>
      </c>
      <c r="E943" s="3" t="s">
        <v>2237</v>
      </c>
      <c r="F943" s="3" t="s">
        <v>2238</v>
      </c>
      <c r="G943" s="3">
        <v>17454</v>
      </c>
      <c r="H943" s="7" t="str">
        <f>HYPERLINK("http://www.ensembl.org/Mus_musculus/Gene/Summary?db=core;g=ENSMUSG00000002227","ENSMUSG00000002227")</f>
        <v>ENSMUSG00000002227</v>
      </c>
      <c r="I943" s="7" t="str">
        <f>HYPERLINK("http://www.informatics.jax.org/marker/MGI:97054","MGI:97054")</f>
        <v>MGI:97054</v>
      </c>
      <c r="J943" s="4" t="s">
        <v>12</v>
      </c>
    </row>
    <row r="944" spans="1:10" x14ac:dyDescent="0.25">
      <c r="A944" s="2">
        <v>3739.94078739115</v>
      </c>
      <c r="B944" s="3">
        <v>1.3929569892406899</v>
      </c>
      <c r="C944" s="5">
        <v>2.1185736385471502E-80</v>
      </c>
      <c r="D944" s="6">
        <v>1.2287727103573499E-78</v>
      </c>
      <c r="E944" s="3" t="s">
        <v>692</v>
      </c>
      <c r="F944" s="3" t="s">
        <v>693</v>
      </c>
      <c r="G944" s="3">
        <v>241447</v>
      </c>
      <c r="H944" s="7" t="str">
        <f>HYPERLINK("http://www.ensembl.org/Mus_musculus/Gene/Summary?db=core;g=ENSMUSG00000027035","ENSMUSG00000027035")</f>
        <v>ENSMUSG00000027035</v>
      </c>
      <c r="I944" s="7" t="str">
        <f>HYPERLINK("http://www.informatics.jax.org/marker/MGI:2442564","MGI:2442564")</f>
        <v>MGI:2442564</v>
      </c>
      <c r="J944" s="4" t="s">
        <v>12</v>
      </c>
    </row>
    <row r="945" spans="1:10" x14ac:dyDescent="0.25">
      <c r="A945" s="2">
        <v>3.5668221122225598</v>
      </c>
      <c r="B945" s="3">
        <v>1.39281311835236</v>
      </c>
      <c r="C945" s="3">
        <v>1.98075072780677E-3</v>
      </c>
      <c r="D945" s="4">
        <v>5.5992552110592803E-3</v>
      </c>
      <c r="E945" s="3" t="s">
        <v>13959</v>
      </c>
      <c r="F945" s="3" t="s">
        <v>13960</v>
      </c>
      <c r="G945" s="3" t="s">
        <v>83</v>
      </c>
      <c r="H945" s="7" t="str">
        <f>HYPERLINK("http://www.ensembl.org/Mus_musculus/Gene/Summary?db=core;g=ENSMUSG00000110245","ENSMUSG00000110245")</f>
        <v>ENSMUSG00000110245</v>
      </c>
      <c r="I945" s="7" t="str">
        <f>HYPERLINK("http://www.informatics.jax.org/marker/MGI:5012285","MGI:5012285")</f>
        <v>MGI:5012285</v>
      </c>
      <c r="J945" s="4" t="s">
        <v>1828</v>
      </c>
    </row>
    <row r="946" spans="1:10" x14ac:dyDescent="0.25">
      <c r="A946" s="2">
        <v>5.6882919106224099</v>
      </c>
      <c r="B946" s="3">
        <v>1.39210269788361</v>
      </c>
      <c r="C946" s="3">
        <v>2.5326438032597E-4</v>
      </c>
      <c r="D946" s="4">
        <v>8.1156541761912904E-4</v>
      </c>
      <c r="E946" s="3" t="s">
        <v>12319</v>
      </c>
      <c r="F946" s="3" t="s">
        <v>12320</v>
      </c>
      <c r="G946" s="3" t="s">
        <v>83</v>
      </c>
      <c r="H946" s="7" t="str">
        <f>HYPERLINK("http://www.ensembl.org/Mus_musculus/Gene/Summary?db=core;g=ENSMUSG00000106691","ENSMUSG00000106691")</f>
        <v>ENSMUSG00000106691</v>
      </c>
      <c r="I946" s="7" t="str">
        <f>HYPERLINK("http://www.informatics.jax.org/marker/MGI:1924056","MGI:1924056")</f>
        <v>MGI:1924056</v>
      </c>
      <c r="J946" s="4" t="s">
        <v>1828</v>
      </c>
    </row>
    <row r="947" spans="1:10" x14ac:dyDescent="0.25">
      <c r="A947" s="2">
        <v>150.16499834403601</v>
      </c>
      <c r="B947" s="3">
        <v>1.3909509828356099</v>
      </c>
      <c r="C947" s="5">
        <v>1.1960946950213401E-17</v>
      </c>
      <c r="D947" s="6">
        <v>1.05913728719447E-16</v>
      </c>
      <c r="E947" s="3" t="s">
        <v>4471</v>
      </c>
      <c r="F947" s="3" t="s">
        <v>4472</v>
      </c>
      <c r="G947" s="3">
        <v>14367</v>
      </c>
      <c r="H947" s="7" t="str">
        <f>HYPERLINK("http://www.ensembl.org/Mus_musculus/Gene/Summary?db=core;g=ENSMUSG00000045005","ENSMUSG00000045005")</f>
        <v>ENSMUSG00000045005</v>
      </c>
      <c r="I947" s="7" t="str">
        <f>HYPERLINK("http://www.informatics.jax.org/marker/MGI:108571","MGI:108571")</f>
        <v>MGI:108571</v>
      </c>
      <c r="J947" s="4" t="s">
        <v>12</v>
      </c>
    </row>
    <row r="948" spans="1:10" x14ac:dyDescent="0.25">
      <c r="A948" s="2">
        <v>2080.0136242641502</v>
      </c>
      <c r="B948" s="3">
        <v>1.39083233448076</v>
      </c>
      <c r="C948" s="5">
        <v>5.9994569383492703E-45</v>
      </c>
      <c r="D948" s="6">
        <v>1.41012265583132E-43</v>
      </c>
      <c r="E948" s="3" t="s">
        <v>1694</v>
      </c>
      <c r="F948" s="3" t="s">
        <v>1695</v>
      </c>
      <c r="G948" s="3">
        <v>75320</v>
      </c>
      <c r="H948" s="7" t="str">
        <f>HYPERLINK("http://www.ensembl.org/Mus_musculus/Gene/Summary?db=core;g=ENSMUSG00000030275","ENSMUSG00000030275")</f>
        <v>ENSMUSG00000030275</v>
      </c>
      <c r="I948" s="7" t="str">
        <f>HYPERLINK("http://www.informatics.jax.org/marker/MGI:1922570","MGI:1922570")</f>
        <v>MGI:1922570</v>
      </c>
      <c r="J948" s="4" t="s">
        <v>12</v>
      </c>
    </row>
    <row r="949" spans="1:10" x14ac:dyDescent="0.25">
      <c r="A949" s="2">
        <v>13.1549298125385</v>
      </c>
      <c r="B949" s="3">
        <v>1.39033885929512</v>
      </c>
      <c r="C949" s="5">
        <v>1.6652071661350701E-5</v>
      </c>
      <c r="D949" s="6">
        <v>6.1014279665892802E-5</v>
      </c>
      <c r="E949" s="3" t="s">
        <v>10776</v>
      </c>
      <c r="F949" s="3" t="s">
        <v>10777</v>
      </c>
      <c r="G949" s="3" t="s">
        <v>83</v>
      </c>
      <c r="H949" s="7" t="str">
        <f>HYPERLINK("http://www.ensembl.org/Mus_musculus/Gene/Summary?db=core;g=ENSMUSG00000073144","ENSMUSG00000073144")</f>
        <v>ENSMUSG00000073144</v>
      </c>
      <c r="I949" s="7" t="str">
        <f>HYPERLINK("http://www.informatics.jax.org/marker/MGI:1922629","MGI:1922629")</f>
        <v>MGI:1922629</v>
      </c>
      <c r="J949" s="4" t="s">
        <v>932</v>
      </c>
    </row>
    <row r="950" spans="1:10" x14ac:dyDescent="0.25">
      <c r="A950" s="2">
        <v>167.374574553569</v>
      </c>
      <c r="B950" s="3">
        <v>1.3890020558568299</v>
      </c>
      <c r="C950" s="5">
        <v>7.2251880700486799E-19</v>
      </c>
      <c r="D950" s="6">
        <v>6.8074872786125103E-18</v>
      </c>
      <c r="E950" s="3" t="s">
        <v>4203</v>
      </c>
      <c r="F950" s="3" t="s">
        <v>4204</v>
      </c>
      <c r="G950" s="3" t="s">
        <v>83</v>
      </c>
      <c r="H950" s="7" t="str">
        <f>HYPERLINK("http://www.ensembl.org/Mus_musculus/Gene/Summary?db=core;g=ENSMUSG00000098050","ENSMUSG00000098050")</f>
        <v>ENSMUSG00000098050</v>
      </c>
      <c r="I950" s="7" t="str">
        <f>HYPERLINK("http://www.informatics.jax.org/marker/MGI:3644320","MGI:3644320")</f>
        <v>MGI:3644320</v>
      </c>
      <c r="J950" s="4" t="s">
        <v>1043</v>
      </c>
    </row>
    <row r="951" spans="1:10" x14ac:dyDescent="0.25">
      <c r="A951" s="2">
        <v>2.1406453958195</v>
      </c>
      <c r="B951" s="3">
        <v>1.38849175178655</v>
      </c>
      <c r="C951" s="3">
        <v>3.2218992488446002E-3</v>
      </c>
      <c r="D951" s="4">
        <v>8.7878081863368707E-3</v>
      </c>
      <c r="E951" s="3" t="s">
        <v>14463</v>
      </c>
      <c r="F951" s="3" t="s">
        <v>14464</v>
      </c>
      <c r="G951" s="3">
        <v>260297</v>
      </c>
      <c r="H951" s="7" t="str">
        <f>HYPERLINK("http://www.ensembl.org/Mus_musculus/Gene/Summary?db=core;g=ENSMUSG00000015476","ENSMUSG00000015476")</f>
        <v>ENSMUSG00000015476</v>
      </c>
      <c r="I951" s="7" t="str">
        <f>HYPERLINK("http://www.informatics.jax.org/marker/MGI:1932118","MGI:1932118")</f>
        <v>MGI:1932118</v>
      </c>
      <c r="J951" s="4" t="s">
        <v>12</v>
      </c>
    </row>
    <row r="952" spans="1:10" x14ac:dyDescent="0.25">
      <c r="A952" s="2">
        <v>110.04387357950699</v>
      </c>
      <c r="B952" s="3">
        <v>1.38837900357573</v>
      </c>
      <c r="C952" s="5">
        <v>7.1542383931336598E-19</v>
      </c>
      <c r="D952" s="6">
        <v>6.7470866146626402E-18</v>
      </c>
      <c r="E952" s="3" t="s">
        <v>4199</v>
      </c>
      <c r="F952" s="3" t="s">
        <v>4200</v>
      </c>
      <c r="G952" s="3">
        <v>14077</v>
      </c>
      <c r="H952" s="7" t="str">
        <f>HYPERLINK("http://www.ensembl.org/Mus_musculus/Gene/Summary?db=core;g=ENSMUSG00000028773","ENSMUSG00000028773")</f>
        <v>ENSMUSG00000028773</v>
      </c>
      <c r="I952" s="7" t="str">
        <f>HYPERLINK("http://www.informatics.jax.org/marker/MGI:95476","MGI:95476")</f>
        <v>MGI:95476</v>
      </c>
      <c r="J952" s="4" t="s">
        <v>12</v>
      </c>
    </row>
    <row r="953" spans="1:10" x14ac:dyDescent="0.25">
      <c r="A953" s="2">
        <v>128.01826615689799</v>
      </c>
      <c r="B953" s="3">
        <v>1.38811704093675</v>
      </c>
      <c r="C953" s="5">
        <v>1.53244200551689E-16</v>
      </c>
      <c r="D953" s="6">
        <v>1.27294677122128E-15</v>
      </c>
      <c r="E953" s="3" t="s">
        <v>4765</v>
      </c>
      <c r="F953" s="3" t="s">
        <v>4766</v>
      </c>
      <c r="G953" s="3">
        <v>17755</v>
      </c>
      <c r="H953" s="7" t="str">
        <f>HYPERLINK("http://www.ensembl.org/Mus_musculus/Gene/Summary?db=core;g=ENSMUSG00000052727","ENSMUSG00000052727")</f>
        <v>ENSMUSG00000052727</v>
      </c>
      <c r="I953" s="7" t="str">
        <f>HYPERLINK("http://www.informatics.jax.org/marker/MGI:1306778","MGI:1306778")</f>
        <v>MGI:1306778</v>
      </c>
      <c r="J953" s="4" t="s">
        <v>12</v>
      </c>
    </row>
    <row r="954" spans="1:10" x14ac:dyDescent="0.25">
      <c r="A954" s="2">
        <v>447.060908772608</v>
      </c>
      <c r="B954" s="3">
        <v>1.3881000909202801</v>
      </c>
      <c r="C954" s="5">
        <v>1.17828620087728E-18</v>
      </c>
      <c r="D954" s="6">
        <v>1.1001801080161E-17</v>
      </c>
      <c r="E954" s="3" t="s">
        <v>4241</v>
      </c>
      <c r="F954" s="3" t="s">
        <v>4242</v>
      </c>
      <c r="G954" s="3">
        <v>110796</v>
      </c>
      <c r="H954" s="7" t="str">
        <f>HYPERLINK("http://www.ensembl.org/Mus_musculus/Gene/Summary?db=core;g=ENSMUSG00000046982","ENSMUSG00000046982")</f>
        <v>ENSMUSG00000046982</v>
      </c>
      <c r="I954" s="7" t="str">
        <f>HYPERLINK("http://www.informatics.jax.org/marker/MGI:1346031","MGI:1346031")</f>
        <v>MGI:1346031</v>
      </c>
      <c r="J954" s="4" t="s">
        <v>12</v>
      </c>
    </row>
    <row r="955" spans="1:10" x14ac:dyDescent="0.25">
      <c r="A955" s="2">
        <v>1.3586211046374099</v>
      </c>
      <c r="B955" s="3">
        <v>1.38743377757506</v>
      </c>
      <c r="C955" s="3">
        <v>2.9576374442178898E-3</v>
      </c>
      <c r="D955" s="4">
        <v>8.1094747021561095E-3</v>
      </c>
      <c r="E955" s="3" t="s">
        <v>14391</v>
      </c>
      <c r="F955" s="3" t="s">
        <v>14392</v>
      </c>
      <c r="G955" s="3" t="s">
        <v>83</v>
      </c>
      <c r="H955" s="7" t="str">
        <f>HYPERLINK("http://www.ensembl.org/Mus_musculus/Gene/Summary?db=core;g=ENSMUSG00000111116","ENSMUSG00000111116")</f>
        <v>ENSMUSG00000111116</v>
      </c>
      <c r="I955" s="7" t="str">
        <f>HYPERLINK("http://www.informatics.jax.org/marker/MGI:6097392","MGI:6097392")</f>
        <v>MGI:6097392</v>
      </c>
      <c r="J955" s="4" t="s">
        <v>939</v>
      </c>
    </row>
    <row r="956" spans="1:10" x14ac:dyDescent="0.25">
      <c r="A956" s="2">
        <v>177.25607885463799</v>
      </c>
      <c r="B956" s="3">
        <v>1.38520085502287</v>
      </c>
      <c r="C956" s="5">
        <v>7.1038037256948702E-24</v>
      </c>
      <c r="D956" s="6">
        <v>8.2989934520558498E-23</v>
      </c>
      <c r="E956" s="3" t="s">
        <v>3394</v>
      </c>
      <c r="F956" s="3" t="s">
        <v>3395</v>
      </c>
      <c r="G956" s="3">
        <v>16706</v>
      </c>
      <c r="H956" s="7" t="str">
        <f>HYPERLINK("http://www.ensembl.org/Mus_musculus/Gene/Summary?db=core;g=ENSMUSG00000018334","ENSMUSG00000018334")</f>
        <v>ENSMUSG00000018334</v>
      </c>
      <c r="I956" s="7" t="str">
        <f>HYPERLINK("http://www.informatics.jax.org/marker/MGI:105051","MGI:105051")</f>
        <v>MGI:105051</v>
      </c>
      <c r="J956" s="4" t="s">
        <v>12</v>
      </c>
    </row>
    <row r="957" spans="1:10" x14ac:dyDescent="0.25">
      <c r="A957" s="2">
        <v>11295.659071161899</v>
      </c>
      <c r="B957" s="3">
        <v>1.3826505556372599</v>
      </c>
      <c r="C957" s="5">
        <v>1.70624193858079E-27</v>
      </c>
      <c r="D957" s="6">
        <v>2.2842560101027301E-26</v>
      </c>
      <c r="E957" s="3" t="s">
        <v>2964</v>
      </c>
      <c r="F957" s="3" t="s">
        <v>2965</v>
      </c>
      <c r="G957" s="3">
        <v>18477</v>
      </c>
      <c r="H957" s="7" t="str">
        <f>HYPERLINK("http://www.ensembl.org/Mus_musculus/Gene/Summary?db=core;g=ENSMUSG00000028691","ENSMUSG00000028691")</f>
        <v>ENSMUSG00000028691</v>
      </c>
      <c r="I957" s="7" t="str">
        <f>HYPERLINK("http://www.informatics.jax.org/marker/MGI:99523","MGI:99523")</f>
        <v>MGI:99523</v>
      </c>
      <c r="J957" s="4" t="s">
        <v>12</v>
      </c>
    </row>
    <row r="958" spans="1:10" x14ac:dyDescent="0.25">
      <c r="A958" s="2">
        <v>591.37375890468797</v>
      </c>
      <c r="B958" s="3">
        <v>1.3818686732208401</v>
      </c>
      <c r="C958" s="5">
        <v>1.4823346977107001E-21</v>
      </c>
      <c r="D958" s="6">
        <v>1.5699054908085401E-20</v>
      </c>
      <c r="E958" s="3" t="s">
        <v>3742</v>
      </c>
      <c r="F958" s="3" t="s">
        <v>3743</v>
      </c>
      <c r="G958" s="3">
        <v>58250</v>
      </c>
      <c r="H958" s="7" t="str">
        <f>HYPERLINK("http://www.ensembl.org/Mus_musculus/Gene/Summary?db=core;g=ENSMUSG00000034612","ENSMUSG00000034612")</f>
        <v>ENSMUSG00000034612</v>
      </c>
      <c r="I958" s="7" t="str">
        <f>HYPERLINK("http://www.informatics.jax.org/marker/MGI:1927166","MGI:1927166")</f>
        <v>MGI:1927166</v>
      </c>
      <c r="J958" s="4" t="s">
        <v>12</v>
      </c>
    </row>
    <row r="959" spans="1:10" x14ac:dyDescent="0.25">
      <c r="A959" s="2">
        <v>2.27382202257151</v>
      </c>
      <c r="B959" s="3">
        <v>1.38181730016121</v>
      </c>
      <c r="C959" s="3">
        <v>3.3011911179576399E-3</v>
      </c>
      <c r="D959" s="4">
        <v>8.9879178304742204E-3</v>
      </c>
      <c r="E959" s="3" t="s">
        <v>14489</v>
      </c>
      <c r="F959" s="3" t="s">
        <v>14490</v>
      </c>
      <c r="G959" s="3" t="s">
        <v>83</v>
      </c>
      <c r="H959" s="7" t="str">
        <f>HYPERLINK("http://www.ensembl.org/Mus_musculus/Gene/Summary?db=core;g=ENSMUSG00000108476","ENSMUSG00000108476")</f>
        <v>ENSMUSG00000108476</v>
      </c>
      <c r="I959" s="7" t="str">
        <f>HYPERLINK("http://www.informatics.jax.org/marker/MGI:5753550","MGI:5753550")</f>
        <v>MGI:5753550</v>
      </c>
      <c r="J959" s="4" t="s">
        <v>1828</v>
      </c>
    </row>
    <row r="960" spans="1:10" x14ac:dyDescent="0.25">
      <c r="A960" s="2">
        <v>1.4752923933879301</v>
      </c>
      <c r="B960" s="3">
        <v>1.3816879954096699</v>
      </c>
      <c r="C960" s="3">
        <v>3.07878918493048E-3</v>
      </c>
      <c r="D960" s="4">
        <v>8.4219340722470597E-3</v>
      </c>
      <c r="E960" s="3" t="s">
        <v>14423</v>
      </c>
      <c r="F960" s="3" t="s">
        <v>14424</v>
      </c>
      <c r="G960" s="3" t="s">
        <v>83</v>
      </c>
      <c r="H960" s="7" t="str">
        <f>HYPERLINK("http://www.ensembl.org/Mus_musculus/Gene/Summary?db=core;g=ENSMUSG00000102776","ENSMUSG00000102776")</f>
        <v>ENSMUSG00000102776</v>
      </c>
      <c r="I960" s="7" t="str">
        <f>HYPERLINK("http://www.informatics.jax.org/marker/MGI:5611390","MGI:5611390")</f>
        <v>MGI:5611390</v>
      </c>
      <c r="J960" s="4" t="s">
        <v>1828</v>
      </c>
    </row>
    <row r="961" spans="1:10" x14ac:dyDescent="0.25">
      <c r="A961" s="2">
        <v>243.06946287066501</v>
      </c>
      <c r="B961" s="3">
        <v>1.3794915464611099</v>
      </c>
      <c r="C961" s="5">
        <v>5.2112098668136897E-33</v>
      </c>
      <c r="D961" s="6">
        <v>8.3684901118538999E-32</v>
      </c>
      <c r="E961" s="3" t="s">
        <v>2473</v>
      </c>
      <c r="F961" s="3" t="s">
        <v>2474</v>
      </c>
      <c r="G961" s="3">
        <v>99526</v>
      </c>
      <c r="H961" s="7" t="str">
        <f>HYPERLINK("http://www.ensembl.org/Mus_musculus/Gene/Summary?db=core;g=ENSMUSG00000039701","ENSMUSG00000039701")</f>
        <v>ENSMUSG00000039701</v>
      </c>
      <c r="I961" s="7" t="str">
        <f>HYPERLINK("http://www.informatics.jax.org/marker/MGI:2139607","MGI:2139607")</f>
        <v>MGI:2139607</v>
      </c>
      <c r="J961" s="4" t="s">
        <v>12</v>
      </c>
    </row>
    <row r="962" spans="1:10" x14ac:dyDescent="0.25">
      <c r="A962" s="2">
        <v>986.75482415954002</v>
      </c>
      <c r="B962" s="3">
        <v>1.37841663018732</v>
      </c>
      <c r="C962" s="5">
        <v>7.2375928437302003E-40</v>
      </c>
      <c r="D962" s="6">
        <v>1.46535247308377E-38</v>
      </c>
      <c r="E962" s="3" t="s">
        <v>1965</v>
      </c>
      <c r="F962" s="3" t="s">
        <v>1966</v>
      </c>
      <c r="G962" s="3">
        <v>11852</v>
      </c>
      <c r="H962" s="7" t="str">
        <f>HYPERLINK("http://www.ensembl.org/Mus_musculus/Gene/Summary?db=core;g=ENSMUSG00000054364","ENSMUSG00000054364")</f>
        <v>ENSMUSG00000054364</v>
      </c>
      <c r="I962" s="7" t="str">
        <f>HYPERLINK("http://www.informatics.jax.org/marker/MGI:107949","MGI:107949")</f>
        <v>MGI:107949</v>
      </c>
      <c r="J962" s="4" t="s">
        <v>12</v>
      </c>
    </row>
    <row r="963" spans="1:10" x14ac:dyDescent="0.25">
      <c r="A963" s="2">
        <v>1.66199868693199</v>
      </c>
      <c r="B963" s="3">
        <v>1.3781790231399</v>
      </c>
      <c r="C963" s="3">
        <v>3.3347152668723101E-3</v>
      </c>
      <c r="D963" s="4">
        <v>9.0754326611540096E-3</v>
      </c>
      <c r="E963" s="3" t="s">
        <v>14495</v>
      </c>
      <c r="F963" s="3" t="s">
        <v>14496</v>
      </c>
      <c r="G963" s="3">
        <v>218877</v>
      </c>
      <c r="H963" s="7" t="str">
        <f>HYPERLINK("http://www.ensembl.org/Mus_musculus/Gene/Summary?db=core;g=ENSMUSG00000021904","ENSMUSG00000021904")</f>
        <v>ENSMUSG00000021904</v>
      </c>
      <c r="I963" s="7" t="str">
        <f>HYPERLINK("http://www.informatics.jax.org/marker/MGI:3041242","MGI:3041242")</f>
        <v>MGI:3041242</v>
      </c>
      <c r="J963" s="4" t="s">
        <v>12</v>
      </c>
    </row>
    <row r="964" spans="1:10" x14ac:dyDescent="0.25">
      <c r="A964" s="2">
        <v>391.93066878083198</v>
      </c>
      <c r="B964" s="3">
        <v>1.3762733319915801</v>
      </c>
      <c r="C964" s="5">
        <v>1.74198471512761E-22</v>
      </c>
      <c r="D964" s="6">
        <v>1.9326181767210499E-21</v>
      </c>
      <c r="E964" s="3" t="s">
        <v>3572</v>
      </c>
      <c r="F964" s="3" t="s">
        <v>3573</v>
      </c>
      <c r="G964" s="3" t="s">
        <v>83</v>
      </c>
      <c r="H964" s="7" t="str">
        <f>HYPERLINK("http://www.ensembl.org/Mus_musculus/Gene/Summary?db=core;g=ENSMUSG00000097352","ENSMUSG00000097352")</f>
        <v>ENSMUSG00000097352</v>
      </c>
      <c r="I964" s="7" t="str">
        <f>HYPERLINK("http://www.informatics.jax.org/marker/MGI:3583961","MGI:3583961")</f>
        <v>MGI:3583961</v>
      </c>
      <c r="J964" s="4" t="s">
        <v>320</v>
      </c>
    </row>
    <row r="965" spans="1:10" x14ac:dyDescent="0.25">
      <c r="A965" s="2">
        <v>35.4671183840682</v>
      </c>
      <c r="B965" s="3">
        <v>1.3757521118838301</v>
      </c>
      <c r="C965" s="5">
        <v>1.3656704738549799E-10</v>
      </c>
      <c r="D965" s="6">
        <v>7.8630720421664601E-10</v>
      </c>
      <c r="E965" s="3" t="s">
        <v>6868</v>
      </c>
      <c r="F965" s="3" t="s">
        <v>6869</v>
      </c>
      <c r="G965" s="3">
        <v>114643</v>
      </c>
      <c r="H965" s="7" t="str">
        <f>HYPERLINK("http://www.ensembl.org/Mus_musculus/Gene/Summary?db=core;g=ENSMUSG00000001166","ENSMUSG00000001166")</f>
        <v>ENSMUSG00000001166</v>
      </c>
      <c r="I965" s="7" t="str">
        <f>HYPERLINK("http://www.informatics.jax.org/marker/MGI:2149633","MGI:2149633")</f>
        <v>MGI:2149633</v>
      </c>
      <c r="J965" s="4" t="s">
        <v>12</v>
      </c>
    </row>
    <row r="966" spans="1:10" x14ac:dyDescent="0.25">
      <c r="A966" s="2">
        <v>2724.0846691068</v>
      </c>
      <c r="B966" s="3">
        <v>1.37520051641283</v>
      </c>
      <c r="C966" s="5">
        <v>2.3458877593061802E-92</v>
      </c>
      <c r="D966" s="6">
        <v>1.65217523619706E-90</v>
      </c>
      <c r="E966" s="3" t="s">
        <v>572</v>
      </c>
      <c r="F966" s="3" t="s">
        <v>573</v>
      </c>
      <c r="G966" s="3">
        <v>23880</v>
      </c>
      <c r="H966" s="7" t="str">
        <f>HYPERLINK("http://www.ensembl.org/Mus_musculus/Gene/Summary?db=core;g=ENSMUSG00000022148","ENSMUSG00000022148")</f>
        <v>ENSMUSG00000022148</v>
      </c>
      <c r="I966" s="7" t="str">
        <f>HYPERLINK("http://www.informatics.jax.org/marker/MGI:1346327","MGI:1346327")</f>
        <v>MGI:1346327</v>
      </c>
      <c r="J966" s="4" t="s">
        <v>12</v>
      </c>
    </row>
    <row r="967" spans="1:10" x14ac:dyDescent="0.25">
      <c r="A967" s="2">
        <v>914.69693360633096</v>
      </c>
      <c r="B967" s="3">
        <v>1.3751064425495301</v>
      </c>
      <c r="C967" s="5">
        <v>1.7037349094608201E-119</v>
      </c>
      <c r="D967" s="6">
        <v>2.0118354739261901E-117</v>
      </c>
      <c r="E967" s="3" t="s">
        <v>346</v>
      </c>
      <c r="F967" s="3" t="s">
        <v>347</v>
      </c>
      <c r="G967" s="3">
        <v>212632</v>
      </c>
      <c r="H967" s="7" t="str">
        <f>HYPERLINK("http://www.ensembl.org/Mus_musculus/Gene/Summary?db=core;g=ENSMUSG00000041025","ENSMUSG00000041025")</f>
        <v>ENSMUSG00000041025</v>
      </c>
      <c r="I967" s="7" t="str">
        <f>HYPERLINK("http://www.informatics.jax.org/marker/MGI:2140675","MGI:2140675")</f>
        <v>MGI:2140675</v>
      </c>
      <c r="J967" s="4" t="s">
        <v>12</v>
      </c>
    </row>
    <row r="968" spans="1:10" x14ac:dyDescent="0.25">
      <c r="A968" s="2">
        <v>5.0657538893321998</v>
      </c>
      <c r="B968" s="3">
        <v>1.3739136158205101</v>
      </c>
      <c r="C968" s="3">
        <v>7.8746476004855305E-4</v>
      </c>
      <c r="D968" s="4">
        <v>2.3574927991737498E-3</v>
      </c>
      <c r="E968" s="3" t="s">
        <v>13183</v>
      </c>
      <c r="F968" s="3" t="s">
        <v>13184</v>
      </c>
      <c r="G968" s="3" t="s">
        <v>83</v>
      </c>
      <c r="H968" s="7" t="str">
        <f>HYPERLINK("http://www.ensembl.org/Mus_musculus/Gene/Summary?db=core;g=ENSMUSG00000044645","ENSMUSG00000044645")</f>
        <v>ENSMUSG00000044645</v>
      </c>
      <c r="I968" s="7" t="str">
        <f>HYPERLINK("http://www.informatics.jax.org/marker/MGI:3647393","MGI:3647393")</f>
        <v>MGI:3647393</v>
      </c>
      <c r="J968" s="4" t="s">
        <v>1043</v>
      </c>
    </row>
    <row r="969" spans="1:10" x14ac:dyDescent="0.25">
      <c r="A969" s="2">
        <v>97.300504829903701</v>
      </c>
      <c r="B969" s="3">
        <v>1.3737143846881701</v>
      </c>
      <c r="C969" s="5">
        <v>3.0766356146403701E-18</v>
      </c>
      <c r="D969" s="6">
        <v>2.8101553645534103E-17</v>
      </c>
      <c r="E969" s="3" t="s">
        <v>4335</v>
      </c>
      <c r="F969" s="3" t="s">
        <v>4336</v>
      </c>
      <c r="G969" s="3">
        <v>67933</v>
      </c>
      <c r="H969" s="7" t="str">
        <f>HYPERLINK("http://www.ensembl.org/Mus_musculus/Gene/Summary?db=core;g=ENSMUSG00000020246","ENSMUSG00000020246")</f>
        <v>ENSMUSG00000020246</v>
      </c>
      <c r="I969" s="7" t="str">
        <f>HYPERLINK("http://www.informatics.jax.org/marker/MGI:1915183","MGI:1915183")</f>
        <v>MGI:1915183</v>
      </c>
      <c r="J969" s="4" t="s">
        <v>12</v>
      </c>
    </row>
    <row r="970" spans="1:10" x14ac:dyDescent="0.25">
      <c r="A970" s="2">
        <v>9.2774028503035098</v>
      </c>
      <c r="B970" s="3">
        <v>1.3725662263354399</v>
      </c>
      <c r="C970" s="5">
        <v>2.3362686026205299E-5</v>
      </c>
      <c r="D970" s="6">
        <v>8.4410437602925697E-5</v>
      </c>
      <c r="E970" s="3" t="s">
        <v>10928</v>
      </c>
      <c r="F970" s="3" t="s">
        <v>10929</v>
      </c>
      <c r="G970" s="3" t="s">
        <v>83</v>
      </c>
      <c r="H970" s="7" t="str">
        <f>HYPERLINK("http://www.ensembl.org/Mus_musculus/Gene/Summary?db=core;g=ENSMUSG00000086638","ENSMUSG00000086638")</f>
        <v>ENSMUSG00000086638</v>
      </c>
      <c r="I970" s="7" t="str">
        <f>HYPERLINK("http://www.informatics.jax.org/marker/MGI:1922096","MGI:1922096")</f>
        <v>MGI:1922096</v>
      </c>
      <c r="J970" s="4" t="s">
        <v>331</v>
      </c>
    </row>
    <row r="971" spans="1:10" x14ac:dyDescent="0.25">
      <c r="A971" s="2">
        <v>1.2177500453082799</v>
      </c>
      <c r="B971" s="3">
        <v>1.3704443083303599</v>
      </c>
      <c r="C971" s="3">
        <v>1.1968086400053601E-3</v>
      </c>
      <c r="D971" s="4">
        <v>3.4892173833390998E-3</v>
      </c>
      <c r="E971" s="3" t="s">
        <v>13537</v>
      </c>
      <c r="F971" s="3" t="s">
        <v>13538</v>
      </c>
      <c r="G971" s="3">
        <v>14289</v>
      </c>
      <c r="H971" s="7" t="str">
        <f>HYPERLINK("http://www.ensembl.org/Mus_musculus/Gene/Summary?db=core;g=ENSMUSG00000052270","ENSMUSG00000052270")</f>
        <v>ENSMUSG00000052270</v>
      </c>
      <c r="I971" s="7" t="str">
        <f>HYPERLINK("http://www.informatics.jax.org/marker/MGI:1278319","MGI:1278319")</f>
        <v>MGI:1278319</v>
      </c>
      <c r="J971" s="4" t="s">
        <v>12</v>
      </c>
    </row>
    <row r="972" spans="1:10" x14ac:dyDescent="0.25">
      <c r="A972" s="2">
        <v>5557.9883929010202</v>
      </c>
      <c r="B972" s="3">
        <v>1.36974643550859</v>
      </c>
      <c r="C972" s="3">
        <v>0</v>
      </c>
      <c r="D972" s="4">
        <v>0</v>
      </c>
      <c r="E972" s="3" t="s">
        <v>27</v>
      </c>
      <c r="F972" s="3" t="s">
        <v>28</v>
      </c>
      <c r="G972" s="3">
        <v>11491</v>
      </c>
      <c r="H972" s="7" t="str">
        <f>HYPERLINK("http://www.ensembl.org/Mus_musculus/Gene/Summary?db=core;g=ENSMUSG00000052593","ENSMUSG00000052593")</f>
        <v>ENSMUSG00000052593</v>
      </c>
      <c r="I972" s="7" t="str">
        <f>HYPERLINK("http://www.informatics.jax.org/marker/MGI:1096335","MGI:1096335")</f>
        <v>MGI:1096335</v>
      </c>
      <c r="J972" s="4" t="s">
        <v>12</v>
      </c>
    </row>
    <row r="973" spans="1:10" x14ac:dyDescent="0.25">
      <c r="A973" s="2">
        <v>1.25445103638959</v>
      </c>
      <c r="B973" s="3">
        <v>1.3697033767747999</v>
      </c>
      <c r="C973" s="3">
        <v>2.5618918242865398E-3</v>
      </c>
      <c r="D973" s="4">
        <v>7.1095562587856201E-3</v>
      </c>
      <c r="E973" s="3" t="s">
        <v>14219</v>
      </c>
      <c r="F973" s="3" t="s">
        <v>14220</v>
      </c>
      <c r="G973" s="3">
        <v>238266</v>
      </c>
      <c r="H973" s="7" t="str">
        <f>HYPERLINK("http://www.ensembl.org/Mus_musculus/Gene/Summary?db=core;g=ENSMUSG00000044912","ENSMUSG00000044912")</f>
        <v>ENSMUSG00000044912</v>
      </c>
      <c r="I973" s="7" t="str">
        <f>HYPERLINK("http://www.informatics.jax.org/marker/MGI:2673872","MGI:2673872")</f>
        <v>MGI:2673872</v>
      </c>
      <c r="J973" s="4" t="s">
        <v>12</v>
      </c>
    </row>
    <row r="974" spans="1:10" x14ac:dyDescent="0.25">
      <c r="A974" s="2">
        <v>1162.75498465443</v>
      </c>
      <c r="B974" s="3">
        <v>1.36602924972047</v>
      </c>
      <c r="C974" s="5">
        <v>3.1203940011511001E-53</v>
      </c>
      <c r="D974" s="6">
        <v>9.0758362393362393E-52</v>
      </c>
      <c r="E974" s="3" t="s">
        <v>1372</v>
      </c>
      <c r="F974" s="3" t="s">
        <v>1373</v>
      </c>
      <c r="G974" s="3">
        <v>54720</v>
      </c>
      <c r="H974" s="7" t="str">
        <f>HYPERLINK("http://www.ensembl.org/Mus_musculus/Gene/Summary?db=core;g=ENSMUSG00000022951","ENSMUSG00000022951")</f>
        <v>ENSMUSG00000022951</v>
      </c>
      <c r="I974" s="7" t="str">
        <f>HYPERLINK("http://www.informatics.jax.org/marker/MGI:1890564","MGI:1890564")</f>
        <v>MGI:1890564</v>
      </c>
      <c r="J974" s="4" t="s">
        <v>12</v>
      </c>
    </row>
    <row r="975" spans="1:10" x14ac:dyDescent="0.25">
      <c r="A975" s="2">
        <v>1.7709823617923299</v>
      </c>
      <c r="B975" s="3">
        <v>1.3651134475303901</v>
      </c>
      <c r="C975" s="3">
        <v>3.7406064529138202E-3</v>
      </c>
      <c r="D975" s="4">
        <v>1.0115847401461899E-2</v>
      </c>
      <c r="E975" s="3" t="s">
        <v>14587</v>
      </c>
      <c r="F975" s="3" t="s">
        <v>14588</v>
      </c>
      <c r="G975" s="3" t="s">
        <v>83</v>
      </c>
      <c r="H975" s="7" t="str">
        <f>HYPERLINK("http://www.ensembl.org/Mus_musculus/Gene/Summary?db=core;g=ENSMUSG00000113409","ENSMUSG00000113409")</f>
        <v>ENSMUSG00000113409</v>
      </c>
      <c r="I975" s="7" t="str">
        <f>HYPERLINK("http://www.informatics.jax.org/marker/MGI:3645459","MGI:3645459")</f>
        <v>MGI:3645459</v>
      </c>
      <c r="J975" s="4" t="s">
        <v>1043</v>
      </c>
    </row>
    <row r="976" spans="1:10" x14ac:dyDescent="0.25">
      <c r="A976" s="2">
        <v>2762.7782137613199</v>
      </c>
      <c r="B976" s="3">
        <v>1.36430304387462</v>
      </c>
      <c r="C976" s="5">
        <v>5.3669222735866502E-98</v>
      </c>
      <c r="D976" s="6">
        <v>4.1504198915736802E-96</v>
      </c>
      <c r="E976" s="3" t="s">
        <v>522</v>
      </c>
      <c r="F976" s="3" t="s">
        <v>523</v>
      </c>
      <c r="G976" s="3">
        <v>18081</v>
      </c>
      <c r="H976" s="7" t="str">
        <f>HYPERLINK("http://www.ensembl.org/Mus_musculus/Gene/Summary?db=core;g=ENSMUSG00000037966","ENSMUSG00000037966")</f>
        <v>ENSMUSG00000037966</v>
      </c>
      <c r="I976" s="7" t="str">
        <f>HYPERLINK("http://www.informatics.jax.org/marker/MGI:1196617","MGI:1196617")</f>
        <v>MGI:1196617</v>
      </c>
      <c r="J976" s="4" t="s">
        <v>12</v>
      </c>
    </row>
    <row r="977" spans="1:10" x14ac:dyDescent="0.25">
      <c r="A977" s="2">
        <v>1486.29364444766</v>
      </c>
      <c r="B977" s="3">
        <v>1.36156308608098</v>
      </c>
      <c r="C977" s="5">
        <v>3.1239619183097098E-8</v>
      </c>
      <c r="D977" s="6">
        <v>1.4780357252655401E-7</v>
      </c>
      <c r="E977" s="3" t="s">
        <v>8353</v>
      </c>
      <c r="F977" s="3" t="s">
        <v>8354</v>
      </c>
      <c r="G977" s="3">
        <v>11501</v>
      </c>
      <c r="H977" s="7" t="str">
        <f>HYPERLINK("http://www.ensembl.org/Mus_musculus/Gene/Summary?db=core;g=ENSMUSG00000025473","ENSMUSG00000025473")</f>
        <v>ENSMUSG00000025473</v>
      </c>
      <c r="I977" s="7" t="str">
        <f>HYPERLINK("http://www.informatics.jax.org/marker/MGI:107825","MGI:107825")</f>
        <v>MGI:107825</v>
      </c>
      <c r="J977" s="4" t="s">
        <v>12</v>
      </c>
    </row>
    <row r="978" spans="1:10" x14ac:dyDescent="0.25">
      <c r="A978" s="2">
        <v>32.679299268716299</v>
      </c>
      <c r="B978" s="3">
        <v>1.3613960259122799</v>
      </c>
      <c r="C978" s="5">
        <v>9.2895456695948701E-10</v>
      </c>
      <c r="D978" s="6">
        <v>4.9901890657698396E-9</v>
      </c>
      <c r="E978" s="3" t="s">
        <v>7360</v>
      </c>
      <c r="F978" s="3" t="s">
        <v>7361</v>
      </c>
      <c r="G978" s="3">
        <v>13197</v>
      </c>
      <c r="H978" s="7" t="str">
        <f>HYPERLINK("http://www.ensembl.org/Mus_musculus/Gene/Summary?db=core;g=ENSMUSG00000036390","ENSMUSG00000036390")</f>
        <v>ENSMUSG00000036390</v>
      </c>
      <c r="I978" s="7" t="str">
        <f>HYPERLINK("http://www.informatics.jax.org/marker/MGI:107799","MGI:107799")</f>
        <v>MGI:107799</v>
      </c>
      <c r="J978" s="4" t="s">
        <v>12</v>
      </c>
    </row>
    <row r="979" spans="1:10" x14ac:dyDescent="0.25">
      <c r="A979" s="2">
        <v>261.19739471732203</v>
      </c>
      <c r="B979" s="3">
        <v>1.36128320508014</v>
      </c>
      <c r="C979" s="5">
        <v>4.6452540328207299E-30</v>
      </c>
      <c r="D979" s="6">
        <v>6.8668972659089004E-29</v>
      </c>
      <c r="E979" s="3" t="s">
        <v>2686</v>
      </c>
      <c r="F979" s="3" t="s">
        <v>2687</v>
      </c>
      <c r="G979" s="3">
        <v>67035</v>
      </c>
      <c r="H979" s="7" t="str">
        <f>HYPERLINK("http://www.ensembl.org/Mus_musculus/Gene/Summary?db=core;g=ENSMUSG00000028035","ENSMUSG00000028035")</f>
        <v>ENSMUSG00000028035</v>
      </c>
      <c r="I979" s="7" t="str">
        <f>HYPERLINK("http://www.informatics.jax.org/marker/MGI:1914285","MGI:1914285")</f>
        <v>MGI:1914285</v>
      </c>
      <c r="J979" s="4" t="s">
        <v>12</v>
      </c>
    </row>
    <row r="980" spans="1:10" x14ac:dyDescent="0.25">
      <c r="A980" s="2">
        <v>28.585421013178198</v>
      </c>
      <c r="B980" s="3">
        <v>1.35770497700455</v>
      </c>
      <c r="C980" s="5">
        <v>5.5977889312999595E-7</v>
      </c>
      <c r="D980" s="6">
        <v>2.3795731348401599E-6</v>
      </c>
      <c r="E980" s="3" t="s">
        <v>9293</v>
      </c>
      <c r="F980" s="3" t="s">
        <v>9294</v>
      </c>
      <c r="G980" s="3">
        <v>230979</v>
      </c>
      <c r="H980" s="7" t="str">
        <f>HYPERLINK("http://www.ensembl.org/Mus_musculus/Gene/Summary?db=core;g=ENSMUSG00000042333","ENSMUSG00000042333")</f>
        <v>ENSMUSG00000042333</v>
      </c>
      <c r="I980" s="7" t="str">
        <f>HYPERLINK("http://www.informatics.jax.org/marker/MGI:2675303","MGI:2675303")</f>
        <v>MGI:2675303</v>
      </c>
      <c r="J980" s="4" t="s">
        <v>12</v>
      </c>
    </row>
    <row r="981" spans="1:10" x14ac:dyDescent="0.25">
      <c r="A981" s="2">
        <v>5030.6058374876402</v>
      </c>
      <c r="B981" s="3">
        <v>1.3570021809950199</v>
      </c>
      <c r="C981" s="5">
        <v>1.87663272152634E-46</v>
      </c>
      <c r="D981" s="6">
        <v>4.60288523240044E-45</v>
      </c>
      <c r="E981" s="3" t="s">
        <v>1624</v>
      </c>
      <c r="F981" s="3" t="s">
        <v>1625</v>
      </c>
      <c r="G981" s="3">
        <v>56045</v>
      </c>
      <c r="H981" s="7" t="str">
        <f>HYPERLINK("http://www.ensembl.org/Mus_musculus/Gene/Summary?db=core;g=ENSMUSG00000027639","ENSMUSG00000027639")</f>
        <v>ENSMUSG00000027639</v>
      </c>
      <c r="I981" s="7" t="str">
        <f>HYPERLINK("http://www.informatics.jax.org/marker/MGI:1927468","MGI:1927468")</f>
        <v>MGI:1927468</v>
      </c>
      <c r="J981" s="4" t="s">
        <v>12</v>
      </c>
    </row>
    <row r="982" spans="1:10" x14ac:dyDescent="0.25">
      <c r="A982" s="2">
        <v>1025.9628324211301</v>
      </c>
      <c r="B982" s="3">
        <v>1.3556332163584499</v>
      </c>
      <c r="C982" s="5">
        <v>6.1026877436752699E-53</v>
      </c>
      <c r="D982" s="6">
        <v>1.76458947661695E-51</v>
      </c>
      <c r="E982" s="3" t="s">
        <v>1380</v>
      </c>
      <c r="F982" s="3" t="s">
        <v>1381</v>
      </c>
      <c r="G982" s="3">
        <v>11787</v>
      </c>
      <c r="H982" s="7" t="str">
        <f>HYPERLINK("http://www.ensembl.org/Mus_musculus/Gene/Summary?db=core;g=ENSMUSG00000029207","ENSMUSG00000029207")</f>
        <v>ENSMUSG00000029207</v>
      </c>
      <c r="I982" s="7" t="str">
        <f>HYPERLINK("http://www.informatics.jax.org/marker/MGI:108405","MGI:108405")</f>
        <v>MGI:108405</v>
      </c>
      <c r="J982" s="4" t="s">
        <v>12</v>
      </c>
    </row>
    <row r="983" spans="1:10" x14ac:dyDescent="0.25">
      <c r="A983" s="2">
        <v>3.9243189673440799</v>
      </c>
      <c r="B983" s="3">
        <v>1.3554385807809299</v>
      </c>
      <c r="C983" s="3">
        <v>2.7683426755670299E-3</v>
      </c>
      <c r="D983" s="4">
        <v>7.64161779985747E-3</v>
      </c>
      <c r="E983" s="3" t="s">
        <v>14293</v>
      </c>
      <c r="F983" s="3" t="s">
        <v>14294</v>
      </c>
      <c r="G983" s="3" t="s">
        <v>83</v>
      </c>
      <c r="H983" s="7" t="str">
        <f>HYPERLINK("http://www.ensembl.org/Mus_musculus/Gene/Summary?db=core;g=ENSMUSG00000102617","ENSMUSG00000102617")</f>
        <v>ENSMUSG00000102617</v>
      </c>
      <c r="I983" s="7" t="str">
        <f>HYPERLINK("http://www.informatics.jax.org/marker/MGI:5611070","MGI:5611070")</f>
        <v>MGI:5611070</v>
      </c>
      <c r="J983" s="4" t="s">
        <v>1828</v>
      </c>
    </row>
    <row r="984" spans="1:10" x14ac:dyDescent="0.25">
      <c r="A984" s="2">
        <v>815.37455381199095</v>
      </c>
      <c r="B984" s="3">
        <v>1.3540107065107001</v>
      </c>
      <c r="C984" s="5">
        <v>1.55130565761438E-62</v>
      </c>
      <c r="D984" s="6">
        <v>5.9983818761089203E-61</v>
      </c>
      <c r="E984" s="3" t="s">
        <v>1035</v>
      </c>
      <c r="F984" s="3" t="s">
        <v>1036</v>
      </c>
      <c r="G984" s="3">
        <v>12362</v>
      </c>
      <c r="H984" s="7" t="str">
        <f>HYPERLINK("http://www.ensembl.org/Mus_musculus/Gene/Summary?db=core;g=ENSMUSG00000025888","ENSMUSG00000025888")</f>
        <v>ENSMUSG00000025888</v>
      </c>
      <c r="I984" s="7" t="str">
        <f>HYPERLINK("http://www.informatics.jax.org/marker/MGI:96544","MGI:96544")</f>
        <v>MGI:96544</v>
      </c>
      <c r="J984" s="4" t="s">
        <v>12</v>
      </c>
    </row>
    <row r="985" spans="1:10" x14ac:dyDescent="0.25">
      <c r="A985" s="2">
        <v>268.432330327324</v>
      </c>
      <c r="B985" s="3">
        <v>1.35343329300661</v>
      </c>
      <c r="C985" s="5">
        <v>4.4407883668176099E-47</v>
      </c>
      <c r="D985" s="6">
        <v>1.1113241953507999E-45</v>
      </c>
      <c r="E985" s="3" t="s">
        <v>1592</v>
      </c>
      <c r="F985" s="3" t="s">
        <v>1593</v>
      </c>
      <c r="G985" s="3">
        <v>65247</v>
      </c>
      <c r="H985" s="7" t="str">
        <f>HYPERLINK("http://www.ensembl.org/Mus_musculus/Gene/Summary?db=core;g=ENSMUSG00000026311","ENSMUSG00000026311")</f>
        <v>ENSMUSG00000026311</v>
      </c>
      <c r="I985" s="7" t="str">
        <f>HYPERLINK("http://www.informatics.jax.org/marker/MGI:1929735","MGI:1929735")</f>
        <v>MGI:1929735</v>
      </c>
      <c r="J985" s="4" t="s">
        <v>12</v>
      </c>
    </row>
    <row r="986" spans="1:10" x14ac:dyDescent="0.25">
      <c r="A986" s="2">
        <v>19.900292476067399</v>
      </c>
      <c r="B986" s="3">
        <v>1.3525000648372401</v>
      </c>
      <c r="C986" s="5">
        <v>2.6902403961933599E-6</v>
      </c>
      <c r="D986" s="6">
        <v>1.06743542480751E-5</v>
      </c>
      <c r="E986" s="3" t="s">
        <v>9956</v>
      </c>
      <c r="F986" s="3" t="s">
        <v>9957</v>
      </c>
      <c r="G986" s="3">
        <v>11768</v>
      </c>
      <c r="H986" s="7" t="str">
        <f>HYPERLINK("http://www.ensembl.org/Mus_musculus/Gene/Summary?db=core;g=ENSMUSG00000003309","ENSMUSG00000003309")</f>
        <v>ENSMUSG00000003309</v>
      </c>
      <c r="I986" s="7" t="str">
        <f>HYPERLINK("http://www.informatics.jax.org/marker/MGI:1336974","MGI:1336974")</f>
        <v>MGI:1336974</v>
      </c>
      <c r="J986" s="4" t="s">
        <v>12</v>
      </c>
    </row>
    <row r="987" spans="1:10" x14ac:dyDescent="0.25">
      <c r="A987" s="2">
        <v>148.41170887545999</v>
      </c>
      <c r="B987" s="3">
        <v>1.3524986826483301</v>
      </c>
      <c r="C987" s="5">
        <v>6.0951984924408103E-35</v>
      </c>
      <c r="D987" s="6">
        <v>1.05528809719871E-33</v>
      </c>
      <c r="E987" s="3" t="s">
        <v>2295</v>
      </c>
      <c r="F987" s="3" t="s">
        <v>2296</v>
      </c>
      <c r="G987" s="3">
        <v>214424</v>
      </c>
      <c r="H987" s="7" t="str">
        <f>HYPERLINK("http://www.ensembl.org/Mus_musculus/Gene/Summary?db=core;g=ENSMUSG00000032392","ENSMUSG00000032392")</f>
        <v>ENSMUSG00000032392</v>
      </c>
      <c r="I987" s="7" t="str">
        <f>HYPERLINK("http://www.informatics.jax.org/marker/MGI:2446133","MGI:2446133")</f>
        <v>MGI:2446133</v>
      </c>
      <c r="J987" s="4" t="s">
        <v>12</v>
      </c>
    </row>
    <row r="988" spans="1:10" x14ac:dyDescent="0.25">
      <c r="A988" s="2">
        <v>906.66318863890899</v>
      </c>
      <c r="B988" s="3">
        <v>1.35249528048206</v>
      </c>
      <c r="C988" s="5">
        <v>3.2790288657787098E-69</v>
      </c>
      <c r="D988" s="6">
        <v>1.48308369800817E-67</v>
      </c>
      <c r="E988" s="3" t="s">
        <v>884</v>
      </c>
      <c r="F988" s="3" t="s">
        <v>885</v>
      </c>
      <c r="G988" s="3">
        <v>75646</v>
      </c>
      <c r="H988" s="7" t="str">
        <f>HYPERLINK("http://www.ensembl.org/Mus_musculus/Gene/Summary?db=core;g=ENSMUSG00000022246","ENSMUSG00000022246")</f>
        <v>ENSMUSG00000022246</v>
      </c>
      <c r="I988" s="7" t="str">
        <f>HYPERLINK("http://www.informatics.jax.org/marker/MGI:1922896","MGI:1922896")</f>
        <v>MGI:1922896</v>
      </c>
      <c r="J988" s="4" t="s">
        <v>12</v>
      </c>
    </row>
    <row r="989" spans="1:10" x14ac:dyDescent="0.25">
      <c r="A989" s="2">
        <v>105.57999155005101</v>
      </c>
      <c r="B989" s="3">
        <v>1.3516891201779799</v>
      </c>
      <c r="C989" s="5">
        <v>1.5033436388689801E-16</v>
      </c>
      <c r="D989" s="6">
        <v>1.24930200415071E-15</v>
      </c>
      <c r="E989" s="3" t="s">
        <v>4763</v>
      </c>
      <c r="F989" s="3" t="s">
        <v>4764</v>
      </c>
      <c r="G989" s="3" t="s">
        <v>83</v>
      </c>
      <c r="H989" s="7" t="str">
        <f>HYPERLINK("http://www.ensembl.org/Mus_musculus/Gene/Summary?db=core;g=ENSMUSG00000107355","ENSMUSG00000107355")</f>
        <v>ENSMUSG00000107355</v>
      </c>
      <c r="I989" s="7" t="str">
        <f>HYPERLINK("http://www.informatics.jax.org/marker/MGI:2140975","MGI:2140975")</f>
        <v>MGI:2140975</v>
      </c>
      <c r="J989" s="4" t="s">
        <v>939</v>
      </c>
    </row>
    <row r="990" spans="1:10" x14ac:dyDescent="0.25">
      <c r="A990" s="2">
        <v>21.270411889018298</v>
      </c>
      <c r="B990" s="3">
        <v>1.3510327389751</v>
      </c>
      <c r="C990" s="5">
        <v>1.28306799290086E-6</v>
      </c>
      <c r="D990" s="6">
        <v>5.25484959917028E-6</v>
      </c>
      <c r="E990" s="3" t="s">
        <v>9645</v>
      </c>
      <c r="F990" s="3" t="s">
        <v>9646</v>
      </c>
      <c r="G990" s="3" t="s">
        <v>83</v>
      </c>
      <c r="H990" s="7" t="str">
        <f>HYPERLINK("http://www.ensembl.org/Mus_musculus/Gene/Summary?db=core;g=ENSMUSG00000105950","ENSMUSG00000105950")</f>
        <v>ENSMUSG00000105950</v>
      </c>
      <c r="I990" s="7" t="str">
        <f>HYPERLINK("http://www.informatics.jax.org/marker/MGI:5663816","MGI:5663816")</f>
        <v>MGI:5663816</v>
      </c>
      <c r="J990" s="4" t="s">
        <v>1828</v>
      </c>
    </row>
    <row r="991" spans="1:10" x14ac:dyDescent="0.25">
      <c r="A991" s="2">
        <v>3.5354882400378398</v>
      </c>
      <c r="B991" s="3">
        <v>1.3495872138582099</v>
      </c>
      <c r="C991" s="3">
        <v>3.2980753635703502E-3</v>
      </c>
      <c r="D991" s="4">
        <v>8.9819149523004092E-3</v>
      </c>
      <c r="E991" s="3" t="s">
        <v>14485</v>
      </c>
      <c r="F991" s="3" t="s">
        <v>14486</v>
      </c>
      <c r="G991" s="3">
        <v>21949</v>
      </c>
      <c r="H991" s="7" t="str">
        <f>HYPERLINK("http://www.ensembl.org/Mus_musculus/Gene/Summary?db=core;g=ENSMUSG00000028362","ENSMUSG00000028362")</f>
        <v>ENSMUSG00000028362</v>
      </c>
      <c r="I991" s="7" t="str">
        <f>HYPERLINK("http://www.informatics.jax.org/marker/MGI:88328","MGI:88328")</f>
        <v>MGI:88328</v>
      </c>
      <c r="J991" s="4" t="s">
        <v>12</v>
      </c>
    </row>
    <row r="992" spans="1:10" x14ac:dyDescent="0.25">
      <c r="A992" s="2">
        <v>598.78788319161004</v>
      </c>
      <c r="B992" s="3">
        <v>1.3490661167437199</v>
      </c>
      <c r="C992" s="5">
        <v>2.6780906930349399E-23</v>
      </c>
      <c r="D992" s="6">
        <v>3.0580167033381102E-22</v>
      </c>
      <c r="E992" s="3" t="s">
        <v>3472</v>
      </c>
      <c r="F992" s="3" t="s">
        <v>3473</v>
      </c>
      <c r="G992" s="3">
        <v>22151</v>
      </c>
      <c r="H992" s="7" t="str">
        <f>HYPERLINK("http://www.ensembl.org/Mus_musculus/Gene/Summary?db=core;g=ENSMUSG00000058672","ENSMUSG00000058672")</f>
        <v>ENSMUSG00000058672</v>
      </c>
      <c r="I992" s="7" t="str">
        <f>HYPERLINK("http://www.informatics.jax.org/marker/MGI:107861","MGI:107861")</f>
        <v>MGI:107861</v>
      </c>
      <c r="J992" s="4" t="s">
        <v>12</v>
      </c>
    </row>
    <row r="993" spans="1:10" x14ac:dyDescent="0.25">
      <c r="A993" s="2">
        <v>317.94339531827302</v>
      </c>
      <c r="B993" s="3">
        <v>1.3479804207127799</v>
      </c>
      <c r="C993" s="5">
        <v>2.18336236406417E-15</v>
      </c>
      <c r="D993" s="6">
        <v>1.7119644460972399E-14</v>
      </c>
      <c r="E993" s="3" t="s">
        <v>5047</v>
      </c>
      <c r="F993" s="3" t="s">
        <v>5048</v>
      </c>
      <c r="G993" s="3">
        <v>238161</v>
      </c>
      <c r="H993" s="7" t="str">
        <f>HYPERLINK("http://www.ensembl.org/Mus_musculus/Gene/Summary?db=core;g=ENSMUSG00000061603","ENSMUSG00000061603")</f>
        <v>ENSMUSG00000061603</v>
      </c>
      <c r="I993" s="7" t="str">
        <f>HYPERLINK("http://www.informatics.jax.org/marker/MGI:3050566","MGI:3050566")</f>
        <v>MGI:3050566</v>
      </c>
      <c r="J993" s="4" t="s">
        <v>12</v>
      </c>
    </row>
    <row r="994" spans="1:10" x14ac:dyDescent="0.25">
      <c r="A994" s="2">
        <v>3.61347035409436</v>
      </c>
      <c r="B994" s="3">
        <v>1.34790242907487</v>
      </c>
      <c r="C994" s="3">
        <v>2.2394607785990702E-3</v>
      </c>
      <c r="D994" s="4">
        <v>6.2780571227634002E-3</v>
      </c>
      <c r="E994" s="3" t="s">
        <v>14075</v>
      </c>
      <c r="F994" s="3" t="s">
        <v>14076</v>
      </c>
      <c r="G994" s="3">
        <v>574428</v>
      </c>
      <c r="H994" s="7" t="str">
        <f>HYPERLINK("http://www.ensembl.org/Mus_musculus/Gene/Summary?db=core;g=ENSMUSG00000040829","ENSMUSG00000040829")</f>
        <v>ENSMUSG00000040829</v>
      </c>
      <c r="I994" s="7" t="str">
        <f>HYPERLINK("http://www.informatics.jax.org/marker/MGI:3603821","MGI:3603821")</f>
        <v>MGI:3603821</v>
      </c>
      <c r="J994" s="4" t="s">
        <v>12</v>
      </c>
    </row>
    <row r="995" spans="1:10" x14ac:dyDescent="0.25">
      <c r="A995" s="2">
        <v>3158.95245331674</v>
      </c>
      <c r="B995" s="3">
        <v>1.3477028388477199</v>
      </c>
      <c r="C995" s="5">
        <v>5.3119219279887702E-80</v>
      </c>
      <c r="D995" s="6">
        <v>3.0718797777108099E-78</v>
      </c>
      <c r="E995" s="3" t="s">
        <v>694</v>
      </c>
      <c r="F995" s="3" t="s">
        <v>695</v>
      </c>
      <c r="G995" s="3">
        <v>75547</v>
      </c>
      <c r="H995" s="7" t="str">
        <f>HYPERLINK("http://www.ensembl.org/Mus_musculus/Gene/Summary?db=core;g=ENSMUSG00000066406","ENSMUSG00000066406")</f>
        <v>ENSMUSG00000066406</v>
      </c>
      <c r="I995" s="7" t="str">
        <f>HYPERLINK("http://www.informatics.jax.org/marker/MGI:2676556","MGI:2676556")</f>
        <v>MGI:2676556</v>
      </c>
      <c r="J995" s="4" t="s">
        <v>12</v>
      </c>
    </row>
    <row r="996" spans="1:10" x14ac:dyDescent="0.25">
      <c r="A996" s="2">
        <v>5.3060649905535398</v>
      </c>
      <c r="B996" s="3">
        <v>1.3471475919875999</v>
      </c>
      <c r="C996" s="3">
        <v>1.2657965219980501E-3</v>
      </c>
      <c r="D996" s="4">
        <v>3.68409437130838E-3</v>
      </c>
      <c r="E996" s="3" t="s">
        <v>13561</v>
      </c>
      <c r="F996" s="3" t="s">
        <v>13562</v>
      </c>
      <c r="G996" s="3">
        <v>18782</v>
      </c>
      <c r="H996" s="7" t="str">
        <f>HYPERLINK("http://www.ensembl.org/Mus_musculus/Gene/Summary?db=core;g=ENSMUSG00000041202","ENSMUSG00000041202")</f>
        <v>ENSMUSG00000041202</v>
      </c>
      <c r="I996" s="7" t="str">
        <f>HYPERLINK("http://www.informatics.jax.org/marker/MGI:1341796","MGI:1341796")</f>
        <v>MGI:1341796</v>
      </c>
      <c r="J996" s="4" t="s">
        <v>12</v>
      </c>
    </row>
    <row r="997" spans="1:10" x14ac:dyDescent="0.25">
      <c r="A997" s="2">
        <v>19.585456798996699</v>
      </c>
      <c r="B997" s="3">
        <v>1.3467361484723599</v>
      </c>
      <c r="C997" s="5">
        <v>3.6775520456727398E-7</v>
      </c>
      <c r="D997" s="6">
        <v>1.5896827343416601E-6</v>
      </c>
      <c r="E997" s="3" t="s">
        <v>9139</v>
      </c>
      <c r="F997" s="3" t="s">
        <v>9140</v>
      </c>
      <c r="G997" s="3">
        <v>12228</v>
      </c>
      <c r="H997" s="7" t="str">
        <f>HYPERLINK("http://www.ensembl.org/Mus_musculus/Gene/Summary?db=core;g=ENSMUSG00000022863","ENSMUSG00000022863")</f>
        <v>ENSMUSG00000022863</v>
      </c>
      <c r="I997" s="7" t="str">
        <f>HYPERLINK("http://www.informatics.jax.org/marker/MGI:109532","MGI:109532")</f>
        <v>MGI:109532</v>
      </c>
      <c r="J997" s="4" t="s">
        <v>12</v>
      </c>
    </row>
    <row r="998" spans="1:10" x14ac:dyDescent="0.25">
      <c r="A998" s="2">
        <v>5140.3805778419401</v>
      </c>
      <c r="B998" s="3">
        <v>1.34456495827797</v>
      </c>
      <c r="C998" s="5">
        <v>1.2401278902292701E-65</v>
      </c>
      <c r="D998" s="6">
        <v>5.1702583499622103E-64</v>
      </c>
      <c r="E998" s="3" t="s">
        <v>960</v>
      </c>
      <c r="F998" s="3" t="s">
        <v>961</v>
      </c>
      <c r="G998" s="3">
        <v>215449</v>
      </c>
      <c r="H998" s="7" t="str">
        <f>HYPERLINK("http://www.ensembl.org/Mus_musculus/Gene/Summary?db=core;g=ENSMUSG00000052681","ENSMUSG00000052681")</f>
        <v>ENSMUSG00000052681</v>
      </c>
      <c r="I998" s="7" t="str">
        <f>HYPERLINK("http://www.informatics.jax.org/marker/MGI:894315","MGI:894315")</f>
        <v>MGI:894315</v>
      </c>
      <c r="J998" s="4" t="s">
        <v>12</v>
      </c>
    </row>
    <row r="999" spans="1:10" x14ac:dyDescent="0.25">
      <c r="A999" s="2">
        <v>234.65969323234501</v>
      </c>
      <c r="B999" s="3">
        <v>1.34403511336772</v>
      </c>
      <c r="C999" s="5">
        <v>2.3495102402032399E-37</v>
      </c>
      <c r="D999" s="6">
        <v>4.4126039939817003E-36</v>
      </c>
      <c r="E999" s="3" t="s">
        <v>2117</v>
      </c>
      <c r="F999" s="3" t="s">
        <v>2118</v>
      </c>
      <c r="G999" s="3">
        <v>67876</v>
      </c>
      <c r="H999" s="7" t="str">
        <f>HYPERLINK("http://www.ensembl.org/Mus_musculus/Gene/Summary?db=core;g=ENSMUSG00000025981","ENSMUSG00000025981")</f>
        <v>ENSMUSG00000025981</v>
      </c>
      <c r="I999" s="7" t="str">
        <f>HYPERLINK("http://www.informatics.jax.org/marker/MGI:1915126","MGI:1915126")</f>
        <v>MGI:1915126</v>
      </c>
      <c r="J999" s="4" t="s">
        <v>12</v>
      </c>
    </row>
    <row r="1000" spans="1:10" x14ac:dyDescent="0.25">
      <c r="A1000" s="2">
        <v>10.797322920512601</v>
      </c>
      <c r="B1000" s="3">
        <v>1.34193740721822</v>
      </c>
      <c r="C1000" s="5">
        <v>2.8660837691894499E-5</v>
      </c>
      <c r="D1000" s="4">
        <v>1.02575629634149E-4</v>
      </c>
      <c r="E1000" s="3" t="s">
        <v>11032</v>
      </c>
      <c r="F1000" s="3" t="s">
        <v>11033</v>
      </c>
      <c r="G1000" s="3">
        <v>435653</v>
      </c>
      <c r="H1000" s="7" t="str">
        <f>HYPERLINK("http://www.ensembl.org/Mus_musculus/Gene/Summary?db=core;g=ENSMUSG00000070524","ENSMUSG00000070524")</f>
        <v>ENSMUSG00000070524</v>
      </c>
      <c r="I1000" s="7" t="str">
        <f>HYPERLINK("http://www.informatics.jax.org/marker/MGI:3576487","MGI:3576487")</f>
        <v>MGI:3576487</v>
      </c>
      <c r="J1000" s="4" t="s">
        <v>12</v>
      </c>
    </row>
    <row r="1001" spans="1:10" x14ac:dyDescent="0.25">
      <c r="A1001" s="2">
        <v>679.22556358941699</v>
      </c>
      <c r="B1001" s="3">
        <v>1.3409534263461</v>
      </c>
      <c r="C1001" s="5">
        <v>6.2653491467896402E-50</v>
      </c>
      <c r="D1001" s="6">
        <v>1.6855755139794201E-48</v>
      </c>
      <c r="E1001" s="3" t="s">
        <v>1482</v>
      </c>
      <c r="F1001" s="3" t="s">
        <v>1483</v>
      </c>
      <c r="G1001" s="3">
        <v>66282</v>
      </c>
      <c r="H1001" s="7" t="str">
        <f>HYPERLINK("http://www.ensembl.org/Mus_musculus/Gene/Summary?db=core;g=ENSMUSG00000025591","ENSMUSG00000025591")</f>
        <v>ENSMUSG00000025591</v>
      </c>
      <c r="I1001" s="7" t="str">
        <f>HYPERLINK("http://www.informatics.jax.org/marker/MGI:1913532","MGI:1913532")</f>
        <v>MGI:1913532</v>
      </c>
      <c r="J1001" s="4" t="s">
        <v>12</v>
      </c>
    </row>
    <row r="1002" spans="1:10" x14ac:dyDescent="0.25">
      <c r="A1002" s="2">
        <v>1.6539659909551201</v>
      </c>
      <c r="B1002" s="3">
        <v>1.3409407729996401</v>
      </c>
      <c r="C1002" s="3">
        <v>4.3415078320951503E-3</v>
      </c>
      <c r="D1002" s="4">
        <v>1.16150501219531E-2</v>
      </c>
      <c r="E1002" s="3" t="s">
        <v>14746</v>
      </c>
      <c r="F1002" s="3" t="s">
        <v>14747</v>
      </c>
      <c r="G1002" s="3">
        <v>242851</v>
      </c>
      <c r="H1002" s="7" t="str">
        <f>HYPERLINK("http://www.ensembl.org/Mus_musculus/Gene/Summary?db=core;g=ENSMUSG00000028777","ENSMUSG00000028777")</f>
        <v>ENSMUSG00000028777</v>
      </c>
      <c r="I1002" s="7" t="str">
        <f>HYPERLINK("http://www.informatics.jax.org/marker/MGI:3588268","MGI:3588268")</f>
        <v>MGI:3588268</v>
      </c>
      <c r="J1002" s="4" t="s">
        <v>12</v>
      </c>
    </row>
    <row r="1003" spans="1:10" x14ac:dyDescent="0.25">
      <c r="A1003" s="2">
        <v>594.93803322845497</v>
      </c>
      <c r="B1003" s="3">
        <v>1.34059307363171</v>
      </c>
      <c r="C1003" s="5">
        <v>1.6883851136362599E-52</v>
      </c>
      <c r="D1003" s="6">
        <v>4.8534919010068699E-51</v>
      </c>
      <c r="E1003" s="3" t="s">
        <v>1388</v>
      </c>
      <c r="F1003" s="3" t="s">
        <v>1389</v>
      </c>
      <c r="G1003" s="3">
        <v>80751</v>
      </c>
      <c r="H1003" s="7" t="str">
        <f>HYPERLINK("http://www.ensembl.org/Mus_musculus/Gene/Summary?db=core;g=ENSMUSG00000029474","ENSMUSG00000029474")</f>
        <v>ENSMUSG00000029474</v>
      </c>
      <c r="I1003" s="7" t="str">
        <f>HYPERLINK("http://www.informatics.jax.org/marker/MGI:2153340","MGI:2153340")</f>
        <v>MGI:2153340</v>
      </c>
      <c r="J1003" s="4" t="s">
        <v>12</v>
      </c>
    </row>
    <row r="1004" spans="1:10" x14ac:dyDescent="0.25">
      <c r="A1004" s="2">
        <v>1.2543926033484301</v>
      </c>
      <c r="B1004" s="3">
        <v>1.3392964622644301</v>
      </c>
      <c r="C1004" s="3">
        <v>3.6996883236250699E-3</v>
      </c>
      <c r="D1004" s="4">
        <v>1.0017555092940601E-2</v>
      </c>
      <c r="E1004" s="3" t="s">
        <v>14569</v>
      </c>
      <c r="F1004" s="3" t="s">
        <v>14570</v>
      </c>
      <c r="G1004" s="3" t="s">
        <v>83</v>
      </c>
      <c r="H1004" s="7" t="str">
        <f>HYPERLINK("http://www.ensembl.org/Mus_musculus/Gene/Summary?db=core;g=ENSMUSG00000107750","ENSMUSG00000107750")</f>
        <v>ENSMUSG00000107750</v>
      </c>
      <c r="I1004" s="7" t="str">
        <f>HYPERLINK("http://www.informatics.jax.org/marker/MGI:5690405","MGI:5690405")</f>
        <v>MGI:5690405</v>
      </c>
      <c r="J1004" s="4" t="s">
        <v>1828</v>
      </c>
    </row>
    <row r="1005" spans="1:10" x14ac:dyDescent="0.25">
      <c r="A1005" s="2">
        <v>127.871830033278</v>
      </c>
      <c r="B1005" s="3">
        <v>1.3381172521585201</v>
      </c>
      <c r="C1005" s="5">
        <v>1.29884099330095E-26</v>
      </c>
      <c r="D1005" s="6">
        <v>1.6917532620802299E-25</v>
      </c>
      <c r="E1005" s="3" t="s">
        <v>3046</v>
      </c>
      <c r="F1005" s="3" t="s">
        <v>3047</v>
      </c>
      <c r="G1005" s="3">
        <v>15200</v>
      </c>
      <c r="H1005" s="7" t="str">
        <f>HYPERLINK("http://www.ensembl.org/Mus_musculus/Gene/Summary?db=core;g=ENSMUSG00000024486","ENSMUSG00000024486")</f>
        <v>ENSMUSG00000024486</v>
      </c>
      <c r="I1005" s="7" t="str">
        <f>HYPERLINK("http://www.informatics.jax.org/marker/MGI:96070","MGI:96070")</f>
        <v>MGI:96070</v>
      </c>
      <c r="J1005" s="4" t="s">
        <v>12</v>
      </c>
    </row>
    <row r="1006" spans="1:10" x14ac:dyDescent="0.25">
      <c r="A1006" s="2">
        <v>854.71750759718896</v>
      </c>
      <c r="B1006" s="3">
        <v>1.33672967063593</v>
      </c>
      <c r="C1006" s="5">
        <v>1.6594627831518401E-51</v>
      </c>
      <c r="D1006" s="6">
        <v>4.6221195033551401E-50</v>
      </c>
      <c r="E1006" s="3" t="s">
        <v>1432</v>
      </c>
      <c r="F1006" s="3" t="s">
        <v>1433</v>
      </c>
      <c r="G1006" s="3">
        <v>320292</v>
      </c>
      <c r="H1006" s="7" t="str">
        <f>HYPERLINK("http://www.ensembl.org/Mus_musculus/Gene/Summary?db=core;g=ENSMUSG00000089809","ENSMUSG00000089809")</f>
        <v>ENSMUSG00000089809</v>
      </c>
      <c r="I1006" s="7" t="str">
        <f>HYPERLINK("http://www.informatics.jax.org/marker/MGI:2443755","MGI:2443755")</f>
        <v>MGI:2443755</v>
      </c>
      <c r="J1006" s="4" t="s">
        <v>12</v>
      </c>
    </row>
    <row r="1007" spans="1:10" x14ac:dyDescent="0.25">
      <c r="A1007" s="2">
        <v>10.562393103711299</v>
      </c>
      <c r="B1007" s="3">
        <v>1.3358127494076</v>
      </c>
      <c r="C1007" s="3">
        <v>3.27643788753788E-4</v>
      </c>
      <c r="D1007" s="4">
        <v>1.03295531802153E-3</v>
      </c>
      <c r="E1007" s="3" t="s">
        <v>12523</v>
      </c>
      <c r="F1007" s="3" t="s">
        <v>12524</v>
      </c>
      <c r="G1007" s="3" t="s">
        <v>83</v>
      </c>
      <c r="H1007" s="7" t="str">
        <f>HYPERLINK("http://www.ensembl.org/Mus_musculus/Gene/Summary?db=core;g=ENSMUSG00000089525","ENSMUSG00000089525")</f>
        <v>ENSMUSG00000089525</v>
      </c>
      <c r="I1007" s="7" t="str">
        <f>HYPERLINK("http://www.informatics.jax.org/marker/MGI:5453610","MGI:5453610")</f>
        <v>MGI:5453610</v>
      </c>
      <c r="J1007" s="4" t="s">
        <v>9951</v>
      </c>
    </row>
    <row r="1008" spans="1:10" x14ac:dyDescent="0.25">
      <c r="A1008" s="2">
        <v>1619.31225188028</v>
      </c>
      <c r="B1008" s="3">
        <v>1.33400494220308</v>
      </c>
      <c r="C1008" s="5">
        <v>5.0242102246632202E-74</v>
      </c>
      <c r="D1008" s="6">
        <v>2.4893825535266002E-72</v>
      </c>
      <c r="E1008" s="3" t="s">
        <v>808</v>
      </c>
      <c r="F1008" s="3" t="s">
        <v>809</v>
      </c>
      <c r="G1008" s="3">
        <v>71982</v>
      </c>
      <c r="H1008" s="7" t="str">
        <f>HYPERLINK("http://www.ensembl.org/Mus_musculus/Gene/Summary?db=core;g=ENSMUSG00000038301","ENSMUSG00000038301")</f>
        <v>ENSMUSG00000038301</v>
      </c>
      <c r="I1008" s="7" t="str">
        <f>HYPERLINK("http://www.informatics.jax.org/marker/MGI:1919232","MGI:1919232")</f>
        <v>MGI:1919232</v>
      </c>
      <c r="J1008" s="4" t="s">
        <v>12</v>
      </c>
    </row>
    <row r="1009" spans="1:10" x14ac:dyDescent="0.25">
      <c r="A1009" s="2">
        <v>24.198498529633</v>
      </c>
      <c r="B1009" s="3">
        <v>1.3327739754445</v>
      </c>
      <c r="C1009" s="5">
        <v>9.2595466103009897E-7</v>
      </c>
      <c r="D1009" s="6">
        <v>3.8417475101017301E-6</v>
      </c>
      <c r="E1009" s="3" t="s">
        <v>9521</v>
      </c>
      <c r="F1009" s="3" t="s">
        <v>9522</v>
      </c>
      <c r="G1009" s="3">
        <v>319164</v>
      </c>
      <c r="H1009" s="7" t="str">
        <f>HYPERLINK("http://www.ensembl.org/Mus_musculus/Gene/Summary?db=core;g=ENSMUSG00000069270","ENSMUSG00000069270")</f>
        <v>ENSMUSG00000069270</v>
      </c>
      <c r="I1009" s="7" t="str">
        <f>HYPERLINK("http://www.informatics.jax.org/marker/MGI:2448287","MGI:2448287")</f>
        <v>MGI:2448287</v>
      </c>
      <c r="J1009" s="4" t="s">
        <v>12</v>
      </c>
    </row>
    <row r="1010" spans="1:10" x14ac:dyDescent="0.25">
      <c r="A1010" s="2">
        <v>5.3980842741570498</v>
      </c>
      <c r="B1010" s="3">
        <v>1.3308701867805</v>
      </c>
      <c r="C1010" s="3">
        <v>1.1516705338848699E-3</v>
      </c>
      <c r="D1010" s="4">
        <v>3.3670782695640598E-3</v>
      </c>
      <c r="E1010" s="3" t="s">
        <v>13499</v>
      </c>
      <c r="F1010" s="3" t="s">
        <v>13500</v>
      </c>
      <c r="G1010" s="3" t="s">
        <v>83</v>
      </c>
      <c r="H1010" s="7" t="str">
        <f>HYPERLINK("http://www.ensembl.org/Mus_musculus/Gene/Summary?db=core;g=ENSMUSG00000111720","ENSMUSG00000111720")</f>
        <v>ENSMUSG00000111720</v>
      </c>
      <c r="I1010" s="7" t="str">
        <f>HYPERLINK("http://www.informatics.jax.org/marker/MGI:5622344","MGI:5622344")</f>
        <v>MGI:5622344</v>
      </c>
      <c r="J1010" s="4" t="s">
        <v>939</v>
      </c>
    </row>
    <row r="1011" spans="1:10" x14ac:dyDescent="0.25">
      <c r="A1011" s="2">
        <v>3.0034982894865498</v>
      </c>
      <c r="B1011" s="3">
        <v>1.3298750225443401</v>
      </c>
      <c r="C1011" s="3">
        <v>4.4067318793152904E-3</v>
      </c>
      <c r="D1011" s="4">
        <v>1.1767197381191301E-2</v>
      </c>
      <c r="E1011" s="3" t="s">
        <v>14774</v>
      </c>
      <c r="F1011" s="3" t="s">
        <v>14775</v>
      </c>
      <c r="G1011" s="3">
        <v>319930</v>
      </c>
      <c r="H1011" s="7" t="str">
        <f>HYPERLINK("http://www.ensembl.org/Mus_musculus/Gene/Summary?db=core;g=ENSMUSG00000049848","ENSMUSG00000049848")</f>
        <v>ENSMUSG00000049848</v>
      </c>
      <c r="I1011" s="7" t="str">
        <f>HYPERLINK("http://www.informatics.jax.org/marker/MGI:2443001","MGI:2443001")</f>
        <v>MGI:2443001</v>
      </c>
      <c r="J1011" s="4" t="s">
        <v>12</v>
      </c>
    </row>
    <row r="1012" spans="1:10" x14ac:dyDescent="0.25">
      <c r="A1012" s="2">
        <v>0.83361659427085799</v>
      </c>
      <c r="B1012" s="3">
        <v>1.32821275440186</v>
      </c>
      <c r="C1012" s="3">
        <v>1.8471025269782501E-3</v>
      </c>
      <c r="D1012" s="4">
        <v>5.2394795500591397E-3</v>
      </c>
      <c r="E1012" s="3" t="s">
        <v>13911</v>
      </c>
      <c r="F1012" s="3" t="s">
        <v>13912</v>
      </c>
      <c r="G1012" s="3" t="s">
        <v>83</v>
      </c>
      <c r="H1012" s="7" t="str">
        <f>HYPERLINK("http://www.ensembl.org/Mus_musculus/Gene/Summary?db=core;g=ENSMUSG00000064859","ENSMUSG00000064859")</f>
        <v>ENSMUSG00000064859</v>
      </c>
      <c r="I1012" s="7" t="str">
        <f>HYPERLINK("http://www.informatics.jax.org/marker/MGI:5454301","MGI:5454301")</f>
        <v>MGI:5454301</v>
      </c>
      <c r="J1012" s="4" t="s">
        <v>13342</v>
      </c>
    </row>
    <row r="1013" spans="1:10" x14ac:dyDescent="0.25">
      <c r="A1013" s="2">
        <v>605.13046051431797</v>
      </c>
      <c r="B1013" s="3">
        <v>1.32804219976057</v>
      </c>
      <c r="C1013" s="5">
        <v>1.8976813610949801E-28</v>
      </c>
      <c r="D1013" s="6">
        <v>2.6484272074163499E-27</v>
      </c>
      <c r="E1013" s="3" t="s">
        <v>2844</v>
      </c>
      <c r="F1013" s="3" t="s">
        <v>2845</v>
      </c>
      <c r="G1013" s="3">
        <v>16452</v>
      </c>
      <c r="H1013" s="7" t="str">
        <f>HYPERLINK("http://www.ensembl.org/Mus_musculus/Gene/Summary?db=core;g=ENSMUSG00000024789","ENSMUSG00000024789")</f>
        <v>ENSMUSG00000024789</v>
      </c>
      <c r="I1013" s="7" t="str">
        <f>HYPERLINK("http://www.informatics.jax.org/marker/MGI:96629","MGI:96629")</f>
        <v>MGI:96629</v>
      </c>
      <c r="J1013" s="4" t="s">
        <v>12</v>
      </c>
    </row>
    <row r="1014" spans="1:10" x14ac:dyDescent="0.25">
      <c r="A1014" s="2">
        <v>1.8375242729158101</v>
      </c>
      <c r="B1014" s="3">
        <v>1.3280266958773499</v>
      </c>
      <c r="C1014" s="3">
        <v>4.80072543801936E-3</v>
      </c>
      <c r="D1014" s="4">
        <v>1.27279249311296E-2</v>
      </c>
      <c r="E1014" s="3" t="s">
        <v>14880</v>
      </c>
      <c r="F1014" s="3" t="s">
        <v>14881</v>
      </c>
      <c r="G1014" s="3" t="s">
        <v>83</v>
      </c>
      <c r="H1014" s="7" t="str">
        <f>HYPERLINK("http://www.ensembl.org/Mus_musculus/Gene/Summary?db=core;g=ENSMUSG00000106478","ENSMUSG00000106478")</f>
        <v>ENSMUSG00000106478</v>
      </c>
      <c r="I1014" s="7" t="str">
        <f>HYPERLINK("http://www.informatics.jax.org/marker/MGI:5595710","MGI:5595710")</f>
        <v>MGI:5595710</v>
      </c>
      <c r="J1014" s="4" t="s">
        <v>932</v>
      </c>
    </row>
    <row r="1015" spans="1:10" x14ac:dyDescent="0.25">
      <c r="A1015" s="2">
        <v>2133.6012755102502</v>
      </c>
      <c r="B1015" s="3">
        <v>1.32749731405522</v>
      </c>
      <c r="C1015" s="5">
        <v>6.9516145522677299E-51</v>
      </c>
      <c r="D1015" s="6">
        <v>1.9013292506341102E-49</v>
      </c>
      <c r="E1015" s="3" t="s">
        <v>1458</v>
      </c>
      <c r="F1015" s="3" t="s">
        <v>1459</v>
      </c>
      <c r="G1015" s="3">
        <v>16477</v>
      </c>
      <c r="H1015" s="7" t="str">
        <f>HYPERLINK("http://www.ensembl.org/Mus_musculus/Gene/Summary?db=core;g=ENSMUSG00000052837","ENSMUSG00000052837")</f>
        <v>ENSMUSG00000052837</v>
      </c>
      <c r="I1015" s="7" t="str">
        <f>HYPERLINK("http://www.informatics.jax.org/marker/MGI:96647","MGI:96647")</f>
        <v>MGI:96647</v>
      </c>
      <c r="J1015" s="4" t="s">
        <v>12</v>
      </c>
    </row>
    <row r="1016" spans="1:10" x14ac:dyDescent="0.25">
      <c r="A1016" s="2">
        <v>24.388659582235</v>
      </c>
      <c r="B1016" s="3">
        <v>1.32406090327356</v>
      </c>
      <c r="C1016" s="5">
        <v>1.8238059842959099E-7</v>
      </c>
      <c r="D1016" s="6">
        <v>8.1021522888748E-7</v>
      </c>
      <c r="E1016" s="3" t="s">
        <v>8895</v>
      </c>
      <c r="F1016" s="3" t="s">
        <v>8896</v>
      </c>
      <c r="G1016" s="3">
        <v>72230</v>
      </c>
      <c r="H1016" s="7" t="str">
        <f>HYPERLINK("http://www.ensembl.org/Mus_musculus/Gene/Summary?db=core;g=ENSMUSG00000074500","ENSMUSG00000074500")</f>
        <v>ENSMUSG00000074500</v>
      </c>
      <c r="I1016" s="7" t="str">
        <f>HYPERLINK("http://www.informatics.jax.org/marker/MGI:1921681","MGI:1921681")</f>
        <v>MGI:1921681</v>
      </c>
      <c r="J1016" s="4" t="s">
        <v>12</v>
      </c>
    </row>
    <row r="1017" spans="1:10" x14ac:dyDescent="0.25">
      <c r="A1017" s="2">
        <v>15.9356890201044</v>
      </c>
      <c r="B1017" s="3">
        <v>1.3240260164981901</v>
      </c>
      <c r="C1017" s="5">
        <v>9.3363316194625405E-6</v>
      </c>
      <c r="D1017" s="6">
        <v>3.5035672604338998E-5</v>
      </c>
      <c r="E1017" s="3" t="s">
        <v>10524</v>
      </c>
      <c r="F1017" s="3" t="s">
        <v>10525</v>
      </c>
      <c r="G1017" s="3">
        <v>619297</v>
      </c>
      <c r="H1017" s="7" t="str">
        <f>HYPERLINK("http://www.ensembl.org/Mus_musculus/Gene/Summary?db=core;g=ENSMUSG00000108900","ENSMUSG00000108900")</f>
        <v>ENSMUSG00000108900</v>
      </c>
      <c r="I1017" s="7" t="str">
        <f>HYPERLINK("http://www.informatics.jax.org/marker/MGI:3588239","MGI:3588239")</f>
        <v>MGI:3588239</v>
      </c>
      <c r="J1017" s="4" t="s">
        <v>12</v>
      </c>
    </row>
    <row r="1018" spans="1:10" x14ac:dyDescent="0.25">
      <c r="A1018" s="2">
        <v>201.79188303247199</v>
      </c>
      <c r="B1018" s="3">
        <v>1.3213600255301801</v>
      </c>
      <c r="C1018" s="5">
        <v>3.2776287383880702E-8</v>
      </c>
      <c r="D1018" s="6">
        <v>1.5473985808238601E-7</v>
      </c>
      <c r="E1018" s="3" t="s">
        <v>8371</v>
      </c>
      <c r="F1018" s="3" t="s">
        <v>8372</v>
      </c>
      <c r="G1018" s="3" t="s">
        <v>83</v>
      </c>
      <c r="H1018" s="7" t="str">
        <f>HYPERLINK("http://www.ensembl.org/Mus_musculus/Gene/Summary?db=core;g=ENSMUSG00000093264","ENSMUSG00000093264")</f>
        <v>ENSMUSG00000093264</v>
      </c>
      <c r="I1018" s="7" t="str">
        <f>HYPERLINK("http://www.informatics.jax.org/marker/MGI:5453196","MGI:5453196")</f>
        <v>MGI:5453196</v>
      </c>
      <c r="J1018" s="4" t="s">
        <v>6715</v>
      </c>
    </row>
    <row r="1019" spans="1:10" x14ac:dyDescent="0.25">
      <c r="A1019" s="2">
        <v>1597.1505549337901</v>
      </c>
      <c r="B1019" s="3">
        <v>1.3204067107642701</v>
      </c>
      <c r="C1019" s="5">
        <v>3.9275342824465002E-119</v>
      </c>
      <c r="D1019" s="6">
        <v>4.5292968450201801E-117</v>
      </c>
      <c r="E1019" s="3" t="s">
        <v>354</v>
      </c>
      <c r="F1019" s="3" t="s">
        <v>355</v>
      </c>
      <c r="G1019" s="3">
        <v>239393</v>
      </c>
      <c r="H1019" s="7" t="str">
        <f>HYPERLINK("http://www.ensembl.org/Mus_musculus/Gene/Summary?db=core;g=ENSMUSG00000022305","ENSMUSG00000022305")</f>
        <v>ENSMUSG00000022305</v>
      </c>
      <c r="I1019" s="7" t="str">
        <f>HYPERLINK("http://www.informatics.jax.org/marker/MGI:2443132","MGI:2443132")</f>
        <v>MGI:2443132</v>
      </c>
      <c r="J1019" s="4" t="s">
        <v>12</v>
      </c>
    </row>
    <row r="1020" spans="1:10" x14ac:dyDescent="0.25">
      <c r="A1020" s="2">
        <v>880.12745152298601</v>
      </c>
      <c r="B1020" s="3">
        <v>1.3181087391693</v>
      </c>
      <c r="C1020" s="5">
        <v>1.0401932470862001E-25</v>
      </c>
      <c r="D1020" s="6">
        <v>1.3098729778122499E-24</v>
      </c>
      <c r="E1020" s="3" t="s">
        <v>3151</v>
      </c>
      <c r="F1020" s="3" t="s">
        <v>3152</v>
      </c>
      <c r="G1020" s="3">
        <v>11770</v>
      </c>
      <c r="H1020" s="7" t="str">
        <f>HYPERLINK("http://www.ensembl.org/Mus_musculus/Gene/Summary?db=core;g=ENSMUSG00000062515","ENSMUSG00000062515")</f>
        <v>ENSMUSG00000062515</v>
      </c>
      <c r="I1020" s="7" t="str">
        <f>HYPERLINK("http://www.informatics.jax.org/marker/MGI:88038","MGI:88038")</f>
        <v>MGI:88038</v>
      </c>
      <c r="J1020" s="4" t="s">
        <v>12</v>
      </c>
    </row>
    <row r="1021" spans="1:10" x14ac:dyDescent="0.25">
      <c r="A1021" s="2">
        <v>1849.21297680983</v>
      </c>
      <c r="B1021" s="3">
        <v>1.31782836276527</v>
      </c>
      <c r="C1021" s="5">
        <v>1.4544825063885199E-35</v>
      </c>
      <c r="D1021" s="6">
        <v>2.5701070811811501E-34</v>
      </c>
      <c r="E1021" s="3" t="s">
        <v>2249</v>
      </c>
      <c r="F1021" s="3" t="s">
        <v>2250</v>
      </c>
      <c r="G1021" s="3">
        <v>223693</v>
      </c>
      <c r="H1021" s="7" t="str">
        <f>HYPERLINK("http://www.ensembl.org/Mus_musculus/Gene/Summary?db=core;g=ENSMUSG00000009035","ENSMUSG00000009035")</f>
        <v>ENSMUSG00000009035</v>
      </c>
      <c r="I1021" s="7" t="str">
        <f>HYPERLINK("http://www.informatics.jax.org/marker/MGI:2445179","MGI:2445179")</f>
        <v>MGI:2445179</v>
      </c>
      <c r="J1021" s="4" t="s">
        <v>12</v>
      </c>
    </row>
    <row r="1022" spans="1:10" x14ac:dyDescent="0.25">
      <c r="A1022" s="2">
        <v>2.4098214892437402</v>
      </c>
      <c r="B1022" s="3">
        <v>1.3165906145324999</v>
      </c>
      <c r="C1022" s="3">
        <v>4.8046402803388301E-3</v>
      </c>
      <c r="D1022" s="4">
        <v>1.2734879882833601E-2</v>
      </c>
      <c r="E1022" s="3" t="s">
        <v>14882</v>
      </c>
      <c r="F1022" s="3" t="s">
        <v>14883</v>
      </c>
      <c r="G1022" s="3">
        <v>69187</v>
      </c>
      <c r="H1022" s="7" t="str">
        <f>HYPERLINK("http://www.ensembl.org/Mus_musculus/Gene/Summary?db=core;g=ENSMUSG00000030219","ENSMUSG00000030219")</f>
        <v>ENSMUSG00000030219</v>
      </c>
      <c r="I1022" s="7" t="str">
        <f>HYPERLINK("http://www.informatics.jax.org/marker/MGI:1916437","MGI:1916437")</f>
        <v>MGI:1916437</v>
      </c>
      <c r="J1022" s="4" t="s">
        <v>12</v>
      </c>
    </row>
    <row r="1023" spans="1:10" x14ac:dyDescent="0.25">
      <c r="A1023" s="2">
        <v>4.91851898911868</v>
      </c>
      <c r="B1023" s="3">
        <v>1.3163059991567601</v>
      </c>
      <c r="C1023" s="3">
        <v>1.2856872430904E-3</v>
      </c>
      <c r="D1023" s="4">
        <v>3.7367358045309598E-3</v>
      </c>
      <c r="E1023" s="3" t="s">
        <v>13579</v>
      </c>
      <c r="F1023" s="3" t="s">
        <v>13580</v>
      </c>
      <c r="G1023" s="3" t="s">
        <v>83</v>
      </c>
      <c r="H1023" s="7" t="str">
        <f>HYPERLINK("http://www.ensembl.org/Mus_musculus/Gene/Summary?db=core;g=ENSMUSG00000091510","ENSMUSG00000091510")</f>
        <v>ENSMUSG00000091510</v>
      </c>
      <c r="I1023" s="7" t="str">
        <f>HYPERLINK("http://www.informatics.jax.org/marker/MGI:1860766","MGI:1860766")</f>
        <v>MGI:1860766</v>
      </c>
      <c r="J1023" s="4" t="s">
        <v>932</v>
      </c>
    </row>
    <row r="1024" spans="1:10" x14ac:dyDescent="0.25">
      <c r="A1024" s="2">
        <v>391.45271436503998</v>
      </c>
      <c r="B1024" s="3">
        <v>1.3157275877903101</v>
      </c>
      <c r="C1024" s="5">
        <v>5.4869772400490104E-28</v>
      </c>
      <c r="D1024" s="6">
        <v>7.4881101158315893E-27</v>
      </c>
      <c r="E1024" s="3" t="s">
        <v>2908</v>
      </c>
      <c r="F1024" s="3" t="s">
        <v>2909</v>
      </c>
      <c r="G1024" s="3">
        <v>214922</v>
      </c>
      <c r="H1024" s="7" t="str">
        <f>HYPERLINK("http://www.ensembl.org/Mus_musculus/Gene/Summary?db=core;g=ENSMUSG00000072572","ENSMUSG00000072572")</f>
        <v>ENSMUSG00000072572</v>
      </c>
      <c r="I1024" s="7" t="str">
        <f>HYPERLINK("http://www.informatics.jax.org/marker/MGI:2684326","MGI:2684326")</f>
        <v>MGI:2684326</v>
      </c>
      <c r="J1024" s="4" t="s">
        <v>12</v>
      </c>
    </row>
    <row r="1025" spans="1:10" x14ac:dyDescent="0.25">
      <c r="A1025" s="2">
        <v>3.3338643647475799</v>
      </c>
      <c r="B1025" s="3">
        <v>1.31504251682128</v>
      </c>
      <c r="C1025" s="3">
        <v>3.0077491204277499E-3</v>
      </c>
      <c r="D1025" s="4">
        <v>8.2378906465048803E-3</v>
      </c>
      <c r="E1025" s="3" t="s">
        <v>14405</v>
      </c>
      <c r="F1025" s="3" t="s">
        <v>14406</v>
      </c>
      <c r="G1025" s="3" t="s">
        <v>83</v>
      </c>
      <c r="H1025" s="7" t="str">
        <f>HYPERLINK("http://www.ensembl.org/Mus_musculus/Gene/Summary?db=core;g=ENSMUSG00000053957","ENSMUSG00000053957")</f>
        <v>ENSMUSG00000053957</v>
      </c>
      <c r="I1025" s="7" t="str">
        <f>HYPERLINK("http://www.informatics.jax.org/marker/MGI:3649378","MGI:3649378")</f>
        <v>MGI:3649378</v>
      </c>
      <c r="J1025" s="4" t="s">
        <v>939</v>
      </c>
    </row>
    <row r="1026" spans="1:10" x14ac:dyDescent="0.25">
      <c r="A1026" s="2">
        <v>41.690762185429698</v>
      </c>
      <c r="B1026" s="3">
        <v>1.3127378976153701</v>
      </c>
      <c r="C1026" s="5">
        <v>1.0927881184068E-12</v>
      </c>
      <c r="D1026" s="6">
        <v>7.3124471309745607E-12</v>
      </c>
      <c r="E1026" s="3" t="s">
        <v>5911</v>
      </c>
      <c r="F1026" s="3" t="s">
        <v>5912</v>
      </c>
      <c r="G1026" s="3" t="s">
        <v>83</v>
      </c>
      <c r="H1026" s="7" t="str">
        <f>HYPERLINK("http://www.ensembl.org/Mus_musculus/Gene/Summary?db=core;g=ENSMUSG00000117575","ENSMUSG00000117575")</f>
        <v>ENSMUSG00000117575</v>
      </c>
      <c r="I1026" s="7" t="str">
        <f>HYPERLINK("http://www.informatics.jax.org/marker/MGI:5595645","MGI:5595645")</f>
        <v>MGI:5595645</v>
      </c>
      <c r="J1026" s="4" t="s">
        <v>331</v>
      </c>
    </row>
    <row r="1027" spans="1:10" x14ac:dyDescent="0.25">
      <c r="A1027" s="2">
        <v>4.3643887420715197</v>
      </c>
      <c r="B1027" s="3">
        <v>1.31197571901398</v>
      </c>
      <c r="C1027" s="3">
        <v>1.2952594684394901E-3</v>
      </c>
      <c r="D1027" s="4">
        <v>3.76012317350606E-3</v>
      </c>
      <c r="E1027" s="3" t="s">
        <v>13595</v>
      </c>
      <c r="F1027" s="3" t="s">
        <v>13596</v>
      </c>
      <c r="G1027" s="3" t="s">
        <v>83</v>
      </c>
      <c r="H1027" s="7" t="str">
        <f>HYPERLINK("http://www.ensembl.org/Mus_musculus/Gene/Summary?db=core;g=ENSMUSG00000107374","ENSMUSG00000107374")</f>
        <v>ENSMUSG00000107374</v>
      </c>
      <c r="I1027" s="7" t="str">
        <f>HYPERLINK("http://www.informatics.jax.org/marker/MGI:5663309","MGI:5663309")</f>
        <v>MGI:5663309</v>
      </c>
      <c r="J1027" s="4" t="s">
        <v>1828</v>
      </c>
    </row>
    <row r="1028" spans="1:10" x14ac:dyDescent="0.25">
      <c r="A1028" s="2">
        <v>661.60750659578196</v>
      </c>
      <c r="B1028" s="3">
        <v>1.3098403567716099</v>
      </c>
      <c r="C1028" s="5">
        <v>2.9185932089838799E-82</v>
      </c>
      <c r="D1028" s="6">
        <v>1.7763783358383301E-80</v>
      </c>
      <c r="E1028" s="3" t="s">
        <v>660</v>
      </c>
      <c r="F1028" s="3" t="s">
        <v>661</v>
      </c>
      <c r="G1028" s="3">
        <v>67123</v>
      </c>
      <c r="H1028" s="7" t="str">
        <f>HYPERLINK("http://www.ensembl.org/Mus_musculus/Gene/Summary?db=core;g=ENSMUSG00000028437","ENSMUSG00000028437")</f>
        <v>ENSMUSG00000028437</v>
      </c>
      <c r="I1028" s="7" t="str">
        <f>HYPERLINK("http://www.informatics.jax.org/marker/MGI:2149543","MGI:2149543")</f>
        <v>MGI:2149543</v>
      </c>
      <c r="J1028" s="4" t="s">
        <v>12</v>
      </c>
    </row>
    <row r="1029" spans="1:10" x14ac:dyDescent="0.25">
      <c r="A1029" s="2">
        <v>631.09471353306503</v>
      </c>
      <c r="B1029" s="3">
        <v>1.3095999407472401</v>
      </c>
      <c r="C1029" s="5">
        <v>1.41556608861558E-8</v>
      </c>
      <c r="D1029" s="6">
        <v>6.9199214842586201E-8</v>
      </c>
      <c r="E1029" s="3" t="s">
        <v>8085</v>
      </c>
      <c r="F1029" s="3" t="s">
        <v>8086</v>
      </c>
      <c r="G1029" s="3">
        <v>230787</v>
      </c>
      <c r="H1029" s="7" t="str">
        <f>HYPERLINK("http://www.ensembl.org/Mus_musculus/Gene/Summary?db=core;g=ENSMUSG00000037731","ENSMUSG00000037731")</f>
        <v>ENSMUSG00000037731</v>
      </c>
      <c r="I1029" s="7" t="str">
        <f>HYPERLINK("http://www.informatics.jax.org/marker/MGI:2446213","MGI:2446213")</f>
        <v>MGI:2446213</v>
      </c>
      <c r="J1029" s="4" t="s">
        <v>12</v>
      </c>
    </row>
    <row r="1030" spans="1:10" x14ac:dyDescent="0.25">
      <c r="A1030" s="2">
        <v>0.93559897010374604</v>
      </c>
      <c r="B1030" s="3">
        <v>1.30951109976688</v>
      </c>
      <c r="C1030" s="3">
        <v>3.0551522784984602E-3</v>
      </c>
      <c r="D1030" s="4">
        <v>8.3619806263785408E-3</v>
      </c>
      <c r="E1030" s="3" t="s">
        <v>14413</v>
      </c>
      <c r="F1030" s="3" t="s">
        <v>14414</v>
      </c>
      <c r="G1030" s="3" t="s">
        <v>83</v>
      </c>
      <c r="H1030" s="7" t="str">
        <f>HYPERLINK("http://www.ensembl.org/Mus_musculus/Gene/Summary?db=core;g=ENSMUSG00000110335","ENSMUSG00000110335")</f>
        <v>ENSMUSG00000110335</v>
      </c>
      <c r="I1030" s="7" t="str">
        <f>HYPERLINK("http://www.informatics.jax.org/marker/MGI:1922784","MGI:1922784")</f>
        <v>MGI:1922784</v>
      </c>
      <c r="J1030" s="4" t="s">
        <v>939</v>
      </c>
    </row>
    <row r="1031" spans="1:10" x14ac:dyDescent="0.25">
      <c r="A1031" s="2">
        <v>0.854395624358112</v>
      </c>
      <c r="B1031" s="3">
        <v>1.3078685811009201</v>
      </c>
      <c r="C1031" s="3">
        <v>2.4387910813123801E-3</v>
      </c>
      <c r="D1031" s="4">
        <v>6.7966308823459902E-3</v>
      </c>
      <c r="E1031" s="3" t="s">
        <v>14159</v>
      </c>
      <c r="F1031" s="3" t="s">
        <v>14160</v>
      </c>
      <c r="G1031" s="3">
        <v>329547</v>
      </c>
      <c r="H1031" s="7" t="str">
        <f>HYPERLINK("http://www.ensembl.org/Mus_musculus/Gene/Summary?db=core;g=ENSMUSG00000052922","ENSMUSG00000052922")</f>
        <v>ENSMUSG00000052922</v>
      </c>
      <c r="I1031" s="7" t="str">
        <f>HYPERLINK("http://www.informatics.jax.org/marker/MGI:3045315","MGI:3045315")</f>
        <v>MGI:3045315</v>
      </c>
      <c r="J1031" s="4" t="s">
        <v>12</v>
      </c>
    </row>
    <row r="1032" spans="1:10" x14ac:dyDescent="0.25">
      <c r="A1032" s="2">
        <v>1305.98515145292</v>
      </c>
      <c r="B1032" s="3">
        <v>1.30617013449959</v>
      </c>
      <c r="C1032" s="5">
        <v>2.1131224573251E-143</v>
      </c>
      <c r="D1032" s="6">
        <v>3.7206048980759897E-141</v>
      </c>
      <c r="E1032" s="3" t="s">
        <v>234</v>
      </c>
      <c r="F1032" s="3" t="s">
        <v>235</v>
      </c>
      <c r="G1032" s="3">
        <v>232314</v>
      </c>
      <c r="H1032" s="7" t="str">
        <f>HYPERLINK("http://www.ensembl.org/Mus_musculus/Gene/Summary?db=core;g=ENSMUSG00000052144","ENSMUSG00000052144")</f>
        <v>ENSMUSG00000052144</v>
      </c>
      <c r="I1032" s="7" t="str">
        <f>HYPERLINK("http://www.informatics.jax.org/marker/MGI:3027896","MGI:3027896")</f>
        <v>MGI:3027896</v>
      </c>
      <c r="J1032" s="4" t="s">
        <v>12</v>
      </c>
    </row>
    <row r="1033" spans="1:10" x14ac:dyDescent="0.25">
      <c r="A1033" s="2">
        <v>542.61725335582696</v>
      </c>
      <c r="B1033" s="3">
        <v>1.305127469613</v>
      </c>
      <c r="C1033" s="5">
        <v>4.2747736860858199E-33</v>
      </c>
      <c r="D1033" s="6">
        <v>6.9040570916963505E-32</v>
      </c>
      <c r="E1033" s="3" t="s">
        <v>2459</v>
      </c>
      <c r="F1033" s="3" t="s">
        <v>2460</v>
      </c>
      <c r="G1033" s="3">
        <v>108100</v>
      </c>
      <c r="H1033" s="7" t="str">
        <f>HYPERLINK("http://www.ensembl.org/Mus_musculus/Gene/Summary?db=core;g=ENSMUSG00000025372","ENSMUSG00000025372")</f>
        <v>ENSMUSG00000025372</v>
      </c>
      <c r="I1033" s="7" t="str">
        <f>HYPERLINK("http://www.informatics.jax.org/marker/MGI:2137336","MGI:2137336")</f>
        <v>MGI:2137336</v>
      </c>
      <c r="J1033" s="4" t="s">
        <v>12</v>
      </c>
    </row>
    <row r="1034" spans="1:10" x14ac:dyDescent="0.25">
      <c r="A1034" s="2">
        <v>15.0840046236818</v>
      </c>
      <c r="B1034" s="3">
        <v>1.3048706114959701</v>
      </c>
      <c r="C1034" s="5">
        <v>5.5895169135762598E-5</v>
      </c>
      <c r="D1034" s="4">
        <v>1.9385380502237701E-4</v>
      </c>
      <c r="E1034" s="3" t="s">
        <v>11383</v>
      </c>
      <c r="F1034" s="3" t="s">
        <v>11384</v>
      </c>
      <c r="G1034" s="3">
        <v>70859</v>
      </c>
      <c r="H1034" s="7" t="str">
        <f>HYPERLINK("http://www.ensembl.org/Mus_musculus/Gene/Summary?db=core;g=ENSMUSG00000021997","ENSMUSG00000021997")</f>
        <v>ENSMUSG00000021997</v>
      </c>
      <c r="I1034" s="7" t="str">
        <f>HYPERLINK("http://www.informatics.jax.org/marker/MGI:1918109","MGI:1918109")</f>
        <v>MGI:1918109</v>
      </c>
      <c r="J1034" s="4" t="s">
        <v>12</v>
      </c>
    </row>
    <row r="1035" spans="1:10" x14ac:dyDescent="0.25">
      <c r="A1035" s="2">
        <v>1.1523993439685201</v>
      </c>
      <c r="B1035" s="3">
        <v>1.3038532416420701</v>
      </c>
      <c r="C1035" s="3">
        <v>3.7393677865005899E-3</v>
      </c>
      <c r="D1035" s="4">
        <v>1.0113884617993601E-2</v>
      </c>
      <c r="E1035" s="3" t="s">
        <v>14585</v>
      </c>
      <c r="F1035" s="3" t="s">
        <v>14586</v>
      </c>
      <c r="G1035" s="3" t="s">
        <v>83</v>
      </c>
      <c r="H1035" s="7" t="str">
        <f>HYPERLINK("http://www.ensembl.org/Mus_musculus/Gene/Summary?db=core;g=ENSMUSG00000087444","ENSMUSG00000087444")</f>
        <v>ENSMUSG00000087444</v>
      </c>
      <c r="I1035" s="7" t="str">
        <f>HYPERLINK("http://www.informatics.jax.org/marker/MGI:3646320","MGI:3646320")</f>
        <v>MGI:3646320</v>
      </c>
      <c r="J1035" s="4" t="s">
        <v>12</v>
      </c>
    </row>
    <row r="1036" spans="1:10" x14ac:dyDescent="0.25">
      <c r="A1036" s="2">
        <v>105.738051142198</v>
      </c>
      <c r="B1036" s="3">
        <v>1.3036305087015601</v>
      </c>
      <c r="C1036" s="5">
        <v>8.9990374151521592E-9</v>
      </c>
      <c r="D1036" s="6">
        <v>4.4836032801111799E-8</v>
      </c>
      <c r="E1036" s="3" t="s">
        <v>7932</v>
      </c>
      <c r="F1036" s="3" t="s">
        <v>7933</v>
      </c>
      <c r="G1036" s="3">
        <v>68774</v>
      </c>
      <c r="H1036" s="7" t="str">
        <f>HYPERLINK("http://www.ensembl.org/Mus_musculus/Gene/Summary?db=core;g=ENSMUSG00000024679","ENSMUSG00000024679")</f>
        <v>ENSMUSG00000024679</v>
      </c>
      <c r="I1036" s="7" t="str">
        <f>HYPERLINK("http://www.informatics.jax.org/marker/MGI:1916024","MGI:1916024")</f>
        <v>MGI:1916024</v>
      </c>
      <c r="J1036" s="4" t="s">
        <v>12</v>
      </c>
    </row>
    <row r="1037" spans="1:10" x14ac:dyDescent="0.25">
      <c r="A1037" s="2">
        <v>6.4392461731928297</v>
      </c>
      <c r="B1037" s="3">
        <v>1.30320077338797</v>
      </c>
      <c r="C1037" s="3">
        <v>9.9572649275035501E-4</v>
      </c>
      <c r="D1037" s="4">
        <v>2.9364029365989198E-3</v>
      </c>
      <c r="E1037" s="3" t="s">
        <v>13383</v>
      </c>
      <c r="F1037" s="3" t="s">
        <v>13384</v>
      </c>
      <c r="G1037" s="3" t="s">
        <v>83</v>
      </c>
      <c r="H1037" s="7" t="str">
        <f>HYPERLINK("http://www.ensembl.org/Mus_musculus/Gene/Summary?db=core;g=ENSMUSG00000097216","ENSMUSG00000097216")</f>
        <v>ENSMUSG00000097216</v>
      </c>
      <c r="I1037" s="7" t="str">
        <f>HYPERLINK("http://www.informatics.jax.org/marker/MGI:2441691","MGI:2441691")</f>
        <v>MGI:2441691</v>
      </c>
      <c r="J1037" s="4" t="s">
        <v>331</v>
      </c>
    </row>
    <row r="1038" spans="1:10" x14ac:dyDescent="0.25">
      <c r="A1038" s="2">
        <v>1270.3078675177201</v>
      </c>
      <c r="B1038" s="3">
        <v>1.2997861183280499</v>
      </c>
      <c r="C1038" s="5">
        <v>7.8899371410123504E-56</v>
      </c>
      <c r="D1038" s="6">
        <v>2.48545623675341E-54</v>
      </c>
      <c r="E1038" s="3" t="s">
        <v>1268</v>
      </c>
      <c r="F1038" s="3" t="s">
        <v>1269</v>
      </c>
      <c r="G1038" s="3">
        <v>216874</v>
      </c>
      <c r="H1038" s="7" t="str">
        <f>HYPERLINK("http://www.ensembl.org/Mus_musculus/Gene/Summary?db=core;g=ENSMUSG00000040712","ENSMUSG00000040712")</f>
        <v>ENSMUSG00000040712</v>
      </c>
      <c r="I1038" s="7" t="str">
        <f>HYPERLINK("http://www.informatics.jax.org/marker/MGI:2135957","MGI:2135957")</f>
        <v>MGI:2135957</v>
      </c>
      <c r="J1038" s="4" t="s">
        <v>12</v>
      </c>
    </row>
    <row r="1039" spans="1:10" x14ac:dyDescent="0.25">
      <c r="A1039" s="2">
        <v>1.4382240886141</v>
      </c>
      <c r="B1039" s="3">
        <v>1.2973705568984799</v>
      </c>
      <c r="C1039" s="3">
        <v>5.3716334234341703E-3</v>
      </c>
      <c r="D1039" s="4">
        <v>1.41275821699282E-2</v>
      </c>
      <c r="E1039" s="3" t="s">
        <v>15000</v>
      </c>
      <c r="F1039" s="3" t="s">
        <v>15001</v>
      </c>
      <c r="G1039" s="3">
        <v>67578</v>
      </c>
      <c r="H1039" s="7" t="str">
        <f>HYPERLINK("http://www.ensembl.org/Mus_musculus/Gene/Summary?db=core;g=ENSMUSG00000027233","ENSMUSG00000027233")</f>
        <v>ENSMUSG00000027233</v>
      </c>
      <c r="I1039" s="7" t="str">
        <f>HYPERLINK("http://www.informatics.jax.org/marker/MGI:1914828","MGI:1914828")</f>
        <v>MGI:1914828</v>
      </c>
      <c r="J1039" s="4" t="s">
        <v>12</v>
      </c>
    </row>
    <row r="1040" spans="1:10" x14ac:dyDescent="0.25">
      <c r="A1040" s="2">
        <v>2.3277528336867102</v>
      </c>
      <c r="B1040" s="3">
        <v>1.2969110879319801</v>
      </c>
      <c r="C1040" s="3">
        <v>5.9457824961553401E-3</v>
      </c>
      <c r="D1040" s="4">
        <v>1.5476614417130901E-2</v>
      </c>
      <c r="E1040" s="3" t="s">
        <v>15156</v>
      </c>
      <c r="F1040" s="3" t="s">
        <v>15157</v>
      </c>
      <c r="G1040" s="3">
        <v>56437</v>
      </c>
      <c r="H1040" s="7" t="str">
        <f>HYPERLINK("http://www.ensembl.org/Mus_musculus/Gene/Summary?db=core;g=ENSMUSG00000031880","ENSMUSG00000031880")</f>
        <v>ENSMUSG00000031880</v>
      </c>
      <c r="I1040" s="7" t="str">
        <f>HYPERLINK("http://www.informatics.jax.org/marker/MGI:1930943","MGI:1930943")</f>
        <v>MGI:1930943</v>
      </c>
      <c r="J1040" s="4" t="s">
        <v>12</v>
      </c>
    </row>
    <row r="1041" spans="1:10" x14ac:dyDescent="0.25">
      <c r="A1041" s="2">
        <v>2059.6270460166202</v>
      </c>
      <c r="B1041" s="3">
        <v>1.2968262299843401</v>
      </c>
      <c r="C1041" s="5">
        <v>7.5326632357347898E-53</v>
      </c>
      <c r="D1041" s="6">
        <v>2.1716976463258799E-51</v>
      </c>
      <c r="E1041" s="3" t="s">
        <v>1384</v>
      </c>
      <c r="F1041" s="3" t="s">
        <v>1385</v>
      </c>
      <c r="G1041" s="3">
        <v>23849</v>
      </c>
      <c r="H1041" s="7" t="str">
        <f>HYPERLINK("http://www.ensembl.org/Mus_musculus/Gene/Summary?db=core;g=ENSMUSG00000000078","ENSMUSG00000000078")</f>
        <v>ENSMUSG00000000078</v>
      </c>
      <c r="I1041" s="7" t="str">
        <f>HYPERLINK("http://www.informatics.jax.org/marker/MGI:1346318","MGI:1346318")</f>
        <v>MGI:1346318</v>
      </c>
      <c r="J1041" s="4" t="s">
        <v>12</v>
      </c>
    </row>
    <row r="1042" spans="1:10" x14ac:dyDescent="0.25">
      <c r="A1042" s="2">
        <v>974.60519471653799</v>
      </c>
      <c r="B1042" s="3">
        <v>1.2966677666742401</v>
      </c>
      <c r="C1042" s="5">
        <v>4.4407997206155103E-64</v>
      </c>
      <c r="D1042" s="6">
        <v>1.8019047426036601E-62</v>
      </c>
      <c r="E1042" s="3" t="s">
        <v>987</v>
      </c>
      <c r="F1042" s="3" t="s">
        <v>988</v>
      </c>
      <c r="G1042" s="3">
        <v>232164</v>
      </c>
      <c r="H1042" s="7" t="str">
        <f>HYPERLINK("http://www.ensembl.org/Mus_musculus/Gene/Summary?db=core;g=ENSMUSG00000045896","ENSMUSG00000045896")</f>
        <v>ENSMUSG00000045896</v>
      </c>
      <c r="I1042" s="7" t="str">
        <f>HYPERLINK("http://www.informatics.jax.org/marker/MGI:2386865","MGI:2386865")</f>
        <v>MGI:2386865</v>
      </c>
      <c r="J1042" s="4" t="s">
        <v>12</v>
      </c>
    </row>
    <row r="1043" spans="1:10" x14ac:dyDescent="0.25">
      <c r="A1043" s="2">
        <v>9.7081938534836691</v>
      </c>
      <c r="B1043" s="3">
        <v>1.2965342181475299</v>
      </c>
      <c r="C1043" s="3">
        <v>6.8121406143391305E-4</v>
      </c>
      <c r="D1043" s="4">
        <v>2.05833000672776E-3</v>
      </c>
      <c r="E1043" s="3" t="s">
        <v>13061</v>
      </c>
      <c r="F1043" s="3" t="s">
        <v>13062</v>
      </c>
      <c r="G1043" s="3">
        <v>665270</v>
      </c>
      <c r="H1043" s="7" t="str">
        <f>HYPERLINK("http://www.ensembl.org/Mus_musculus/Gene/Summary?db=core;g=ENSMUSG00000029134","ENSMUSG00000029134")</f>
        <v>ENSMUSG00000029134</v>
      </c>
      <c r="I1043" s="7" t="str">
        <f>HYPERLINK("http://www.informatics.jax.org/marker/MGI:1922406","MGI:1922406")</f>
        <v>MGI:1922406</v>
      </c>
      <c r="J1043" s="4" t="s">
        <v>12</v>
      </c>
    </row>
    <row r="1044" spans="1:10" x14ac:dyDescent="0.25">
      <c r="A1044" s="2">
        <v>9351.3910210264494</v>
      </c>
      <c r="B1044" s="3">
        <v>1.2946771816676199</v>
      </c>
      <c r="C1044" s="5">
        <v>2.2678558709745199E-293</v>
      </c>
      <c r="D1044" s="6">
        <v>2.6307128103304399E-290</v>
      </c>
      <c r="E1044" s="3" t="s">
        <v>43</v>
      </c>
      <c r="F1044" s="3" t="s">
        <v>44</v>
      </c>
      <c r="G1044" s="3">
        <v>17698</v>
      </c>
      <c r="H1044" s="7" t="str">
        <f>HYPERLINK("http://www.ensembl.org/Mus_musculus/Gene/Summary?db=core;g=ENSMUSG00000031207","ENSMUSG00000031207")</f>
        <v>ENSMUSG00000031207</v>
      </c>
      <c r="I1044" s="7" t="str">
        <f>HYPERLINK("http://www.informatics.jax.org/marker/MGI:97167","MGI:97167")</f>
        <v>MGI:97167</v>
      </c>
      <c r="J1044" s="4" t="s">
        <v>12</v>
      </c>
    </row>
    <row r="1045" spans="1:10" x14ac:dyDescent="0.25">
      <c r="A1045" s="2">
        <v>1.31249721060873</v>
      </c>
      <c r="B1045" s="3">
        <v>1.29395473236222</v>
      </c>
      <c r="C1045" s="3">
        <v>4.8565765913529896E-3</v>
      </c>
      <c r="D1045" s="4">
        <v>1.2869079599769E-2</v>
      </c>
      <c r="E1045" s="3" t="s">
        <v>14888</v>
      </c>
      <c r="F1045" s="3" t="s">
        <v>14889</v>
      </c>
      <c r="G1045" s="3">
        <v>12265</v>
      </c>
      <c r="H1045" s="7" t="str">
        <f>HYPERLINK("http://www.ensembl.org/Mus_musculus/Gene/Summary?db=core;g=ENSMUSG00000022504","ENSMUSG00000022504")</f>
        <v>ENSMUSG00000022504</v>
      </c>
      <c r="I1045" s="7" t="str">
        <f>HYPERLINK("http://www.informatics.jax.org/marker/MGI:108445","MGI:108445")</f>
        <v>MGI:108445</v>
      </c>
      <c r="J1045" s="4" t="s">
        <v>12</v>
      </c>
    </row>
    <row r="1046" spans="1:10" x14ac:dyDescent="0.25">
      <c r="A1046" s="2">
        <v>107.318089564961</v>
      </c>
      <c r="B1046" s="3">
        <v>1.2908258853996</v>
      </c>
      <c r="C1046" s="5">
        <v>2.6790351530090298E-13</v>
      </c>
      <c r="D1046" s="6">
        <v>1.8608866931080699E-12</v>
      </c>
      <c r="E1046" s="3" t="s">
        <v>5695</v>
      </c>
      <c r="F1046" s="3" t="s">
        <v>5696</v>
      </c>
      <c r="G1046" s="3">
        <v>16818</v>
      </c>
      <c r="H1046" s="7" t="str">
        <f>HYPERLINK("http://www.ensembl.org/Mus_musculus/Gene/Summary?db=core;g=ENSMUSG00000000409","ENSMUSG00000000409")</f>
        <v>ENSMUSG00000000409</v>
      </c>
      <c r="I1046" s="7" t="str">
        <f>HYPERLINK("http://www.informatics.jax.org/marker/MGI:96756","MGI:96756")</f>
        <v>MGI:96756</v>
      </c>
      <c r="J1046" s="4" t="s">
        <v>12</v>
      </c>
    </row>
    <row r="1047" spans="1:10" x14ac:dyDescent="0.25">
      <c r="A1047" s="2">
        <v>0.80201166803171198</v>
      </c>
      <c r="B1047" s="3">
        <v>1.2873771250219599</v>
      </c>
      <c r="C1047" s="3">
        <v>2.6618135194814898E-3</v>
      </c>
      <c r="D1047" s="4">
        <v>7.3661188049642104E-3</v>
      </c>
      <c r="E1047" s="3" t="s">
        <v>14259</v>
      </c>
      <c r="F1047" s="3" t="s">
        <v>14260</v>
      </c>
      <c r="G1047" s="3">
        <v>503550</v>
      </c>
      <c r="H1047" s="7" t="str">
        <f>HYPERLINK("http://www.ensembl.org/Mus_musculus/Gene/Summary?db=core;g=ENSMUSG00000067610","ENSMUSG00000067610")</f>
        <v>ENSMUSG00000067610</v>
      </c>
      <c r="I1047" s="7" t="str">
        <f>HYPERLINK("http://www.informatics.jax.org/marker/MGI:3530275","MGI:3530275")</f>
        <v>MGI:3530275</v>
      </c>
      <c r="J1047" s="4" t="s">
        <v>12</v>
      </c>
    </row>
    <row r="1048" spans="1:10" x14ac:dyDescent="0.25">
      <c r="A1048" s="2">
        <v>8579.9671528728104</v>
      </c>
      <c r="B1048" s="3">
        <v>1.28692445009097</v>
      </c>
      <c r="C1048" s="5">
        <v>2.8750008211522598E-25</v>
      </c>
      <c r="D1048" s="6">
        <v>3.5346020070525203E-24</v>
      </c>
      <c r="E1048" s="3" t="s">
        <v>3228</v>
      </c>
      <c r="F1048" s="3" t="s">
        <v>3229</v>
      </c>
      <c r="G1048" s="3">
        <v>11465</v>
      </c>
      <c r="H1048" s="7" t="str">
        <f>HYPERLINK("http://www.ensembl.org/Mus_musculus/Gene/Summary?db=core;g=ENSMUSG00000062825","ENSMUSG00000062825")</f>
        <v>ENSMUSG00000062825</v>
      </c>
      <c r="I1048" s="7" t="str">
        <f>HYPERLINK("http://www.informatics.jax.org/marker/MGI:87906","MGI:87906")</f>
        <v>MGI:87906</v>
      </c>
      <c r="J1048" s="4" t="s">
        <v>12</v>
      </c>
    </row>
    <row r="1049" spans="1:10" x14ac:dyDescent="0.25">
      <c r="A1049" s="2">
        <v>1.3736173599458801</v>
      </c>
      <c r="B1049" s="3">
        <v>1.28642797987585</v>
      </c>
      <c r="C1049" s="3">
        <v>6.1369702629408699E-3</v>
      </c>
      <c r="D1049" s="4">
        <v>1.5917539600841E-2</v>
      </c>
      <c r="E1049" s="3" t="s">
        <v>15211</v>
      </c>
      <c r="F1049" s="3" t="s">
        <v>15212</v>
      </c>
      <c r="G1049" s="3" t="s">
        <v>83</v>
      </c>
      <c r="H1049" s="7" t="str">
        <f>HYPERLINK("http://www.ensembl.org/Mus_musculus/Gene/Summary?db=core;g=ENSMUSG00000094242","ENSMUSG00000094242")</f>
        <v>ENSMUSG00000094242</v>
      </c>
      <c r="I1049" s="7" t="str">
        <f>HYPERLINK("http://www.informatics.jax.org/marker/MGI:3643775","MGI:3643775")</f>
        <v>MGI:3643775</v>
      </c>
      <c r="J1049" s="4" t="s">
        <v>1043</v>
      </c>
    </row>
    <row r="1050" spans="1:10" x14ac:dyDescent="0.25">
      <c r="A1050" s="2">
        <v>374.26247440705299</v>
      </c>
      <c r="B1050" s="3">
        <v>1.2856337508368401</v>
      </c>
      <c r="C1050" s="5">
        <v>4.2896405956418799E-23</v>
      </c>
      <c r="D1050" s="6">
        <v>4.8671871430413101E-22</v>
      </c>
      <c r="E1050" s="3" t="s">
        <v>3494</v>
      </c>
      <c r="F1050" s="3" t="s">
        <v>3495</v>
      </c>
      <c r="G1050" s="3">
        <v>102866</v>
      </c>
      <c r="H1050" s="7" t="str">
        <f>HYPERLINK("http://www.ensembl.org/Mus_musculus/Gene/Summary?db=core;g=ENSMUSG00000016382","ENSMUSG00000016382")</f>
        <v>ENSMUSG00000016382</v>
      </c>
      <c r="I1050" s="7" t="str">
        <f>HYPERLINK("http://www.informatics.jax.org/marker/MGI:104807","MGI:104807")</f>
        <v>MGI:104807</v>
      </c>
      <c r="J1050" s="4" t="s">
        <v>12</v>
      </c>
    </row>
    <row r="1051" spans="1:10" x14ac:dyDescent="0.25">
      <c r="A1051" s="2">
        <v>0.80596871702127504</v>
      </c>
      <c r="B1051" s="3">
        <v>1.28014125273527</v>
      </c>
      <c r="C1051" s="3">
        <v>2.6248810665863002E-3</v>
      </c>
      <c r="D1051" s="4">
        <v>7.2700357630732897E-3</v>
      </c>
      <c r="E1051" s="3" t="s">
        <v>14247</v>
      </c>
      <c r="F1051" s="3" t="s">
        <v>14248</v>
      </c>
      <c r="G1051" s="3">
        <v>14064</v>
      </c>
      <c r="H1051" s="7" t="str">
        <f>HYPERLINK("http://www.ensembl.org/Mus_musculus/Gene/Summary?db=core;g=ENSMUSG00000021675","ENSMUSG00000021675")</f>
        <v>ENSMUSG00000021675</v>
      </c>
      <c r="I1051" s="7" t="str">
        <f>HYPERLINK("http://www.informatics.jax.org/marker/MGI:1298208","MGI:1298208")</f>
        <v>MGI:1298208</v>
      </c>
      <c r="J1051" s="4" t="s">
        <v>12</v>
      </c>
    </row>
    <row r="1052" spans="1:10" x14ac:dyDescent="0.25">
      <c r="A1052" s="2">
        <v>264.16294243314002</v>
      </c>
      <c r="B1052" s="3">
        <v>1.2795251625323101</v>
      </c>
      <c r="C1052" s="5">
        <v>2.5740092650371299E-26</v>
      </c>
      <c r="D1052" s="6">
        <v>3.31111955032826E-25</v>
      </c>
      <c r="E1052" s="3" t="s">
        <v>3084</v>
      </c>
      <c r="F1052" s="3" t="s">
        <v>3085</v>
      </c>
      <c r="G1052" s="3">
        <v>22038</v>
      </c>
      <c r="H1052" s="7" t="str">
        <f>HYPERLINK("http://www.ensembl.org/Mus_musculus/Gene/Summary?db=core;g=ENSMUSG00000032369","ENSMUSG00000032369")</f>
        <v>ENSMUSG00000032369</v>
      </c>
      <c r="I1052" s="7" t="str">
        <f>HYPERLINK("http://www.informatics.jax.org/marker/MGI:893575","MGI:893575")</f>
        <v>MGI:893575</v>
      </c>
      <c r="J1052" s="4" t="s">
        <v>12</v>
      </c>
    </row>
    <row r="1053" spans="1:10" x14ac:dyDescent="0.25">
      <c r="A1053" s="2">
        <v>1067.80049892477</v>
      </c>
      <c r="B1053" s="3">
        <v>1.27901108427392</v>
      </c>
      <c r="C1053" s="5">
        <v>4.0767585093758598E-125</v>
      </c>
      <c r="D1053" s="6">
        <v>5.28905775032183E-123</v>
      </c>
      <c r="E1053" s="3" t="s">
        <v>314</v>
      </c>
      <c r="F1053" s="3" t="s">
        <v>315</v>
      </c>
      <c r="G1053" s="3">
        <v>99929</v>
      </c>
      <c r="H1053" s="7" t="str">
        <f>HYPERLINK("http://www.ensembl.org/Mus_musculus/Gene/Summary?db=core;g=ENSMUSG00000034640","ENSMUSG00000034640")</f>
        <v>ENSMUSG00000034640</v>
      </c>
      <c r="I1053" s="7" t="str">
        <f>HYPERLINK("http://www.informatics.jax.org/marker/MGI:2159210","MGI:2159210")</f>
        <v>MGI:2159210</v>
      </c>
      <c r="J1053" s="4" t="s">
        <v>12</v>
      </c>
    </row>
    <row r="1054" spans="1:10" x14ac:dyDescent="0.25">
      <c r="A1054" s="2">
        <v>51.485263909293103</v>
      </c>
      <c r="B1054" s="3">
        <v>1.2785880053507901</v>
      </c>
      <c r="C1054" s="5">
        <v>4.9255538571656802E-6</v>
      </c>
      <c r="D1054" s="6">
        <v>1.90230948028412E-5</v>
      </c>
      <c r="E1054" s="3" t="s">
        <v>10226</v>
      </c>
      <c r="F1054" s="3" t="s">
        <v>10227</v>
      </c>
      <c r="G1054" s="3" t="s">
        <v>83</v>
      </c>
      <c r="H1054" s="7" t="str">
        <f>HYPERLINK("http://www.ensembl.org/Mus_musculus/Gene/Summary?db=core;g=ENSMUSG00000098986","ENSMUSG00000098986")</f>
        <v>ENSMUSG00000098986</v>
      </c>
      <c r="I1054" s="7" t="str">
        <f>HYPERLINK("http://www.informatics.jax.org/marker/MGI:5531388","MGI:5531388")</f>
        <v>MGI:5531388</v>
      </c>
      <c r="J1054" s="4" t="s">
        <v>9951</v>
      </c>
    </row>
    <row r="1055" spans="1:10" x14ac:dyDescent="0.25">
      <c r="A1055" s="2">
        <v>1.0983669500017099</v>
      </c>
      <c r="B1055" s="3">
        <v>1.2775666964899299</v>
      </c>
      <c r="C1055" s="3">
        <v>4.2279085574195704E-3</v>
      </c>
      <c r="D1055" s="4">
        <v>1.1331116710018199E-2</v>
      </c>
      <c r="E1055" s="3" t="s">
        <v>14720</v>
      </c>
      <c r="F1055" s="3" t="s">
        <v>14721</v>
      </c>
      <c r="G1055" s="3">
        <v>100535</v>
      </c>
      <c r="H1055" s="7" t="str">
        <f>HYPERLINK("http://www.ensembl.org/Mus_musculus/Gene/Summary?db=core;g=ENSMUSG00000032623","ENSMUSG00000032623")</f>
        <v>ENSMUSG00000032623</v>
      </c>
      <c r="I1055" s="7" t="str">
        <f>HYPERLINK("http://www.informatics.jax.org/marker/MGI:2140770","MGI:2140770")</f>
        <v>MGI:2140770</v>
      </c>
      <c r="J1055" s="4" t="s">
        <v>12</v>
      </c>
    </row>
    <row r="1056" spans="1:10" x14ac:dyDescent="0.25">
      <c r="A1056" s="2">
        <v>962.44858394390599</v>
      </c>
      <c r="B1056" s="3">
        <v>1.2774512889182601</v>
      </c>
      <c r="C1056" s="5">
        <v>1.29197367455671E-50</v>
      </c>
      <c r="D1056" s="6">
        <v>3.5238894691920104E-49</v>
      </c>
      <c r="E1056" s="3" t="s">
        <v>1462</v>
      </c>
      <c r="F1056" s="3" t="s">
        <v>1463</v>
      </c>
      <c r="G1056" s="3">
        <v>52552</v>
      </c>
      <c r="H1056" s="7" t="str">
        <f>HYPERLINK("http://www.ensembl.org/Mus_musculus/Gene/Summary?db=core;g=ENSMUSG00000021725","ENSMUSG00000021725")</f>
        <v>ENSMUSG00000021725</v>
      </c>
      <c r="I1056" s="7" t="str">
        <f>HYPERLINK("http://www.informatics.jax.org/marker/MGI:1098713","MGI:1098713")</f>
        <v>MGI:1098713</v>
      </c>
      <c r="J1056" s="4" t="s">
        <v>12</v>
      </c>
    </row>
    <row r="1057" spans="1:10" x14ac:dyDescent="0.25">
      <c r="A1057" s="2">
        <v>5.5409227724369003</v>
      </c>
      <c r="B1057" s="3">
        <v>1.2773472628806899</v>
      </c>
      <c r="C1057" s="3">
        <v>2.6200160549927098E-3</v>
      </c>
      <c r="D1057" s="4">
        <v>7.2586002535060899E-3</v>
      </c>
      <c r="E1057" s="3" t="s">
        <v>14241</v>
      </c>
      <c r="F1057" s="3" t="s">
        <v>14242</v>
      </c>
      <c r="G1057" s="3">
        <v>18596</v>
      </c>
      <c r="H1057" s="7" t="str">
        <f>HYPERLINK("http://www.ensembl.org/Mus_musculus/Gene/Summary?db=core;g=ENSMUSG00000024620","ENSMUSG00000024620")</f>
        <v>ENSMUSG00000024620</v>
      </c>
      <c r="I1057" s="7" t="str">
        <f>HYPERLINK("http://www.informatics.jax.org/marker/MGI:97531","MGI:97531")</f>
        <v>MGI:97531</v>
      </c>
      <c r="J1057" s="4" t="s">
        <v>12</v>
      </c>
    </row>
    <row r="1058" spans="1:10" x14ac:dyDescent="0.25">
      <c r="A1058" s="2">
        <v>903.00856424344295</v>
      </c>
      <c r="B1058" s="3">
        <v>1.27693851396834</v>
      </c>
      <c r="C1058" s="5">
        <v>1.3058599138626999E-53</v>
      </c>
      <c r="D1058" s="6">
        <v>3.8355339401615997E-52</v>
      </c>
      <c r="E1058" s="3" t="s">
        <v>1360</v>
      </c>
      <c r="F1058" s="3" t="s">
        <v>1361</v>
      </c>
      <c r="G1058" s="3">
        <v>19267</v>
      </c>
      <c r="H1058" s="7" t="str">
        <f>HYPERLINK("http://www.ensembl.org/Mus_musculus/Gene/Summary?db=core;g=ENSMUSG00000041836","ENSMUSG00000041836")</f>
        <v>ENSMUSG00000041836</v>
      </c>
      <c r="I1058" s="7" t="str">
        <f>HYPERLINK("http://www.informatics.jax.org/marker/MGI:97813","MGI:97813")</f>
        <v>MGI:97813</v>
      </c>
      <c r="J1058" s="4" t="s">
        <v>12</v>
      </c>
    </row>
    <row r="1059" spans="1:10" x14ac:dyDescent="0.25">
      <c r="A1059" s="2">
        <v>2138.6166288743898</v>
      </c>
      <c r="B1059" s="3">
        <v>1.27670795128379</v>
      </c>
      <c r="C1059" s="5">
        <v>6.0006478064128499E-117</v>
      </c>
      <c r="D1059" s="6">
        <v>6.5018008100253596E-115</v>
      </c>
      <c r="E1059" s="3" t="s">
        <v>376</v>
      </c>
      <c r="F1059" s="3" t="s">
        <v>377</v>
      </c>
      <c r="G1059" s="3">
        <v>66552</v>
      </c>
      <c r="H1059" s="7" t="str">
        <f>HYPERLINK("http://www.ensembl.org/Mus_musculus/Gene/Summary?db=core;g=ENSMUSG00000027366","ENSMUSG00000027366")</f>
        <v>ENSMUSG00000027366</v>
      </c>
      <c r="I1059" s="7" t="str">
        <f>HYPERLINK("http://www.informatics.jax.org/marker/MGI:1913802","MGI:1913802")</f>
        <v>MGI:1913802</v>
      </c>
      <c r="J1059" s="4" t="s">
        <v>12</v>
      </c>
    </row>
    <row r="1060" spans="1:10" x14ac:dyDescent="0.25">
      <c r="A1060" s="2">
        <v>187.217960775893</v>
      </c>
      <c r="B1060" s="3">
        <v>1.27645476339789</v>
      </c>
      <c r="C1060" s="5">
        <v>2.8298566753556398E-24</v>
      </c>
      <c r="D1060" s="6">
        <v>3.3678197729639803E-23</v>
      </c>
      <c r="E1060" s="3" t="s">
        <v>3334</v>
      </c>
      <c r="F1060" s="3" t="s">
        <v>3335</v>
      </c>
      <c r="G1060" s="3">
        <v>242109</v>
      </c>
      <c r="H1060" s="7" t="str">
        <f>HYPERLINK("http://www.ensembl.org/Mus_musculus/Gene/Summary?db=core;g=ENSMUSG00000050064","ENSMUSG00000050064")</f>
        <v>ENSMUSG00000050064</v>
      </c>
      <c r="I1060" s="7" t="str">
        <f>HYPERLINK("http://www.informatics.jax.org/marker/MGI:2139736","MGI:2139736")</f>
        <v>MGI:2139736</v>
      </c>
      <c r="J1060" s="4" t="s">
        <v>12</v>
      </c>
    </row>
    <row r="1061" spans="1:10" x14ac:dyDescent="0.25">
      <c r="A1061" s="2">
        <v>402.326130404249</v>
      </c>
      <c r="B1061" s="3">
        <v>1.27629126086787</v>
      </c>
      <c r="C1061" s="5">
        <v>9.2376658996880605E-49</v>
      </c>
      <c r="D1061" s="6">
        <v>2.4224304726309699E-47</v>
      </c>
      <c r="E1061" s="3" t="s">
        <v>1520</v>
      </c>
      <c r="F1061" s="3" t="s">
        <v>1521</v>
      </c>
      <c r="G1061" s="3">
        <v>71520</v>
      </c>
      <c r="H1061" s="7" t="str">
        <f>HYPERLINK("http://www.ensembl.org/Mus_musculus/Gene/Summary?db=core;g=ENSMUSG00000004837","ENSMUSG00000004837")</f>
        <v>ENSMUSG00000004837</v>
      </c>
      <c r="I1061" s="7" t="str">
        <f>HYPERLINK("http://www.informatics.jax.org/marker/MGI:1918770","MGI:1918770")</f>
        <v>MGI:1918770</v>
      </c>
      <c r="J1061" s="4" t="s">
        <v>12</v>
      </c>
    </row>
    <row r="1062" spans="1:10" x14ac:dyDescent="0.25">
      <c r="A1062" s="2">
        <v>2.56862843559054</v>
      </c>
      <c r="B1062" s="3">
        <v>1.27596493032361</v>
      </c>
      <c r="C1062" s="3">
        <v>5.96098005043595E-3</v>
      </c>
      <c r="D1062" s="4">
        <v>1.55120779354179E-2</v>
      </c>
      <c r="E1062" s="3" t="s">
        <v>15160</v>
      </c>
      <c r="F1062" s="3" t="s">
        <v>15161</v>
      </c>
      <c r="G1062" s="3" t="s">
        <v>83</v>
      </c>
      <c r="H1062" s="7" t="str">
        <f>HYPERLINK("http://www.ensembl.org/Mus_musculus/Gene/Summary?db=core;g=ENSMUSG00000065489","ENSMUSG00000065489")</f>
        <v>ENSMUSG00000065489</v>
      </c>
      <c r="I1062" s="7" t="str">
        <f>HYPERLINK("http://www.informatics.jax.org/marker/MGI:3619372","MGI:3619372")</f>
        <v>MGI:3619372</v>
      </c>
      <c r="J1062" s="4" t="s">
        <v>6715</v>
      </c>
    </row>
    <row r="1063" spans="1:10" x14ac:dyDescent="0.25">
      <c r="A1063" s="2">
        <v>3022.6625183003198</v>
      </c>
      <c r="B1063" s="3">
        <v>1.27586960180386</v>
      </c>
      <c r="C1063" s="5">
        <v>9.4737205309790295E-138</v>
      </c>
      <c r="D1063" s="6">
        <v>1.5439815609165801E-135</v>
      </c>
      <c r="E1063" s="3" t="s">
        <v>252</v>
      </c>
      <c r="F1063" s="3" t="s">
        <v>253</v>
      </c>
      <c r="G1063" s="3">
        <v>74427</v>
      </c>
      <c r="H1063" s="7" t="str">
        <f>HYPERLINK("http://www.ensembl.org/Mus_musculus/Gene/Summary?db=core;g=ENSMUSG00000021890","ENSMUSG00000021890")</f>
        <v>ENSMUSG00000021890</v>
      </c>
      <c r="I1063" s="7" t="str">
        <f>HYPERLINK("http://www.informatics.jax.org/marker/MGI:1921677","MGI:1921677")</f>
        <v>MGI:1921677</v>
      </c>
      <c r="J1063" s="4" t="s">
        <v>12</v>
      </c>
    </row>
    <row r="1064" spans="1:10" x14ac:dyDescent="0.25">
      <c r="A1064" s="2">
        <v>1.0930351798670801</v>
      </c>
      <c r="B1064" s="3">
        <v>1.27563820777041</v>
      </c>
      <c r="C1064" s="3">
        <v>4.1191460663380901E-3</v>
      </c>
      <c r="D1064" s="4">
        <v>1.10669534076068E-2</v>
      </c>
      <c r="E1064" s="3" t="s">
        <v>14681</v>
      </c>
      <c r="F1064" s="3" t="s">
        <v>14682</v>
      </c>
      <c r="G1064" s="3">
        <v>20297</v>
      </c>
      <c r="H1064" s="7" t="str">
        <f>HYPERLINK("http://www.ensembl.org/Mus_musculus/Gene/Summary?db=core;g=ENSMUSG00000026166","ENSMUSG00000026166")</f>
        <v>ENSMUSG00000026166</v>
      </c>
      <c r="I1064" s="7" t="str">
        <f>HYPERLINK("http://www.informatics.jax.org/marker/MGI:1329031","MGI:1329031")</f>
        <v>MGI:1329031</v>
      </c>
      <c r="J1064" s="4" t="s">
        <v>12</v>
      </c>
    </row>
    <row r="1065" spans="1:10" x14ac:dyDescent="0.25">
      <c r="A1065" s="2">
        <v>1.06501567169511</v>
      </c>
      <c r="B1065" s="3">
        <v>1.2738131173810401</v>
      </c>
      <c r="C1065" s="3">
        <v>4.0866062159815898E-3</v>
      </c>
      <c r="D1065" s="4">
        <v>1.0992753318668299E-2</v>
      </c>
      <c r="E1065" s="3" t="s">
        <v>14665</v>
      </c>
      <c r="F1065" s="3" t="s">
        <v>14666</v>
      </c>
      <c r="G1065" s="3">
        <v>12959</v>
      </c>
      <c r="H1065" s="7" t="str">
        <f>HYPERLINK("http://www.ensembl.org/Mus_musculus/Gene/Summary?db=core;g=ENSMUSG00000066975","ENSMUSG00000066975")</f>
        <v>ENSMUSG00000066975</v>
      </c>
      <c r="I1065" s="7" t="str">
        <f>HYPERLINK("http://www.informatics.jax.org/marker/MGI:102716","MGI:102716")</f>
        <v>MGI:102716</v>
      </c>
      <c r="J1065" s="4" t="s">
        <v>12</v>
      </c>
    </row>
    <row r="1066" spans="1:10" x14ac:dyDescent="0.25">
      <c r="A1066" s="2">
        <v>2281.5524103274602</v>
      </c>
      <c r="B1066" s="3">
        <v>1.2737806366675699</v>
      </c>
      <c r="C1066" s="5">
        <v>2.0215450797113099E-72</v>
      </c>
      <c r="D1066" s="6">
        <v>9.8189332443120697E-71</v>
      </c>
      <c r="E1066" s="3" t="s">
        <v>824</v>
      </c>
      <c r="F1066" s="3" t="s">
        <v>825</v>
      </c>
      <c r="G1066" s="3">
        <v>30940</v>
      </c>
      <c r="H1066" s="7" t="str">
        <f>HYPERLINK("http://www.ensembl.org/Mus_musculus/Gene/Summary?db=core;g=ENSMUSG00000022867","ENSMUSG00000022867")</f>
        <v>ENSMUSG00000022867</v>
      </c>
      <c r="I1066" s="7" t="str">
        <f>HYPERLINK("http://www.informatics.jax.org/marker/MGI:1353655","MGI:1353655")</f>
        <v>MGI:1353655</v>
      </c>
      <c r="J1066" s="4" t="s">
        <v>12</v>
      </c>
    </row>
    <row r="1067" spans="1:10" x14ac:dyDescent="0.25">
      <c r="A1067" s="2">
        <v>3.3625575745854301</v>
      </c>
      <c r="B1067" s="3">
        <v>1.27327752814463</v>
      </c>
      <c r="C1067" s="3">
        <v>5.6563163522289298E-3</v>
      </c>
      <c r="D1067" s="4">
        <v>1.48012949132105E-2</v>
      </c>
      <c r="E1067" s="3" t="s">
        <v>15076</v>
      </c>
      <c r="F1067" s="3" t="s">
        <v>15077</v>
      </c>
      <c r="G1067" s="3">
        <v>102502</v>
      </c>
      <c r="H1067" s="7" t="str">
        <f>HYPERLINK("http://www.ensembl.org/Mus_musculus/Gene/Summary?db=core;g=ENSMUSG00000049493","ENSMUSG00000049493")</f>
        <v>ENSMUSG00000049493</v>
      </c>
      <c r="I1067" s="7" t="str">
        <f>HYPERLINK("http://www.informatics.jax.org/marker/MGI:104809","MGI:104809")</f>
        <v>MGI:104809</v>
      </c>
      <c r="J1067" s="4" t="s">
        <v>12</v>
      </c>
    </row>
    <row r="1068" spans="1:10" x14ac:dyDescent="0.25">
      <c r="A1068" s="2">
        <v>8.5489359013700703</v>
      </c>
      <c r="B1068" s="3">
        <v>1.27230530591253</v>
      </c>
      <c r="C1068" s="3">
        <v>3.0353108293896402E-4</v>
      </c>
      <c r="D1068" s="4">
        <v>9.6089972578933302E-4</v>
      </c>
      <c r="E1068" s="3" t="s">
        <v>12471</v>
      </c>
      <c r="F1068" s="3" t="s">
        <v>12472</v>
      </c>
      <c r="G1068" s="3" t="s">
        <v>83</v>
      </c>
      <c r="H1068" s="7" t="str">
        <f>HYPERLINK("http://www.ensembl.org/Mus_musculus/Gene/Summary?db=core;g=ENSMUSG00000102059","ENSMUSG00000102059")</f>
        <v>ENSMUSG00000102059</v>
      </c>
      <c r="I1068" s="7" t="str">
        <f>HYPERLINK("http://www.informatics.jax.org/marker/MGI:5012442","MGI:5012442")</f>
        <v>MGI:5012442</v>
      </c>
      <c r="J1068" s="4" t="s">
        <v>320</v>
      </c>
    </row>
    <row r="1069" spans="1:10" x14ac:dyDescent="0.25">
      <c r="A1069" s="2">
        <v>3049.0623417987799</v>
      </c>
      <c r="B1069" s="3">
        <v>1.2704109996347701</v>
      </c>
      <c r="C1069" s="5">
        <v>7.6841305120740001E-134</v>
      </c>
      <c r="D1069" s="6">
        <v>1.1838363570164001E-131</v>
      </c>
      <c r="E1069" s="3" t="s">
        <v>266</v>
      </c>
      <c r="F1069" s="3" t="s">
        <v>267</v>
      </c>
      <c r="G1069" s="3">
        <v>26965</v>
      </c>
      <c r="H1069" s="7" t="str">
        <f>HYPERLINK("http://www.ensembl.org/Mus_musculus/Gene/Summary?db=core;g=ENSMUSG00000029686","ENSMUSG00000029686")</f>
        <v>ENSMUSG00000029686</v>
      </c>
      <c r="I1069" s="7" t="str">
        <f>HYPERLINK("http://www.informatics.jax.org/marker/MGI:1349658","MGI:1349658")</f>
        <v>MGI:1349658</v>
      </c>
      <c r="J1069" s="4" t="s">
        <v>12</v>
      </c>
    </row>
    <row r="1070" spans="1:10" x14ac:dyDescent="0.25">
      <c r="A1070" s="2">
        <v>2868.41741834201</v>
      </c>
      <c r="B1070" s="3">
        <v>1.2681691678670199</v>
      </c>
      <c r="C1070" s="5">
        <v>4.4578986183624201E-97</v>
      </c>
      <c r="D1070" s="6">
        <v>3.4073550679886397E-95</v>
      </c>
      <c r="E1070" s="3" t="s">
        <v>528</v>
      </c>
      <c r="F1070" s="3" t="s">
        <v>529</v>
      </c>
      <c r="G1070" s="3">
        <v>68184</v>
      </c>
      <c r="H1070" s="7" t="str">
        <f>HYPERLINK("http://www.ensembl.org/Mus_musculus/Gene/Summary?db=core;g=ENSMUSG00000023106","ENSMUSG00000023106")</f>
        <v>ENSMUSG00000023106</v>
      </c>
      <c r="I1070" s="7" t="str">
        <f>HYPERLINK("http://www.informatics.jax.org/marker/MGI:1915434","MGI:1915434")</f>
        <v>MGI:1915434</v>
      </c>
      <c r="J1070" s="4" t="s">
        <v>12</v>
      </c>
    </row>
    <row r="1071" spans="1:10" x14ac:dyDescent="0.25">
      <c r="A1071" s="2">
        <v>2.5327767220937698</v>
      </c>
      <c r="B1071" s="3">
        <v>1.26780215698939</v>
      </c>
      <c r="C1071" s="3">
        <v>6.9037125277209002E-3</v>
      </c>
      <c r="D1071" s="4">
        <v>1.7744106013849601E-2</v>
      </c>
      <c r="E1071" s="3" t="s">
        <v>15351</v>
      </c>
      <c r="F1071" s="3" t="s">
        <v>15352</v>
      </c>
      <c r="G1071" s="3">
        <v>230822</v>
      </c>
      <c r="H1071" s="7" t="str">
        <f>HYPERLINK("http://www.ensembl.org/Mus_musculus/Gene/Summary?db=core;g=ENSMUSG00000043924","ENSMUSG00000043924")</f>
        <v>ENSMUSG00000043924</v>
      </c>
      <c r="I1071" s="7" t="str">
        <f>HYPERLINK("http://www.informatics.jax.org/marker/MGI:2444888","MGI:2444888")</f>
        <v>MGI:2444888</v>
      </c>
      <c r="J1071" s="4" t="s">
        <v>12</v>
      </c>
    </row>
    <row r="1072" spans="1:10" x14ac:dyDescent="0.25">
      <c r="A1072" s="2">
        <v>64.358554632953002</v>
      </c>
      <c r="B1072" s="3">
        <v>1.2655636532933701</v>
      </c>
      <c r="C1072" s="5">
        <v>2.6208048110025501E-6</v>
      </c>
      <c r="D1072" s="6">
        <v>1.0405128019522899E-5</v>
      </c>
      <c r="E1072" s="3" t="s">
        <v>9949</v>
      </c>
      <c r="F1072" s="3" t="s">
        <v>9950</v>
      </c>
      <c r="G1072" s="3" t="s">
        <v>83</v>
      </c>
      <c r="H1072" s="7" t="str">
        <f>HYPERLINK("http://www.ensembl.org/Mus_musculus/Gene/Summary?db=core;g=ENSMUSG00000098974","ENSMUSG00000098974")</f>
        <v>ENSMUSG00000098974</v>
      </c>
      <c r="I1072" s="7" t="str">
        <f>HYPERLINK("http://www.informatics.jax.org/marker/MGI:5530887","MGI:5530887")</f>
        <v>MGI:5530887</v>
      </c>
      <c r="J1072" s="4" t="s">
        <v>9951</v>
      </c>
    </row>
    <row r="1073" spans="1:10" x14ac:dyDescent="0.25">
      <c r="A1073" s="2">
        <v>3.6602536545861399</v>
      </c>
      <c r="B1073" s="3">
        <v>1.26411401172778</v>
      </c>
      <c r="C1073" s="3">
        <v>4.0911082732033597E-3</v>
      </c>
      <c r="D1073" s="4">
        <v>1.1001862150220899E-2</v>
      </c>
      <c r="E1073" s="3" t="s">
        <v>14669</v>
      </c>
      <c r="F1073" s="3" t="s">
        <v>14670</v>
      </c>
      <c r="G1073" s="3" t="s">
        <v>83</v>
      </c>
      <c r="H1073" s="7" t="str">
        <f>HYPERLINK("http://www.ensembl.org/Mus_musculus/Gene/Summary?db=core;g=ENSMUSG00000108024","ENSMUSG00000108024")</f>
        <v>ENSMUSG00000108024</v>
      </c>
      <c r="I1073" s="7" t="str">
        <f>HYPERLINK("http://www.informatics.jax.org/marker/MGI:5690304","MGI:5690304")</f>
        <v>MGI:5690304</v>
      </c>
      <c r="J1073" s="4" t="s">
        <v>1828</v>
      </c>
    </row>
    <row r="1074" spans="1:10" x14ac:dyDescent="0.25">
      <c r="A1074" s="2">
        <v>2.7608180298184601</v>
      </c>
      <c r="B1074" s="3">
        <v>1.26392249310183</v>
      </c>
      <c r="C1074" s="3">
        <v>5.7021001099066002E-3</v>
      </c>
      <c r="D1074" s="4">
        <v>1.49092301998619E-2</v>
      </c>
      <c r="E1074" s="3" t="s">
        <v>15088</v>
      </c>
      <c r="F1074" s="3" t="s">
        <v>15089</v>
      </c>
      <c r="G1074" s="3">
        <v>21788</v>
      </c>
      <c r="H1074" s="7" t="str">
        <f>HYPERLINK("http://www.ensembl.org/Mus_musculus/Gene/Summary?db=core;g=ENSMUSG00000027082","ENSMUSG00000027082")</f>
        <v>ENSMUSG00000027082</v>
      </c>
      <c r="I1074" s="7" t="str">
        <f>HYPERLINK("http://www.informatics.jax.org/marker/MGI:1095418","MGI:1095418")</f>
        <v>MGI:1095418</v>
      </c>
      <c r="J1074" s="4" t="s">
        <v>12</v>
      </c>
    </row>
    <row r="1075" spans="1:10" x14ac:dyDescent="0.25">
      <c r="A1075" s="2">
        <v>2.6609135075714399</v>
      </c>
      <c r="B1075" s="3">
        <v>1.2630545700567799</v>
      </c>
      <c r="C1075" s="3">
        <v>6.0367749694318499E-3</v>
      </c>
      <c r="D1075" s="4">
        <v>1.5688613916341101E-2</v>
      </c>
      <c r="E1075" s="3" t="s">
        <v>15179</v>
      </c>
      <c r="F1075" s="3" t="s">
        <v>15180</v>
      </c>
      <c r="G1075" s="3">
        <v>50931</v>
      </c>
      <c r="H1075" s="7" t="str">
        <f>HYPERLINK("http://www.ensembl.org/Mus_musculus/Gene/Summary?db=core;g=ENSMUSG00000005465","ENSMUSG00000005465")</f>
        <v>ENSMUSG00000005465</v>
      </c>
      <c r="I1075" s="7" t="str">
        <f>HYPERLINK("http://www.informatics.jax.org/marker/MGI:1355318","MGI:1355318")</f>
        <v>MGI:1355318</v>
      </c>
      <c r="J1075" s="4" t="s">
        <v>12</v>
      </c>
    </row>
    <row r="1076" spans="1:10" x14ac:dyDescent="0.25">
      <c r="A1076" s="2">
        <v>4.1429109081832802</v>
      </c>
      <c r="B1076" s="3">
        <v>1.26263257220007</v>
      </c>
      <c r="C1076" s="3">
        <v>5.2882915305610904E-3</v>
      </c>
      <c r="D1076" s="4">
        <v>1.3925104684559301E-2</v>
      </c>
      <c r="E1076" s="3" t="s">
        <v>14982</v>
      </c>
      <c r="F1076" s="3" t="s">
        <v>14983</v>
      </c>
      <c r="G1076" s="3" t="s">
        <v>83</v>
      </c>
      <c r="H1076" s="7" t="str">
        <f>HYPERLINK("http://www.ensembl.org/Mus_musculus/Gene/Summary?db=core;g=ENSMUSG00000085165","ENSMUSG00000085165")</f>
        <v>ENSMUSG00000085165</v>
      </c>
      <c r="I1076" s="7" t="str">
        <f>HYPERLINK("http://www.informatics.jax.org/marker/MGI:3650341","MGI:3650341")</f>
        <v>MGI:3650341</v>
      </c>
      <c r="J1076" s="4" t="s">
        <v>932</v>
      </c>
    </row>
    <row r="1077" spans="1:10" x14ac:dyDescent="0.25">
      <c r="A1077" s="2">
        <v>177.43568660265399</v>
      </c>
      <c r="B1077" s="3">
        <v>1.26205348060572</v>
      </c>
      <c r="C1077" s="5">
        <v>2.3212048655776602E-25</v>
      </c>
      <c r="D1077" s="6">
        <v>2.8680551346611198E-24</v>
      </c>
      <c r="E1077" s="3" t="s">
        <v>3212</v>
      </c>
      <c r="F1077" s="3" t="s">
        <v>3213</v>
      </c>
      <c r="G1077" s="3" t="s">
        <v>83</v>
      </c>
      <c r="H1077" s="7" t="str">
        <f>HYPERLINK("http://www.ensembl.org/Mus_musculus/Gene/Summary?db=core;g=ENSMUSG00000022639","ENSMUSG00000022639")</f>
        <v>ENSMUSG00000022639</v>
      </c>
      <c r="I1077" s="7" t="str">
        <f>HYPERLINK("http://www.informatics.jax.org/marker/MGI:1915440","MGI:1915440")</f>
        <v>MGI:1915440</v>
      </c>
      <c r="J1077" s="4" t="s">
        <v>939</v>
      </c>
    </row>
    <row r="1078" spans="1:10" x14ac:dyDescent="0.25">
      <c r="A1078" s="2">
        <v>24.5661555375193</v>
      </c>
      <c r="B1078" s="3">
        <v>1.2611658424857199</v>
      </c>
      <c r="C1078" s="5">
        <v>1.2935880700171299E-7</v>
      </c>
      <c r="D1078" s="6">
        <v>5.8081868717526905E-7</v>
      </c>
      <c r="E1078" s="3" t="s">
        <v>8801</v>
      </c>
      <c r="F1078" s="3" t="s">
        <v>8802</v>
      </c>
      <c r="G1078" s="3">
        <v>19672</v>
      </c>
      <c r="H1078" s="7" t="str">
        <f>HYPERLINK("http://www.ensembl.org/Mus_musculus/Gene/Summary?db=core;g=ENSMUSG00000005973","ENSMUSG00000005973")</f>
        <v>ENSMUSG00000005973</v>
      </c>
      <c r="I1078" s="7" t="str">
        <f>HYPERLINK("http://www.informatics.jax.org/marker/MGI:104559","MGI:104559")</f>
        <v>MGI:104559</v>
      </c>
      <c r="J1078" s="4" t="s">
        <v>12</v>
      </c>
    </row>
    <row r="1079" spans="1:10" x14ac:dyDescent="0.25">
      <c r="A1079" s="2">
        <v>75.461307590187502</v>
      </c>
      <c r="B1079" s="3">
        <v>1.2605530501625299</v>
      </c>
      <c r="C1079" s="5">
        <v>1.8313484811547801E-8</v>
      </c>
      <c r="D1079" s="6">
        <v>8.8645537673962305E-8</v>
      </c>
      <c r="E1079" s="3" t="s">
        <v>8165</v>
      </c>
      <c r="F1079" s="3" t="s">
        <v>8166</v>
      </c>
      <c r="G1079" s="3">
        <v>319924</v>
      </c>
      <c r="H1079" s="7" t="str">
        <f>HYPERLINK("http://www.ensembl.org/Mus_musculus/Gene/Summary?db=core;g=ENSMUSG00000024897","ENSMUSG00000024897")</f>
        <v>ENSMUSG00000024897</v>
      </c>
      <c r="I1079" s="7" t="str">
        <f>HYPERLINK("http://www.informatics.jax.org/marker/MGI:1860297","MGI:1860297")</f>
        <v>MGI:1860297</v>
      </c>
      <c r="J1079" s="4" t="s">
        <v>12</v>
      </c>
    </row>
    <row r="1080" spans="1:10" x14ac:dyDescent="0.25">
      <c r="A1080" s="2">
        <v>50.101975182654698</v>
      </c>
      <c r="B1080" s="3">
        <v>1.26046961408866</v>
      </c>
      <c r="C1080" s="5">
        <v>1.3076475958015599E-6</v>
      </c>
      <c r="D1080" s="6">
        <v>5.3466329233271503E-6</v>
      </c>
      <c r="E1080" s="3" t="s">
        <v>9661</v>
      </c>
      <c r="F1080" s="3" t="s">
        <v>9662</v>
      </c>
      <c r="G1080" s="3">
        <v>622976</v>
      </c>
      <c r="H1080" s="7" t="str">
        <f>HYPERLINK("http://www.ensembl.org/Mus_musculus/Gene/Summary?db=core;g=ENSMUSG00000048621","ENSMUSG00000048621")</f>
        <v>ENSMUSG00000048621</v>
      </c>
      <c r="I1080" s="7" t="str">
        <f>HYPERLINK("http://www.informatics.jax.org/marker/MGI:3647255","MGI:3647255")</f>
        <v>MGI:3647255</v>
      </c>
      <c r="J1080" s="4" t="s">
        <v>12</v>
      </c>
    </row>
    <row r="1081" spans="1:10" x14ac:dyDescent="0.25">
      <c r="A1081" s="2">
        <v>1.04533310751588</v>
      </c>
      <c r="B1081" s="3">
        <v>1.26038539174064</v>
      </c>
      <c r="C1081" s="3">
        <v>4.5950050872123303E-3</v>
      </c>
      <c r="D1081" s="4">
        <v>1.22235937299106E-2</v>
      </c>
      <c r="E1081" s="3" t="s">
        <v>14830</v>
      </c>
      <c r="F1081" s="3" t="s">
        <v>14831</v>
      </c>
      <c r="G1081" s="3" t="s">
        <v>83</v>
      </c>
      <c r="H1081" s="7" t="str">
        <f>HYPERLINK("http://www.ensembl.org/Mus_musculus/Gene/Summary?db=core;g=ENSMUSG00000116935","ENSMUSG00000116935")</f>
        <v>ENSMUSG00000116935</v>
      </c>
      <c r="I1081" s="7" t="str">
        <f>HYPERLINK("http://www.informatics.jax.org/marker/MGI:1354370","MGI:1354370")</f>
        <v>MGI:1354370</v>
      </c>
      <c r="J1081" s="4" t="s">
        <v>1043</v>
      </c>
    </row>
    <row r="1082" spans="1:10" x14ac:dyDescent="0.25">
      <c r="A1082" s="2">
        <v>517.11886651254804</v>
      </c>
      <c r="B1082" s="3">
        <v>1.26001322705602</v>
      </c>
      <c r="C1082" s="5">
        <v>1.4235859042195099E-42</v>
      </c>
      <c r="D1082" s="6">
        <v>3.1192348923565201E-41</v>
      </c>
      <c r="E1082" s="3" t="s">
        <v>1816</v>
      </c>
      <c r="F1082" s="3" t="s">
        <v>1817</v>
      </c>
      <c r="G1082" s="3">
        <v>268749</v>
      </c>
      <c r="H1082" s="7" t="str">
        <f>HYPERLINK("http://www.ensembl.org/Mus_musculus/Gene/Summary?db=core;g=ENSMUSG00000047098","ENSMUSG00000047098")</f>
        <v>ENSMUSG00000047098</v>
      </c>
      <c r="I1082" s="7" t="str">
        <f>HYPERLINK("http://www.informatics.jax.org/marker/MGI:1934704","MGI:1934704")</f>
        <v>MGI:1934704</v>
      </c>
      <c r="J1082" s="4" t="s">
        <v>12</v>
      </c>
    </row>
    <row r="1083" spans="1:10" x14ac:dyDescent="0.25">
      <c r="A1083" s="2">
        <v>206.253309590431</v>
      </c>
      <c r="B1083" s="3">
        <v>1.25954494282653</v>
      </c>
      <c r="C1083" s="5">
        <v>3.3929069461588602E-22</v>
      </c>
      <c r="D1083" s="6">
        <v>3.7212527796580997E-21</v>
      </c>
      <c r="E1083" s="3" t="s">
        <v>3614</v>
      </c>
      <c r="F1083" s="3" t="s">
        <v>3615</v>
      </c>
      <c r="G1083" s="3">
        <v>101187</v>
      </c>
      <c r="H1083" s="7" t="str">
        <f>HYPERLINK("http://www.ensembl.org/Mus_musculus/Gene/Summary?db=core;g=ENSMUSG00000037997","ENSMUSG00000037997")</f>
        <v>ENSMUSG00000037997</v>
      </c>
      <c r="I1083" s="7" t="str">
        <f>HYPERLINK("http://www.informatics.jax.org/marker/MGI:2141505","MGI:2141505")</f>
        <v>MGI:2141505</v>
      </c>
      <c r="J1083" s="4" t="s">
        <v>12</v>
      </c>
    </row>
    <row r="1084" spans="1:10" x14ac:dyDescent="0.25">
      <c r="A1084" s="2">
        <v>80.495932972850696</v>
      </c>
      <c r="B1084" s="3">
        <v>1.2593009079312201</v>
      </c>
      <c r="C1084" s="5">
        <v>1.8260687755444301E-7</v>
      </c>
      <c r="D1084" s="6">
        <v>8.1103775346252699E-7</v>
      </c>
      <c r="E1084" s="3" t="s">
        <v>8897</v>
      </c>
      <c r="F1084" s="3" t="s">
        <v>8898</v>
      </c>
      <c r="G1084" s="3">
        <v>667214</v>
      </c>
      <c r="H1084" s="7" t="str">
        <f>HYPERLINK("http://www.ensembl.org/Mus_musculus/Gene/Summary?db=core;g=ENSMUSG00000069893","ENSMUSG00000069893")</f>
        <v>ENSMUSG00000069893</v>
      </c>
      <c r="I1084" s="7" t="str">
        <f>HYPERLINK("http://www.informatics.jax.org/marker/MGI:3041173","MGI:3041173")</f>
        <v>MGI:3041173</v>
      </c>
      <c r="J1084" s="4" t="s">
        <v>12</v>
      </c>
    </row>
    <row r="1085" spans="1:10" x14ac:dyDescent="0.25">
      <c r="A1085" s="2">
        <v>2.0957539040881201</v>
      </c>
      <c r="B1085" s="3">
        <v>1.2586098513062201</v>
      </c>
      <c r="C1085" s="3">
        <v>7.5671704514404898E-3</v>
      </c>
      <c r="D1085" s="4">
        <v>1.92721944081631E-2</v>
      </c>
      <c r="E1085" s="3" t="s">
        <v>15491</v>
      </c>
      <c r="F1085" s="3" t="s">
        <v>15492</v>
      </c>
      <c r="G1085" s="3">
        <v>17287</v>
      </c>
      <c r="H1085" s="7" t="str">
        <f>HYPERLINK("http://www.ensembl.org/Mus_musculus/Gene/Summary?db=core;g=ENSMUSG00000023914","ENSMUSG00000023914")</f>
        <v>ENSMUSG00000023914</v>
      </c>
      <c r="I1085" s="7" t="str">
        <f>HYPERLINK("http://www.informatics.jax.org/marker/MGI:96963","MGI:96963")</f>
        <v>MGI:96963</v>
      </c>
      <c r="J1085" s="4" t="s">
        <v>12</v>
      </c>
    </row>
    <row r="1086" spans="1:10" x14ac:dyDescent="0.25">
      <c r="A1086" s="2">
        <v>1.8418527767428801</v>
      </c>
      <c r="B1086" s="3">
        <v>1.25854652081277</v>
      </c>
      <c r="C1086" s="3">
        <v>7.3223427987432598E-3</v>
      </c>
      <c r="D1086" s="4">
        <v>1.8699378398240998E-2</v>
      </c>
      <c r="E1086" s="3" t="s">
        <v>15449</v>
      </c>
      <c r="F1086" s="3" t="s">
        <v>15450</v>
      </c>
      <c r="G1086" s="3" t="s">
        <v>83</v>
      </c>
      <c r="H1086" s="7" t="str">
        <f>HYPERLINK("http://www.ensembl.org/Mus_musculus/Gene/Summary?db=core;g=ENSMUSG00000115355","ENSMUSG00000115355")</f>
        <v>ENSMUSG00000115355</v>
      </c>
      <c r="I1086" s="7" t="str">
        <f>HYPERLINK("http://www.informatics.jax.org/marker/MGI:1925365","MGI:1925365")</f>
        <v>MGI:1925365</v>
      </c>
      <c r="J1086" s="4" t="s">
        <v>939</v>
      </c>
    </row>
    <row r="1087" spans="1:10" x14ac:dyDescent="0.25">
      <c r="A1087" s="2">
        <v>31.680078836105501</v>
      </c>
      <c r="B1087" s="3">
        <v>1.2579303143081799</v>
      </c>
      <c r="C1087" s="5">
        <v>2.23752489677354E-6</v>
      </c>
      <c r="D1087" s="6">
        <v>8.9446565911969003E-6</v>
      </c>
      <c r="E1087" s="3" t="s">
        <v>9881</v>
      </c>
      <c r="F1087" s="3" t="s">
        <v>9882</v>
      </c>
      <c r="G1087" s="3">
        <v>381290</v>
      </c>
      <c r="H1087" s="7" t="str">
        <f>HYPERLINK("http://www.ensembl.org/Mus_musculus/Gene/Summary?db=core;g=ENSMUSG00000026463","ENSMUSG00000026463")</f>
        <v>ENSMUSG00000026463</v>
      </c>
      <c r="I1087" s="7" t="str">
        <f>HYPERLINK("http://www.informatics.jax.org/marker/MGI:88111","MGI:88111")</f>
        <v>MGI:88111</v>
      </c>
      <c r="J1087" s="4" t="s">
        <v>12</v>
      </c>
    </row>
    <row r="1088" spans="1:10" x14ac:dyDescent="0.25">
      <c r="A1088" s="2">
        <v>1.5490757104539199</v>
      </c>
      <c r="B1088" s="3">
        <v>1.25724644778947</v>
      </c>
      <c r="C1088" s="3">
        <v>7.4544810704553297E-3</v>
      </c>
      <c r="D1088" s="4">
        <v>1.8999918147780698E-2</v>
      </c>
      <c r="E1088" s="3" t="s">
        <v>15479</v>
      </c>
      <c r="F1088" s="3" t="s">
        <v>15480</v>
      </c>
      <c r="G1088" s="3">
        <v>269346</v>
      </c>
      <c r="H1088" s="7" t="str">
        <f>HYPERLINK("http://www.ensembl.org/Mus_musculus/Gene/Summary?db=core;g=ENSMUSG00000027219","ENSMUSG00000027219")</f>
        <v>ENSMUSG00000027219</v>
      </c>
      <c r="I1088" s="7" t="str">
        <f>HYPERLINK("http://www.informatics.jax.org/marker/MGI:1913105","MGI:1913105")</f>
        <v>MGI:1913105</v>
      </c>
      <c r="J1088" s="4" t="s">
        <v>12</v>
      </c>
    </row>
    <row r="1089" spans="1:10" x14ac:dyDescent="0.25">
      <c r="A1089" s="2">
        <v>12.788012286077</v>
      </c>
      <c r="B1089" s="3">
        <v>1.2567861430157301</v>
      </c>
      <c r="C1089" s="3">
        <v>3.6402595612256499E-4</v>
      </c>
      <c r="D1089" s="4">
        <v>1.14108915192131E-3</v>
      </c>
      <c r="E1089" s="3" t="s">
        <v>12595</v>
      </c>
      <c r="F1089" s="3" t="s">
        <v>12596</v>
      </c>
      <c r="G1089" s="3" t="s">
        <v>83</v>
      </c>
      <c r="H1089" s="7" t="str">
        <f>HYPERLINK("http://www.ensembl.org/Mus_musculus/Gene/Summary?db=core;g=ENSMUSG00000104943","ENSMUSG00000104943")</f>
        <v>ENSMUSG00000104943</v>
      </c>
      <c r="I1089" s="7" t="str">
        <f>HYPERLINK("http://www.informatics.jax.org/marker/MGI:5663005","MGI:5663005")</f>
        <v>MGI:5663005</v>
      </c>
      <c r="J1089" s="4" t="s">
        <v>4024</v>
      </c>
    </row>
    <row r="1090" spans="1:10" x14ac:dyDescent="0.25">
      <c r="A1090" s="2">
        <v>941.49085361570303</v>
      </c>
      <c r="B1090" s="3">
        <v>1.25548256027015</v>
      </c>
      <c r="C1090" s="5">
        <v>8.6496415507357202E-45</v>
      </c>
      <c r="D1090" s="6">
        <v>2.0281918118966499E-43</v>
      </c>
      <c r="E1090" s="3" t="s">
        <v>1698</v>
      </c>
      <c r="F1090" s="3" t="s">
        <v>1699</v>
      </c>
      <c r="G1090" s="3">
        <v>16423</v>
      </c>
      <c r="H1090" s="7" t="str">
        <f>HYPERLINK("http://www.ensembl.org/Mus_musculus/Gene/Summary?db=core;g=ENSMUSG00000055447","ENSMUSG00000055447")</f>
        <v>ENSMUSG00000055447</v>
      </c>
      <c r="I1090" s="7" t="str">
        <f>HYPERLINK("http://www.informatics.jax.org/marker/MGI:96617","MGI:96617")</f>
        <v>MGI:96617</v>
      </c>
      <c r="J1090" s="4" t="s">
        <v>12</v>
      </c>
    </row>
    <row r="1091" spans="1:10" x14ac:dyDescent="0.25">
      <c r="A1091" s="2">
        <v>406.10375217886099</v>
      </c>
      <c r="B1091" s="3">
        <v>1.2551932017241401</v>
      </c>
      <c r="C1091" s="5">
        <v>1.6232314525864001E-19</v>
      </c>
      <c r="D1091" s="6">
        <v>1.57996664585409E-18</v>
      </c>
      <c r="E1091" s="3" t="s">
        <v>4069</v>
      </c>
      <c r="F1091" s="3" t="s">
        <v>4070</v>
      </c>
      <c r="G1091" s="3">
        <v>225912</v>
      </c>
      <c r="H1091" s="7" t="str">
        <f>HYPERLINK("http://www.ensembl.org/Mus_musculus/Gene/Summary?db=core;g=ENSMUSG00000034445","ENSMUSG00000034445")</f>
        <v>ENSMUSG00000034445</v>
      </c>
      <c r="I1091" s="7" t="str">
        <f>HYPERLINK("http://www.informatics.jax.org/marker/MGI:2686925","MGI:2686925")</f>
        <v>MGI:2686925</v>
      </c>
      <c r="J1091" s="4" t="s">
        <v>12</v>
      </c>
    </row>
    <row r="1092" spans="1:10" x14ac:dyDescent="0.25">
      <c r="A1092" s="2">
        <v>2.7471494136816199</v>
      </c>
      <c r="B1092" s="3">
        <v>1.25513867429076</v>
      </c>
      <c r="C1092" s="3">
        <v>7.0284528145943097E-3</v>
      </c>
      <c r="D1092" s="4">
        <v>1.8032928636976302E-2</v>
      </c>
      <c r="E1092" s="3" t="s">
        <v>15377</v>
      </c>
      <c r="F1092" s="3" t="s">
        <v>15378</v>
      </c>
      <c r="G1092" s="3" t="s">
        <v>83</v>
      </c>
      <c r="H1092" s="7" t="str">
        <f>HYPERLINK("http://www.ensembl.org/Mus_musculus/Gene/Summary?db=core;g=ENSMUSG00000097712","ENSMUSG00000097712")</f>
        <v>ENSMUSG00000097712</v>
      </c>
      <c r="I1092" s="7" t="str">
        <f>HYPERLINK("http://www.informatics.jax.org/marker/MGI:3641671","MGI:3641671")</f>
        <v>MGI:3641671</v>
      </c>
      <c r="J1092" s="4" t="s">
        <v>932</v>
      </c>
    </row>
    <row r="1093" spans="1:10" x14ac:dyDescent="0.25">
      <c r="A1093" s="2">
        <v>1236.1434130386101</v>
      </c>
      <c r="B1093" s="3">
        <v>1.2549450859495599</v>
      </c>
      <c r="C1093" s="5">
        <v>8.5644688717958697E-66</v>
      </c>
      <c r="D1093" s="6">
        <v>3.5858031030109302E-64</v>
      </c>
      <c r="E1093" s="3" t="s">
        <v>956</v>
      </c>
      <c r="F1093" s="3" t="s">
        <v>957</v>
      </c>
      <c r="G1093" s="3">
        <v>22670</v>
      </c>
      <c r="H1093" s="7" t="str">
        <f>HYPERLINK("http://www.ensembl.org/Mus_musculus/Gene/Summary?db=core;g=ENSMUSG00000024457","ENSMUSG00000024457")</f>
        <v>ENSMUSG00000024457</v>
      </c>
      <c r="I1093" s="7" t="str">
        <f>HYPERLINK("http://www.informatics.jax.org/marker/MGI:1337056","MGI:1337056")</f>
        <v>MGI:1337056</v>
      </c>
      <c r="J1093" s="4" t="s">
        <v>12</v>
      </c>
    </row>
    <row r="1094" spans="1:10" x14ac:dyDescent="0.25">
      <c r="A1094" s="2">
        <v>4.7282292363633802</v>
      </c>
      <c r="B1094" s="3">
        <v>1.2537881688085799</v>
      </c>
      <c r="C1094" s="3">
        <v>3.8851884012632001E-3</v>
      </c>
      <c r="D1094" s="4">
        <v>1.04795397719752E-2</v>
      </c>
      <c r="E1094" s="3" t="s">
        <v>14625</v>
      </c>
      <c r="F1094" s="3" t="s">
        <v>14626</v>
      </c>
      <c r="G1094" s="3" t="s">
        <v>83</v>
      </c>
      <c r="H1094" s="7" t="str">
        <f>HYPERLINK("http://www.ensembl.org/Mus_musculus/Gene/Summary?db=core;g=ENSMUSG00000109899","ENSMUSG00000109899")</f>
        <v>ENSMUSG00000109899</v>
      </c>
      <c r="I1094" s="7" t="str">
        <f>HYPERLINK("http://www.informatics.jax.org/marker/MGI:3644785","MGI:3644785")</f>
        <v>MGI:3644785</v>
      </c>
      <c r="J1094" s="4" t="s">
        <v>1043</v>
      </c>
    </row>
    <row r="1095" spans="1:10" x14ac:dyDescent="0.25">
      <c r="A1095" s="2">
        <v>1263.37152560803</v>
      </c>
      <c r="B1095" s="3">
        <v>1.25337487257114</v>
      </c>
      <c r="C1095" s="5">
        <v>1.1623574856255899E-59</v>
      </c>
      <c r="D1095" s="6">
        <v>4.14497099756541E-58</v>
      </c>
      <c r="E1095" s="3" t="s">
        <v>1122</v>
      </c>
      <c r="F1095" s="3" t="s">
        <v>1123</v>
      </c>
      <c r="G1095" s="3">
        <v>69053</v>
      </c>
      <c r="H1095" s="7" t="str">
        <f>HYPERLINK("http://www.ensembl.org/Mus_musculus/Gene/Summary?db=core;g=ENSMUSG00000022507","ENSMUSG00000022507")</f>
        <v>ENSMUSG00000022507</v>
      </c>
      <c r="I1095" s="7" t="str">
        <f>HYPERLINK("http://www.informatics.jax.org/marker/MGI:1916303","MGI:1916303")</f>
        <v>MGI:1916303</v>
      </c>
      <c r="J1095" s="4" t="s">
        <v>12</v>
      </c>
    </row>
    <row r="1096" spans="1:10" x14ac:dyDescent="0.25">
      <c r="A1096" s="2">
        <v>1332.48811489685</v>
      </c>
      <c r="B1096" s="3">
        <v>1.25310528368176</v>
      </c>
      <c r="C1096" s="5">
        <v>2.4385304423973001E-59</v>
      </c>
      <c r="D1096" s="6">
        <v>8.5871107721562001E-58</v>
      </c>
      <c r="E1096" s="3" t="s">
        <v>1136</v>
      </c>
      <c r="F1096" s="3" t="s">
        <v>1137</v>
      </c>
      <c r="G1096" s="3">
        <v>235283</v>
      </c>
      <c r="H1096" s="7" t="str">
        <f>HYPERLINK("http://www.ensembl.org/Mus_musculus/Gene/Summary?db=core;g=ENSMUSG00000040111","ENSMUSG00000040111")</f>
        <v>ENSMUSG00000040111</v>
      </c>
      <c r="I1096" s="7" t="str">
        <f>HYPERLINK("http://www.informatics.jax.org/marker/MGI:1925037","MGI:1925037")</f>
        <v>MGI:1925037</v>
      </c>
      <c r="J1096" s="4" t="s">
        <v>12</v>
      </c>
    </row>
    <row r="1097" spans="1:10" x14ac:dyDescent="0.25">
      <c r="A1097" s="2">
        <v>1014.40417089159</v>
      </c>
      <c r="B1097" s="3">
        <v>1.2530346960560399</v>
      </c>
      <c r="C1097" s="5">
        <v>1.02991100803431E-75</v>
      </c>
      <c r="D1097" s="6">
        <v>5.3446960732727897E-74</v>
      </c>
      <c r="E1097" s="3" t="s">
        <v>772</v>
      </c>
      <c r="F1097" s="3" t="s">
        <v>773</v>
      </c>
      <c r="G1097" s="3">
        <v>21753</v>
      </c>
      <c r="H1097" s="7" t="str">
        <f>HYPERLINK("http://www.ensembl.org/Mus_musculus/Gene/Summary?db=core;g=ENSMUSG00000029552","ENSMUSG00000029552")</f>
        <v>ENSMUSG00000029552</v>
      </c>
      <c r="I1097" s="7" t="str">
        <f>HYPERLINK("http://www.informatics.jax.org/marker/MGI:105081","MGI:105081")</f>
        <v>MGI:105081</v>
      </c>
      <c r="J1097" s="4" t="s">
        <v>12</v>
      </c>
    </row>
    <row r="1098" spans="1:10" x14ac:dyDescent="0.25">
      <c r="A1098" s="2">
        <v>0.97237759681118796</v>
      </c>
      <c r="B1098" s="3">
        <v>1.2525416735305399</v>
      </c>
      <c r="C1098" s="3">
        <v>5.7553632555361403E-3</v>
      </c>
      <c r="D1098" s="4">
        <v>1.5034542773767701E-2</v>
      </c>
      <c r="E1098" s="3" t="s">
        <v>15102</v>
      </c>
      <c r="F1098" s="3" t="s">
        <v>15103</v>
      </c>
      <c r="G1098" s="3">
        <v>229672</v>
      </c>
      <c r="H1098" s="7" t="str">
        <f>HYPERLINK("http://www.ensembl.org/Mus_musculus/Gene/Summary?db=core;g=ENSMUSG00000044165","ENSMUSG00000044165")</f>
        <v>ENSMUSG00000044165</v>
      </c>
      <c r="I1098" s="7" t="str">
        <f>HYPERLINK("http://www.informatics.jax.org/marker/MGI:2685412","MGI:2685412")</f>
        <v>MGI:2685412</v>
      </c>
      <c r="J1098" s="4" t="s">
        <v>12</v>
      </c>
    </row>
    <row r="1099" spans="1:10" x14ac:dyDescent="0.25">
      <c r="A1099" s="2">
        <v>25.4641842224386</v>
      </c>
      <c r="B1099" s="3">
        <v>1.25250521730577</v>
      </c>
      <c r="C1099" s="5">
        <v>5.6036296957216503E-8</v>
      </c>
      <c r="D1099" s="6">
        <v>2.5927634349983801E-7</v>
      </c>
      <c r="E1099" s="3" t="s">
        <v>8541</v>
      </c>
      <c r="F1099" s="3" t="s">
        <v>8542</v>
      </c>
      <c r="G1099" s="3" t="s">
        <v>83</v>
      </c>
      <c r="H1099" s="7" t="str">
        <f>HYPERLINK("http://www.ensembl.org/Mus_musculus/Gene/Summary?db=core;g=ENSMUSG00000112134","ENSMUSG00000112134")</f>
        <v>ENSMUSG00000112134</v>
      </c>
      <c r="I1099" s="7" t="str">
        <f>HYPERLINK("http://www.informatics.jax.org/marker/MGI:5623608","MGI:5623608")</f>
        <v>MGI:5623608</v>
      </c>
      <c r="J1099" s="4" t="s">
        <v>939</v>
      </c>
    </row>
    <row r="1100" spans="1:10" x14ac:dyDescent="0.25">
      <c r="A1100" s="2">
        <v>828.94296848552005</v>
      </c>
      <c r="B1100" s="3">
        <v>1.2524675205479601</v>
      </c>
      <c r="C1100" s="5">
        <v>4.0873108667286799E-7</v>
      </c>
      <c r="D1100" s="6">
        <v>1.7590958160604501E-6</v>
      </c>
      <c r="E1100" s="3" t="s">
        <v>9179</v>
      </c>
      <c r="F1100" s="3" t="s">
        <v>9180</v>
      </c>
      <c r="G1100" s="3">
        <v>16952</v>
      </c>
      <c r="H1100" s="7" t="str">
        <f>HYPERLINK("http://www.ensembl.org/Mus_musculus/Gene/Summary?db=core;g=ENSMUSG00000024659","ENSMUSG00000024659")</f>
        <v>ENSMUSG00000024659</v>
      </c>
      <c r="I1100" s="7" t="str">
        <f>HYPERLINK("http://www.informatics.jax.org/marker/MGI:96819","MGI:96819")</f>
        <v>MGI:96819</v>
      </c>
      <c r="J1100" s="4" t="s">
        <v>12</v>
      </c>
    </row>
    <row r="1101" spans="1:10" x14ac:dyDescent="0.25">
      <c r="A1101" s="2">
        <v>12.165214861598599</v>
      </c>
      <c r="B1101" s="3">
        <v>1.25191145153281</v>
      </c>
      <c r="C1101" s="5">
        <v>6.4985283324482895E-5</v>
      </c>
      <c r="D1101" s="4">
        <v>2.23727267311244E-4</v>
      </c>
      <c r="E1101" s="3" t="s">
        <v>11467</v>
      </c>
      <c r="F1101" s="3" t="s">
        <v>11468</v>
      </c>
      <c r="G1101" s="3" t="s">
        <v>83</v>
      </c>
      <c r="H1101" s="7" t="str">
        <f>HYPERLINK("http://www.ensembl.org/Mus_musculus/Gene/Summary?db=core;g=ENSMUSG00000084968","ENSMUSG00000084968")</f>
        <v>ENSMUSG00000084968</v>
      </c>
      <c r="I1101" s="7" t="str">
        <f>HYPERLINK("http://www.informatics.jax.org/marker/MGI:3651449","MGI:3651449")</f>
        <v>MGI:3651449</v>
      </c>
      <c r="J1101" s="4" t="s">
        <v>331</v>
      </c>
    </row>
    <row r="1102" spans="1:10" x14ac:dyDescent="0.25">
      <c r="A1102" s="2">
        <v>2.7197045114612401</v>
      </c>
      <c r="B1102" s="3">
        <v>1.25119489421657</v>
      </c>
      <c r="C1102" s="3">
        <v>5.67099039104793E-3</v>
      </c>
      <c r="D1102" s="4">
        <v>1.48337883686782E-2</v>
      </c>
      <c r="E1102" s="3" t="s">
        <v>15082</v>
      </c>
      <c r="F1102" s="3" t="s">
        <v>15083</v>
      </c>
      <c r="G1102" s="3" t="s">
        <v>83</v>
      </c>
      <c r="H1102" s="7" t="str">
        <f>HYPERLINK("http://www.ensembl.org/Mus_musculus/Gene/Summary?db=core;g=ENSMUSG00000109495","ENSMUSG00000109495")</f>
        <v>ENSMUSG00000109495</v>
      </c>
      <c r="I1102" s="7" t="str">
        <f>HYPERLINK("http://www.informatics.jax.org/marker/MGI:6096800","MGI:6096800")</f>
        <v>MGI:6096800</v>
      </c>
      <c r="J1102" s="4" t="s">
        <v>1043</v>
      </c>
    </row>
    <row r="1103" spans="1:10" x14ac:dyDescent="0.25">
      <c r="A1103" s="2">
        <v>2198.0872859813599</v>
      </c>
      <c r="B1103" s="3">
        <v>1.24901998120755</v>
      </c>
      <c r="C1103" s="5">
        <v>8.2183326453267899E-131</v>
      </c>
      <c r="D1103" s="6">
        <v>1.2094441773570501E-128</v>
      </c>
      <c r="E1103" s="3" t="s">
        <v>278</v>
      </c>
      <c r="F1103" s="3" t="s">
        <v>279</v>
      </c>
      <c r="G1103" s="3">
        <v>233977</v>
      </c>
      <c r="H1103" s="7" t="str">
        <f>HYPERLINK("http://www.ensembl.org/Mus_musculus/Gene/Summary?db=core;g=ENSMUSG00000037519","ENSMUSG00000037519")</f>
        <v>ENSMUSG00000037519</v>
      </c>
      <c r="I1103" s="7" t="str">
        <f>HYPERLINK("http://www.informatics.jax.org/marker/MGI:1924750","MGI:1924750")</f>
        <v>MGI:1924750</v>
      </c>
      <c r="J1103" s="4" t="s">
        <v>12</v>
      </c>
    </row>
    <row r="1104" spans="1:10" x14ac:dyDescent="0.25">
      <c r="A1104" s="2">
        <v>18.576993117179601</v>
      </c>
      <c r="B1104" s="3">
        <v>1.2486111336788299</v>
      </c>
      <c r="C1104" s="5">
        <v>5.0898095653800703E-6</v>
      </c>
      <c r="D1104" s="6">
        <v>1.9634398401661801E-5</v>
      </c>
      <c r="E1104" s="3" t="s">
        <v>10238</v>
      </c>
      <c r="F1104" s="3" t="s">
        <v>10239</v>
      </c>
      <c r="G1104" s="3">
        <v>319149</v>
      </c>
      <c r="H1104" s="7" t="str">
        <f>HYPERLINK("http://www.ensembl.org/Mus_musculus/Gene/Summary?db=core;g=ENSMUSG00000099583","ENSMUSG00000099583")</f>
        <v>ENSMUSG00000099583</v>
      </c>
      <c r="I1104" s="7" t="str">
        <f>HYPERLINK("http://www.informatics.jax.org/marker/MGI:2448322","MGI:2448322")</f>
        <v>MGI:2448322</v>
      </c>
      <c r="J1104" s="4" t="s">
        <v>12</v>
      </c>
    </row>
    <row r="1105" spans="1:10" x14ac:dyDescent="0.25">
      <c r="A1105" s="2">
        <v>2954.6569282443102</v>
      </c>
      <c r="B1105" s="3">
        <v>1.24704589342824</v>
      </c>
      <c r="C1105" s="5">
        <v>8.51167428353988E-77</v>
      </c>
      <c r="D1105" s="6">
        <v>4.5487863650787698E-75</v>
      </c>
      <c r="E1105" s="3" t="s">
        <v>750</v>
      </c>
      <c r="F1105" s="3" t="s">
        <v>751</v>
      </c>
      <c r="G1105" s="3">
        <v>212307</v>
      </c>
      <c r="H1105" s="7" t="str">
        <f>HYPERLINK("http://www.ensembl.org/Mus_musculus/Gene/Summary?db=core;g=ENSMUSG00000024277","ENSMUSG00000024277")</f>
        <v>ENSMUSG00000024277</v>
      </c>
      <c r="I1105" s="7" t="str">
        <f>HYPERLINK("http://www.informatics.jax.org/marker/MGI:106271","MGI:106271")</f>
        <v>MGI:106271</v>
      </c>
      <c r="J1105" s="4" t="s">
        <v>12</v>
      </c>
    </row>
    <row r="1106" spans="1:10" x14ac:dyDescent="0.25">
      <c r="A1106" s="2">
        <v>145.184635259728</v>
      </c>
      <c r="B1106" s="3">
        <v>1.2456506881231399</v>
      </c>
      <c r="C1106" s="5">
        <v>1.37148270015701E-28</v>
      </c>
      <c r="D1106" s="6">
        <v>1.9208550317539999E-27</v>
      </c>
      <c r="E1106" s="3" t="s">
        <v>2834</v>
      </c>
      <c r="F1106" s="3" t="s">
        <v>2835</v>
      </c>
      <c r="G1106" s="3">
        <v>103213</v>
      </c>
      <c r="H1106" s="7" t="str">
        <f>HYPERLINK("http://www.ensembl.org/Mus_musculus/Gene/Summary?db=core;g=ENSMUSG00000019842","ENSMUSG00000019842")</f>
        <v>ENSMUSG00000019842</v>
      </c>
      <c r="I1106" s="7" t="str">
        <f>HYPERLINK("http://www.informatics.jax.org/marker/MGI:2143599","MGI:2143599")</f>
        <v>MGI:2143599</v>
      </c>
      <c r="J1106" s="4" t="s">
        <v>12</v>
      </c>
    </row>
    <row r="1107" spans="1:10" x14ac:dyDescent="0.25">
      <c r="A1107" s="2">
        <v>5.7580391771549202</v>
      </c>
      <c r="B1107" s="3">
        <v>1.24438230441801</v>
      </c>
      <c r="C1107" s="3">
        <v>1.27327211020964E-3</v>
      </c>
      <c r="D1107" s="4">
        <v>3.7017434783037199E-3</v>
      </c>
      <c r="E1107" s="3" t="s">
        <v>13575</v>
      </c>
      <c r="F1107" s="3" t="s">
        <v>13576</v>
      </c>
      <c r="G1107" s="3">
        <v>110454</v>
      </c>
      <c r="H1107" s="7" t="str">
        <f>HYPERLINK("http://www.ensembl.org/Mus_musculus/Gene/Summary?db=core;g=ENSMUSG00000075602","ENSMUSG00000075602")</f>
        <v>ENSMUSG00000075602</v>
      </c>
      <c r="I1107" s="7" t="str">
        <f>HYPERLINK("http://www.informatics.jax.org/marker/MGI:107527","MGI:107527")</f>
        <v>MGI:107527</v>
      </c>
      <c r="J1107" s="4" t="s">
        <v>12</v>
      </c>
    </row>
    <row r="1108" spans="1:10" x14ac:dyDescent="0.25">
      <c r="A1108" s="2">
        <v>9.8920807165892199</v>
      </c>
      <c r="B1108" s="3">
        <v>1.2443370670785601</v>
      </c>
      <c r="C1108" s="3">
        <v>1.79267951198128E-3</v>
      </c>
      <c r="D1108" s="4">
        <v>5.0983040058077298E-3</v>
      </c>
      <c r="E1108" s="3" t="s">
        <v>13875</v>
      </c>
      <c r="F1108" s="3" t="s">
        <v>13876</v>
      </c>
      <c r="G1108" s="3" t="s">
        <v>83</v>
      </c>
      <c r="H1108" s="7" t="str">
        <f>HYPERLINK("http://www.ensembl.org/Mus_musculus/Gene/Summary?db=core;g=ENSMUSG00000102856","ENSMUSG00000102856")</f>
        <v>ENSMUSG00000102856</v>
      </c>
      <c r="I1108" s="7" t="str">
        <f>HYPERLINK("http://www.informatics.jax.org/marker/MGI:5610312","MGI:5610312")</f>
        <v>MGI:5610312</v>
      </c>
      <c r="J1108" s="4" t="s">
        <v>1828</v>
      </c>
    </row>
    <row r="1109" spans="1:10" x14ac:dyDescent="0.25">
      <c r="A1109" s="2">
        <v>1644.28642441737</v>
      </c>
      <c r="B1109" s="3">
        <v>1.24227007738906</v>
      </c>
      <c r="C1109" s="5">
        <v>1.4862623073824699E-87</v>
      </c>
      <c r="D1109" s="6">
        <v>9.8023721409974506E-86</v>
      </c>
      <c r="E1109" s="3" t="s">
        <v>610</v>
      </c>
      <c r="F1109" s="3" t="s">
        <v>611</v>
      </c>
      <c r="G1109" s="3">
        <v>17936</v>
      </c>
      <c r="H1109" s="7" t="str">
        <f>HYPERLINK("http://www.ensembl.org/Mus_musculus/Gene/Summary?db=core;g=ENSMUSG00000002881","ENSMUSG00000002881")</f>
        <v>ENSMUSG00000002881</v>
      </c>
      <c r="I1109" s="7" t="str">
        <f>HYPERLINK("http://www.informatics.jax.org/marker/MGI:107564","MGI:107564")</f>
        <v>MGI:107564</v>
      </c>
      <c r="J1109" s="4" t="s">
        <v>12</v>
      </c>
    </row>
    <row r="1110" spans="1:10" x14ac:dyDescent="0.25">
      <c r="A1110" s="2">
        <v>754.82567424325998</v>
      </c>
      <c r="B1110" s="3">
        <v>1.24184708194252</v>
      </c>
      <c r="C1110" s="5">
        <v>1.6889548984040701E-24</v>
      </c>
      <c r="D1110" s="6">
        <v>2.02469243747892E-23</v>
      </c>
      <c r="E1110" s="3" t="s">
        <v>3310</v>
      </c>
      <c r="F1110" s="3" t="s">
        <v>3311</v>
      </c>
      <c r="G1110" s="3">
        <v>67800</v>
      </c>
      <c r="H1110" s="7" t="str">
        <f>HYPERLINK("http://www.ensembl.org/Mus_musculus/Gene/Summary?db=core;g=ENSMUSG00000030747","ENSMUSG00000030747")</f>
        <v>ENSMUSG00000030747</v>
      </c>
      <c r="I1110" s="7" t="str">
        <f>HYPERLINK("http://www.informatics.jax.org/marker/MGI:1915050","MGI:1915050")</f>
        <v>MGI:1915050</v>
      </c>
      <c r="J1110" s="4" t="s">
        <v>12</v>
      </c>
    </row>
    <row r="1111" spans="1:10" x14ac:dyDescent="0.25">
      <c r="A1111" s="2">
        <v>23.995669939923399</v>
      </c>
      <c r="B1111" s="3">
        <v>1.24144705329801</v>
      </c>
      <c r="C1111" s="5">
        <v>3.33663798480812E-7</v>
      </c>
      <c r="D1111" s="6">
        <v>1.4486680110175301E-6</v>
      </c>
      <c r="E1111" s="3" t="s">
        <v>9099</v>
      </c>
      <c r="F1111" s="3" t="s">
        <v>9100</v>
      </c>
      <c r="G1111" s="3">
        <v>69068</v>
      </c>
      <c r="H1111" s="7" t="str">
        <f>HYPERLINK("http://www.ensembl.org/Mus_musculus/Gene/Summary?db=core;g=ENSMUSG00000056313","ENSMUSG00000056313")</f>
        <v>ENSMUSG00000056313</v>
      </c>
      <c r="I1111" s="7" t="str">
        <f>HYPERLINK("http://www.informatics.jax.org/marker/MGI:1916318","MGI:1916318")</f>
        <v>MGI:1916318</v>
      </c>
      <c r="J1111" s="4" t="s">
        <v>12</v>
      </c>
    </row>
    <row r="1112" spans="1:10" x14ac:dyDescent="0.25">
      <c r="A1112" s="2">
        <v>1.45540074894948</v>
      </c>
      <c r="B1112" s="3">
        <v>1.24110212936585</v>
      </c>
      <c r="C1112" s="3">
        <v>8.34166333661664E-3</v>
      </c>
      <c r="D1112" s="4">
        <v>2.1046264201391999E-2</v>
      </c>
      <c r="E1112" s="3" t="s">
        <v>15637</v>
      </c>
      <c r="F1112" s="3" t="s">
        <v>15638</v>
      </c>
      <c r="G1112" s="3" t="s">
        <v>83</v>
      </c>
      <c r="H1112" s="7" t="str">
        <f>HYPERLINK("http://www.ensembl.org/Mus_musculus/Gene/Summary?db=core;g=ENSMUSG00000065422","ENSMUSG00000065422")</f>
        <v>ENSMUSG00000065422</v>
      </c>
      <c r="I1112" s="7" t="str">
        <f>HYPERLINK("http://www.informatics.jax.org/marker/MGI:3619066","MGI:3619066")</f>
        <v>MGI:3619066</v>
      </c>
      <c r="J1112" s="4" t="s">
        <v>6715</v>
      </c>
    </row>
    <row r="1113" spans="1:10" x14ac:dyDescent="0.25">
      <c r="A1113" s="2">
        <v>5.4462149664668802</v>
      </c>
      <c r="B1113" s="3">
        <v>1.2410666880280301</v>
      </c>
      <c r="C1113" s="3">
        <v>3.3551491113830399E-3</v>
      </c>
      <c r="D1113" s="4">
        <v>9.1272645159985698E-3</v>
      </c>
      <c r="E1113" s="3" t="s">
        <v>14501</v>
      </c>
      <c r="F1113" s="3" t="s">
        <v>14502</v>
      </c>
      <c r="G1113" s="3" t="s">
        <v>83</v>
      </c>
      <c r="H1113" s="7" t="str">
        <f>HYPERLINK("http://www.ensembl.org/Mus_musculus/Gene/Summary?db=core;g=ENSMUSG00000098985","ENSMUSG00000098985")</f>
        <v>ENSMUSG00000098985</v>
      </c>
      <c r="I1113" s="7" t="str">
        <f>HYPERLINK("http://www.informatics.jax.org/marker/MGI:5521062","MGI:5521062")</f>
        <v>MGI:5521062</v>
      </c>
      <c r="J1113" s="4" t="s">
        <v>1043</v>
      </c>
    </row>
    <row r="1114" spans="1:10" x14ac:dyDescent="0.25">
      <c r="A1114" s="2">
        <v>1.3744673814802799</v>
      </c>
      <c r="B1114" s="3">
        <v>1.24105107322942</v>
      </c>
      <c r="C1114" s="3">
        <v>8.4494078518128207E-3</v>
      </c>
      <c r="D1114" s="4">
        <v>2.1290866705564598E-2</v>
      </c>
      <c r="E1114" s="3" t="s">
        <v>15657</v>
      </c>
      <c r="F1114" s="3" t="s">
        <v>15658</v>
      </c>
      <c r="G1114" s="3" t="s">
        <v>83</v>
      </c>
      <c r="H1114" s="7" t="str">
        <f>HYPERLINK("http://www.ensembl.org/Mus_musculus/Gene/Summary?db=core;g=ENSMUSG00000118047","ENSMUSG00000118047")</f>
        <v>ENSMUSG00000118047</v>
      </c>
      <c r="I1114" s="7" t="str">
        <f>HYPERLINK("http://www.informatics.jax.org/marker/MGI:1922604","MGI:1922604")</f>
        <v>MGI:1922604</v>
      </c>
      <c r="J1114" s="4" t="s">
        <v>939</v>
      </c>
    </row>
    <row r="1115" spans="1:10" x14ac:dyDescent="0.25">
      <c r="A1115" s="2">
        <v>6123.8397098238202</v>
      </c>
      <c r="B1115" s="3">
        <v>1.2409498765387399</v>
      </c>
      <c r="C1115" s="5">
        <v>2.0260574689585201E-112</v>
      </c>
      <c r="D1115" s="6">
        <v>2.0384619024419401E-110</v>
      </c>
      <c r="E1115" s="3" t="s">
        <v>404</v>
      </c>
      <c r="F1115" s="3" t="s">
        <v>405</v>
      </c>
      <c r="G1115" s="3">
        <v>20375</v>
      </c>
      <c r="H1115" s="7" t="str">
        <f>HYPERLINK("http://www.ensembl.org/Mus_musculus/Gene/Summary?db=core;g=ENSMUSG00000002111","ENSMUSG00000002111")</f>
        <v>ENSMUSG00000002111</v>
      </c>
      <c r="I1115" s="7" t="str">
        <f>HYPERLINK("http://www.informatics.jax.org/marker/MGI:98282","MGI:98282")</f>
        <v>MGI:98282</v>
      </c>
      <c r="J1115" s="4" t="s">
        <v>12</v>
      </c>
    </row>
    <row r="1116" spans="1:10" x14ac:dyDescent="0.25">
      <c r="A1116" s="2">
        <v>343.947122472057</v>
      </c>
      <c r="B1116" s="3">
        <v>1.2406230673338201</v>
      </c>
      <c r="C1116" s="5">
        <v>1.1523612588428901E-28</v>
      </c>
      <c r="D1116" s="6">
        <v>1.61971233245772E-27</v>
      </c>
      <c r="E1116" s="3" t="s">
        <v>2824</v>
      </c>
      <c r="F1116" s="3" t="s">
        <v>2825</v>
      </c>
      <c r="G1116" s="3">
        <v>110253</v>
      </c>
      <c r="H1116" s="7" t="str">
        <f>HYPERLINK("http://www.ensembl.org/Mus_musculus/Gene/Summary?db=core;g=ENSMUSG00000033088","ENSMUSG00000033088")</f>
        <v>ENSMUSG00000033088</v>
      </c>
      <c r="I1116" s="7" t="str">
        <f>HYPERLINK("http://www.informatics.jax.org/marker/MGI:1349410","MGI:1349410")</f>
        <v>MGI:1349410</v>
      </c>
      <c r="J1116" s="4" t="s">
        <v>12</v>
      </c>
    </row>
    <row r="1117" spans="1:10" x14ac:dyDescent="0.25">
      <c r="A1117" s="2">
        <v>3329.3648952901599</v>
      </c>
      <c r="B1117" s="3">
        <v>1.2404975417586299</v>
      </c>
      <c r="C1117" s="5">
        <v>6.3506652413808004E-66</v>
      </c>
      <c r="D1117" s="6">
        <v>2.6702583914718399E-64</v>
      </c>
      <c r="E1117" s="3" t="s">
        <v>952</v>
      </c>
      <c r="F1117" s="3" t="s">
        <v>953</v>
      </c>
      <c r="G1117" s="3">
        <v>102595</v>
      </c>
      <c r="H1117" s="7" t="str">
        <f>HYPERLINK("http://www.ensembl.org/Mus_musculus/Gene/Summary?db=core;g=ENSMUSG00000050721","ENSMUSG00000050721")</f>
        <v>ENSMUSG00000050721</v>
      </c>
      <c r="I1117" s="7" t="str">
        <f>HYPERLINK("http://www.informatics.jax.org/marker/MGI:2143132","MGI:2143132")</f>
        <v>MGI:2143132</v>
      </c>
      <c r="J1117" s="4" t="s">
        <v>12</v>
      </c>
    </row>
    <row r="1118" spans="1:10" x14ac:dyDescent="0.25">
      <c r="A1118" s="2">
        <v>1973.5776160189901</v>
      </c>
      <c r="B1118" s="3">
        <v>1.24048005571409</v>
      </c>
      <c r="C1118" s="5">
        <v>4.3890258504047303E-83</v>
      </c>
      <c r="D1118" s="6">
        <v>2.6879375704963098E-81</v>
      </c>
      <c r="E1118" s="3" t="s">
        <v>656</v>
      </c>
      <c r="F1118" s="3" t="s">
        <v>657</v>
      </c>
      <c r="G1118" s="3">
        <v>27416</v>
      </c>
      <c r="H1118" s="7" t="str">
        <f>HYPERLINK("http://www.ensembl.org/Mus_musculus/Gene/Summary?db=core;g=ENSMUSG00000022822","ENSMUSG00000022822")</f>
        <v>ENSMUSG00000022822</v>
      </c>
      <c r="I1118" s="7" t="str">
        <f>HYPERLINK("http://www.informatics.jax.org/marker/MGI:1351644","MGI:1351644")</f>
        <v>MGI:1351644</v>
      </c>
      <c r="J1118" s="4" t="s">
        <v>12</v>
      </c>
    </row>
    <row r="1119" spans="1:10" x14ac:dyDescent="0.25">
      <c r="A1119" s="2">
        <v>0.86243610400558701</v>
      </c>
      <c r="B1119" s="3">
        <v>1.24000429642777</v>
      </c>
      <c r="C1119" s="3">
        <v>5.3672897226929202E-3</v>
      </c>
      <c r="D1119" s="4">
        <v>1.41180409939315E-2</v>
      </c>
      <c r="E1119" s="3" t="s">
        <v>14998</v>
      </c>
      <c r="F1119" s="3" t="s">
        <v>14999</v>
      </c>
      <c r="G1119" s="3">
        <v>93842</v>
      </c>
      <c r="H1119" s="7" t="str">
        <f>HYPERLINK("http://www.ensembl.org/Mus_musculus/Gene/Summary?db=core;g=ENSMUSG00000037995","ENSMUSG00000037995")</f>
        <v>ENSMUSG00000037995</v>
      </c>
      <c r="I1119" s="7" t="str">
        <f>HYPERLINK("http://www.informatics.jax.org/marker/MGI:2135283","MGI:2135283")</f>
        <v>MGI:2135283</v>
      </c>
      <c r="J1119" s="4" t="s">
        <v>12</v>
      </c>
    </row>
    <row r="1120" spans="1:10" x14ac:dyDescent="0.25">
      <c r="A1120" s="2">
        <v>0.95905187113943202</v>
      </c>
      <c r="B1120" s="3">
        <v>1.2398715620134</v>
      </c>
      <c r="C1120" s="3">
        <v>4.3668107702327799E-3</v>
      </c>
      <c r="D1120" s="4">
        <v>1.16764079171512E-2</v>
      </c>
      <c r="E1120" s="3" t="s">
        <v>14754</v>
      </c>
      <c r="F1120" s="3" t="s">
        <v>14755</v>
      </c>
      <c r="G1120" s="3">
        <v>23985</v>
      </c>
      <c r="H1120" s="7" t="str">
        <f>HYPERLINK("http://www.ensembl.org/Mus_musculus/Gene/Summary?db=core;g=ENSMUSG00000020651","ENSMUSG00000020651")</f>
        <v>ENSMUSG00000020651</v>
      </c>
      <c r="I1120" s="7" t="str">
        <f>HYPERLINK("http://www.informatics.jax.org/marker/MGI:1346029","MGI:1346029")</f>
        <v>MGI:1346029</v>
      </c>
      <c r="J1120" s="4" t="s">
        <v>12</v>
      </c>
    </row>
    <row r="1121" spans="1:10" x14ac:dyDescent="0.25">
      <c r="A1121" s="2">
        <v>1.3278897484587699</v>
      </c>
      <c r="B1121" s="3">
        <v>1.23934825207071</v>
      </c>
      <c r="C1121" s="3">
        <v>6.9720902850850296E-3</v>
      </c>
      <c r="D1121" s="4">
        <v>1.7897633483712198E-2</v>
      </c>
      <c r="E1121" s="3" t="s">
        <v>15367</v>
      </c>
      <c r="F1121" s="3" t="s">
        <v>15368</v>
      </c>
      <c r="G1121" s="3">
        <v>210094</v>
      </c>
      <c r="H1121" s="7" t="str">
        <f>HYPERLINK("http://www.ensembl.org/Mus_musculus/Gene/Summary?db=core;g=ENSMUSG00000013367","ENSMUSG00000013367")</f>
        <v>ENSMUSG00000013367</v>
      </c>
      <c r="I1121" s="7" t="str">
        <f>HYPERLINK("http://www.informatics.jax.org/marker/MGI:2686277","MGI:2686277")</f>
        <v>MGI:2686277</v>
      </c>
      <c r="J1121" s="4" t="s">
        <v>12</v>
      </c>
    </row>
    <row r="1122" spans="1:10" x14ac:dyDescent="0.25">
      <c r="A1122" s="2">
        <v>2692.4477964476901</v>
      </c>
      <c r="B1122" s="3">
        <v>1.23906021760228</v>
      </c>
      <c r="C1122" s="5">
        <v>5.9084296299129604E-13</v>
      </c>
      <c r="D1122" s="6">
        <v>4.0121980820207802E-12</v>
      </c>
      <c r="E1122" s="3" t="s">
        <v>5825</v>
      </c>
      <c r="F1122" s="3" t="s">
        <v>5826</v>
      </c>
      <c r="G1122" s="3">
        <v>14630</v>
      </c>
      <c r="H1122" s="7" t="str">
        <f>HYPERLINK("http://www.ensembl.org/Mus_musculus/Gene/Summary?db=core;g=ENSMUSG00000028124","ENSMUSG00000028124")</f>
        <v>ENSMUSG00000028124</v>
      </c>
      <c r="I1122" s="7" t="str">
        <f>HYPERLINK("http://www.informatics.jax.org/marker/MGI:104995","MGI:104995")</f>
        <v>MGI:104995</v>
      </c>
      <c r="J1122" s="4" t="s">
        <v>12</v>
      </c>
    </row>
    <row r="1123" spans="1:10" x14ac:dyDescent="0.25">
      <c r="A1123" s="2">
        <v>3913.9623914281101</v>
      </c>
      <c r="B1123" s="3">
        <v>1.2388681454966199</v>
      </c>
      <c r="C1123" s="5">
        <v>5.1734434282411501E-118</v>
      </c>
      <c r="D1123" s="6">
        <v>5.7638590059274304E-116</v>
      </c>
      <c r="E1123" s="3" t="s">
        <v>366</v>
      </c>
      <c r="F1123" s="3" t="s">
        <v>367</v>
      </c>
      <c r="G1123" s="3">
        <v>27225</v>
      </c>
      <c r="H1123" s="7" t="str">
        <f>HYPERLINK("http://www.ensembl.org/Mus_musculus/Gene/Summary?db=core;g=ENSMUSG00000041645","ENSMUSG00000041645")</f>
        <v>ENSMUSG00000041645</v>
      </c>
      <c r="I1123" s="7" t="str">
        <f>HYPERLINK("http://www.informatics.jax.org/marker/MGI:1351337","MGI:1351337")</f>
        <v>MGI:1351337</v>
      </c>
      <c r="J1123" s="4" t="s">
        <v>12</v>
      </c>
    </row>
    <row r="1124" spans="1:10" x14ac:dyDescent="0.25">
      <c r="A1124" s="2">
        <v>19.701354649294</v>
      </c>
      <c r="B1124" s="3">
        <v>1.23881481905375</v>
      </c>
      <c r="C1124" s="5">
        <v>1.13652343170632E-5</v>
      </c>
      <c r="D1124" s="6">
        <v>4.2351175497446302E-5</v>
      </c>
      <c r="E1124" s="3" t="s">
        <v>10597</v>
      </c>
      <c r="F1124" s="3" t="s">
        <v>10598</v>
      </c>
      <c r="G1124" s="3">
        <v>636741</v>
      </c>
      <c r="H1124" s="7" t="str">
        <f>HYPERLINK("http://www.ensembl.org/Mus_musculus/Gene/Summary?db=core;g=ENSMUSG00000091764","ENSMUSG00000091764")</f>
        <v>ENSMUSG00000091764</v>
      </c>
      <c r="I1124" s="7" t="str">
        <f>HYPERLINK("http://www.informatics.jax.org/marker/MGI:3646490","MGI:3646490")</f>
        <v>MGI:3646490</v>
      </c>
      <c r="J1124" s="4" t="s">
        <v>12</v>
      </c>
    </row>
    <row r="1125" spans="1:10" x14ac:dyDescent="0.25">
      <c r="A1125" s="2">
        <v>23.561604955322998</v>
      </c>
      <c r="B1125" s="3">
        <v>1.2386650203435901</v>
      </c>
      <c r="C1125" s="5">
        <v>2.4051455069253998E-5</v>
      </c>
      <c r="D1125" s="6">
        <v>8.6755934509911896E-5</v>
      </c>
      <c r="E1125" s="3" t="s">
        <v>10946</v>
      </c>
      <c r="F1125" s="3" t="s">
        <v>10947</v>
      </c>
      <c r="G1125" s="3" t="s">
        <v>83</v>
      </c>
      <c r="H1125" s="7" t="str">
        <f>HYPERLINK("http://www.ensembl.org/Mus_musculus/Gene/Summary?db=core;g=ENSMUSG00000097960","ENSMUSG00000097960")</f>
        <v>ENSMUSG00000097960</v>
      </c>
      <c r="I1125" s="7" t="str">
        <f>HYPERLINK("http://www.informatics.jax.org/marker/MGI:3045392","MGI:3045392")</f>
        <v>MGI:3045392</v>
      </c>
      <c r="J1125" s="4" t="s">
        <v>939</v>
      </c>
    </row>
    <row r="1126" spans="1:10" x14ac:dyDescent="0.25">
      <c r="A1126" s="2">
        <v>1.1955602038058899</v>
      </c>
      <c r="B1126" s="3">
        <v>1.23860681407244</v>
      </c>
      <c r="C1126" s="3">
        <v>7.1299593542598497E-3</v>
      </c>
      <c r="D1126" s="4">
        <v>1.8281471650761199E-2</v>
      </c>
      <c r="E1126" s="3" t="s">
        <v>15387</v>
      </c>
      <c r="F1126" s="3" t="s">
        <v>15388</v>
      </c>
      <c r="G1126" s="3" t="s">
        <v>83</v>
      </c>
      <c r="H1126" s="7" t="str">
        <f>HYPERLINK("http://www.ensembl.org/Mus_musculus/Gene/Summary?db=core;g=ENSMUSG00000082951","ENSMUSG00000082951")</f>
        <v>ENSMUSG00000082951</v>
      </c>
      <c r="I1126" s="7" t="str">
        <f>HYPERLINK("http://www.informatics.jax.org/marker/MGI:3651940","MGI:3651940")</f>
        <v>MGI:3651940</v>
      </c>
      <c r="J1126" s="4" t="s">
        <v>1043</v>
      </c>
    </row>
    <row r="1127" spans="1:10" x14ac:dyDescent="0.25">
      <c r="A1127" s="2">
        <v>1.3412447268998899</v>
      </c>
      <c r="B1127" s="3">
        <v>1.2378356493280001</v>
      </c>
      <c r="C1127" s="3">
        <v>6.2423581285795298E-3</v>
      </c>
      <c r="D1127" s="4">
        <v>1.6167494391330198E-2</v>
      </c>
      <c r="E1127" s="3" t="s">
        <v>15231</v>
      </c>
      <c r="F1127" s="3" t="s">
        <v>15232</v>
      </c>
      <c r="G1127" s="3" t="s">
        <v>83</v>
      </c>
      <c r="H1127" s="7" t="str">
        <f>HYPERLINK("http://www.ensembl.org/Mus_musculus/Gene/Summary?db=core;g=ENSMUSG00000114775","ENSMUSG00000114775")</f>
        <v>ENSMUSG00000114775</v>
      </c>
      <c r="I1127" s="7" t="str">
        <f>HYPERLINK("http://www.informatics.jax.org/marker/MGI:5592331","MGI:5592331")</f>
        <v>MGI:5592331</v>
      </c>
      <c r="J1127" s="4" t="s">
        <v>939</v>
      </c>
    </row>
    <row r="1128" spans="1:10" x14ac:dyDescent="0.25">
      <c r="A1128" s="2">
        <v>2.2297670412819999</v>
      </c>
      <c r="B1128" s="3">
        <v>1.23747177518822</v>
      </c>
      <c r="C1128" s="3">
        <v>7.24803783572886E-3</v>
      </c>
      <c r="D1128" s="4">
        <v>1.85384314034466E-2</v>
      </c>
      <c r="E1128" s="3" t="s">
        <v>15425</v>
      </c>
      <c r="F1128" s="3" t="s">
        <v>15426</v>
      </c>
      <c r="G1128" s="3" t="s">
        <v>83</v>
      </c>
      <c r="H1128" s="7" t="str">
        <f>HYPERLINK("http://www.ensembl.org/Mus_musculus/Gene/Summary?db=core;g=ENSMUSG00000102270","ENSMUSG00000102270")</f>
        <v>ENSMUSG00000102270</v>
      </c>
      <c r="I1128" s="7" t="str">
        <f>HYPERLINK("http://www.informatics.jax.org/marker/MGI:3645001","MGI:3645001")</f>
        <v>MGI:3645001</v>
      </c>
      <c r="J1128" s="4" t="s">
        <v>1043</v>
      </c>
    </row>
    <row r="1129" spans="1:10" x14ac:dyDescent="0.25">
      <c r="A1129" s="2">
        <v>4.3354112012135104</v>
      </c>
      <c r="B1129" s="3">
        <v>1.2364757931073</v>
      </c>
      <c r="C1129" s="3">
        <v>4.0995613444097297E-3</v>
      </c>
      <c r="D1129" s="4">
        <v>1.1021588236095401E-2</v>
      </c>
      <c r="E1129" s="3" t="s">
        <v>14673</v>
      </c>
      <c r="F1129" s="3" t="s">
        <v>14674</v>
      </c>
      <c r="G1129" s="3" t="s">
        <v>83</v>
      </c>
      <c r="H1129" s="7" t="str">
        <f>HYPERLINK("http://www.ensembl.org/Mus_musculus/Gene/Summary?db=core;g=ENSMUSG00000117297","ENSMUSG00000117297")</f>
        <v>ENSMUSG00000117297</v>
      </c>
      <c r="I1129" s="7" t="str">
        <f>HYPERLINK("http://www.informatics.jax.org/marker/MGI:6270574","MGI:6270574")</f>
        <v>MGI:6270574</v>
      </c>
      <c r="J1129" s="4" t="s">
        <v>4024</v>
      </c>
    </row>
    <row r="1130" spans="1:10" x14ac:dyDescent="0.25">
      <c r="A1130" s="2">
        <v>1938.7686635608</v>
      </c>
      <c r="B1130" s="3">
        <v>1.2360728549759299</v>
      </c>
      <c r="C1130" s="5">
        <v>8.7667703712261503E-56</v>
      </c>
      <c r="D1130" s="6">
        <v>2.7485009812492803E-54</v>
      </c>
      <c r="E1130" s="3" t="s">
        <v>1274</v>
      </c>
      <c r="F1130" s="3" t="s">
        <v>1275</v>
      </c>
      <c r="G1130" s="3">
        <v>105559</v>
      </c>
      <c r="H1130" s="7" t="str">
        <f>HYPERLINK("http://www.ensembl.org/Mus_musculus/Gene/Summary?db=core;g=ENSMUSG00000022139","ENSMUSG00000022139")</f>
        <v>ENSMUSG00000022139</v>
      </c>
      <c r="I1130" s="7" t="str">
        <f>HYPERLINK("http://www.informatics.jax.org/marker/MGI:2145597","MGI:2145597")</f>
        <v>MGI:2145597</v>
      </c>
      <c r="J1130" s="4" t="s">
        <v>12</v>
      </c>
    </row>
    <row r="1131" spans="1:10" x14ac:dyDescent="0.25">
      <c r="A1131" s="2">
        <v>715.32143061074999</v>
      </c>
      <c r="B1131" s="3">
        <v>1.2356965825255299</v>
      </c>
      <c r="C1131" s="5">
        <v>3.7341099663706798E-69</v>
      </c>
      <c r="D1131" s="6">
        <v>1.68120202138881E-67</v>
      </c>
      <c r="E1131" s="3" t="s">
        <v>888</v>
      </c>
      <c r="F1131" s="3" t="s">
        <v>889</v>
      </c>
      <c r="G1131" s="3">
        <v>66220</v>
      </c>
      <c r="H1131" s="7" t="str">
        <f>HYPERLINK("http://www.ensembl.org/Mus_musculus/Gene/Summary?db=core;g=ENSMUSG00000015335","ENSMUSG00000015335")</f>
        <v>ENSMUSG00000015335</v>
      </c>
      <c r="I1131" s="7" t="str">
        <f>HYPERLINK("http://www.informatics.jax.org/marker/MGI:1913470","MGI:1913470")</f>
        <v>MGI:1913470</v>
      </c>
      <c r="J1131" s="4" t="s">
        <v>12</v>
      </c>
    </row>
    <row r="1132" spans="1:10" x14ac:dyDescent="0.25">
      <c r="A1132" s="2">
        <v>1381.24252351478</v>
      </c>
      <c r="B1132" s="3">
        <v>1.23524966262137</v>
      </c>
      <c r="C1132" s="5">
        <v>4.4209140790562703E-61</v>
      </c>
      <c r="D1132" s="6">
        <v>1.65114442498087E-59</v>
      </c>
      <c r="E1132" s="3" t="s">
        <v>1072</v>
      </c>
      <c r="F1132" s="3" t="s">
        <v>1073</v>
      </c>
      <c r="G1132" s="3">
        <v>15939</v>
      </c>
      <c r="H1132" s="7" t="str">
        <f>HYPERLINK("http://www.ensembl.org/Mus_musculus/Gene/Summary?db=core;g=ENSMUSG00000056708","ENSMUSG00000056708")</f>
        <v>ENSMUSG00000056708</v>
      </c>
      <c r="I1132" s="7" t="str">
        <f>HYPERLINK("http://www.informatics.jax.org/marker/MGI:1337072","MGI:1337072")</f>
        <v>MGI:1337072</v>
      </c>
      <c r="J1132" s="4" t="s">
        <v>12</v>
      </c>
    </row>
    <row r="1133" spans="1:10" x14ac:dyDescent="0.25">
      <c r="A1133" s="2">
        <v>647.43521488055706</v>
      </c>
      <c r="B1133" s="3">
        <v>1.2349666044882199</v>
      </c>
      <c r="C1133" s="5">
        <v>8.4865950323551806E-31</v>
      </c>
      <c r="D1133" s="6">
        <v>1.28143686093449E-29</v>
      </c>
      <c r="E1133" s="3" t="s">
        <v>2629</v>
      </c>
      <c r="F1133" s="3" t="s">
        <v>2630</v>
      </c>
      <c r="G1133" s="3">
        <v>14284</v>
      </c>
      <c r="H1133" s="7" t="str">
        <f>HYPERLINK("http://www.ensembl.org/Mus_musculus/Gene/Summary?db=core;g=ENSMUSG00000029135","ENSMUSG00000029135")</f>
        <v>ENSMUSG00000029135</v>
      </c>
      <c r="I1133" s="7" t="str">
        <f>HYPERLINK("http://www.informatics.jax.org/marker/MGI:102858","MGI:102858")</f>
        <v>MGI:102858</v>
      </c>
      <c r="J1133" s="4" t="s">
        <v>12</v>
      </c>
    </row>
    <row r="1134" spans="1:10" x14ac:dyDescent="0.25">
      <c r="A1134" s="2">
        <v>1528.7184165431499</v>
      </c>
      <c r="B1134" s="3">
        <v>1.2343458838721999</v>
      </c>
      <c r="C1134" s="5">
        <v>1.03482327308814E-31</v>
      </c>
      <c r="D1134" s="6">
        <v>1.5967695575350601E-30</v>
      </c>
      <c r="E1134" s="3" t="s">
        <v>2573</v>
      </c>
      <c r="F1134" s="3" t="s">
        <v>2574</v>
      </c>
      <c r="G1134" s="3">
        <v>83924</v>
      </c>
      <c r="H1134" s="7" t="str">
        <f>HYPERLINK("http://www.ensembl.org/Mus_musculus/Gene/Summary?db=core;g=ENSMUSG00000021306","ENSMUSG00000021306")</f>
        <v>ENSMUSG00000021306</v>
      </c>
      <c r="I1134" s="7" t="str">
        <f>HYPERLINK("http://www.informatics.jax.org/marker/MGI:1891463","MGI:1891463")</f>
        <v>MGI:1891463</v>
      </c>
      <c r="J1134" s="4" t="s">
        <v>12</v>
      </c>
    </row>
    <row r="1135" spans="1:10" x14ac:dyDescent="0.25">
      <c r="A1135" s="2">
        <v>1371.72989518132</v>
      </c>
      <c r="B1135" s="3">
        <v>1.2318446000459999</v>
      </c>
      <c r="C1135" s="5">
        <v>8.3539265984014395E-107</v>
      </c>
      <c r="D1135" s="6">
        <v>7.5568547027741505E-105</v>
      </c>
      <c r="E1135" s="3" t="s">
        <v>448</v>
      </c>
      <c r="F1135" s="3" t="s">
        <v>449</v>
      </c>
      <c r="G1135" s="3">
        <v>67921</v>
      </c>
      <c r="H1135" s="7" t="str">
        <f>HYPERLINK("http://www.ensembl.org/Mus_musculus/Gene/Summary?db=core;g=ENSMUSG00000034343","ENSMUSG00000034343")</f>
        <v>ENSMUSG00000034343</v>
      </c>
      <c r="I1135" s="7" t="str">
        <f>HYPERLINK("http://www.informatics.jax.org/marker/MGI:1915171","MGI:1915171")</f>
        <v>MGI:1915171</v>
      </c>
      <c r="J1135" s="4" t="s">
        <v>12</v>
      </c>
    </row>
    <row r="1136" spans="1:10" x14ac:dyDescent="0.25">
      <c r="A1136" s="2">
        <v>24.256695001179398</v>
      </c>
      <c r="B1136" s="3">
        <v>1.23148126239029</v>
      </c>
      <c r="C1136" s="5">
        <v>4.5208769111945098E-7</v>
      </c>
      <c r="D1136" s="6">
        <v>1.9359759541532202E-6</v>
      </c>
      <c r="E1136" s="3" t="s">
        <v>9225</v>
      </c>
      <c r="F1136" s="3" t="s">
        <v>9226</v>
      </c>
      <c r="G1136" s="3" t="s">
        <v>83</v>
      </c>
      <c r="H1136" s="7" t="str">
        <f>HYPERLINK("http://www.ensembl.org/Mus_musculus/Gene/Summary?db=core;g=ENSMUSG00000107971","ENSMUSG00000107971")</f>
        <v>ENSMUSG00000107971</v>
      </c>
      <c r="I1136" s="7" t="str">
        <f>HYPERLINK("http://www.informatics.jax.org/marker/MGI:5690652","MGI:5690652")</f>
        <v>MGI:5690652</v>
      </c>
      <c r="J1136" s="4" t="s">
        <v>1828</v>
      </c>
    </row>
    <row r="1137" spans="1:10" x14ac:dyDescent="0.25">
      <c r="A1137" s="2">
        <v>424.56349292369799</v>
      </c>
      <c r="B1137" s="3">
        <v>1.23069001220134</v>
      </c>
      <c r="C1137" s="5">
        <v>3.53127481520012E-33</v>
      </c>
      <c r="D1137" s="6">
        <v>5.7267055391238805E-32</v>
      </c>
      <c r="E1137" s="3" t="s">
        <v>2449</v>
      </c>
      <c r="F1137" s="3" t="s">
        <v>2450</v>
      </c>
      <c r="G1137" s="3">
        <v>74241</v>
      </c>
      <c r="H1137" s="7" t="str">
        <f>HYPERLINK("http://www.ensembl.org/Mus_musculus/Gene/Summary?db=core;g=ENSMUSG00000032997","ENSMUSG00000032997")</f>
        <v>ENSMUSG00000032997</v>
      </c>
      <c r="I1137" s="7" t="str">
        <f>HYPERLINK("http://www.informatics.jax.org/marker/MGI:106576","MGI:106576")</f>
        <v>MGI:106576</v>
      </c>
      <c r="J1137" s="4" t="s">
        <v>12</v>
      </c>
    </row>
    <row r="1138" spans="1:10" x14ac:dyDescent="0.25">
      <c r="A1138" s="2">
        <v>50.802483485048</v>
      </c>
      <c r="B1138" s="3">
        <v>1.2288512807135601</v>
      </c>
      <c r="C1138" s="5">
        <v>5.2396821928962603E-12</v>
      </c>
      <c r="D1138" s="6">
        <v>3.3449832581390199E-11</v>
      </c>
      <c r="E1138" s="3" t="s">
        <v>6195</v>
      </c>
      <c r="F1138" s="3" t="s">
        <v>6196</v>
      </c>
      <c r="G1138" s="3" t="s">
        <v>83</v>
      </c>
      <c r="H1138" s="7" t="str">
        <f>HYPERLINK("http://www.ensembl.org/Mus_musculus/Gene/Summary?db=core;g=ENSMUSG00000084013","ENSMUSG00000084013")</f>
        <v>ENSMUSG00000084013</v>
      </c>
      <c r="I1138" s="7" t="str">
        <f>HYPERLINK("http://www.informatics.jax.org/marker/MGI:3649849","MGI:3649849")</f>
        <v>MGI:3649849</v>
      </c>
      <c r="J1138" s="4" t="s">
        <v>1043</v>
      </c>
    </row>
    <row r="1139" spans="1:10" x14ac:dyDescent="0.25">
      <c r="A1139" s="2">
        <v>1250.3467864259601</v>
      </c>
      <c r="B1139" s="3">
        <v>1.22778643564046</v>
      </c>
      <c r="C1139" s="5">
        <v>4.26305693111267E-120</v>
      </c>
      <c r="D1139" s="6">
        <v>5.1260660171671897E-118</v>
      </c>
      <c r="E1139" s="3" t="s">
        <v>340</v>
      </c>
      <c r="F1139" s="3" t="s">
        <v>341</v>
      </c>
      <c r="G1139" s="3">
        <v>74769</v>
      </c>
      <c r="H1139" s="7" t="str">
        <f>HYPERLINK("http://www.ensembl.org/Mus_musculus/Gene/Summary?db=core;g=ENSMUSG00000032462","ENSMUSG00000032462")</f>
        <v>ENSMUSG00000032462</v>
      </c>
      <c r="I1139" s="7" t="str">
        <f>HYPERLINK("http://www.informatics.jax.org/marker/MGI:1922019","MGI:1922019")</f>
        <v>MGI:1922019</v>
      </c>
      <c r="J1139" s="4" t="s">
        <v>12</v>
      </c>
    </row>
    <row r="1140" spans="1:10" x14ac:dyDescent="0.25">
      <c r="A1140" s="2">
        <v>69.730255664007601</v>
      </c>
      <c r="B1140" s="3">
        <v>1.2266049922556199</v>
      </c>
      <c r="C1140" s="5">
        <v>2.3560321393570301E-11</v>
      </c>
      <c r="D1140" s="6">
        <v>1.4357525892497099E-10</v>
      </c>
      <c r="E1140" s="3" t="s">
        <v>6489</v>
      </c>
      <c r="F1140" s="3" t="s">
        <v>6490</v>
      </c>
      <c r="G1140" s="3" t="s">
        <v>83</v>
      </c>
      <c r="H1140" s="7" t="str">
        <f>HYPERLINK("http://www.ensembl.org/Mus_musculus/Gene/Summary?db=core;g=ENSMUSG00000097471","ENSMUSG00000097471")</f>
        <v>ENSMUSG00000097471</v>
      </c>
      <c r="I1140" s="7" t="str">
        <f>HYPERLINK("http://www.informatics.jax.org/marker/MGI:1915015","MGI:1915015")</f>
        <v>MGI:1915015</v>
      </c>
      <c r="J1140" s="4" t="s">
        <v>932</v>
      </c>
    </row>
    <row r="1141" spans="1:10" x14ac:dyDescent="0.25">
      <c r="A1141" s="2">
        <v>1.1672566600277301</v>
      </c>
      <c r="B1141" s="3">
        <v>1.2262939183164501</v>
      </c>
      <c r="C1141" s="3">
        <v>3.37559512809644E-3</v>
      </c>
      <c r="D1141" s="4">
        <v>9.1778210293756799E-3</v>
      </c>
      <c r="E1141" s="3" t="s">
        <v>14509</v>
      </c>
      <c r="F1141" s="3" t="s">
        <v>14510</v>
      </c>
      <c r="G1141" s="3">
        <v>54483</v>
      </c>
      <c r="H1141" s="7" t="str">
        <f>HYPERLINK("http://www.ensembl.org/Mus_musculus/Gene/Summary?db=core;g=ENSMUSG00000022534","ENSMUSG00000022534")</f>
        <v>ENSMUSG00000022534</v>
      </c>
      <c r="I1141" s="7" t="str">
        <f>HYPERLINK("http://www.informatics.jax.org/marker/MGI:1859396","MGI:1859396")</f>
        <v>MGI:1859396</v>
      </c>
      <c r="J1141" s="4" t="s">
        <v>12</v>
      </c>
    </row>
    <row r="1142" spans="1:10" x14ac:dyDescent="0.25">
      <c r="A1142" s="2">
        <v>29.864520426985798</v>
      </c>
      <c r="B1142" s="3">
        <v>1.2257902094673401</v>
      </c>
      <c r="C1142" s="5">
        <v>3.0749057443615497E-5</v>
      </c>
      <c r="D1142" s="4">
        <v>1.09690921271363E-4</v>
      </c>
      <c r="E1142" s="3" t="s">
        <v>11068</v>
      </c>
      <c r="F1142" s="3" t="s">
        <v>11069</v>
      </c>
      <c r="G1142" s="3" t="s">
        <v>83</v>
      </c>
      <c r="H1142" s="7" t="str">
        <f>HYPERLINK("http://www.ensembl.org/Mus_musculus/Gene/Summary?db=core;g=ENSMUSG00000089706","ENSMUSG00000089706")</f>
        <v>ENSMUSG00000089706</v>
      </c>
      <c r="I1142" s="7" t="str">
        <f>HYPERLINK("http://www.informatics.jax.org/marker/MGI:1925853","MGI:1925853")</f>
        <v>MGI:1925853</v>
      </c>
      <c r="J1142" s="4" t="s">
        <v>331</v>
      </c>
    </row>
    <row r="1143" spans="1:10" x14ac:dyDescent="0.25">
      <c r="A1143" s="2">
        <v>1751.36748234623</v>
      </c>
      <c r="B1143" s="3">
        <v>1.2254413135829101</v>
      </c>
      <c r="C1143" s="5">
        <v>1.54653423163946E-37</v>
      </c>
      <c r="D1143" s="6">
        <v>2.91843588975409E-36</v>
      </c>
      <c r="E1143" s="3" t="s">
        <v>2107</v>
      </c>
      <c r="F1143" s="3" t="s">
        <v>2108</v>
      </c>
      <c r="G1143" s="3">
        <v>16151</v>
      </c>
      <c r="H1143" s="7" t="str">
        <f>HYPERLINK("http://www.ensembl.org/Mus_musculus/Gene/Summary?db=core;g=ENSMUSG00000004221","ENSMUSG00000004221")</f>
        <v>ENSMUSG00000004221</v>
      </c>
      <c r="I1143" s="7" t="str">
        <f>HYPERLINK("http://www.informatics.jax.org/marker/MGI:1338074","MGI:1338074")</f>
        <v>MGI:1338074</v>
      </c>
      <c r="J1143" s="4" t="s">
        <v>12</v>
      </c>
    </row>
    <row r="1144" spans="1:10" x14ac:dyDescent="0.25">
      <c r="A1144" s="2">
        <v>468.25171589956</v>
      </c>
      <c r="B1144" s="3">
        <v>1.22544113484253</v>
      </c>
      <c r="C1144" s="5">
        <v>6.11789521940312E-49</v>
      </c>
      <c r="D1144" s="6">
        <v>1.61505881829491E-47</v>
      </c>
      <c r="E1144" s="3" t="s">
        <v>1510</v>
      </c>
      <c r="F1144" s="3" t="s">
        <v>1511</v>
      </c>
      <c r="G1144" s="3">
        <v>233315</v>
      </c>
      <c r="H1144" s="7" t="str">
        <f>HYPERLINK("http://www.ensembl.org/Mus_musculus/Gene/Summary?db=core;g=ENSMUSG00000030522","ENSMUSG00000030522")</f>
        <v>ENSMUSG00000030522</v>
      </c>
      <c r="I1144" s="7" t="str">
        <f>HYPERLINK("http://www.informatics.jax.org/marker/MGI:2142292","MGI:2142292")</f>
        <v>MGI:2142292</v>
      </c>
      <c r="J1144" s="4" t="s">
        <v>12</v>
      </c>
    </row>
    <row r="1145" spans="1:10" x14ac:dyDescent="0.25">
      <c r="A1145" s="2">
        <v>11.1712599993333</v>
      </c>
      <c r="B1145" s="3">
        <v>1.2250376968130099</v>
      </c>
      <c r="C1145" s="5">
        <v>6.9158634148358002E-5</v>
      </c>
      <c r="D1145" s="4">
        <v>2.37184046157499E-4</v>
      </c>
      <c r="E1145" s="3" t="s">
        <v>11511</v>
      </c>
      <c r="F1145" s="3" t="s">
        <v>11512</v>
      </c>
      <c r="G1145" s="3">
        <v>77595</v>
      </c>
      <c r="H1145" s="7" t="str">
        <f>HYPERLINK("http://www.ensembl.org/Mus_musculus/Gene/Summary?db=core;g=ENSMUSG00000027939","ENSMUSG00000027939")</f>
        <v>ENSMUSG00000027939</v>
      </c>
      <c r="I1145" s="7" t="str">
        <f>HYPERLINK("http://www.informatics.jax.org/marker/MGI:1924845","MGI:1924845")</f>
        <v>MGI:1924845</v>
      </c>
      <c r="J1145" s="4" t="s">
        <v>12</v>
      </c>
    </row>
    <row r="1146" spans="1:10" x14ac:dyDescent="0.25">
      <c r="A1146" s="2">
        <v>180.481482325222</v>
      </c>
      <c r="B1146" s="3">
        <v>1.22427600657729</v>
      </c>
      <c r="C1146" s="5">
        <v>4.0284584890346099E-22</v>
      </c>
      <c r="D1146" s="6">
        <v>4.3890166521415697E-21</v>
      </c>
      <c r="E1146" s="3" t="s">
        <v>3638</v>
      </c>
      <c r="F1146" s="3" t="s">
        <v>3639</v>
      </c>
      <c r="G1146" s="3">
        <v>434204</v>
      </c>
      <c r="H1146" s="7" t="str">
        <f>HYPERLINK("http://www.ensembl.org/Mus_musculus/Gene/Summary?db=core;g=ENSMUSG00000045795","ENSMUSG00000045795")</f>
        <v>ENSMUSG00000045795</v>
      </c>
      <c r="I1146" s="7" t="str">
        <f>HYPERLINK("http://www.informatics.jax.org/marker/MGI:2142282","MGI:2142282")</f>
        <v>MGI:2142282</v>
      </c>
      <c r="J1146" s="4" t="s">
        <v>12</v>
      </c>
    </row>
    <row r="1147" spans="1:10" x14ac:dyDescent="0.25">
      <c r="A1147" s="2">
        <v>961.080069841306</v>
      </c>
      <c r="B1147" s="3">
        <v>1.22400967477553</v>
      </c>
      <c r="C1147" s="5">
        <v>2.50351638078277E-51</v>
      </c>
      <c r="D1147" s="6">
        <v>6.9436488085845496E-50</v>
      </c>
      <c r="E1147" s="3" t="s">
        <v>1438</v>
      </c>
      <c r="F1147" s="3" t="s">
        <v>1439</v>
      </c>
      <c r="G1147" s="3">
        <v>114565</v>
      </c>
      <c r="H1147" s="7" t="str">
        <f>HYPERLINK("http://www.ensembl.org/Mus_musculus/Gene/Summary?db=core;g=ENSMUSG00000046962","ENSMUSG00000046962")</f>
        <v>ENSMUSG00000046962</v>
      </c>
      <c r="I1147" s="7" t="str">
        <f>HYPERLINK("http://www.informatics.jax.org/marker/MGI:1927240","MGI:1927240")</f>
        <v>MGI:1927240</v>
      </c>
      <c r="J1147" s="4" t="s">
        <v>12</v>
      </c>
    </row>
    <row r="1148" spans="1:10" x14ac:dyDescent="0.25">
      <c r="A1148" s="2">
        <v>4.41582598213507</v>
      </c>
      <c r="B1148" s="3">
        <v>1.22394656725671</v>
      </c>
      <c r="C1148" s="3">
        <v>3.13800189975269E-3</v>
      </c>
      <c r="D1148" s="4">
        <v>8.5767702651591091E-3</v>
      </c>
      <c r="E1148" s="3" t="s">
        <v>14435</v>
      </c>
      <c r="F1148" s="3" t="s">
        <v>14436</v>
      </c>
      <c r="G1148" s="3">
        <v>22355</v>
      </c>
      <c r="H1148" s="7" t="str">
        <f>HYPERLINK("http://www.ensembl.org/Mus_musculus/Gene/Summary?db=core;g=ENSMUSG00000011171","ENSMUSG00000011171")</f>
        <v>ENSMUSG00000011171</v>
      </c>
      <c r="I1148" s="7" t="str">
        <f>HYPERLINK("http://www.informatics.jax.org/marker/MGI:107166","MGI:107166")</f>
        <v>MGI:107166</v>
      </c>
      <c r="J1148" s="4" t="s">
        <v>12</v>
      </c>
    </row>
    <row r="1149" spans="1:10" x14ac:dyDescent="0.25">
      <c r="A1149" s="2">
        <v>109813.02636484501</v>
      </c>
      <c r="B1149" s="3">
        <v>1.2226094717793901</v>
      </c>
      <c r="C1149" s="5">
        <v>2.5964620634570002E-55</v>
      </c>
      <c r="D1149" s="6">
        <v>8.0380269845167901E-54</v>
      </c>
      <c r="E1149" s="3" t="s">
        <v>1290</v>
      </c>
      <c r="F1149" s="3" t="s">
        <v>1291</v>
      </c>
      <c r="G1149" s="3">
        <v>14319</v>
      </c>
      <c r="H1149" s="7" t="str">
        <f>HYPERLINK("http://www.ensembl.org/Mus_musculus/Gene/Summary?db=core;g=ENSMUSG00000024661","ENSMUSG00000024661")</f>
        <v>ENSMUSG00000024661</v>
      </c>
      <c r="I1149" s="7" t="str">
        <f>HYPERLINK("http://www.informatics.jax.org/marker/MGI:95588","MGI:95588")</f>
        <v>MGI:95588</v>
      </c>
      <c r="J1149" s="4" t="s">
        <v>12</v>
      </c>
    </row>
    <row r="1150" spans="1:10" x14ac:dyDescent="0.25">
      <c r="A1150" s="2">
        <v>9578.2604170295799</v>
      </c>
      <c r="B1150" s="3">
        <v>1.22258873890702</v>
      </c>
      <c r="C1150" s="5">
        <v>7.0140394833702496E-104</v>
      </c>
      <c r="D1150" s="6">
        <v>5.9877427970589301E-102</v>
      </c>
      <c r="E1150" s="3" t="s">
        <v>474</v>
      </c>
      <c r="F1150" s="3" t="s">
        <v>475</v>
      </c>
      <c r="G1150" s="3">
        <v>18187</v>
      </c>
      <c r="H1150" s="7" t="str">
        <f>HYPERLINK("http://www.ensembl.org/Mus_musculus/Gene/Summary?db=core;g=ENSMUSG00000025969","ENSMUSG00000025969")</f>
        <v>ENSMUSG00000025969</v>
      </c>
      <c r="I1150" s="7" t="str">
        <f>HYPERLINK("http://www.informatics.jax.org/marker/MGI:1100492","MGI:1100492")</f>
        <v>MGI:1100492</v>
      </c>
      <c r="J1150" s="4" t="s">
        <v>12</v>
      </c>
    </row>
    <row r="1151" spans="1:10" x14ac:dyDescent="0.25">
      <c r="A1151" s="2">
        <v>30.9465931235518</v>
      </c>
      <c r="B1151" s="3">
        <v>1.2223023451514099</v>
      </c>
      <c r="C1151" s="5">
        <v>6.7278548758864705E-7</v>
      </c>
      <c r="D1151" s="6">
        <v>2.8330834540354699E-6</v>
      </c>
      <c r="E1151" s="3" t="s">
        <v>9381</v>
      </c>
      <c r="F1151" s="3" t="s">
        <v>9382</v>
      </c>
      <c r="G1151" s="3" t="s">
        <v>83</v>
      </c>
      <c r="H1151" s="7" t="str">
        <f>HYPERLINK("http://www.ensembl.org/Mus_musculus/Gene/Summary?db=core;g=ENSMUSG00000097134","ENSMUSG00000097134")</f>
        <v>ENSMUSG00000097134</v>
      </c>
      <c r="I1151" s="7" t="str">
        <f>HYPERLINK("http://www.informatics.jax.org/marker/MGI:1915738","MGI:1915738")</f>
        <v>MGI:1915738</v>
      </c>
      <c r="J1151" s="4" t="s">
        <v>939</v>
      </c>
    </row>
    <row r="1152" spans="1:10" x14ac:dyDescent="0.25">
      <c r="A1152" s="2">
        <v>2.0570443360583202</v>
      </c>
      <c r="B1152" s="3">
        <v>1.22203063788874</v>
      </c>
      <c r="C1152" s="3">
        <v>9.4346857552443601E-3</v>
      </c>
      <c r="D1152" s="4">
        <v>2.3589704969369699E-2</v>
      </c>
      <c r="E1152" s="3" t="s">
        <v>15779</v>
      </c>
      <c r="F1152" s="3" t="s">
        <v>15780</v>
      </c>
      <c r="G1152" s="3">
        <v>108800</v>
      </c>
      <c r="H1152" s="7" t="str">
        <f>HYPERLINK("http://www.ensembl.org/Mus_musculus/Gene/Summary?db=core;g=ENSMUSG00000020961","ENSMUSG00000020961")</f>
        <v>ENSMUSG00000020961</v>
      </c>
      <c r="I1152" s="7" t="str">
        <f>HYPERLINK("http://www.informatics.jax.org/marker/MGI:1918272","MGI:1918272")</f>
        <v>MGI:1918272</v>
      </c>
      <c r="J1152" s="4" t="s">
        <v>12</v>
      </c>
    </row>
    <row r="1153" spans="1:10" x14ac:dyDescent="0.25">
      <c r="A1153" s="2">
        <v>1805.74956088927</v>
      </c>
      <c r="B1153" s="3">
        <v>1.2218398693470101</v>
      </c>
      <c r="C1153" s="5">
        <v>6.3090989633666499E-132</v>
      </c>
      <c r="D1153" s="6">
        <v>9.4254114816356408E-130</v>
      </c>
      <c r="E1153" s="3" t="s">
        <v>274</v>
      </c>
      <c r="F1153" s="3" t="s">
        <v>275</v>
      </c>
      <c r="G1153" s="3">
        <v>54711</v>
      </c>
      <c r="H1153" s="7" t="str">
        <f>HYPERLINK("http://www.ensembl.org/Mus_musculus/Gene/Summary?db=core;g=ENSMUSG00000051413","ENSMUSG00000051413")</f>
        <v>ENSMUSG00000051413</v>
      </c>
      <c r="I1153" s="7" t="str">
        <f>HYPERLINK("http://www.informatics.jax.org/marker/MGI:1933165","MGI:1933165")</f>
        <v>MGI:1933165</v>
      </c>
      <c r="J1153" s="4" t="s">
        <v>12</v>
      </c>
    </row>
    <row r="1154" spans="1:10" x14ac:dyDescent="0.25">
      <c r="A1154" s="2">
        <v>796.63129587023104</v>
      </c>
      <c r="B1154" s="3">
        <v>1.22128933404019</v>
      </c>
      <c r="C1154" s="5">
        <v>4.61976445915781E-18</v>
      </c>
      <c r="D1154" s="6">
        <v>4.1808974361905502E-17</v>
      </c>
      <c r="E1154" s="3" t="s">
        <v>4375</v>
      </c>
      <c r="F1154" s="3" t="s">
        <v>4376</v>
      </c>
      <c r="G1154" s="3">
        <v>109672</v>
      </c>
      <c r="H1154" s="7" t="str">
        <f>HYPERLINK("http://www.ensembl.org/Mus_musculus/Gene/Summary?db=core;g=ENSMUSG00000024646","ENSMUSG00000024646")</f>
        <v>ENSMUSG00000024646</v>
      </c>
      <c r="I1154" s="7" t="str">
        <f>HYPERLINK("http://www.informatics.jax.org/marker/MGI:1926952","MGI:1926952")</f>
        <v>MGI:1926952</v>
      </c>
      <c r="J1154" s="4" t="s">
        <v>12</v>
      </c>
    </row>
    <row r="1155" spans="1:10" x14ac:dyDescent="0.25">
      <c r="A1155" s="2">
        <v>1181.2237963954699</v>
      </c>
      <c r="B1155" s="3">
        <v>1.21994174584514</v>
      </c>
      <c r="C1155" s="5">
        <v>1.06342530723716E-41</v>
      </c>
      <c r="D1155" s="6">
        <v>2.2670683739886301E-40</v>
      </c>
      <c r="E1155" s="3" t="s">
        <v>1867</v>
      </c>
      <c r="F1155" s="3" t="s">
        <v>1868</v>
      </c>
      <c r="G1155" s="3">
        <v>239027</v>
      </c>
      <c r="H1155" s="7" t="str">
        <f>HYPERLINK("http://www.ensembl.org/Mus_musculus/Gene/Summary?db=core;g=ENSMUSG00000063506","ENSMUSG00000063506")</f>
        <v>ENSMUSG00000063506</v>
      </c>
      <c r="I1155" s="7" t="str">
        <f>HYPERLINK("http://www.informatics.jax.org/marker/MGI:2443418","MGI:2443418")</f>
        <v>MGI:2443418</v>
      </c>
      <c r="J1155" s="4" t="s">
        <v>12</v>
      </c>
    </row>
    <row r="1156" spans="1:10" x14ac:dyDescent="0.25">
      <c r="A1156" s="2">
        <v>3.7758914775569301</v>
      </c>
      <c r="B1156" s="3">
        <v>1.2181537135223099</v>
      </c>
      <c r="C1156" s="3">
        <v>5.2389905994472304E-3</v>
      </c>
      <c r="D1156" s="4">
        <v>1.3811884307633601E-2</v>
      </c>
      <c r="E1156" s="3" t="s">
        <v>14964</v>
      </c>
      <c r="F1156" s="3" t="s">
        <v>14965</v>
      </c>
      <c r="G1156" s="3" t="s">
        <v>83</v>
      </c>
      <c r="H1156" s="7" t="str">
        <f>HYPERLINK("http://www.ensembl.org/Mus_musculus/Gene/Summary?db=core;g=ENSMUSG00000076387","ENSMUSG00000076387")</f>
        <v>ENSMUSG00000076387</v>
      </c>
      <c r="I1156" s="7" t="str">
        <f>HYPERLINK("http://www.informatics.jax.org/marker/MGI:3629656","MGI:3629656")</f>
        <v>MGI:3629656</v>
      </c>
      <c r="J1156" s="4" t="s">
        <v>6715</v>
      </c>
    </row>
    <row r="1157" spans="1:10" x14ac:dyDescent="0.25">
      <c r="A1157" s="2">
        <v>0.936053857708811</v>
      </c>
      <c r="B1157" s="3">
        <v>1.21762331897017</v>
      </c>
      <c r="C1157" s="3">
        <v>5.0148707111716097E-3</v>
      </c>
      <c r="D1157" s="4">
        <v>1.3261801049256301E-2</v>
      </c>
      <c r="E1157" s="3" t="s">
        <v>14918</v>
      </c>
      <c r="F1157" s="3" t="s">
        <v>14919</v>
      </c>
      <c r="G1157" s="3" t="s">
        <v>83</v>
      </c>
      <c r="H1157" s="7" t="str">
        <f>HYPERLINK("http://www.ensembl.org/Mus_musculus/Gene/Summary?db=core;g=ENSMUSG00000101746","ENSMUSG00000101746")</f>
        <v>ENSMUSG00000101746</v>
      </c>
      <c r="I1157" s="7" t="str">
        <f>HYPERLINK("http://www.informatics.jax.org/marker/MGI:1922839","MGI:1922839")</f>
        <v>MGI:1922839</v>
      </c>
      <c r="J1157" s="4" t="s">
        <v>939</v>
      </c>
    </row>
    <row r="1158" spans="1:10" x14ac:dyDescent="0.25">
      <c r="A1158" s="2">
        <v>1216.72068386879</v>
      </c>
      <c r="B1158" s="3">
        <v>1.2163392860529301</v>
      </c>
      <c r="C1158" s="5">
        <v>3.0485840381346701E-54</v>
      </c>
      <c r="D1158" s="6">
        <v>9.1643410414658105E-53</v>
      </c>
      <c r="E1158" s="3" t="s">
        <v>1328</v>
      </c>
      <c r="F1158" s="3" t="s">
        <v>1329</v>
      </c>
      <c r="G1158" s="3">
        <v>210106</v>
      </c>
      <c r="H1158" s="7" t="str">
        <f>HYPERLINK("http://www.ensembl.org/Mus_musculus/Gene/Summary?db=core;g=ENSMUSG00000034575","ENSMUSG00000034575")</f>
        <v>ENSMUSG00000034575</v>
      </c>
      <c r="I1158" s="7" t="str">
        <f>HYPERLINK("http://www.informatics.jax.org/marker/MGI:2682295","MGI:2682295")</f>
        <v>MGI:2682295</v>
      </c>
      <c r="J1158" s="4" t="s">
        <v>12</v>
      </c>
    </row>
    <row r="1159" spans="1:10" x14ac:dyDescent="0.25">
      <c r="A1159" s="2">
        <v>4027.1508393592499</v>
      </c>
      <c r="B1159" s="3">
        <v>1.21624109763555</v>
      </c>
      <c r="C1159" s="5">
        <v>7.4746312427885297E-96</v>
      </c>
      <c r="D1159" s="6">
        <v>5.5833230343859799E-94</v>
      </c>
      <c r="E1159" s="3" t="s">
        <v>540</v>
      </c>
      <c r="F1159" s="3" t="s">
        <v>541</v>
      </c>
      <c r="G1159" s="3">
        <v>16649</v>
      </c>
      <c r="H1159" s="7" t="str">
        <f>HYPERLINK("http://www.ensembl.org/Mus_musculus/Gene/Summary?db=core;g=ENSMUSG00000027782","ENSMUSG00000027782")</f>
        <v>ENSMUSG00000027782</v>
      </c>
      <c r="I1159" s="7" t="str">
        <f>HYPERLINK("http://www.informatics.jax.org/marker/MGI:1100848","MGI:1100848")</f>
        <v>MGI:1100848</v>
      </c>
      <c r="J1159" s="4" t="s">
        <v>12</v>
      </c>
    </row>
    <row r="1160" spans="1:10" x14ac:dyDescent="0.25">
      <c r="A1160" s="2">
        <v>6285.2978877485702</v>
      </c>
      <c r="B1160" s="3">
        <v>1.21614396619945</v>
      </c>
      <c r="C1160" s="5">
        <v>1.4764416500430699E-72</v>
      </c>
      <c r="D1160" s="6">
        <v>7.1889948984813304E-71</v>
      </c>
      <c r="E1160" s="3" t="s">
        <v>822</v>
      </c>
      <c r="F1160" s="3" t="s">
        <v>823</v>
      </c>
      <c r="G1160" s="3">
        <v>11747</v>
      </c>
      <c r="H1160" s="7" t="str">
        <f>HYPERLINK("http://www.ensembl.org/Mus_musculus/Gene/Summary?db=core;g=ENSMUSG00000027712","ENSMUSG00000027712")</f>
        <v>ENSMUSG00000027712</v>
      </c>
      <c r="I1160" s="7" t="str">
        <f>HYPERLINK("http://www.informatics.jax.org/marker/MGI:106008","MGI:106008")</f>
        <v>MGI:106008</v>
      </c>
      <c r="J1160" s="4" t="s">
        <v>12</v>
      </c>
    </row>
    <row r="1161" spans="1:10" x14ac:dyDescent="0.25">
      <c r="A1161" s="2">
        <v>2.1362942011524102</v>
      </c>
      <c r="B1161" s="3">
        <v>1.21506341062694</v>
      </c>
      <c r="C1161" s="3">
        <v>9.7896698947984393E-3</v>
      </c>
      <c r="D1161" s="4">
        <v>2.4409190836442701E-2</v>
      </c>
      <c r="E1161" s="3" t="s">
        <v>15823</v>
      </c>
      <c r="F1161" s="3" t="s">
        <v>15824</v>
      </c>
      <c r="G1161" s="3">
        <v>83430</v>
      </c>
      <c r="H1161" s="7" t="str">
        <f>HYPERLINK("http://www.ensembl.org/Mus_musculus/Gene/Summary?db=core;g=ENSMUSG00000025383","ENSMUSG00000025383")</f>
        <v>ENSMUSG00000025383</v>
      </c>
      <c r="I1161" s="7" t="str">
        <f>HYPERLINK("http://www.informatics.jax.org/marker/MGI:1932410","MGI:1932410")</f>
        <v>MGI:1932410</v>
      </c>
      <c r="J1161" s="4" t="s">
        <v>12</v>
      </c>
    </row>
    <row r="1162" spans="1:10" x14ac:dyDescent="0.25">
      <c r="A1162" s="2">
        <v>12.4461474123875</v>
      </c>
      <c r="B1162" s="3">
        <v>1.21424238529523</v>
      </c>
      <c r="C1162" s="3">
        <v>1.3065454275285401E-4</v>
      </c>
      <c r="D1162" s="4">
        <v>4.3397466449154198E-4</v>
      </c>
      <c r="E1162" s="3" t="s">
        <v>11885</v>
      </c>
      <c r="F1162" s="3" t="s">
        <v>11886</v>
      </c>
      <c r="G1162" s="3" t="s">
        <v>83</v>
      </c>
      <c r="H1162" s="7" t="str">
        <f>HYPERLINK("http://www.ensembl.org/Mus_musculus/Gene/Summary?db=core;g=ENSMUSG00000084846","ENSMUSG00000084846")</f>
        <v>ENSMUSG00000084846</v>
      </c>
      <c r="I1162" s="7" t="str">
        <f>HYPERLINK("http://www.informatics.jax.org/marker/MGI:2442973","MGI:2442973")</f>
        <v>MGI:2442973</v>
      </c>
      <c r="J1162" s="4" t="s">
        <v>932</v>
      </c>
    </row>
    <row r="1163" spans="1:10" x14ac:dyDescent="0.25">
      <c r="A1163" s="2">
        <v>2.1692076348834899</v>
      </c>
      <c r="B1163" s="3">
        <v>1.2125784815729499</v>
      </c>
      <c r="C1163" s="3">
        <v>9.3846604303019499E-3</v>
      </c>
      <c r="D1163" s="4">
        <v>2.34705775124356E-2</v>
      </c>
      <c r="E1163" s="3" t="s">
        <v>15775</v>
      </c>
      <c r="F1163" s="3" t="s">
        <v>15776</v>
      </c>
      <c r="G1163" s="3" t="s">
        <v>83</v>
      </c>
      <c r="H1163" s="7" t="str">
        <f>HYPERLINK("http://www.ensembl.org/Mus_musculus/Gene/Summary?db=core;g=ENSMUSG00000116987","ENSMUSG00000116987")</f>
        <v>ENSMUSG00000116987</v>
      </c>
      <c r="I1163" s="7" t="str">
        <f>HYPERLINK("http://www.informatics.jax.org/marker/MGI:6215049","MGI:6215049")</f>
        <v>MGI:6215049</v>
      </c>
      <c r="J1163" s="4" t="s">
        <v>939</v>
      </c>
    </row>
    <row r="1164" spans="1:10" x14ac:dyDescent="0.25">
      <c r="A1164" s="2">
        <v>2370.28245893134</v>
      </c>
      <c r="B1164" s="3">
        <v>1.21222970964043</v>
      </c>
      <c r="C1164" s="5">
        <v>9.0459925584483504E-45</v>
      </c>
      <c r="D1164" s="6">
        <v>2.1186101336413499E-43</v>
      </c>
      <c r="E1164" s="3" t="s">
        <v>1700</v>
      </c>
      <c r="F1164" s="3" t="s">
        <v>1701</v>
      </c>
      <c r="G1164" s="3">
        <v>11658</v>
      </c>
      <c r="H1164" s="7" t="str">
        <f>HYPERLINK("http://www.ensembl.org/Mus_musculus/Gene/Summary?db=core;g=ENSMUSG00000022636","ENSMUSG00000022636")</f>
        <v>ENSMUSG00000022636</v>
      </c>
      <c r="I1164" s="7" t="str">
        <f>HYPERLINK("http://www.informatics.jax.org/marker/MGI:1313266","MGI:1313266")</f>
        <v>MGI:1313266</v>
      </c>
      <c r="J1164" s="4" t="s">
        <v>12</v>
      </c>
    </row>
    <row r="1165" spans="1:10" x14ac:dyDescent="0.25">
      <c r="A1165" s="2">
        <v>1774.6593891816301</v>
      </c>
      <c r="B1165" s="3">
        <v>1.2096232322053799</v>
      </c>
      <c r="C1165" s="5">
        <v>5.4928044706010695E-54</v>
      </c>
      <c r="D1165" s="6">
        <v>1.6387005167965701E-52</v>
      </c>
      <c r="E1165" s="3" t="s">
        <v>1338</v>
      </c>
      <c r="F1165" s="3" t="s">
        <v>1339</v>
      </c>
      <c r="G1165" s="3">
        <v>80750</v>
      </c>
      <c r="H1165" s="7" t="str">
        <f>HYPERLINK("http://www.ensembl.org/Mus_musculus/Gene/Summary?db=core;g=ENSMUSG00000031652","ENSMUSG00000031652")</f>
        <v>ENSMUSG00000031652</v>
      </c>
      <c r="I1165" s="7" t="str">
        <f>HYPERLINK("http://www.informatics.jax.org/marker/MGI:2136825","MGI:2136825")</f>
        <v>MGI:2136825</v>
      </c>
      <c r="J1165" s="4" t="s">
        <v>12</v>
      </c>
    </row>
    <row r="1166" spans="1:10" x14ac:dyDescent="0.25">
      <c r="A1166" s="2">
        <v>67.320796955319395</v>
      </c>
      <c r="B1166" s="3">
        <v>1.2089705109450199</v>
      </c>
      <c r="C1166" s="5">
        <v>1.1547466404318399E-13</v>
      </c>
      <c r="D1166" s="6">
        <v>8.2148642674299498E-13</v>
      </c>
      <c r="E1166" s="3" t="s">
        <v>5561</v>
      </c>
      <c r="F1166" s="3" t="s">
        <v>5562</v>
      </c>
      <c r="G1166" s="3" t="s">
        <v>83</v>
      </c>
      <c r="H1166" s="7" t="str">
        <f>HYPERLINK("http://www.ensembl.org/Mus_musculus/Gene/Summary?db=core;g=ENSMUSG00000097194","ENSMUSG00000097194")</f>
        <v>ENSMUSG00000097194</v>
      </c>
      <c r="I1166" s="7" t="str">
        <f>HYPERLINK("http://www.informatics.jax.org/marker/MGI:2443913","MGI:2443913")</f>
        <v>MGI:2443913</v>
      </c>
      <c r="J1166" s="4" t="s">
        <v>939</v>
      </c>
    </row>
    <row r="1167" spans="1:10" x14ac:dyDescent="0.25">
      <c r="A1167" s="2">
        <v>1.84588477921246</v>
      </c>
      <c r="B1167" s="3">
        <v>1.2084544862020301</v>
      </c>
      <c r="C1167" s="3">
        <v>1.02414247561857E-2</v>
      </c>
      <c r="D1167" s="4">
        <v>2.54358811324914E-2</v>
      </c>
      <c r="E1167" s="3" t="s">
        <v>15885</v>
      </c>
      <c r="F1167" s="3" t="s">
        <v>15886</v>
      </c>
      <c r="G1167" s="3">
        <v>319776</v>
      </c>
      <c r="H1167" s="7" t="str">
        <f>HYPERLINK("http://www.ensembl.org/Mus_musculus/Gene/Summary?db=core;g=ENSMUSG00000048108","ENSMUSG00000048108")</f>
        <v>ENSMUSG00000048108</v>
      </c>
      <c r="I1167" s="7" t="str">
        <f>HYPERLINK("http://www.informatics.jax.org/marker/MGI:2442707","MGI:2442707")</f>
        <v>MGI:2442707</v>
      </c>
      <c r="J1167" s="4" t="s">
        <v>12</v>
      </c>
    </row>
    <row r="1168" spans="1:10" x14ac:dyDescent="0.25">
      <c r="A1168" s="2">
        <v>0.87700339566728702</v>
      </c>
      <c r="B1168" s="3">
        <v>1.20716802445141</v>
      </c>
      <c r="C1168" s="3">
        <v>7.29069321314324E-3</v>
      </c>
      <c r="D1168" s="4">
        <v>1.8630616841153899E-2</v>
      </c>
      <c r="E1168" s="3" t="s">
        <v>15439</v>
      </c>
      <c r="F1168" s="3" t="s">
        <v>15440</v>
      </c>
      <c r="G1168" s="3">
        <v>320707</v>
      </c>
      <c r="H1168" s="7" t="str">
        <f>HYPERLINK("http://www.ensembl.org/Mus_musculus/Gene/Summary?db=core;g=ENSMUSG00000031376","ENSMUSG00000031376")</f>
        <v>ENSMUSG00000031376</v>
      </c>
      <c r="I1168" s="7" t="str">
        <f>HYPERLINK("http://www.informatics.jax.org/marker/MGI:1347353","MGI:1347353")</f>
        <v>MGI:1347353</v>
      </c>
      <c r="J1168" s="4" t="s">
        <v>12</v>
      </c>
    </row>
    <row r="1169" spans="1:10" x14ac:dyDescent="0.25">
      <c r="A1169" s="2">
        <v>0.67570933842002301</v>
      </c>
      <c r="B1169" s="3">
        <v>1.2069438992611401</v>
      </c>
      <c r="C1169" s="3">
        <v>4.4399002586643097E-3</v>
      </c>
      <c r="D1169" s="4">
        <v>1.18477446685873E-2</v>
      </c>
      <c r="E1169" s="3" t="s">
        <v>14784</v>
      </c>
      <c r="F1169" s="3" t="s">
        <v>14785</v>
      </c>
      <c r="G1169" s="3" t="s">
        <v>83</v>
      </c>
      <c r="H1169" s="7" t="str">
        <f>HYPERLINK("http://www.ensembl.org/Mus_musculus/Gene/Summary?db=core;g=ENSMUSG00000065529","ENSMUSG00000065529")</f>
        <v>ENSMUSG00000065529</v>
      </c>
      <c r="I1169" s="7" t="str">
        <f>HYPERLINK("http://www.informatics.jax.org/marker/MGI:2676896","MGI:2676896")</f>
        <v>MGI:2676896</v>
      </c>
      <c r="J1169" s="4" t="s">
        <v>6715</v>
      </c>
    </row>
    <row r="1170" spans="1:10" x14ac:dyDescent="0.25">
      <c r="A1170" s="2">
        <v>2.1439624680268499</v>
      </c>
      <c r="B1170" s="3">
        <v>1.2052382081419499</v>
      </c>
      <c r="C1170" s="3">
        <v>1.0063093045852499E-2</v>
      </c>
      <c r="D1170" s="4">
        <v>2.5043437009617701E-2</v>
      </c>
      <c r="E1170" s="3" t="s">
        <v>15853</v>
      </c>
      <c r="F1170" s="3" t="s">
        <v>15854</v>
      </c>
      <c r="G1170" s="3">
        <v>319197</v>
      </c>
      <c r="H1170" s="7" t="str">
        <f>HYPERLINK("http://www.ensembl.org/Mus_musculus/Gene/Summary?db=core;g=ENSMUSG00000044317","ENSMUSG00000044317")</f>
        <v>ENSMUSG00000044317</v>
      </c>
      <c r="I1170" s="7" t="str">
        <f>HYPERLINK("http://www.informatics.jax.org/marker/MGI:2441992","MGI:2441992")</f>
        <v>MGI:2441992</v>
      </c>
      <c r="J1170" s="4" t="s">
        <v>12</v>
      </c>
    </row>
    <row r="1171" spans="1:10" x14ac:dyDescent="0.25">
      <c r="A1171" s="2">
        <v>2434.1135527902302</v>
      </c>
      <c r="B1171" s="3">
        <v>1.20423194525205</v>
      </c>
      <c r="C1171" s="5">
        <v>2.6955054468316299E-62</v>
      </c>
      <c r="D1171" s="6">
        <v>1.03415111695564E-60</v>
      </c>
      <c r="E1171" s="3" t="s">
        <v>1044</v>
      </c>
      <c r="F1171" s="3" t="s">
        <v>1045</v>
      </c>
      <c r="G1171" s="3">
        <v>69710</v>
      </c>
      <c r="H1171" s="7" t="str">
        <f>HYPERLINK("http://www.ensembl.org/Mus_musculus/Gene/Summary?db=core;g=ENSMUSG00000032812","ENSMUSG00000032812")</f>
        <v>ENSMUSG00000032812</v>
      </c>
      <c r="I1171" s="7" t="str">
        <f>HYPERLINK("http://www.informatics.jax.org/marker/MGI:1916960","MGI:1916960")</f>
        <v>MGI:1916960</v>
      </c>
      <c r="J1171" s="4" t="s">
        <v>12</v>
      </c>
    </row>
    <row r="1172" spans="1:10" x14ac:dyDescent="0.25">
      <c r="A1172" s="2">
        <v>2.7237547860085298</v>
      </c>
      <c r="B1172" s="3">
        <v>1.2039988165380899</v>
      </c>
      <c r="C1172" s="3">
        <v>8.4435128176788103E-3</v>
      </c>
      <c r="D1172" s="4">
        <v>2.1278731343722199E-2</v>
      </c>
      <c r="E1172" s="3" t="s">
        <v>15655</v>
      </c>
      <c r="F1172" s="3" t="s">
        <v>15656</v>
      </c>
      <c r="G1172" s="3">
        <v>216227</v>
      </c>
      <c r="H1172" s="7" t="str">
        <f>HYPERLINK("http://www.ensembl.org/Mus_musculus/Gene/Summary?db=core;g=ENSMUSG00000019935","ENSMUSG00000019935")</f>
        <v>ENSMUSG00000019935</v>
      </c>
      <c r="I1172" s="7" t="str">
        <f>HYPERLINK("http://www.informatics.jax.org/marker/MGI:3039629","MGI:3039629")</f>
        <v>MGI:3039629</v>
      </c>
      <c r="J1172" s="4" t="s">
        <v>12</v>
      </c>
    </row>
    <row r="1173" spans="1:10" x14ac:dyDescent="0.25">
      <c r="A1173" s="2">
        <v>514.87387091649998</v>
      </c>
      <c r="B1173" s="3">
        <v>1.2021637689812601</v>
      </c>
      <c r="C1173" s="5">
        <v>1.1486652251702401E-29</v>
      </c>
      <c r="D1173" s="6">
        <v>1.6741816881269099E-28</v>
      </c>
      <c r="E1173" s="3" t="s">
        <v>2724</v>
      </c>
      <c r="F1173" s="3" t="s">
        <v>2725</v>
      </c>
      <c r="G1173" s="3">
        <v>26390</v>
      </c>
      <c r="H1173" s="7" t="str">
        <f>HYPERLINK("http://www.ensembl.org/Mus_musculus/Gene/Summary?db=core;g=ENSMUSG00000033902","ENSMUSG00000033902")</f>
        <v>ENSMUSG00000033902</v>
      </c>
      <c r="I1173" s="7" t="str">
        <f>HYPERLINK("http://www.informatics.jax.org/marker/MGI:1347004","MGI:1347004")</f>
        <v>MGI:1347004</v>
      </c>
      <c r="J1173" s="4" t="s">
        <v>12</v>
      </c>
    </row>
    <row r="1174" spans="1:10" x14ac:dyDescent="0.25">
      <c r="A1174" s="2">
        <v>65.103611397443103</v>
      </c>
      <c r="B1174" s="3">
        <v>1.2018304921960901</v>
      </c>
      <c r="C1174" s="5">
        <v>1.12632322362513E-11</v>
      </c>
      <c r="D1174" s="6">
        <v>7.0000296154704004E-11</v>
      </c>
      <c r="E1174" s="3" t="s">
        <v>6363</v>
      </c>
      <c r="F1174" s="3" t="s">
        <v>6364</v>
      </c>
      <c r="G1174" s="3">
        <v>19260</v>
      </c>
      <c r="H1174" s="7" t="str">
        <f>HYPERLINK("http://www.ensembl.org/Mus_musculus/Gene/Summary?db=core;g=ENSMUSG00000027843","ENSMUSG00000027843")</f>
        <v>ENSMUSG00000027843</v>
      </c>
      <c r="I1174" s="7" t="str">
        <f>HYPERLINK("http://www.informatics.jax.org/marker/MGI:107170","MGI:107170")</f>
        <v>MGI:107170</v>
      </c>
      <c r="J1174" s="4" t="s">
        <v>12</v>
      </c>
    </row>
    <row r="1175" spans="1:10" x14ac:dyDescent="0.25">
      <c r="A1175" s="2">
        <v>2.0229418047934802</v>
      </c>
      <c r="B1175" s="3">
        <v>1.2017002326656201</v>
      </c>
      <c r="C1175" s="3">
        <v>1.04836971316243E-2</v>
      </c>
      <c r="D1175" s="4">
        <v>2.5978701612921599E-2</v>
      </c>
      <c r="E1175" s="3" t="s">
        <v>15921</v>
      </c>
      <c r="F1175" s="3" t="s">
        <v>15922</v>
      </c>
      <c r="G1175" s="3" t="s">
        <v>83</v>
      </c>
      <c r="H1175" s="7" t="str">
        <f>HYPERLINK("http://www.ensembl.org/Mus_musculus/Gene/Summary?db=core;g=ENSMUSG00000105085","ENSMUSG00000105085")</f>
        <v>ENSMUSG00000105085</v>
      </c>
      <c r="I1175" s="7" t="str">
        <f>HYPERLINK("http://www.informatics.jax.org/marker/MGI:5662704","MGI:5662704")</f>
        <v>MGI:5662704</v>
      </c>
      <c r="J1175" s="4" t="s">
        <v>932</v>
      </c>
    </row>
    <row r="1176" spans="1:10" x14ac:dyDescent="0.25">
      <c r="A1176" s="2">
        <v>159.77634039500001</v>
      </c>
      <c r="B1176" s="3">
        <v>1.2011318994373701</v>
      </c>
      <c r="C1176" s="5">
        <v>2.222213194692E-16</v>
      </c>
      <c r="D1176" s="6">
        <v>1.8289667862823999E-15</v>
      </c>
      <c r="E1176" s="3" t="s">
        <v>4809</v>
      </c>
      <c r="F1176" s="3" t="s">
        <v>4810</v>
      </c>
      <c r="G1176" s="3">
        <v>68591</v>
      </c>
      <c r="H1176" s="7" t="str">
        <f>HYPERLINK("http://www.ensembl.org/Mus_musculus/Gene/Summary?db=core;g=ENSMUSG00000039616","ENSMUSG00000039616")</f>
        <v>ENSMUSG00000039616</v>
      </c>
      <c r="I1176" s="7" t="str">
        <f>HYPERLINK("http://www.informatics.jax.org/marker/MGI:1915841","MGI:1915841")</f>
        <v>MGI:1915841</v>
      </c>
      <c r="J1176" s="4" t="s">
        <v>12</v>
      </c>
    </row>
    <row r="1177" spans="1:10" x14ac:dyDescent="0.25">
      <c r="A1177" s="2">
        <v>6.6434293632640298</v>
      </c>
      <c r="B1177" s="3">
        <v>1.2004491907308401</v>
      </c>
      <c r="C1177" s="3">
        <v>2.1413185958557399E-3</v>
      </c>
      <c r="D1177" s="4">
        <v>6.0220768269074699E-3</v>
      </c>
      <c r="E1177" s="3" t="s">
        <v>14031</v>
      </c>
      <c r="F1177" s="3" t="s">
        <v>14032</v>
      </c>
      <c r="G1177" s="3">
        <v>320718</v>
      </c>
      <c r="H1177" s="7" t="str">
        <f>HYPERLINK("http://www.ensembl.org/Mus_musculus/Gene/Summary?db=core;g=ENSMUSG00000042268","ENSMUSG00000042268")</f>
        <v>ENSMUSG00000042268</v>
      </c>
      <c r="I1177" s="7" t="str">
        <f>HYPERLINK("http://www.informatics.jax.org/marker/MGI:2444594","MGI:2444594")</f>
        <v>MGI:2444594</v>
      </c>
      <c r="J1177" s="4" t="s">
        <v>12</v>
      </c>
    </row>
    <row r="1178" spans="1:10" x14ac:dyDescent="0.25">
      <c r="A1178" s="2">
        <v>257.03689422001702</v>
      </c>
      <c r="B1178" s="3">
        <v>1.19916485582014</v>
      </c>
      <c r="C1178" s="3">
        <v>5.1342812852355803E-4</v>
      </c>
      <c r="D1178" s="4">
        <v>1.5773177589164301E-3</v>
      </c>
      <c r="E1178" s="3" t="s">
        <v>12847</v>
      </c>
      <c r="F1178" s="3" t="s">
        <v>12848</v>
      </c>
      <c r="G1178" s="3">
        <v>228775</v>
      </c>
      <c r="H1178" s="7" t="str">
        <f>HYPERLINK("http://www.ensembl.org/Mus_musculus/Gene/Summary?db=core;g=ENSMUSG00000032715","ENSMUSG00000032715")</f>
        <v>ENSMUSG00000032715</v>
      </c>
      <c r="I1178" s="7" t="str">
        <f>HYPERLINK("http://www.informatics.jax.org/marker/MGI:1345675","MGI:1345675")</f>
        <v>MGI:1345675</v>
      </c>
      <c r="J1178" s="4" t="s">
        <v>12</v>
      </c>
    </row>
    <row r="1179" spans="1:10" x14ac:dyDescent="0.25">
      <c r="A1179" s="2">
        <v>1312.0346934516399</v>
      </c>
      <c r="B1179" s="3">
        <v>1.1985010904282201</v>
      </c>
      <c r="C1179" s="5">
        <v>8.3296345218123205E-92</v>
      </c>
      <c r="D1179" s="6">
        <v>5.7838166468358804E-90</v>
      </c>
      <c r="E1179" s="3" t="s">
        <v>580</v>
      </c>
      <c r="F1179" s="3" t="s">
        <v>581</v>
      </c>
      <c r="G1179" s="3">
        <v>170755</v>
      </c>
      <c r="H1179" s="7" t="str">
        <f>HYPERLINK("http://www.ensembl.org/Mus_musculus/Gene/Summary?db=core;g=ENSMUSG00000025915","ENSMUSG00000025915")</f>
        <v>ENSMUSG00000025915</v>
      </c>
      <c r="I1179" s="7" t="str">
        <f>HYPERLINK("http://www.informatics.jax.org/marker/MGI:2182368","MGI:2182368")</f>
        <v>MGI:2182368</v>
      </c>
      <c r="J1179" s="4" t="s">
        <v>12</v>
      </c>
    </row>
    <row r="1180" spans="1:10" x14ac:dyDescent="0.25">
      <c r="A1180" s="2">
        <v>7.3822255815429303</v>
      </c>
      <c r="B1180" s="3">
        <v>1.1979959736001999</v>
      </c>
      <c r="C1180" s="3">
        <v>1.01444519461185E-3</v>
      </c>
      <c r="D1180" s="4">
        <v>2.9853543109604102E-3</v>
      </c>
      <c r="E1180" s="3" t="s">
        <v>13411</v>
      </c>
      <c r="F1180" s="3" t="s">
        <v>13412</v>
      </c>
      <c r="G1180" s="3">
        <v>12354</v>
      </c>
      <c r="H1180" s="7" t="str">
        <f>HYPERLINK("http://www.ensembl.org/Mus_musculus/Gene/Summary?db=core;g=ENSMUSG00000031883","ENSMUSG00000031883")</f>
        <v>ENSMUSG00000031883</v>
      </c>
      <c r="I1180" s="7" t="str">
        <f>HYPERLINK("http://www.informatics.jax.org/marker/MGI:103100","MGI:103100")</f>
        <v>MGI:103100</v>
      </c>
      <c r="J1180" s="4" t="s">
        <v>12</v>
      </c>
    </row>
    <row r="1181" spans="1:10" x14ac:dyDescent="0.25">
      <c r="A1181" s="2">
        <v>157.07211109697599</v>
      </c>
      <c r="B1181" s="3">
        <v>1.1979719016303301</v>
      </c>
      <c r="C1181" s="5">
        <v>1.57332671099151E-20</v>
      </c>
      <c r="D1181" s="6">
        <v>1.6001032873002899E-19</v>
      </c>
      <c r="E1181" s="3" t="s">
        <v>3896</v>
      </c>
      <c r="F1181" s="3" t="s">
        <v>3897</v>
      </c>
      <c r="G1181" s="3">
        <v>225372</v>
      </c>
      <c r="H1181" s="7" t="str">
        <f>HYPERLINK("http://www.ensembl.org/Mus_musculus/Gene/Summary?db=core;g=ENSMUSG00000117679","ENSMUSG00000117679")</f>
        <v>ENSMUSG00000117679</v>
      </c>
      <c r="I1181" s="7" t="str">
        <f>HYPERLINK("http://www.informatics.jax.org/marker/MGI:108404","MGI:108404")</f>
        <v>MGI:108404</v>
      </c>
      <c r="J1181" s="4" t="s">
        <v>12</v>
      </c>
    </row>
    <row r="1182" spans="1:10" x14ac:dyDescent="0.25">
      <c r="A1182" s="2">
        <v>1.92075886960883</v>
      </c>
      <c r="B1182" s="3">
        <v>1.1975114333251</v>
      </c>
      <c r="C1182" s="3">
        <v>1.0919997113165899E-2</v>
      </c>
      <c r="D1182" s="4">
        <v>2.69413665797111E-2</v>
      </c>
      <c r="E1182" s="3" t="s">
        <v>15991</v>
      </c>
      <c r="F1182" s="3" t="s">
        <v>15992</v>
      </c>
      <c r="G1182" s="3" t="s">
        <v>83</v>
      </c>
      <c r="H1182" s="7" t="str">
        <f>HYPERLINK("http://www.ensembl.org/Mus_musculus/Gene/Summary?db=core;g=ENSMUSG00000108195","ENSMUSG00000108195")</f>
        <v>ENSMUSG00000108195</v>
      </c>
      <c r="I1182" s="7" t="str">
        <f>HYPERLINK("http://www.informatics.jax.org/marker/MGI:5690807","MGI:5690807")</f>
        <v>MGI:5690807</v>
      </c>
      <c r="J1182" s="4" t="s">
        <v>1828</v>
      </c>
    </row>
    <row r="1183" spans="1:10" x14ac:dyDescent="0.25">
      <c r="A1183" s="2">
        <v>1.7982259481093399</v>
      </c>
      <c r="B1183" s="3">
        <v>1.1962191897219301</v>
      </c>
      <c r="C1183" s="3">
        <v>1.1001142230780201E-2</v>
      </c>
      <c r="D1183" s="4">
        <v>2.71093331714479E-2</v>
      </c>
      <c r="E1183" s="3" t="s">
        <v>16011</v>
      </c>
      <c r="F1183" s="3" t="s">
        <v>16012</v>
      </c>
      <c r="G1183" s="3" t="s">
        <v>83</v>
      </c>
      <c r="H1183" s="7" t="str">
        <f>HYPERLINK("http://www.ensembl.org/Mus_musculus/Gene/Summary?db=core;g=ENSMUSG00000084950","ENSMUSG00000084950")</f>
        <v>ENSMUSG00000084950</v>
      </c>
      <c r="I1183" s="7" t="str">
        <f>HYPERLINK("http://www.informatics.jax.org/marker/MGI:3648213","MGI:3648213")</f>
        <v>MGI:3648213</v>
      </c>
      <c r="J1183" s="4" t="s">
        <v>932</v>
      </c>
    </row>
    <row r="1184" spans="1:10" x14ac:dyDescent="0.25">
      <c r="A1184" s="2">
        <v>4.8428435168147903</v>
      </c>
      <c r="B1184" s="3">
        <v>1.1961016660178401</v>
      </c>
      <c r="C1184" s="3">
        <v>3.0480849590964502E-3</v>
      </c>
      <c r="D1184" s="4">
        <v>8.3448889897795205E-3</v>
      </c>
      <c r="E1184" s="3" t="s">
        <v>14411</v>
      </c>
      <c r="F1184" s="3" t="s">
        <v>14412</v>
      </c>
      <c r="G1184" s="3">
        <v>26365</v>
      </c>
      <c r="H1184" s="7" t="str">
        <f>HYPERLINK("http://www.ensembl.org/Mus_musculus/Gene/Summary?db=core;g=ENSMUSG00000074272","ENSMUSG00000074272")</f>
        <v>ENSMUSG00000074272</v>
      </c>
      <c r="I1184" s="7" t="str">
        <f>HYPERLINK("http://www.informatics.jax.org/marker/MGI:1347245","MGI:1347245")</f>
        <v>MGI:1347245</v>
      </c>
      <c r="J1184" s="4" t="s">
        <v>12</v>
      </c>
    </row>
    <row r="1185" spans="1:10" x14ac:dyDescent="0.25">
      <c r="A1185" s="2">
        <v>92.295614689664205</v>
      </c>
      <c r="B1185" s="3">
        <v>1.1948965599191299</v>
      </c>
      <c r="C1185" s="5">
        <v>4.1095481033180901E-17</v>
      </c>
      <c r="D1185" s="6">
        <v>3.5265573802190098E-16</v>
      </c>
      <c r="E1185" s="3" t="s">
        <v>4613</v>
      </c>
      <c r="F1185" s="3" t="s">
        <v>4614</v>
      </c>
      <c r="G1185" s="3">
        <v>12916</v>
      </c>
      <c r="H1185" s="7" t="str">
        <f>HYPERLINK("http://www.ensembl.org/Mus_musculus/Gene/Summary?db=core;g=ENSMUSG00000063889","ENSMUSG00000063889")</f>
        <v>ENSMUSG00000063889</v>
      </c>
      <c r="I1185" s="7" t="str">
        <f>HYPERLINK("http://www.informatics.jax.org/marker/MGI:88495","MGI:88495")</f>
        <v>MGI:88495</v>
      </c>
      <c r="J1185" s="4" t="s">
        <v>12</v>
      </c>
    </row>
    <row r="1186" spans="1:10" x14ac:dyDescent="0.25">
      <c r="A1186" s="2">
        <v>77.558859655440898</v>
      </c>
      <c r="B1186" s="3">
        <v>1.1947085975728</v>
      </c>
      <c r="C1186" s="5">
        <v>2.24397580695268E-11</v>
      </c>
      <c r="D1186" s="6">
        <v>1.3712799167371199E-10</v>
      </c>
      <c r="E1186" s="3" t="s">
        <v>6471</v>
      </c>
      <c r="F1186" s="3" t="s">
        <v>6472</v>
      </c>
      <c r="G1186" s="3" t="s">
        <v>83</v>
      </c>
      <c r="H1186" s="7" t="str">
        <f>HYPERLINK("http://www.ensembl.org/Mus_musculus/Gene/Summary?db=core;g=ENSMUSG00000084289","ENSMUSG00000084289")</f>
        <v>ENSMUSG00000084289</v>
      </c>
      <c r="I1186" s="7" t="str">
        <f>HYPERLINK("http://www.informatics.jax.org/marker/MGI:3647597","MGI:3647597")</f>
        <v>MGI:3647597</v>
      </c>
      <c r="J1186" s="4" t="s">
        <v>1043</v>
      </c>
    </row>
    <row r="1187" spans="1:10" x14ac:dyDescent="0.25">
      <c r="A1187" s="2">
        <v>3.9907299406014398</v>
      </c>
      <c r="B1187" s="3">
        <v>1.19373704197502</v>
      </c>
      <c r="C1187" s="3">
        <v>6.8100663423742496E-3</v>
      </c>
      <c r="D1187" s="4">
        <v>1.75113454520303E-2</v>
      </c>
      <c r="E1187" s="3" t="s">
        <v>15341</v>
      </c>
      <c r="F1187" s="3" t="s">
        <v>15342</v>
      </c>
      <c r="G1187" s="3">
        <v>66938</v>
      </c>
      <c r="H1187" s="7" t="str">
        <f>HYPERLINK("http://www.ensembl.org/Mus_musculus/Gene/Summary?db=core;g=ENSMUSG00000073758","ENSMUSG00000073758")</f>
        <v>ENSMUSG00000073758</v>
      </c>
      <c r="I1187" s="7" t="str">
        <f>HYPERLINK("http://www.informatics.jax.org/marker/MGI:1914188","MGI:1914188")</f>
        <v>MGI:1914188</v>
      </c>
      <c r="J1187" s="4" t="s">
        <v>12</v>
      </c>
    </row>
    <row r="1188" spans="1:10" x14ac:dyDescent="0.25">
      <c r="A1188" s="2">
        <v>71.944952525001597</v>
      </c>
      <c r="B1188" s="3">
        <v>1.1913243215114</v>
      </c>
      <c r="C1188" s="5">
        <v>1.4856778698456001E-10</v>
      </c>
      <c r="D1188" s="6">
        <v>8.52913175934651E-10</v>
      </c>
      <c r="E1188" s="3" t="s">
        <v>6888</v>
      </c>
      <c r="F1188" s="3" t="s">
        <v>6889</v>
      </c>
      <c r="G1188" s="3">
        <v>244144</v>
      </c>
      <c r="H1188" s="7" t="str">
        <f>HYPERLINK("http://www.ensembl.org/Mus_musculus/Gene/Summary?db=core;g=ENSMUSG00000035713","ENSMUSG00000035713")</f>
        <v>ENSMUSG00000035713</v>
      </c>
      <c r="I1188" s="7" t="str">
        <f>HYPERLINK("http://www.informatics.jax.org/marker/MGI:2685339","MGI:2685339")</f>
        <v>MGI:2685339</v>
      </c>
      <c r="J1188" s="4" t="s">
        <v>12</v>
      </c>
    </row>
    <row r="1189" spans="1:10" x14ac:dyDescent="0.25">
      <c r="A1189" s="2">
        <v>6651.8129375886501</v>
      </c>
      <c r="B1189" s="3">
        <v>1.1912651153887499</v>
      </c>
      <c r="C1189" s="5">
        <v>1.4905926408334899E-106</v>
      </c>
      <c r="D1189" s="6">
        <v>1.3422140126592E-104</v>
      </c>
      <c r="E1189" s="3" t="s">
        <v>450</v>
      </c>
      <c r="F1189" s="3" t="s">
        <v>451</v>
      </c>
      <c r="G1189" s="3">
        <v>14489</v>
      </c>
      <c r="H1189" s="7" t="str">
        <f>HYPERLINK("http://www.ensembl.org/Mus_musculus/Gene/Summary?db=core;g=ENSMUSG00000029840","ENSMUSG00000029840")</f>
        <v>ENSMUSG00000029840</v>
      </c>
      <c r="I1189" s="7" t="str">
        <f>HYPERLINK("http://www.informatics.jax.org/marker/MGI:99445","MGI:99445")</f>
        <v>MGI:99445</v>
      </c>
      <c r="J1189" s="4" t="s">
        <v>12</v>
      </c>
    </row>
    <row r="1190" spans="1:10" x14ac:dyDescent="0.25">
      <c r="A1190" s="2">
        <v>460.34332834512099</v>
      </c>
      <c r="B1190" s="3">
        <v>1.1905446198933101</v>
      </c>
      <c r="C1190" s="5">
        <v>2.28845261863848E-15</v>
      </c>
      <c r="D1190" s="6">
        <v>1.7915159047062601E-14</v>
      </c>
      <c r="E1190" s="3" t="s">
        <v>5055</v>
      </c>
      <c r="F1190" s="3" t="s">
        <v>5056</v>
      </c>
      <c r="G1190" s="3">
        <v>99696</v>
      </c>
      <c r="H1190" s="7" t="str">
        <f>HYPERLINK("http://www.ensembl.org/Mus_musculus/Gene/Summary?db=core;g=ENSMUSG00000044864","ENSMUSG00000044864")</f>
        <v>ENSMUSG00000044864</v>
      </c>
      <c r="I1190" s="7" t="str">
        <f>HYPERLINK("http://www.informatics.jax.org/marker/MGI:2139777","MGI:2139777")</f>
        <v>MGI:2139777</v>
      </c>
      <c r="J1190" s="4" t="s">
        <v>12</v>
      </c>
    </row>
    <row r="1191" spans="1:10" x14ac:dyDescent="0.25">
      <c r="A1191" s="2">
        <v>4.0113551173434399</v>
      </c>
      <c r="B1191" s="3">
        <v>1.1898668716849901</v>
      </c>
      <c r="C1191" s="3">
        <v>6.4793540127243603E-3</v>
      </c>
      <c r="D1191" s="4">
        <v>1.6741727087385298E-2</v>
      </c>
      <c r="E1191" s="3" t="s">
        <v>15267</v>
      </c>
      <c r="F1191" s="3" t="s">
        <v>15268</v>
      </c>
      <c r="G1191" s="3" t="s">
        <v>83</v>
      </c>
      <c r="H1191" s="7" t="str">
        <f>HYPERLINK("http://www.ensembl.org/Mus_musculus/Gene/Summary?db=core;g=ENSMUSG00000085316","ENSMUSG00000085316")</f>
        <v>ENSMUSG00000085316</v>
      </c>
      <c r="I1191" s="7" t="str">
        <f>HYPERLINK("http://www.informatics.jax.org/marker/MGI:2445155","MGI:2445155")</f>
        <v>MGI:2445155</v>
      </c>
      <c r="J1191" s="4" t="s">
        <v>939</v>
      </c>
    </row>
    <row r="1192" spans="1:10" x14ac:dyDescent="0.25">
      <c r="A1192" s="2">
        <v>8.2439523703342807</v>
      </c>
      <c r="B1192" s="3">
        <v>1.18959259839437</v>
      </c>
      <c r="C1192" s="3">
        <v>5.4100942144053E-4</v>
      </c>
      <c r="D1192" s="4">
        <v>1.65817621865204E-3</v>
      </c>
      <c r="E1192" s="3" t="s">
        <v>12875</v>
      </c>
      <c r="F1192" s="3" t="s">
        <v>12876</v>
      </c>
      <c r="G1192" s="3" t="s">
        <v>83</v>
      </c>
      <c r="H1192" s="7" t="str">
        <f>HYPERLINK("http://www.ensembl.org/Mus_musculus/Gene/Summary?db=core;g=ENSMUSG00000106028","ENSMUSG00000106028")</f>
        <v>ENSMUSG00000106028</v>
      </c>
      <c r="I1192" s="7" t="str">
        <f>HYPERLINK("http://www.informatics.jax.org/marker/MGI:3779800","MGI:3779800")</f>
        <v>MGI:3779800</v>
      </c>
      <c r="J1192" s="4" t="s">
        <v>2683</v>
      </c>
    </row>
    <row r="1193" spans="1:10" x14ac:dyDescent="0.25">
      <c r="A1193" s="2">
        <v>143.044512565742</v>
      </c>
      <c r="B1193" s="3">
        <v>1.1887603904261601</v>
      </c>
      <c r="C1193" s="5">
        <v>5.3021139863443897E-12</v>
      </c>
      <c r="D1193" s="6">
        <v>3.3837439420942201E-11</v>
      </c>
      <c r="E1193" s="3" t="s">
        <v>6197</v>
      </c>
      <c r="F1193" s="3" t="s">
        <v>6198</v>
      </c>
      <c r="G1193" s="3">
        <v>69573</v>
      </c>
      <c r="H1193" s="7" t="str">
        <f>HYPERLINK("http://www.ensembl.org/Mus_musculus/Gene/Summary?db=core;g=ENSMUSG00000043421","ENSMUSG00000043421")</f>
        <v>ENSMUSG00000043421</v>
      </c>
      <c r="I1193" s="7" t="str">
        <f>HYPERLINK("http://www.informatics.jax.org/marker/MGI:1916823","MGI:1916823")</f>
        <v>MGI:1916823</v>
      </c>
      <c r="J1193" s="4" t="s">
        <v>12</v>
      </c>
    </row>
    <row r="1194" spans="1:10" x14ac:dyDescent="0.25">
      <c r="A1194" s="2">
        <v>1.3207865204179901</v>
      </c>
      <c r="B1194" s="3">
        <v>1.1883658176968099</v>
      </c>
      <c r="C1194" s="3">
        <v>1.0648744360902599E-2</v>
      </c>
      <c r="D1194" s="4">
        <v>2.6347959698494301E-2</v>
      </c>
      <c r="E1194" s="3" t="s">
        <v>15945</v>
      </c>
      <c r="F1194" s="3" t="s">
        <v>15946</v>
      </c>
      <c r="G1194" s="3" t="s">
        <v>83</v>
      </c>
      <c r="H1194" s="7" t="str">
        <f>HYPERLINK("http://www.ensembl.org/Mus_musculus/Gene/Summary?db=core;g=ENSMUSG00000090230","ENSMUSG00000090230")</f>
        <v>ENSMUSG00000090230</v>
      </c>
      <c r="I1194" s="7" t="str">
        <f>HYPERLINK("http://www.informatics.jax.org/marker/MGI:3826564","MGI:3826564")</f>
        <v>MGI:3826564</v>
      </c>
      <c r="J1194" s="4" t="s">
        <v>932</v>
      </c>
    </row>
    <row r="1195" spans="1:10" x14ac:dyDescent="0.25">
      <c r="A1195" s="2">
        <v>1.6919248292106599</v>
      </c>
      <c r="B1195" s="3">
        <v>1.1882816282664901</v>
      </c>
      <c r="C1195" s="3">
        <v>1.12608434904346E-2</v>
      </c>
      <c r="D1195" s="4">
        <v>2.7702574055809701E-2</v>
      </c>
      <c r="E1195" s="3" t="s">
        <v>16037</v>
      </c>
      <c r="F1195" s="3" t="s">
        <v>16038</v>
      </c>
      <c r="G1195" s="3">
        <v>217219</v>
      </c>
      <c r="H1195" s="7" t="str">
        <f>HYPERLINK("http://www.ensembl.org/Mus_musculus/Gene/Summary?db=core;g=ENSMUSG00000034685","ENSMUSG00000034685")</f>
        <v>ENSMUSG00000034685</v>
      </c>
      <c r="I1195" s="7" t="str">
        <f>HYPERLINK("http://www.informatics.jax.org/marker/MGI:2448496","MGI:2448496")</f>
        <v>MGI:2448496</v>
      </c>
      <c r="J1195" s="4" t="s">
        <v>12</v>
      </c>
    </row>
    <row r="1196" spans="1:10" x14ac:dyDescent="0.25">
      <c r="A1196" s="2">
        <v>7.2661237700692798</v>
      </c>
      <c r="B1196" s="3">
        <v>1.1880033675161501</v>
      </c>
      <c r="C1196" s="3">
        <v>1.0113508238311099E-3</v>
      </c>
      <c r="D1196" s="4">
        <v>2.9766922755148401E-3</v>
      </c>
      <c r="E1196" s="3" t="s">
        <v>13409</v>
      </c>
      <c r="F1196" s="3" t="s">
        <v>13410</v>
      </c>
      <c r="G1196" s="3" t="s">
        <v>83</v>
      </c>
      <c r="H1196" s="7" t="str">
        <f>HYPERLINK("http://www.ensembl.org/Mus_musculus/Gene/Summary?db=core;g=ENSMUSG00000108122","ENSMUSG00000108122")</f>
        <v>ENSMUSG00000108122</v>
      </c>
      <c r="I1196" s="7" t="str">
        <f>HYPERLINK("http://www.informatics.jax.org/marker/MGI:5690508","MGI:5690508")</f>
        <v>MGI:5690508</v>
      </c>
      <c r="J1196" s="4" t="s">
        <v>1828</v>
      </c>
    </row>
    <row r="1197" spans="1:10" x14ac:dyDescent="0.25">
      <c r="A1197" s="2">
        <v>15.6602675918353</v>
      </c>
      <c r="B1197" s="3">
        <v>1.1878187736340999</v>
      </c>
      <c r="C1197" s="3">
        <v>3.4558810028085602E-4</v>
      </c>
      <c r="D1197" s="4">
        <v>1.08657483060244E-3</v>
      </c>
      <c r="E1197" s="3" t="s">
        <v>12557</v>
      </c>
      <c r="F1197" s="3" t="s">
        <v>12558</v>
      </c>
      <c r="G1197" s="3">
        <v>102075</v>
      </c>
      <c r="H1197" s="7" t="str">
        <f>HYPERLINK("http://www.ensembl.org/Mus_musculus/Gene/Summary?db=core;g=ENSMUSG00000014782","ENSMUSG00000014782")</f>
        <v>ENSMUSG00000014782</v>
      </c>
      <c r="I1197" s="7" t="str">
        <f>HYPERLINK("http://www.informatics.jax.org/marker/MGI:2142544","MGI:2142544")</f>
        <v>MGI:2142544</v>
      </c>
      <c r="J1197" s="4" t="s">
        <v>12</v>
      </c>
    </row>
    <row r="1198" spans="1:10" x14ac:dyDescent="0.25">
      <c r="A1198" s="2">
        <v>1315.8302846352001</v>
      </c>
      <c r="B1198" s="3">
        <v>1.1875753385990699</v>
      </c>
      <c r="C1198" s="5">
        <v>7.1941755047589902E-50</v>
      </c>
      <c r="D1198" s="6">
        <v>1.9328220838398799E-48</v>
      </c>
      <c r="E1198" s="3" t="s">
        <v>1484</v>
      </c>
      <c r="F1198" s="3" t="s">
        <v>1485</v>
      </c>
      <c r="G1198" s="3">
        <v>54683</v>
      </c>
      <c r="H1198" s="7" t="str">
        <f>HYPERLINK("http://www.ensembl.org/Mus_musculus/Gene/Summary?db=core;g=ENSMUSG00000024953","ENSMUSG00000024953")</f>
        <v>ENSMUSG00000024953</v>
      </c>
      <c r="I1198" s="7" t="str">
        <f>HYPERLINK("http://www.informatics.jax.org/marker/MGI:1859821","MGI:1859821")</f>
        <v>MGI:1859821</v>
      </c>
      <c r="J1198" s="4" t="s">
        <v>12</v>
      </c>
    </row>
    <row r="1199" spans="1:10" x14ac:dyDescent="0.25">
      <c r="A1199" s="2">
        <v>4.2189449247270296</v>
      </c>
      <c r="B1199" s="3">
        <v>1.18752163020582</v>
      </c>
      <c r="C1199" s="3">
        <v>5.4488666002745004E-3</v>
      </c>
      <c r="D1199" s="4">
        <v>1.43040001806993E-2</v>
      </c>
      <c r="E1199" s="3" t="s">
        <v>15028</v>
      </c>
      <c r="F1199" s="3" t="s">
        <v>15029</v>
      </c>
      <c r="G1199" s="3" t="s">
        <v>83</v>
      </c>
      <c r="H1199" s="7" t="str">
        <f>HYPERLINK("http://www.ensembl.org/Mus_musculus/Gene/Summary?db=core;g=ENSMUSG00000108382","ENSMUSG00000108382")</f>
        <v>ENSMUSG00000108382</v>
      </c>
      <c r="I1199" s="7" t="str">
        <f>HYPERLINK("http://www.informatics.jax.org/marker/MGI:1921243","MGI:1921243")</f>
        <v>MGI:1921243</v>
      </c>
      <c r="J1199" s="4" t="s">
        <v>939</v>
      </c>
    </row>
    <row r="1200" spans="1:10" x14ac:dyDescent="0.25">
      <c r="A1200" s="2">
        <v>518.49314236002294</v>
      </c>
      <c r="B1200" s="3">
        <v>1.18731901356173</v>
      </c>
      <c r="C1200" s="5">
        <v>6.3500104278245096E-23</v>
      </c>
      <c r="D1200" s="6">
        <v>7.1555546078113901E-22</v>
      </c>
      <c r="E1200" s="3" t="s">
        <v>3518</v>
      </c>
      <c r="F1200" s="3" t="s">
        <v>3519</v>
      </c>
      <c r="G1200" s="3">
        <v>380732</v>
      </c>
      <c r="H1200" s="7" t="str">
        <f>HYPERLINK("http://www.ensembl.org/Mus_musculus/Gene/Summary?db=core;g=ENSMUSG00000040528","ENSMUSG00000040528")</f>
        <v>ENSMUSG00000040528</v>
      </c>
      <c r="I1200" s="7" t="str">
        <f>HYPERLINK("http://www.informatics.jax.org/marker/MGI:2685731","MGI:2685731")</f>
        <v>MGI:2685731</v>
      </c>
      <c r="J1200" s="4" t="s">
        <v>12</v>
      </c>
    </row>
    <row r="1201" spans="1:10" x14ac:dyDescent="0.25">
      <c r="A1201" s="2">
        <v>1.06158887949018</v>
      </c>
      <c r="B1201" s="3">
        <v>1.1856818323772</v>
      </c>
      <c r="C1201" s="3">
        <v>5.5529613290025998E-3</v>
      </c>
      <c r="D1201" s="4">
        <v>1.4555948080278E-2</v>
      </c>
      <c r="E1201" s="3" t="s">
        <v>15048</v>
      </c>
      <c r="F1201" s="3" t="s">
        <v>15049</v>
      </c>
      <c r="G1201" s="3">
        <v>382571</v>
      </c>
      <c r="H1201" s="7" t="str">
        <f>HYPERLINK("http://www.ensembl.org/Mus_musculus/Gene/Summary?db=core;g=ENSMUSG00000051726","ENSMUSG00000051726")</f>
        <v>ENSMUSG00000051726</v>
      </c>
      <c r="I1201" s="7" t="str">
        <f>HYPERLINK("http://www.informatics.jax.org/marker/MGI:2687399","MGI:2687399")</f>
        <v>MGI:2687399</v>
      </c>
      <c r="J1201" s="4" t="s">
        <v>12</v>
      </c>
    </row>
    <row r="1202" spans="1:10" x14ac:dyDescent="0.25">
      <c r="A1202" s="2">
        <v>0.76596150741346103</v>
      </c>
      <c r="B1202" s="3">
        <v>1.18531241567013</v>
      </c>
      <c r="C1202" s="3">
        <v>5.5873126736548599E-3</v>
      </c>
      <c r="D1202" s="4">
        <v>1.4634321413796499E-2</v>
      </c>
      <c r="E1202" s="3" t="s">
        <v>15062</v>
      </c>
      <c r="F1202" s="3" t="s">
        <v>15063</v>
      </c>
      <c r="G1202" s="3">
        <v>76974</v>
      </c>
      <c r="H1202" s="7" t="str">
        <f>HYPERLINK("http://www.ensembl.org/Mus_musculus/Gene/Summary?db=core;g=ENSMUSG00000025481","ENSMUSG00000025481")</f>
        <v>ENSMUSG00000025481</v>
      </c>
      <c r="I1202" s="7" t="str">
        <f>HYPERLINK("http://www.informatics.jax.org/marker/MGI:1916142","MGI:1916142")</f>
        <v>MGI:1916142</v>
      </c>
      <c r="J1202" s="4" t="s">
        <v>12</v>
      </c>
    </row>
    <row r="1203" spans="1:10" x14ac:dyDescent="0.25">
      <c r="A1203" s="2">
        <v>10.156350073916</v>
      </c>
      <c r="B1203" s="3">
        <v>1.18525940025479</v>
      </c>
      <c r="C1203" s="3">
        <v>8.9018413780671897E-4</v>
      </c>
      <c r="D1203" s="4">
        <v>2.6445064641835601E-3</v>
      </c>
      <c r="E1203" s="3" t="s">
        <v>13286</v>
      </c>
      <c r="F1203" s="3" t="s">
        <v>13287</v>
      </c>
      <c r="G1203" s="3">
        <v>270210</v>
      </c>
      <c r="H1203" s="7" t="str">
        <f>HYPERLINK("http://www.ensembl.org/Mus_musculus/Gene/Summary?db=core;g=ENSMUSG00000013419","ENSMUSG00000013419")</f>
        <v>ENSMUSG00000013419</v>
      </c>
      <c r="I1203" s="7" t="str">
        <f>HYPERLINK("http://www.informatics.jax.org/marker/MGI:2670992","MGI:2670992")</f>
        <v>MGI:2670992</v>
      </c>
      <c r="J1203" s="4" t="s">
        <v>12</v>
      </c>
    </row>
    <row r="1204" spans="1:10" x14ac:dyDescent="0.25">
      <c r="A1204" s="2">
        <v>2.6355279525408899</v>
      </c>
      <c r="B1204" s="3">
        <v>1.1844314894713199</v>
      </c>
      <c r="C1204" s="3">
        <v>1.08651167495029E-2</v>
      </c>
      <c r="D1204" s="4">
        <v>2.68227469078865E-2</v>
      </c>
      <c r="E1204" s="3" t="s">
        <v>15981</v>
      </c>
      <c r="F1204" s="3" t="s">
        <v>15982</v>
      </c>
      <c r="G1204" s="3" t="s">
        <v>83</v>
      </c>
      <c r="H1204" s="7" t="str">
        <f>HYPERLINK("http://www.ensembl.org/Mus_musculus/Gene/Summary?db=core;g=ENSMUSG00000093327","ENSMUSG00000093327")</f>
        <v>ENSMUSG00000093327</v>
      </c>
      <c r="I1204" s="7" t="str">
        <f>HYPERLINK("http://www.informatics.jax.org/marker/MGI:4950427","MGI:4950427")</f>
        <v>MGI:4950427</v>
      </c>
      <c r="J1204" s="4" t="s">
        <v>6715</v>
      </c>
    </row>
    <row r="1205" spans="1:10" x14ac:dyDescent="0.25">
      <c r="A1205" s="2">
        <v>0.93306154900345795</v>
      </c>
      <c r="B1205" s="3">
        <v>1.184371892555</v>
      </c>
      <c r="C1205" s="3">
        <v>7.8683005734220702E-3</v>
      </c>
      <c r="D1205" s="4">
        <v>1.99669138216295E-2</v>
      </c>
      <c r="E1205" s="3" t="s">
        <v>15545</v>
      </c>
      <c r="F1205" s="3" t="s">
        <v>15546</v>
      </c>
      <c r="G1205" s="3">
        <v>270757</v>
      </c>
      <c r="H1205" s="7" t="str">
        <f>HYPERLINK("http://www.ensembl.org/Mus_musculus/Gene/Summary?db=core;g=ENSMUSG00000050108","ENSMUSG00000050108")</f>
        <v>ENSMUSG00000050108</v>
      </c>
      <c r="I1205" s="7" t="str">
        <f>HYPERLINK("http://www.informatics.jax.org/marker/MGI:3026884","MGI:3026884")</f>
        <v>MGI:3026884</v>
      </c>
      <c r="J1205" s="4" t="s">
        <v>12</v>
      </c>
    </row>
    <row r="1206" spans="1:10" x14ac:dyDescent="0.25">
      <c r="A1206" s="2">
        <v>3.1449776058227701</v>
      </c>
      <c r="B1206" s="3">
        <v>1.1841919084458199</v>
      </c>
      <c r="C1206" s="3">
        <v>8.7199695277174697E-3</v>
      </c>
      <c r="D1206" s="4">
        <v>2.19389894216112E-2</v>
      </c>
      <c r="E1206" s="3" t="s">
        <v>15681</v>
      </c>
      <c r="F1206" s="3" t="s">
        <v>15682</v>
      </c>
      <c r="G1206" s="3" t="s">
        <v>83</v>
      </c>
      <c r="H1206" s="7" t="str">
        <f>HYPERLINK("http://www.ensembl.org/Mus_musculus/Gene/Summary?db=core;g=ENSMUSG00000103308","ENSMUSG00000103308")</f>
        <v>ENSMUSG00000103308</v>
      </c>
      <c r="I1206" s="7" t="str">
        <f>HYPERLINK("http://www.informatics.jax.org/marker/MGI:5611028","MGI:5611028")</f>
        <v>MGI:5611028</v>
      </c>
      <c r="J1206" s="4" t="s">
        <v>939</v>
      </c>
    </row>
    <row r="1207" spans="1:10" x14ac:dyDescent="0.25">
      <c r="A1207" s="2">
        <v>19.5862049328423</v>
      </c>
      <c r="B1207" s="3">
        <v>1.18415306102214</v>
      </c>
      <c r="C1207" s="5">
        <v>8.4165777030774706E-6</v>
      </c>
      <c r="D1207" s="6">
        <v>3.1814244260051297E-5</v>
      </c>
      <c r="E1207" s="3" t="s">
        <v>10448</v>
      </c>
      <c r="F1207" s="3" t="s">
        <v>10449</v>
      </c>
      <c r="G1207" s="3">
        <v>77036</v>
      </c>
      <c r="H1207" s="7" t="str">
        <f>HYPERLINK("http://www.ensembl.org/Mus_musculus/Gene/Summary?db=core;g=ENSMUSG00000008307","ENSMUSG00000008307")</f>
        <v>ENSMUSG00000008307</v>
      </c>
      <c r="I1207" s="7" t="str">
        <f>HYPERLINK("http://www.informatics.jax.org/marker/MGI:1924286","MGI:1924286")</f>
        <v>MGI:1924286</v>
      </c>
      <c r="J1207" s="4" t="s">
        <v>12</v>
      </c>
    </row>
    <row r="1208" spans="1:10" x14ac:dyDescent="0.25">
      <c r="A1208" s="2">
        <v>22.2935982719946</v>
      </c>
      <c r="B1208" s="3">
        <v>1.18367796823926</v>
      </c>
      <c r="C1208" s="5">
        <v>7.2084118755490199E-6</v>
      </c>
      <c r="D1208" s="6">
        <v>2.7431470896531599E-5</v>
      </c>
      <c r="E1208" s="3" t="s">
        <v>10378</v>
      </c>
      <c r="F1208" s="3" t="s">
        <v>10379</v>
      </c>
      <c r="G1208" s="3">
        <v>56323</v>
      </c>
      <c r="H1208" s="7" t="str">
        <f>HYPERLINK("http://www.ensembl.org/Mus_musculus/Gene/Summary?db=core;g=ENSMUSG00000036052","ENSMUSG00000036052")</f>
        <v>ENSMUSG00000036052</v>
      </c>
      <c r="I1208" s="7" t="str">
        <f>HYPERLINK("http://www.informatics.jax.org/marker/MGI:1930018","MGI:1930018")</f>
        <v>MGI:1930018</v>
      </c>
      <c r="J1208" s="4" t="s">
        <v>12</v>
      </c>
    </row>
    <row r="1209" spans="1:10" x14ac:dyDescent="0.25">
      <c r="A1209" s="2">
        <v>0.96515223423458396</v>
      </c>
      <c r="B1209" s="3">
        <v>1.18267360985515</v>
      </c>
      <c r="C1209" s="3">
        <v>4.90788188272315E-3</v>
      </c>
      <c r="D1209" s="4">
        <v>1.2992808528299199E-2</v>
      </c>
      <c r="E1209" s="3" t="s">
        <v>14902</v>
      </c>
      <c r="F1209" s="3" t="s">
        <v>14903</v>
      </c>
      <c r="G1209" s="3" t="s">
        <v>83</v>
      </c>
      <c r="H1209" s="7" t="str">
        <f>HYPERLINK("http://www.ensembl.org/Mus_musculus/Gene/Summary?db=core;g=ENSMUSG00000104340","ENSMUSG00000104340")</f>
        <v>ENSMUSG00000104340</v>
      </c>
      <c r="I1209" s="7" t="str">
        <f>HYPERLINK("http://www.informatics.jax.org/marker/MGI:3642357","MGI:3642357")</f>
        <v>MGI:3642357</v>
      </c>
      <c r="J1209" s="4" t="s">
        <v>939</v>
      </c>
    </row>
    <row r="1210" spans="1:10" x14ac:dyDescent="0.25">
      <c r="A1210" s="2">
        <v>15.9003273334494</v>
      </c>
      <c r="B1210" s="3">
        <v>1.18184443824632</v>
      </c>
      <c r="C1210" s="5">
        <v>6.8054743402300502E-5</v>
      </c>
      <c r="D1210" s="4">
        <v>2.3352001738182799E-4</v>
      </c>
      <c r="E1210" s="3" t="s">
        <v>11503</v>
      </c>
      <c r="F1210" s="3" t="s">
        <v>11504</v>
      </c>
      <c r="G1210" s="3">
        <v>20356</v>
      </c>
      <c r="H1210" s="7" t="str">
        <f>HYPERLINK("http://www.ensembl.org/Mus_musculus/Gene/Summary?db=core;g=ENSMUSG00000022231","ENSMUSG00000022231")</f>
        <v>ENSMUSG00000022231</v>
      </c>
      <c r="I1210" s="7" t="str">
        <f>HYPERLINK("http://www.informatics.jax.org/marker/MGI:107556","MGI:107556")</f>
        <v>MGI:107556</v>
      </c>
      <c r="J1210" s="4" t="s">
        <v>12</v>
      </c>
    </row>
    <row r="1211" spans="1:10" x14ac:dyDescent="0.25">
      <c r="A1211" s="2">
        <v>257.12057193211098</v>
      </c>
      <c r="B1211" s="3">
        <v>1.18157857963281</v>
      </c>
      <c r="C1211" s="5">
        <v>3.8388679695238002E-25</v>
      </c>
      <c r="D1211" s="6">
        <v>4.6932719379423098E-24</v>
      </c>
      <c r="E1211" s="3" t="s">
        <v>3246</v>
      </c>
      <c r="F1211" s="3" t="s">
        <v>3247</v>
      </c>
      <c r="G1211" s="3">
        <v>93691</v>
      </c>
      <c r="H1211" s="7" t="str">
        <f>HYPERLINK("http://www.ensembl.org/Mus_musculus/Gene/Summary?db=core;g=ENSMUSG00000025959","ENSMUSG00000025959")</f>
        <v>ENSMUSG00000025959</v>
      </c>
      <c r="I1211" s="7" t="str">
        <f>HYPERLINK("http://www.informatics.jax.org/marker/MGI:1935151","MGI:1935151")</f>
        <v>MGI:1935151</v>
      </c>
      <c r="J1211" s="4" t="s">
        <v>12</v>
      </c>
    </row>
    <row r="1212" spans="1:10" x14ac:dyDescent="0.25">
      <c r="A1212" s="2">
        <v>951.01775499344797</v>
      </c>
      <c r="B1212" s="3">
        <v>1.18100295064992</v>
      </c>
      <c r="C1212" s="5">
        <v>1.3864730531805701E-21</v>
      </c>
      <c r="D1212" s="6">
        <v>1.4707503286025199E-20</v>
      </c>
      <c r="E1212" s="3" t="s">
        <v>3736</v>
      </c>
      <c r="F1212" s="3" t="s">
        <v>3737</v>
      </c>
      <c r="G1212" s="3">
        <v>217203</v>
      </c>
      <c r="H1212" s="7" t="str">
        <f>HYPERLINK("http://www.ensembl.org/Mus_musculus/Gene/Summary?db=core;g=ENSMUSG00000034947","ENSMUSG00000034947")</f>
        <v>ENSMUSG00000034947</v>
      </c>
      <c r="I1212" s="7" t="str">
        <f>HYPERLINK("http://www.informatics.jax.org/marker/MGI:1922056","MGI:1922056")</f>
        <v>MGI:1922056</v>
      </c>
      <c r="J1212" s="4" t="s">
        <v>12</v>
      </c>
    </row>
    <row r="1213" spans="1:10" x14ac:dyDescent="0.25">
      <c r="A1213" s="2">
        <v>5.9096924478872799</v>
      </c>
      <c r="B1213" s="3">
        <v>1.18010140429299</v>
      </c>
      <c r="C1213" s="3">
        <v>2.8081902906753799E-3</v>
      </c>
      <c r="D1213" s="4">
        <v>7.7407761437123896E-3</v>
      </c>
      <c r="E1213" s="3" t="s">
        <v>14313</v>
      </c>
      <c r="F1213" s="3" t="s">
        <v>14314</v>
      </c>
      <c r="G1213" s="3" t="s">
        <v>83</v>
      </c>
      <c r="H1213" s="7" t="str">
        <f>HYPERLINK("http://www.ensembl.org/Mus_musculus/Gene/Summary?db=core;g=ENSMUSG00000085701","ENSMUSG00000085701")</f>
        <v>ENSMUSG00000085701</v>
      </c>
      <c r="I1213" s="7" t="str">
        <f>HYPERLINK("http://www.informatics.jax.org/marker/MGI:3649345","MGI:3649345")</f>
        <v>MGI:3649345</v>
      </c>
      <c r="J1213" s="4" t="s">
        <v>939</v>
      </c>
    </row>
    <row r="1214" spans="1:10" x14ac:dyDescent="0.25">
      <c r="A1214" s="2">
        <v>450.61938898508402</v>
      </c>
      <c r="B1214" s="3">
        <v>1.17993162809871</v>
      </c>
      <c r="C1214" s="5">
        <v>2.6304079002275302E-27</v>
      </c>
      <c r="D1214" s="6">
        <v>3.4977507614623699E-26</v>
      </c>
      <c r="E1214" s="3" t="s">
        <v>2984</v>
      </c>
      <c r="F1214" s="3" t="s">
        <v>2985</v>
      </c>
      <c r="G1214" s="3">
        <v>22393</v>
      </c>
      <c r="H1214" s="7" t="str">
        <f>HYPERLINK("http://www.ensembl.org/Mus_musculus/Gene/Summary?db=core;g=ENSMUSG00000039474","ENSMUSG00000039474")</f>
        <v>ENSMUSG00000039474</v>
      </c>
      <c r="I1214" s="7" t="str">
        <f>HYPERLINK("http://www.informatics.jax.org/marker/MGI:1328355","MGI:1328355")</f>
        <v>MGI:1328355</v>
      </c>
      <c r="J1214" s="4" t="s">
        <v>12</v>
      </c>
    </row>
    <row r="1215" spans="1:10" x14ac:dyDescent="0.25">
      <c r="A1215" s="2">
        <v>7.8570921813019297</v>
      </c>
      <c r="B1215" s="3">
        <v>1.17971052356619</v>
      </c>
      <c r="C1215" s="3">
        <v>1.1559117083571101E-3</v>
      </c>
      <c r="D1215" s="4">
        <v>3.37797553183198E-3</v>
      </c>
      <c r="E1215" s="3" t="s">
        <v>13505</v>
      </c>
      <c r="F1215" s="3" t="s">
        <v>13506</v>
      </c>
      <c r="G1215" s="3" t="s">
        <v>83</v>
      </c>
      <c r="H1215" s="7" t="str">
        <f>HYPERLINK("http://www.ensembl.org/Mus_musculus/Gene/Summary?db=core;g=ENSMUSG00000099104","ENSMUSG00000099104")</f>
        <v>ENSMUSG00000099104</v>
      </c>
      <c r="I1215" s="7" t="str">
        <f>HYPERLINK("http://www.informatics.jax.org/marker/MGI:4937914","MGI:4937914")</f>
        <v>MGI:4937914</v>
      </c>
      <c r="J1215" s="4" t="s">
        <v>12</v>
      </c>
    </row>
    <row r="1216" spans="1:10" x14ac:dyDescent="0.25">
      <c r="A1216" s="2">
        <v>2.0227066580170101</v>
      </c>
      <c r="B1216" s="3">
        <v>1.1777797564066601</v>
      </c>
      <c r="C1216" s="3">
        <v>1.2321376570747901E-2</v>
      </c>
      <c r="D1216" s="4">
        <v>3.0075200640568001E-2</v>
      </c>
      <c r="E1216" s="3" t="s">
        <v>16163</v>
      </c>
      <c r="F1216" s="3" t="s">
        <v>16164</v>
      </c>
      <c r="G1216" s="3" t="s">
        <v>83</v>
      </c>
      <c r="H1216" s="7" t="str">
        <f>HYPERLINK("http://www.ensembl.org/Mus_musculus/Gene/Summary?db=core;g=ENSMUSG00000085920","ENSMUSG00000085920")</f>
        <v>ENSMUSG00000085920</v>
      </c>
      <c r="I1216" s="7" t="str">
        <f>HYPERLINK("http://www.informatics.jax.org/marker/MGI:3649505","MGI:3649505")</f>
        <v>MGI:3649505</v>
      </c>
      <c r="J1216" s="4" t="s">
        <v>939</v>
      </c>
    </row>
    <row r="1217" spans="1:10" x14ac:dyDescent="0.25">
      <c r="A1217" s="2">
        <v>1.3856203590431699</v>
      </c>
      <c r="B1217" s="3">
        <v>1.1776372728787901</v>
      </c>
      <c r="C1217" s="3">
        <v>1.07449378713669E-2</v>
      </c>
      <c r="D1217" s="4">
        <v>2.65493265033649E-2</v>
      </c>
      <c r="E1217" s="3" t="s">
        <v>15967</v>
      </c>
      <c r="F1217" s="3" t="s">
        <v>15968</v>
      </c>
      <c r="G1217" s="3" t="s">
        <v>83</v>
      </c>
      <c r="H1217" s="7" t="str">
        <f>HYPERLINK("http://www.ensembl.org/Mus_musculus/Gene/Summary?db=core;g=ENSMUSG00000086621","ENSMUSG00000086621")</f>
        <v>ENSMUSG00000086621</v>
      </c>
      <c r="I1217" s="7" t="str">
        <f>HYPERLINK("http://www.informatics.jax.org/marker/MGI:3649255","MGI:3649255")</f>
        <v>MGI:3649255</v>
      </c>
      <c r="J1217" s="4" t="s">
        <v>932</v>
      </c>
    </row>
    <row r="1218" spans="1:10" x14ac:dyDescent="0.25">
      <c r="A1218" s="2">
        <v>1.1933567804296901</v>
      </c>
      <c r="B1218" s="3">
        <v>1.17737227418962</v>
      </c>
      <c r="C1218" s="3">
        <v>4.1141674024606596E-3</v>
      </c>
      <c r="D1218" s="4">
        <v>1.10563343113279E-2</v>
      </c>
      <c r="E1218" s="3" t="s">
        <v>14679</v>
      </c>
      <c r="F1218" s="3" t="s">
        <v>14680</v>
      </c>
      <c r="G1218" s="3" t="s">
        <v>83</v>
      </c>
      <c r="H1218" s="7" t="str">
        <f>HYPERLINK("http://www.ensembl.org/Mus_musculus/Gene/Summary?db=core;g=ENSMUSG00000114553","ENSMUSG00000114553")</f>
        <v>ENSMUSG00000114553</v>
      </c>
      <c r="I1218" s="7" t="str">
        <f>HYPERLINK("http://www.informatics.jax.org/marker/MGI:3646878","MGI:3646878")</f>
        <v>MGI:3646878</v>
      </c>
      <c r="J1218" s="4" t="s">
        <v>939</v>
      </c>
    </row>
    <row r="1219" spans="1:10" x14ac:dyDescent="0.25">
      <c r="A1219" s="2">
        <v>1.9936010382462299</v>
      </c>
      <c r="B1219" s="3">
        <v>1.17716724604443</v>
      </c>
      <c r="C1219" s="3">
        <v>1.2575323873432E-2</v>
      </c>
      <c r="D1219" s="4">
        <v>3.0653323459095098E-2</v>
      </c>
      <c r="E1219" s="3" t="s">
        <v>16185</v>
      </c>
      <c r="F1219" s="3" t="s">
        <v>16186</v>
      </c>
      <c r="G1219" s="3" t="s">
        <v>83</v>
      </c>
      <c r="H1219" s="7" t="str">
        <f>HYPERLINK("http://www.ensembl.org/Mus_musculus/Gene/Summary?db=core;g=ENSMUSG00000103596","ENSMUSG00000103596")</f>
        <v>ENSMUSG00000103596</v>
      </c>
      <c r="I1219" s="7" t="str">
        <f>HYPERLINK("http://www.informatics.jax.org/marker/MGI:5610582","MGI:5610582")</f>
        <v>MGI:5610582</v>
      </c>
      <c r="J1219" s="4" t="s">
        <v>1828</v>
      </c>
    </row>
    <row r="1220" spans="1:10" x14ac:dyDescent="0.25">
      <c r="A1220" s="2">
        <v>4.5062514983992097</v>
      </c>
      <c r="B1220" s="3">
        <v>1.17684126954177</v>
      </c>
      <c r="C1220" s="3">
        <v>4.2836599457463697E-3</v>
      </c>
      <c r="D1220" s="4">
        <v>1.14711806260346E-2</v>
      </c>
      <c r="E1220" s="3" t="s">
        <v>14732</v>
      </c>
      <c r="F1220" s="3" t="s">
        <v>14733</v>
      </c>
      <c r="G1220" s="3" t="s">
        <v>83</v>
      </c>
      <c r="H1220" s="7" t="str">
        <f>HYPERLINK("http://www.ensembl.org/Mus_musculus/Gene/Summary?db=core;g=ENSMUSG00000077990","ENSMUSG00000077990")</f>
        <v>ENSMUSG00000077990</v>
      </c>
      <c r="I1220" s="7" t="str">
        <f>HYPERLINK("http://www.informatics.jax.org/marker/MGI:5452911","MGI:5452911")</f>
        <v>MGI:5452911</v>
      </c>
      <c r="J1220" s="4" t="s">
        <v>6715</v>
      </c>
    </row>
    <row r="1221" spans="1:10" x14ac:dyDescent="0.25">
      <c r="A1221" s="2">
        <v>796.37242321341205</v>
      </c>
      <c r="B1221" s="3">
        <v>1.17650294413428</v>
      </c>
      <c r="C1221" s="5">
        <v>1.2299796833278301E-5</v>
      </c>
      <c r="D1221" s="6">
        <v>4.5704163096334799E-5</v>
      </c>
      <c r="E1221" s="3" t="s">
        <v>10626</v>
      </c>
      <c r="F1221" s="3" t="s">
        <v>10627</v>
      </c>
      <c r="G1221" s="3">
        <v>230784</v>
      </c>
      <c r="H1221" s="7" t="str">
        <f>HYPERLINK("http://www.ensembl.org/Mus_musculus/Gene/Summary?db=core;g=ENSMUSG00000028893","ENSMUSG00000028893")</f>
        <v>ENSMUSG00000028893</v>
      </c>
      <c r="I1221" s="7" t="str">
        <f>HYPERLINK("http://www.informatics.jax.org/marker/MGI:2651874","MGI:2651874")</f>
        <v>MGI:2651874</v>
      </c>
      <c r="J1221" s="4" t="s">
        <v>12</v>
      </c>
    </row>
    <row r="1222" spans="1:10" x14ac:dyDescent="0.25">
      <c r="A1222" s="2">
        <v>7366.5931003814803</v>
      </c>
      <c r="B1222" s="3">
        <v>1.17560770447216</v>
      </c>
      <c r="C1222" s="5">
        <v>2.0894193883651999E-100</v>
      </c>
      <c r="D1222" s="6">
        <v>1.6817694015739501E-98</v>
      </c>
      <c r="E1222" s="3" t="s">
        <v>502</v>
      </c>
      <c r="F1222" s="3" t="s">
        <v>503</v>
      </c>
      <c r="G1222" s="3">
        <v>56722</v>
      </c>
      <c r="H1222" s="7" t="str">
        <f>HYPERLINK("http://www.ensembl.org/Mus_musculus/Gene/Summary?db=core;g=ENSMUSG00000022500","ENSMUSG00000022500")</f>
        <v>ENSMUSG00000022500</v>
      </c>
      <c r="I1222" s="7" t="str">
        <f>HYPERLINK("http://www.informatics.jax.org/marker/MGI:1929512","MGI:1929512")</f>
        <v>MGI:1929512</v>
      </c>
      <c r="J1222" s="4" t="s">
        <v>12</v>
      </c>
    </row>
    <row r="1223" spans="1:10" x14ac:dyDescent="0.25">
      <c r="A1223" s="2">
        <v>11.860486925067899</v>
      </c>
      <c r="B1223" s="3">
        <v>1.17548663654452</v>
      </c>
      <c r="C1223" s="3">
        <v>2.8669547138445799E-3</v>
      </c>
      <c r="D1223" s="4">
        <v>7.8895265080958701E-3</v>
      </c>
      <c r="E1223" s="3" t="s">
        <v>14337</v>
      </c>
      <c r="F1223" s="3" t="s">
        <v>14338</v>
      </c>
      <c r="G1223" s="3">
        <v>54722</v>
      </c>
      <c r="H1223" s="7" t="str">
        <f>HYPERLINK("http://www.ensembl.org/Mus_musculus/Gene/Summary?db=core;g=ENSMUSG00000029821","ENSMUSG00000029821")</f>
        <v>ENSMUSG00000029821</v>
      </c>
      <c r="I1223" s="7" t="str">
        <f>HYPERLINK("http://www.informatics.jax.org/marker/MGI:1889850","MGI:1889850")</f>
        <v>MGI:1889850</v>
      </c>
      <c r="J1223" s="4" t="s">
        <v>12</v>
      </c>
    </row>
    <row r="1224" spans="1:10" x14ac:dyDescent="0.25">
      <c r="A1224" s="2">
        <v>3.3158073569348301</v>
      </c>
      <c r="B1224" s="3">
        <v>1.17494057534217</v>
      </c>
      <c r="C1224" s="3">
        <v>7.6936328249236803E-3</v>
      </c>
      <c r="D1224" s="4">
        <v>1.95686318873711E-2</v>
      </c>
      <c r="E1224" s="3" t="s">
        <v>15513</v>
      </c>
      <c r="F1224" s="3" t="s">
        <v>15514</v>
      </c>
      <c r="G1224" s="3" t="s">
        <v>83</v>
      </c>
      <c r="H1224" s="7" t="str">
        <f>HYPERLINK("http://www.ensembl.org/Mus_musculus/Gene/Summary?db=core;g=ENSMUSG00000087660","ENSMUSG00000087660")</f>
        <v>ENSMUSG00000087660</v>
      </c>
      <c r="I1224" s="7" t="str">
        <f>HYPERLINK("http://www.informatics.jax.org/marker/MGI:1925930","MGI:1925930")</f>
        <v>MGI:1925930</v>
      </c>
      <c r="J1224" s="4" t="s">
        <v>932</v>
      </c>
    </row>
    <row r="1225" spans="1:10" x14ac:dyDescent="0.25">
      <c r="A1225" s="2">
        <v>545.86670691149197</v>
      </c>
      <c r="B1225" s="3">
        <v>1.17414948434471</v>
      </c>
      <c r="C1225" s="5">
        <v>3.9061667791326398E-34</v>
      </c>
      <c r="D1225" s="6">
        <v>6.5668890779621202E-33</v>
      </c>
      <c r="E1225" s="3" t="s">
        <v>2363</v>
      </c>
      <c r="F1225" s="3" t="s">
        <v>2364</v>
      </c>
      <c r="G1225" s="3">
        <v>72061</v>
      </c>
      <c r="H1225" s="7" t="str">
        <f>HYPERLINK("http://www.ensembl.org/Mus_musculus/Gene/Summary?db=core;g=ENSMUSG00000021458","ENSMUSG00000021458")</f>
        <v>ENSMUSG00000021458</v>
      </c>
      <c r="I1225" s="7" t="str">
        <f>HYPERLINK("http://www.informatics.jax.org/marker/MGI:1919311","MGI:1919311")</f>
        <v>MGI:1919311</v>
      </c>
      <c r="J1225" s="4" t="s">
        <v>12</v>
      </c>
    </row>
    <row r="1226" spans="1:10" x14ac:dyDescent="0.25">
      <c r="A1226" s="2">
        <v>264.81405400766897</v>
      </c>
      <c r="B1226" s="3">
        <v>1.17377020346378</v>
      </c>
      <c r="C1226" s="5">
        <v>1.26481347570859E-36</v>
      </c>
      <c r="D1226" s="6">
        <v>2.3180410539938099E-35</v>
      </c>
      <c r="E1226" s="3" t="s">
        <v>2169</v>
      </c>
      <c r="F1226" s="3" t="s">
        <v>2170</v>
      </c>
      <c r="G1226" s="3">
        <v>19663</v>
      </c>
      <c r="H1226" s="7" t="str">
        <f>HYPERLINK("http://www.ensembl.org/Mus_musculus/Gene/Summary?db=core;g=ENSMUSG00000031586","ENSMUSG00000031586")</f>
        <v>ENSMUSG00000031586</v>
      </c>
      <c r="I1226" s="7" t="str">
        <f>HYPERLINK("http://www.informatics.jax.org/marker/MGI:1334446","MGI:1334446")</f>
        <v>MGI:1334446</v>
      </c>
      <c r="J1226" s="4" t="s">
        <v>12</v>
      </c>
    </row>
    <row r="1227" spans="1:10" x14ac:dyDescent="0.25">
      <c r="A1227" s="2">
        <v>242.114166847522</v>
      </c>
      <c r="B1227" s="3">
        <v>1.17305374233701</v>
      </c>
      <c r="C1227" s="5">
        <v>2.0379267482964801E-31</v>
      </c>
      <c r="D1227" s="6">
        <v>3.1250323076521399E-30</v>
      </c>
      <c r="E1227" s="3" t="s">
        <v>2589</v>
      </c>
      <c r="F1227" s="3" t="s">
        <v>2590</v>
      </c>
      <c r="G1227" s="3">
        <v>71398</v>
      </c>
      <c r="H1227" s="7" t="str">
        <f>HYPERLINK("http://www.ensembl.org/Mus_musculus/Gene/Summary?db=core;g=ENSMUSG00000025058","ENSMUSG00000025058")</f>
        <v>ENSMUSG00000025058</v>
      </c>
      <c r="I1227" s="7" t="str">
        <f>HYPERLINK("http://www.informatics.jax.org/marker/MGI:1918648","MGI:1918648")</f>
        <v>MGI:1918648</v>
      </c>
      <c r="J1227" s="4" t="s">
        <v>12</v>
      </c>
    </row>
    <row r="1228" spans="1:10" x14ac:dyDescent="0.25">
      <c r="A1228" s="2">
        <v>4516.4840344601998</v>
      </c>
      <c r="B1228" s="3">
        <v>1.1726226155028301</v>
      </c>
      <c r="C1228" s="5">
        <v>3.5617450928837302E-45</v>
      </c>
      <c r="D1228" s="6">
        <v>8.3915905892075498E-44</v>
      </c>
      <c r="E1228" s="3" t="s">
        <v>1690</v>
      </c>
      <c r="F1228" s="3" t="s">
        <v>1691</v>
      </c>
      <c r="G1228" s="3">
        <v>226519</v>
      </c>
      <c r="H1228" s="7" t="str">
        <f>HYPERLINK("http://www.ensembl.org/Mus_musculus/Gene/Summary?db=core;g=ENSMUSG00000026478","ENSMUSG00000026478")</f>
        <v>ENSMUSG00000026478</v>
      </c>
      <c r="I1228" s="7" t="str">
        <f>HYPERLINK("http://www.informatics.jax.org/marker/MGI:99914","MGI:99914")</f>
        <v>MGI:99914</v>
      </c>
      <c r="J1228" s="4" t="s">
        <v>12</v>
      </c>
    </row>
    <row r="1229" spans="1:10" x14ac:dyDescent="0.25">
      <c r="A1229" s="2">
        <v>587.65165519017</v>
      </c>
      <c r="B1229" s="3">
        <v>1.17169888717054</v>
      </c>
      <c r="C1229" s="5">
        <v>3.2503658373565001E-44</v>
      </c>
      <c r="D1229" s="6">
        <v>7.4531644549616599E-43</v>
      </c>
      <c r="E1229" s="3" t="s">
        <v>1736</v>
      </c>
      <c r="F1229" s="3" t="s">
        <v>1737</v>
      </c>
      <c r="G1229" s="3">
        <v>56289</v>
      </c>
      <c r="H1229" s="7" t="str">
        <f>HYPERLINK("http://www.ensembl.org/Mus_musculus/Gene/Summary?db=core;g=ENSMUSG00000010067","ENSMUSG00000010067")</f>
        <v>ENSMUSG00000010067</v>
      </c>
      <c r="I1229" s="7" t="str">
        <f>HYPERLINK("http://www.informatics.jax.org/marker/MGI:1928386","MGI:1928386")</f>
        <v>MGI:1928386</v>
      </c>
      <c r="J1229" s="4" t="s">
        <v>12</v>
      </c>
    </row>
    <row r="1230" spans="1:10" x14ac:dyDescent="0.25">
      <c r="A1230" s="2">
        <v>1282.00817688756</v>
      </c>
      <c r="B1230" s="3">
        <v>1.16986451418876</v>
      </c>
      <c r="C1230" s="5">
        <v>2.8315178759239598E-103</v>
      </c>
      <c r="D1230" s="6">
        <v>2.3862193381718201E-101</v>
      </c>
      <c r="E1230" s="3" t="s">
        <v>480</v>
      </c>
      <c r="F1230" s="3" t="s">
        <v>481</v>
      </c>
      <c r="G1230" s="3">
        <v>238130</v>
      </c>
      <c r="H1230" s="7" t="str">
        <f>HYPERLINK("http://www.ensembl.org/Mus_musculus/Gene/Summary?db=core;g=ENSMUSG00000035954","ENSMUSG00000035954")</f>
        <v>ENSMUSG00000035954</v>
      </c>
      <c r="I1230" s="7" t="str">
        <f>HYPERLINK("http://www.informatics.jax.org/marker/MGI:1918006","MGI:1918006")</f>
        <v>MGI:1918006</v>
      </c>
      <c r="J1230" s="4" t="s">
        <v>12</v>
      </c>
    </row>
    <row r="1231" spans="1:10" x14ac:dyDescent="0.25">
      <c r="A1231" s="2">
        <v>4.1536009235709397</v>
      </c>
      <c r="B1231" s="3">
        <v>1.16872656709366</v>
      </c>
      <c r="C1231" s="3">
        <v>7.2318315608367401E-3</v>
      </c>
      <c r="D1231" s="4">
        <v>1.85089835664764E-2</v>
      </c>
      <c r="E1231" s="3" t="s">
        <v>15415</v>
      </c>
      <c r="F1231" s="3" t="s">
        <v>15416</v>
      </c>
      <c r="G1231" s="3" t="s">
        <v>83</v>
      </c>
      <c r="H1231" s="7" t="str">
        <f>HYPERLINK("http://www.ensembl.org/Mus_musculus/Gene/Summary?db=core;g=ENSMUSG00000064791","ENSMUSG00000064791")</f>
        <v>ENSMUSG00000064791</v>
      </c>
      <c r="I1231" s="7" t="str">
        <f>HYPERLINK("http://www.informatics.jax.org/marker/MGI:3851606","MGI:3851606")</f>
        <v>MGI:3851606</v>
      </c>
      <c r="J1231" s="4" t="s">
        <v>11100</v>
      </c>
    </row>
    <row r="1232" spans="1:10" x14ac:dyDescent="0.25">
      <c r="A1232" s="2">
        <v>5.0124974808532103</v>
      </c>
      <c r="B1232" s="3">
        <v>1.16814656662997</v>
      </c>
      <c r="C1232" s="3">
        <v>1.05498953555094E-2</v>
      </c>
      <c r="D1232" s="4">
        <v>2.6126326310516701E-2</v>
      </c>
      <c r="E1232" s="3" t="s">
        <v>15931</v>
      </c>
      <c r="F1232" s="3" t="s">
        <v>15932</v>
      </c>
      <c r="G1232" s="3">
        <v>27226</v>
      </c>
      <c r="H1232" s="7" t="str">
        <f>HYPERLINK("http://www.ensembl.org/Mus_musculus/Gene/Summary?db=core;g=ENSMUSG00000023913","ENSMUSG00000023913")</f>
        <v>ENSMUSG00000023913</v>
      </c>
      <c r="I1232" s="7" t="str">
        <f>HYPERLINK("http://www.informatics.jax.org/marker/MGI:1351327","MGI:1351327")</f>
        <v>MGI:1351327</v>
      </c>
      <c r="J1232" s="4" t="s">
        <v>12</v>
      </c>
    </row>
    <row r="1233" spans="1:10" x14ac:dyDescent="0.25">
      <c r="A1233" s="2">
        <v>17.754713285655001</v>
      </c>
      <c r="B1233" s="3">
        <v>1.1675892084531501</v>
      </c>
      <c r="C1233" s="5">
        <v>1.02222842816303E-5</v>
      </c>
      <c r="D1233" s="6">
        <v>3.8222117185011302E-5</v>
      </c>
      <c r="E1233" s="3" t="s">
        <v>10561</v>
      </c>
      <c r="F1233" s="3" t="s">
        <v>10562</v>
      </c>
      <c r="G1233" s="3" t="s">
        <v>83</v>
      </c>
      <c r="H1233" s="7" t="str">
        <f>HYPERLINK("http://www.ensembl.org/Mus_musculus/Gene/Summary?db=core;g=ENSMUSG00000048164","ENSMUSG00000048164")</f>
        <v>ENSMUSG00000048164</v>
      </c>
      <c r="I1233" s="7" t="str">
        <f>HYPERLINK("http://www.informatics.jax.org/marker/MGI:3645884","MGI:3645884")</f>
        <v>MGI:3645884</v>
      </c>
      <c r="J1233" s="4" t="s">
        <v>1043</v>
      </c>
    </row>
    <row r="1234" spans="1:10" x14ac:dyDescent="0.25">
      <c r="A1234" s="2">
        <v>1.02315344876283</v>
      </c>
      <c r="B1234" s="3">
        <v>1.1673512931610599</v>
      </c>
      <c r="C1234" s="3">
        <v>9.1904894235263195E-3</v>
      </c>
      <c r="D1234" s="4">
        <v>2.3028774006599601E-2</v>
      </c>
      <c r="E1234" s="3" t="s">
        <v>15745</v>
      </c>
      <c r="F1234" s="3" t="s">
        <v>15746</v>
      </c>
      <c r="G1234" s="3" t="s">
        <v>83</v>
      </c>
      <c r="H1234" s="7" t="str">
        <f>HYPERLINK("http://www.ensembl.org/Mus_musculus/Gene/Summary?db=core;g=ENSMUSG00000112930","ENSMUSG00000112930")</f>
        <v>ENSMUSG00000112930</v>
      </c>
      <c r="I1234" s="7" t="str">
        <f>HYPERLINK("http://www.informatics.jax.org/marker/MGI:3648861","MGI:3648861")</f>
        <v>MGI:3648861</v>
      </c>
      <c r="J1234" s="4" t="s">
        <v>320</v>
      </c>
    </row>
    <row r="1235" spans="1:10" x14ac:dyDescent="0.25">
      <c r="A1235" s="2">
        <v>98.582994685613897</v>
      </c>
      <c r="B1235" s="3">
        <v>1.1673278821183299</v>
      </c>
      <c r="C1235" s="5">
        <v>3.2147157110866601E-15</v>
      </c>
      <c r="D1235" s="6">
        <v>2.4987857241871901E-14</v>
      </c>
      <c r="E1235" s="3" t="s">
        <v>5091</v>
      </c>
      <c r="F1235" s="3" t="s">
        <v>5092</v>
      </c>
      <c r="G1235" s="3" t="s">
        <v>83</v>
      </c>
      <c r="H1235" s="7" t="str">
        <f>HYPERLINK("http://www.ensembl.org/Mus_musculus/Gene/Summary?db=core;g=ENSMUSG00000059195","ENSMUSG00000059195")</f>
        <v>ENSMUSG00000059195</v>
      </c>
      <c r="I1235" s="7" t="str">
        <f>HYPERLINK("http://www.informatics.jax.org/marker/MGI:3650759","MGI:3650759")</f>
        <v>MGI:3650759</v>
      </c>
      <c r="J1235" s="4" t="s">
        <v>1043</v>
      </c>
    </row>
    <row r="1236" spans="1:10" x14ac:dyDescent="0.25">
      <c r="A1236" s="2">
        <v>0.86374329972145603</v>
      </c>
      <c r="B1236" s="3">
        <v>1.1663046285350001</v>
      </c>
      <c r="C1236" s="3">
        <v>9.0078276819679903E-3</v>
      </c>
      <c r="D1236" s="4">
        <v>2.2596916663072002E-2</v>
      </c>
      <c r="E1236" s="3" t="s">
        <v>15727</v>
      </c>
      <c r="F1236" s="3" t="s">
        <v>15728</v>
      </c>
      <c r="G1236" s="3">
        <v>667803</v>
      </c>
      <c r="H1236" s="7" t="str">
        <f>HYPERLINK("http://www.ensembl.org/Mus_musculus/Gene/Summary?db=core;g=ENSMUSG00000073405","ENSMUSG00000073405")</f>
        <v>ENSMUSG00000073405</v>
      </c>
      <c r="I1236" s="7" t="str">
        <f>HYPERLINK("http://www.informatics.jax.org/marker/MGI:2442805","MGI:2442805")</f>
        <v>MGI:2442805</v>
      </c>
      <c r="J1236" s="4" t="s">
        <v>2683</v>
      </c>
    </row>
    <row r="1237" spans="1:10" x14ac:dyDescent="0.25">
      <c r="A1237" s="2">
        <v>737.53705935871699</v>
      </c>
      <c r="B1237" s="3">
        <v>1.16584617679767</v>
      </c>
      <c r="C1237" s="5">
        <v>2.8222015701569399E-29</v>
      </c>
      <c r="D1237" s="6">
        <v>4.0682613277408501E-28</v>
      </c>
      <c r="E1237" s="3" t="s">
        <v>2754</v>
      </c>
      <c r="F1237" s="3" t="s">
        <v>2755</v>
      </c>
      <c r="G1237" s="3">
        <v>212943</v>
      </c>
      <c r="H1237" s="7" t="str">
        <f>HYPERLINK("http://www.ensembl.org/Mus_musculus/Gene/Summary?db=core;g=ENSMUSG00000032265","ENSMUSG00000032265")</f>
        <v>ENSMUSG00000032265</v>
      </c>
      <c r="I1237" s="7" t="str">
        <f>HYPERLINK("http://www.informatics.jax.org/marker/MGI:2670964","MGI:2670964")</f>
        <v>MGI:2670964</v>
      </c>
      <c r="J1237" s="4" t="s">
        <v>12</v>
      </c>
    </row>
    <row r="1238" spans="1:10" x14ac:dyDescent="0.25">
      <c r="A1238" s="2">
        <v>9085.6428922137893</v>
      </c>
      <c r="B1238" s="3">
        <v>1.1642334253030699</v>
      </c>
      <c r="C1238" s="5">
        <v>3.8529984818879602E-153</v>
      </c>
      <c r="D1238" s="6">
        <v>8.4423477847589604E-151</v>
      </c>
      <c r="E1238" s="3" t="s">
        <v>190</v>
      </c>
      <c r="F1238" s="3" t="s">
        <v>191</v>
      </c>
      <c r="G1238" s="3">
        <v>17210</v>
      </c>
      <c r="H1238" s="7" t="str">
        <f>HYPERLINK("http://www.ensembl.org/Mus_musculus/Gene/Summary?db=core;g=ENSMUSG00000038612","ENSMUSG00000038612")</f>
        <v>ENSMUSG00000038612</v>
      </c>
      <c r="I1238" s="7" t="str">
        <f>HYPERLINK("http://www.informatics.jax.org/marker/MGI:101769","MGI:101769")</f>
        <v>MGI:101769</v>
      </c>
      <c r="J1238" s="4" t="s">
        <v>12</v>
      </c>
    </row>
    <row r="1239" spans="1:10" x14ac:dyDescent="0.25">
      <c r="A1239" s="2">
        <v>1279.9489940031001</v>
      </c>
      <c r="B1239" s="3">
        <v>1.1629774318685699</v>
      </c>
      <c r="C1239" s="5">
        <v>1.51011087471097E-61</v>
      </c>
      <c r="D1239" s="6">
        <v>5.7048633044636795E-60</v>
      </c>
      <c r="E1239" s="3" t="s">
        <v>1060</v>
      </c>
      <c r="F1239" s="3" t="s">
        <v>1061</v>
      </c>
      <c r="G1239" s="3">
        <v>22217</v>
      </c>
      <c r="H1239" s="7" t="str">
        <f>HYPERLINK("http://www.ensembl.org/Mus_musculus/Gene/Summary?db=core;g=ENSMUSG00000029640","ENSMUSG00000029640")</f>
        <v>ENSMUSG00000029640</v>
      </c>
      <c r="I1239" s="7" t="str">
        <f>HYPERLINK("http://www.informatics.jax.org/marker/MGI:1270128","MGI:1270128")</f>
        <v>MGI:1270128</v>
      </c>
      <c r="J1239" s="4" t="s">
        <v>12</v>
      </c>
    </row>
    <row r="1240" spans="1:10" x14ac:dyDescent="0.25">
      <c r="A1240" s="2">
        <v>776.54213785440902</v>
      </c>
      <c r="B1240" s="3">
        <v>1.1623140642140899</v>
      </c>
      <c r="C1240" s="5">
        <v>1.0022184231152801E-40</v>
      </c>
      <c r="D1240" s="6">
        <v>2.08258664950824E-39</v>
      </c>
      <c r="E1240" s="3" t="s">
        <v>1915</v>
      </c>
      <c r="F1240" s="3" t="s">
        <v>1916</v>
      </c>
      <c r="G1240" s="3">
        <v>12048</v>
      </c>
      <c r="H1240" s="7" t="str">
        <f>HYPERLINK("http://www.ensembl.org/Mus_musculus/Gene/Summary?db=core;g=ENSMUSG00000007659","ENSMUSG00000007659")</f>
        <v>ENSMUSG00000007659</v>
      </c>
      <c r="I1240" s="7" t="str">
        <f>HYPERLINK("http://www.informatics.jax.org/marker/MGI:88139","MGI:88139")</f>
        <v>MGI:88139</v>
      </c>
      <c r="J1240" s="4" t="s">
        <v>12</v>
      </c>
    </row>
    <row r="1241" spans="1:10" x14ac:dyDescent="0.25">
      <c r="A1241" s="2">
        <v>64.780785371004498</v>
      </c>
      <c r="B1241" s="3">
        <v>1.1620381171754699</v>
      </c>
      <c r="C1241" s="5">
        <v>2.28945306185415E-13</v>
      </c>
      <c r="D1241" s="6">
        <v>1.60042589081049E-12</v>
      </c>
      <c r="E1241" s="3" t="s">
        <v>5659</v>
      </c>
      <c r="F1241" s="3" t="s">
        <v>5660</v>
      </c>
      <c r="G1241" s="3">
        <v>18710</v>
      </c>
      <c r="H1241" s="7" t="str">
        <f>HYPERLINK("http://www.ensembl.org/Mus_musculus/Gene/Summary?db=core;g=ENSMUSG00000028698","ENSMUSG00000028698")</f>
        <v>ENSMUSG00000028698</v>
      </c>
      <c r="I1241" s="7" t="str">
        <f>HYPERLINK("http://www.informatics.jax.org/marker/MGI:109277","MGI:109277")</f>
        <v>MGI:109277</v>
      </c>
      <c r="J1241" s="4" t="s">
        <v>12</v>
      </c>
    </row>
    <row r="1242" spans="1:10" x14ac:dyDescent="0.25">
      <c r="A1242" s="2">
        <v>1709.6631330853099</v>
      </c>
      <c r="B1242" s="3">
        <v>1.16198060960478</v>
      </c>
      <c r="C1242" s="5">
        <v>1.7122276290381399E-98</v>
      </c>
      <c r="D1242" s="6">
        <v>1.33459007291036E-96</v>
      </c>
      <c r="E1242" s="3" t="s">
        <v>518</v>
      </c>
      <c r="F1242" s="3" t="s">
        <v>519</v>
      </c>
      <c r="G1242" s="3">
        <v>64010</v>
      </c>
      <c r="H1242" s="7" t="str">
        <f>HYPERLINK("http://www.ensembl.org/Mus_musculus/Gene/Summary?db=core;g=ENSMUSG00000021067","ENSMUSG00000021067")</f>
        <v>ENSMUSG00000021067</v>
      </c>
      <c r="I1242" s="7" t="str">
        <f>HYPERLINK("http://www.informatics.jax.org/marker/MGI:1927144","MGI:1927144")</f>
        <v>MGI:1927144</v>
      </c>
      <c r="J1242" s="4" t="s">
        <v>12</v>
      </c>
    </row>
    <row r="1243" spans="1:10" x14ac:dyDescent="0.25">
      <c r="A1243" s="2">
        <v>822.43338105829798</v>
      </c>
      <c r="B1243" s="3">
        <v>1.16173760564857</v>
      </c>
      <c r="C1243" s="5">
        <v>1.30696895203975E-44</v>
      </c>
      <c r="D1243" s="6">
        <v>3.0357394268814898E-43</v>
      </c>
      <c r="E1243" s="3" t="s">
        <v>1714</v>
      </c>
      <c r="F1243" s="3" t="s">
        <v>1715</v>
      </c>
      <c r="G1243" s="3">
        <v>19655</v>
      </c>
      <c r="H1243" s="7" t="str">
        <f>HYPERLINK("http://www.ensembl.org/Mus_musculus/Gene/Summary?db=core;g=ENSMUSG00000031134","ENSMUSG00000031134")</f>
        <v>ENSMUSG00000031134</v>
      </c>
      <c r="I1243" s="7" t="str">
        <f>HYPERLINK("http://www.informatics.jax.org/marker/MGI:1343044","MGI:1343044")</f>
        <v>MGI:1343044</v>
      </c>
      <c r="J1243" s="4" t="s">
        <v>12</v>
      </c>
    </row>
    <row r="1244" spans="1:10" x14ac:dyDescent="0.25">
      <c r="A1244" s="2">
        <v>2.9844104342414401</v>
      </c>
      <c r="B1244" s="3">
        <v>1.1612422182614599</v>
      </c>
      <c r="C1244" s="3">
        <v>1.029203833798E-2</v>
      </c>
      <c r="D1244" s="4">
        <v>2.5555149335805299E-2</v>
      </c>
      <c r="E1244" s="3" t="s">
        <v>15889</v>
      </c>
      <c r="F1244" s="3" t="s">
        <v>15890</v>
      </c>
      <c r="G1244" s="3">
        <v>71768</v>
      </c>
      <c r="H1244" s="7" t="str">
        <f>HYPERLINK("http://www.ensembl.org/Mus_musculus/Gene/Summary?db=core;g=ENSMUSG00000043789","ENSMUSG00000043789")</f>
        <v>ENSMUSG00000043789</v>
      </c>
      <c r="I1244" s="7" t="str">
        <f>HYPERLINK("http://www.informatics.jax.org/marker/MGI:1919018","MGI:1919018")</f>
        <v>MGI:1919018</v>
      </c>
      <c r="J1244" s="4" t="s">
        <v>12</v>
      </c>
    </row>
    <row r="1245" spans="1:10" x14ac:dyDescent="0.25">
      <c r="A1245" s="2">
        <v>1654.9860662318599</v>
      </c>
      <c r="B1245" s="3">
        <v>1.16117940007168</v>
      </c>
      <c r="C1245" s="5">
        <v>1.19672726706238E-58</v>
      </c>
      <c r="D1245" s="6">
        <v>4.0900280253847801E-57</v>
      </c>
      <c r="E1245" s="3" t="s">
        <v>1170</v>
      </c>
      <c r="F1245" s="3" t="s">
        <v>1171</v>
      </c>
      <c r="G1245" s="3">
        <v>71409</v>
      </c>
      <c r="H1245" s="7" t="str">
        <f>HYPERLINK("http://www.ensembl.org/Mus_musculus/Gene/Summary?db=core;g=ENSMUSG00000036053","ENSMUSG00000036053")</f>
        <v>ENSMUSG00000036053</v>
      </c>
      <c r="I1245" s="7" t="str">
        <f>HYPERLINK("http://www.informatics.jax.org/marker/MGI:1918659","MGI:1918659")</f>
        <v>MGI:1918659</v>
      </c>
      <c r="J1245" s="4" t="s">
        <v>12</v>
      </c>
    </row>
    <row r="1246" spans="1:10" x14ac:dyDescent="0.25">
      <c r="A1246" s="2">
        <v>27.602501510362</v>
      </c>
      <c r="B1246" s="3">
        <v>1.1605703642205001</v>
      </c>
      <c r="C1246" s="5">
        <v>3.2233806236156299E-6</v>
      </c>
      <c r="D1246" s="6">
        <v>1.2667410501733801E-5</v>
      </c>
      <c r="E1246" s="3" t="s">
        <v>10052</v>
      </c>
      <c r="F1246" s="3" t="s">
        <v>10053</v>
      </c>
      <c r="G1246" s="3">
        <v>12822</v>
      </c>
      <c r="H1246" s="7" t="str">
        <f>HYPERLINK("http://www.ensembl.org/Mus_musculus/Gene/Summary?db=core;g=ENSMUSG00000001435","ENSMUSG00000001435")</f>
        <v>ENSMUSG00000001435</v>
      </c>
      <c r="I1246" s="7" t="str">
        <f>HYPERLINK("http://www.informatics.jax.org/marker/MGI:88451","MGI:88451")</f>
        <v>MGI:88451</v>
      </c>
      <c r="J1246" s="4" t="s">
        <v>12</v>
      </c>
    </row>
    <row r="1247" spans="1:10" x14ac:dyDescent="0.25">
      <c r="A1247" s="2">
        <v>1.7122755978772499</v>
      </c>
      <c r="B1247" s="3">
        <v>1.1602688806158901</v>
      </c>
      <c r="C1247" s="3">
        <v>1.3726377432791899E-2</v>
      </c>
      <c r="D1247" s="4">
        <v>3.3200559668178198E-2</v>
      </c>
      <c r="E1247" s="3" t="s">
        <v>16311</v>
      </c>
      <c r="F1247" s="3" t="s">
        <v>16312</v>
      </c>
      <c r="G1247" s="3" t="s">
        <v>83</v>
      </c>
      <c r="H1247" s="7" t="str">
        <f>HYPERLINK("http://www.ensembl.org/Mus_musculus/Gene/Summary?db=core;g=ENSMUSG00000088544","ENSMUSG00000088544")</f>
        <v>ENSMUSG00000088544</v>
      </c>
      <c r="I1247" s="7" t="str">
        <f>HYPERLINK("http://www.informatics.jax.org/marker/MGI:3836984","MGI:3836984")</f>
        <v>MGI:3836984</v>
      </c>
      <c r="J1247" s="4" t="s">
        <v>6715</v>
      </c>
    </row>
    <row r="1248" spans="1:10" x14ac:dyDescent="0.25">
      <c r="A1248" s="2">
        <v>282.49545561803001</v>
      </c>
      <c r="B1248" s="3">
        <v>1.1599439875569999</v>
      </c>
      <c r="C1248" s="5">
        <v>1.51970282128065E-25</v>
      </c>
      <c r="D1248" s="6">
        <v>1.8955433039629602E-24</v>
      </c>
      <c r="E1248" s="3" t="s">
        <v>3181</v>
      </c>
      <c r="F1248" s="3" t="s">
        <v>3182</v>
      </c>
      <c r="G1248" s="3">
        <v>67399</v>
      </c>
      <c r="H1248" s="7" t="str">
        <f>HYPERLINK("http://www.ensembl.org/Mus_musculus/Gene/Summary?db=core;g=ENSMUSG00000021493","ENSMUSG00000021493")</f>
        <v>ENSMUSG00000021493</v>
      </c>
      <c r="I1248" s="7" t="str">
        <f>HYPERLINK("http://www.informatics.jax.org/marker/MGI:1914649","MGI:1914649")</f>
        <v>MGI:1914649</v>
      </c>
      <c r="J1248" s="4" t="s">
        <v>12</v>
      </c>
    </row>
    <row r="1249" spans="1:10" x14ac:dyDescent="0.25">
      <c r="A1249" s="2">
        <v>270.69796635394601</v>
      </c>
      <c r="B1249" s="3">
        <v>1.1595321104720699</v>
      </c>
      <c r="C1249" s="5">
        <v>8.3582115811678906E-25</v>
      </c>
      <c r="D1249" s="6">
        <v>1.01056978774145E-23</v>
      </c>
      <c r="E1249" s="3" t="s">
        <v>3282</v>
      </c>
      <c r="F1249" s="3" t="s">
        <v>3283</v>
      </c>
      <c r="G1249" s="3">
        <v>234076</v>
      </c>
      <c r="H1249" s="7" t="str">
        <f>HYPERLINK("http://www.ensembl.org/Mus_musculus/Gene/Summary?db=core;g=ENSMUSG00000038497","ENSMUSG00000038497")</f>
        <v>ENSMUSG00000038497</v>
      </c>
      <c r="I1249" s="7" t="str">
        <f>HYPERLINK("http://www.informatics.jax.org/marker/MGI:2444946","MGI:2444946")</f>
        <v>MGI:2444946</v>
      </c>
      <c r="J1249" s="4" t="s">
        <v>12</v>
      </c>
    </row>
    <row r="1250" spans="1:10" x14ac:dyDescent="0.25">
      <c r="A1250" s="2">
        <v>1270.89462739086</v>
      </c>
      <c r="B1250" s="3">
        <v>1.15722955205446</v>
      </c>
      <c r="C1250" s="5">
        <v>1.7141149009707301E-33</v>
      </c>
      <c r="D1250" s="6">
        <v>2.8192114968426099E-32</v>
      </c>
      <c r="E1250" s="3" t="s">
        <v>2415</v>
      </c>
      <c r="F1250" s="3" t="s">
        <v>2416</v>
      </c>
      <c r="G1250" s="3" t="s">
        <v>83</v>
      </c>
      <c r="H1250" s="7" t="str">
        <f>HYPERLINK("http://www.ensembl.org/Mus_musculus/Gene/Summary?db=core;g=ENSMUSG00000097715","ENSMUSG00000097715")</f>
        <v>ENSMUSG00000097715</v>
      </c>
      <c r="I1250" s="7" t="str">
        <f>HYPERLINK("http://www.informatics.jax.org/marker/MGI:3710533","MGI:3710533")</f>
        <v>MGI:3710533</v>
      </c>
      <c r="J1250" s="4" t="s">
        <v>320</v>
      </c>
    </row>
    <row r="1251" spans="1:10" x14ac:dyDescent="0.25">
      <c r="A1251" s="2">
        <v>395.70400744006201</v>
      </c>
      <c r="B1251" s="3">
        <v>1.1562996002611501</v>
      </c>
      <c r="C1251" s="5">
        <v>1.55015749327981E-6</v>
      </c>
      <c r="D1251" s="6">
        <v>6.2847668107478996E-6</v>
      </c>
      <c r="E1251" s="3" t="s">
        <v>9743</v>
      </c>
      <c r="F1251" s="3" t="s">
        <v>9744</v>
      </c>
      <c r="G1251" s="3" t="s">
        <v>83</v>
      </c>
      <c r="H1251" s="7" t="str">
        <f>HYPERLINK("http://www.ensembl.org/Mus_musculus/Gene/Summary?db=core;g=ENSMUSG00000101609","ENSMUSG00000101609")</f>
        <v>ENSMUSG00000101609</v>
      </c>
      <c r="I1251" s="7" t="str">
        <f>HYPERLINK("http://www.informatics.jax.org/marker/MGI:1926855","MGI:1926855")</f>
        <v>MGI:1926855</v>
      </c>
      <c r="J1251" s="4" t="s">
        <v>932</v>
      </c>
    </row>
    <row r="1252" spans="1:10" x14ac:dyDescent="0.25">
      <c r="A1252" s="2">
        <v>1027.96399901984</v>
      </c>
      <c r="B1252" s="3">
        <v>1.1550752992853801</v>
      </c>
      <c r="C1252" s="5">
        <v>1.4203232181434299E-57</v>
      </c>
      <c r="D1252" s="6">
        <v>4.7152817949138702E-56</v>
      </c>
      <c r="E1252" s="3" t="s">
        <v>1204</v>
      </c>
      <c r="F1252" s="3" t="s">
        <v>1205</v>
      </c>
      <c r="G1252" s="3">
        <v>18845</v>
      </c>
      <c r="H1252" s="7" t="str">
        <f>HYPERLINK("http://www.ensembl.org/Mus_musculus/Gene/Summary?db=core;g=ENSMUSG00000026640","ENSMUSG00000026640")</f>
        <v>ENSMUSG00000026640</v>
      </c>
      <c r="I1252" s="7" t="str">
        <f>HYPERLINK("http://www.informatics.jax.org/marker/MGI:107684","MGI:107684")</f>
        <v>MGI:107684</v>
      </c>
      <c r="J1252" s="4" t="s">
        <v>12</v>
      </c>
    </row>
    <row r="1253" spans="1:10" x14ac:dyDescent="0.25">
      <c r="A1253" s="2">
        <v>542.19029868231405</v>
      </c>
      <c r="B1253" s="3">
        <v>1.15421749531305</v>
      </c>
      <c r="C1253" s="5">
        <v>1.62433526255826E-63</v>
      </c>
      <c r="D1253" s="6">
        <v>6.51054702797741E-62</v>
      </c>
      <c r="E1253" s="3" t="s">
        <v>999</v>
      </c>
      <c r="F1253" s="3" t="s">
        <v>1000</v>
      </c>
      <c r="G1253" s="3">
        <v>22234</v>
      </c>
      <c r="H1253" s="7" t="str">
        <f>HYPERLINK("http://www.ensembl.org/Mus_musculus/Gene/Summary?db=core;g=ENSMUSG00000028381","ENSMUSG00000028381")</f>
        <v>ENSMUSG00000028381</v>
      </c>
      <c r="I1253" s="7" t="str">
        <f>HYPERLINK("http://www.informatics.jax.org/marker/MGI:1332243","MGI:1332243")</f>
        <v>MGI:1332243</v>
      </c>
      <c r="J1253" s="4" t="s">
        <v>12</v>
      </c>
    </row>
    <row r="1254" spans="1:10" x14ac:dyDescent="0.25">
      <c r="A1254" s="2">
        <v>6.21215359610121</v>
      </c>
      <c r="B1254" s="3">
        <v>1.15378119320046</v>
      </c>
      <c r="C1254" s="3">
        <v>1.8350421992671001E-3</v>
      </c>
      <c r="D1254" s="4">
        <v>5.2090157146318103E-3</v>
      </c>
      <c r="E1254" s="3" t="s">
        <v>13901</v>
      </c>
      <c r="F1254" s="3" t="s">
        <v>13902</v>
      </c>
      <c r="G1254" s="3">
        <v>209176</v>
      </c>
      <c r="H1254" s="7" t="str">
        <f>HYPERLINK("http://www.ensembl.org/Mus_musculus/Gene/Summary?db=core;g=ENSMUSG00000031549","ENSMUSG00000031549")</f>
        <v>ENSMUSG00000031549</v>
      </c>
      <c r="I1254" s="7" t="str">
        <f>HYPERLINK("http://www.informatics.jax.org/marker/MGI:2142489","MGI:2142489")</f>
        <v>MGI:2142489</v>
      </c>
      <c r="J1254" s="4" t="s">
        <v>12</v>
      </c>
    </row>
    <row r="1255" spans="1:10" x14ac:dyDescent="0.25">
      <c r="A1255" s="2">
        <v>1.2212793614042901</v>
      </c>
      <c r="B1255" s="3">
        <v>1.1535893697034301</v>
      </c>
      <c r="C1255" s="3">
        <v>1.39387235230713E-2</v>
      </c>
      <c r="D1255" s="4">
        <v>3.3672868782918898E-2</v>
      </c>
      <c r="E1255" s="3" t="s">
        <v>16331</v>
      </c>
      <c r="F1255" s="3" t="s">
        <v>16332</v>
      </c>
      <c r="G1255" s="3">
        <v>244886</v>
      </c>
      <c r="H1255" s="7" t="str">
        <f>HYPERLINK("http://www.ensembl.org/Mus_musculus/Gene/Summary?db=core;g=ENSMUSG00000032313","ENSMUSG00000032313")</f>
        <v>ENSMUSG00000032313</v>
      </c>
      <c r="I1255" s="7" t="str">
        <f>HYPERLINK("http://www.informatics.jax.org/marker/MGI:2142980","MGI:2142980")</f>
        <v>MGI:2142980</v>
      </c>
      <c r="J1255" s="4" t="s">
        <v>12</v>
      </c>
    </row>
    <row r="1256" spans="1:10" x14ac:dyDescent="0.25">
      <c r="A1256" s="2">
        <v>0.87186614196579104</v>
      </c>
      <c r="B1256" s="3">
        <v>1.1523230425847</v>
      </c>
      <c r="C1256" s="3">
        <v>6.3859152133415899E-3</v>
      </c>
      <c r="D1256" s="4">
        <v>1.65132766859554E-2</v>
      </c>
      <c r="E1256" s="3" t="s">
        <v>15257</v>
      </c>
      <c r="F1256" s="3" t="s">
        <v>15258</v>
      </c>
      <c r="G1256" s="3" t="s">
        <v>83</v>
      </c>
      <c r="H1256" s="7" t="str">
        <f>HYPERLINK("http://www.ensembl.org/Mus_musculus/Gene/Summary?db=core;g=ENSMUSG00000079505","ENSMUSG00000079505")</f>
        <v>ENSMUSG00000079505</v>
      </c>
      <c r="I1256" s="7" t="str">
        <f>HYPERLINK("http://www.informatics.jax.org/marker/MGI:3779386","MGI:3779386")</f>
        <v>MGI:3779386</v>
      </c>
      <c r="J1256" s="4" t="s">
        <v>932</v>
      </c>
    </row>
    <row r="1257" spans="1:10" x14ac:dyDescent="0.25">
      <c r="A1257" s="2">
        <v>1.69666000738004</v>
      </c>
      <c r="B1257" s="3">
        <v>1.1518704645425899</v>
      </c>
      <c r="C1257" s="3">
        <v>1.4515114672796699E-2</v>
      </c>
      <c r="D1257" s="4">
        <v>3.4928378443874399E-2</v>
      </c>
      <c r="E1257" s="3" t="s">
        <v>16393</v>
      </c>
      <c r="F1257" s="3" t="s">
        <v>16394</v>
      </c>
      <c r="G1257" s="3">
        <v>106757</v>
      </c>
      <c r="H1257" s="7" t="str">
        <f>HYPERLINK("http://www.ensembl.org/Mus_musculus/Gene/Summary?db=core;g=ENSMUSG00000040828","ENSMUSG00000040828")</f>
        <v>ENSMUSG00000040828</v>
      </c>
      <c r="I1257" s="7" t="str">
        <f>HYPERLINK("http://www.informatics.jax.org/marker/MGI:2147030","MGI:2147030")</f>
        <v>MGI:2147030</v>
      </c>
      <c r="J1257" s="4" t="s">
        <v>12</v>
      </c>
    </row>
    <row r="1258" spans="1:10" x14ac:dyDescent="0.25">
      <c r="A1258" s="2">
        <v>3577.74903492762</v>
      </c>
      <c r="B1258" s="3">
        <v>1.1500128886469601</v>
      </c>
      <c r="C1258" s="5">
        <v>5.5421076810925101E-42</v>
      </c>
      <c r="D1258" s="6">
        <v>1.19182511964171E-40</v>
      </c>
      <c r="E1258" s="3" t="s">
        <v>1851</v>
      </c>
      <c r="F1258" s="3" t="s">
        <v>1852</v>
      </c>
      <c r="G1258" s="3">
        <v>16648</v>
      </c>
      <c r="H1258" s="7" t="str">
        <f>HYPERLINK("http://www.ensembl.org/Mus_musculus/Gene/Summary?db=core;g=ENSMUSG00000021929","ENSMUSG00000021929")</f>
        <v>ENSMUSG00000021929</v>
      </c>
      <c r="I1258" s="7" t="str">
        <f>HYPERLINK("http://www.informatics.jax.org/marker/MGI:1100863","MGI:1100863")</f>
        <v>MGI:1100863</v>
      </c>
      <c r="J1258" s="4" t="s">
        <v>12</v>
      </c>
    </row>
    <row r="1259" spans="1:10" x14ac:dyDescent="0.25">
      <c r="A1259" s="2">
        <v>4.6751275951972504</v>
      </c>
      <c r="B1259" s="3">
        <v>1.14953656611793</v>
      </c>
      <c r="C1259" s="3">
        <v>7.8448817194632509E-3</v>
      </c>
      <c r="D1259" s="4">
        <v>1.9912610053779801E-2</v>
      </c>
      <c r="E1259" s="3" t="s">
        <v>15543</v>
      </c>
      <c r="F1259" s="3" t="s">
        <v>15544</v>
      </c>
      <c r="G1259" s="3" t="s">
        <v>83</v>
      </c>
      <c r="H1259" s="7" t="str">
        <f>HYPERLINK("http://www.ensembl.org/Mus_musculus/Gene/Summary?db=core;g=ENSMUSG00000086806","ENSMUSG00000086806")</f>
        <v>ENSMUSG00000086806</v>
      </c>
      <c r="I1259" s="7" t="str">
        <f>HYPERLINK("http://www.informatics.jax.org/marker/MGI:3702728","MGI:3702728")</f>
        <v>MGI:3702728</v>
      </c>
      <c r="J1259" s="4" t="s">
        <v>932</v>
      </c>
    </row>
    <row r="1260" spans="1:10" x14ac:dyDescent="0.25">
      <c r="A1260" s="2">
        <v>648.53566551719803</v>
      </c>
      <c r="B1260" s="3">
        <v>1.14942043252607</v>
      </c>
      <c r="C1260" s="5">
        <v>8.7356715118707405E-41</v>
      </c>
      <c r="D1260" s="6">
        <v>1.8190859790294699E-39</v>
      </c>
      <c r="E1260" s="3" t="s">
        <v>1911</v>
      </c>
      <c r="F1260" s="3" t="s">
        <v>1912</v>
      </c>
      <c r="G1260" s="3">
        <v>66569</v>
      </c>
      <c r="H1260" s="7" t="str">
        <f>HYPERLINK("http://www.ensembl.org/Mus_musculus/Gene/Summary?db=core;g=ENSMUSG00000061666","ENSMUSG00000061666")</f>
        <v>ENSMUSG00000061666</v>
      </c>
      <c r="I1260" s="7" t="str">
        <f>HYPERLINK("http://www.informatics.jax.org/marker/MGI:1913819","MGI:1913819")</f>
        <v>MGI:1913819</v>
      </c>
      <c r="J1260" s="4" t="s">
        <v>12</v>
      </c>
    </row>
    <row r="1261" spans="1:10" x14ac:dyDescent="0.25">
      <c r="A1261" s="2">
        <v>2092.73284284891</v>
      </c>
      <c r="B1261" s="3">
        <v>1.14904012321896</v>
      </c>
      <c r="C1261" s="5">
        <v>2.0571393049487601E-40</v>
      </c>
      <c r="D1261" s="6">
        <v>4.2478311092763998E-39</v>
      </c>
      <c r="E1261" s="3" t="s">
        <v>1927</v>
      </c>
      <c r="F1261" s="3" t="s">
        <v>1928</v>
      </c>
      <c r="G1261" s="3">
        <v>104831</v>
      </c>
      <c r="H1261" s="7" t="str">
        <f>HYPERLINK("http://www.ensembl.org/Mus_musculus/Gene/Summary?db=core;g=ENSMUSG00000036057","ENSMUSG00000036057")</f>
        <v>ENSMUSG00000036057</v>
      </c>
      <c r="I1261" s="7" t="str">
        <f>HYPERLINK("http://www.informatics.jax.org/marker/MGI:2144837","MGI:2144837")</f>
        <v>MGI:2144837</v>
      </c>
      <c r="J1261" s="4" t="s">
        <v>12</v>
      </c>
    </row>
    <row r="1262" spans="1:10" x14ac:dyDescent="0.25">
      <c r="A1262" s="2">
        <v>22.2120038024872</v>
      </c>
      <c r="B1262" s="3">
        <v>1.1483794230206199</v>
      </c>
      <c r="C1262" s="5">
        <v>3.5011469345233401E-5</v>
      </c>
      <c r="D1262" s="4">
        <v>1.2402122785845201E-4</v>
      </c>
      <c r="E1262" s="3" t="s">
        <v>11147</v>
      </c>
      <c r="F1262" s="3" t="s">
        <v>11148</v>
      </c>
      <c r="G1262" s="3">
        <v>50909</v>
      </c>
      <c r="H1262" s="7" t="str">
        <f>HYPERLINK("http://www.ensembl.org/Mus_musculus/Gene/Summary?db=core;g=ENSMUSG00000055172","ENSMUSG00000055172")</f>
        <v>ENSMUSG00000055172</v>
      </c>
      <c r="I1262" s="7" t="str">
        <f>HYPERLINK("http://www.informatics.jax.org/marker/MGI:1355313","MGI:1355313")</f>
        <v>MGI:1355313</v>
      </c>
      <c r="J1262" s="4" t="s">
        <v>12</v>
      </c>
    </row>
    <row r="1263" spans="1:10" x14ac:dyDescent="0.25">
      <c r="A1263" s="2">
        <v>103.89462261956299</v>
      </c>
      <c r="B1263" s="3">
        <v>1.1480225940995299</v>
      </c>
      <c r="C1263" s="5">
        <v>1.6787655116588799E-17</v>
      </c>
      <c r="D1263" s="6">
        <v>1.4752787829729599E-16</v>
      </c>
      <c r="E1263" s="3" t="s">
        <v>4505</v>
      </c>
      <c r="F1263" s="3" t="s">
        <v>4506</v>
      </c>
      <c r="G1263" s="3" t="s">
        <v>83</v>
      </c>
      <c r="H1263" s="7" t="str">
        <f>HYPERLINK("http://www.ensembl.org/Mus_musculus/Gene/Summary?db=core;g=ENSMUSG00000094530","ENSMUSG00000094530")</f>
        <v>ENSMUSG00000094530</v>
      </c>
      <c r="I1263" s="7" t="str">
        <f>HYPERLINK("http://www.informatics.jax.org/marker/MGI:5434754","MGI:5434754")</f>
        <v>MGI:5434754</v>
      </c>
      <c r="J1263" s="4" t="s">
        <v>1043</v>
      </c>
    </row>
    <row r="1264" spans="1:10" x14ac:dyDescent="0.25">
      <c r="A1264" s="2">
        <v>10.9944476930789</v>
      </c>
      <c r="B1264" s="3">
        <v>1.1468274012619399</v>
      </c>
      <c r="C1264" s="3">
        <v>8.1251520785858005E-4</v>
      </c>
      <c r="D1264" s="4">
        <v>2.4269615115073001E-3</v>
      </c>
      <c r="E1264" s="3" t="s">
        <v>13213</v>
      </c>
      <c r="F1264" s="3" t="s">
        <v>13214</v>
      </c>
      <c r="G1264" s="3">
        <v>11761</v>
      </c>
      <c r="H1264" s="7" t="str">
        <f>HYPERLINK("http://www.ensembl.org/Mus_musculus/Gene/Summary?db=core;g=ENSMUSG00000063558","ENSMUSG00000063558")</f>
        <v>ENSMUSG00000063558</v>
      </c>
      <c r="I1264" s="7" t="str">
        <f>HYPERLINK("http://www.informatics.jax.org/marker/MGI:88035","MGI:88035")</f>
        <v>MGI:88035</v>
      </c>
      <c r="J1264" s="4" t="s">
        <v>12</v>
      </c>
    </row>
    <row r="1265" spans="1:10" x14ac:dyDescent="0.25">
      <c r="A1265" s="2">
        <v>2.13707391842147</v>
      </c>
      <c r="B1265" s="3">
        <v>1.1466528599264401</v>
      </c>
      <c r="C1265" s="3">
        <v>1.47827314152656E-2</v>
      </c>
      <c r="D1265" s="4">
        <v>3.5516016509385698E-2</v>
      </c>
      <c r="E1265" s="3" t="s">
        <v>16419</v>
      </c>
      <c r="F1265" s="3" t="s">
        <v>16420</v>
      </c>
      <c r="G1265" s="3" t="s">
        <v>83</v>
      </c>
      <c r="H1265" s="7" t="str">
        <f>HYPERLINK("http://www.ensembl.org/Mus_musculus/Gene/Summary?db=core;g=ENSMUSG00000114070","ENSMUSG00000114070")</f>
        <v>ENSMUSG00000114070</v>
      </c>
      <c r="I1265" s="7" t="str">
        <f>HYPERLINK("http://www.informatics.jax.org/marker/MGI:6096859","MGI:6096859")</f>
        <v>MGI:6096859</v>
      </c>
      <c r="J1265" s="4" t="s">
        <v>1043</v>
      </c>
    </row>
    <row r="1266" spans="1:10" x14ac:dyDescent="0.25">
      <c r="A1266" s="2">
        <v>0.75172795138539406</v>
      </c>
      <c r="B1266" s="3">
        <v>1.14585950832455</v>
      </c>
      <c r="C1266" s="3">
        <v>6.9653808100973696E-3</v>
      </c>
      <c r="D1266" s="4">
        <v>1.7885066350927101E-2</v>
      </c>
      <c r="E1266" s="3" t="s">
        <v>15365</v>
      </c>
      <c r="F1266" s="3" t="s">
        <v>15366</v>
      </c>
      <c r="G1266" s="3" t="s">
        <v>83</v>
      </c>
      <c r="H1266" s="7" t="str">
        <f>HYPERLINK("http://www.ensembl.org/Mus_musculus/Gene/Summary?db=core;g=ENSMUSG00000104327","ENSMUSG00000104327")</f>
        <v>ENSMUSG00000104327</v>
      </c>
      <c r="I1266" s="7" t="str">
        <f>HYPERLINK("http://www.informatics.jax.org/marker/MGI:5610550","MGI:5610550")</f>
        <v>MGI:5610550</v>
      </c>
      <c r="J1266" s="4" t="s">
        <v>1828</v>
      </c>
    </row>
    <row r="1267" spans="1:10" x14ac:dyDescent="0.25">
      <c r="A1267" s="2">
        <v>1063.3215516983801</v>
      </c>
      <c r="B1267" s="3">
        <v>1.1452419371629401</v>
      </c>
      <c r="C1267" s="5">
        <v>1.5577865716322001E-54</v>
      </c>
      <c r="D1267" s="6">
        <v>4.7260847988595499E-53</v>
      </c>
      <c r="E1267" s="3" t="s">
        <v>1316</v>
      </c>
      <c r="F1267" s="3" t="s">
        <v>1317</v>
      </c>
      <c r="G1267" s="3">
        <v>21754</v>
      </c>
      <c r="H1267" s="7" t="str">
        <f>HYPERLINK("http://www.ensembl.org/Mus_musculus/Gene/Summary?db=core;g=ENSMUSG00000028458","ENSMUSG00000028458")</f>
        <v>ENSMUSG00000028458</v>
      </c>
      <c r="I1267" s="7" t="str">
        <f>HYPERLINK("http://www.informatics.jax.org/marker/MGI:1201675","MGI:1201675")</f>
        <v>MGI:1201675</v>
      </c>
      <c r="J1267" s="4" t="s">
        <v>12</v>
      </c>
    </row>
    <row r="1268" spans="1:10" x14ac:dyDescent="0.25">
      <c r="A1268" s="2">
        <v>2.5686755965345198</v>
      </c>
      <c r="B1268" s="3">
        <v>1.14436445586486</v>
      </c>
      <c r="C1268" s="3">
        <v>1.09694468972363E-2</v>
      </c>
      <c r="D1268" s="4">
        <v>2.70430669850606E-2</v>
      </c>
      <c r="E1268" s="3" t="s">
        <v>16003</v>
      </c>
      <c r="F1268" s="3" t="s">
        <v>16004</v>
      </c>
      <c r="G1268" s="3" t="s">
        <v>83</v>
      </c>
      <c r="H1268" s="7" t="str">
        <f>HYPERLINK("http://www.ensembl.org/Mus_musculus/Gene/Summary?db=core;g=ENSMUSG00000091438","ENSMUSG00000091438")</f>
        <v>ENSMUSG00000091438</v>
      </c>
      <c r="I1268" s="7" t="str">
        <f>HYPERLINK("http://www.informatics.jax.org/marker/MGI:4937915","MGI:4937915")</f>
        <v>MGI:4937915</v>
      </c>
      <c r="J1268" s="4" t="s">
        <v>932</v>
      </c>
    </row>
    <row r="1269" spans="1:10" x14ac:dyDescent="0.25">
      <c r="A1269" s="2">
        <v>22.3137477272635</v>
      </c>
      <c r="B1269" s="3">
        <v>1.1431657172905001</v>
      </c>
      <c r="C1269" s="5">
        <v>3.08548743703607E-6</v>
      </c>
      <c r="D1269" s="6">
        <v>1.21642967329771E-5</v>
      </c>
      <c r="E1269" s="3" t="s">
        <v>10020</v>
      </c>
      <c r="F1269" s="3" t="s">
        <v>10021</v>
      </c>
      <c r="G1269" s="3">
        <v>14998</v>
      </c>
      <c r="H1269" s="7" t="str">
        <f>HYPERLINK("http://www.ensembl.org/Mus_musculus/Gene/Summary?db=core;g=ENSMUSG00000037649","ENSMUSG00000037649")</f>
        <v>ENSMUSG00000037649</v>
      </c>
      <c r="I1269" s="7" t="str">
        <f>HYPERLINK("http://www.informatics.jax.org/marker/MGI:95921","MGI:95921")</f>
        <v>MGI:95921</v>
      </c>
      <c r="J1269" s="4" t="s">
        <v>12</v>
      </c>
    </row>
    <row r="1270" spans="1:10" x14ac:dyDescent="0.25">
      <c r="A1270" s="2">
        <v>595.75345137542001</v>
      </c>
      <c r="B1270" s="3">
        <v>1.1428593250821799</v>
      </c>
      <c r="C1270" s="5">
        <v>9.3272457175947201E-32</v>
      </c>
      <c r="D1270" s="6">
        <v>1.4426140043213199E-30</v>
      </c>
      <c r="E1270" s="3" t="s">
        <v>2567</v>
      </c>
      <c r="F1270" s="3" t="s">
        <v>2568</v>
      </c>
      <c r="G1270" s="3">
        <v>81703</v>
      </c>
      <c r="H1270" s="7" t="str">
        <f>HYPERLINK("http://www.ensembl.org/Mus_musculus/Gene/Summary?db=core;g=ENSMUSG00000034271","ENSMUSG00000034271")</f>
        <v>ENSMUSG00000034271</v>
      </c>
      <c r="I1270" s="7" t="str">
        <f>HYPERLINK("http://www.informatics.jax.org/marker/MGI:1932093","MGI:1932093")</f>
        <v>MGI:1932093</v>
      </c>
      <c r="J1270" s="4" t="s">
        <v>12</v>
      </c>
    </row>
    <row r="1271" spans="1:10" x14ac:dyDescent="0.25">
      <c r="A1271" s="2">
        <v>5380.5228065342999</v>
      </c>
      <c r="B1271" s="3">
        <v>1.1426406646454601</v>
      </c>
      <c r="C1271" s="5">
        <v>2.45913957690773E-74</v>
      </c>
      <c r="D1271" s="6">
        <v>1.2308180826553401E-72</v>
      </c>
      <c r="E1271" s="3" t="s">
        <v>800</v>
      </c>
      <c r="F1271" s="3" t="s">
        <v>801</v>
      </c>
      <c r="G1271" s="3">
        <v>17113</v>
      </c>
      <c r="H1271" s="7" t="str">
        <f>HYPERLINK("http://www.ensembl.org/Mus_musculus/Gene/Summary?db=core;g=ENSMUSG00000007458","ENSMUSG00000007458")</f>
        <v>ENSMUSG00000007458</v>
      </c>
      <c r="I1271" s="7" t="str">
        <f>HYPERLINK("http://www.informatics.jax.org/marker/MGI:96904","MGI:96904")</f>
        <v>MGI:96904</v>
      </c>
      <c r="J1271" s="4" t="s">
        <v>12</v>
      </c>
    </row>
    <row r="1272" spans="1:10" x14ac:dyDescent="0.25">
      <c r="A1272" s="2">
        <v>56.346528276823904</v>
      </c>
      <c r="B1272" s="3">
        <v>1.14073220611698</v>
      </c>
      <c r="C1272" s="5">
        <v>2.5551551112172499E-12</v>
      </c>
      <c r="D1272" s="6">
        <v>1.6751216354123699E-11</v>
      </c>
      <c r="E1272" s="3" t="s">
        <v>6033</v>
      </c>
      <c r="F1272" s="3" t="s">
        <v>6034</v>
      </c>
      <c r="G1272" s="3">
        <v>18302</v>
      </c>
      <c r="H1272" s="7" t="str">
        <f>HYPERLINK("http://www.ensembl.org/Mus_musculus/Gene/Summary?db=core;g=ENSMUSG00000009654","ENSMUSG00000009654")</f>
        <v>ENSMUSG00000009654</v>
      </c>
      <c r="I1272" s="7" t="str">
        <f>HYPERLINK("http://www.informatics.jax.org/marker/MGI:1201782","MGI:1201782")</f>
        <v>MGI:1201782</v>
      </c>
      <c r="J1272" s="4" t="s">
        <v>12</v>
      </c>
    </row>
    <row r="1273" spans="1:10" x14ac:dyDescent="0.25">
      <c r="A1273" s="2">
        <v>4.3513172894394803</v>
      </c>
      <c r="B1273" s="3">
        <v>1.13990806848281</v>
      </c>
      <c r="C1273" s="3">
        <v>7.5946163375361E-3</v>
      </c>
      <c r="D1273" s="4">
        <v>1.9329612051653601E-2</v>
      </c>
      <c r="E1273" s="3" t="s">
        <v>15501</v>
      </c>
      <c r="F1273" s="3" t="s">
        <v>15502</v>
      </c>
      <c r="G1273" s="3" t="s">
        <v>83</v>
      </c>
      <c r="H1273" s="7" t="str">
        <f>HYPERLINK("http://www.ensembl.org/Mus_musculus/Gene/Summary?db=core;g=ENSMUSG00000089931","ENSMUSG00000089931")</f>
        <v>ENSMUSG00000089931</v>
      </c>
      <c r="I1273" s="7" t="str">
        <f>HYPERLINK("http://www.informatics.jax.org/marker/MGI:3647456","MGI:3647456")</f>
        <v>MGI:3647456</v>
      </c>
      <c r="J1273" s="4" t="s">
        <v>1043</v>
      </c>
    </row>
    <row r="1274" spans="1:10" x14ac:dyDescent="0.25">
      <c r="A1274" s="2">
        <v>1.5460683680589999</v>
      </c>
      <c r="B1274" s="3">
        <v>1.1397593045382</v>
      </c>
      <c r="C1274" s="3">
        <v>1.52301510148267E-2</v>
      </c>
      <c r="D1274" s="4">
        <v>3.6493144351443803E-2</v>
      </c>
      <c r="E1274" s="3" t="s">
        <v>16463</v>
      </c>
      <c r="F1274" s="3" t="s">
        <v>16464</v>
      </c>
      <c r="G1274" s="3">
        <v>18722</v>
      </c>
      <c r="H1274" s="7" t="str">
        <f>HYPERLINK("http://www.ensembl.org/Mus_musculus/Gene/Summary?db=core;g=ENSMUSG00000081665","ENSMUSG00000081665")</f>
        <v>ENSMUSG00000081665</v>
      </c>
      <c r="I1274" s="7" t="str">
        <f>HYPERLINK("http://www.informatics.jax.org/marker/MGI:3802148","MGI:3802148")</f>
        <v>MGI:3802148</v>
      </c>
      <c r="J1274" s="4" t="s">
        <v>976</v>
      </c>
    </row>
    <row r="1275" spans="1:10" x14ac:dyDescent="0.25">
      <c r="A1275" s="2">
        <v>1911.48947136791</v>
      </c>
      <c r="B1275" s="3">
        <v>1.1388615046563999</v>
      </c>
      <c r="C1275" s="5">
        <v>1.99943779331264E-63</v>
      </c>
      <c r="D1275" s="6">
        <v>7.9815613935476198E-62</v>
      </c>
      <c r="E1275" s="3" t="s">
        <v>1003</v>
      </c>
      <c r="F1275" s="3" t="s">
        <v>1004</v>
      </c>
      <c r="G1275" s="3">
        <v>19664</v>
      </c>
      <c r="H1275" s="7" t="str">
        <f>HYPERLINK("http://www.ensembl.org/Mus_musculus/Gene/Summary?db=core;g=ENSMUSG00000039191","ENSMUSG00000039191")</f>
        <v>ENSMUSG00000039191</v>
      </c>
      <c r="I1275" s="7" t="str">
        <f>HYPERLINK("http://www.informatics.jax.org/marker/MGI:96522","MGI:96522")</f>
        <v>MGI:96522</v>
      </c>
      <c r="J1275" s="4" t="s">
        <v>12</v>
      </c>
    </row>
    <row r="1276" spans="1:10" x14ac:dyDescent="0.25">
      <c r="A1276" s="2">
        <v>1352.3292515790299</v>
      </c>
      <c r="B1276" s="3">
        <v>1.13818141569372</v>
      </c>
      <c r="C1276" s="5">
        <v>1.5159886166205901E-47</v>
      </c>
      <c r="D1276" s="6">
        <v>3.8425829716912803E-46</v>
      </c>
      <c r="E1276" s="3" t="s">
        <v>1572</v>
      </c>
      <c r="F1276" s="3" t="s">
        <v>1573</v>
      </c>
      <c r="G1276" s="3">
        <v>19222</v>
      </c>
      <c r="H1276" s="7" t="str">
        <f>HYPERLINK("http://www.ensembl.org/Mus_musculus/Gene/Summary?db=core;g=ENSMUSG00000043017","ENSMUSG00000043017")</f>
        <v>ENSMUSG00000043017</v>
      </c>
      <c r="I1276" s="7" t="str">
        <f>HYPERLINK("http://www.informatics.jax.org/marker/MGI:99535","MGI:99535")</f>
        <v>MGI:99535</v>
      </c>
      <c r="J1276" s="4" t="s">
        <v>12</v>
      </c>
    </row>
    <row r="1277" spans="1:10" x14ac:dyDescent="0.25">
      <c r="A1277" s="2">
        <v>82.496668030067198</v>
      </c>
      <c r="B1277" s="3">
        <v>1.13813014104865</v>
      </c>
      <c r="C1277" s="5">
        <v>1.9510454693509899E-5</v>
      </c>
      <c r="D1277" s="6">
        <v>7.0934027757377596E-5</v>
      </c>
      <c r="E1277" s="3" t="s">
        <v>10860</v>
      </c>
      <c r="F1277" s="3" t="s">
        <v>10861</v>
      </c>
      <c r="G1277" s="3" t="s">
        <v>83</v>
      </c>
      <c r="H1277" s="7" t="str">
        <f>HYPERLINK("http://www.ensembl.org/Mus_musculus/Gene/Summary?db=core;g=ENSMUSG00000098543","ENSMUSG00000098543")</f>
        <v>ENSMUSG00000098543</v>
      </c>
      <c r="I1277" s="7" t="str">
        <f>HYPERLINK("http://www.informatics.jax.org/marker/MGI:5530915","MGI:5530915")</f>
        <v>MGI:5530915</v>
      </c>
      <c r="J1277" s="4" t="s">
        <v>9951</v>
      </c>
    </row>
    <row r="1278" spans="1:10" x14ac:dyDescent="0.25">
      <c r="A1278" s="2">
        <v>3710.58088294349</v>
      </c>
      <c r="B1278" s="3">
        <v>1.1374603461955799</v>
      </c>
      <c r="C1278" s="5">
        <v>7.4451435688064903E-44</v>
      </c>
      <c r="D1278" s="6">
        <v>1.68756587559614E-42</v>
      </c>
      <c r="E1278" s="3" t="s">
        <v>1756</v>
      </c>
      <c r="F1278" s="3" t="s">
        <v>1757</v>
      </c>
      <c r="G1278" s="3">
        <v>18557</v>
      </c>
      <c r="H1278" s="7" t="str">
        <f>HYPERLINK("http://www.ensembl.org/Mus_musculus/Gene/Summary?db=core;g=ENSMUSG00000026437","ENSMUSG00000026437")</f>
        <v>ENSMUSG00000026437</v>
      </c>
      <c r="I1278" s="7" t="str">
        <f>HYPERLINK("http://www.informatics.jax.org/marker/MGI:97518","MGI:97518")</f>
        <v>MGI:97518</v>
      </c>
      <c r="J1278" s="4" t="s">
        <v>12</v>
      </c>
    </row>
    <row r="1279" spans="1:10" x14ac:dyDescent="0.25">
      <c r="A1279" s="2">
        <v>1867.01333235008</v>
      </c>
      <c r="B1279" s="3">
        <v>1.1368401166500799</v>
      </c>
      <c r="C1279" s="5">
        <v>6.4718231818604599E-68</v>
      </c>
      <c r="D1279" s="6">
        <v>2.8615325817553398E-66</v>
      </c>
      <c r="E1279" s="3" t="s">
        <v>904</v>
      </c>
      <c r="F1279" s="3" t="s">
        <v>905</v>
      </c>
      <c r="G1279" s="3">
        <v>108673</v>
      </c>
      <c r="H1279" s="7" t="str">
        <f>HYPERLINK("http://www.ensembl.org/Mus_musculus/Gene/Summary?db=core;g=ENSMUSG00000024732","ENSMUSG00000024732")</f>
        <v>ENSMUSG00000024732</v>
      </c>
      <c r="I1279" s="7" t="str">
        <f>HYPERLINK("http://www.informatics.jax.org/marker/MGI:1277220","MGI:1277220")</f>
        <v>MGI:1277220</v>
      </c>
      <c r="J1279" s="4" t="s">
        <v>12</v>
      </c>
    </row>
    <row r="1280" spans="1:10" x14ac:dyDescent="0.25">
      <c r="A1280" s="2">
        <v>4.9815493746487203</v>
      </c>
      <c r="B1280" s="3">
        <v>1.13660146153858</v>
      </c>
      <c r="C1280" s="3">
        <v>7.7695646749058401E-3</v>
      </c>
      <c r="D1280" s="4">
        <v>1.97417620653451E-2</v>
      </c>
      <c r="E1280" s="3" t="s">
        <v>15527</v>
      </c>
      <c r="F1280" s="3" t="s">
        <v>15528</v>
      </c>
      <c r="G1280" s="3">
        <v>381404</v>
      </c>
      <c r="H1280" s="7" t="str">
        <f>HYPERLINK("http://www.ensembl.org/Mus_musculus/Gene/Summary?db=core;g=ENSMUSG00000054582","ENSMUSG00000054582")</f>
        <v>ENSMUSG00000054582</v>
      </c>
      <c r="I1280" s="7" t="str">
        <f>HYPERLINK("http://www.informatics.jax.org/marker/MGI:1922908","MGI:1922908")</f>
        <v>MGI:1922908</v>
      </c>
      <c r="J1280" s="4" t="s">
        <v>12</v>
      </c>
    </row>
    <row r="1281" spans="1:10" x14ac:dyDescent="0.25">
      <c r="A1281" s="2">
        <v>1.0199980240470901</v>
      </c>
      <c r="B1281" s="3">
        <v>1.13363699901571</v>
      </c>
      <c r="C1281" s="3">
        <v>1.1181074290938901E-2</v>
      </c>
      <c r="D1281" s="4">
        <v>2.7516633597568299E-2</v>
      </c>
      <c r="E1281" s="3" t="s">
        <v>16031</v>
      </c>
      <c r="F1281" s="3" t="s">
        <v>16032</v>
      </c>
      <c r="G1281" s="3" t="s">
        <v>83</v>
      </c>
      <c r="H1281" s="7" t="str">
        <f>HYPERLINK("http://www.ensembl.org/Mus_musculus/Gene/Summary?db=core;g=ENSMUSG00000108783","ENSMUSG00000108783")</f>
        <v>ENSMUSG00000108783</v>
      </c>
      <c r="I1281" s="7" t="str">
        <f>HYPERLINK("http://www.informatics.jax.org/marker/MGI:5595705","MGI:5595705")</f>
        <v>MGI:5595705</v>
      </c>
      <c r="J1281" s="4" t="s">
        <v>939</v>
      </c>
    </row>
    <row r="1282" spans="1:10" x14ac:dyDescent="0.25">
      <c r="A1282" s="2">
        <v>1251.6603297766201</v>
      </c>
      <c r="B1282" s="3">
        <v>1.13360736582178</v>
      </c>
      <c r="C1282" s="5">
        <v>5.8868193541888101E-77</v>
      </c>
      <c r="D1282" s="6">
        <v>3.1718054006722198E-75</v>
      </c>
      <c r="E1282" s="3" t="s">
        <v>744</v>
      </c>
      <c r="F1282" s="3" t="s">
        <v>745</v>
      </c>
      <c r="G1282" s="3">
        <v>227449</v>
      </c>
      <c r="H1282" s="7" t="str">
        <f>HYPERLINK("http://www.ensembl.org/Mus_musculus/Gene/Summary?db=core;g=ENSMUSG00000038866","ENSMUSG00000038866")</f>
        <v>ENSMUSG00000038866</v>
      </c>
      <c r="I1282" s="7" t="str">
        <f>HYPERLINK("http://www.informatics.jax.org/marker/MGI:2444114","MGI:2444114")</f>
        <v>MGI:2444114</v>
      </c>
      <c r="J1282" s="4" t="s">
        <v>12</v>
      </c>
    </row>
    <row r="1283" spans="1:10" x14ac:dyDescent="0.25">
      <c r="A1283" s="2">
        <v>5422.5294858706702</v>
      </c>
      <c r="B1283" s="3">
        <v>1.13241608607352</v>
      </c>
      <c r="C1283" s="5">
        <v>2.7923786205431898E-33</v>
      </c>
      <c r="D1283" s="6">
        <v>4.5396295463406199E-32</v>
      </c>
      <c r="E1283" s="3" t="s">
        <v>2443</v>
      </c>
      <c r="F1283" s="3" t="s">
        <v>2444</v>
      </c>
      <c r="G1283" s="3">
        <v>13518</v>
      </c>
      <c r="H1283" s="7" t="str">
        <f>HYPERLINK("http://www.ensembl.org/Mus_musculus/Gene/Summary?db=core;g=ENSMUSG00000026131","ENSMUSG00000026131")</f>
        <v>ENSMUSG00000026131</v>
      </c>
      <c r="I1283" s="7" t="str">
        <f>HYPERLINK("http://www.informatics.jax.org/marker/MGI:104627","MGI:104627")</f>
        <v>MGI:104627</v>
      </c>
      <c r="J1283" s="4" t="s">
        <v>12</v>
      </c>
    </row>
    <row r="1284" spans="1:10" x14ac:dyDescent="0.25">
      <c r="A1284" s="2">
        <v>2124.5501504906301</v>
      </c>
      <c r="B1284" s="3">
        <v>1.13232319946203</v>
      </c>
      <c r="C1284" s="5">
        <v>7.1405943521895503E-68</v>
      </c>
      <c r="D1284" s="6">
        <v>3.1501682466482799E-66</v>
      </c>
      <c r="E1284" s="3" t="s">
        <v>906</v>
      </c>
      <c r="F1284" s="3" t="s">
        <v>907</v>
      </c>
      <c r="G1284" s="3">
        <v>60406</v>
      </c>
      <c r="H1284" s="7" t="str">
        <f>HYPERLINK("http://www.ensembl.org/Mus_musculus/Gene/Summary?db=core;g=ENSMUSG00000031609","ENSMUSG00000031609")</f>
        <v>ENSMUSG00000031609</v>
      </c>
      <c r="I1284" s="7" t="str">
        <f>HYPERLINK("http://www.informatics.jax.org/marker/MGI:1929129","MGI:1929129")</f>
        <v>MGI:1929129</v>
      </c>
      <c r="J1284" s="4" t="s">
        <v>12</v>
      </c>
    </row>
    <row r="1285" spans="1:10" x14ac:dyDescent="0.25">
      <c r="A1285" s="2">
        <v>4.4812941126351804</v>
      </c>
      <c r="B1285" s="3">
        <v>1.1299758252452901</v>
      </c>
      <c r="C1285" s="3">
        <v>6.5827742417631403E-3</v>
      </c>
      <c r="D1285" s="4">
        <v>1.6973366638018999E-2</v>
      </c>
      <c r="E1285" s="3" t="s">
        <v>15301</v>
      </c>
      <c r="F1285" s="3" t="s">
        <v>15302</v>
      </c>
      <c r="G1285" s="3" t="s">
        <v>83</v>
      </c>
      <c r="H1285" s="7" t="str">
        <f>HYPERLINK("http://www.ensembl.org/Mus_musculus/Gene/Summary?db=core;g=ENSMUSG00000102463","ENSMUSG00000102463")</f>
        <v>ENSMUSG00000102463</v>
      </c>
      <c r="I1285" s="7" t="str">
        <f>HYPERLINK("http://www.informatics.jax.org/marker/MGI:1919464","MGI:1919464")</f>
        <v>MGI:1919464</v>
      </c>
      <c r="J1285" s="4" t="s">
        <v>1043</v>
      </c>
    </row>
    <row r="1286" spans="1:10" x14ac:dyDescent="0.25">
      <c r="A1286" s="2">
        <v>3.3479803712380201</v>
      </c>
      <c r="B1286" s="3">
        <v>1.1294710201054601</v>
      </c>
      <c r="C1286" s="3">
        <v>1.4261003539098999E-2</v>
      </c>
      <c r="D1286" s="4">
        <v>3.4379827602815799E-2</v>
      </c>
      <c r="E1286" s="3" t="s">
        <v>16365</v>
      </c>
      <c r="F1286" s="3" t="s">
        <v>16366</v>
      </c>
      <c r="G1286" s="3">
        <v>14191</v>
      </c>
      <c r="H1286" s="7" t="str">
        <f>HYPERLINK("http://www.ensembl.org/Mus_musculus/Gene/Summary?db=core;g=ENSMUSG00000028874","ENSMUSG00000028874")</f>
        <v>ENSMUSG00000028874</v>
      </c>
      <c r="I1286" s="7" t="str">
        <f>HYPERLINK("http://www.informatics.jax.org/marker/MGI:95527","MGI:95527")</f>
        <v>MGI:95527</v>
      </c>
      <c r="J1286" s="4" t="s">
        <v>12</v>
      </c>
    </row>
    <row r="1287" spans="1:10" x14ac:dyDescent="0.25">
      <c r="A1287" s="2">
        <v>1.3617876443442001</v>
      </c>
      <c r="B1287" s="3">
        <v>1.1287424815712701</v>
      </c>
      <c r="C1287" s="3">
        <v>1.55325382055838E-2</v>
      </c>
      <c r="D1287" s="4">
        <v>3.71409789516325E-2</v>
      </c>
      <c r="E1287" s="3" t="s">
        <v>16497</v>
      </c>
      <c r="F1287" s="3" t="s">
        <v>16498</v>
      </c>
      <c r="G1287" s="3" t="s">
        <v>83</v>
      </c>
      <c r="H1287" s="7" t="str">
        <f>HYPERLINK("http://www.ensembl.org/Mus_musculus/Gene/Summary?db=core;g=ENSMUSG00000087361","ENSMUSG00000087361")</f>
        <v>ENSMUSG00000087361</v>
      </c>
      <c r="I1287" s="7" t="str">
        <f>HYPERLINK("http://www.informatics.jax.org/marker/MGI:1915650","MGI:1915650")</f>
        <v>MGI:1915650</v>
      </c>
      <c r="J1287" s="4" t="s">
        <v>939</v>
      </c>
    </row>
    <row r="1288" spans="1:10" x14ac:dyDescent="0.25">
      <c r="A1288" s="2">
        <v>1.73489913496027</v>
      </c>
      <c r="B1288" s="3">
        <v>1.1285482013441099</v>
      </c>
      <c r="C1288" s="3">
        <v>1.65816271640878E-2</v>
      </c>
      <c r="D1288" s="4">
        <v>3.9410592705292402E-2</v>
      </c>
      <c r="E1288" s="3" t="s">
        <v>16598</v>
      </c>
      <c r="F1288" s="3" t="s">
        <v>16599</v>
      </c>
      <c r="G1288" s="3" t="s">
        <v>83</v>
      </c>
      <c r="H1288" s="7" t="str">
        <f>HYPERLINK("http://www.ensembl.org/Mus_musculus/Gene/Summary?db=core;g=ENSMUSG00000118489","ENSMUSG00000118489")</f>
        <v>ENSMUSG00000118489</v>
      </c>
      <c r="I1288" s="3" t="s">
        <v>83</v>
      </c>
      <c r="J1288" s="4" t="s">
        <v>1043</v>
      </c>
    </row>
    <row r="1289" spans="1:10" x14ac:dyDescent="0.25">
      <c r="A1289" s="2">
        <v>2.1363225710055702</v>
      </c>
      <c r="B1289" s="3">
        <v>1.1279369577082199</v>
      </c>
      <c r="C1289" s="3">
        <v>1.57015260570335E-2</v>
      </c>
      <c r="D1289" s="4">
        <v>3.75132170880422E-2</v>
      </c>
      <c r="E1289" s="3" t="s">
        <v>16511</v>
      </c>
      <c r="F1289" s="3" t="s">
        <v>16512</v>
      </c>
      <c r="G1289" s="3" t="s">
        <v>83</v>
      </c>
      <c r="H1289" s="7" t="str">
        <f>HYPERLINK("http://www.ensembl.org/Mus_musculus/Gene/Summary?db=core;g=ENSMUSG00000104488","ENSMUSG00000104488")</f>
        <v>ENSMUSG00000104488</v>
      </c>
      <c r="I1289" s="7" t="str">
        <f>HYPERLINK("http://www.informatics.jax.org/marker/MGI:5611290","MGI:5611290")</f>
        <v>MGI:5611290</v>
      </c>
      <c r="J1289" s="4" t="s">
        <v>1828</v>
      </c>
    </row>
    <row r="1290" spans="1:10" x14ac:dyDescent="0.25">
      <c r="A1290" s="2">
        <v>47.181606017409301</v>
      </c>
      <c r="B1290" s="3">
        <v>1.1277803119940399</v>
      </c>
      <c r="C1290" s="5">
        <v>4.49069245317556E-8</v>
      </c>
      <c r="D1290" s="6">
        <v>2.0920494962584901E-7</v>
      </c>
      <c r="E1290" s="3" t="s">
        <v>8483</v>
      </c>
      <c r="F1290" s="3" t="s">
        <v>8484</v>
      </c>
      <c r="G1290" s="3" t="s">
        <v>83</v>
      </c>
      <c r="H1290" s="7" t="str">
        <f>HYPERLINK("http://www.ensembl.org/Mus_musculus/Gene/Summary?db=core;g=ENSMUSG00000087484","ENSMUSG00000087484")</f>
        <v>ENSMUSG00000087484</v>
      </c>
      <c r="I1290" s="7" t="str">
        <f>HYPERLINK("http://www.informatics.jax.org/marker/MGI:1914527","MGI:1914527")</f>
        <v>MGI:1914527</v>
      </c>
      <c r="J1290" s="4" t="s">
        <v>932</v>
      </c>
    </row>
    <row r="1291" spans="1:10" x14ac:dyDescent="0.25">
      <c r="A1291" s="2">
        <v>1593.6986255429299</v>
      </c>
      <c r="B1291" s="3">
        <v>1.1267999864523599</v>
      </c>
      <c r="C1291" s="5">
        <v>2.9540682756417397E-79</v>
      </c>
      <c r="D1291" s="6">
        <v>1.6787961497306899E-77</v>
      </c>
      <c r="E1291" s="3" t="s">
        <v>706</v>
      </c>
      <c r="F1291" s="3" t="s">
        <v>707</v>
      </c>
      <c r="G1291" s="3">
        <v>18451</v>
      </c>
      <c r="H1291" s="7" t="str">
        <f>HYPERLINK("http://www.ensembl.org/Mus_musculus/Gene/Summary?db=core;g=ENSMUSG00000019916","ENSMUSG00000019916")</f>
        <v>ENSMUSG00000019916</v>
      </c>
      <c r="I1291" s="7" t="str">
        <f>HYPERLINK("http://www.informatics.jax.org/marker/MGI:97463","MGI:97463")</f>
        <v>MGI:97463</v>
      </c>
      <c r="J1291" s="4" t="s">
        <v>12</v>
      </c>
    </row>
    <row r="1292" spans="1:10" x14ac:dyDescent="0.25">
      <c r="A1292" s="2">
        <v>4937.3334913051303</v>
      </c>
      <c r="B1292" s="3">
        <v>1.1265341608064201</v>
      </c>
      <c r="C1292" s="5">
        <v>3.2876843006735899E-58</v>
      </c>
      <c r="D1292" s="6">
        <v>1.11206062451601E-56</v>
      </c>
      <c r="E1292" s="3" t="s">
        <v>1182</v>
      </c>
      <c r="F1292" s="3" t="s">
        <v>1183</v>
      </c>
      <c r="G1292" s="3">
        <v>15251</v>
      </c>
      <c r="H1292" s="7" t="str">
        <f>HYPERLINK("http://www.ensembl.org/Mus_musculus/Gene/Summary?db=core;g=ENSMUSG00000021109","ENSMUSG00000021109")</f>
        <v>ENSMUSG00000021109</v>
      </c>
      <c r="I1292" s="7" t="str">
        <f>HYPERLINK("http://www.informatics.jax.org/marker/MGI:106918","MGI:106918")</f>
        <v>MGI:106918</v>
      </c>
      <c r="J1292" s="4" t="s">
        <v>12</v>
      </c>
    </row>
    <row r="1293" spans="1:10" x14ac:dyDescent="0.25">
      <c r="A1293" s="2">
        <v>1724.2370862922701</v>
      </c>
      <c r="B1293" s="3">
        <v>1.12624456164627</v>
      </c>
      <c r="C1293" s="5">
        <v>4.5183381334370897E-42</v>
      </c>
      <c r="D1293" s="6">
        <v>9.7592144568871094E-41</v>
      </c>
      <c r="E1293" s="3" t="s">
        <v>1843</v>
      </c>
      <c r="F1293" s="3" t="s">
        <v>1844</v>
      </c>
      <c r="G1293" s="3">
        <v>14782</v>
      </c>
      <c r="H1293" s="7" t="str">
        <f>HYPERLINK("http://www.ensembl.org/Mus_musculus/Gene/Summary?db=core;g=ENSMUSG00000031584","ENSMUSG00000031584")</f>
        <v>ENSMUSG00000031584</v>
      </c>
      <c r="I1293" s="7" t="str">
        <f>HYPERLINK("http://www.informatics.jax.org/marker/MGI:95804","MGI:95804")</f>
        <v>MGI:95804</v>
      </c>
      <c r="J1293" s="4" t="s">
        <v>12</v>
      </c>
    </row>
    <row r="1294" spans="1:10" x14ac:dyDescent="0.25">
      <c r="A1294" s="2">
        <v>6.3564317905944003</v>
      </c>
      <c r="B1294" s="3">
        <v>1.1260179836069999</v>
      </c>
      <c r="C1294" s="3">
        <v>2.7842003834044199E-3</v>
      </c>
      <c r="D1294" s="4">
        <v>7.6778676493826402E-3</v>
      </c>
      <c r="E1294" s="3" t="s">
        <v>14307</v>
      </c>
      <c r="F1294" s="3" t="s">
        <v>14308</v>
      </c>
      <c r="G1294" s="3" t="s">
        <v>83</v>
      </c>
      <c r="H1294" s="7" t="str">
        <f>HYPERLINK("http://www.ensembl.org/Mus_musculus/Gene/Summary?db=core;g=ENSMUSG00000109428","ENSMUSG00000109428")</f>
        <v>ENSMUSG00000109428</v>
      </c>
      <c r="I1294" s="7" t="str">
        <f>HYPERLINK("http://www.informatics.jax.org/marker/MGI:5804813","MGI:5804813")</f>
        <v>MGI:5804813</v>
      </c>
      <c r="J1294" s="4" t="s">
        <v>1828</v>
      </c>
    </row>
    <row r="1295" spans="1:10" x14ac:dyDescent="0.25">
      <c r="A1295" s="2">
        <v>17.339932752895098</v>
      </c>
      <c r="B1295" s="3">
        <v>1.1256500212662599</v>
      </c>
      <c r="C1295" s="5">
        <v>1.9337801972751701E-5</v>
      </c>
      <c r="D1295" s="6">
        <v>7.0332249152095795E-5</v>
      </c>
      <c r="E1295" s="3" t="s">
        <v>10856</v>
      </c>
      <c r="F1295" s="3" t="s">
        <v>10857</v>
      </c>
      <c r="G1295" s="3">
        <v>320844</v>
      </c>
      <c r="H1295" s="7" t="str">
        <f>HYPERLINK("http://www.ensembl.org/Mus_musculus/Gene/Summary?db=core;g=ENSMUSG00000032593","ENSMUSG00000032593")</f>
        <v>ENSMUSG00000032593</v>
      </c>
      <c r="I1295" s="7" t="str">
        <f>HYPERLINK("http://www.informatics.jax.org/marker/MGI:2444854","MGI:2444854")</f>
        <v>MGI:2444854</v>
      </c>
      <c r="J1295" s="4" t="s">
        <v>12</v>
      </c>
    </row>
    <row r="1296" spans="1:10" x14ac:dyDescent="0.25">
      <c r="A1296" s="2">
        <v>1.4920691312708401</v>
      </c>
      <c r="B1296" s="3">
        <v>1.1243274222470201</v>
      </c>
      <c r="C1296" s="3">
        <v>1.40538315530422E-2</v>
      </c>
      <c r="D1296" s="4">
        <v>3.3926007862160899E-2</v>
      </c>
      <c r="E1296" s="3" t="s">
        <v>16343</v>
      </c>
      <c r="F1296" s="3" t="s">
        <v>16344</v>
      </c>
      <c r="G1296" s="3">
        <v>234072</v>
      </c>
      <c r="H1296" s="7" t="str">
        <f>HYPERLINK("http://www.ensembl.org/Mus_musculus/Gene/Summary?db=core;g=ENSMUSG00000031448","ENSMUSG00000031448")</f>
        <v>ENSMUSG00000031448</v>
      </c>
      <c r="I1296" s="7" t="str">
        <f>HYPERLINK("http://www.informatics.jax.org/marker/MGI:2442168","MGI:2442168")</f>
        <v>MGI:2442168</v>
      </c>
      <c r="J1296" s="4" t="s">
        <v>12</v>
      </c>
    </row>
    <row r="1297" spans="1:10" x14ac:dyDescent="0.25">
      <c r="A1297" s="2">
        <v>406.188807892574</v>
      </c>
      <c r="B1297" s="3">
        <v>1.12233717891284</v>
      </c>
      <c r="C1297" s="5">
        <v>3.8992481040257503E-24</v>
      </c>
      <c r="D1297" s="6">
        <v>4.6126678231186402E-23</v>
      </c>
      <c r="E1297" s="3" t="s">
        <v>3354</v>
      </c>
      <c r="F1297" s="3" t="s">
        <v>3355</v>
      </c>
      <c r="G1297" s="3">
        <v>23986</v>
      </c>
      <c r="H1297" s="7" t="str">
        <f>HYPERLINK("http://www.ensembl.org/Mus_musculus/Gene/Summary?db=core;g=ENSMUSG00000021417","ENSMUSG00000021417")</f>
        <v>ENSMUSG00000021417</v>
      </c>
      <c r="I1297" s="7" t="str">
        <f>HYPERLINK("http://www.informatics.jax.org/marker/MGI:1346064","MGI:1346064")</f>
        <v>MGI:1346064</v>
      </c>
      <c r="J1297" s="4" t="s">
        <v>12</v>
      </c>
    </row>
    <row r="1298" spans="1:10" x14ac:dyDescent="0.25">
      <c r="A1298" s="2">
        <v>2.8592231919633702</v>
      </c>
      <c r="B1298" s="3">
        <v>1.1207840805090299</v>
      </c>
      <c r="C1298" s="3">
        <v>1.3120388409240499E-2</v>
      </c>
      <c r="D1298" s="4">
        <v>3.1852032430164101E-2</v>
      </c>
      <c r="E1298" s="3" t="s">
        <v>16251</v>
      </c>
      <c r="F1298" s="3" t="s">
        <v>16252</v>
      </c>
      <c r="G1298" s="3" t="s">
        <v>83</v>
      </c>
      <c r="H1298" s="7" t="str">
        <f>HYPERLINK("http://www.ensembl.org/Mus_musculus/Gene/Summary?db=core;g=ENSMUSG00000073486","ENSMUSG00000073486")</f>
        <v>ENSMUSG00000073486</v>
      </c>
      <c r="I1298" s="7" t="str">
        <f>HYPERLINK("http://www.informatics.jax.org/marker/MGI:3704205","MGI:3704205")</f>
        <v>MGI:3704205</v>
      </c>
      <c r="J1298" s="4" t="s">
        <v>932</v>
      </c>
    </row>
    <row r="1299" spans="1:10" x14ac:dyDescent="0.25">
      <c r="A1299" s="2">
        <v>11495.6003546217</v>
      </c>
      <c r="B1299" s="3">
        <v>1.12058235116328</v>
      </c>
      <c r="C1299" s="5">
        <v>3.98210486600167E-103</v>
      </c>
      <c r="D1299" s="6">
        <v>3.3133800825971702E-101</v>
      </c>
      <c r="E1299" s="3" t="s">
        <v>486</v>
      </c>
      <c r="F1299" s="3" t="s">
        <v>487</v>
      </c>
      <c r="G1299" s="3">
        <v>29875</v>
      </c>
      <c r="H1299" s="7" t="str">
        <f>HYPERLINK("http://www.ensembl.org/Mus_musculus/Gene/Summary?db=core;g=ENSMUSG00000030536","ENSMUSG00000030536")</f>
        <v>ENSMUSG00000030536</v>
      </c>
      <c r="I1299" s="7" t="str">
        <f>HYPERLINK("http://www.informatics.jax.org/marker/MGI:1352757","MGI:1352757")</f>
        <v>MGI:1352757</v>
      </c>
      <c r="J1299" s="4" t="s">
        <v>12</v>
      </c>
    </row>
    <row r="1300" spans="1:10" x14ac:dyDescent="0.25">
      <c r="A1300" s="2">
        <v>2099.1535841712998</v>
      </c>
      <c r="B1300" s="3">
        <v>1.11995412415796</v>
      </c>
      <c r="C1300" s="5">
        <v>1.6295746190623299E-49</v>
      </c>
      <c r="D1300" s="6">
        <v>4.3425961470147602E-48</v>
      </c>
      <c r="E1300" s="3" t="s">
        <v>1496</v>
      </c>
      <c r="F1300" s="3" t="s">
        <v>1497</v>
      </c>
      <c r="G1300" s="3">
        <v>17874</v>
      </c>
      <c r="H1300" s="7" t="str">
        <f>HYPERLINK("http://www.ensembl.org/Mus_musculus/Gene/Summary?db=core;g=ENSMUSG00000032508","ENSMUSG00000032508")</f>
        <v>ENSMUSG00000032508</v>
      </c>
      <c r="I1300" s="7" t="str">
        <f>HYPERLINK("http://www.informatics.jax.org/marker/MGI:108005","MGI:108005")</f>
        <v>MGI:108005</v>
      </c>
      <c r="J1300" s="4" t="s">
        <v>12</v>
      </c>
    </row>
    <row r="1301" spans="1:10" x14ac:dyDescent="0.25">
      <c r="A1301" s="2">
        <v>4.8606542948403497</v>
      </c>
      <c r="B1301" s="3">
        <v>1.1198328439247101</v>
      </c>
      <c r="C1301" s="3">
        <v>6.5955159196911597E-3</v>
      </c>
      <c r="D1301" s="4">
        <v>1.70017743707594E-2</v>
      </c>
      <c r="E1301" s="3" t="s">
        <v>15305</v>
      </c>
      <c r="F1301" s="3" t="s">
        <v>15306</v>
      </c>
      <c r="G1301" s="3" t="s">
        <v>83</v>
      </c>
      <c r="H1301" s="7" t="str">
        <f>HYPERLINK("http://www.ensembl.org/Mus_musculus/Gene/Summary?db=core;g=ENSMUSG00000116927","ENSMUSG00000116927")</f>
        <v>ENSMUSG00000116927</v>
      </c>
      <c r="I1301" s="7" t="str">
        <f>HYPERLINK("http://www.informatics.jax.org/marker/MGI:5590040","MGI:5590040")</f>
        <v>MGI:5590040</v>
      </c>
      <c r="J1301" s="4" t="s">
        <v>932</v>
      </c>
    </row>
    <row r="1302" spans="1:10" x14ac:dyDescent="0.25">
      <c r="A1302" s="2">
        <v>1584.3744798016101</v>
      </c>
      <c r="B1302" s="3">
        <v>1.1194777504715501</v>
      </c>
      <c r="C1302" s="5">
        <v>2.8219515741598502E-90</v>
      </c>
      <c r="D1302" s="6">
        <v>1.9457652112738601E-88</v>
      </c>
      <c r="E1302" s="3" t="s">
        <v>584</v>
      </c>
      <c r="F1302" s="3" t="s">
        <v>585</v>
      </c>
      <c r="G1302" s="3">
        <v>216238</v>
      </c>
      <c r="H1302" s="7" t="str">
        <f>HYPERLINK("http://www.ensembl.org/Mus_musculus/Gene/Summary?db=core;g=ENSMUSG00000036499","ENSMUSG00000036499")</f>
        <v>ENSMUSG00000036499</v>
      </c>
      <c r="I1302" s="7" t="str">
        <f>HYPERLINK("http://www.informatics.jax.org/marker/MGI:2442192","MGI:2442192")</f>
        <v>MGI:2442192</v>
      </c>
      <c r="J1302" s="4" t="s">
        <v>12</v>
      </c>
    </row>
    <row r="1303" spans="1:10" x14ac:dyDescent="0.25">
      <c r="A1303" s="2">
        <v>665.42066917740897</v>
      </c>
      <c r="B1303" s="3">
        <v>1.1183818115203199</v>
      </c>
      <c r="C1303" s="5">
        <v>5.2001108696854599E-13</v>
      </c>
      <c r="D1303" s="6">
        <v>3.5458570660510798E-12</v>
      </c>
      <c r="E1303" s="3" t="s">
        <v>5801</v>
      </c>
      <c r="F1303" s="3" t="s">
        <v>5802</v>
      </c>
      <c r="G1303" s="3">
        <v>102294</v>
      </c>
      <c r="H1303" s="7" t="str">
        <f>HYPERLINK("http://www.ensembl.org/Mus_musculus/Gene/Summary?db=core;g=ENSMUSG00000079057","ENSMUSG00000079057")</f>
        <v>ENSMUSG00000079057</v>
      </c>
      <c r="I1303" s="7" t="str">
        <f>HYPERLINK("http://www.informatics.jax.org/marker/MGI:2142763","MGI:2142763")</f>
        <v>MGI:2142763</v>
      </c>
      <c r="J1303" s="4" t="s">
        <v>12</v>
      </c>
    </row>
    <row r="1304" spans="1:10" x14ac:dyDescent="0.25">
      <c r="A1304" s="2">
        <v>4.7487935670390504</v>
      </c>
      <c r="B1304" s="3">
        <v>1.1173888349067</v>
      </c>
      <c r="C1304" s="3">
        <v>1.0982255429734199E-2</v>
      </c>
      <c r="D1304" s="4">
        <v>2.7071259634294902E-2</v>
      </c>
      <c r="E1304" s="3" t="s">
        <v>16005</v>
      </c>
      <c r="F1304" s="3" t="s">
        <v>16006</v>
      </c>
      <c r="G1304" s="3">
        <v>81701</v>
      </c>
      <c r="H1304" s="7" t="str">
        <f>HYPERLINK("http://www.ensembl.org/Mus_musculus/Gene/Summary?db=core;g=ENSMUSG00000015467","ENSMUSG00000015467")</f>
        <v>ENSMUSG00000015467</v>
      </c>
      <c r="I1304" s="7" t="str">
        <f>HYPERLINK("http://www.informatics.jax.org/marker/MGI:1932094","MGI:1932094")</f>
        <v>MGI:1932094</v>
      </c>
      <c r="J1304" s="4" t="s">
        <v>12</v>
      </c>
    </row>
    <row r="1305" spans="1:10" x14ac:dyDescent="0.25">
      <c r="A1305" s="2">
        <v>1.95924631012581</v>
      </c>
      <c r="B1305" s="3">
        <v>1.1163750680964999</v>
      </c>
      <c r="C1305" s="3">
        <v>1.73453063440842E-2</v>
      </c>
      <c r="D1305" s="4">
        <v>4.1047574835634197E-2</v>
      </c>
      <c r="E1305" s="3" t="s">
        <v>16670</v>
      </c>
      <c r="F1305" s="3" t="s">
        <v>16671</v>
      </c>
      <c r="G1305" s="3">
        <v>239114</v>
      </c>
      <c r="H1305" s="7" t="str">
        <f>HYPERLINK("http://www.ensembl.org/Mus_musculus/Gene/Summary?db=core;g=ENSMUSG00000050222","ENSMUSG00000050222")</f>
        <v>ENSMUSG00000050222</v>
      </c>
      <c r="I1305" s="7" t="str">
        <f>HYPERLINK("http://www.informatics.jax.org/marker/MGI:2446510","MGI:2446510")</f>
        <v>MGI:2446510</v>
      </c>
      <c r="J1305" s="4" t="s">
        <v>12</v>
      </c>
    </row>
    <row r="1306" spans="1:10" x14ac:dyDescent="0.25">
      <c r="A1306" s="2">
        <v>4.2137454766889002</v>
      </c>
      <c r="B1306" s="3">
        <v>1.11607299845995</v>
      </c>
      <c r="C1306" s="3">
        <v>8.3704912299124908E-3</v>
      </c>
      <c r="D1306" s="4">
        <v>2.1113845516816901E-2</v>
      </c>
      <c r="E1306" s="3" t="s">
        <v>15641</v>
      </c>
      <c r="F1306" s="3" t="s">
        <v>15642</v>
      </c>
      <c r="G1306" s="3" t="s">
        <v>83</v>
      </c>
      <c r="H1306" s="7" t="str">
        <f>HYPERLINK("http://www.ensembl.org/Mus_musculus/Gene/Summary?db=core;g=ENSMUSG00000098447","ENSMUSG00000098447")</f>
        <v>ENSMUSG00000098447</v>
      </c>
      <c r="I1306" s="7" t="str">
        <f>HYPERLINK("http://www.informatics.jax.org/marker/MGI:5521027","MGI:5521027")</f>
        <v>MGI:5521027</v>
      </c>
      <c r="J1306" s="4" t="s">
        <v>932</v>
      </c>
    </row>
    <row r="1307" spans="1:10" x14ac:dyDescent="0.25">
      <c r="A1307" s="2">
        <v>8.6498633042108395</v>
      </c>
      <c r="B1307" s="3">
        <v>1.1148958576417201</v>
      </c>
      <c r="C1307" s="3">
        <v>2.6562006883578799E-3</v>
      </c>
      <c r="D1307" s="4">
        <v>7.3516179051813799E-3</v>
      </c>
      <c r="E1307" s="3" t="s">
        <v>14257</v>
      </c>
      <c r="F1307" s="3" t="s">
        <v>14258</v>
      </c>
      <c r="G1307" s="3" t="s">
        <v>83</v>
      </c>
      <c r="H1307" s="7" t="str">
        <f>HYPERLINK("http://www.ensembl.org/Mus_musculus/Gene/Summary?db=core;g=ENSMUSG00000086331","ENSMUSG00000086331")</f>
        <v>ENSMUSG00000086331</v>
      </c>
      <c r="I1307" s="7" t="str">
        <f>HYPERLINK("http://www.informatics.jax.org/marker/MGI:3826522","MGI:3826522")</f>
        <v>MGI:3826522</v>
      </c>
      <c r="J1307" s="4" t="s">
        <v>4024</v>
      </c>
    </row>
    <row r="1308" spans="1:10" x14ac:dyDescent="0.25">
      <c r="A1308" s="2">
        <v>491.74476696386301</v>
      </c>
      <c r="B1308" s="3">
        <v>1.1148235511743001</v>
      </c>
      <c r="C1308" s="5">
        <v>4.9020272739670105E-72</v>
      </c>
      <c r="D1308" s="6">
        <v>2.3577555571372999E-70</v>
      </c>
      <c r="E1308" s="3" t="s">
        <v>832</v>
      </c>
      <c r="F1308" s="3" t="s">
        <v>833</v>
      </c>
      <c r="G1308" s="3">
        <v>101023</v>
      </c>
      <c r="H1308" s="7" t="str">
        <f>HYPERLINK("http://www.ensembl.org/Mus_musculus/Gene/Summary?db=core;g=ENSMUSG00000043059","ENSMUSG00000043059")</f>
        <v>ENSMUSG00000043059</v>
      </c>
      <c r="I1308" s="7" t="str">
        <f>HYPERLINK("http://www.informatics.jax.org/marker/MGI:2141255","MGI:2141255")</f>
        <v>MGI:2141255</v>
      </c>
      <c r="J1308" s="4" t="s">
        <v>12</v>
      </c>
    </row>
    <row r="1309" spans="1:10" x14ac:dyDescent="0.25">
      <c r="A1309" s="2">
        <v>644.64681077913804</v>
      </c>
      <c r="B1309" s="3">
        <v>1.1136347850341599</v>
      </c>
      <c r="C1309" s="3">
        <v>2.16099559452721E-4</v>
      </c>
      <c r="D1309" s="4">
        <v>6.9883294726265398E-4</v>
      </c>
      <c r="E1309" s="3" t="s">
        <v>12207</v>
      </c>
      <c r="F1309" s="3" t="s">
        <v>12208</v>
      </c>
      <c r="G1309" s="3">
        <v>64209</v>
      </c>
      <c r="H1309" s="7" t="str">
        <f>HYPERLINK("http://www.ensembl.org/Mus_musculus/Gene/Summary?db=core;g=ENSMUSG00000031770","ENSMUSG00000031770")</f>
        <v>ENSMUSG00000031770</v>
      </c>
      <c r="I1309" s="7" t="str">
        <f>HYPERLINK("http://www.informatics.jax.org/marker/MGI:1927406","MGI:1927406")</f>
        <v>MGI:1927406</v>
      </c>
      <c r="J1309" s="4" t="s">
        <v>12</v>
      </c>
    </row>
    <row r="1310" spans="1:10" x14ac:dyDescent="0.25">
      <c r="A1310" s="2">
        <v>2662.7846887188498</v>
      </c>
      <c r="B1310" s="3">
        <v>1.1131771584318999</v>
      </c>
      <c r="C1310" s="5">
        <v>7.5737714022867902E-97</v>
      </c>
      <c r="D1310" s="6">
        <v>5.7444143097344397E-95</v>
      </c>
      <c r="E1310" s="3" t="s">
        <v>532</v>
      </c>
      <c r="F1310" s="3" t="s">
        <v>533</v>
      </c>
      <c r="G1310" s="3">
        <v>56336</v>
      </c>
      <c r="H1310" s="7" t="str">
        <f>HYPERLINK("http://www.ensembl.org/Mus_musculus/Gene/Summary?db=core;g=ENSMUSG00000017929","ENSMUSG00000017929")</f>
        <v>ENSMUSG00000017929</v>
      </c>
      <c r="I1310" s="7" t="str">
        <f>HYPERLINK("http://www.informatics.jax.org/marker/MGI:1927169","MGI:1927169")</f>
        <v>MGI:1927169</v>
      </c>
      <c r="J1310" s="4" t="s">
        <v>12</v>
      </c>
    </row>
    <row r="1311" spans="1:10" x14ac:dyDescent="0.25">
      <c r="A1311" s="2">
        <v>5549.5424177965997</v>
      </c>
      <c r="B1311" s="3">
        <v>1.1110360928860501</v>
      </c>
      <c r="C1311" s="5">
        <v>5.7822237226892901E-34</v>
      </c>
      <c r="D1311" s="6">
        <v>9.6549916859807603E-33</v>
      </c>
      <c r="E1311" s="3" t="s">
        <v>2379</v>
      </c>
      <c r="F1311" s="3" t="s">
        <v>2380</v>
      </c>
      <c r="G1311" s="3">
        <v>50934</v>
      </c>
      <c r="H1311" s="7" t="str">
        <f>HYPERLINK("http://www.ensembl.org/Mus_musculus/Gene/Summary?db=core;g=ENSMUSG00000022180","ENSMUSG00000022180")</f>
        <v>ENSMUSG00000022180</v>
      </c>
      <c r="I1311" s="7" t="str">
        <f>HYPERLINK("http://www.informatics.jax.org/marker/MGI:1355323","MGI:1355323")</f>
        <v>MGI:1355323</v>
      </c>
      <c r="J1311" s="4" t="s">
        <v>12</v>
      </c>
    </row>
    <row r="1312" spans="1:10" x14ac:dyDescent="0.25">
      <c r="A1312" s="2">
        <v>0.98542749351823999</v>
      </c>
      <c r="B1312" s="3">
        <v>1.1064654590584799</v>
      </c>
      <c r="C1312" s="3">
        <v>1.27311616767677E-2</v>
      </c>
      <c r="D1312" s="4">
        <v>3.10178537516504E-2</v>
      </c>
      <c r="E1312" s="3" t="s">
        <v>16193</v>
      </c>
      <c r="F1312" s="3" t="s">
        <v>16194</v>
      </c>
      <c r="G1312" s="3">
        <v>16185</v>
      </c>
      <c r="H1312" s="7" t="str">
        <f>HYPERLINK("http://www.ensembl.org/Mus_musculus/Gene/Summary?db=core;g=ENSMUSG00000068227","ENSMUSG00000068227")</f>
        <v>ENSMUSG00000068227</v>
      </c>
      <c r="I1312" s="7" t="str">
        <f>HYPERLINK("http://www.informatics.jax.org/marker/MGI:96550","MGI:96550")</f>
        <v>MGI:96550</v>
      </c>
      <c r="J1312" s="4" t="s">
        <v>12</v>
      </c>
    </row>
    <row r="1313" spans="1:10" x14ac:dyDescent="0.25">
      <c r="A1313" s="2">
        <v>1606.8884442648</v>
      </c>
      <c r="B1313" s="3">
        <v>1.10637786753328</v>
      </c>
      <c r="C1313" s="5">
        <v>5.2949106756444602E-13</v>
      </c>
      <c r="D1313" s="6">
        <v>3.60800409549788E-12</v>
      </c>
      <c r="E1313" s="3" t="s">
        <v>5805</v>
      </c>
      <c r="F1313" s="3" t="s">
        <v>5806</v>
      </c>
      <c r="G1313" s="3">
        <v>65970</v>
      </c>
      <c r="H1313" s="7" t="str">
        <f>HYPERLINK("http://www.ensembl.org/Mus_musculus/Gene/Summary?db=core;g=ENSMUSG00000023022","ENSMUSG00000023022")</f>
        <v>ENSMUSG00000023022</v>
      </c>
      <c r="I1313" s="7" t="str">
        <f>HYPERLINK("http://www.informatics.jax.org/marker/MGI:1920992","MGI:1920992")</f>
        <v>MGI:1920992</v>
      </c>
      <c r="J1313" s="4" t="s">
        <v>12</v>
      </c>
    </row>
    <row r="1314" spans="1:10" x14ac:dyDescent="0.25">
      <c r="A1314" s="2">
        <v>1545.61107424225</v>
      </c>
      <c r="B1314" s="3">
        <v>1.1059847344129901</v>
      </c>
      <c r="C1314" s="5">
        <v>1.4249036277151801E-26</v>
      </c>
      <c r="D1314" s="6">
        <v>1.8535026080833301E-25</v>
      </c>
      <c r="E1314" s="3" t="s">
        <v>3050</v>
      </c>
      <c r="F1314" s="3" t="s">
        <v>3051</v>
      </c>
      <c r="G1314" s="3">
        <v>66940</v>
      </c>
      <c r="H1314" s="7" t="str">
        <f>HYPERLINK("http://www.ensembl.org/Mus_musculus/Gene/Summary?db=core;g=ENSMUSG00000025647","ENSMUSG00000025647")</f>
        <v>ENSMUSG00000025647</v>
      </c>
      <c r="I1314" s="7" t="str">
        <f>HYPERLINK("http://www.informatics.jax.org/marker/MGI:1915044","MGI:1915044")</f>
        <v>MGI:1915044</v>
      </c>
      <c r="J1314" s="4" t="s">
        <v>12</v>
      </c>
    </row>
    <row r="1315" spans="1:10" x14ac:dyDescent="0.25">
      <c r="A1315" s="2">
        <v>1.52585309982825</v>
      </c>
      <c r="B1315" s="3">
        <v>1.1054914666626801</v>
      </c>
      <c r="C1315" s="3">
        <v>1.8787922983073298E-2</v>
      </c>
      <c r="D1315" s="4">
        <v>4.4091139024896399E-2</v>
      </c>
      <c r="E1315" s="3" t="s">
        <v>16810</v>
      </c>
      <c r="F1315" s="3" t="s">
        <v>16811</v>
      </c>
      <c r="G1315" s="3">
        <v>381759</v>
      </c>
      <c r="H1315" s="7" t="str">
        <f>HYPERLINK("http://www.ensembl.org/Mus_musculus/Gene/Summary?db=core;g=ENSMUSG00000037159","ENSMUSG00000037159")</f>
        <v>ENSMUSG00000037159</v>
      </c>
      <c r="I1315" s="7" t="str">
        <f>HYPERLINK("http://www.informatics.jax.org/marker/MGI:3027899","MGI:3027899")</f>
        <v>MGI:3027899</v>
      </c>
      <c r="J1315" s="4" t="s">
        <v>12</v>
      </c>
    </row>
    <row r="1316" spans="1:10" x14ac:dyDescent="0.25">
      <c r="A1316" s="2">
        <v>305.18331921227599</v>
      </c>
      <c r="B1316" s="3">
        <v>1.10535455614503</v>
      </c>
      <c r="C1316" s="5">
        <v>4.7537717690152403E-39</v>
      </c>
      <c r="D1316" s="6">
        <v>9.3744379284980603E-38</v>
      </c>
      <c r="E1316" s="3" t="s">
        <v>2017</v>
      </c>
      <c r="F1316" s="3" t="s">
        <v>2018</v>
      </c>
      <c r="G1316" s="3">
        <v>338365</v>
      </c>
      <c r="H1316" s="7" t="str">
        <f>HYPERLINK("http://www.ensembl.org/Mus_musculus/Gene/Summary?db=core;g=ENSMUSG00000034591","ENSMUSG00000034591")</f>
        <v>ENSMUSG00000034591</v>
      </c>
      <c r="I1316" s="7" t="str">
        <f>HYPERLINK("http://www.informatics.jax.org/marker/MGI:2442940","MGI:2442940")</f>
        <v>MGI:2442940</v>
      </c>
      <c r="J1316" s="4" t="s">
        <v>12</v>
      </c>
    </row>
    <row r="1317" spans="1:10" x14ac:dyDescent="0.25">
      <c r="A1317" s="2">
        <v>94.852389637361895</v>
      </c>
      <c r="B1317" s="3">
        <v>1.1049548537714</v>
      </c>
      <c r="C1317" s="5">
        <v>1.6641398732258401E-15</v>
      </c>
      <c r="D1317" s="6">
        <v>1.31214867253153E-14</v>
      </c>
      <c r="E1317" s="3" t="s">
        <v>5019</v>
      </c>
      <c r="F1317" s="3" t="s">
        <v>5020</v>
      </c>
      <c r="G1317" s="3">
        <v>223881</v>
      </c>
      <c r="H1317" s="7" t="str">
        <f>HYPERLINK("http://www.ensembl.org/Mus_musculus/Gene/Summary?db=core;g=ENSMUSG00000054855","ENSMUSG00000054855")</f>
        <v>ENSMUSG00000054855</v>
      </c>
      <c r="I1317" s="7" t="str">
        <f>HYPERLINK("http://www.informatics.jax.org/marker/MGI:2444878","MGI:2444878")</f>
        <v>MGI:2444878</v>
      </c>
      <c r="J1317" s="4" t="s">
        <v>12</v>
      </c>
    </row>
    <row r="1318" spans="1:10" x14ac:dyDescent="0.25">
      <c r="A1318" s="2">
        <v>0.82250641213832199</v>
      </c>
      <c r="B1318" s="3">
        <v>1.10332635765257</v>
      </c>
      <c r="C1318" s="3">
        <v>1.38694916612728E-2</v>
      </c>
      <c r="D1318" s="4">
        <v>3.3522046275315499E-2</v>
      </c>
      <c r="E1318" s="3" t="s">
        <v>16323</v>
      </c>
      <c r="F1318" s="3" t="s">
        <v>16324</v>
      </c>
      <c r="G1318" s="3" t="s">
        <v>83</v>
      </c>
      <c r="H1318" s="7" t="str">
        <f>HYPERLINK("http://www.ensembl.org/Mus_musculus/Gene/Summary?db=core;g=ENSMUSG00000081440","ENSMUSG00000081440")</f>
        <v>ENSMUSG00000081440</v>
      </c>
      <c r="I1318" s="7" t="str">
        <f>HYPERLINK("http://www.informatics.jax.org/marker/MGI:3650645","MGI:3650645")</f>
        <v>MGI:3650645</v>
      </c>
      <c r="J1318" s="4" t="s">
        <v>1043</v>
      </c>
    </row>
    <row r="1319" spans="1:10" x14ac:dyDescent="0.25">
      <c r="A1319" s="2">
        <v>3389.8455793357102</v>
      </c>
      <c r="B1319" s="3">
        <v>1.10318923315523</v>
      </c>
      <c r="C1319" s="5">
        <v>9.5957629066531902E-43</v>
      </c>
      <c r="D1319" s="6">
        <v>2.11192460400894E-41</v>
      </c>
      <c r="E1319" s="3" t="s">
        <v>1808</v>
      </c>
      <c r="F1319" s="3" t="s">
        <v>1809</v>
      </c>
      <c r="G1319" s="3">
        <v>99237</v>
      </c>
      <c r="H1319" s="7" t="str">
        <f>HYPERLINK("http://www.ensembl.org/Mus_musculus/Gene/Summary?db=core;g=ENSMUSG00000068040","ENSMUSG00000068040")</f>
        <v>ENSMUSG00000068040</v>
      </c>
      <c r="I1319" s="7" t="str">
        <f>HYPERLINK("http://www.informatics.jax.org/marker/MGI:2139220","MGI:2139220")</f>
        <v>MGI:2139220</v>
      </c>
      <c r="J1319" s="4" t="s">
        <v>12</v>
      </c>
    </row>
    <row r="1320" spans="1:10" x14ac:dyDescent="0.25">
      <c r="A1320" s="2">
        <v>1.5183711875710599</v>
      </c>
      <c r="B1320" s="3">
        <v>1.10248229670535</v>
      </c>
      <c r="C1320" s="3">
        <v>1.92764622779283E-2</v>
      </c>
      <c r="D1320" s="4">
        <v>4.5151661256769997E-2</v>
      </c>
      <c r="E1320" s="3" t="s">
        <v>16842</v>
      </c>
      <c r="F1320" s="3" t="s">
        <v>16843</v>
      </c>
      <c r="G1320" s="3" t="s">
        <v>83</v>
      </c>
      <c r="H1320" s="7" t="str">
        <f>HYPERLINK("http://www.ensembl.org/Mus_musculus/Gene/Summary?db=core;g=ENSMUSG00000112204","ENSMUSG00000112204")</f>
        <v>ENSMUSG00000112204</v>
      </c>
      <c r="I1320" s="7" t="str">
        <f>HYPERLINK("http://www.informatics.jax.org/marker/MGI:6096573","MGI:6096573")</f>
        <v>MGI:6096573</v>
      </c>
      <c r="J1320" s="4" t="s">
        <v>1043</v>
      </c>
    </row>
    <row r="1321" spans="1:10" x14ac:dyDescent="0.25">
      <c r="A1321" s="2">
        <v>1.16180030469558</v>
      </c>
      <c r="B1321" s="3">
        <v>1.1019055340427599</v>
      </c>
      <c r="C1321" s="3">
        <v>1.6347456316462498E-2</v>
      </c>
      <c r="D1321" s="4">
        <v>3.8891523532469503E-2</v>
      </c>
      <c r="E1321" s="3" t="s">
        <v>16582</v>
      </c>
      <c r="F1321" s="3" t="s">
        <v>16583</v>
      </c>
      <c r="G1321" s="3" t="s">
        <v>83</v>
      </c>
      <c r="H1321" s="7" t="str">
        <f>HYPERLINK("http://www.ensembl.org/Mus_musculus/Gene/Summary?db=core;g=ENSMUSG00000116125","ENSMUSG00000116125")</f>
        <v>ENSMUSG00000116125</v>
      </c>
      <c r="I1321" s="7" t="str">
        <f>HYPERLINK("http://www.informatics.jax.org/marker/MGI:5624246","MGI:5624246")</f>
        <v>MGI:5624246</v>
      </c>
      <c r="J1321" s="4" t="s">
        <v>932</v>
      </c>
    </row>
    <row r="1322" spans="1:10" x14ac:dyDescent="0.25">
      <c r="A1322" s="2">
        <v>492.07057993022403</v>
      </c>
      <c r="B1322" s="3">
        <v>1.1017046455330599</v>
      </c>
      <c r="C1322" s="5">
        <v>6.0143436373479999E-24</v>
      </c>
      <c r="D1322" s="6">
        <v>7.0471097164885706E-23</v>
      </c>
      <c r="E1322" s="3" t="s">
        <v>3384</v>
      </c>
      <c r="F1322" s="3" t="s">
        <v>3385</v>
      </c>
      <c r="G1322" s="3">
        <v>74243</v>
      </c>
      <c r="H1322" s="7" t="str">
        <f>HYPERLINK("http://www.ensembl.org/Mus_musculus/Gene/Summary?db=core;g=ENSMUSG00000027281","ENSMUSG00000027281")</f>
        <v>ENSMUSG00000027281</v>
      </c>
      <c r="I1322" s="7" t="str">
        <f>HYPERLINK("http://www.informatics.jax.org/marker/MGI:1921493","MGI:1921493")</f>
        <v>MGI:1921493</v>
      </c>
      <c r="J1322" s="4" t="s">
        <v>12</v>
      </c>
    </row>
    <row r="1323" spans="1:10" x14ac:dyDescent="0.25">
      <c r="A1323" s="2">
        <v>2046.32667989008</v>
      </c>
      <c r="B1323" s="3">
        <v>1.10147229726267</v>
      </c>
      <c r="C1323" s="5">
        <v>3.8228481888157303E-55</v>
      </c>
      <c r="D1323" s="6">
        <v>1.17975847078946E-53</v>
      </c>
      <c r="E1323" s="3" t="s">
        <v>1294</v>
      </c>
      <c r="F1323" s="3" t="s">
        <v>1295</v>
      </c>
      <c r="G1323" s="3">
        <v>53312</v>
      </c>
      <c r="H1323" s="7" t="str">
        <f>HYPERLINK("http://www.ensembl.org/Mus_musculus/Gene/Summary?db=core;g=ENSMUSG00000028954","ENSMUSG00000028954")</f>
        <v>ENSMUSG00000028954</v>
      </c>
      <c r="I1323" s="7" t="str">
        <f>HYPERLINK("http://www.informatics.jax.org/marker/MGI:1889001","MGI:1889001")</f>
        <v>MGI:1889001</v>
      </c>
      <c r="J1323" s="4" t="s">
        <v>12</v>
      </c>
    </row>
    <row r="1324" spans="1:10" x14ac:dyDescent="0.25">
      <c r="A1324" s="2">
        <v>134.511575680276</v>
      </c>
      <c r="B1324" s="3">
        <v>1.1012528075311201</v>
      </c>
      <c r="C1324" s="5">
        <v>3.81903645114811E-18</v>
      </c>
      <c r="D1324" s="6">
        <v>3.4673756361252702E-17</v>
      </c>
      <c r="E1324" s="3" t="s">
        <v>4361</v>
      </c>
      <c r="F1324" s="3" t="s">
        <v>4362</v>
      </c>
      <c r="G1324" s="3">
        <v>213484</v>
      </c>
      <c r="H1324" s="7" t="str">
        <f>HYPERLINK("http://www.ensembl.org/Mus_musculus/Gene/Summary?db=core;g=ENSMUSG00000045211","ENSMUSG00000045211")</f>
        <v>ENSMUSG00000045211</v>
      </c>
      <c r="I1324" s="7" t="str">
        <f>HYPERLINK("http://www.informatics.jax.org/marker/MGI:2385853","MGI:2385853")</f>
        <v>MGI:2385853</v>
      </c>
      <c r="J1324" s="4" t="s">
        <v>12</v>
      </c>
    </row>
    <row r="1325" spans="1:10" x14ac:dyDescent="0.25">
      <c r="A1325" s="2">
        <v>2117.5532938016199</v>
      </c>
      <c r="B1325" s="3">
        <v>1.10091637467209</v>
      </c>
      <c r="C1325" s="5">
        <v>3.1478011910174401E-56</v>
      </c>
      <c r="D1325" s="6">
        <v>1.0109876137925699E-54</v>
      </c>
      <c r="E1325" s="3" t="s">
        <v>1244</v>
      </c>
      <c r="F1325" s="3" t="s">
        <v>1245</v>
      </c>
      <c r="G1325" s="3">
        <v>16478</v>
      </c>
      <c r="H1325" s="7" t="str">
        <f>HYPERLINK("http://www.ensembl.org/Mus_musculus/Gene/Summary?db=core;g=ENSMUSG00000071076","ENSMUSG00000071076")</f>
        <v>ENSMUSG00000071076</v>
      </c>
      <c r="I1325" s="7" t="str">
        <f>HYPERLINK("http://www.informatics.jax.org/marker/MGI:96648","MGI:96648")</f>
        <v>MGI:96648</v>
      </c>
      <c r="J1325" s="4" t="s">
        <v>12</v>
      </c>
    </row>
    <row r="1326" spans="1:10" x14ac:dyDescent="0.25">
      <c r="A1326" s="2">
        <v>2182.53052012833</v>
      </c>
      <c r="B1326" s="3">
        <v>1.1007624562579399</v>
      </c>
      <c r="C1326" s="5">
        <v>3.74818956577884E-82</v>
      </c>
      <c r="D1326" s="6">
        <v>2.2742860996048901E-80</v>
      </c>
      <c r="E1326" s="3" t="s">
        <v>662</v>
      </c>
      <c r="F1326" s="3" t="s">
        <v>663</v>
      </c>
      <c r="G1326" s="3">
        <v>30791</v>
      </c>
      <c r="H1326" s="7" t="str">
        <f>HYPERLINK("http://www.ensembl.org/Mus_musculus/Gene/Summary?db=core;g=ENSMUSG00000052310","ENSMUSG00000052310")</f>
        <v>ENSMUSG00000052310</v>
      </c>
      <c r="I1326" s="7" t="str">
        <f>HYPERLINK("http://www.informatics.jax.org/marker/MGI:1353474","MGI:1353474")</f>
        <v>MGI:1353474</v>
      </c>
      <c r="J1326" s="4" t="s">
        <v>12</v>
      </c>
    </row>
    <row r="1327" spans="1:10" x14ac:dyDescent="0.25">
      <c r="A1327" s="2">
        <v>1095.76548543235</v>
      </c>
      <c r="B1327" s="3">
        <v>1.10041593679435</v>
      </c>
      <c r="C1327" s="5">
        <v>5.6360376330665496E-76</v>
      </c>
      <c r="D1327" s="6">
        <v>2.9638043233086E-74</v>
      </c>
      <c r="E1327" s="3" t="s">
        <v>762</v>
      </c>
      <c r="F1327" s="3" t="s">
        <v>763</v>
      </c>
      <c r="G1327" s="3">
        <v>21376</v>
      </c>
      <c r="H1327" s="7" t="str">
        <f>HYPERLINK("http://www.ensembl.org/Mus_musculus/Gene/Summary?db=core;g=ENSMUSG00000011114","ENSMUSG00000011114")</f>
        <v>ENSMUSG00000011114</v>
      </c>
      <c r="I1327" s="7" t="str">
        <f>HYPERLINK("http://www.informatics.jax.org/marker/MGI:1100877","MGI:1100877")</f>
        <v>MGI:1100877</v>
      </c>
      <c r="J1327" s="4" t="s">
        <v>12</v>
      </c>
    </row>
    <row r="1328" spans="1:10" x14ac:dyDescent="0.25">
      <c r="A1328" s="2">
        <v>1537.3537980072099</v>
      </c>
      <c r="B1328" s="3">
        <v>1.10026245513609</v>
      </c>
      <c r="C1328" s="5">
        <v>3.88496840820997E-86</v>
      </c>
      <c r="D1328" s="6">
        <v>2.5036463075130902E-84</v>
      </c>
      <c r="E1328" s="3" t="s">
        <v>624</v>
      </c>
      <c r="F1328" s="3" t="s">
        <v>625</v>
      </c>
      <c r="G1328" s="3">
        <v>217684</v>
      </c>
      <c r="H1328" s="7" t="str">
        <f>HYPERLINK("http://www.ensembl.org/Mus_musculus/Gene/Summary?db=core;g=ENSMUSG00000021133","ENSMUSG00000021133")</f>
        <v>ENSMUSG00000021133</v>
      </c>
      <c r="I1328" s="7" t="str">
        <f>HYPERLINK("http://www.informatics.jax.org/marker/MGI:2444661","MGI:2444661")</f>
        <v>MGI:2444661</v>
      </c>
      <c r="J1328" s="4" t="s">
        <v>12</v>
      </c>
    </row>
    <row r="1329" spans="1:10" x14ac:dyDescent="0.25">
      <c r="A1329" s="2">
        <v>1245.1569603994701</v>
      </c>
      <c r="B1329" s="3">
        <v>1.0991429989246999</v>
      </c>
      <c r="C1329" s="5">
        <v>1.67244805712631E-83</v>
      </c>
      <c r="D1329" s="6">
        <v>1.03064611520409E-81</v>
      </c>
      <c r="E1329" s="3" t="s">
        <v>652</v>
      </c>
      <c r="F1329" s="3" t="s">
        <v>653</v>
      </c>
      <c r="G1329" s="3">
        <v>77987</v>
      </c>
      <c r="H1329" s="7" t="str">
        <f>HYPERLINK("http://www.ensembl.org/Mus_musculus/Gene/Summary?db=core;g=ENSMUSG00000038774","ENSMUSG00000038774")</f>
        <v>ENSMUSG00000038774</v>
      </c>
      <c r="I1329" s="7" t="str">
        <f>HYPERLINK("http://www.informatics.jax.org/marker/MGI:1925237","MGI:1925237")</f>
        <v>MGI:1925237</v>
      </c>
      <c r="J1329" s="4" t="s">
        <v>12</v>
      </c>
    </row>
    <row r="1330" spans="1:10" x14ac:dyDescent="0.25">
      <c r="A1330" s="2">
        <v>8.09026665978352</v>
      </c>
      <c r="B1330" s="3">
        <v>1.0991211100532601</v>
      </c>
      <c r="C1330" s="3">
        <v>5.7182484031874196E-3</v>
      </c>
      <c r="D1330" s="4">
        <v>1.49415474375058E-2</v>
      </c>
      <c r="E1330" s="3" t="s">
        <v>15096</v>
      </c>
      <c r="F1330" s="3" t="s">
        <v>15097</v>
      </c>
      <c r="G1330" s="3">
        <v>237979</v>
      </c>
      <c r="H1330" s="7" t="str">
        <f>HYPERLINK("http://www.ensembl.org/Mus_musculus/Gene/Summary?db=core;g=ENSMUSG00000041592","ENSMUSG00000041592")</f>
        <v>ENSMUSG00000041592</v>
      </c>
      <c r="I1330" s="7" t="str">
        <f>HYPERLINK("http://www.informatics.jax.org/marker/MGI:2443847","MGI:2443847")</f>
        <v>MGI:2443847</v>
      </c>
      <c r="J1330" s="4" t="s">
        <v>12</v>
      </c>
    </row>
    <row r="1331" spans="1:10" x14ac:dyDescent="0.25">
      <c r="A1331" s="2">
        <v>7.1700256176458197</v>
      </c>
      <c r="B1331" s="3">
        <v>1.0981780662460501</v>
      </c>
      <c r="C1331" s="3">
        <v>4.9229787666689798E-3</v>
      </c>
      <c r="D1331" s="4">
        <v>1.30258340634872E-2</v>
      </c>
      <c r="E1331" s="3" t="s">
        <v>14908</v>
      </c>
      <c r="F1331" s="3" t="s">
        <v>14909</v>
      </c>
      <c r="G1331" s="3" t="s">
        <v>83</v>
      </c>
      <c r="H1331" s="7" t="str">
        <f>HYPERLINK("http://www.ensembl.org/Mus_musculus/Gene/Summary?db=core;g=ENSMUSG00000074978","ENSMUSG00000074978")</f>
        <v>ENSMUSG00000074978</v>
      </c>
      <c r="I1331" s="7" t="str">
        <f>HYPERLINK("http://www.informatics.jax.org/marker/MGI:87907","MGI:87907")</f>
        <v>MGI:87907</v>
      </c>
      <c r="J1331" s="4" t="s">
        <v>1043</v>
      </c>
    </row>
    <row r="1332" spans="1:10" x14ac:dyDescent="0.25">
      <c r="A1332" s="2">
        <v>23.469060172570298</v>
      </c>
      <c r="B1332" s="3">
        <v>1.09423623300633</v>
      </c>
      <c r="C1332" s="5">
        <v>1.8333191046104099E-5</v>
      </c>
      <c r="D1332" s="6">
        <v>6.6925310520024502E-5</v>
      </c>
      <c r="E1332" s="3" t="s">
        <v>10816</v>
      </c>
      <c r="F1332" s="3" t="s">
        <v>10817</v>
      </c>
      <c r="G1332" s="3" t="s">
        <v>83</v>
      </c>
      <c r="H1332" s="7" t="str">
        <f>HYPERLINK("http://www.ensembl.org/Mus_musculus/Gene/Summary?db=core;g=ENSMUSG00000116508","ENSMUSG00000116508")</f>
        <v>ENSMUSG00000116508</v>
      </c>
      <c r="I1332" s="7" t="str">
        <f>HYPERLINK("http://www.informatics.jax.org/marker/MGI:6155122","MGI:6155122")</f>
        <v>MGI:6155122</v>
      </c>
      <c r="J1332" s="4" t="s">
        <v>932</v>
      </c>
    </row>
    <row r="1333" spans="1:10" x14ac:dyDescent="0.25">
      <c r="A1333" s="2">
        <v>1.53953181324661</v>
      </c>
      <c r="B1333" s="3">
        <v>1.0939586815844</v>
      </c>
      <c r="C1333" s="3">
        <v>1.8037151043741401E-2</v>
      </c>
      <c r="D1333" s="4">
        <v>4.2501209055153699E-2</v>
      </c>
      <c r="E1333" s="3" t="s">
        <v>16742</v>
      </c>
      <c r="F1333" s="3" t="s">
        <v>16743</v>
      </c>
      <c r="G1333" s="3">
        <v>109979</v>
      </c>
      <c r="H1333" s="7" t="str">
        <f>HYPERLINK("http://www.ensembl.org/Mus_musculus/Gene/Summary?db=core;g=ENSMUSG00000034842","ENSMUSG00000034842")</f>
        <v>ENSMUSG00000034842</v>
      </c>
      <c r="I1333" s="7" t="str">
        <f>HYPERLINK("http://www.informatics.jax.org/marker/MGI:1202729","MGI:1202729")</f>
        <v>MGI:1202729</v>
      </c>
      <c r="J1333" s="4" t="s">
        <v>12</v>
      </c>
    </row>
    <row r="1334" spans="1:10" x14ac:dyDescent="0.25">
      <c r="A1334" s="2">
        <v>13.926675873576899</v>
      </c>
      <c r="B1334" s="3">
        <v>1.09390671202287</v>
      </c>
      <c r="C1334" s="3">
        <v>2.1360160089989899E-4</v>
      </c>
      <c r="D1334" s="4">
        <v>6.9086913818213597E-4</v>
      </c>
      <c r="E1334" s="3" t="s">
        <v>12205</v>
      </c>
      <c r="F1334" s="3" t="s">
        <v>12206</v>
      </c>
      <c r="G1334" s="3">
        <v>215900</v>
      </c>
      <c r="H1334" s="7" t="str">
        <f>HYPERLINK("http://www.ensembl.org/Mus_musculus/Gene/Summary?db=core;g=ENSMUSG00000046031","ENSMUSG00000046031")</f>
        <v>ENSMUSG00000046031</v>
      </c>
      <c r="I1334" s="7" t="str">
        <f>HYPERLINK("http://www.informatics.jax.org/marker/MGI:2443082","MGI:2443082")</f>
        <v>MGI:2443082</v>
      </c>
      <c r="J1334" s="4" t="s">
        <v>12</v>
      </c>
    </row>
    <row r="1335" spans="1:10" x14ac:dyDescent="0.25">
      <c r="A1335" s="2">
        <v>370.00834927005002</v>
      </c>
      <c r="B1335" s="3">
        <v>1.09376862292379</v>
      </c>
      <c r="C1335" s="5">
        <v>1.8079880284374301E-60</v>
      </c>
      <c r="D1335" s="6">
        <v>6.6025044297752097E-59</v>
      </c>
      <c r="E1335" s="3" t="s">
        <v>1096</v>
      </c>
      <c r="F1335" s="3" t="s">
        <v>1097</v>
      </c>
      <c r="G1335" s="3">
        <v>226551</v>
      </c>
      <c r="H1335" s="7" t="str">
        <f>HYPERLINK("http://www.ensembl.org/Mus_musculus/Gene/Summary?db=core;g=ENSMUSG00000040297","ENSMUSG00000040297")</f>
        <v>ENSMUSG00000040297</v>
      </c>
      <c r="I1335" s="7" t="str">
        <f>HYPERLINK("http://www.informatics.jax.org/marker/MGI:2138346","MGI:2138346")</f>
        <v>MGI:2138346</v>
      </c>
      <c r="J1335" s="4" t="s">
        <v>12</v>
      </c>
    </row>
    <row r="1336" spans="1:10" x14ac:dyDescent="0.25">
      <c r="A1336" s="2">
        <v>34.963792189381003</v>
      </c>
      <c r="B1336" s="3">
        <v>1.0937426650805799</v>
      </c>
      <c r="C1336" s="5">
        <v>1.6819990165226301E-6</v>
      </c>
      <c r="D1336" s="6">
        <v>6.8039016627335903E-6</v>
      </c>
      <c r="E1336" s="3" t="s">
        <v>9765</v>
      </c>
      <c r="F1336" s="3" t="s">
        <v>9766</v>
      </c>
      <c r="G1336" s="3">
        <v>12927</v>
      </c>
      <c r="H1336" s="7" t="str">
        <f>HYPERLINK("http://www.ensembl.org/Mus_musculus/Gene/Summary?db=core;g=ENSMUSG00000031955","ENSMUSG00000031955")</f>
        <v>ENSMUSG00000031955</v>
      </c>
      <c r="I1336" s="7" t="str">
        <f>HYPERLINK("http://www.informatics.jax.org/marker/MGI:108091","MGI:108091")</f>
        <v>MGI:108091</v>
      </c>
      <c r="J1336" s="4" t="s">
        <v>12</v>
      </c>
    </row>
    <row r="1337" spans="1:10" x14ac:dyDescent="0.25">
      <c r="A1337" s="2">
        <v>965.18918624267906</v>
      </c>
      <c r="B1337" s="3">
        <v>1.09332731421191</v>
      </c>
      <c r="C1337" s="5">
        <v>5.2883216747134902E-64</v>
      </c>
      <c r="D1337" s="6">
        <v>2.1413902140728998E-62</v>
      </c>
      <c r="E1337" s="3" t="s">
        <v>989</v>
      </c>
      <c r="F1337" s="3" t="s">
        <v>990</v>
      </c>
      <c r="G1337" s="3">
        <v>19707</v>
      </c>
      <c r="H1337" s="7" t="str">
        <f>HYPERLINK("http://www.ensembl.org/Mus_musculus/Gene/Summary?db=core;g=ENSMUSG00000019854","ENSMUSG00000019854")</f>
        <v>ENSMUSG00000019854</v>
      </c>
      <c r="I1337" s="7" t="str">
        <f>HYPERLINK("http://www.informatics.jax.org/marker/MGI:1196373","MGI:1196373")</f>
        <v>MGI:1196373</v>
      </c>
      <c r="J1337" s="4" t="s">
        <v>12</v>
      </c>
    </row>
    <row r="1338" spans="1:10" x14ac:dyDescent="0.25">
      <c r="A1338" s="2">
        <v>5.1290158369995096</v>
      </c>
      <c r="B1338" s="3">
        <v>1.0926364958194701</v>
      </c>
      <c r="C1338" s="3">
        <v>1.0224193047617101E-2</v>
      </c>
      <c r="D1338" s="4">
        <v>2.53994818466881E-2</v>
      </c>
      <c r="E1338" s="3" t="s">
        <v>15881</v>
      </c>
      <c r="F1338" s="3" t="s">
        <v>15882</v>
      </c>
      <c r="G1338" s="3" t="s">
        <v>83</v>
      </c>
      <c r="H1338" s="7" t="str">
        <f>HYPERLINK("http://www.ensembl.org/Mus_musculus/Gene/Summary?db=core;g=ENSMUSG00000100396","ENSMUSG00000100396")</f>
        <v>ENSMUSG00000100396</v>
      </c>
      <c r="I1338" s="7" t="str">
        <f>HYPERLINK("http://www.informatics.jax.org/marker/MGI:5580073","MGI:5580073")</f>
        <v>MGI:5580073</v>
      </c>
      <c r="J1338" s="4" t="s">
        <v>939</v>
      </c>
    </row>
    <row r="1339" spans="1:10" x14ac:dyDescent="0.25">
      <c r="A1339" s="2">
        <v>6.2251787681947501</v>
      </c>
      <c r="B1339" s="3">
        <v>1.0917931491716999</v>
      </c>
      <c r="C1339" s="3">
        <v>4.79392072753238E-3</v>
      </c>
      <c r="D1339" s="4">
        <v>1.27133024135205E-2</v>
      </c>
      <c r="E1339" s="3" t="s">
        <v>14876</v>
      </c>
      <c r="F1339" s="3" t="s">
        <v>14877</v>
      </c>
      <c r="G1339" s="3">
        <v>245536</v>
      </c>
      <c r="H1339" s="7" t="str">
        <f>HYPERLINK("http://www.ensembl.org/Mus_musculus/Gene/Summary?db=core;g=ENSMUSG00000090141","ENSMUSG00000090141")</f>
        <v>ENSMUSG00000090141</v>
      </c>
      <c r="I1339" s="7" t="str">
        <f>HYPERLINK("http://www.informatics.jax.org/marker/MGI:2685460","MGI:2685460")</f>
        <v>MGI:2685460</v>
      </c>
      <c r="J1339" s="4" t="s">
        <v>12</v>
      </c>
    </row>
    <row r="1340" spans="1:10" x14ac:dyDescent="0.25">
      <c r="A1340" s="2">
        <v>3.4969419991597199</v>
      </c>
      <c r="B1340" s="3">
        <v>1.0917335573971001</v>
      </c>
      <c r="C1340" s="3">
        <v>1.1263444028335999E-2</v>
      </c>
      <c r="D1340" s="4">
        <v>2.7705515309814899E-2</v>
      </c>
      <c r="E1340" s="3" t="s">
        <v>16039</v>
      </c>
      <c r="F1340" s="3" t="s">
        <v>16040</v>
      </c>
      <c r="G1340" s="3">
        <v>71803</v>
      </c>
      <c r="H1340" s="7" t="str">
        <f>HYPERLINK("http://www.ensembl.org/Mus_musculus/Gene/Summary?db=core;g=ENSMUSG00000004902","ENSMUSG00000004902")</f>
        <v>ENSMUSG00000004902</v>
      </c>
      <c r="I1340" s="7" t="str">
        <f>HYPERLINK("http://www.informatics.jax.org/marker/MGI:1919053","MGI:1919053")</f>
        <v>MGI:1919053</v>
      </c>
      <c r="J1340" s="4" t="s">
        <v>12</v>
      </c>
    </row>
    <row r="1341" spans="1:10" x14ac:dyDescent="0.25">
      <c r="A1341" s="2">
        <v>1760.3859109411301</v>
      </c>
      <c r="B1341" s="3">
        <v>1.0915686979830499</v>
      </c>
      <c r="C1341" s="5">
        <v>1.6801613329578001E-95</v>
      </c>
      <c r="D1341" s="6">
        <v>1.2455932889446501E-93</v>
      </c>
      <c r="E1341" s="3" t="s">
        <v>544</v>
      </c>
      <c r="F1341" s="3" t="s">
        <v>545</v>
      </c>
      <c r="G1341" s="3">
        <v>12122</v>
      </c>
      <c r="H1341" s="7" t="str">
        <f>HYPERLINK("http://www.ensembl.org/Mus_musculus/Gene/Summary?db=core;g=ENSMUSG00000004446","ENSMUSG00000004446")</f>
        <v>ENSMUSG00000004446</v>
      </c>
      <c r="I1341" s="7" t="str">
        <f>HYPERLINK("http://www.informatics.jax.org/marker/MGI:108093","MGI:108093")</f>
        <v>MGI:108093</v>
      </c>
      <c r="J1341" s="4" t="s">
        <v>12</v>
      </c>
    </row>
    <row r="1342" spans="1:10" x14ac:dyDescent="0.25">
      <c r="A1342" s="2">
        <v>820.31334821581095</v>
      </c>
      <c r="B1342" s="3">
        <v>1.0908714532403001</v>
      </c>
      <c r="C1342" s="5">
        <v>6.3089637802988598E-39</v>
      </c>
      <c r="D1342" s="6">
        <v>1.2342536284473601E-37</v>
      </c>
      <c r="E1342" s="3" t="s">
        <v>2033</v>
      </c>
      <c r="F1342" s="3" t="s">
        <v>2034</v>
      </c>
      <c r="G1342" s="3">
        <v>68836</v>
      </c>
      <c r="H1342" s="7" t="str">
        <f>HYPERLINK("http://www.ensembl.org/Mus_musculus/Gene/Summary?db=core;g=ENSMUSG00000010406","ENSMUSG00000010406")</f>
        <v>ENSMUSG00000010406</v>
      </c>
      <c r="I1342" s="7" t="str">
        <f>HYPERLINK("http://www.informatics.jax.org/marker/MGI:1916086","MGI:1916086")</f>
        <v>MGI:1916086</v>
      </c>
      <c r="J1342" s="4" t="s">
        <v>12</v>
      </c>
    </row>
    <row r="1343" spans="1:10" x14ac:dyDescent="0.25">
      <c r="A1343" s="2">
        <v>4.8764827901271497</v>
      </c>
      <c r="B1343" s="3">
        <v>1.0895837825647801</v>
      </c>
      <c r="C1343" s="3">
        <v>9.6013931362327193E-3</v>
      </c>
      <c r="D1343" s="4">
        <v>2.3976126712233699E-2</v>
      </c>
      <c r="E1343" s="3" t="s">
        <v>15799</v>
      </c>
      <c r="F1343" s="3" t="s">
        <v>15800</v>
      </c>
      <c r="G1343" s="3">
        <v>70481</v>
      </c>
      <c r="H1343" s="7" t="str">
        <f>HYPERLINK("http://www.ensembl.org/Mus_musculus/Gene/Summary?db=core;g=ENSMUSG00000054383","ENSMUSG00000054383")</f>
        <v>ENSMUSG00000054383</v>
      </c>
      <c r="I1343" s="7" t="str">
        <f>HYPERLINK("http://www.informatics.jax.org/marker/MGI:2180564","MGI:2180564")</f>
        <v>MGI:2180564</v>
      </c>
      <c r="J1343" s="4" t="s">
        <v>12</v>
      </c>
    </row>
    <row r="1344" spans="1:10" x14ac:dyDescent="0.25">
      <c r="A1344" s="2">
        <v>1001.8568601639899</v>
      </c>
      <c r="B1344" s="3">
        <v>1.0888881464682101</v>
      </c>
      <c r="C1344" s="5">
        <v>6.4801341169342397E-42</v>
      </c>
      <c r="D1344" s="6">
        <v>1.3890026607167699E-40</v>
      </c>
      <c r="E1344" s="3" t="s">
        <v>1857</v>
      </c>
      <c r="F1344" s="3" t="s">
        <v>1858</v>
      </c>
      <c r="G1344" s="3">
        <v>26889</v>
      </c>
      <c r="H1344" s="7" t="str">
        <f>HYPERLINK("http://www.ensembl.org/Mus_musculus/Gene/Summary?db=core;g=ENSMUSG00000026317","ENSMUSG00000026317")</f>
        <v>ENSMUSG00000026317</v>
      </c>
      <c r="I1344" s="7" t="str">
        <f>HYPERLINK("http://www.informatics.jax.org/marker/MGI:1349447","MGI:1349447")</f>
        <v>MGI:1349447</v>
      </c>
      <c r="J1344" s="4" t="s">
        <v>12</v>
      </c>
    </row>
    <row r="1345" spans="1:10" x14ac:dyDescent="0.25">
      <c r="A1345" s="2">
        <v>45.507341853099199</v>
      </c>
      <c r="B1345" s="3">
        <v>1.08879003876309</v>
      </c>
      <c r="C1345" s="5">
        <v>3.0267454061819299E-6</v>
      </c>
      <c r="D1345" s="6">
        <v>1.19398718563528E-5</v>
      </c>
      <c r="E1345" s="3" t="s">
        <v>10014</v>
      </c>
      <c r="F1345" s="3" t="s">
        <v>10015</v>
      </c>
      <c r="G1345" s="3" t="s">
        <v>83</v>
      </c>
      <c r="H1345" s="7" t="str">
        <f>HYPERLINK("http://www.ensembl.org/Mus_musculus/Gene/Summary?db=core;g=ENSMUSG00000074024","ENSMUSG00000074024")</f>
        <v>ENSMUSG00000074024</v>
      </c>
      <c r="I1345" s="7" t="str">
        <f>HYPERLINK("http://www.informatics.jax.org/marker/MGI:1915436","MGI:1915436")</f>
        <v>MGI:1915436</v>
      </c>
      <c r="J1345" s="4" t="s">
        <v>3187</v>
      </c>
    </row>
    <row r="1346" spans="1:10" x14ac:dyDescent="0.25">
      <c r="A1346" s="2">
        <v>5.06389361574014</v>
      </c>
      <c r="B1346" s="3">
        <v>1.08455202024371</v>
      </c>
      <c r="C1346" s="3">
        <v>5.85577512015886E-3</v>
      </c>
      <c r="D1346" s="4">
        <v>1.52644924480546E-2</v>
      </c>
      <c r="E1346" s="3" t="s">
        <v>15134</v>
      </c>
      <c r="F1346" s="3" t="s">
        <v>15135</v>
      </c>
      <c r="G1346" s="3" t="s">
        <v>83</v>
      </c>
      <c r="H1346" s="7" t="str">
        <f>HYPERLINK("http://www.ensembl.org/Mus_musculus/Gene/Summary?db=core;g=ENSMUSG00000116238","ENSMUSG00000116238")</f>
        <v>ENSMUSG00000116238</v>
      </c>
      <c r="I1346" s="7" t="str">
        <f>HYPERLINK("http://www.informatics.jax.org/marker/MGI:6155041","MGI:6155041")</f>
        <v>MGI:6155041</v>
      </c>
      <c r="J1346" s="4" t="s">
        <v>1828</v>
      </c>
    </row>
    <row r="1347" spans="1:10" x14ac:dyDescent="0.25">
      <c r="A1347" s="2">
        <v>2.3866160407359902</v>
      </c>
      <c r="B1347" s="3">
        <v>1.0836031952509499</v>
      </c>
      <c r="C1347" s="3">
        <v>2.0184241000594599E-2</v>
      </c>
      <c r="D1347" s="4">
        <v>4.7054407439617599E-2</v>
      </c>
      <c r="E1347" s="3" t="s">
        <v>16922</v>
      </c>
      <c r="F1347" s="3" t="s">
        <v>16923</v>
      </c>
      <c r="G1347" s="3" t="s">
        <v>83</v>
      </c>
      <c r="H1347" s="7" t="str">
        <f>HYPERLINK("http://www.ensembl.org/Mus_musculus/Gene/Summary?db=core;g=ENSMUSG00000109853","ENSMUSG00000109853")</f>
        <v>ENSMUSG00000109853</v>
      </c>
      <c r="I1347" s="7" t="str">
        <f>HYPERLINK("http://www.informatics.jax.org/marker/MGI:5592204","MGI:5592204")</f>
        <v>MGI:5592204</v>
      </c>
      <c r="J1347" s="4" t="s">
        <v>939</v>
      </c>
    </row>
    <row r="1348" spans="1:10" x14ac:dyDescent="0.25">
      <c r="A1348" s="2">
        <v>0.63831327576957098</v>
      </c>
      <c r="B1348" s="3">
        <v>1.08059800746354</v>
      </c>
      <c r="C1348" s="3">
        <v>1.0175193140805099E-2</v>
      </c>
      <c r="D1348" s="4">
        <v>2.5303254569568299E-2</v>
      </c>
      <c r="E1348" s="3" t="s">
        <v>15865</v>
      </c>
      <c r="F1348" s="3" t="s">
        <v>15866</v>
      </c>
      <c r="G1348" s="3" t="s">
        <v>83</v>
      </c>
      <c r="H1348" s="7" t="str">
        <f>HYPERLINK("http://www.ensembl.org/Mus_musculus/Gene/Summary?db=core;g=ENSMUSG00000089898","ENSMUSG00000089898")</f>
        <v>ENSMUSG00000089898</v>
      </c>
      <c r="I1348" s="7" t="str">
        <f>HYPERLINK("http://www.informatics.jax.org/marker/MGI:3651370","MGI:3651370")</f>
        <v>MGI:3651370</v>
      </c>
      <c r="J1348" s="4" t="s">
        <v>932</v>
      </c>
    </row>
    <row r="1349" spans="1:10" x14ac:dyDescent="0.25">
      <c r="A1349" s="2">
        <v>2.7499280158061499</v>
      </c>
      <c r="B1349" s="3">
        <v>1.0804125117935599</v>
      </c>
      <c r="C1349" s="3">
        <v>1.8536783007397299E-2</v>
      </c>
      <c r="D1349" s="4">
        <v>4.3558789431110002E-2</v>
      </c>
      <c r="E1349" s="3" t="s">
        <v>16788</v>
      </c>
      <c r="F1349" s="3" t="s">
        <v>16789</v>
      </c>
      <c r="G1349" s="3">
        <v>72333</v>
      </c>
      <c r="H1349" s="7" t="str">
        <f>HYPERLINK("http://www.ensembl.org/Mus_musculus/Gene/Summary?db=core;g=ENSMUSG00000058056","ENSMUSG00000058056")</f>
        <v>ENSMUSG00000058056</v>
      </c>
      <c r="I1349" s="7" t="str">
        <f>HYPERLINK("http://www.informatics.jax.org/marker/MGI:1919583","MGI:1919583")</f>
        <v>MGI:1919583</v>
      </c>
      <c r="J1349" s="4" t="s">
        <v>12</v>
      </c>
    </row>
    <row r="1350" spans="1:10" x14ac:dyDescent="0.25">
      <c r="A1350" s="2">
        <v>32.208111116693203</v>
      </c>
      <c r="B1350" s="3">
        <v>1.0803081838264801</v>
      </c>
      <c r="C1350" s="5">
        <v>5.6919367755568797E-8</v>
      </c>
      <c r="D1350" s="6">
        <v>2.6320904442394101E-7</v>
      </c>
      <c r="E1350" s="3" t="s">
        <v>8547</v>
      </c>
      <c r="F1350" s="3" t="s">
        <v>8548</v>
      </c>
      <c r="G1350" s="3" t="s">
        <v>83</v>
      </c>
      <c r="H1350" s="7" t="str">
        <f>HYPERLINK("http://www.ensembl.org/Mus_musculus/Gene/Summary?db=core;g=ENSMUSG00000079575","ENSMUSG00000079575")</f>
        <v>ENSMUSG00000079575</v>
      </c>
      <c r="I1350" s="7" t="str">
        <f>HYPERLINK("http://www.informatics.jax.org/marker/MGI:96525","MGI:96525")</f>
        <v>MGI:96525</v>
      </c>
      <c r="J1350" s="4" t="s">
        <v>1043</v>
      </c>
    </row>
    <row r="1351" spans="1:10" x14ac:dyDescent="0.25">
      <c r="A1351" s="2">
        <v>0.86279284113758004</v>
      </c>
      <c r="B1351" s="3">
        <v>1.0795931952631801</v>
      </c>
      <c r="C1351" s="3">
        <v>1.31603089599798E-2</v>
      </c>
      <c r="D1351" s="4">
        <v>3.1937151450996903E-2</v>
      </c>
      <c r="E1351" s="3" t="s">
        <v>16257</v>
      </c>
      <c r="F1351" s="3" t="s">
        <v>16258</v>
      </c>
      <c r="G1351" s="3" t="s">
        <v>83</v>
      </c>
      <c r="H1351" s="7" t="str">
        <f>HYPERLINK("http://www.ensembl.org/Mus_musculus/Gene/Summary?db=core;g=ENSMUSG00000108626","ENSMUSG00000108626")</f>
        <v>ENSMUSG00000108626</v>
      </c>
      <c r="I1351" s="7" t="str">
        <f>HYPERLINK("http://www.informatics.jax.org/marker/MGI:5623342","MGI:5623342")</f>
        <v>MGI:5623342</v>
      </c>
      <c r="J1351" s="4" t="s">
        <v>939</v>
      </c>
    </row>
    <row r="1352" spans="1:10" x14ac:dyDescent="0.25">
      <c r="A1352" s="2">
        <v>176.61120114881101</v>
      </c>
      <c r="B1352" s="3">
        <v>1.0776680934298599</v>
      </c>
      <c r="C1352" s="5">
        <v>5.73182047778044E-24</v>
      </c>
      <c r="D1352" s="6">
        <v>6.72006538774258E-23</v>
      </c>
      <c r="E1352" s="3" t="s">
        <v>3382</v>
      </c>
      <c r="F1352" s="3" t="s">
        <v>3383</v>
      </c>
      <c r="G1352" s="3">
        <v>12614</v>
      </c>
      <c r="H1352" s="7" t="str">
        <f>HYPERLINK("http://www.ensembl.org/Mus_musculus/Gene/Summary?db=core;g=ENSMUSG00000016028","ENSMUSG00000016028")</f>
        <v>ENSMUSG00000016028</v>
      </c>
      <c r="I1352" s="7" t="str">
        <f>HYPERLINK("http://www.informatics.jax.org/marker/MGI:1100883","MGI:1100883")</f>
        <v>MGI:1100883</v>
      </c>
      <c r="J1352" s="4" t="s">
        <v>12</v>
      </c>
    </row>
    <row r="1353" spans="1:10" x14ac:dyDescent="0.25">
      <c r="A1353" s="2">
        <v>6.6876928855459896</v>
      </c>
      <c r="B1353" s="3">
        <v>1.07623176058006</v>
      </c>
      <c r="C1353" s="3">
        <v>5.8974199618867804E-3</v>
      </c>
      <c r="D1353" s="4">
        <v>1.5362895858442201E-2</v>
      </c>
      <c r="E1353" s="3" t="s">
        <v>15144</v>
      </c>
      <c r="F1353" s="3" t="s">
        <v>15145</v>
      </c>
      <c r="G1353" s="3" t="s">
        <v>83</v>
      </c>
      <c r="H1353" s="7" t="str">
        <f>HYPERLINK("http://www.ensembl.org/Mus_musculus/Gene/Summary?db=core;g=ENSMUSG00000097576","ENSMUSG00000097576")</f>
        <v>ENSMUSG00000097576</v>
      </c>
      <c r="I1353" s="7" t="str">
        <f>HYPERLINK("http://www.informatics.jax.org/marker/MGI:2444245","MGI:2444245")</f>
        <v>MGI:2444245</v>
      </c>
      <c r="J1353" s="4" t="s">
        <v>932</v>
      </c>
    </row>
    <row r="1354" spans="1:10" x14ac:dyDescent="0.25">
      <c r="A1354" s="2">
        <v>814.66028084490495</v>
      </c>
      <c r="B1354" s="3">
        <v>1.0760920055383001</v>
      </c>
      <c r="C1354" s="5">
        <v>8.6972166571609997E-46</v>
      </c>
      <c r="D1354" s="6">
        <v>2.0814212679516399E-44</v>
      </c>
      <c r="E1354" s="3" t="s">
        <v>1664</v>
      </c>
      <c r="F1354" s="3" t="s">
        <v>1665</v>
      </c>
      <c r="G1354" s="3">
        <v>18806</v>
      </c>
      <c r="H1354" s="7" t="str">
        <f>HYPERLINK("http://www.ensembl.org/Mus_musculus/Gene/Summary?db=core;g=ENSMUSG00000020828","ENSMUSG00000020828")</f>
        <v>ENSMUSG00000020828</v>
      </c>
      <c r="I1354" s="7" t="str">
        <f>HYPERLINK("http://www.informatics.jax.org/marker/MGI:892877","MGI:892877")</f>
        <v>MGI:892877</v>
      </c>
      <c r="J1354" s="4" t="s">
        <v>12</v>
      </c>
    </row>
    <row r="1355" spans="1:10" x14ac:dyDescent="0.25">
      <c r="A1355" s="2">
        <v>444.74630957480298</v>
      </c>
      <c r="B1355" s="3">
        <v>1.07389774147826</v>
      </c>
      <c r="C1355" s="5">
        <v>2.5549241518160102E-12</v>
      </c>
      <c r="D1355" s="6">
        <v>1.6751216354123699E-11</v>
      </c>
      <c r="E1355" s="3" t="s">
        <v>6031</v>
      </c>
      <c r="F1355" s="3" t="s">
        <v>6032</v>
      </c>
      <c r="G1355" s="3">
        <v>74152</v>
      </c>
      <c r="H1355" s="7" t="str">
        <f>HYPERLINK("http://www.ensembl.org/Mus_musculus/Gene/Summary?db=core;g=ENSMUSG00000028327","ENSMUSG00000028327")</f>
        <v>ENSMUSG00000028327</v>
      </c>
      <c r="I1355" s="7" t="str">
        <f>HYPERLINK("http://www.informatics.jax.org/marker/MGI:1921402","MGI:1921402")</f>
        <v>MGI:1921402</v>
      </c>
      <c r="J1355" s="4" t="s">
        <v>12</v>
      </c>
    </row>
    <row r="1356" spans="1:10" x14ac:dyDescent="0.25">
      <c r="A1356" s="2">
        <v>18.6553370146307</v>
      </c>
      <c r="B1356" s="3">
        <v>1.07352912710507</v>
      </c>
      <c r="C1356" s="3">
        <v>1.1604465015742E-4</v>
      </c>
      <c r="D1356" s="4">
        <v>3.88061811277653E-4</v>
      </c>
      <c r="E1356" s="3" t="s">
        <v>11805</v>
      </c>
      <c r="F1356" s="3" t="s">
        <v>11806</v>
      </c>
      <c r="G1356" s="3">
        <v>63953</v>
      </c>
      <c r="H1356" s="7" t="str">
        <f>HYPERLINK("http://www.ensembl.org/Mus_musculus/Gene/Summary?db=core;g=ENSMUSG00000039384","ENSMUSG00000039384")</f>
        <v>ENSMUSG00000039384</v>
      </c>
      <c r="I1356" s="7" t="str">
        <f>HYPERLINK("http://www.informatics.jax.org/marker/MGI:1927070","MGI:1927070")</f>
        <v>MGI:1927070</v>
      </c>
      <c r="J1356" s="4" t="s">
        <v>12</v>
      </c>
    </row>
    <row r="1357" spans="1:10" x14ac:dyDescent="0.25">
      <c r="A1357" s="2">
        <v>3484.2779358100502</v>
      </c>
      <c r="B1357" s="3">
        <v>1.0732395213544801</v>
      </c>
      <c r="C1357" s="5">
        <v>9.8047063452921801E-102</v>
      </c>
      <c r="D1357" s="6">
        <v>7.9241315216869597E-100</v>
      </c>
      <c r="E1357" s="3" t="s">
        <v>500</v>
      </c>
      <c r="F1357" s="3" t="s">
        <v>501</v>
      </c>
      <c r="G1357" s="3">
        <v>54338</v>
      </c>
      <c r="H1357" s="7" t="str">
        <f>HYPERLINK("http://www.ensembl.org/Mus_musculus/Gene/Summary?db=core;g=ENSMUSG00000027340","ENSMUSG00000027340")</f>
        <v>ENSMUSG00000027340</v>
      </c>
      <c r="I1357" s="7" t="str">
        <f>HYPERLINK("http://www.informatics.jax.org/marker/MGI:1859682","MGI:1859682")</f>
        <v>MGI:1859682</v>
      </c>
      <c r="J1357" s="4" t="s">
        <v>12</v>
      </c>
    </row>
    <row r="1358" spans="1:10" x14ac:dyDescent="0.25">
      <c r="A1358" s="2">
        <v>0.69133948184542904</v>
      </c>
      <c r="B1358" s="3">
        <v>1.0717393483643201</v>
      </c>
      <c r="C1358" s="3">
        <v>7.3167921522478401E-3</v>
      </c>
      <c r="D1358" s="4">
        <v>1.8690044202373999E-2</v>
      </c>
      <c r="E1358" s="3" t="s">
        <v>15445</v>
      </c>
      <c r="F1358" s="3" t="s">
        <v>15446</v>
      </c>
      <c r="G1358" s="3" t="s">
        <v>83</v>
      </c>
      <c r="H1358" s="7" t="str">
        <f>HYPERLINK("http://www.ensembl.org/Mus_musculus/Gene/Summary?db=core;g=ENSMUSG00000097030","ENSMUSG00000097030")</f>
        <v>ENSMUSG00000097030</v>
      </c>
      <c r="I1358" s="7" t="str">
        <f>HYPERLINK("http://www.informatics.jax.org/marker/MGI:5477187","MGI:5477187")</f>
        <v>MGI:5477187</v>
      </c>
      <c r="J1358" s="4" t="s">
        <v>932</v>
      </c>
    </row>
    <row r="1359" spans="1:10" x14ac:dyDescent="0.25">
      <c r="A1359" s="2">
        <v>12.256058382881699</v>
      </c>
      <c r="B1359" s="3">
        <v>1.0712072335242999</v>
      </c>
      <c r="C1359" s="3">
        <v>1.27000536494389E-3</v>
      </c>
      <c r="D1359" s="4">
        <v>3.6938799110167401E-3</v>
      </c>
      <c r="E1359" s="3" t="s">
        <v>13569</v>
      </c>
      <c r="F1359" s="3" t="s">
        <v>13570</v>
      </c>
      <c r="G1359" s="3" t="s">
        <v>83</v>
      </c>
      <c r="H1359" s="7" t="str">
        <f>HYPERLINK("http://www.ensembl.org/Mus_musculus/Gene/Summary?db=core;g=ENSMUSG00000104378","ENSMUSG00000104378")</f>
        <v>ENSMUSG00000104378</v>
      </c>
      <c r="I1359" s="7" t="str">
        <f>HYPERLINK("http://www.informatics.jax.org/marker/MGI:5610738","MGI:5610738")</f>
        <v>MGI:5610738</v>
      </c>
      <c r="J1359" s="4" t="s">
        <v>1828</v>
      </c>
    </row>
    <row r="1360" spans="1:10" x14ac:dyDescent="0.25">
      <c r="A1360" s="2">
        <v>1406.13528209073</v>
      </c>
      <c r="B1360" s="3">
        <v>1.070213179305</v>
      </c>
      <c r="C1360" s="5">
        <v>5.5255930681627999E-8</v>
      </c>
      <c r="D1360" s="6">
        <v>2.5584572741059003E-7</v>
      </c>
      <c r="E1360" s="3" t="s">
        <v>8535</v>
      </c>
      <c r="F1360" s="3" t="s">
        <v>8536</v>
      </c>
      <c r="G1360" s="3">
        <v>11988</v>
      </c>
      <c r="H1360" s="7" t="str">
        <f>HYPERLINK("http://www.ensembl.org/Mus_musculus/Gene/Summary?db=core;g=ENSMUSG00000031596","ENSMUSG00000031596")</f>
        <v>ENSMUSG00000031596</v>
      </c>
      <c r="I1360" s="7" t="str">
        <f>HYPERLINK("http://www.informatics.jax.org/marker/MGI:99828","MGI:99828")</f>
        <v>MGI:99828</v>
      </c>
      <c r="J1360" s="4" t="s">
        <v>12</v>
      </c>
    </row>
    <row r="1361" spans="1:10" x14ac:dyDescent="0.25">
      <c r="A1361" s="2">
        <v>709.134338062815</v>
      </c>
      <c r="B1361" s="3">
        <v>1.0701633368119901</v>
      </c>
      <c r="C1361" s="5">
        <v>2.2497018910105101E-57</v>
      </c>
      <c r="D1361" s="6">
        <v>7.4311760955992199E-56</v>
      </c>
      <c r="E1361" s="3" t="s">
        <v>1210</v>
      </c>
      <c r="F1361" s="3" t="s">
        <v>1211</v>
      </c>
      <c r="G1361" s="3">
        <v>27215</v>
      </c>
      <c r="H1361" s="7" t="str">
        <f>HYPERLINK("http://www.ensembl.org/Mus_musculus/Gene/Summary?db=core;g=ENSMUSG00000039285","ENSMUSG00000039285")</f>
        <v>ENSMUSG00000039285</v>
      </c>
      <c r="I1361" s="7" t="str">
        <f>HYPERLINK("http://www.informatics.jax.org/marker/MGI:1351332","MGI:1351332")</f>
        <v>MGI:1351332</v>
      </c>
      <c r="J1361" s="4" t="s">
        <v>12</v>
      </c>
    </row>
    <row r="1362" spans="1:10" x14ac:dyDescent="0.25">
      <c r="A1362" s="2">
        <v>350.32308893259801</v>
      </c>
      <c r="B1362" s="3">
        <v>1.0693152415092</v>
      </c>
      <c r="C1362" s="5">
        <v>3.4378073294038602E-20</v>
      </c>
      <c r="D1362" s="6">
        <v>3.4447947426750101E-19</v>
      </c>
      <c r="E1362" s="3" t="s">
        <v>3954</v>
      </c>
      <c r="F1362" s="3" t="s">
        <v>3955</v>
      </c>
      <c r="G1362" s="3">
        <v>212862</v>
      </c>
      <c r="H1362" s="7" t="str">
        <f>HYPERLINK("http://www.ensembl.org/Mus_musculus/Gene/Summary?db=core;g=ENSMUSG00000060002","ENSMUSG00000060002")</f>
        <v>ENSMUSG00000060002</v>
      </c>
      <c r="I1362" s="7" t="str">
        <f>HYPERLINK("http://www.informatics.jax.org/marker/MGI:2384841","MGI:2384841")</f>
        <v>MGI:2384841</v>
      </c>
      <c r="J1362" s="4" t="s">
        <v>12</v>
      </c>
    </row>
    <row r="1363" spans="1:10" x14ac:dyDescent="0.25">
      <c r="A1363" s="2">
        <v>2.8016918703840399</v>
      </c>
      <c r="B1363" s="3">
        <v>1.06701872311098</v>
      </c>
      <c r="C1363" s="3">
        <v>1.9989902068464099E-2</v>
      </c>
      <c r="D1363" s="4">
        <v>4.6662034657920501E-2</v>
      </c>
      <c r="E1363" s="3" t="s">
        <v>16900</v>
      </c>
      <c r="F1363" s="3" t="s">
        <v>16901</v>
      </c>
      <c r="G1363" s="3">
        <v>382083</v>
      </c>
      <c r="H1363" s="7" t="str">
        <f>HYPERLINK("http://www.ensembl.org/Mus_musculus/Gene/Summary?db=core;g=ENSMUSG00000039452","ENSMUSG00000039452")</f>
        <v>ENSMUSG00000039452</v>
      </c>
      <c r="I1363" s="7" t="str">
        <f>HYPERLINK("http://www.informatics.jax.org/marker/MGI:2685966","MGI:2685966")</f>
        <v>MGI:2685966</v>
      </c>
      <c r="J1363" s="4" t="s">
        <v>12</v>
      </c>
    </row>
    <row r="1364" spans="1:10" x14ac:dyDescent="0.25">
      <c r="A1364" s="2">
        <v>611.29038063784697</v>
      </c>
      <c r="B1364" s="3">
        <v>1.0660612358209001</v>
      </c>
      <c r="C1364" s="5">
        <v>1.7529266169855901E-22</v>
      </c>
      <c r="D1364" s="6">
        <v>1.9430979700368601E-21</v>
      </c>
      <c r="E1364" s="3" t="s">
        <v>3576</v>
      </c>
      <c r="F1364" s="3" t="s">
        <v>3577</v>
      </c>
      <c r="G1364" s="3">
        <v>16911</v>
      </c>
      <c r="H1364" s="7" t="str">
        <f>HYPERLINK("http://www.ensembl.org/Mus_musculus/Gene/Summary?db=core;g=ENSMUSG00000028266","ENSMUSG00000028266")</f>
        <v>ENSMUSG00000028266</v>
      </c>
      <c r="I1364" s="7" t="str">
        <f>HYPERLINK("http://www.informatics.jax.org/marker/MGI:109360","MGI:109360")</f>
        <v>MGI:109360</v>
      </c>
      <c r="J1364" s="4" t="s">
        <v>12</v>
      </c>
    </row>
    <row r="1365" spans="1:10" x14ac:dyDescent="0.25">
      <c r="A1365" s="2">
        <v>319.80382699146003</v>
      </c>
      <c r="B1365" s="3">
        <v>1.0635870312701701</v>
      </c>
      <c r="C1365" s="5">
        <v>1.7475804505298799E-38</v>
      </c>
      <c r="D1365" s="6">
        <v>3.37534637457877E-37</v>
      </c>
      <c r="E1365" s="3" t="s">
        <v>2059</v>
      </c>
      <c r="F1365" s="3" t="s">
        <v>2060</v>
      </c>
      <c r="G1365" s="3">
        <v>233189</v>
      </c>
      <c r="H1365" s="7" t="str">
        <f>HYPERLINK("http://www.ensembl.org/Mus_musculus/Gene/Summary?db=core;g=ENSMUSG00000038888","ENSMUSG00000038888")</f>
        <v>ENSMUSG00000038888</v>
      </c>
      <c r="I1365" s="7" t="str">
        <f>HYPERLINK("http://www.informatics.jax.org/marker/MGI:2385277","MGI:2385277")</f>
        <v>MGI:2385277</v>
      </c>
      <c r="J1365" s="4" t="s">
        <v>12</v>
      </c>
    </row>
    <row r="1366" spans="1:10" x14ac:dyDescent="0.25">
      <c r="A1366" s="2">
        <v>81.526158154109297</v>
      </c>
      <c r="B1366" s="3">
        <v>1.0634958040165901</v>
      </c>
      <c r="C1366" s="5">
        <v>5.9633147284183803E-6</v>
      </c>
      <c r="D1366" s="6">
        <v>2.2859021928499099E-5</v>
      </c>
      <c r="E1366" s="3" t="s">
        <v>10302</v>
      </c>
      <c r="F1366" s="3" t="s">
        <v>10303</v>
      </c>
      <c r="G1366" s="3">
        <v>212980</v>
      </c>
      <c r="H1366" s="7" t="str">
        <f>HYPERLINK("http://www.ensembl.org/Mus_musculus/Gene/Summary?db=core;g=ENSMUSG00000026435","ENSMUSG00000026435")</f>
        <v>ENSMUSG00000026435</v>
      </c>
      <c r="I1366" s="7" t="str">
        <f>HYPERLINK("http://www.informatics.jax.org/marker/MGI:1922082","MGI:1922082")</f>
        <v>MGI:1922082</v>
      </c>
      <c r="J1366" s="4" t="s">
        <v>12</v>
      </c>
    </row>
    <row r="1367" spans="1:10" x14ac:dyDescent="0.25">
      <c r="A1367" s="2">
        <v>6.9170670063095097</v>
      </c>
      <c r="B1367" s="3">
        <v>1.0634300326899</v>
      </c>
      <c r="C1367" s="3">
        <v>4.3114290806866903E-3</v>
      </c>
      <c r="D1367" s="4">
        <v>1.15424085624683E-2</v>
      </c>
      <c r="E1367" s="3" t="s">
        <v>14736</v>
      </c>
      <c r="F1367" s="3" t="s">
        <v>14737</v>
      </c>
      <c r="G1367" s="3">
        <v>215723</v>
      </c>
      <c r="H1367" s="7" t="str">
        <f>HYPERLINK("http://www.ensembl.org/Mus_musculus/Gene/Summary?db=core;g=ENSMUSG00000048329","ENSMUSG00000048329")</f>
        <v>ENSMUSG00000048329</v>
      </c>
      <c r="I1367" s="7" t="str">
        <f>HYPERLINK("http://www.informatics.jax.org/marker/MGI:2384904","MGI:2384904")</f>
        <v>MGI:2384904</v>
      </c>
      <c r="J1367" s="4" t="s">
        <v>12</v>
      </c>
    </row>
    <row r="1368" spans="1:10" x14ac:dyDescent="0.25">
      <c r="A1368" s="2">
        <v>1793.2442030263901</v>
      </c>
      <c r="B1368" s="3">
        <v>1.06036352125415</v>
      </c>
      <c r="C1368" s="5">
        <v>5.2274114326408603E-37</v>
      </c>
      <c r="D1368" s="6">
        <v>9.7341410247098998E-36</v>
      </c>
      <c r="E1368" s="3" t="s">
        <v>2135</v>
      </c>
      <c r="F1368" s="3" t="s">
        <v>2136</v>
      </c>
      <c r="G1368" s="3">
        <v>17060</v>
      </c>
      <c r="H1368" s="7" t="str">
        <f>HYPERLINK("http://www.ensembl.org/Mus_musculus/Gene/Summary?db=core;g=ENSMUSG00000061132","ENSMUSG00000061132")</f>
        <v>ENSMUSG00000061132</v>
      </c>
      <c r="I1368" s="7" t="str">
        <f>HYPERLINK("http://www.informatics.jax.org/marker/MGI:96878","MGI:96878")</f>
        <v>MGI:96878</v>
      </c>
      <c r="J1368" s="4" t="s">
        <v>12</v>
      </c>
    </row>
    <row r="1369" spans="1:10" x14ac:dyDescent="0.25">
      <c r="A1369" s="2">
        <v>155.12735075246999</v>
      </c>
      <c r="B1369" s="3">
        <v>1.0602804606706899</v>
      </c>
      <c r="C1369" s="5">
        <v>4.3665844840589899E-29</v>
      </c>
      <c r="D1369" s="6">
        <v>6.2397859438871898E-28</v>
      </c>
      <c r="E1369" s="3" t="s">
        <v>2778</v>
      </c>
      <c r="F1369" s="3" t="s">
        <v>2779</v>
      </c>
      <c r="G1369" s="3">
        <v>75731</v>
      </c>
      <c r="H1369" s="7" t="str">
        <f>HYPERLINK("http://www.ensembl.org/Mus_musculus/Gene/Summary?db=core;g=ENSMUSG00000050002","ENSMUSG00000050002")</f>
        <v>ENSMUSG00000050002</v>
      </c>
      <c r="I1369" s="7" t="str">
        <f>HYPERLINK("http://www.informatics.jax.org/marker/MGI:1922981","MGI:1922981")</f>
        <v>MGI:1922981</v>
      </c>
      <c r="J1369" s="4" t="s">
        <v>12</v>
      </c>
    </row>
    <row r="1370" spans="1:10" x14ac:dyDescent="0.25">
      <c r="A1370" s="2">
        <v>9.5056272065546601</v>
      </c>
      <c r="B1370" s="3">
        <v>1.06020193290209</v>
      </c>
      <c r="C1370" s="3">
        <v>1.73934326626063E-3</v>
      </c>
      <c r="D1370" s="4">
        <v>4.9587753665837203E-3</v>
      </c>
      <c r="E1370" s="3" t="s">
        <v>13841</v>
      </c>
      <c r="F1370" s="3" t="s">
        <v>13842</v>
      </c>
      <c r="G1370" s="3">
        <v>320502</v>
      </c>
      <c r="H1370" s="7" t="str">
        <f>HYPERLINK("http://www.ensembl.org/Mus_musculus/Gene/Summary?db=core;g=ENSMUSG00000044086","ENSMUSG00000044086")</f>
        <v>ENSMUSG00000044086</v>
      </c>
      <c r="I1370" s="7" t="str">
        <f>HYPERLINK("http://www.informatics.jax.org/marker/MGI:2444169","MGI:2444169")</f>
        <v>MGI:2444169</v>
      </c>
      <c r="J1370" s="4" t="s">
        <v>12</v>
      </c>
    </row>
    <row r="1371" spans="1:10" x14ac:dyDescent="0.25">
      <c r="A1371" s="2">
        <v>3.9501093934068399</v>
      </c>
      <c r="B1371" s="3">
        <v>1.05839900484754</v>
      </c>
      <c r="C1371" s="3">
        <v>1.366580787995E-2</v>
      </c>
      <c r="D1371" s="4">
        <v>3.3074341113477401E-2</v>
      </c>
      <c r="E1371" s="3" t="s">
        <v>16301</v>
      </c>
      <c r="F1371" s="3" t="s">
        <v>16302</v>
      </c>
      <c r="G1371" s="3" t="s">
        <v>83</v>
      </c>
      <c r="H1371" s="7" t="str">
        <f>HYPERLINK("http://www.ensembl.org/Mus_musculus/Gene/Summary?db=core;g=ENSMUSG00000097125","ENSMUSG00000097125")</f>
        <v>ENSMUSG00000097125</v>
      </c>
      <c r="I1371" s="7" t="str">
        <f>HYPERLINK("http://www.informatics.jax.org/marker/MGI:5477379","MGI:5477379")</f>
        <v>MGI:5477379</v>
      </c>
      <c r="J1371" s="4" t="s">
        <v>932</v>
      </c>
    </row>
    <row r="1372" spans="1:10" x14ac:dyDescent="0.25">
      <c r="A1372" s="2">
        <v>26.3967174772927</v>
      </c>
      <c r="B1372" s="3">
        <v>1.0577626917198699</v>
      </c>
      <c r="C1372" s="3">
        <v>1.7589669897521501E-3</v>
      </c>
      <c r="D1372" s="4">
        <v>5.0103754207586901E-3</v>
      </c>
      <c r="E1372" s="3" t="s">
        <v>13853</v>
      </c>
      <c r="F1372" s="3" t="s">
        <v>13854</v>
      </c>
      <c r="G1372" s="3" t="s">
        <v>83</v>
      </c>
      <c r="H1372" s="7" t="str">
        <f>HYPERLINK("http://www.ensembl.org/Mus_musculus/Gene/Summary?db=core;g=ENSMUSG00000085586","ENSMUSG00000085586")</f>
        <v>ENSMUSG00000085586</v>
      </c>
      <c r="I1372" s="7" t="str">
        <f>HYPERLINK("http://www.informatics.jax.org/marker/MGI:3651819","MGI:3651819")</f>
        <v>MGI:3651819</v>
      </c>
      <c r="J1372" s="4" t="s">
        <v>331</v>
      </c>
    </row>
    <row r="1373" spans="1:10" x14ac:dyDescent="0.25">
      <c r="A1373" s="2">
        <v>45.4830009626208</v>
      </c>
      <c r="B1373" s="3">
        <v>1.05754019264869</v>
      </c>
      <c r="C1373" s="5">
        <v>1.0309199516777801E-6</v>
      </c>
      <c r="D1373" s="6">
        <v>4.2602140501018102E-6</v>
      </c>
      <c r="E1373" s="3" t="s">
        <v>9559</v>
      </c>
      <c r="F1373" s="3" t="s">
        <v>9560</v>
      </c>
      <c r="G1373" s="3" t="s">
        <v>83</v>
      </c>
      <c r="H1373" s="7" t="str">
        <f>HYPERLINK("http://www.ensembl.org/Mus_musculus/Gene/Summary?db=core;g=ENSMUSG00000087434","ENSMUSG00000087434")</f>
        <v>ENSMUSG00000087434</v>
      </c>
      <c r="I1373" s="7" t="str">
        <f>HYPERLINK("http://www.informatics.jax.org/marker/MGI:3650027","MGI:3650027")</f>
        <v>MGI:3650027</v>
      </c>
      <c r="J1373" s="4" t="s">
        <v>932</v>
      </c>
    </row>
    <row r="1374" spans="1:10" x14ac:dyDescent="0.25">
      <c r="A1374" s="2">
        <v>65.419064593912395</v>
      </c>
      <c r="B1374" s="3">
        <v>1.0573108136957501</v>
      </c>
      <c r="C1374" s="5">
        <v>2.5701402915808801E-9</v>
      </c>
      <c r="D1374" s="6">
        <v>1.33236505126117E-8</v>
      </c>
      <c r="E1374" s="3" t="s">
        <v>7626</v>
      </c>
      <c r="F1374" s="3" t="s">
        <v>7627</v>
      </c>
      <c r="G1374" s="3">
        <v>232566</v>
      </c>
      <c r="H1374" s="7" t="str">
        <f>HYPERLINK("http://www.ensembl.org/Mus_musculus/Gene/Summary?db=core;g=ENSMUSG00000068250","ENSMUSG00000068250")</f>
        <v>ENSMUSG00000068250</v>
      </c>
      <c r="I1374" s="7" t="str">
        <f>HYPERLINK("http://www.informatics.jax.org/marker/MGI:2442933","MGI:2442933")</f>
        <v>MGI:2442933</v>
      </c>
      <c r="J1374" s="4" t="s">
        <v>12</v>
      </c>
    </row>
    <row r="1375" spans="1:10" x14ac:dyDescent="0.25">
      <c r="A1375" s="2">
        <v>791.48493522681599</v>
      </c>
      <c r="B1375" s="3">
        <v>1.0572351658859001</v>
      </c>
      <c r="C1375" s="5">
        <v>4.4152515488118401E-35</v>
      </c>
      <c r="D1375" s="6">
        <v>7.6712564354686796E-34</v>
      </c>
      <c r="E1375" s="3" t="s">
        <v>2287</v>
      </c>
      <c r="F1375" s="3" t="s">
        <v>2288</v>
      </c>
      <c r="G1375" s="3">
        <v>72123</v>
      </c>
      <c r="H1375" s="7" t="str">
        <f>HYPERLINK("http://www.ensembl.org/Mus_musculus/Gene/Summary?db=core;g=ENSMUSG00000090946","ENSMUSG00000090946")</f>
        <v>ENSMUSG00000090946</v>
      </c>
      <c r="I1375" s="7" t="str">
        <f>HYPERLINK("http://www.informatics.jax.org/marker/MGI:1919373","MGI:1919373")</f>
        <v>MGI:1919373</v>
      </c>
      <c r="J1375" s="4" t="s">
        <v>12</v>
      </c>
    </row>
    <row r="1376" spans="1:10" x14ac:dyDescent="0.25">
      <c r="A1376" s="2">
        <v>13.6425389225051</v>
      </c>
      <c r="B1376" s="3">
        <v>1.0569010453663099</v>
      </c>
      <c r="C1376" s="3">
        <v>2.0768603844290899E-4</v>
      </c>
      <c r="D1376" s="4">
        <v>6.7283861969675695E-4</v>
      </c>
      <c r="E1376" s="3" t="s">
        <v>12185</v>
      </c>
      <c r="F1376" s="3" t="s">
        <v>12186</v>
      </c>
      <c r="G1376" s="3" t="s">
        <v>83</v>
      </c>
      <c r="H1376" s="7" t="str">
        <f>HYPERLINK("http://www.ensembl.org/Mus_musculus/Gene/Summary?db=core;g=ENSMUSG00000117401","ENSMUSG00000117401")</f>
        <v>ENSMUSG00000117401</v>
      </c>
      <c r="I1376" s="7" t="str">
        <f>HYPERLINK("http://www.informatics.jax.org/marker/MGI:1921165","MGI:1921165")</f>
        <v>MGI:1921165</v>
      </c>
      <c r="J1376" s="4" t="s">
        <v>939</v>
      </c>
    </row>
    <row r="1377" spans="1:10" x14ac:dyDescent="0.25">
      <c r="A1377" s="2">
        <v>1606.73686611109</v>
      </c>
      <c r="B1377" s="3">
        <v>1.0552737790242299</v>
      </c>
      <c r="C1377" s="5">
        <v>1.43413465256125E-31</v>
      </c>
      <c r="D1377" s="6">
        <v>2.2094636991021701E-30</v>
      </c>
      <c r="E1377" s="3" t="s">
        <v>2577</v>
      </c>
      <c r="F1377" s="3" t="s">
        <v>2578</v>
      </c>
      <c r="G1377" s="3">
        <v>69104</v>
      </c>
      <c r="H1377" s="7" t="str">
        <f>HYPERLINK("http://www.ensembl.org/Mus_musculus/Gene/Summary?db=core;g=ENSMUSG00000023307","ENSMUSG00000023307")</f>
        <v>ENSMUSG00000023307</v>
      </c>
      <c r="I1377" s="7" t="str">
        <f>HYPERLINK("http://www.informatics.jax.org/marker/MGI:1915207","MGI:1915207")</f>
        <v>MGI:1915207</v>
      </c>
      <c r="J1377" s="4" t="s">
        <v>12</v>
      </c>
    </row>
    <row r="1378" spans="1:10" x14ac:dyDescent="0.25">
      <c r="A1378" s="2">
        <v>2.75383413257723</v>
      </c>
      <c r="B1378" s="3">
        <v>1.0546317281058999</v>
      </c>
      <c r="C1378" s="3">
        <v>2.0165365224815698E-2</v>
      </c>
      <c r="D1378" s="4">
        <v>4.70159614842003E-2</v>
      </c>
      <c r="E1378" s="3" t="s">
        <v>16920</v>
      </c>
      <c r="F1378" s="3" t="s">
        <v>16921</v>
      </c>
      <c r="G1378" s="3">
        <v>20190</v>
      </c>
      <c r="H1378" s="7" t="str">
        <f>HYPERLINK("http://www.ensembl.org/Mus_musculus/Gene/Summary?db=core;g=ENSMUSG00000030592","ENSMUSG00000030592")</f>
        <v>ENSMUSG00000030592</v>
      </c>
      <c r="I1378" s="7" t="str">
        <f>HYPERLINK("http://www.informatics.jax.org/marker/MGI:99659","MGI:99659")</f>
        <v>MGI:99659</v>
      </c>
      <c r="J1378" s="4" t="s">
        <v>12</v>
      </c>
    </row>
    <row r="1379" spans="1:10" x14ac:dyDescent="0.25">
      <c r="A1379" s="2">
        <v>3157.8055598333299</v>
      </c>
      <c r="B1379" s="3">
        <v>1.0522955597060699</v>
      </c>
      <c r="C1379" s="5">
        <v>3.7909909496896999E-78</v>
      </c>
      <c r="D1379" s="6">
        <v>2.0999534137045199E-76</v>
      </c>
      <c r="E1379" s="3" t="s">
        <v>724</v>
      </c>
      <c r="F1379" s="3" t="s">
        <v>725</v>
      </c>
      <c r="G1379" s="3">
        <v>108664</v>
      </c>
      <c r="H1379" s="7" t="str">
        <f>HYPERLINK("http://www.ensembl.org/Mus_musculus/Gene/Summary?db=core;g=ENSMUSG00000033793","ENSMUSG00000033793")</f>
        <v>ENSMUSG00000033793</v>
      </c>
      <c r="I1379" s="7" t="str">
        <f>HYPERLINK("http://www.informatics.jax.org/marker/MGI:1914864","MGI:1914864")</f>
        <v>MGI:1914864</v>
      </c>
      <c r="J1379" s="4" t="s">
        <v>12</v>
      </c>
    </row>
    <row r="1380" spans="1:10" x14ac:dyDescent="0.25">
      <c r="A1380" s="2">
        <v>2258.1198648043701</v>
      </c>
      <c r="B1380" s="3">
        <v>1.05074165195688</v>
      </c>
      <c r="C1380" s="5">
        <v>1.8464247129669499E-39</v>
      </c>
      <c r="D1380" s="6">
        <v>3.6853740222376898E-38</v>
      </c>
      <c r="E1380" s="3" t="s">
        <v>1993</v>
      </c>
      <c r="F1380" s="3" t="s">
        <v>1994</v>
      </c>
      <c r="G1380" s="3">
        <v>108686</v>
      </c>
      <c r="H1380" s="7" t="str">
        <f>HYPERLINK("http://www.ensembl.org/Mus_musculus/Gene/Summary?db=core;g=ENSMUSG00000032740","ENSMUSG00000032740")</f>
        <v>ENSMUSG00000032740</v>
      </c>
      <c r="I1380" s="7" t="str">
        <f>HYPERLINK("http://www.informatics.jax.org/marker/MGI:1925177","MGI:1925177")</f>
        <v>MGI:1925177</v>
      </c>
      <c r="J1380" s="4" t="s">
        <v>12</v>
      </c>
    </row>
    <row r="1381" spans="1:10" x14ac:dyDescent="0.25">
      <c r="A1381" s="2">
        <v>1406.84792989774</v>
      </c>
      <c r="B1381" s="3">
        <v>1.0506527313368901</v>
      </c>
      <c r="C1381" s="5">
        <v>6.3242433807101794E-23</v>
      </c>
      <c r="D1381" s="6">
        <v>7.1305934515497304E-22</v>
      </c>
      <c r="E1381" s="3" t="s">
        <v>3516</v>
      </c>
      <c r="F1381" s="3" t="s">
        <v>3517</v>
      </c>
      <c r="G1381" s="3">
        <v>19186</v>
      </c>
      <c r="H1381" s="7" t="str">
        <f>HYPERLINK("http://www.ensembl.org/Mus_musculus/Gene/Summary?db=core;g=ENSMUSG00000022216","ENSMUSG00000022216")</f>
        <v>ENSMUSG00000022216</v>
      </c>
      <c r="I1381" s="7" t="str">
        <f>HYPERLINK("http://www.informatics.jax.org/marker/MGI:1096367","MGI:1096367")</f>
        <v>MGI:1096367</v>
      </c>
      <c r="J1381" s="4" t="s">
        <v>12</v>
      </c>
    </row>
    <row r="1382" spans="1:10" x14ac:dyDescent="0.25">
      <c r="A1382" s="2">
        <v>120.64688392023</v>
      </c>
      <c r="B1382" s="3">
        <v>1.0500872574562901</v>
      </c>
      <c r="C1382" s="5">
        <v>9.6461528638734198E-23</v>
      </c>
      <c r="D1382" s="6">
        <v>1.0801938357500499E-21</v>
      </c>
      <c r="E1382" s="3" t="s">
        <v>3540</v>
      </c>
      <c r="F1382" s="3" t="s">
        <v>3541</v>
      </c>
      <c r="G1382" s="3">
        <v>210105</v>
      </c>
      <c r="H1382" s="7" t="str">
        <f>HYPERLINK("http://www.ensembl.org/Mus_musculus/Gene/Summary?db=core;g=ENSMUSG00000030469","ENSMUSG00000030469")</f>
        <v>ENSMUSG00000030469</v>
      </c>
      <c r="I1382" s="7" t="str">
        <f>HYPERLINK("http://www.informatics.jax.org/marker/MGI:2444708","MGI:2444708")</f>
        <v>MGI:2444708</v>
      </c>
      <c r="J1382" s="4" t="s">
        <v>12</v>
      </c>
    </row>
    <row r="1383" spans="1:10" x14ac:dyDescent="0.25">
      <c r="A1383" s="2">
        <v>1756.37553519475</v>
      </c>
      <c r="B1383" s="3">
        <v>1.0498149570965001</v>
      </c>
      <c r="C1383" s="5">
        <v>5.6711007615141399E-20</v>
      </c>
      <c r="D1383" s="6">
        <v>5.6085309436839999E-19</v>
      </c>
      <c r="E1383" s="3" t="s">
        <v>4006</v>
      </c>
      <c r="F1383" s="3" t="s">
        <v>4007</v>
      </c>
      <c r="G1383" s="3">
        <v>14457</v>
      </c>
      <c r="H1383" s="7" t="str">
        <f>HYPERLINK("http://www.ensembl.org/Mus_musculus/Gene/Summary?db=core;g=ENSMUSG00000033066","ENSMUSG00000033066")</f>
        <v>ENSMUSG00000033066</v>
      </c>
      <c r="I1383" s="7" t="str">
        <f>HYPERLINK("http://www.informatics.jax.org/marker/MGI:1202388","MGI:1202388")</f>
        <v>MGI:1202388</v>
      </c>
      <c r="J1383" s="4" t="s">
        <v>12</v>
      </c>
    </row>
    <row r="1384" spans="1:10" x14ac:dyDescent="0.25">
      <c r="A1384" s="2">
        <v>0.831912354760873</v>
      </c>
      <c r="B1384" s="3">
        <v>1.04736771655495</v>
      </c>
      <c r="C1384" s="3">
        <v>1.42005222178195E-2</v>
      </c>
      <c r="D1384" s="4">
        <v>3.4246581647964E-2</v>
      </c>
      <c r="E1384" s="3" t="s">
        <v>16359</v>
      </c>
      <c r="F1384" s="3" t="s">
        <v>16360</v>
      </c>
      <c r="G1384" s="3" t="s">
        <v>83</v>
      </c>
      <c r="H1384" s="7" t="str">
        <f>HYPERLINK("http://www.ensembl.org/Mus_musculus/Gene/Summary?db=core;g=ENSMUSG00000108713","ENSMUSG00000108713")</f>
        <v>ENSMUSG00000108713</v>
      </c>
      <c r="I1384" s="7" t="str">
        <f>HYPERLINK("http://www.informatics.jax.org/marker/MGI:5592186","MGI:5592186")</f>
        <v>MGI:5592186</v>
      </c>
      <c r="J1384" s="4" t="s">
        <v>939</v>
      </c>
    </row>
    <row r="1385" spans="1:10" x14ac:dyDescent="0.25">
      <c r="A1385" s="2">
        <v>1159.9441365174901</v>
      </c>
      <c r="B1385" s="3">
        <v>1.04693543482683</v>
      </c>
      <c r="C1385" s="5">
        <v>1.558569673251E-29</v>
      </c>
      <c r="D1385" s="6">
        <v>2.2599260262139502E-28</v>
      </c>
      <c r="E1385" s="3" t="s">
        <v>2738</v>
      </c>
      <c r="F1385" s="3" t="s">
        <v>2739</v>
      </c>
      <c r="G1385" s="3">
        <v>20498</v>
      </c>
      <c r="H1385" s="7" t="str">
        <f>HYPERLINK("http://www.ensembl.org/Mus_musculus/Gene/Summary?db=core;g=ENSMUSG00000017765","ENSMUSG00000017765")</f>
        <v>ENSMUSG00000017765</v>
      </c>
      <c r="I1385" s="7" t="str">
        <f>HYPERLINK("http://www.informatics.jax.org/marker/MGI:1309465","MGI:1309465")</f>
        <v>MGI:1309465</v>
      </c>
      <c r="J1385" s="4" t="s">
        <v>12</v>
      </c>
    </row>
    <row r="1386" spans="1:10" x14ac:dyDescent="0.25">
      <c r="A1386" s="2">
        <v>0.73271335998522502</v>
      </c>
      <c r="B1386" s="3">
        <v>1.0455499372746899</v>
      </c>
      <c r="C1386" s="3">
        <v>9.0780674254702307E-3</v>
      </c>
      <c r="D1386" s="4">
        <v>2.2761537143073499E-2</v>
      </c>
      <c r="E1386" s="3" t="s">
        <v>15735</v>
      </c>
      <c r="F1386" s="3" t="s">
        <v>15736</v>
      </c>
      <c r="G1386" s="3">
        <v>14468</v>
      </c>
      <c r="H1386" s="7" t="str">
        <f>HYPERLINK("http://www.ensembl.org/Mus_musculus/Gene/Summary?db=core;g=ENSMUSG00000040264","ENSMUSG00000040264")</f>
        <v>ENSMUSG00000040264</v>
      </c>
      <c r="I1386" s="7" t="str">
        <f>HYPERLINK("http://www.informatics.jax.org/marker/MGI:95666","MGI:95666")</f>
        <v>MGI:95666</v>
      </c>
      <c r="J1386" s="4" t="s">
        <v>12</v>
      </c>
    </row>
    <row r="1387" spans="1:10" x14ac:dyDescent="0.25">
      <c r="A1387" s="2">
        <v>29.361898505277701</v>
      </c>
      <c r="B1387" s="3">
        <v>1.0454943848970699</v>
      </c>
      <c r="C1387" s="5">
        <v>1.7713036972755401E-5</v>
      </c>
      <c r="D1387" s="6">
        <v>6.4757339470288702E-5</v>
      </c>
      <c r="E1387" s="3" t="s">
        <v>10800</v>
      </c>
      <c r="F1387" s="3" t="s">
        <v>10801</v>
      </c>
      <c r="G1387" s="3">
        <v>19411</v>
      </c>
      <c r="H1387" s="7" t="str">
        <f>HYPERLINK("http://www.ensembl.org/Mus_musculus/Gene/Summary?db=core;g=ENSMUSG00000001288","ENSMUSG00000001288")</f>
        <v>ENSMUSG00000001288</v>
      </c>
      <c r="I1387" s="7" t="str">
        <f>HYPERLINK("http://www.informatics.jax.org/marker/MGI:97858","MGI:97858")</f>
        <v>MGI:97858</v>
      </c>
      <c r="J1387" s="4" t="s">
        <v>12</v>
      </c>
    </row>
    <row r="1388" spans="1:10" x14ac:dyDescent="0.25">
      <c r="A1388" s="2">
        <v>692.99019893277898</v>
      </c>
      <c r="B1388" s="3">
        <v>1.0450279444105901</v>
      </c>
      <c r="C1388" s="5">
        <v>7.1332639811434399E-71</v>
      </c>
      <c r="D1388" s="6">
        <v>3.3492372787654402E-69</v>
      </c>
      <c r="E1388" s="3" t="s">
        <v>852</v>
      </c>
      <c r="F1388" s="3" t="s">
        <v>853</v>
      </c>
      <c r="G1388" s="3">
        <v>67222</v>
      </c>
      <c r="H1388" s="7" t="str">
        <f>HYPERLINK("http://www.ensembl.org/Mus_musculus/Gene/Summary?db=core;g=ENSMUSG00000024528","ENSMUSG00000024528")</f>
        <v>ENSMUSG00000024528</v>
      </c>
      <c r="I1388" s="7" t="str">
        <f>HYPERLINK("http://www.informatics.jax.org/marker/MGI:1914472","MGI:1914472")</f>
        <v>MGI:1914472</v>
      </c>
      <c r="J1388" s="4" t="s">
        <v>12</v>
      </c>
    </row>
    <row r="1389" spans="1:10" x14ac:dyDescent="0.25">
      <c r="A1389" s="2">
        <v>240.61646356863301</v>
      </c>
      <c r="B1389" s="3">
        <v>1.0449997099628801</v>
      </c>
      <c r="C1389" s="5">
        <v>4.6524788135175398E-33</v>
      </c>
      <c r="D1389" s="6">
        <v>7.50178922343139E-32</v>
      </c>
      <c r="E1389" s="3" t="s">
        <v>2463</v>
      </c>
      <c r="F1389" s="3" t="s">
        <v>2464</v>
      </c>
      <c r="G1389" s="3">
        <v>108900</v>
      </c>
      <c r="H1389" s="7" t="str">
        <f>HYPERLINK("http://www.ensembl.org/Mus_musculus/Gene/Summary?db=core;g=ENSMUSG00000055184","ENSMUSG00000055184")</f>
        <v>ENSMUSG00000055184</v>
      </c>
      <c r="I1389" s="7" t="str">
        <f>HYPERLINK("http://www.informatics.jax.org/marker/MGI:1919669","MGI:1919669")</f>
        <v>MGI:1919669</v>
      </c>
      <c r="J1389" s="4" t="s">
        <v>12</v>
      </c>
    </row>
    <row r="1390" spans="1:10" x14ac:dyDescent="0.25">
      <c r="A1390" s="2">
        <v>5.4276959513801</v>
      </c>
      <c r="B1390" s="3">
        <v>1.0439835974876099</v>
      </c>
      <c r="C1390" s="3">
        <v>9.91202004244837E-3</v>
      </c>
      <c r="D1390" s="4">
        <v>2.4689280691812799E-2</v>
      </c>
      <c r="E1390" s="3" t="s">
        <v>15839</v>
      </c>
      <c r="F1390" s="3" t="s">
        <v>15840</v>
      </c>
      <c r="G1390" s="3">
        <v>15450</v>
      </c>
      <c r="H1390" s="7" t="str">
        <f>HYPERLINK("http://www.ensembl.org/Mus_musculus/Gene/Summary?db=core;g=ENSMUSG00000032207","ENSMUSG00000032207")</f>
        <v>ENSMUSG00000032207</v>
      </c>
      <c r="I1390" s="7" t="str">
        <f>HYPERLINK("http://www.informatics.jax.org/marker/MGI:96216","MGI:96216")</f>
        <v>MGI:96216</v>
      </c>
      <c r="J1390" s="4" t="s">
        <v>12</v>
      </c>
    </row>
    <row r="1391" spans="1:10" x14ac:dyDescent="0.25">
      <c r="A1391" s="2">
        <v>22.523154197571898</v>
      </c>
      <c r="B1391" s="3">
        <v>1.0437296543521499</v>
      </c>
      <c r="C1391" s="5">
        <v>6.7559557351044394E-5</v>
      </c>
      <c r="D1391" s="4">
        <v>2.3206313725180201E-4</v>
      </c>
      <c r="E1391" s="3" t="s">
        <v>11493</v>
      </c>
      <c r="F1391" s="3" t="s">
        <v>11494</v>
      </c>
      <c r="G1391" s="3" t="s">
        <v>83</v>
      </c>
      <c r="H1391" s="7" t="str">
        <f>HYPERLINK("http://www.ensembl.org/Mus_musculus/Gene/Summary?db=core;g=ENSMUSG00000117171","ENSMUSG00000117171")</f>
        <v>ENSMUSG00000117171</v>
      </c>
      <c r="I1391" s="7" t="str">
        <f>HYPERLINK("http://www.informatics.jax.org/marker/MGI:2442581","MGI:2442581")</f>
        <v>MGI:2442581</v>
      </c>
      <c r="J1391" s="4" t="s">
        <v>3187</v>
      </c>
    </row>
    <row r="1392" spans="1:10" x14ac:dyDescent="0.25">
      <c r="A1392" s="2">
        <v>1619.5274331826499</v>
      </c>
      <c r="B1392" s="3">
        <v>1.0435687900469901</v>
      </c>
      <c r="C1392" s="5">
        <v>4.6605752202294501E-36</v>
      </c>
      <c r="D1392" s="6">
        <v>8.4009637424977004E-35</v>
      </c>
      <c r="E1392" s="3" t="s">
        <v>2205</v>
      </c>
      <c r="F1392" s="3" t="s">
        <v>2206</v>
      </c>
      <c r="G1392" s="3">
        <v>18720</v>
      </c>
      <c r="H1392" s="7" t="str">
        <f>HYPERLINK("http://www.ensembl.org/Mus_musculus/Gene/Summary?db=core;g=ENSMUSG00000028126","ENSMUSG00000028126")</f>
        <v>ENSMUSG00000028126</v>
      </c>
      <c r="I1392" s="7" t="str">
        <f>HYPERLINK("http://www.informatics.jax.org/marker/MGI:107929","MGI:107929")</f>
        <v>MGI:107929</v>
      </c>
      <c r="J1392" s="4" t="s">
        <v>12</v>
      </c>
    </row>
    <row r="1393" spans="1:10" x14ac:dyDescent="0.25">
      <c r="A1393" s="2">
        <v>0.93190135272930497</v>
      </c>
      <c r="B1393" s="3">
        <v>1.0425409906121099</v>
      </c>
      <c r="C1393" s="3">
        <v>1.9667577301634299E-2</v>
      </c>
      <c r="D1393" s="4">
        <v>4.5996753366725401E-2</v>
      </c>
      <c r="E1393" s="3" t="s">
        <v>16866</v>
      </c>
      <c r="F1393" s="3" t="s">
        <v>16867</v>
      </c>
      <c r="G1393" s="3" t="s">
        <v>83</v>
      </c>
      <c r="H1393" s="7" t="str">
        <f>HYPERLINK("http://www.ensembl.org/Mus_musculus/Gene/Summary?db=core;g=ENSMUSG00000115992","ENSMUSG00000115992")</f>
        <v>ENSMUSG00000115992</v>
      </c>
      <c r="I1393" s="7" t="str">
        <f>HYPERLINK("http://www.informatics.jax.org/marker/MGI:3642210","MGI:3642210")</f>
        <v>MGI:3642210</v>
      </c>
      <c r="J1393" s="4" t="s">
        <v>939</v>
      </c>
    </row>
    <row r="1394" spans="1:10" x14ac:dyDescent="0.25">
      <c r="A1394" s="2">
        <v>868.70942584039005</v>
      </c>
      <c r="B1394" s="3">
        <v>1.04140513040724</v>
      </c>
      <c r="C1394" s="5">
        <v>1.4580789837367001E-28</v>
      </c>
      <c r="D1394" s="6">
        <v>2.0363539347937501E-27</v>
      </c>
      <c r="E1394" s="3" t="s">
        <v>2842</v>
      </c>
      <c r="F1394" s="3" t="s">
        <v>2843</v>
      </c>
      <c r="G1394" s="3">
        <v>56360</v>
      </c>
      <c r="H1394" s="7" t="str">
        <f>HYPERLINK("http://www.ensembl.org/Mus_musculus/Gene/Summary?db=core;g=ENSMUSG00000025287","ENSMUSG00000025287")</f>
        <v>ENSMUSG00000025287</v>
      </c>
      <c r="I1394" s="7" t="str">
        <f>HYPERLINK("http://www.informatics.jax.org/marker/MGI:1928939","MGI:1928939")</f>
        <v>MGI:1928939</v>
      </c>
      <c r="J1394" s="4" t="s">
        <v>12</v>
      </c>
    </row>
    <row r="1395" spans="1:10" x14ac:dyDescent="0.25">
      <c r="A1395" s="2">
        <v>0.82057826064644501</v>
      </c>
      <c r="B1395" s="3">
        <v>1.04096093702716</v>
      </c>
      <c r="C1395" s="3">
        <v>1.7144727954887001E-2</v>
      </c>
      <c r="D1395" s="4">
        <v>4.0616775020467497E-2</v>
      </c>
      <c r="E1395" s="3" t="s">
        <v>16652</v>
      </c>
      <c r="F1395" s="3" t="s">
        <v>16653</v>
      </c>
      <c r="G1395" s="3">
        <v>16774</v>
      </c>
      <c r="H1395" s="7" t="str">
        <f>HYPERLINK("http://www.ensembl.org/Mus_musculus/Gene/Summary?db=core;g=ENSMUSG00000024421","ENSMUSG00000024421")</f>
        <v>ENSMUSG00000024421</v>
      </c>
      <c r="I1395" s="7" t="str">
        <f>HYPERLINK("http://www.informatics.jax.org/marker/MGI:99909","MGI:99909")</f>
        <v>MGI:99909</v>
      </c>
      <c r="J1395" s="4" t="s">
        <v>12</v>
      </c>
    </row>
    <row r="1396" spans="1:10" x14ac:dyDescent="0.25">
      <c r="A1396" s="2">
        <v>242.43953575255</v>
      </c>
      <c r="B1396" s="3">
        <v>1.04020652386112</v>
      </c>
      <c r="C1396" s="5">
        <v>2.8248659887740802E-28</v>
      </c>
      <c r="D1396" s="6">
        <v>3.9092180560438399E-27</v>
      </c>
      <c r="E1396" s="3" t="s">
        <v>2868</v>
      </c>
      <c r="F1396" s="3" t="s">
        <v>2869</v>
      </c>
      <c r="G1396" s="3">
        <v>68818</v>
      </c>
      <c r="H1396" s="7" t="str">
        <f>HYPERLINK("http://www.ensembl.org/Mus_musculus/Gene/Summary?db=core;g=ENSMUSG00000026197","ENSMUSG00000026197")</f>
        <v>ENSMUSG00000026197</v>
      </c>
      <c r="I1396" s="7" t="str">
        <f>HYPERLINK("http://www.informatics.jax.org/marker/MGI:1916068","MGI:1916068")</f>
        <v>MGI:1916068</v>
      </c>
      <c r="J1396" s="4" t="s">
        <v>12</v>
      </c>
    </row>
    <row r="1397" spans="1:10" x14ac:dyDescent="0.25">
      <c r="A1397" s="2">
        <v>0.82888131540045795</v>
      </c>
      <c r="B1397" s="3">
        <v>1.0391235542077699</v>
      </c>
      <c r="C1397" s="3">
        <v>1.4098623339364401E-2</v>
      </c>
      <c r="D1397" s="4">
        <v>3.40174785577224E-2</v>
      </c>
      <c r="E1397" s="3" t="s">
        <v>16351</v>
      </c>
      <c r="F1397" s="3" t="s">
        <v>16352</v>
      </c>
      <c r="G1397" s="3" t="s">
        <v>83</v>
      </c>
      <c r="H1397" s="7" t="str">
        <f>HYPERLINK("http://www.ensembl.org/Mus_musculus/Gene/Summary?db=core;g=ENSMUSG00000104654","ENSMUSG00000104654")</f>
        <v>ENSMUSG00000104654</v>
      </c>
      <c r="I1397" s="7" t="str">
        <f>HYPERLINK("http://www.informatics.jax.org/marker/MGI:5663951","MGI:5663951")</f>
        <v>MGI:5663951</v>
      </c>
      <c r="J1397" s="4" t="s">
        <v>1828</v>
      </c>
    </row>
    <row r="1398" spans="1:10" x14ac:dyDescent="0.25">
      <c r="A1398" s="2">
        <v>24.295689538565401</v>
      </c>
      <c r="B1398" s="3">
        <v>1.0383080319893401</v>
      </c>
      <c r="C1398" s="5">
        <v>6.8717055008653101E-6</v>
      </c>
      <c r="D1398" s="6">
        <v>2.6180454497114399E-5</v>
      </c>
      <c r="E1398" s="3" t="s">
        <v>10366</v>
      </c>
      <c r="F1398" s="3" t="s">
        <v>10367</v>
      </c>
      <c r="G1398" s="3" t="s">
        <v>83</v>
      </c>
      <c r="H1398" s="7" t="str">
        <f>HYPERLINK("http://www.ensembl.org/Mus_musculus/Gene/Summary?db=core;g=ENSMUSG00000107019","ENSMUSG00000107019")</f>
        <v>ENSMUSG00000107019</v>
      </c>
      <c r="I1398" s="7" t="str">
        <f>HYPERLINK("http://www.informatics.jax.org/marker/MGI:5663819","MGI:5663819")</f>
        <v>MGI:5663819</v>
      </c>
      <c r="J1398" s="4" t="s">
        <v>1828</v>
      </c>
    </row>
    <row r="1399" spans="1:10" x14ac:dyDescent="0.25">
      <c r="A1399" s="2">
        <v>1625.75510913318</v>
      </c>
      <c r="B1399" s="3">
        <v>1.03711154342979</v>
      </c>
      <c r="C1399" s="5">
        <v>2.7596775892886902E-57</v>
      </c>
      <c r="D1399" s="6">
        <v>9.1004752609988206E-56</v>
      </c>
      <c r="E1399" s="3" t="s">
        <v>1212</v>
      </c>
      <c r="F1399" s="3" t="s">
        <v>1213</v>
      </c>
      <c r="G1399" s="3">
        <v>18611</v>
      </c>
      <c r="H1399" s="7" t="str">
        <f>HYPERLINK("http://www.ensembl.org/Mus_musculus/Gene/Summary?db=core;g=ENSMUSG00000013698","ENSMUSG00000013698")</f>
        <v>ENSMUSG00000013698</v>
      </c>
      <c r="I1399" s="7" t="str">
        <f>HYPERLINK("http://www.informatics.jax.org/marker/MGI:104799","MGI:104799")</f>
        <v>MGI:104799</v>
      </c>
      <c r="J1399" s="4" t="s">
        <v>12</v>
      </c>
    </row>
    <row r="1400" spans="1:10" x14ac:dyDescent="0.25">
      <c r="A1400" s="2">
        <v>642.69676172339302</v>
      </c>
      <c r="B1400" s="3">
        <v>1.03685995130454</v>
      </c>
      <c r="C1400" s="5">
        <v>2.1584609411573699E-21</v>
      </c>
      <c r="D1400" s="6">
        <v>2.2701253205132501E-20</v>
      </c>
      <c r="E1400" s="3" t="s">
        <v>3768</v>
      </c>
      <c r="F1400" s="3" t="s">
        <v>3769</v>
      </c>
      <c r="G1400" s="3">
        <v>268567</v>
      </c>
      <c r="H1400" s="7" t="str">
        <f>HYPERLINK("http://www.ensembl.org/Mus_musculus/Gene/Summary?db=core;g=ENSMUSG00000046157","ENSMUSG00000046157")</f>
        <v>ENSMUSG00000046157</v>
      </c>
      <c r="I1400" s="7" t="str">
        <f>HYPERLINK("http://www.informatics.jax.org/marker/MGI:2444389","MGI:2444389")</f>
        <v>MGI:2444389</v>
      </c>
      <c r="J1400" s="4" t="s">
        <v>12</v>
      </c>
    </row>
    <row r="1401" spans="1:10" x14ac:dyDescent="0.25">
      <c r="A1401" s="2">
        <v>4.0196275365716003</v>
      </c>
      <c r="B1401" s="3">
        <v>1.0358553585496899</v>
      </c>
      <c r="C1401" s="3">
        <v>1.7727161463903799E-2</v>
      </c>
      <c r="D1401" s="4">
        <v>4.1870837713281102E-2</v>
      </c>
      <c r="E1401" s="3" t="s">
        <v>16702</v>
      </c>
      <c r="F1401" s="3" t="s">
        <v>16703</v>
      </c>
      <c r="G1401" s="3" t="s">
        <v>83</v>
      </c>
      <c r="H1401" s="7" t="str">
        <f>HYPERLINK("http://www.ensembl.org/Mus_musculus/Gene/Summary?db=core;g=ENSMUSG00000101122","ENSMUSG00000101122")</f>
        <v>ENSMUSG00000101122</v>
      </c>
      <c r="I1401" s="7" t="str">
        <f>HYPERLINK("http://www.informatics.jax.org/marker/MGI:5010156","MGI:5010156")</f>
        <v>MGI:5010156</v>
      </c>
      <c r="J1401" s="4" t="s">
        <v>1043</v>
      </c>
    </row>
    <row r="1402" spans="1:10" x14ac:dyDescent="0.25">
      <c r="A1402" s="2">
        <v>136.514737921163</v>
      </c>
      <c r="B1402" s="3">
        <v>1.03578363811725</v>
      </c>
      <c r="C1402" s="5">
        <v>5.6239347535483703E-15</v>
      </c>
      <c r="D1402" s="6">
        <v>4.3170102506801803E-14</v>
      </c>
      <c r="E1402" s="3" t="s">
        <v>5155</v>
      </c>
      <c r="F1402" s="3" t="s">
        <v>5156</v>
      </c>
      <c r="G1402" s="3" t="s">
        <v>83</v>
      </c>
      <c r="H1402" s="7" t="str">
        <f>HYPERLINK("http://www.ensembl.org/Mus_musculus/Gene/Summary?db=core;g=ENSMUSG00000114046","ENSMUSG00000114046")</f>
        <v>ENSMUSG00000114046</v>
      </c>
      <c r="I1402" s="7" t="str">
        <f>HYPERLINK("http://www.informatics.jax.org/marker/MGI:6121501","MGI:6121501")</f>
        <v>MGI:6121501</v>
      </c>
      <c r="J1402" s="4" t="s">
        <v>12</v>
      </c>
    </row>
    <row r="1403" spans="1:10" x14ac:dyDescent="0.25">
      <c r="A1403" s="2">
        <v>920.01382317931996</v>
      </c>
      <c r="B1403" s="3">
        <v>1.03577718248303</v>
      </c>
      <c r="C1403" s="5">
        <v>3.34376759614678E-84</v>
      </c>
      <c r="D1403" s="6">
        <v>2.1134325960261001E-82</v>
      </c>
      <c r="E1403" s="3" t="s">
        <v>636</v>
      </c>
      <c r="F1403" s="3" t="s">
        <v>637</v>
      </c>
      <c r="G1403" s="3">
        <v>56480</v>
      </c>
      <c r="H1403" s="7" t="str">
        <f>HYPERLINK("http://www.ensembl.org/Mus_musculus/Gene/Summary?db=core;g=ENSMUSG00000020115","ENSMUSG00000020115")</f>
        <v>ENSMUSG00000020115</v>
      </c>
      <c r="I1403" s="7" t="str">
        <f>HYPERLINK("http://www.informatics.jax.org/marker/MGI:1929658","MGI:1929658")</f>
        <v>MGI:1929658</v>
      </c>
      <c r="J1403" s="4" t="s">
        <v>12</v>
      </c>
    </row>
    <row r="1404" spans="1:10" x14ac:dyDescent="0.25">
      <c r="A1404" s="2">
        <v>777.91249998589501</v>
      </c>
      <c r="B1404" s="3">
        <v>1.03504955189279</v>
      </c>
      <c r="C1404" s="5">
        <v>3.8914743553340098E-24</v>
      </c>
      <c r="D1404" s="6">
        <v>4.6062349512116801E-23</v>
      </c>
      <c r="E1404" s="3" t="s">
        <v>3352</v>
      </c>
      <c r="F1404" s="3" t="s">
        <v>3353</v>
      </c>
      <c r="G1404" s="3">
        <v>12226</v>
      </c>
      <c r="H1404" s="7" t="str">
        <f>HYPERLINK("http://www.ensembl.org/Mus_musculus/Gene/Summary?db=core;g=ENSMUSG00000036478","ENSMUSG00000036478")</f>
        <v>ENSMUSG00000036478</v>
      </c>
      <c r="I1404" s="7" t="str">
        <f>HYPERLINK("http://www.informatics.jax.org/marker/MGI:88215","MGI:88215")</f>
        <v>MGI:88215</v>
      </c>
      <c r="J1404" s="4" t="s">
        <v>12</v>
      </c>
    </row>
    <row r="1405" spans="1:10" x14ac:dyDescent="0.25">
      <c r="A1405" s="2">
        <v>1495.0119668243301</v>
      </c>
      <c r="B1405" s="3">
        <v>1.0340983551353999</v>
      </c>
      <c r="C1405" s="5">
        <v>4.5041099579390698E-56</v>
      </c>
      <c r="D1405" s="6">
        <v>1.4395631826670701E-54</v>
      </c>
      <c r="E1405" s="3" t="s">
        <v>1250</v>
      </c>
      <c r="F1405" s="3" t="s">
        <v>1251</v>
      </c>
      <c r="G1405" s="3">
        <v>16476</v>
      </c>
      <c r="H1405" s="7" t="str">
        <f>HYPERLINK("http://www.ensembl.org/Mus_musculus/Gene/Summary?db=core;g=ENSMUSG00000052684","ENSMUSG00000052684")</f>
        <v>ENSMUSG00000052684</v>
      </c>
      <c r="I1405" s="7" t="str">
        <f>HYPERLINK("http://www.informatics.jax.org/marker/MGI:96646","MGI:96646")</f>
        <v>MGI:96646</v>
      </c>
      <c r="J1405" s="4" t="s">
        <v>12</v>
      </c>
    </row>
    <row r="1406" spans="1:10" x14ac:dyDescent="0.25">
      <c r="A1406" s="2">
        <v>0.69916104961968994</v>
      </c>
      <c r="B1406" s="3">
        <v>1.0323190992961599</v>
      </c>
      <c r="C1406" s="3">
        <v>1.3175502555149E-2</v>
      </c>
      <c r="D1406" s="4">
        <v>3.1966155313427398E-2</v>
      </c>
      <c r="E1406" s="3" t="s">
        <v>16261</v>
      </c>
      <c r="F1406" s="3" t="s">
        <v>16262</v>
      </c>
      <c r="G1406" s="3" t="s">
        <v>83</v>
      </c>
      <c r="H1406" s="7" t="str">
        <f>HYPERLINK("http://www.ensembl.org/Mus_musculus/Gene/Summary?db=core;g=ENSMUSG00000054556","ENSMUSG00000054556")</f>
        <v>ENSMUSG00000054556</v>
      </c>
      <c r="I1406" s="7" t="str">
        <f>HYPERLINK("http://www.informatics.jax.org/marker/MGI:3647654","MGI:3647654")</f>
        <v>MGI:3647654</v>
      </c>
      <c r="J1406" s="4" t="s">
        <v>932</v>
      </c>
    </row>
    <row r="1407" spans="1:10" x14ac:dyDescent="0.25">
      <c r="A1407" s="2">
        <v>3.72362708640236</v>
      </c>
      <c r="B1407" s="3">
        <v>1.0321492278206501</v>
      </c>
      <c r="C1407" s="3">
        <v>2.1140962559364401E-2</v>
      </c>
      <c r="D1407" s="4">
        <v>4.9081679028804497E-2</v>
      </c>
      <c r="E1407" s="3" t="s">
        <v>16992</v>
      </c>
      <c r="F1407" s="3" t="s">
        <v>16993</v>
      </c>
      <c r="G1407" s="3" t="s">
        <v>83</v>
      </c>
      <c r="H1407" s="7" t="str">
        <f>HYPERLINK("http://www.ensembl.org/Mus_musculus/Gene/Summary?db=core;g=ENSMUSG00000109198","ENSMUSG00000109198")</f>
        <v>ENSMUSG00000109198</v>
      </c>
      <c r="I1407" s="7" t="str">
        <f>HYPERLINK("http://www.informatics.jax.org/marker/MGI:106455","MGI:106455")</f>
        <v>MGI:106455</v>
      </c>
      <c r="J1407" s="4" t="s">
        <v>1828</v>
      </c>
    </row>
    <row r="1408" spans="1:10" x14ac:dyDescent="0.25">
      <c r="A1408" s="2">
        <v>118.09889621751699</v>
      </c>
      <c r="B1408" s="3">
        <v>1.0321065494729</v>
      </c>
      <c r="C1408" s="5">
        <v>5.2960945527314499E-9</v>
      </c>
      <c r="D1408" s="6">
        <v>2.6834271474785301E-8</v>
      </c>
      <c r="E1408" s="3" t="s">
        <v>7800</v>
      </c>
      <c r="F1408" s="3" t="s">
        <v>7801</v>
      </c>
      <c r="G1408" s="3">
        <v>102634333</v>
      </c>
      <c r="H1408" s="7" t="str">
        <f>HYPERLINK("http://www.ensembl.org/Mus_musculus/Gene/Summary?db=core;g=ENSMUSG00000090066","ENSMUSG00000090066")</f>
        <v>ENSMUSG00000090066</v>
      </c>
      <c r="I1408" s="7" t="str">
        <f>HYPERLINK("http://www.informatics.jax.org/marker/MGI:1915066","MGI:1915066")</f>
        <v>MGI:1915066</v>
      </c>
      <c r="J1408" s="4" t="s">
        <v>12</v>
      </c>
    </row>
    <row r="1409" spans="1:10" x14ac:dyDescent="0.25">
      <c r="A1409" s="2">
        <v>0.69541797951171702</v>
      </c>
      <c r="B1409" s="3">
        <v>1.0320457799495799</v>
      </c>
      <c r="C1409" s="3">
        <v>1.4819018258540999E-2</v>
      </c>
      <c r="D1409" s="4">
        <v>3.5590188778276403E-2</v>
      </c>
      <c r="E1409" s="3" t="s">
        <v>16427</v>
      </c>
      <c r="F1409" s="3" t="s">
        <v>16428</v>
      </c>
      <c r="G1409" s="3">
        <v>214531</v>
      </c>
      <c r="H1409" s="7" t="str">
        <f>HYPERLINK("http://www.ensembl.org/Mus_musculus/Gene/Summary?db=core;g=ENSMUSG00000037129","ENSMUSG00000037129")</f>
        <v>ENSMUSG00000037129</v>
      </c>
      <c r="I1409" s="7" t="str">
        <f>HYPERLINK("http://www.informatics.jax.org/marker/MGI:2682935","MGI:2682935")</f>
        <v>MGI:2682935</v>
      </c>
      <c r="J1409" s="4" t="s">
        <v>12</v>
      </c>
    </row>
    <row r="1410" spans="1:10" x14ac:dyDescent="0.25">
      <c r="A1410" s="2">
        <v>10544.7762083588</v>
      </c>
      <c r="B1410" s="3">
        <v>1.0316651455419401</v>
      </c>
      <c r="C1410" s="5">
        <v>3.03261480142223E-30</v>
      </c>
      <c r="D1410" s="6">
        <v>4.5100425251920299E-29</v>
      </c>
      <c r="E1410" s="3" t="s">
        <v>2669</v>
      </c>
      <c r="F1410" s="3" t="s">
        <v>2670</v>
      </c>
      <c r="G1410" s="3">
        <v>16401</v>
      </c>
      <c r="H1410" s="7" t="str">
        <f>HYPERLINK("http://www.ensembl.org/Mus_musculus/Gene/Summary?db=core;g=ENSMUSG00000027009","ENSMUSG00000027009")</f>
        <v>ENSMUSG00000027009</v>
      </c>
      <c r="I1410" s="7" t="str">
        <f>HYPERLINK("http://www.informatics.jax.org/marker/MGI:96603","MGI:96603")</f>
        <v>MGI:96603</v>
      </c>
      <c r="J1410" s="4" t="s">
        <v>12</v>
      </c>
    </row>
    <row r="1411" spans="1:10" x14ac:dyDescent="0.25">
      <c r="A1411" s="2">
        <v>2879.2366892220698</v>
      </c>
      <c r="B1411" s="3">
        <v>1.0311139706696699</v>
      </c>
      <c r="C1411" s="5">
        <v>1.3789202671592799E-17</v>
      </c>
      <c r="D1411" s="6">
        <v>1.2177477684004001E-16</v>
      </c>
      <c r="E1411" s="3" t="s">
        <v>4483</v>
      </c>
      <c r="F1411" s="3" t="s">
        <v>4484</v>
      </c>
      <c r="G1411" s="3">
        <v>102857</v>
      </c>
      <c r="H1411" s="7" t="str">
        <f>HYPERLINK("http://www.ensembl.org/Mus_musculus/Gene/Summary?db=core;g=ENSMUSG00000019558","ENSMUSG00000019558")</f>
        <v>ENSMUSG00000019558</v>
      </c>
      <c r="I1411" s="7" t="str">
        <f>HYPERLINK("http://www.informatics.jax.org/marker/MGI:2147834","MGI:2147834")</f>
        <v>MGI:2147834</v>
      </c>
      <c r="J1411" s="4" t="s">
        <v>12</v>
      </c>
    </row>
    <row r="1412" spans="1:10" x14ac:dyDescent="0.25">
      <c r="A1412" s="2">
        <v>5297.5647342400398</v>
      </c>
      <c r="B1412" s="3">
        <v>1.02929578243602</v>
      </c>
      <c r="C1412" s="5">
        <v>4.8613816484194302E-52</v>
      </c>
      <c r="D1412" s="6">
        <v>1.3754152956503799E-50</v>
      </c>
      <c r="E1412" s="3" t="s">
        <v>1410</v>
      </c>
      <c r="F1412" s="3" t="s">
        <v>1411</v>
      </c>
      <c r="G1412" s="3">
        <v>11820</v>
      </c>
      <c r="H1412" s="7" t="str">
        <f>HYPERLINK("http://www.ensembl.org/Mus_musculus/Gene/Summary?db=core;g=ENSMUSG00000022892","ENSMUSG00000022892")</f>
        <v>ENSMUSG00000022892</v>
      </c>
      <c r="I1412" s="7" t="str">
        <f>HYPERLINK("http://www.informatics.jax.org/marker/MGI:88059","MGI:88059")</f>
        <v>MGI:88059</v>
      </c>
      <c r="J1412" s="4" t="s">
        <v>12</v>
      </c>
    </row>
    <row r="1413" spans="1:10" x14ac:dyDescent="0.25">
      <c r="A1413" s="2">
        <v>11.799821389880201</v>
      </c>
      <c r="B1413" s="3">
        <v>1.0283479760046299</v>
      </c>
      <c r="C1413" s="3">
        <v>1.2920736253611499E-3</v>
      </c>
      <c r="D1413" s="4">
        <v>3.75253194287509E-3</v>
      </c>
      <c r="E1413" s="3" t="s">
        <v>13589</v>
      </c>
      <c r="F1413" s="3" t="s">
        <v>13590</v>
      </c>
      <c r="G1413" s="3">
        <v>22165</v>
      </c>
      <c r="H1413" s="7" t="str">
        <f>HYPERLINK("http://www.ensembl.org/Mus_musculus/Gene/Summary?db=core;g=ENSMUSG00000054892","ENSMUSG00000054892")</f>
        <v>ENSMUSG00000054892</v>
      </c>
      <c r="I1413" s="7" t="str">
        <f>HYPERLINK("http://www.informatics.jax.org/marker/MGI:102960","MGI:102960")</f>
        <v>MGI:102960</v>
      </c>
      <c r="J1413" s="4" t="s">
        <v>12</v>
      </c>
    </row>
    <row r="1414" spans="1:10" x14ac:dyDescent="0.25">
      <c r="A1414" s="2">
        <v>5.7575653145224504</v>
      </c>
      <c r="B1414" s="3">
        <v>1.02756087830431</v>
      </c>
      <c r="C1414" s="3">
        <v>8.04604195600136E-3</v>
      </c>
      <c r="D1414" s="4">
        <v>2.03707725474832E-2</v>
      </c>
      <c r="E1414" s="3" t="s">
        <v>15583</v>
      </c>
      <c r="F1414" s="3" t="s">
        <v>15584</v>
      </c>
      <c r="G1414" s="3">
        <v>64833</v>
      </c>
      <c r="H1414" s="7" t="str">
        <f>HYPERLINK("http://www.ensembl.org/Mus_musculus/Gene/Summary?db=core;g=ENSMUSG00000047565","ENSMUSG00000047565")</f>
        <v>ENSMUSG00000047565</v>
      </c>
      <c r="I1414" s="7" t="str">
        <f>HYPERLINK("http://www.informatics.jax.org/marker/MGI:1928940","MGI:1928940")</f>
        <v>MGI:1928940</v>
      </c>
      <c r="J1414" s="4" t="s">
        <v>12</v>
      </c>
    </row>
    <row r="1415" spans="1:10" x14ac:dyDescent="0.25">
      <c r="A1415" s="2">
        <v>6.98911881085718</v>
      </c>
      <c r="B1415" s="3">
        <v>1.0255517386086901</v>
      </c>
      <c r="C1415" s="3">
        <v>6.6136283487523298E-3</v>
      </c>
      <c r="D1415" s="4">
        <v>1.70417811364688E-2</v>
      </c>
      <c r="E1415" s="3" t="s">
        <v>15311</v>
      </c>
      <c r="F1415" s="3" t="s">
        <v>15312</v>
      </c>
      <c r="G1415" s="3">
        <v>21924</v>
      </c>
      <c r="H1415" s="7" t="str">
        <f>HYPERLINK("http://www.ensembl.org/Mus_musculus/Gene/Summary?db=core;g=ENSMUSG00000091898","ENSMUSG00000091898")</f>
        <v>ENSMUSG00000091898</v>
      </c>
      <c r="I1415" s="7" t="str">
        <f>HYPERLINK("http://www.informatics.jax.org/marker/MGI:98779","MGI:98779")</f>
        <v>MGI:98779</v>
      </c>
      <c r="J1415" s="4" t="s">
        <v>12</v>
      </c>
    </row>
    <row r="1416" spans="1:10" x14ac:dyDescent="0.25">
      <c r="A1416" s="2">
        <v>23.6239346183709</v>
      </c>
      <c r="B1416" s="3">
        <v>1.0254377884026999</v>
      </c>
      <c r="C1416" s="5">
        <v>1.3130463379922899E-5</v>
      </c>
      <c r="D1416" s="6">
        <v>4.8634999596558903E-5</v>
      </c>
      <c r="E1416" s="3" t="s">
        <v>10660</v>
      </c>
      <c r="F1416" s="3" t="s">
        <v>10661</v>
      </c>
      <c r="G1416" s="3" t="s">
        <v>83</v>
      </c>
      <c r="H1416" s="7" t="str">
        <f>HYPERLINK("http://www.ensembl.org/Mus_musculus/Gene/Summary?db=core;g=ENSMUSG00000055833","ENSMUSG00000055833")</f>
        <v>ENSMUSG00000055833</v>
      </c>
      <c r="I1416" s="7" t="str">
        <f>HYPERLINK("http://www.informatics.jax.org/marker/MGI:1921515","MGI:1921515")</f>
        <v>MGI:1921515</v>
      </c>
      <c r="J1416" s="4" t="s">
        <v>932</v>
      </c>
    </row>
    <row r="1417" spans="1:10" x14ac:dyDescent="0.25">
      <c r="A1417" s="2">
        <v>623.27034051305804</v>
      </c>
      <c r="B1417" s="3">
        <v>1.02476124950694</v>
      </c>
      <c r="C1417" s="5">
        <v>9.5856359570873197E-17</v>
      </c>
      <c r="D1417" s="6">
        <v>8.0369362701429399E-16</v>
      </c>
      <c r="E1417" s="3" t="s">
        <v>4721</v>
      </c>
      <c r="F1417" s="3" t="s">
        <v>4722</v>
      </c>
      <c r="G1417" s="3">
        <v>231003</v>
      </c>
      <c r="H1417" s="7" t="str">
        <f>HYPERLINK("http://www.ensembl.org/Mus_musculus/Gene/Summary?db=core;g=ENSMUSG00000078485","ENSMUSG00000078485")</f>
        <v>ENSMUSG00000078485</v>
      </c>
      <c r="I1417" s="7" t="str">
        <f>HYPERLINK("http://www.informatics.jax.org/marker/MGI:2387630","MGI:2387630")</f>
        <v>MGI:2387630</v>
      </c>
      <c r="J1417" s="4" t="s">
        <v>12</v>
      </c>
    </row>
    <row r="1418" spans="1:10" x14ac:dyDescent="0.25">
      <c r="A1418" s="2">
        <v>98.418428742350301</v>
      </c>
      <c r="B1418" s="3">
        <v>1.02413085750293</v>
      </c>
      <c r="C1418" s="5">
        <v>1.51249052154218E-15</v>
      </c>
      <c r="D1418" s="6">
        <v>1.19592273796359E-14</v>
      </c>
      <c r="E1418" s="3" t="s">
        <v>5003</v>
      </c>
      <c r="F1418" s="3" t="s">
        <v>5004</v>
      </c>
      <c r="G1418" s="3">
        <v>56380</v>
      </c>
      <c r="H1418" s="7" t="str">
        <f>HYPERLINK("http://www.ensembl.org/Mus_musculus/Gene/Summary?db=core;g=ENSMUSG00000004661","ENSMUSG00000004661")</f>
        <v>ENSMUSG00000004661</v>
      </c>
      <c r="I1418" s="7" t="str">
        <f>HYPERLINK("http://www.informatics.jax.org/marker/MGI:1930768","MGI:1930768")</f>
        <v>MGI:1930768</v>
      </c>
      <c r="J1418" s="4" t="s">
        <v>12</v>
      </c>
    </row>
    <row r="1419" spans="1:10" x14ac:dyDescent="0.25">
      <c r="A1419" s="2">
        <v>46.081135377696597</v>
      </c>
      <c r="B1419" s="3">
        <v>1.02406096666036</v>
      </c>
      <c r="C1419" s="5">
        <v>1.0350370026984501E-5</v>
      </c>
      <c r="D1419" s="6">
        <v>3.8686371670230198E-5</v>
      </c>
      <c r="E1419" s="3" t="s">
        <v>10565</v>
      </c>
      <c r="F1419" s="3" t="s">
        <v>10566</v>
      </c>
      <c r="G1419" s="3">
        <v>239096</v>
      </c>
      <c r="H1419" s="7" t="str">
        <f>HYPERLINK("http://www.ensembl.org/Mus_musculus/Gene/Summary?db=core;g=ENSMUSG00000059674","ENSMUSG00000059674")</f>
        <v>ENSMUSG00000059674</v>
      </c>
      <c r="I1419" s="7" t="str">
        <f>HYPERLINK("http://www.informatics.jax.org/marker/MGI:1928330","MGI:1928330")</f>
        <v>MGI:1928330</v>
      </c>
      <c r="J1419" s="4" t="s">
        <v>12</v>
      </c>
    </row>
    <row r="1420" spans="1:10" x14ac:dyDescent="0.25">
      <c r="A1420" s="2">
        <v>46.197412531802499</v>
      </c>
      <c r="B1420" s="3">
        <v>1.0239362927409099</v>
      </c>
      <c r="C1420" s="3">
        <v>3.7434529705613798E-4</v>
      </c>
      <c r="D1420" s="4">
        <v>1.1708309687465601E-3</v>
      </c>
      <c r="E1420" s="3" t="s">
        <v>12623</v>
      </c>
      <c r="F1420" s="3" t="s">
        <v>12624</v>
      </c>
      <c r="G1420" s="3" t="s">
        <v>83</v>
      </c>
      <c r="H1420" s="7" t="str">
        <f>HYPERLINK("http://www.ensembl.org/Mus_musculus/Gene/Summary?db=core;g=ENSMUSG00000070392","ENSMUSG00000070392")</f>
        <v>ENSMUSG00000070392</v>
      </c>
      <c r="I1420" s="7" t="str">
        <f>HYPERLINK("http://www.informatics.jax.org/marker/MGI:5313081","MGI:5313081")</f>
        <v>MGI:5313081</v>
      </c>
      <c r="J1420" s="4" t="s">
        <v>331</v>
      </c>
    </row>
    <row r="1421" spans="1:10" x14ac:dyDescent="0.25">
      <c r="A1421" s="2">
        <v>5.5268462209070099</v>
      </c>
      <c r="B1421" s="3">
        <v>1.0238494370692</v>
      </c>
      <c r="C1421" s="3">
        <v>1.3976014856423901E-2</v>
      </c>
      <c r="D1421" s="4">
        <v>3.3750552653524203E-2</v>
      </c>
      <c r="E1421" s="3" t="s">
        <v>16337</v>
      </c>
      <c r="F1421" s="3" t="s">
        <v>16338</v>
      </c>
      <c r="G1421" s="3" t="s">
        <v>83</v>
      </c>
      <c r="H1421" s="7" t="str">
        <f>HYPERLINK("http://www.ensembl.org/Mus_musculus/Gene/Summary?db=core;g=ENSMUSG00000116811","ENSMUSG00000116811")</f>
        <v>ENSMUSG00000116811</v>
      </c>
      <c r="I1421" s="7" t="str">
        <f>HYPERLINK("http://www.informatics.jax.org/marker/MGI:3780125","MGI:3780125")</f>
        <v>MGI:3780125</v>
      </c>
      <c r="J1421" s="4" t="s">
        <v>1043</v>
      </c>
    </row>
    <row r="1422" spans="1:10" x14ac:dyDescent="0.25">
      <c r="A1422" s="2">
        <v>291.09665331936401</v>
      </c>
      <c r="B1422" s="3">
        <v>1.0231588597812</v>
      </c>
      <c r="C1422" s="5">
        <v>1.7774665744306501E-14</v>
      </c>
      <c r="D1422" s="6">
        <v>1.32872027474498E-13</v>
      </c>
      <c r="E1422" s="3" t="s">
        <v>5293</v>
      </c>
      <c r="F1422" s="3" t="s">
        <v>5294</v>
      </c>
      <c r="G1422" s="3">
        <v>19769</v>
      </c>
      <c r="H1422" s="7" t="str">
        <f>HYPERLINK("http://www.ensembl.org/Mus_musculus/Gene/Summary?db=core;g=ENSMUSG00000028057","ENSMUSG00000028057")</f>
        <v>ENSMUSG00000028057</v>
      </c>
      <c r="I1422" s="7" t="str">
        <f>HYPERLINK("http://www.informatics.jax.org/marker/MGI:108053","MGI:108053")</f>
        <v>MGI:108053</v>
      </c>
      <c r="J1422" s="4" t="s">
        <v>12</v>
      </c>
    </row>
    <row r="1423" spans="1:10" x14ac:dyDescent="0.25">
      <c r="A1423" s="2">
        <v>382.07429791364399</v>
      </c>
      <c r="B1423" s="3">
        <v>1.0220978291942799</v>
      </c>
      <c r="C1423" s="5">
        <v>1.0476648413771699E-17</v>
      </c>
      <c r="D1423" s="6">
        <v>9.3020939540557002E-17</v>
      </c>
      <c r="E1423" s="3" t="s">
        <v>4459</v>
      </c>
      <c r="F1423" s="3" t="s">
        <v>4460</v>
      </c>
      <c r="G1423" s="3">
        <v>328833</v>
      </c>
      <c r="H1423" s="7" t="str">
        <f>HYPERLINK("http://www.ensembl.org/Mus_musculus/Gene/Summary?db=core;g=ENSMUSG00000071068","ENSMUSG00000071068")</f>
        <v>ENSMUSG00000071068</v>
      </c>
      <c r="I1423" s="7" t="str">
        <f>HYPERLINK("http://www.informatics.jax.org/marker/MGI:2147038","MGI:2147038")</f>
        <v>MGI:2147038</v>
      </c>
      <c r="J1423" s="4" t="s">
        <v>12</v>
      </c>
    </row>
    <row r="1424" spans="1:10" x14ac:dyDescent="0.25">
      <c r="A1424" s="2">
        <v>641.67747929182804</v>
      </c>
      <c r="B1424" s="3">
        <v>1.0219242059018501</v>
      </c>
      <c r="C1424" s="5">
        <v>7.7474831700890794E-37</v>
      </c>
      <c r="D1424" s="6">
        <v>1.43455744708128E-35</v>
      </c>
      <c r="E1424" s="3" t="s">
        <v>2147</v>
      </c>
      <c r="F1424" s="3" t="s">
        <v>2148</v>
      </c>
      <c r="G1424" s="3">
        <v>58172</v>
      </c>
      <c r="H1424" s="7" t="str">
        <f>HYPERLINK("http://www.ensembl.org/Mus_musculus/Gene/Summary?db=core;g=ENSMUSG00000049800","ENSMUSG00000049800")</f>
        <v>ENSMUSG00000049800</v>
      </c>
      <c r="I1424" s="7" t="str">
        <f>HYPERLINK("http://www.informatics.jax.org/marker/MGI:1931026","MGI:1931026")</f>
        <v>MGI:1931026</v>
      </c>
      <c r="J1424" s="4" t="s">
        <v>12</v>
      </c>
    </row>
    <row r="1425" spans="1:10" x14ac:dyDescent="0.25">
      <c r="A1425" s="2">
        <v>280.27142507025297</v>
      </c>
      <c r="B1425" s="3">
        <v>1.0209933050962701</v>
      </c>
      <c r="C1425" s="3">
        <v>7.0074574832752897E-4</v>
      </c>
      <c r="D1425" s="4">
        <v>2.1090821362971402E-3</v>
      </c>
      <c r="E1425" s="3" t="s">
        <v>13113</v>
      </c>
      <c r="F1425" s="3" t="s">
        <v>13114</v>
      </c>
      <c r="G1425" s="3">
        <v>219140</v>
      </c>
      <c r="H1425" s="7" t="str">
        <f>HYPERLINK("http://www.ensembl.org/Mus_musculus/Gene/Summary?db=core;g=ENSMUSG00000021990","ENSMUSG00000021990")</f>
        <v>ENSMUSG00000021990</v>
      </c>
      <c r="I1425" s="7" t="str">
        <f>HYPERLINK("http://www.informatics.jax.org/marker/MGI:104838","MGI:104838")</f>
        <v>MGI:104838</v>
      </c>
      <c r="J1425" s="4" t="s">
        <v>12</v>
      </c>
    </row>
    <row r="1426" spans="1:10" x14ac:dyDescent="0.25">
      <c r="A1426" s="2">
        <v>206.91127438737399</v>
      </c>
      <c r="B1426" s="3">
        <v>1.0205585658038101</v>
      </c>
      <c r="C1426" s="5">
        <v>1.68189132707065E-11</v>
      </c>
      <c r="D1426" s="6">
        <v>1.0354947539754401E-10</v>
      </c>
      <c r="E1426" s="3" t="s">
        <v>6423</v>
      </c>
      <c r="F1426" s="3" t="s">
        <v>6424</v>
      </c>
      <c r="G1426" s="3">
        <v>72536</v>
      </c>
      <c r="H1426" s="7" t="str">
        <f>HYPERLINK("http://www.ensembl.org/Mus_musculus/Gene/Summary?db=core;g=ENSMUSG00000033450","ENSMUSG00000033450")</f>
        <v>ENSMUSG00000033450</v>
      </c>
      <c r="I1426" s="7" t="str">
        <f>HYPERLINK("http://www.informatics.jax.org/marker/MGI:3615484","MGI:3615484")</f>
        <v>MGI:3615484</v>
      </c>
      <c r="J1426" s="4" t="s">
        <v>12</v>
      </c>
    </row>
    <row r="1427" spans="1:10" x14ac:dyDescent="0.25">
      <c r="A1427" s="2">
        <v>878.41760998613404</v>
      </c>
      <c r="B1427" s="3">
        <v>1.0205472699962801</v>
      </c>
      <c r="C1427" s="5">
        <v>4.4686756018280304E-47</v>
      </c>
      <c r="D1427" s="6">
        <v>1.11688571442394E-45</v>
      </c>
      <c r="E1427" s="3" t="s">
        <v>1594</v>
      </c>
      <c r="F1427" s="3" t="s">
        <v>1595</v>
      </c>
      <c r="G1427" s="3">
        <v>53619</v>
      </c>
      <c r="H1427" s="7" t="str">
        <f>HYPERLINK("http://www.ensembl.org/Mus_musculus/Gene/Summary?db=core;g=ENSMUSG00000067787","ENSMUSG00000067787")</f>
        <v>ENSMUSG00000067787</v>
      </c>
      <c r="I1427" s="7" t="str">
        <f>HYPERLINK("http://www.informatics.jax.org/marker/MGI:1858907","MGI:1858907")</f>
        <v>MGI:1858907</v>
      </c>
      <c r="J1427" s="4" t="s">
        <v>12</v>
      </c>
    </row>
    <row r="1428" spans="1:10" x14ac:dyDescent="0.25">
      <c r="A1428" s="2">
        <v>8.3456405386236607</v>
      </c>
      <c r="B1428" s="3">
        <v>1.01958416429848</v>
      </c>
      <c r="C1428" s="3">
        <v>2.9489104334251698E-3</v>
      </c>
      <c r="D1428" s="4">
        <v>8.0879713139282907E-3</v>
      </c>
      <c r="E1428" s="3" t="s">
        <v>14385</v>
      </c>
      <c r="F1428" s="3" t="s">
        <v>14386</v>
      </c>
      <c r="G1428" s="3" t="s">
        <v>83</v>
      </c>
      <c r="H1428" s="7" t="str">
        <f>HYPERLINK("http://www.ensembl.org/Mus_musculus/Gene/Summary?db=core;g=ENSMUSG00000044471","ENSMUSG00000044471")</f>
        <v>ENSMUSG00000044471</v>
      </c>
      <c r="I1428" s="7" t="str">
        <f>HYPERLINK("http://www.informatics.jax.org/marker/MGI:2673128","MGI:2673128")</f>
        <v>MGI:2673128</v>
      </c>
      <c r="J1428" s="4" t="s">
        <v>939</v>
      </c>
    </row>
    <row r="1429" spans="1:10" x14ac:dyDescent="0.25">
      <c r="A1429" s="2">
        <v>0.73362236349717902</v>
      </c>
      <c r="B1429" s="3">
        <v>1.01948128734485</v>
      </c>
      <c r="C1429" s="3">
        <v>5.7127188274704198E-3</v>
      </c>
      <c r="D1429" s="4">
        <v>1.4933034898955E-2</v>
      </c>
      <c r="E1429" s="3" t="s">
        <v>15092</v>
      </c>
      <c r="F1429" s="3" t="s">
        <v>15093</v>
      </c>
      <c r="G1429" s="3">
        <v>545384</v>
      </c>
      <c r="H1429" s="7" t="str">
        <f>HYPERLINK("http://www.ensembl.org/Mus_musculus/Gene/Summary?db=core;g=ENSMUSG00000070501","ENSMUSG00000070501")</f>
        <v>ENSMUSG00000070501</v>
      </c>
      <c r="I1429" s="7" t="str">
        <f>HYPERLINK("http://www.informatics.jax.org/marker/MGI:3584522","MGI:3584522")</f>
        <v>MGI:3584522</v>
      </c>
      <c r="J1429" s="4" t="s">
        <v>12</v>
      </c>
    </row>
    <row r="1430" spans="1:10" x14ac:dyDescent="0.25">
      <c r="A1430" s="2">
        <v>239.97770803347001</v>
      </c>
      <c r="B1430" s="3">
        <v>1.0194383594510401</v>
      </c>
      <c r="C1430" s="5">
        <v>1.13579482560541E-20</v>
      </c>
      <c r="D1430" s="6">
        <v>1.1623183166029401E-19</v>
      </c>
      <c r="E1430" s="3" t="s">
        <v>3872</v>
      </c>
      <c r="F1430" s="3" t="s">
        <v>3873</v>
      </c>
      <c r="G1430" s="3">
        <v>79560</v>
      </c>
      <c r="H1430" s="7" t="str">
        <f>HYPERLINK("http://www.ensembl.org/Mus_musculus/Gene/Summary?db=core;g=ENSMUSG00000041231","ENSMUSG00000041231")</f>
        <v>ENSMUSG00000041231</v>
      </c>
      <c r="I1430" s="7" t="str">
        <f>HYPERLINK("http://www.informatics.jax.org/marker/MGI:1933105","MGI:1933105")</f>
        <v>MGI:1933105</v>
      </c>
      <c r="J1430" s="4" t="s">
        <v>12</v>
      </c>
    </row>
    <row r="1431" spans="1:10" x14ac:dyDescent="0.25">
      <c r="A1431" s="2">
        <v>2271.19427940279</v>
      </c>
      <c r="B1431" s="3">
        <v>1.0186754380919101</v>
      </c>
      <c r="C1431" s="5">
        <v>2.08390097967243E-66</v>
      </c>
      <c r="D1431" s="6">
        <v>8.8757078443067508E-65</v>
      </c>
      <c r="E1431" s="3" t="s">
        <v>940</v>
      </c>
      <c r="F1431" s="3" t="s">
        <v>941</v>
      </c>
      <c r="G1431" s="3">
        <v>74157</v>
      </c>
      <c r="H1431" s="7" t="str">
        <f>HYPERLINK("http://www.ensembl.org/Mus_musculus/Gene/Summary?db=core;g=ENSMUSG00000024019","ENSMUSG00000024019")</f>
        <v>ENSMUSG00000024019</v>
      </c>
      <c r="I1431" s="7" t="str">
        <f>HYPERLINK("http://www.informatics.jax.org/marker/MGI:1921407","MGI:1921407")</f>
        <v>MGI:1921407</v>
      </c>
      <c r="J1431" s="4" t="s">
        <v>12</v>
      </c>
    </row>
    <row r="1432" spans="1:10" x14ac:dyDescent="0.25">
      <c r="A1432" s="2">
        <v>5.1306090161976901</v>
      </c>
      <c r="B1432" s="3">
        <v>1.01809536894626</v>
      </c>
      <c r="C1432" s="3">
        <v>1.65200682889181E-2</v>
      </c>
      <c r="D1432" s="4">
        <v>3.9278484043581502E-2</v>
      </c>
      <c r="E1432" s="3" t="s">
        <v>16592</v>
      </c>
      <c r="F1432" s="3" t="s">
        <v>16593</v>
      </c>
      <c r="G1432" s="3">
        <v>384185</v>
      </c>
      <c r="H1432" s="7" t="str">
        <f>HYPERLINK("http://www.ensembl.org/Mus_musculus/Gene/Summary?db=core;g=ENSMUSG00000063820","ENSMUSG00000063820")</f>
        <v>ENSMUSG00000063820</v>
      </c>
      <c r="I1432" s="7" t="str">
        <f>HYPERLINK("http://www.informatics.jax.org/marker/MGI:1915496","MGI:1915496")</f>
        <v>MGI:1915496</v>
      </c>
      <c r="J1432" s="4" t="s">
        <v>12</v>
      </c>
    </row>
    <row r="1433" spans="1:10" x14ac:dyDescent="0.25">
      <c r="A1433" s="2">
        <v>50.514016678394597</v>
      </c>
      <c r="B1433" s="3">
        <v>1.01767342632644</v>
      </c>
      <c r="C1433" s="5">
        <v>3.6813573410924E-6</v>
      </c>
      <c r="D1433" s="6">
        <v>1.43926183121217E-5</v>
      </c>
      <c r="E1433" s="3" t="s">
        <v>10104</v>
      </c>
      <c r="F1433" s="3" t="s">
        <v>10105</v>
      </c>
      <c r="G1433" s="3">
        <v>22033</v>
      </c>
      <c r="H1433" s="7" t="str">
        <f>HYPERLINK("http://www.ensembl.org/Mus_musculus/Gene/Summary?db=core;g=ENSMUSG00000026637","ENSMUSG00000026637")</f>
        <v>ENSMUSG00000026637</v>
      </c>
      <c r="I1433" s="7" t="str">
        <f>HYPERLINK("http://www.informatics.jax.org/marker/MGI:107548","MGI:107548")</f>
        <v>MGI:107548</v>
      </c>
      <c r="J1433" s="4" t="s">
        <v>12</v>
      </c>
    </row>
    <row r="1434" spans="1:10" x14ac:dyDescent="0.25">
      <c r="A1434" s="2">
        <v>1186.3050190485401</v>
      </c>
      <c r="B1434" s="3">
        <v>1.0176547191460099</v>
      </c>
      <c r="C1434" s="5">
        <v>1.0653598124053099E-45</v>
      </c>
      <c r="D1434" s="6">
        <v>2.5403743047923601E-44</v>
      </c>
      <c r="E1434" s="3" t="s">
        <v>1670</v>
      </c>
      <c r="F1434" s="3" t="s">
        <v>1671</v>
      </c>
      <c r="G1434" s="3">
        <v>53625</v>
      </c>
      <c r="H1434" s="7" t="str">
        <f>HYPERLINK("http://www.ensembl.org/Mus_musculus/Gene/Summary?db=core;g=ENSMUSG00000051650","ENSMUSG00000051650")</f>
        <v>ENSMUSG00000051650</v>
      </c>
      <c r="I1434" s="7" t="str">
        <f>HYPERLINK("http://www.informatics.jax.org/marker/MGI:1889505","MGI:1889505")</f>
        <v>MGI:1889505</v>
      </c>
      <c r="J1434" s="4" t="s">
        <v>12</v>
      </c>
    </row>
    <row r="1435" spans="1:10" x14ac:dyDescent="0.25">
      <c r="A1435" s="2">
        <v>693.55163448634005</v>
      </c>
      <c r="B1435" s="3">
        <v>1.01584251941502</v>
      </c>
      <c r="C1435" s="5">
        <v>4.4386704323300502E-35</v>
      </c>
      <c r="D1435" s="6">
        <v>7.7051567716152008E-34</v>
      </c>
      <c r="E1435" s="3" t="s">
        <v>2289</v>
      </c>
      <c r="F1435" s="3" t="s">
        <v>2290</v>
      </c>
      <c r="G1435" s="3">
        <v>54004</v>
      </c>
      <c r="H1435" s="7" t="str">
        <f>HYPERLINK("http://www.ensembl.org/Mus_musculus/Gene/Summary?db=core;g=ENSMUSG00000034480","ENSMUSG00000034480")</f>
        <v>ENSMUSG00000034480</v>
      </c>
      <c r="I1435" s="7" t="str">
        <f>HYPERLINK("http://www.informatics.jax.org/marker/MGI:1858500","MGI:1858500")</f>
        <v>MGI:1858500</v>
      </c>
      <c r="J1435" s="4" t="s">
        <v>12</v>
      </c>
    </row>
    <row r="1436" spans="1:10" x14ac:dyDescent="0.25">
      <c r="A1436" s="2">
        <v>851.10853145119302</v>
      </c>
      <c r="B1436" s="3">
        <v>1.0151979429281901</v>
      </c>
      <c r="C1436" s="5">
        <v>1.1235129762253199E-57</v>
      </c>
      <c r="D1436" s="6">
        <v>3.7362016679870701E-56</v>
      </c>
      <c r="E1436" s="3" t="s">
        <v>1202</v>
      </c>
      <c r="F1436" s="3" t="s">
        <v>1203</v>
      </c>
      <c r="G1436" s="3">
        <v>319481</v>
      </c>
      <c r="H1436" s="7" t="str">
        <f>HYPERLINK("http://www.ensembl.org/Mus_musculus/Gene/Summary?db=core;g=ENSMUSG00000031959","ENSMUSG00000031959")</f>
        <v>ENSMUSG00000031959</v>
      </c>
      <c r="I1436" s="7" t="str">
        <f>HYPERLINK("http://www.informatics.jax.org/marker/MGI:2442115","MGI:2442115")</f>
        <v>MGI:2442115</v>
      </c>
      <c r="J1436" s="4" t="s">
        <v>12</v>
      </c>
    </row>
    <row r="1437" spans="1:10" x14ac:dyDescent="0.25">
      <c r="A1437" s="2">
        <v>0.72227678868627099</v>
      </c>
      <c r="B1437" s="3">
        <v>1.0130227457280201</v>
      </c>
      <c r="C1437" s="3">
        <v>1.7630299138907301E-2</v>
      </c>
      <c r="D1437" s="4">
        <v>4.1662013064020599E-2</v>
      </c>
      <c r="E1437" s="3" t="s">
        <v>16694</v>
      </c>
      <c r="F1437" s="3" t="s">
        <v>16695</v>
      </c>
      <c r="G1437" s="3" t="s">
        <v>83</v>
      </c>
      <c r="H1437" s="7" t="str">
        <f>HYPERLINK("http://www.ensembl.org/Mus_musculus/Gene/Summary?db=core;g=ENSMUSG00000105008","ENSMUSG00000105008")</f>
        <v>ENSMUSG00000105008</v>
      </c>
      <c r="I1437" s="7" t="str">
        <f>HYPERLINK("http://www.informatics.jax.org/marker/MGI:5663789","MGI:5663789")</f>
        <v>MGI:5663789</v>
      </c>
      <c r="J1437" s="4" t="s">
        <v>1828</v>
      </c>
    </row>
    <row r="1438" spans="1:10" x14ac:dyDescent="0.25">
      <c r="A1438" s="2">
        <v>2419.8733846458399</v>
      </c>
      <c r="B1438" s="3">
        <v>1.0120286437480199</v>
      </c>
      <c r="C1438" s="5">
        <v>7.72029848939171E-23</v>
      </c>
      <c r="D1438" s="6">
        <v>8.6748881031797503E-22</v>
      </c>
      <c r="E1438" s="3" t="s">
        <v>3528</v>
      </c>
      <c r="F1438" s="3" t="s">
        <v>3529</v>
      </c>
      <c r="G1438" s="3">
        <v>11432</v>
      </c>
      <c r="H1438" s="7" t="str">
        <f>HYPERLINK("http://www.ensembl.org/Mus_musculus/Gene/Summary?db=core;g=ENSMUSG00000002103","ENSMUSG00000002103")</f>
        <v>ENSMUSG00000002103</v>
      </c>
      <c r="I1438" s="7" t="str">
        <f>HYPERLINK("http://www.informatics.jax.org/marker/MGI:87882","MGI:87882")</f>
        <v>MGI:87882</v>
      </c>
      <c r="J1438" s="4" t="s">
        <v>12</v>
      </c>
    </row>
    <row r="1439" spans="1:10" x14ac:dyDescent="0.25">
      <c r="A1439" s="2">
        <v>604.20683507875799</v>
      </c>
      <c r="B1439" s="3">
        <v>1.0117310902621199</v>
      </c>
      <c r="C1439" s="5">
        <v>6.4402651594854305E-38</v>
      </c>
      <c r="D1439" s="6">
        <v>1.22588831028043E-36</v>
      </c>
      <c r="E1439" s="3" t="s">
        <v>2089</v>
      </c>
      <c r="F1439" s="3" t="s">
        <v>2090</v>
      </c>
      <c r="G1439" s="3">
        <v>214855</v>
      </c>
      <c r="H1439" s="7" t="str">
        <f>HYPERLINK("http://www.ensembl.org/Mus_musculus/Gene/Summary?db=core;g=ENSMUSG00000037447","ENSMUSG00000037447")</f>
        <v>ENSMUSG00000037447</v>
      </c>
      <c r="I1439" s="7" t="str">
        <f>HYPERLINK("http://www.informatics.jax.org/marker/MGI:2443039","MGI:2443039")</f>
        <v>MGI:2443039</v>
      </c>
      <c r="J1439" s="4" t="s">
        <v>12</v>
      </c>
    </row>
    <row r="1440" spans="1:10" x14ac:dyDescent="0.25">
      <c r="A1440" s="2">
        <v>1478.1293214196201</v>
      </c>
      <c r="B1440" s="3">
        <v>1.0115889832020699</v>
      </c>
      <c r="C1440" s="5">
        <v>6.7795870707893703E-43</v>
      </c>
      <c r="D1440" s="6">
        <v>1.4988055721520899E-41</v>
      </c>
      <c r="E1440" s="3" t="s">
        <v>1800</v>
      </c>
      <c r="F1440" s="3" t="s">
        <v>1801</v>
      </c>
      <c r="G1440" s="3">
        <v>66143</v>
      </c>
      <c r="H1440" s="7" t="str">
        <f>HYPERLINK("http://www.ensembl.org/Mus_musculus/Gene/Summary?db=core;g=ENSMUSG00000001707","ENSMUSG00000001707")</f>
        <v>ENSMUSG00000001707</v>
      </c>
      <c r="I1440" s="7" t="str">
        <f>HYPERLINK("http://www.informatics.jax.org/marker/MGI:1913393","MGI:1913393")</f>
        <v>MGI:1913393</v>
      </c>
      <c r="J1440" s="4" t="s">
        <v>12</v>
      </c>
    </row>
    <row r="1441" spans="1:10" x14ac:dyDescent="0.25">
      <c r="A1441" s="2">
        <v>4009.7778150097101</v>
      </c>
      <c r="B1441" s="3">
        <v>1.0114869505511901</v>
      </c>
      <c r="C1441" s="3">
        <v>7.9418841681645302E-4</v>
      </c>
      <c r="D1441" s="4">
        <v>2.3761789682325099E-3</v>
      </c>
      <c r="E1441" s="3" t="s">
        <v>13191</v>
      </c>
      <c r="F1441" s="3" t="s">
        <v>13192</v>
      </c>
      <c r="G1441" s="3" t="s">
        <v>83</v>
      </c>
      <c r="H1441" s="7" t="str">
        <f>HYPERLINK("http://www.ensembl.org/Mus_musculus/Gene/Summary?db=core;g=ENSMUSG00000092274","ENSMUSG00000092274")</f>
        <v>ENSMUSG00000092274</v>
      </c>
      <c r="I1441" s="7" t="str">
        <f>HYPERLINK("http://www.informatics.jax.org/marker/MGI:1914211","MGI:1914211")</f>
        <v>MGI:1914211</v>
      </c>
      <c r="J1441" s="4" t="s">
        <v>939</v>
      </c>
    </row>
    <row r="1442" spans="1:10" x14ac:dyDescent="0.25">
      <c r="A1442" s="2">
        <v>1923.1049410942301</v>
      </c>
      <c r="B1442" s="3">
        <v>1.01092050892355</v>
      </c>
      <c r="C1442" s="5">
        <v>7.5476371389189006E-86</v>
      </c>
      <c r="D1442" s="6">
        <v>4.8481890677355296E-84</v>
      </c>
      <c r="E1442" s="3" t="s">
        <v>626</v>
      </c>
      <c r="F1442" s="3" t="s">
        <v>627</v>
      </c>
      <c r="G1442" s="3">
        <v>78514</v>
      </c>
      <c r="H1442" s="7" t="str">
        <f>HYPERLINK("http://www.ensembl.org/Mus_musculus/Gene/Summary?db=core;g=ENSMUSG00000037148","ENSMUSG00000037148")</f>
        <v>ENSMUSG00000037148</v>
      </c>
      <c r="I1442" s="7" t="str">
        <f>HYPERLINK("http://www.informatics.jax.org/marker/MGI:1925764","MGI:1925764")</f>
        <v>MGI:1925764</v>
      </c>
      <c r="J1442" s="4" t="s">
        <v>12</v>
      </c>
    </row>
    <row r="1443" spans="1:10" x14ac:dyDescent="0.25">
      <c r="A1443" s="2">
        <v>5356.12330466616</v>
      </c>
      <c r="B1443" s="3">
        <v>1.00995108640953</v>
      </c>
      <c r="C1443" s="5">
        <v>1.0293640341195E-38</v>
      </c>
      <c r="D1443" s="6">
        <v>1.9999072662893202E-37</v>
      </c>
      <c r="E1443" s="3" t="s">
        <v>2047</v>
      </c>
      <c r="F1443" s="3" t="s">
        <v>2048</v>
      </c>
      <c r="G1443" s="3">
        <v>27060</v>
      </c>
      <c r="H1443" s="7" t="str">
        <f>HYPERLINK("http://www.ensembl.org/Mus_musculus/Gene/Summary?db=core;g=ENSMUSG00000001750","ENSMUSG00000001750")</f>
        <v>ENSMUSG00000001750</v>
      </c>
      <c r="I1443" s="7" t="str">
        <f>HYPERLINK("http://www.informatics.jax.org/marker/MGI:1350931","MGI:1350931")</f>
        <v>MGI:1350931</v>
      </c>
      <c r="J1443" s="4" t="s">
        <v>12</v>
      </c>
    </row>
    <row r="1444" spans="1:10" x14ac:dyDescent="0.25">
      <c r="A1444" s="2">
        <v>475.15939855520702</v>
      </c>
      <c r="B1444" s="3">
        <v>1.0074601930818099</v>
      </c>
      <c r="C1444" s="5">
        <v>2.8693178691036698E-26</v>
      </c>
      <c r="D1444" s="6">
        <v>3.6861855621318802E-25</v>
      </c>
      <c r="E1444" s="3" t="s">
        <v>3088</v>
      </c>
      <c r="F1444" s="3" t="s">
        <v>3089</v>
      </c>
      <c r="G1444" s="3">
        <v>170460</v>
      </c>
      <c r="H1444" s="7" t="str">
        <f>HYPERLINK("http://www.ensembl.org/Mus_musculus/Gene/Summary?db=core;g=ENSMUSG00000046027","ENSMUSG00000046027")</f>
        <v>ENSMUSG00000046027</v>
      </c>
      <c r="I1444" s="7" t="str">
        <f>HYPERLINK("http://www.informatics.jax.org/marker/MGI:2156765","MGI:2156765")</f>
        <v>MGI:2156765</v>
      </c>
      <c r="J1444" s="4" t="s">
        <v>12</v>
      </c>
    </row>
    <row r="1445" spans="1:10" x14ac:dyDescent="0.25">
      <c r="A1445" s="2">
        <v>12.168562223234</v>
      </c>
      <c r="B1445" s="3">
        <v>1.00729917459768</v>
      </c>
      <c r="C1445" s="3">
        <v>2.7290105161220202E-4</v>
      </c>
      <c r="D1445" s="4">
        <v>8.6954414894047896E-4</v>
      </c>
      <c r="E1445" s="3" t="s">
        <v>12390</v>
      </c>
      <c r="F1445" s="3" t="s">
        <v>12391</v>
      </c>
      <c r="G1445" s="3">
        <v>75605</v>
      </c>
      <c r="H1445" s="7" t="str">
        <f>HYPERLINK("http://www.ensembl.org/Mus_musculus/Gene/Summary?db=core;g=ENSMUSG00000042207","ENSMUSG00000042207")</f>
        <v>ENSMUSG00000042207</v>
      </c>
      <c r="I1445" s="7" t="str">
        <f>HYPERLINK("http://www.informatics.jax.org/marker/MGI:1922855","MGI:1922855")</f>
        <v>MGI:1922855</v>
      </c>
      <c r="J1445" s="4" t="s">
        <v>12</v>
      </c>
    </row>
    <row r="1446" spans="1:10" x14ac:dyDescent="0.25">
      <c r="A1446" s="2">
        <v>0.70316761903793801</v>
      </c>
      <c r="B1446" s="3">
        <v>1.00650583022619</v>
      </c>
      <c r="C1446" s="3">
        <v>1.4782035119579101E-2</v>
      </c>
      <c r="D1446" s="4">
        <v>3.5516016509385698E-2</v>
      </c>
      <c r="E1446" s="3" t="s">
        <v>16421</v>
      </c>
      <c r="F1446" s="3" t="s">
        <v>16422</v>
      </c>
      <c r="G1446" s="3">
        <v>73902</v>
      </c>
      <c r="H1446" s="7" t="str">
        <f>HYPERLINK("http://www.ensembl.org/Mus_musculus/Gene/Summary?db=core;g=ENSMUSG00000072423","ENSMUSG00000072423")</f>
        <v>ENSMUSG00000072423</v>
      </c>
      <c r="I1446" s="7" t="str">
        <f>HYPERLINK("http://www.informatics.jax.org/marker/MGI:1921152","MGI:1921152")</f>
        <v>MGI:1921152</v>
      </c>
      <c r="J1446" s="4" t="s">
        <v>12</v>
      </c>
    </row>
    <row r="1447" spans="1:10" x14ac:dyDescent="0.25">
      <c r="A1447" s="2">
        <v>952.26968226917404</v>
      </c>
      <c r="B1447" s="3">
        <v>1.0054014398814299</v>
      </c>
      <c r="C1447" s="5">
        <v>9.7058974555396699E-33</v>
      </c>
      <c r="D1447" s="6">
        <v>1.5435507888971201E-31</v>
      </c>
      <c r="E1447" s="3" t="s">
        <v>2497</v>
      </c>
      <c r="F1447" s="3" t="s">
        <v>2498</v>
      </c>
      <c r="G1447" s="3">
        <v>67712</v>
      </c>
      <c r="H1447" s="7" t="str">
        <f>HYPERLINK("http://www.ensembl.org/Mus_musculus/Gene/Summary?db=core;g=ENSMUSG00000034248","ENSMUSG00000034248")</f>
        <v>ENSMUSG00000034248</v>
      </c>
      <c r="I1447" s="7" t="str">
        <f>HYPERLINK("http://www.informatics.jax.org/marker/MGI:1914962","MGI:1914962")</f>
        <v>MGI:1914962</v>
      </c>
      <c r="J1447" s="4" t="s">
        <v>12</v>
      </c>
    </row>
    <row r="1448" spans="1:10" x14ac:dyDescent="0.25">
      <c r="A1448" s="2">
        <v>1441.6657476533601</v>
      </c>
      <c r="B1448" s="3">
        <v>1.0050342985632099</v>
      </c>
      <c r="C1448" s="5">
        <v>5.2515646759805499E-22</v>
      </c>
      <c r="D1448" s="6">
        <v>5.69641668923743E-21</v>
      </c>
      <c r="E1448" s="3" t="s">
        <v>3654</v>
      </c>
      <c r="F1448" s="3" t="s">
        <v>3655</v>
      </c>
      <c r="G1448" s="3">
        <v>216549</v>
      </c>
      <c r="H1448" s="7" t="str">
        <f>HYPERLINK("http://www.ensembl.org/Mus_musculus/Gene/Summary?db=core;g=ENSMUSG00000049659","ENSMUSG00000049659")</f>
        <v>ENSMUSG00000049659</v>
      </c>
      <c r="I1448" s="7" t="str">
        <f>HYPERLINK("http://www.informatics.jax.org/marker/MGI:1923012","MGI:1923012")</f>
        <v>MGI:1923012</v>
      </c>
      <c r="J1448" s="4" t="s">
        <v>12</v>
      </c>
    </row>
    <row r="1449" spans="1:10" x14ac:dyDescent="0.25">
      <c r="A1449" s="2">
        <v>0.692593277326226</v>
      </c>
      <c r="B1449" s="3">
        <v>1.0049272834376499</v>
      </c>
      <c r="C1449" s="3">
        <v>1.0728160063881E-2</v>
      </c>
      <c r="D1449" s="4">
        <v>2.6514515159760998E-2</v>
      </c>
      <c r="E1449" s="3" t="s">
        <v>15963</v>
      </c>
      <c r="F1449" s="3" t="s">
        <v>15964</v>
      </c>
      <c r="G1449" s="3">
        <v>226040</v>
      </c>
      <c r="H1449" s="7" t="str">
        <f>HYPERLINK("http://www.ensembl.org/Mus_musculus/Gene/Summary?db=core;g=ENSMUSG00000048572","ENSMUSG00000048572")</f>
        <v>ENSMUSG00000048572</v>
      </c>
      <c r="I1449" s="7" t="str">
        <f>HYPERLINK("http://www.informatics.jax.org/marker/MGI:3583948","MGI:3583948")</f>
        <v>MGI:3583948</v>
      </c>
      <c r="J1449" s="4" t="s">
        <v>12</v>
      </c>
    </row>
    <row r="1450" spans="1:10" x14ac:dyDescent="0.25">
      <c r="A1450" s="2">
        <v>879.02066919865399</v>
      </c>
      <c r="B1450" s="3">
        <v>1.0032489004241401</v>
      </c>
      <c r="C1450" s="5">
        <v>4.9975120611854004E-16</v>
      </c>
      <c r="D1450" s="6">
        <v>4.0373182239482199E-15</v>
      </c>
      <c r="E1450" s="3" t="s">
        <v>4899</v>
      </c>
      <c r="F1450" s="3" t="s">
        <v>4900</v>
      </c>
      <c r="G1450" s="3">
        <v>233016</v>
      </c>
      <c r="H1450" s="7" t="str">
        <f>HYPERLINK("http://www.ensembl.org/Mus_musculus/Gene/Summary?db=core;g=ENSMUSG00000040466","ENSMUSG00000040466")</f>
        <v>ENSMUSG00000040466</v>
      </c>
      <c r="I1450" s="7" t="str">
        <f>HYPERLINK("http://www.informatics.jax.org/marker/MGI:2385271","MGI:2385271")</f>
        <v>MGI:2385271</v>
      </c>
      <c r="J1450" s="4" t="s">
        <v>12</v>
      </c>
    </row>
    <row r="1451" spans="1:10" x14ac:dyDescent="0.25">
      <c r="A1451" s="2">
        <v>1479.43512603253</v>
      </c>
      <c r="B1451" s="3">
        <v>1.0030422970831201</v>
      </c>
      <c r="C1451" s="5">
        <v>2.7490215827353698E-62</v>
      </c>
      <c r="D1451" s="6">
        <v>1.05263506041828E-60</v>
      </c>
      <c r="E1451" s="3" t="s">
        <v>1046</v>
      </c>
      <c r="F1451" s="3" t="s">
        <v>1047</v>
      </c>
      <c r="G1451" s="3">
        <v>23897</v>
      </c>
      <c r="H1451" s="7" t="str">
        <f>HYPERLINK("http://www.ensembl.org/Mus_musculus/Gene/Summary?db=core;g=ENSMUSG00000027944","ENSMUSG00000027944")</f>
        <v>ENSMUSG00000027944</v>
      </c>
      <c r="I1451" s="7" t="str">
        <f>HYPERLINK("http://www.informatics.jax.org/marker/MGI:1346319","MGI:1346319")</f>
        <v>MGI:1346319</v>
      </c>
      <c r="J1451" s="4" t="s">
        <v>12</v>
      </c>
    </row>
    <row r="1452" spans="1:10" x14ac:dyDescent="0.25">
      <c r="A1452" s="2">
        <v>1045.6254056519899</v>
      </c>
      <c r="B1452" s="3">
        <v>1.00231552494196</v>
      </c>
      <c r="C1452" s="5">
        <v>8.5079507664539606E-37</v>
      </c>
      <c r="D1452" s="6">
        <v>1.5709437183003E-35</v>
      </c>
      <c r="E1452" s="3" t="s">
        <v>2153</v>
      </c>
      <c r="F1452" s="3" t="s">
        <v>2154</v>
      </c>
      <c r="G1452" s="3">
        <v>66711</v>
      </c>
      <c r="H1452" s="7" t="str">
        <f>HYPERLINK("http://www.ensembl.org/Mus_musculus/Gene/Summary?db=core;g=ENSMUSG00000025337","ENSMUSG00000025337")</f>
        <v>ENSMUSG00000025337</v>
      </c>
      <c r="I1452" s="7" t="str">
        <f>HYPERLINK("http://www.informatics.jax.org/marker/MGI:1913961","MGI:1913961")</f>
        <v>MGI:1913961</v>
      </c>
      <c r="J1452" s="4" t="s">
        <v>12</v>
      </c>
    </row>
    <row r="1453" spans="1:10" x14ac:dyDescent="0.25">
      <c r="A1453" s="2">
        <v>974.66221013854602</v>
      </c>
      <c r="B1453" s="3">
        <v>1.00138412104337</v>
      </c>
      <c r="C1453" s="5">
        <v>1.77878337958404E-52</v>
      </c>
      <c r="D1453" s="6">
        <v>5.10591095275069E-51</v>
      </c>
      <c r="E1453" s="3" t="s">
        <v>1390</v>
      </c>
      <c r="F1453" s="3" t="s">
        <v>1391</v>
      </c>
      <c r="G1453" s="3">
        <v>67065</v>
      </c>
      <c r="H1453" s="7" t="str">
        <f>HYPERLINK("http://www.ensembl.org/Mus_musculus/Gene/Summary?db=core;g=ENSMUSG00000000776","ENSMUSG00000000776")</f>
        <v>ENSMUSG00000000776</v>
      </c>
      <c r="I1453" s="7" t="str">
        <f>HYPERLINK("http://www.informatics.jax.org/marker/MGI:1914315","MGI:1914315")</f>
        <v>MGI:1914315</v>
      </c>
      <c r="J1453" s="4" t="s">
        <v>12</v>
      </c>
    </row>
    <row r="1454" spans="1:10" x14ac:dyDescent="0.25">
      <c r="A1454" s="2">
        <v>5.4492258446550297</v>
      </c>
      <c r="B1454" s="3">
        <v>1.0009802042370199</v>
      </c>
      <c r="C1454" s="3">
        <v>1.19625251009314E-2</v>
      </c>
      <c r="D1454" s="4">
        <v>2.9297192621754599E-2</v>
      </c>
      <c r="E1454" s="3" t="s">
        <v>16109</v>
      </c>
      <c r="F1454" s="3" t="s">
        <v>16110</v>
      </c>
      <c r="G1454" s="3" t="s">
        <v>83</v>
      </c>
      <c r="H1454" s="7" t="str">
        <f>HYPERLINK("http://www.ensembl.org/Mus_musculus/Gene/Summary?db=core;g=ENSMUSG00000064208","ENSMUSG00000064208")</f>
        <v>ENSMUSG00000064208</v>
      </c>
      <c r="I1454" s="7" t="str">
        <f>HYPERLINK("http://www.informatics.jax.org/marker/MGI:3704353","MGI:3704353")</f>
        <v>MGI:3704353</v>
      </c>
      <c r="J1454" s="4" t="s">
        <v>1043</v>
      </c>
    </row>
    <row r="1455" spans="1:10" x14ac:dyDescent="0.25">
      <c r="A1455" s="2">
        <v>265.54980477307498</v>
      </c>
      <c r="B1455" s="3">
        <v>1.00031820826082</v>
      </c>
      <c r="C1455" s="5">
        <v>1.84279150905086E-10</v>
      </c>
      <c r="D1455" s="6">
        <v>1.0496778901930399E-9</v>
      </c>
      <c r="E1455" s="3" t="s">
        <v>6942</v>
      </c>
      <c r="F1455" s="3" t="s">
        <v>6943</v>
      </c>
      <c r="G1455" s="3">
        <v>216856</v>
      </c>
      <c r="H1455" s="7" t="str">
        <f>HYPERLINK("http://www.ensembl.org/Mus_musculus/Gene/Summary?db=core;g=ENSMUSG00000051790","ENSMUSG00000051790")</f>
        <v>ENSMUSG00000051790</v>
      </c>
      <c r="I1455" s="7" t="str">
        <f>HYPERLINK("http://www.informatics.jax.org/marker/MGI:2681835","MGI:2681835")</f>
        <v>MGI:2681835</v>
      </c>
      <c r="J1455" s="4" t="s">
        <v>12</v>
      </c>
    </row>
    <row r="1456" spans="1:10" x14ac:dyDescent="0.25">
      <c r="A1456" s="2">
        <v>2802.8907663270202</v>
      </c>
      <c r="B1456" s="3">
        <v>0.99900223826944601</v>
      </c>
      <c r="C1456" s="5">
        <v>6.0837889853630699E-16</v>
      </c>
      <c r="D1456" s="6">
        <v>4.8948314480358898E-15</v>
      </c>
      <c r="E1456" s="3" t="s">
        <v>4919</v>
      </c>
      <c r="F1456" s="3" t="s">
        <v>4920</v>
      </c>
      <c r="G1456" s="3">
        <v>17768</v>
      </c>
      <c r="H1456" s="7" t="str">
        <f>HYPERLINK("http://www.ensembl.org/Mus_musculus/Gene/Summary?db=core;g=ENSMUSG00000005667","ENSMUSG00000005667")</f>
        <v>ENSMUSG00000005667</v>
      </c>
      <c r="I1456" s="7" t="str">
        <f>HYPERLINK("http://www.informatics.jax.org/marker/MGI:1338850","MGI:1338850")</f>
        <v>MGI:1338850</v>
      </c>
      <c r="J1456" s="4" t="s">
        <v>12</v>
      </c>
    </row>
    <row r="1457" spans="1:10" x14ac:dyDescent="0.25">
      <c r="A1457" s="2">
        <v>16685.251501750601</v>
      </c>
      <c r="B1457" s="3">
        <v>0.99729305394658396</v>
      </c>
      <c r="C1457" s="5">
        <v>6.83059747221718E-27</v>
      </c>
      <c r="D1457" s="6">
        <v>8.9680014748417302E-26</v>
      </c>
      <c r="E1457" s="3" t="s">
        <v>3022</v>
      </c>
      <c r="F1457" s="3" t="s">
        <v>3023</v>
      </c>
      <c r="G1457" s="3">
        <v>12010</v>
      </c>
      <c r="H1457" s="7" t="str">
        <f>HYPERLINK("http://www.ensembl.org/Mus_musculus/Gene/Summary?db=core;g=ENSMUSG00000060802","ENSMUSG00000060802")</f>
        <v>ENSMUSG00000060802</v>
      </c>
      <c r="I1457" s="7" t="str">
        <f>HYPERLINK("http://www.informatics.jax.org/marker/MGI:88127","MGI:88127")</f>
        <v>MGI:88127</v>
      </c>
      <c r="J1457" s="4" t="s">
        <v>12</v>
      </c>
    </row>
    <row r="1458" spans="1:10" x14ac:dyDescent="0.25">
      <c r="A1458" s="2">
        <v>1440.42754332761</v>
      </c>
      <c r="B1458" s="3">
        <v>0.99672200659620502</v>
      </c>
      <c r="C1458" s="5">
        <v>1.8379288702100299E-47</v>
      </c>
      <c r="D1458" s="6">
        <v>4.65262610019791E-46</v>
      </c>
      <c r="E1458" s="3" t="s">
        <v>1574</v>
      </c>
      <c r="F1458" s="3" t="s">
        <v>1575</v>
      </c>
      <c r="G1458" s="3">
        <v>26395</v>
      </c>
      <c r="H1458" s="7" t="str">
        <f>HYPERLINK("http://www.ensembl.org/Mus_musculus/Gene/Summary?db=core;g=ENSMUSG00000004936","ENSMUSG00000004936")</f>
        <v>ENSMUSG00000004936</v>
      </c>
      <c r="I1458" s="7" t="str">
        <f>HYPERLINK("http://www.informatics.jax.org/marker/MGI:1346866","MGI:1346866")</f>
        <v>MGI:1346866</v>
      </c>
      <c r="J1458" s="4" t="s">
        <v>12</v>
      </c>
    </row>
    <row r="1459" spans="1:10" x14ac:dyDescent="0.25">
      <c r="A1459" s="2">
        <v>3227.2327664333202</v>
      </c>
      <c r="B1459" s="3">
        <v>0.99514244751115899</v>
      </c>
      <c r="C1459" s="5">
        <v>1.22594063847642E-59</v>
      </c>
      <c r="D1459" s="6">
        <v>4.3638175795586503E-58</v>
      </c>
      <c r="E1459" s="3" t="s">
        <v>1124</v>
      </c>
      <c r="F1459" s="3" t="s">
        <v>1125</v>
      </c>
      <c r="G1459" s="3">
        <v>19264</v>
      </c>
      <c r="H1459" s="7" t="str">
        <f>HYPERLINK("http://www.ensembl.org/Mus_musculus/Gene/Summary?db=core;g=ENSMUSG00000026395","ENSMUSG00000026395")</f>
        <v>ENSMUSG00000026395</v>
      </c>
      <c r="I1459" s="7" t="str">
        <f>HYPERLINK("http://www.informatics.jax.org/marker/MGI:97810","MGI:97810")</f>
        <v>MGI:97810</v>
      </c>
      <c r="J1459" s="4" t="s">
        <v>12</v>
      </c>
    </row>
    <row r="1460" spans="1:10" x14ac:dyDescent="0.25">
      <c r="A1460" s="2">
        <v>32.427894299107599</v>
      </c>
      <c r="B1460" s="3">
        <v>0.99486165860253395</v>
      </c>
      <c r="C1460" s="5">
        <v>8.8663462087812003E-7</v>
      </c>
      <c r="D1460" s="6">
        <v>3.6855891070228799E-6</v>
      </c>
      <c r="E1460" s="3" t="s">
        <v>9503</v>
      </c>
      <c r="F1460" s="3" t="s">
        <v>9504</v>
      </c>
      <c r="G1460" s="3" t="s">
        <v>83</v>
      </c>
      <c r="H1460" s="7" t="str">
        <f>HYPERLINK("http://www.ensembl.org/Mus_musculus/Gene/Summary?db=core;g=ENSMUSG00000109812","ENSMUSG00000109812")</f>
        <v>ENSMUSG00000109812</v>
      </c>
      <c r="I1460" s="7" t="str">
        <f>HYPERLINK("http://www.informatics.jax.org/marker/MGI:5791476","MGI:5791476")</f>
        <v>MGI:5791476</v>
      </c>
      <c r="J1460" s="4" t="s">
        <v>1828</v>
      </c>
    </row>
    <row r="1461" spans="1:10" x14ac:dyDescent="0.25">
      <c r="A1461" s="2">
        <v>148.32409351740699</v>
      </c>
      <c r="B1461" s="3">
        <v>0.99459086232275895</v>
      </c>
      <c r="C1461" s="5">
        <v>1.17110664811594E-14</v>
      </c>
      <c r="D1461" s="6">
        <v>8.8517528174957296E-14</v>
      </c>
      <c r="E1461" s="3" t="s">
        <v>5235</v>
      </c>
      <c r="F1461" s="3" t="s">
        <v>5236</v>
      </c>
      <c r="G1461" s="3">
        <v>14462</v>
      </c>
      <c r="H1461" s="7" t="str">
        <f>HYPERLINK("http://www.ensembl.org/Mus_musculus/Gene/Summary?db=core;g=ENSMUSG00000015619","ENSMUSG00000015619")</f>
        <v>ENSMUSG00000015619</v>
      </c>
      <c r="I1461" s="7" t="str">
        <f>HYPERLINK("http://www.informatics.jax.org/marker/MGI:95663","MGI:95663")</f>
        <v>MGI:95663</v>
      </c>
      <c r="J1461" s="4" t="s">
        <v>12</v>
      </c>
    </row>
    <row r="1462" spans="1:10" x14ac:dyDescent="0.25">
      <c r="A1462" s="2">
        <v>190.95582601230399</v>
      </c>
      <c r="B1462" s="3">
        <v>0.99420758584444102</v>
      </c>
      <c r="C1462" s="5">
        <v>7.5453838479849696E-15</v>
      </c>
      <c r="D1462" s="6">
        <v>5.7583192524095796E-14</v>
      </c>
      <c r="E1462" s="3" t="s">
        <v>5185</v>
      </c>
      <c r="F1462" s="3" t="s">
        <v>5186</v>
      </c>
      <c r="G1462" s="3">
        <v>21950</v>
      </c>
      <c r="H1462" s="7" t="str">
        <f>HYPERLINK("http://www.ensembl.org/Mus_musculus/Gene/Summary?db=core;g=ENSMUSG00000035678","ENSMUSG00000035678")</f>
        <v>ENSMUSG00000035678</v>
      </c>
      <c r="I1462" s="7" t="str">
        <f>HYPERLINK("http://www.informatics.jax.org/marker/MGI:1101058","MGI:1101058")</f>
        <v>MGI:1101058</v>
      </c>
      <c r="J1462" s="4" t="s">
        <v>12</v>
      </c>
    </row>
    <row r="1463" spans="1:10" x14ac:dyDescent="0.25">
      <c r="A1463" s="2">
        <v>882.36382141003196</v>
      </c>
      <c r="B1463" s="3">
        <v>0.99386665344926195</v>
      </c>
      <c r="C1463" s="5">
        <v>5.8797392987306796E-99</v>
      </c>
      <c r="D1463" s="6">
        <v>4.6194605167716801E-97</v>
      </c>
      <c r="E1463" s="3" t="s">
        <v>514</v>
      </c>
      <c r="F1463" s="3" t="s">
        <v>515</v>
      </c>
      <c r="G1463" s="3">
        <v>106628</v>
      </c>
      <c r="H1463" s="7" t="str">
        <f>HYPERLINK("http://www.ensembl.org/Mus_musculus/Gene/Summary?db=core;g=ENSMUSG00000019487","ENSMUSG00000019487")</f>
        <v>ENSMUSG00000019487</v>
      </c>
      <c r="I1463" s="7" t="str">
        <f>HYPERLINK("http://www.informatics.jax.org/marker/MGI:2146901","MGI:2146901")</f>
        <v>MGI:2146901</v>
      </c>
      <c r="J1463" s="4" t="s">
        <v>12</v>
      </c>
    </row>
    <row r="1464" spans="1:10" x14ac:dyDescent="0.25">
      <c r="A1464" s="2">
        <v>140.10183193285101</v>
      </c>
      <c r="B1464" s="3">
        <v>0.99322262947822904</v>
      </c>
      <c r="C1464" s="5">
        <v>1.6638760056489599E-16</v>
      </c>
      <c r="D1464" s="6">
        <v>1.3780611016966601E-15</v>
      </c>
      <c r="E1464" s="3" t="s">
        <v>4779</v>
      </c>
      <c r="F1464" s="3" t="s">
        <v>4780</v>
      </c>
      <c r="G1464" s="3" t="s">
        <v>83</v>
      </c>
      <c r="H1464" s="7" t="str">
        <f>HYPERLINK("http://www.ensembl.org/Mus_musculus/Gene/Summary?db=core;g=ENSMUSG00000049230","ENSMUSG00000049230")</f>
        <v>ENSMUSG00000049230</v>
      </c>
      <c r="I1464" s="7" t="str">
        <f>HYPERLINK("http://www.informatics.jax.org/marker/MGI:3641855","MGI:3641855")</f>
        <v>MGI:3641855</v>
      </c>
      <c r="J1464" s="4" t="s">
        <v>12</v>
      </c>
    </row>
    <row r="1465" spans="1:10" x14ac:dyDescent="0.25">
      <c r="A1465" s="2">
        <v>350.57637396886599</v>
      </c>
      <c r="B1465" s="3">
        <v>0.99247633346569997</v>
      </c>
      <c r="C1465" s="5">
        <v>1.8924122950010902E-18</v>
      </c>
      <c r="D1465" s="6">
        <v>1.74793304250218E-17</v>
      </c>
      <c r="E1465" s="3" t="s">
        <v>4287</v>
      </c>
      <c r="F1465" s="3" t="s">
        <v>4288</v>
      </c>
      <c r="G1465" s="3">
        <v>104709</v>
      </c>
      <c r="H1465" s="7" t="str">
        <f>HYPERLINK("http://www.ensembl.org/Mus_musculus/Gene/Summary?db=core;g=ENSMUSG00000046207","ENSMUSG00000046207")</f>
        <v>ENSMUSG00000046207</v>
      </c>
      <c r="I1465" s="7" t="str">
        <f>HYPERLINK("http://www.informatics.jax.org/marker/MGI:2144613","MGI:2144613")</f>
        <v>MGI:2144613</v>
      </c>
      <c r="J1465" s="4" t="s">
        <v>12</v>
      </c>
    </row>
    <row r="1466" spans="1:10" x14ac:dyDescent="0.25">
      <c r="A1466" s="2">
        <v>2681.2434571043</v>
      </c>
      <c r="B1466" s="3">
        <v>0.991831489509714</v>
      </c>
      <c r="C1466" s="5">
        <v>1.4351234184470401E-23</v>
      </c>
      <c r="D1466" s="6">
        <v>1.65888826563749E-22</v>
      </c>
      <c r="E1466" s="3" t="s">
        <v>3430</v>
      </c>
      <c r="F1466" s="3" t="s">
        <v>3431</v>
      </c>
      <c r="G1466" s="3">
        <v>12267</v>
      </c>
      <c r="H1466" s="7" t="str">
        <f>HYPERLINK("http://www.ensembl.org/Mus_musculus/Gene/Summary?db=core;g=ENSMUSG00000040552","ENSMUSG00000040552")</f>
        <v>ENSMUSG00000040552</v>
      </c>
      <c r="I1466" s="7" t="str">
        <f>HYPERLINK("http://www.informatics.jax.org/marker/MGI:1097680","MGI:1097680")</f>
        <v>MGI:1097680</v>
      </c>
      <c r="J1466" s="4" t="s">
        <v>12</v>
      </c>
    </row>
    <row r="1467" spans="1:10" x14ac:dyDescent="0.25">
      <c r="A1467" s="2">
        <v>772.08907510244399</v>
      </c>
      <c r="B1467" s="3">
        <v>0.99178924641365396</v>
      </c>
      <c r="C1467" s="5">
        <v>4.5049921137013601E-26</v>
      </c>
      <c r="D1467" s="6">
        <v>5.74262730977316E-25</v>
      </c>
      <c r="E1467" s="3" t="s">
        <v>3112</v>
      </c>
      <c r="F1467" s="3" t="s">
        <v>3113</v>
      </c>
      <c r="G1467" s="3">
        <v>66151</v>
      </c>
      <c r="H1467" s="7" t="str">
        <f>HYPERLINK("http://www.ensembl.org/Mus_musculus/Gene/Summary?db=core;g=ENSMUSG00000023048","ENSMUSG00000023048")</f>
        <v>ENSMUSG00000023048</v>
      </c>
      <c r="I1467" s="7" t="str">
        <f>HYPERLINK("http://www.informatics.jax.org/marker/MGI:1913401","MGI:1913401")</f>
        <v>MGI:1913401</v>
      </c>
      <c r="J1467" s="4" t="s">
        <v>12</v>
      </c>
    </row>
    <row r="1468" spans="1:10" x14ac:dyDescent="0.25">
      <c r="A1468" s="2">
        <v>253.28794581814199</v>
      </c>
      <c r="B1468" s="3">
        <v>0.98994433104387103</v>
      </c>
      <c r="C1468" s="5">
        <v>3.54773738651367E-9</v>
      </c>
      <c r="D1468" s="6">
        <v>1.8219109703658699E-8</v>
      </c>
      <c r="E1468" s="3" t="s">
        <v>7696</v>
      </c>
      <c r="F1468" s="3" t="s">
        <v>7697</v>
      </c>
      <c r="G1468" s="3">
        <v>67103</v>
      </c>
      <c r="H1468" s="7" t="str">
        <f>HYPERLINK("http://www.ensembl.org/Mus_musculus/Gene/Summary?db=core;g=ENSMUSG00000028378","ENSMUSG00000028378")</f>
        <v>ENSMUSG00000028378</v>
      </c>
      <c r="I1468" s="7" t="str">
        <f>HYPERLINK("http://www.informatics.jax.org/marker/MGI:1914353","MGI:1914353")</f>
        <v>MGI:1914353</v>
      </c>
      <c r="J1468" s="4" t="s">
        <v>12</v>
      </c>
    </row>
    <row r="1469" spans="1:10" x14ac:dyDescent="0.25">
      <c r="A1469" s="2">
        <v>7.8610246274918003</v>
      </c>
      <c r="B1469" s="3">
        <v>0.98965296891007104</v>
      </c>
      <c r="C1469" s="3">
        <v>7.1025782142051901E-3</v>
      </c>
      <c r="D1469" s="4">
        <v>1.8216002390964499E-2</v>
      </c>
      <c r="E1469" s="3" t="s">
        <v>15383</v>
      </c>
      <c r="F1469" s="3" t="s">
        <v>15384</v>
      </c>
      <c r="G1469" s="3">
        <v>216976</v>
      </c>
      <c r="H1469" s="7" t="str">
        <f>HYPERLINK("http://www.ensembl.org/Mus_musculus/Gene/Summary?db=core;g=ENSMUSG00000037593","ENSMUSG00000037593")</f>
        <v>ENSMUSG00000037593</v>
      </c>
      <c r="I1469" s="7" t="str">
        <f>HYPERLINK("http://www.informatics.jax.org/marker/MGI:2652869","MGI:2652869")</f>
        <v>MGI:2652869</v>
      </c>
      <c r="J1469" s="4" t="s">
        <v>12</v>
      </c>
    </row>
    <row r="1470" spans="1:10" x14ac:dyDescent="0.25">
      <c r="A1470" s="2">
        <v>880.76223785071898</v>
      </c>
      <c r="B1470" s="3">
        <v>0.98942179925854601</v>
      </c>
      <c r="C1470" s="5">
        <v>1.24580122396494E-21</v>
      </c>
      <c r="D1470" s="6">
        <v>1.32580680715535E-20</v>
      </c>
      <c r="E1470" s="3" t="s">
        <v>3724</v>
      </c>
      <c r="F1470" s="3" t="s">
        <v>3725</v>
      </c>
      <c r="G1470" s="3">
        <v>14425</v>
      </c>
      <c r="H1470" s="7" t="str">
        <f>HYPERLINK("http://www.ensembl.org/Mus_musculus/Gene/Summary?db=core;g=ENSMUSG00000026994","ENSMUSG00000026994")</f>
        <v>ENSMUSG00000026994</v>
      </c>
      <c r="I1470" s="7" t="str">
        <f>HYPERLINK("http://www.informatics.jax.org/marker/MGI:894695","MGI:894695")</f>
        <v>MGI:894695</v>
      </c>
      <c r="J1470" s="4" t="s">
        <v>12</v>
      </c>
    </row>
    <row r="1471" spans="1:10" x14ac:dyDescent="0.25">
      <c r="A1471" s="2">
        <v>0.71198835451424303</v>
      </c>
      <c r="B1471" s="3">
        <v>0.98914461016840305</v>
      </c>
      <c r="C1471" s="3">
        <v>1.72208116114402E-2</v>
      </c>
      <c r="D1471" s="4">
        <v>4.0782323162916002E-2</v>
      </c>
      <c r="E1471" s="3" t="s">
        <v>16658</v>
      </c>
      <c r="F1471" s="3" t="s">
        <v>16659</v>
      </c>
      <c r="G1471" s="3">
        <v>72431</v>
      </c>
      <c r="H1471" s="7" t="str">
        <f>HYPERLINK("http://www.ensembl.org/Mus_musculus/Gene/Summary?db=core;g=ENSMUSG00000030472","ENSMUSG00000030472")</f>
        <v>ENSMUSG00000030472</v>
      </c>
      <c r="I1471" s="7" t="str">
        <f>HYPERLINK("http://www.informatics.jax.org/marker/MGI:1919681","MGI:1919681")</f>
        <v>MGI:1919681</v>
      </c>
      <c r="J1471" s="4" t="s">
        <v>12</v>
      </c>
    </row>
    <row r="1472" spans="1:10" x14ac:dyDescent="0.25">
      <c r="A1472" s="2">
        <v>6716.7515629286099</v>
      </c>
      <c r="B1472" s="3">
        <v>0.98898477848246602</v>
      </c>
      <c r="C1472" s="5">
        <v>3.8364643603746299E-66</v>
      </c>
      <c r="D1472" s="6">
        <v>1.62699090723845E-64</v>
      </c>
      <c r="E1472" s="3" t="s">
        <v>944</v>
      </c>
      <c r="F1472" s="3" t="s">
        <v>945</v>
      </c>
      <c r="G1472" s="3">
        <v>17254</v>
      </c>
      <c r="H1472" s="7" t="str">
        <f>HYPERLINK("http://www.ensembl.org/Mus_musculus/Gene/Summary?db=core;g=ENSMUSG00000010095","ENSMUSG00000010095")</f>
        <v>ENSMUSG00000010095</v>
      </c>
      <c r="I1472" s="7" t="str">
        <f>HYPERLINK("http://www.informatics.jax.org/marker/MGI:96955","MGI:96955")</f>
        <v>MGI:96955</v>
      </c>
      <c r="J1472" s="4" t="s">
        <v>12</v>
      </c>
    </row>
    <row r="1473" spans="1:10" x14ac:dyDescent="0.25">
      <c r="A1473" s="2">
        <v>13.8904593071279</v>
      </c>
      <c r="B1473" s="3">
        <v>0.98842101087018097</v>
      </c>
      <c r="C1473" s="3">
        <v>1.3253247281944901E-3</v>
      </c>
      <c r="D1473" s="4">
        <v>3.8389253290239799E-3</v>
      </c>
      <c r="E1473" s="3" t="s">
        <v>13625</v>
      </c>
      <c r="F1473" s="3" t="s">
        <v>13626</v>
      </c>
      <c r="G1473" s="3" t="s">
        <v>83</v>
      </c>
      <c r="H1473" s="7" t="str">
        <f>HYPERLINK("http://www.ensembl.org/Mus_musculus/Gene/Summary?db=core;g=ENSMUSG00000085355","ENSMUSG00000085355")</f>
        <v>ENSMUSG00000085355</v>
      </c>
      <c r="I1473" s="7" t="str">
        <f>HYPERLINK("http://www.informatics.jax.org/marker/MGI:1924094","MGI:1924094")</f>
        <v>MGI:1924094</v>
      </c>
      <c r="J1473" s="4" t="s">
        <v>932</v>
      </c>
    </row>
    <row r="1474" spans="1:10" x14ac:dyDescent="0.25">
      <c r="A1474" s="2">
        <v>677.56972705169403</v>
      </c>
      <c r="B1474" s="3">
        <v>0.98801990840404896</v>
      </c>
      <c r="C1474" s="5">
        <v>1.53297036773285E-34</v>
      </c>
      <c r="D1474" s="6">
        <v>2.6105505744120701E-33</v>
      </c>
      <c r="E1474" s="3" t="s">
        <v>2333</v>
      </c>
      <c r="F1474" s="3" t="s">
        <v>2334</v>
      </c>
      <c r="G1474" s="3">
        <v>58244</v>
      </c>
      <c r="H1474" s="7" t="str">
        <f>HYPERLINK("http://www.ensembl.org/Mus_musculus/Gene/Summary?db=core;g=ENSMUSG00000026470","ENSMUSG00000026470")</f>
        <v>ENSMUSG00000026470</v>
      </c>
      <c r="I1474" s="7" t="str">
        <f>HYPERLINK("http://www.informatics.jax.org/marker/MGI:1926235","MGI:1926235")</f>
        <v>MGI:1926235</v>
      </c>
      <c r="J1474" s="4" t="s">
        <v>12</v>
      </c>
    </row>
    <row r="1475" spans="1:10" x14ac:dyDescent="0.25">
      <c r="A1475" s="2">
        <v>0.61555241325285404</v>
      </c>
      <c r="B1475" s="3">
        <v>0.98760398856485299</v>
      </c>
      <c r="C1475" s="3">
        <v>1.08786905284889E-2</v>
      </c>
      <c r="D1475" s="4">
        <v>2.68528948831896E-2</v>
      </c>
      <c r="E1475" s="3" t="s">
        <v>15983</v>
      </c>
      <c r="F1475" s="3" t="s">
        <v>15984</v>
      </c>
      <c r="G1475" s="3">
        <v>57248</v>
      </c>
      <c r="H1475" s="7" t="str">
        <f>HYPERLINK("http://www.ensembl.org/Mus_musculus/Gene/Summary?db=core;g=ENSMUSG00000022586","ENSMUSG00000022586")</f>
        <v>ENSMUSG00000022586</v>
      </c>
      <c r="I1475" s="7" t="str">
        <f>HYPERLINK("http://www.informatics.jax.org/marker/MGI:1888480","MGI:1888480")</f>
        <v>MGI:1888480</v>
      </c>
      <c r="J1475" s="4" t="s">
        <v>12</v>
      </c>
    </row>
    <row r="1476" spans="1:10" x14ac:dyDescent="0.25">
      <c r="A1476" s="2">
        <v>13.363386876414999</v>
      </c>
      <c r="B1476" s="3">
        <v>0.98717705997755401</v>
      </c>
      <c r="C1476" s="3">
        <v>1.71625212262413E-3</v>
      </c>
      <c r="D1476" s="4">
        <v>4.8979004136248602E-3</v>
      </c>
      <c r="E1476" s="3" t="s">
        <v>13827</v>
      </c>
      <c r="F1476" s="3" t="s">
        <v>13828</v>
      </c>
      <c r="G1476" s="3">
        <v>51793</v>
      </c>
      <c r="H1476" s="7" t="str">
        <f>HYPERLINK("http://www.ensembl.org/Mus_musculus/Gene/Summary?db=core;g=ENSMUSG00000007039","ENSMUSG00000007039")</f>
        <v>ENSMUSG00000007039</v>
      </c>
      <c r="I1476" s="7" t="str">
        <f>HYPERLINK("http://www.informatics.jax.org/marker/MGI:1859016","MGI:1859016")</f>
        <v>MGI:1859016</v>
      </c>
      <c r="J1476" s="4" t="s">
        <v>12</v>
      </c>
    </row>
    <row r="1477" spans="1:10" x14ac:dyDescent="0.25">
      <c r="A1477" s="2">
        <v>4.3512891431501997</v>
      </c>
      <c r="B1477" s="3">
        <v>0.98668234248408004</v>
      </c>
      <c r="C1477" s="3">
        <v>1.6515455669373201E-2</v>
      </c>
      <c r="D1477" s="4">
        <v>3.9272251995663698E-2</v>
      </c>
      <c r="E1477" s="3" t="s">
        <v>16590</v>
      </c>
      <c r="F1477" s="3" t="s">
        <v>16591</v>
      </c>
      <c r="G1477" s="3" t="s">
        <v>83</v>
      </c>
      <c r="H1477" s="7" t="str">
        <f>HYPERLINK("http://www.ensembl.org/Mus_musculus/Gene/Summary?db=core;g=ENSMUSG00000085126","ENSMUSG00000085126")</f>
        <v>ENSMUSG00000085126</v>
      </c>
      <c r="I1477" s="7" t="str">
        <f>HYPERLINK("http://www.informatics.jax.org/marker/MGI:3650371","MGI:3650371")</f>
        <v>MGI:3650371</v>
      </c>
      <c r="J1477" s="4" t="s">
        <v>939</v>
      </c>
    </row>
    <row r="1478" spans="1:10" x14ac:dyDescent="0.25">
      <c r="A1478" s="2">
        <v>83.369910833635103</v>
      </c>
      <c r="B1478" s="3">
        <v>0.98602128745544904</v>
      </c>
      <c r="C1478" s="5">
        <v>6.3896635418083202E-12</v>
      </c>
      <c r="D1478" s="6">
        <v>4.0567986170141697E-11</v>
      </c>
      <c r="E1478" s="3" t="s">
        <v>6229</v>
      </c>
      <c r="F1478" s="3" t="s">
        <v>6230</v>
      </c>
      <c r="G1478" s="3">
        <v>17777</v>
      </c>
      <c r="H1478" s="7" t="str">
        <f>HYPERLINK("http://www.ensembl.org/Mus_musculus/Gene/Summary?db=core;g=ENSMUSG00000028158","ENSMUSG00000028158")</f>
        <v>ENSMUSG00000028158</v>
      </c>
      <c r="I1478" s="7" t="str">
        <f>HYPERLINK("http://www.informatics.jax.org/marker/MGI:106926","MGI:106926")</f>
        <v>MGI:106926</v>
      </c>
      <c r="J1478" s="4" t="s">
        <v>12</v>
      </c>
    </row>
    <row r="1479" spans="1:10" x14ac:dyDescent="0.25">
      <c r="A1479" s="2">
        <v>283.268555488282</v>
      </c>
      <c r="B1479" s="3">
        <v>0.98572691295983705</v>
      </c>
      <c r="C1479" s="5">
        <v>1.4485014401976601E-7</v>
      </c>
      <c r="D1479" s="6">
        <v>6.4683986414623703E-7</v>
      </c>
      <c r="E1479" s="3" t="s">
        <v>8849</v>
      </c>
      <c r="F1479" s="3" t="s">
        <v>8850</v>
      </c>
      <c r="G1479" s="3">
        <v>66412</v>
      </c>
      <c r="H1479" s="7" t="str">
        <f>HYPERLINK("http://www.ensembl.org/Mus_musculus/Gene/Summary?db=core;g=ENSMUSG00000042659","ENSMUSG00000042659")</f>
        <v>ENSMUSG00000042659</v>
      </c>
      <c r="I1479" s="7" t="str">
        <f>HYPERLINK("http://www.informatics.jax.org/marker/MGI:1913662","MGI:1913662")</f>
        <v>MGI:1913662</v>
      </c>
      <c r="J1479" s="4" t="s">
        <v>12</v>
      </c>
    </row>
    <row r="1480" spans="1:10" x14ac:dyDescent="0.25">
      <c r="A1480" s="2">
        <v>6.53522044473132</v>
      </c>
      <c r="B1480" s="3">
        <v>0.98561162491377696</v>
      </c>
      <c r="C1480" s="3">
        <v>6.9384790970027296E-3</v>
      </c>
      <c r="D1480" s="4">
        <v>1.78206313874569E-2</v>
      </c>
      <c r="E1480" s="3" t="s">
        <v>15361</v>
      </c>
      <c r="F1480" s="3" t="s">
        <v>15362</v>
      </c>
      <c r="G1480" s="3" t="s">
        <v>83</v>
      </c>
      <c r="H1480" s="7" t="str">
        <f>HYPERLINK("http://www.ensembl.org/Mus_musculus/Gene/Summary?db=core;g=ENSMUSG00000045746","ENSMUSG00000045746")</f>
        <v>ENSMUSG00000045746</v>
      </c>
      <c r="I1480" s="7" t="str">
        <f>HYPERLINK("http://www.informatics.jax.org/marker/MGI:2443920","MGI:2443920")</f>
        <v>MGI:2443920</v>
      </c>
      <c r="J1480" s="4" t="s">
        <v>939</v>
      </c>
    </row>
    <row r="1481" spans="1:10" x14ac:dyDescent="0.25">
      <c r="A1481" s="2">
        <v>5.0270251594866799</v>
      </c>
      <c r="B1481" s="3">
        <v>0.98550303493648805</v>
      </c>
      <c r="C1481" s="3">
        <v>1.9210114358726198E-2</v>
      </c>
      <c r="D1481" s="4">
        <v>4.50122926751522E-2</v>
      </c>
      <c r="E1481" s="3" t="s">
        <v>16836</v>
      </c>
      <c r="F1481" s="3" t="s">
        <v>16837</v>
      </c>
      <c r="G1481" s="3" t="s">
        <v>83</v>
      </c>
      <c r="H1481" s="7" t="str">
        <f>HYPERLINK("http://www.ensembl.org/Mus_musculus/Gene/Summary?db=core;g=ENSMUSG00000104719","ENSMUSG00000104719")</f>
        <v>ENSMUSG00000104719</v>
      </c>
      <c r="I1481" s="7" t="str">
        <f>HYPERLINK("http://www.informatics.jax.org/marker/MGI:1918553","MGI:1918553")</f>
        <v>MGI:1918553</v>
      </c>
      <c r="J1481" s="4" t="s">
        <v>1828</v>
      </c>
    </row>
    <row r="1482" spans="1:10" x14ac:dyDescent="0.25">
      <c r="A1482" s="2">
        <v>343.71264163182599</v>
      </c>
      <c r="B1482" s="3">
        <v>0.983580086287138</v>
      </c>
      <c r="C1482" s="5">
        <v>2.1868861371493299E-5</v>
      </c>
      <c r="D1482" s="6">
        <v>7.9201826675086894E-5</v>
      </c>
      <c r="E1482" s="3" t="s">
        <v>10902</v>
      </c>
      <c r="F1482" s="3" t="s">
        <v>10903</v>
      </c>
      <c r="G1482" s="3">
        <v>71839</v>
      </c>
      <c r="H1482" s="7" t="str">
        <f>HYPERLINK("http://www.ensembl.org/Mus_musculus/Gene/Summary?db=core;g=ENSMUSG00000074063","ENSMUSG00000074063")</f>
        <v>ENSMUSG00000074063</v>
      </c>
      <c r="I1482" s="7" t="str">
        <f>HYPERLINK("http://www.informatics.jax.org/marker/MGI:1919089","MGI:1919089")</f>
        <v>MGI:1919089</v>
      </c>
      <c r="J1482" s="4" t="s">
        <v>12</v>
      </c>
    </row>
    <row r="1483" spans="1:10" x14ac:dyDescent="0.25">
      <c r="A1483" s="2">
        <v>5742.0347986132001</v>
      </c>
      <c r="B1483" s="3">
        <v>0.98353545364544503</v>
      </c>
      <c r="C1483" s="5">
        <v>5.8117066736808396E-41</v>
      </c>
      <c r="D1483" s="6">
        <v>1.2127709587829199E-39</v>
      </c>
      <c r="E1483" s="3" t="s">
        <v>1907</v>
      </c>
      <c r="F1483" s="3" t="s">
        <v>1908</v>
      </c>
      <c r="G1483" s="3">
        <v>59027</v>
      </c>
      <c r="H1483" s="7" t="str">
        <f>HYPERLINK("http://www.ensembl.org/Mus_musculus/Gene/Summary?db=core;g=ENSMUSG00000020572","ENSMUSG00000020572")</f>
        <v>ENSMUSG00000020572</v>
      </c>
      <c r="I1483" s="7" t="str">
        <f>HYPERLINK("http://www.informatics.jax.org/marker/MGI:1929865","MGI:1929865")</f>
        <v>MGI:1929865</v>
      </c>
      <c r="J1483" s="4" t="s">
        <v>12</v>
      </c>
    </row>
    <row r="1484" spans="1:10" x14ac:dyDescent="0.25">
      <c r="A1484" s="2">
        <v>5.4666424334040897</v>
      </c>
      <c r="B1484" s="3">
        <v>0.98345699377850804</v>
      </c>
      <c r="C1484" s="3">
        <v>1.25691799847947E-2</v>
      </c>
      <c r="D1484" s="4">
        <v>3.0642134911627001E-2</v>
      </c>
      <c r="E1484" s="3" t="s">
        <v>16183</v>
      </c>
      <c r="F1484" s="3" t="s">
        <v>16184</v>
      </c>
      <c r="G1484" s="3" t="s">
        <v>83</v>
      </c>
      <c r="H1484" s="7" t="str">
        <f>HYPERLINK("http://www.ensembl.org/Mus_musculus/Gene/Summary?db=core;g=ENSMUSG00000096971","ENSMUSG00000096971")</f>
        <v>ENSMUSG00000096971</v>
      </c>
      <c r="I1484" s="7" t="str">
        <f>HYPERLINK("http://www.informatics.jax.org/marker/MGI:1922509","MGI:1922509")</f>
        <v>MGI:1922509</v>
      </c>
      <c r="J1484" s="4" t="s">
        <v>331</v>
      </c>
    </row>
    <row r="1485" spans="1:10" x14ac:dyDescent="0.25">
      <c r="A1485" s="2">
        <v>4464.9215316669097</v>
      </c>
      <c r="B1485" s="3">
        <v>0.98320213364752496</v>
      </c>
      <c r="C1485" s="5">
        <v>1.2447323365093701E-77</v>
      </c>
      <c r="D1485" s="6">
        <v>6.7994796886329101E-76</v>
      </c>
      <c r="E1485" s="3" t="s">
        <v>734</v>
      </c>
      <c r="F1485" s="3" t="s">
        <v>735</v>
      </c>
      <c r="G1485" s="3">
        <v>16418</v>
      </c>
      <c r="H1485" s="7" t="str">
        <f>HYPERLINK("http://www.ensembl.org/Mus_musculus/Gene/Summary?db=core;g=ENSMUSG00000027613","ENSMUSG00000027613")</f>
        <v>ENSMUSG00000027613</v>
      </c>
      <c r="I1485" s="7" t="str">
        <f>HYPERLINK("http://www.informatics.jax.org/marker/MGI:1196288","MGI:1196288")</f>
        <v>MGI:1196288</v>
      </c>
      <c r="J1485" s="4" t="s">
        <v>12</v>
      </c>
    </row>
    <row r="1486" spans="1:10" x14ac:dyDescent="0.25">
      <c r="A1486" s="2">
        <v>0.66894706605943299</v>
      </c>
      <c r="B1486" s="3">
        <v>0.98189469966573695</v>
      </c>
      <c r="C1486" s="3">
        <v>7.5698032643798201E-3</v>
      </c>
      <c r="D1486" s="4">
        <v>1.9276410172206899E-2</v>
      </c>
      <c r="E1486" s="3" t="s">
        <v>15493</v>
      </c>
      <c r="F1486" s="3" t="s">
        <v>15494</v>
      </c>
      <c r="G1486" s="3">
        <v>27007</v>
      </c>
      <c r="H1486" s="7" t="str">
        <f>HYPERLINK("http://www.ensembl.org/Mus_musculus/Gene/Summary?db=core;g=ENSMUSG00000030149","ENSMUSG00000030149")</f>
        <v>ENSMUSG00000030149</v>
      </c>
      <c r="I1486" s="7" t="str">
        <f>HYPERLINK("http://www.informatics.jax.org/marker/MGI:1196250","MGI:1196250")</f>
        <v>MGI:1196250</v>
      </c>
      <c r="J1486" s="4" t="s">
        <v>12</v>
      </c>
    </row>
    <row r="1487" spans="1:10" x14ac:dyDescent="0.25">
      <c r="A1487" s="2">
        <v>280.40570480667299</v>
      </c>
      <c r="B1487" s="3">
        <v>0.98151036372330103</v>
      </c>
      <c r="C1487" s="5">
        <v>1.2117797983844299E-21</v>
      </c>
      <c r="D1487" s="6">
        <v>1.2902968479557699E-20</v>
      </c>
      <c r="E1487" s="3" t="s">
        <v>3722</v>
      </c>
      <c r="F1487" s="3" t="s">
        <v>3723</v>
      </c>
      <c r="G1487" s="3">
        <v>109019</v>
      </c>
      <c r="H1487" s="7" t="str">
        <f>HYPERLINK("http://www.ensembl.org/Mus_musculus/Gene/Summary?db=core;g=ENSMUSG00000026107","ENSMUSG00000026107")</f>
        <v>ENSMUSG00000026107</v>
      </c>
      <c r="I1487" s="7" t="str">
        <f>HYPERLINK("http://www.informatics.jax.org/marker/MGI:1923258","MGI:1923258")</f>
        <v>MGI:1923258</v>
      </c>
      <c r="J1487" s="4" t="s">
        <v>12</v>
      </c>
    </row>
    <row r="1488" spans="1:10" x14ac:dyDescent="0.25">
      <c r="A1488" s="2">
        <v>772.51301932281899</v>
      </c>
      <c r="B1488" s="3">
        <v>0.98140183063481401</v>
      </c>
      <c r="C1488" s="5">
        <v>2.48555470748912E-23</v>
      </c>
      <c r="D1488" s="6">
        <v>2.84475559092777E-22</v>
      </c>
      <c r="E1488" s="3" t="s">
        <v>3464</v>
      </c>
      <c r="F1488" s="3" t="s">
        <v>3465</v>
      </c>
      <c r="G1488" s="3">
        <v>66205</v>
      </c>
      <c r="H1488" s="7" t="str">
        <f>HYPERLINK("http://www.ensembl.org/Mus_musculus/Gene/Summary?db=core;g=ENSMUSG00000060703","ENSMUSG00000060703")</f>
        <v>ENSMUSG00000060703</v>
      </c>
      <c r="I1488" s="7" t="str">
        <f>HYPERLINK("http://www.informatics.jax.org/marker/MGI:1913455","MGI:1913455")</f>
        <v>MGI:1913455</v>
      </c>
      <c r="J1488" s="4" t="s">
        <v>12</v>
      </c>
    </row>
    <row r="1489" spans="1:10" x14ac:dyDescent="0.25">
      <c r="A1489" s="2">
        <v>0.52948370295622504</v>
      </c>
      <c r="B1489" s="3">
        <v>0.97757535105385596</v>
      </c>
      <c r="C1489" s="3">
        <v>1.7690177024839999E-2</v>
      </c>
      <c r="D1489" s="4">
        <v>4.1793493582106697E-2</v>
      </c>
      <c r="E1489" s="3" t="s">
        <v>16698</v>
      </c>
      <c r="F1489" s="3" t="s">
        <v>16699</v>
      </c>
      <c r="G1489" s="3" t="s">
        <v>83</v>
      </c>
      <c r="H1489" s="7" t="str">
        <f>HYPERLINK("http://www.ensembl.org/Mus_musculus/Gene/Summary?db=core;g=ENSMUSG00000089733","ENSMUSG00000089733")</f>
        <v>ENSMUSG00000089733</v>
      </c>
      <c r="I1489" s="7" t="str">
        <f>HYPERLINK("http://www.informatics.jax.org/marker/MGI:3783072","MGI:3783072")</f>
        <v>MGI:3783072</v>
      </c>
      <c r="J1489" s="4" t="s">
        <v>939</v>
      </c>
    </row>
    <row r="1490" spans="1:10" x14ac:dyDescent="0.25">
      <c r="A1490" s="2">
        <v>1060.21758065462</v>
      </c>
      <c r="B1490" s="3">
        <v>0.97679047976143696</v>
      </c>
      <c r="C1490" s="5">
        <v>3.9072106707291899E-21</v>
      </c>
      <c r="D1490" s="6">
        <v>4.0510091707034499E-20</v>
      </c>
      <c r="E1490" s="3" t="s">
        <v>3822</v>
      </c>
      <c r="F1490" s="3" t="s">
        <v>3823</v>
      </c>
      <c r="G1490" s="3">
        <v>68497</v>
      </c>
      <c r="H1490" s="7" t="str">
        <f>HYPERLINK("http://www.ensembl.org/Mus_musculus/Gene/Summary?db=core;g=ENSMUSG00000042350","ENSMUSG00000042350")</f>
        <v>ENSMUSG00000042350</v>
      </c>
      <c r="I1490" s="7" t="str">
        <f>HYPERLINK("http://www.informatics.jax.org/marker/MGI:1915747","MGI:1915747")</f>
        <v>MGI:1915747</v>
      </c>
      <c r="J1490" s="4" t="s">
        <v>12</v>
      </c>
    </row>
    <row r="1491" spans="1:10" x14ac:dyDescent="0.25">
      <c r="A1491" s="2">
        <v>0.66545260898890402</v>
      </c>
      <c r="B1491" s="3">
        <v>0.975417574496249</v>
      </c>
      <c r="C1491" s="3">
        <v>2.03305498281364E-2</v>
      </c>
      <c r="D1491" s="4">
        <v>4.7356300804494302E-2</v>
      </c>
      <c r="E1491" s="3" t="s">
        <v>16936</v>
      </c>
      <c r="F1491" s="3" t="s">
        <v>16937</v>
      </c>
      <c r="G1491" s="3">
        <v>238455</v>
      </c>
      <c r="H1491" s="7" t="str">
        <f>HYPERLINK("http://www.ensembl.org/Mus_musculus/Gene/Summary?db=core;g=ENSMUSG00000041886","ENSMUSG00000041886")</f>
        <v>ENSMUSG00000041886</v>
      </c>
      <c r="I1491" s="7" t="str">
        <f>HYPERLINK("http://www.informatics.jax.org/marker/MGI:2685113","MGI:2685113")</f>
        <v>MGI:2685113</v>
      </c>
      <c r="J1491" s="4" t="s">
        <v>12</v>
      </c>
    </row>
    <row r="1492" spans="1:10" x14ac:dyDescent="0.25">
      <c r="A1492" s="2">
        <v>14.001414988119601</v>
      </c>
      <c r="B1492" s="3">
        <v>0.97480196913399797</v>
      </c>
      <c r="C1492" s="3">
        <v>6.8673343326389202E-4</v>
      </c>
      <c r="D1492" s="4">
        <v>2.0728020070573702E-3</v>
      </c>
      <c r="E1492" s="3" t="s">
        <v>13077</v>
      </c>
      <c r="F1492" s="3" t="s">
        <v>13078</v>
      </c>
      <c r="G1492" s="3" t="s">
        <v>83</v>
      </c>
      <c r="H1492" s="7" t="str">
        <f>HYPERLINK("http://www.ensembl.org/Mus_musculus/Gene/Summary?db=core;g=ENSMUSG00000064602","ENSMUSG00000064602")</f>
        <v>ENSMUSG00000064602</v>
      </c>
      <c r="I1492" s="7" t="str">
        <f>HYPERLINK("http://www.informatics.jax.org/marker/MGI:3819505","MGI:3819505")</f>
        <v>MGI:3819505</v>
      </c>
      <c r="J1492" s="4" t="s">
        <v>11100</v>
      </c>
    </row>
    <row r="1493" spans="1:10" x14ac:dyDescent="0.25">
      <c r="A1493" s="2">
        <v>3192.9930515435699</v>
      </c>
      <c r="B1493" s="3">
        <v>0.97444085021664795</v>
      </c>
      <c r="C1493" s="5">
        <v>1.9142029388227701E-48</v>
      </c>
      <c r="D1493" s="6">
        <v>4.9799580413700502E-47</v>
      </c>
      <c r="E1493" s="3" t="s">
        <v>1532</v>
      </c>
      <c r="F1493" s="3" t="s">
        <v>1533</v>
      </c>
      <c r="G1493" s="3">
        <v>11790</v>
      </c>
      <c r="H1493" s="7" t="str">
        <f>HYPERLINK("http://www.ensembl.org/Mus_musculus/Gene/Summary?db=core;g=ENSMUSG00000026207","ENSMUSG00000026207")</f>
        <v>ENSMUSG00000026207</v>
      </c>
      <c r="I1493" s="7" t="str">
        <f>HYPERLINK("http://www.informatics.jax.org/marker/MGI:109282","MGI:109282")</f>
        <v>MGI:109282</v>
      </c>
      <c r="J1493" s="4" t="s">
        <v>12</v>
      </c>
    </row>
    <row r="1494" spans="1:10" x14ac:dyDescent="0.25">
      <c r="A1494" s="2">
        <v>61.371464223493298</v>
      </c>
      <c r="B1494" s="3">
        <v>0.97126204439244501</v>
      </c>
      <c r="C1494" s="5">
        <v>6.0410297902449996E-10</v>
      </c>
      <c r="D1494" s="6">
        <v>3.2908593221997601E-9</v>
      </c>
      <c r="E1494" s="3" t="s">
        <v>7258</v>
      </c>
      <c r="F1494" s="3" t="s">
        <v>7259</v>
      </c>
      <c r="G1494" s="3">
        <v>15412</v>
      </c>
      <c r="H1494" s="7" t="str">
        <f>HYPERLINK("http://www.ensembl.org/Mus_musculus/Gene/Summary?db=core;g=ENSMUSG00000038692","ENSMUSG00000038692")</f>
        <v>ENSMUSG00000038692</v>
      </c>
      <c r="I1494" s="7" t="str">
        <f>HYPERLINK("http://www.informatics.jax.org/marker/MGI:96185","MGI:96185")</f>
        <v>MGI:96185</v>
      </c>
      <c r="J1494" s="4" t="s">
        <v>12</v>
      </c>
    </row>
    <row r="1495" spans="1:10" x14ac:dyDescent="0.25">
      <c r="A1495" s="2">
        <v>6.4417142210091196</v>
      </c>
      <c r="B1495" s="3">
        <v>0.970740679301766</v>
      </c>
      <c r="C1495" s="3">
        <v>1.0993273180879001E-2</v>
      </c>
      <c r="D1495" s="4">
        <v>2.7095031511927801E-2</v>
      </c>
      <c r="E1495" s="3" t="s">
        <v>16007</v>
      </c>
      <c r="F1495" s="3" t="s">
        <v>16008</v>
      </c>
      <c r="G1495" s="3" t="s">
        <v>83</v>
      </c>
      <c r="H1495" s="7" t="str">
        <f>HYPERLINK("http://www.ensembl.org/Mus_musculus/Gene/Summary?db=core;g=ENSMUSG00000097006","ENSMUSG00000097006")</f>
        <v>ENSMUSG00000097006</v>
      </c>
      <c r="I1495" s="7" t="str">
        <f>HYPERLINK("http://www.informatics.jax.org/marker/MGI:3603340","MGI:3603340")</f>
        <v>MGI:3603340</v>
      </c>
      <c r="J1495" s="4" t="s">
        <v>932</v>
      </c>
    </row>
    <row r="1496" spans="1:10" x14ac:dyDescent="0.25">
      <c r="A1496" s="2">
        <v>1289.8703244752401</v>
      </c>
      <c r="B1496" s="3">
        <v>0.97058334757795806</v>
      </c>
      <c r="C1496" s="5">
        <v>7.72672548353262E-19</v>
      </c>
      <c r="D1496" s="6">
        <v>7.2661433731646801E-18</v>
      </c>
      <c r="E1496" s="3" t="s">
        <v>4211</v>
      </c>
      <c r="F1496" s="3" t="s">
        <v>4212</v>
      </c>
      <c r="G1496" s="3">
        <v>14411</v>
      </c>
      <c r="H1496" s="7" t="str">
        <f>HYPERLINK("http://www.ensembl.org/Mus_musculus/Gene/Summary?db=core;g=ENSMUSG00000030109","ENSMUSG00000030109")</f>
        <v>ENSMUSG00000030109</v>
      </c>
      <c r="I1496" s="7" t="str">
        <f>HYPERLINK("http://www.informatics.jax.org/marker/MGI:95628","MGI:95628")</f>
        <v>MGI:95628</v>
      </c>
      <c r="J1496" s="4" t="s">
        <v>12</v>
      </c>
    </row>
    <row r="1497" spans="1:10" x14ac:dyDescent="0.25">
      <c r="A1497" s="2">
        <v>370.78956918984898</v>
      </c>
      <c r="B1497" s="3">
        <v>0.96873449297584802</v>
      </c>
      <c r="C1497" s="5">
        <v>3.4450334469913401E-20</v>
      </c>
      <c r="D1497" s="6">
        <v>3.4502823552396802E-19</v>
      </c>
      <c r="E1497" s="3" t="s">
        <v>3956</v>
      </c>
      <c r="F1497" s="3" t="s">
        <v>3957</v>
      </c>
      <c r="G1497" s="3">
        <v>12585</v>
      </c>
      <c r="H1497" s="7" t="str">
        <f>HYPERLINK("http://www.ensembl.org/Mus_musculus/Gene/Summary?db=core;g=ENSMUSG00000030878","ENSMUSG00000030878")</f>
        <v>ENSMUSG00000030878</v>
      </c>
      <c r="I1497" s="7" t="str">
        <f>HYPERLINK("http://www.informatics.jax.org/marker/MGI:1100885","MGI:1100885")</f>
        <v>MGI:1100885</v>
      </c>
      <c r="J1497" s="4" t="s">
        <v>12</v>
      </c>
    </row>
    <row r="1498" spans="1:10" x14ac:dyDescent="0.25">
      <c r="A1498" s="2">
        <v>132.47144164359</v>
      </c>
      <c r="B1498" s="3">
        <v>0.96840455105687195</v>
      </c>
      <c r="C1498" s="5">
        <v>9.7898153845222497E-12</v>
      </c>
      <c r="D1498" s="6">
        <v>6.1190224843986904E-11</v>
      </c>
      <c r="E1498" s="3" t="s">
        <v>6327</v>
      </c>
      <c r="F1498" s="3" t="s">
        <v>6328</v>
      </c>
      <c r="G1498" s="3">
        <v>67434</v>
      </c>
      <c r="H1498" s="7" t="str">
        <f>HYPERLINK("http://www.ensembl.org/Mus_musculus/Gene/Summary?db=core;g=ENSMUSG00000022237","ENSMUSG00000022237")</f>
        <v>ENSMUSG00000022237</v>
      </c>
      <c r="I1498" s="7" t="str">
        <f>HYPERLINK("http://www.informatics.jax.org/marker/MGI:1917904","MGI:1917904")</f>
        <v>MGI:1917904</v>
      </c>
      <c r="J1498" s="4" t="s">
        <v>12</v>
      </c>
    </row>
    <row r="1499" spans="1:10" x14ac:dyDescent="0.25">
      <c r="A1499" s="2">
        <v>204.28145205956201</v>
      </c>
      <c r="B1499" s="3">
        <v>0.96595154381135695</v>
      </c>
      <c r="C1499" s="5">
        <v>2.9744766477036002E-29</v>
      </c>
      <c r="D1499" s="6">
        <v>4.2815094520229903E-28</v>
      </c>
      <c r="E1499" s="3" t="s">
        <v>2758</v>
      </c>
      <c r="F1499" s="3" t="s">
        <v>2759</v>
      </c>
      <c r="G1499" s="3">
        <v>17364</v>
      </c>
      <c r="H1499" s="7" t="str">
        <f>HYPERLINK("http://www.ensembl.org/Mus_musculus/Gene/Summary?db=core;g=ENSMUSG00000030523","ENSMUSG00000030523")</f>
        <v>ENSMUSG00000030523</v>
      </c>
      <c r="I1499" s="7" t="str">
        <f>HYPERLINK("http://www.informatics.jax.org/marker/MGI:1330305","MGI:1330305")</f>
        <v>MGI:1330305</v>
      </c>
      <c r="J1499" s="4" t="s">
        <v>12</v>
      </c>
    </row>
    <row r="1500" spans="1:10" x14ac:dyDescent="0.25">
      <c r="A1500" s="2">
        <v>5453.7114700720003</v>
      </c>
      <c r="B1500" s="3">
        <v>0.96578352593959704</v>
      </c>
      <c r="C1500" s="5">
        <v>3.0296766413194801E-50</v>
      </c>
      <c r="D1500" s="6">
        <v>8.2067614514863E-49</v>
      </c>
      <c r="E1500" s="3" t="s">
        <v>1472</v>
      </c>
      <c r="F1500" s="3" t="s">
        <v>1473</v>
      </c>
      <c r="G1500" s="3">
        <v>20932</v>
      </c>
      <c r="H1500" s="7" t="str">
        <f>HYPERLINK("http://www.ensembl.org/Mus_musculus/Gene/Summary?db=core;g=ENSMUSG00000014867","ENSMUSG00000014867")</f>
        <v>ENSMUSG00000014867</v>
      </c>
      <c r="I1500" s="7" t="str">
        <f>HYPERLINK("http://www.informatics.jax.org/marker/MGI:98445","MGI:98445")</f>
        <v>MGI:98445</v>
      </c>
      <c r="J1500" s="4" t="s">
        <v>12</v>
      </c>
    </row>
    <row r="1501" spans="1:10" x14ac:dyDescent="0.25">
      <c r="A1501" s="2">
        <v>3375.0529675415301</v>
      </c>
      <c r="B1501" s="3">
        <v>0.96505866941724305</v>
      </c>
      <c r="C1501" s="5">
        <v>3.46175258931366E-103</v>
      </c>
      <c r="D1501" s="6">
        <v>2.8926169941214101E-101</v>
      </c>
      <c r="E1501" s="3" t="s">
        <v>484</v>
      </c>
      <c r="F1501" s="3" t="s">
        <v>485</v>
      </c>
      <c r="G1501" s="3">
        <v>19325</v>
      </c>
      <c r="H1501" s="7" t="str">
        <f>HYPERLINK("http://www.ensembl.org/Mus_musculus/Gene/Summary?db=core;g=ENSMUSG00000020671","ENSMUSG00000020671")</f>
        <v>ENSMUSG00000020671</v>
      </c>
      <c r="I1501" s="7" t="str">
        <f>HYPERLINK("http://www.informatics.jax.org/marker/MGI:105066","MGI:105066")</f>
        <v>MGI:105066</v>
      </c>
      <c r="J1501" s="4" t="s">
        <v>12</v>
      </c>
    </row>
    <row r="1502" spans="1:10" x14ac:dyDescent="0.25">
      <c r="A1502" s="2">
        <v>2547.26365334712</v>
      </c>
      <c r="B1502" s="3">
        <v>0.964856099568841</v>
      </c>
      <c r="C1502" s="5">
        <v>4.1970628983555998E-39</v>
      </c>
      <c r="D1502" s="6">
        <v>8.3015125732770704E-38</v>
      </c>
      <c r="E1502" s="3" t="s">
        <v>2011</v>
      </c>
      <c r="F1502" s="3" t="s">
        <v>2012</v>
      </c>
      <c r="G1502" s="3">
        <v>66054</v>
      </c>
      <c r="H1502" s="7" t="str">
        <f>HYPERLINK("http://www.ensembl.org/Mus_musculus/Gene/Summary?db=core;g=ENSMUSG00000024644","ENSMUSG00000024644")</f>
        <v>ENSMUSG00000024644</v>
      </c>
      <c r="I1502" s="7" t="str">
        <f>HYPERLINK("http://www.informatics.jax.org/marker/MGI:1913304","MGI:1913304")</f>
        <v>MGI:1913304</v>
      </c>
      <c r="J1502" s="4" t="s">
        <v>12</v>
      </c>
    </row>
    <row r="1503" spans="1:10" x14ac:dyDescent="0.25">
      <c r="A1503" s="2">
        <v>989.68700930578302</v>
      </c>
      <c r="B1503" s="3">
        <v>0.96469418168028398</v>
      </c>
      <c r="C1503" s="5">
        <v>9.6861784889005609E-41</v>
      </c>
      <c r="D1503" s="6">
        <v>2.0148886054970401E-39</v>
      </c>
      <c r="E1503" s="3" t="s">
        <v>1913</v>
      </c>
      <c r="F1503" s="3" t="s">
        <v>1914</v>
      </c>
      <c r="G1503" s="3">
        <v>107684</v>
      </c>
      <c r="H1503" s="7" t="str">
        <f>HYPERLINK("http://www.ensembl.org/Mus_musculus/Gene/Summary?db=core;g=ENSMUSG00000028337","ENSMUSG00000028337")</f>
        <v>ENSMUSG00000028337</v>
      </c>
      <c r="I1503" s="7" t="str">
        <f>HYPERLINK("http://www.informatics.jax.org/marker/MGI:1345966","MGI:1345966")</f>
        <v>MGI:1345966</v>
      </c>
      <c r="J1503" s="4" t="s">
        <v>12</v>
      </c>
    </row>
    <row r="1504" spans="1:10" x14ac:dyDescent="0.25">
      <c r="A1504" s="2">
        <v>1868.7988977089799</v>
      </c>
      <c r="B1504" s="3">
        <v>0.96417668026918402</v>
      </c>
      <c r="C1504" s="5">
        <v>6.84883007003409E-34</v>
      </c>
      <c r="D1504" s="6">
        <v>1.14166465749004E-32</v>
      </c>
      <c r="E1504" s="3" t="s">
        <v>2383</v>
      </c>
      <c r="F1504" s="3" t="s">
        <v>2384</v>
      </c>
      <c r="G1504" s="3">
        <v>15902</v>
      </c>
      <c r="H1504" s="7" t="str">
        <f>HYPERLINK("http://www.ensembl.org/Mus_musculus/Gene/Summary?db=core;g=ENSMUSG00000020644","ENSMUSG00000020644")</f>
        <v>ENSMUSG00000020644</v>
      </c>
      <c r="I1504" s="7" t="str">
        <f>HYPERLINK("http://www.informatics.jax.org/marker/MGI:96397","MGI:96397")</f>
        <v>MGI:96397</v>
      </c>
      <c r="J1504" s="4" t="s">
        <v>12</v>
      </c>
    </row>
    <row r="1505" spans="1:10" x14ac:dyDescent="0.25">
      <c r="A1505" s="2">
        <v>1322.6076194678999</v>
      </c>
      <c r="B1505" s="3">
        <v>0.96355833362607701</v>
      </c>
      <c r="C1505" s="5">
        <v>6.0557789303650201E-43</v>
      </c>
      <c r="D1505" s="6">
        <v>1.3402913637126599E-41</v>
      </c>
      <c r="E1505" s="3" t="s">
        <v>1798</v>
      </c>
      <c r="F1505" s="3" t="s">
        <v>1799</v>
      </c>
      <c r="G1505" s="3">
        <v>230674</v>
      </c>
      <c r="H1505" s="7" t="str">
        <f>HYPERLINK("http://www.ensembl.org/Mus_musculus/Gene/Summary?db=core;g=ENSMUSG00000033326","ENSMUSG00000033326")</f>
        <v>ENSMUSG00000033326</v>
      </c>
      <c r="I1505" s="7" t="str">
        <f>HYPERLINK("http://www.informatics.jax.org/marker/MGI:2446210","MGI:2446210")</f>
        <v>MGI:2446210</v>
      </c>
      <c r="J1505" s="4" t="s">
        <v>12</v>
      </c>
    </row>
    <row r="1506" spans="1:10" x14ac:dyDescent="0.25">
      <c r="A1506" s="2">
        <v>33.897214836766601</v>
      </c>
      <c r="B1506" s="3">
        <v>0.96289918447040601</v>
      </c>
      <c r="C1506" s="3">
        <v>3.7254086139990999E-4</v>
      </c>
      <c r="D1506" s="4">
        <v>1.1653721108512401E-3</v>
      </c>
      <c r="E1506" s="3" t="s">
        <v>12621</v>
      </c>
      <c r="F1506" s="3" t="s">
        <v>12622</v>
      </c>
      <c r="G1506" s="3">
        <v>68521</v>
      </c>
      <c r="H1506" s="7" t="str">
        <f>HYPERLINK("http://www.ensembl.org/Mus_musculus/Gene/Summary?db=core;g=ENSMUSG00000032657","ENSMUSG00000032657")</f>
        <v>ENSMUSG00000032657</v>
      </c>
      <c r="I1506" s="7" t="str">
        <f>HYPERLINK("http://www.informatics.jax.org/marker/MGI:1915771","MGI:1915771")</f>
        <v>MGI:1915771</v>
      </c>
      <c r="J1506" s="4" t="s">
        <v>12</v>
      </c>
    </row>
    <row r="1507" spans="1:10" x14ac:dyDescent="0.25">
      <c r="A1507" s="2">
        <v>0.646515002679385</v>
      </c>
      <c r="B1507" s="3">
        <v>0.96198437545696203</v>
      </c>
      <c r="C1507" s="3">
        <v>1.66706460844008E-2</v>
      </c>
      <c r="D1507" s="4">
        <v>3.9607848287275101E-2</v>
      </c>
      <c r="E1507" s="3" t="s">
        <v>16604</v>
      </c>
      <c r="F1507" s="3" t="s">
        <v>16605</v>
      </c>
      <c r="G1507" s="3">
        <v>94179</v>
      </c>
      <c r="H1507" s="7" t="str">
        <f>HYPERLINK("http://www.ensembl.org/Mus_musculus/Gene/Summary?db=core;g=ENSMUSG00000006777","ENSMUSG00000006777")</f>
        <v>ENSMUSG00000006777</v>
      </c>
      <c r="I1507" s="7" t="str">
        <f>HYPERLINK("http://www.informatics.jax.org/marker/MGI:2148866","MGI:2148866")</f>
        <v>MGI:2148866</v>
      </c>
      <c r="J1507" s="4" t="s">
        <v>12</v>
      </c>
    </row>
    <row r="1508" spans="1:10" x14ac:dyDescent="0.25">
      <c r="A1508" s="2">
        <v>80.777315734992897</v>
      </c>
      <c r="B1508" s="3">
        <v>0.96193607622327204</v>
      </c>
      <c r="C1508" s="5">
        <v>1.9678200453102099E-11</v>
      </c>
      <c r="D1508" s="6">
        <v>1.2066359233058899E-10</v>
      </c>
      <c r="E1508" s="3" t="s">
        <v>6449</v>
      </c>
      <c r="F1508" s="3" t="s">
        <v>6450</v>
      </c>
      <c r="G1508" s="3" t="s">
        <v>83</v>
      </c>
      <c r="H1508" s="7" t="str">
        <f>HYPERLINK("http://www.ensembl.org/Mus_musculus/Gene/Summary?db=core;g=ENSMUSG00000085101","ENSMUSG00000085101")</f>
        <v>ENSMUSG00000085101</v>
      </c>
      <c r="I1508" s="7" t="str">
        <f>HYPERLINK("http://www.informatics.jax.org/marker/MGI:3651931","MGI:3651931")</f>
        <v>MGI:3651931</v>
      </c>
      <c r="J1508" s="4" t="s">
        <v>331</v>
      </c>
    </row>
    <row r="1509" spans="1:10" x14ac:dyDescent="0.25">
      <c r="A1509" s="2">
        <v>973.11799459537804</v>
      </c>
      <c r="B1509" s="3">
        <v>0.96072858958963803</v>
      </c>
      <c r="C1509" s="5">
        <v>1.32099505604023E-30</v>
      </c>
      <c r="D1509" s="6">
        <v>1.9824979075428699E-29</v>
      </c>
      <c r="E1509" s="3" t="s">
        <v>2645</v>
      </c>
      <c r="F1509" s="3" t="s">
        <v>2646</v>
      </c>
      <c r="G1509" s="3">
        <v>100494</v>
      </c>
      <c r="H1509" s="7" t="str">
        <f>HYPERLINK("http://www.ensembl.org/Mus_musculus/Gene/Summary?db=core;g=ENSMUSG00000053581","ENSMUSG00000053581")</f>
        <v>ENSMUSG00000053581</v>
      </c>
      <c r="I1509" s="7" t="str">
        <f>HYPERLINK("http://www.informatics.jax.org/marker/MGI:2140729","MGI:2140729")</f>
        <v>MGI:2140729</v>
      </c>
      <c r="J1509" s="4" t="s">
        <v>12</v>
      </c>
    </row>
    <row r="1510" spans="1:10" x14ac:dyDescent="0.25">
      <c r="A1510" s="2">
        <v>858.140321200274</v>
      </c>
      <c r="B1510" s="3">
        <v>0.95936800630531704</v>
      </c>
      <c r="C1510" s="5">
        <v>3.1870484430592499E-52</v>
      </c>
      <c r="D1510" s="6">
        <v>9.0429633521048102E-51</v>
      </c>
      <c r="E1510" s="3" t="s">
        <v>1406</v>
      </c>
      <c r="F1510" s="3" t="s">
        <v>1407</v>
      </c>
      <c r="G1510" s="3">
        <v>17873</v>
      </c>
      <c r="H1510" s="7" t="str">
        <f>HYPERLINK("http://www.ensembl.org/Mus_musculus/Gene/Summary?db=core;g=ENSMUSG00000015312","ENSMUSG00000015312")</f>
        <v>ENSMUSG00000015312</v>
      </c>
      <c r="I1510" s="7" t="str">
        <f>HYPERLINK("http://www.informatics.jax.org/marker/MGI:107776","MGI:107776")</f>
        <v>MGI:107776</v>
      </c>
      <c r="J1510" s="4" t="s">
        <v>12</v>
      </c>
    </row>
    <row r="1511" spans="1:10" x14ac:dyDescent="0.25">
      <c r="A1511" s="2">
        <v>19.814866967665399</v>
      </c>
      <c r="B1511" s="3">
        <v>0.95929005981079496</v>
      </c>
      <c r="C1511" s="3">
        <v>1.19886579957929E-4</v>
      </c>
      <c r="D1511" s="4">
        <v>4.0016305971062402E-4</v>
      </c>
      <c r="E1511" s="3" t="s">
        <v>11827</v>
      </c>
      <c r="F1511" s="3" t="s">
        <v>11828</v>
      </c>
      <c r="G1511" s="3">
        <v>213208</v>
      </c>
      <c r="H1511" s="7" t="str">
        <f>HYPERLINK("http://www.ensembl.org/Mus_musculus/Gene/Summary?db=core;g=ENSMUSG00000044244","ENSMUSG00000044244")</f>
        <v>ENSMUSG00000044244</v>
      </c>
      <c r="I1511" s="7" t="str">
        <f>HYPERLINK("http://www.informatics.jax.org/marker/MGI:2143266","MGI:2143266")</f>
        <v>MGI:2143266</v>
      </c>
      <c r="J1511" s="4" t="s">
        <v>12</v>
      </c>
    </row>
    <row r="1512" spans="1:10" x14ac:dyDescent="0.25">
      <c r="A1512" s="2">
        <v>10.4358942646502</v>
      </c>
      <c r="B1512" s="3">
        <v>0.95766193362477003</v>
      </c>
      <c r="C1512" s="3">
        <v>2.7720798454518498E-3</v>
      </c>
      <c r="D1512" s="4">
        <v>7.6497921287868101E-3</v>
      </c>
      <c r="E1512" s="3" t="s">
        <v>14297</v>
      </c>
      <c r="F1512" s="3" t="s">
        <v>14298</v>
      </c>
      <c r="G1512" s="3" t="s">
        <v>83</v>
      </c>
      <c r="H1512" s="7" t="str">
        <f>HYPERLINK("http://www.ensembl.org/Mus_musculus/Gene/Summary?db=core;g=ENSMUSG00000102964","ENSMUSG00000102964")</f>
        <v>ENSMUSG00000102964</v>
      </c>
      <c r="I1512" s="7" t="str">
        <f>HYPERLINK("http://www.informatics.jax.org/marker/MGI:2444791","MGI:2444791")</f>
        <v>MGI:2444791</v>
      </c>
      <c r="J1512" s="4" t="s">
        <v>1828</v>
      </c>
    </row>
    <row r="1513" spans="1:10" x14ac:dyDescent="0.25">
      <c r="A1513" s="2">
        <v>1641.01132094123</v>
      </c>
      <c r="B1513" s="3">
        <v>0.95741509143350301</v>
      </c>
      <c r="C1513" s="5">
        <v>2.3339922650785699E-19</v>
      </c>
      <c r="D1513" s="6">
        <v>2.2495761225488399E-18</v>
      </c>
      <c r="E1513" s="3" t="s">
        <v>4109</v>
      </c>
      <c r="F1513" s="3" t="s">
        <v>4110</v>
      </c>
      <c r="G1513" s="3">
        <v>14583</v>
      </c>
      <c r="H1513" s="7" t="str">
        <f>HYPERLINK("http://www.ensembl.org/Mus_musculus/Gene/Summary?db=core;g=ENSMUSG00000029992","ENSMUSG00000029992")</f>
        <v>ENSMUSG00000029992</v>
      </c>
      <c r="I1513" s="7" t="str">
        <f>HYPERLINK("http://www.informatics.jax.org/marker/MGI:95698","MGI:95698")</f>
        <v>MGI:95698</v>
      </c>
      <c r="J1513" s="4" t="s">
        <v>12</v>
      </c>
    </row>
    <row r="1514" spans="1:10" x14ac:dyDescent="0.25">
      <c r="A1514" s="2">
        <v>4.6781470407613899</v>
      </c>
      <c r="B1514" s="3">
        <v>0.95688923403295501</v>
      </c>
      <c r="C1514" s="3">
        <v>2.0046207009610999E-2</v>
      </c>
      <c r="D1514" s="4">
        <v>4.6775589847297898E-2</v>
      </c>
      <c r="E1514" s="3" t="s">
        <v>16908</v>
      </c>
      <c r="F1514" s="3" t="s">
        <v>16909</v>
      </c>
      <c r="G1514" s="3">
        <v>71138</v>
      </c>
      <c r="H1514" s="7" t="str">
        <f>HYPERLINK("http://www.ensembl.org/Mus_musculus/Gene/Summary?db=core;g=ENSMUSG00000091614","ENSMUSG00000091614")</f>
        <v>ENSMUSG00000091614</v>
      </c>
      <c r="I1514" s="7" t="str">
        <f>HYPERLINK("http://www.informatics.jax.org/marker/MGI:4937291","MGI:4937291")</f>
        <v>MGI:4937291</v>
      </c>
      <c r="J1514" s="4" t="s">
        <v>12</v>
      </c>
    </row>
    <row r="1515" spans="1:10" x14ac:dyDescent="0.25">
      <c r="A1515" s="2">
        <v>1651.6447829645599</v>
      </c>
      <c r="B1515" s="3">
        <v>0.95644336927291196</v>
      </c>
      <c r="C1515" s="5">
        <v>3.7136423248703403E-32</v>
      </c>
      <c r="D1515" s="6">
        <v>5.8029339656452604E-31</v>
      </c>
      <c r="E1515" s="3" t="s">
        <v>2541</v>
      </c>
      <c r="F1515" s="3" t="s">
        <v>2542</v>
      </c>
      <c r="G1515" s="3">
        <v>11303</v>
      </c>
      <c r="H1515" s="7" t="str">
        <f>HYPERLINK("http://www.ensembl.org/Mus_musculus/Gene/Summary?db=core;g=ENSMUSG00000015243","ENSMUSG00000015243")</f>
        <v>ENSMUSG00000015243</v>
      </c>
      <c r="I1515" s="7" t="str">
        <f>HYPERLINK("http://www.informatics.jax.org/marker/MGI:99607","MGI:99607")</f>
        <v>MGI:99607</v>
      </c>
      <c r="J1515" s="4" t="s">
        <v>12</v>
      </c>
    </row>
    <row r="1516" spans="1:10" x14ac:dyDescent="0.25">
      <c r="A1516" s="2">
        <v>345.57552428583398</v>
      </c>
      <c r="B1516" s="3">
        <v>0.95561052555593196</v>
      </c>
      <c r="C1516" s="5">
        <v>3.31286210041901E-29</v>
      </c>
      <c r="D1516" s="6">
        <v>4.7477936497284099E-28</v>
      </c>
      <c r="E1516" s="3" t="s">
        <v>2770</v>
      </c>
      <c r="F1516" s="3" t="s">
        <v>2771</v>
      </c>
      <c r="G1516" s="3">
        <v>19108</v>
      </c>
      <c r="H1516" s="7" t="str">
        <f>HYPERLINK("http://www.ensembl.org/Mus_musculus/Gene/Summary?db=core;g=ENSMUSG00000035725","ENSMUSG00000035725")</f>
        <v>ENSMUSG00000035725</v>
      </c>
      <c r="I1516" s="7" t="str">
        <f>HYPERLINK("http://www.informatics.jax.org/marker/MGI:1309999","MGI:1309999")</f>
        <v>MGI:1309999</v>
      </c>
      <c r="J1516" s="4" t="s">
        <v>12</v>
      </c>
    </row>
    <row r="1517" spans="1:10" x14ac:dyDescent="0.25">
      <c r="A1517" s="2">
        <v>182.509848222632</v>
      </c>
      <c r="B1517" s="3">
        <v>0.95531488133494802</v>
      </c>
      <c r="C1517" s="5">
        <v>1.6909452233407099E-20</v>
      </c>
      <c r="D1517" s="6">
        <v>1.71618321174878E-19</v>
      </c>
      <c r="E1517" s="3" t="s">
        <v>3904</v>
      </c>
      <c r="F1517" s="3" t="s">
        <v>3905</v>
      </c>
      <c r="G1517" s="3">
        <v>110175</v>
      </c>
      <c r="H1517" s="7" t="str">
        <f>HYPERLINK("http://www.ensembl.org/Mus_musculus/Gene/Summary?db=core;g=ENSMUSG00000002797","ENSMUSG00000002797")</f>
        <v>ENSMUSG00000002797</v>
      </c>
      <c r="I1517" s="7" t="str">
        <f>HYPERLINK("http://www.informatics.jax.org/marker/MGI:95700","MGI:95700")</f>
        <v>MGI:95700</v>
      </c>
      <c r="J1517" s="4" t="s">
        <v>12</v>
      </c>
    </row>
    <row r="1518" spans="1:10" x14ac:dyDescent="0.25">
      <c r="A1518" s="2">
        <v>4381.9070290405498</v>
      </c>
      <c r="B1518" s="3">
        <v>0.95355661677041403</v>
      </c>
      <c r="C1518" s="5">
        <v>5.1470432864124102E-33</v>
      </c>
      <c r="D1518" s="6">
        <v>8.2721836681379596E-32</v>
      </c>
      <c r="E1518" s="3" t="s">
        <v>2471</v>
      </c>
      <c r="F1518" s="3" t="s">
        <v>2472</v>
      </c>
      <c r="G1518" s="3">
        <v>407243</v>
      </c>
      <c r="H1518" s="7" t="str">
        <f>HYPERLINK("http://www.ensembl.org/Mus_musculus/Gene/Summary?db=core;g=ENSMUSG00000090213","ENSMUSG00000090213")</f>
        <v>ENSMUSG00000090213</v>
      </c>
      <c r="I1518" s="7" t="str">
        <f>HYPERLINK("http://www.informatics.jax.org/marker/MGI:2142624","MGI:2142624")</f>
        <v>MGI:2142624</v>
      </c>
      <c r="J1518" s="4" t="s">
        <v>12</v>
      </c>
    </row>
    <row r="1519" spans="1:10" x14ac:dyDescent="0.25">
      <c r="A1519" s="2">
        <v>60.310927079922202</v>
      </c>
      <c r="B1519" s="3">
        <v>0.95278511192246895</v>
      </c>
      <c r="C1519" s="5">
        <v>2.6209490996254601E-7</v>
      </c>
      <c r="D1519" s="6">
        <v>1.14881343064268E-6</v>
      </c>
      <c r="E1519" s="3" t="s">
        <v>9013</v>
      </c>
      <c r="F1519" s="3" t="s">
        <v>9014</v>
      </c>
      <c r="G1519" s="3">
        <v>54447</v>
      </c>
      <c r="H1519" s="7" t="str">
        <f>HYPERLINK("http://www.ensembl.org/Mus_musculus/Gene/Summary?db=core;g=ENSMUSG00000024887","ENSMUSG00000024887")</f>
        <v>ENSMUSG00000024887</v>
      </c>
      <c r="I1519" s="7" t="str">
        <f>HYPERLINK("http://www.informatics.jax.org/marker/MGI:1859310","MGI:1859310")</f>
        <v>MGI:1859310</v>
      </c>
      <c r="J1519" s="4" t="s">
        <v>12</v>
      </c>
    </row>
    <row r="1520" spans="1:10" x14ac:dyDescent="0.25">
      <c r="A1520" s="2">
        <v>628.468373593313</v>
      </c>
      <c r="B1520" s="3">
        <v>0.952535692657132</v>
      </c>
      <c r="C1520" s="5">
        <v>2.76417205101981E-43</v>
      </c>
      <c r="D1520" s="6">
        <v>6.18722733781052E-42</v>
      </c>
      <c r="E1520" s="3" t="s">
        <v>1778</v>
      </c>
      <c r="F1520" s="3" t="s">
        <v>1779</v>
      </c>
      <c r="G1520" s="3">
        <v>68048</v>
      </c>
      <c r="H1520" s="7" t="str">
        <f>HYPERLINK("http://www.ensembl.org/Mus_musculus/Gene/Summary?db=core;g=ENSMUSG00000030609","ENSMUSG00000030609")</f>
        <v>ENSMUSG00000030609</v>
      </c>
      <c r="I1520" s="7" t="str">
        <f>HYPERLINK("http://www.informatics.jax.org/marker/MGI:1915298","MGI:1915298")</f>
        <v>MGI:1915298</v>
      </c>
      <c r="J1520" s="4" t="s">
        <v>12</v>
      </c>
    </row>
    <row r="1521" spans="1:10" x14ac:dyDescent="0.25">
      <c r="A1521" s="2">
        <v>16.791146321075701</v>
      </c>
      <c r="B1521" s="3">
        <v>0.95251948499379302</v>
      </c>
      <c r="C1521" s="3">
        <v>6.0045543896491396E-4</v>
      </c>
      <c r="D1521" s="4">
        <v>1.82985338531728E-3</v>
      </c>
      <c r="E1521" s="3" t="s">
        <v>12951</v>
      </c>
      <c r="F1521" s="3" t="s">
        <v>12952</v>
      </c>
      <c r="G1521" s="3" t="s">
        <v>83</v>
      </c>
      <c r="H1521" s="7" t="str">
        <f>HYPERLINK("http://www.ensembl.org/Mus_musculus/Gene/Summary?db=core;g=ENSMUSG00000112008","ENSMUSG00000112008")</f>
        <v>ENSMUSG00000112008</v>
      </c>
      <c r="I1521" s="7" t="str">
        <f>HYPERLINK("http://www.informatics.jax.org/marker/MGI:6096027","MGI:6096027")</f>
        <v>MGI:6096027</v>
      </c>
      <c r="J1521" s="4" t="s">
        <v>1828</v>
      </c>
    </row>
    <row r="1522" spans="1:10" x14ac:dyDescent="0.25">
      <c r="A1522" s="2">
        <v>21.242809084137701</v>
      </c>
      <c r="B1522" s="3">
        <v>0.95205033071511902</v>
      </c>
      <c r="C1522" s="5">
        <v>8.9878666247317701E-5</v>
      </c>
      <c r="D1522" s="4">
        <v>3.0469439546108E-4</v>
      </c>
      <c r="E1522" s="3" t="s">
        <v>11645</v>
      </c>
      <c r="F1522" s="3" t="s">
        <v>11646</v>
      </c>
      <c r="G1522" s="3" t="s">
        <v>83</v>
      </c>
      <c r="H1522" s="7" t="str">
        <f>HYPERLINK("http://www.ensembl.org/Mus_musculus/Gene/Summary?db=core;g=ENSMUSG00000083283","ENSMUSG00000083283")</f>
        <v>ENSMUSG00000083283</v>
      </c>
      <c r="I1522" s="7" t="str">
        <f>HYPERLINK("http://www.informatics.jax.org/marker/MGI:3642247","MGI:3642247")</f>
        <v>MGI:3642247</v>
      </c>
      <c r="J1522" s="4" t="s">
        <v>1043</v>
      </c>
    </row>
    <row r="1523" spans="1:10" x14ac:dyDescent="0.25">
      <c r="A1523" s="2">
        <v>13.7912862780595</v>
      </c>
      <c r="B1523" s="3">
        <v>0.95203110728513696</v>
      </c>
      <c r="C1523" s="3">
        <v>3.7022708242040099E-3</v>
      </c>
      <c r="D1523" s="4">
        <v>1.0023171424121799E-2</v>
      </c>
      <c r="E1523" s="3" t="s">
        <v>14571</v>
      </c>
      <c r="F1523" s="3" t="s">
        <v>14572</v>
      </c>
      <c r="G1523" s="3" t="s">
        <v>83</v>
      </c>
      <c r="H1523" s="7" t="str">
        <f>HYPERLINK("http://www.ensembl.org/Mus_musculus/Gene/Summary?db=core;g=ENSMUSG00000087088","ENSMUSG00000087088")</f>
        <v>ENSMUSG00000087088</v>
      </c>
      <c r="I1523" s="7" t="str">
        <f>HYPERLINK("http://www.informatics.jax.org/marker/MGI:4439562","MGI:4439562")</f>
        <v>MGI:4439562</v>
      </c>
      <c r="J1523" s="4" t="s">
        <v>932</v>
      </c>
    </row>
    <row r="1524" spans="1:10" x14ac:dyDescent="0.25">
      <c r="A1524" s="2">
        <v>605.262618322869</v>
      </c>
      <c r="B1524" s="3">
        <v>0.95163678650280503</v>
      </c>
      <c r="C1524" s="5">
        <v>2.4753987800988499E-21</v>
      </c>
      <c r="D1524" s="6">
        <v>2.59930052947547E-20</v>
      </c>
      <c r="E1524" s="3" t="s">
        <v>3774</v>
      </c>
      <c r="F1524" s="3" t="s">
        <v>3775</v>
      </c>
      <c r="G1524" s="3">
        <v>16164</v>
      </c>
      <c r="H1524" s="7" t="str">
        <f>HYPERLINK("http://www.ensembl.org/Mus_musculus/Gene/Summary?db=core;g=ENSMUSG00000017057","ENSMUSG00000017057")</f>
        <v>ENSMUSG00000017057</v>
      </c>
      <c r="I1524" s="7" t="str">
        <f>HYPERLINK("http://www.informatics.jax.org/marker/MGI:105052","MGI:105052")</f>
        <v>MGI:105052</v>
      </c>
      <c r="J1524" s="4" t="s">
        <v>12</v>
      </c>
    </row>
    <row r="1525" spans="1:10" x14ac:dyDescent="0.25">
      <c r="A1525" s="2">
        <v>49.695609074716202</v>
      </c>
      <c r="B1525" s="3">
        <v>0.95092431295979296</v>
      </c>
      <c r="C1525" s="3">
        <v>3.3906678044983199E-4</v>
      </c>
      <c r="D1525" s="4">
        <v>1.06726207669125E-3</v>
      </c>
      <c r="E1525" s="3" t="s">
        <v>12543</v>
      </c>
      <c r="F1525" s="3" t="s">
        <v>12544</v>
      </c>
      <c r="G1525" s="3">
        <v>380839</v>
      </c>
      <c r="H1525" s="7" t="str">
        <f>HYPERLINK("http://www.ensembl.org/Mus_musculus/Gene/Summary?db=core;g=ENSMUSG00000079049","ENSMUSG00000079049")</f>
        <v>ENSMUSG00000079049</v>
      </c>
      <c r="I1525" s="7" t="str">
        <f>HYPERLINK("http://www.informatics.jax.org/marker/MGI:2445363","MGI:2445363")</f>
        <v>MGI:2445363</v>
      </c>
      <c r="J1525" s="4" t="s">
        <v>12</v>
      </c>
    </row>
    <row r="1526" spans="1:10" x14ac:dyDescent="0.25">
      <c r="A1526" s="2">
        <v>175.245050629308</v>
      </c>
      <c r="B1526" s="3">
        <v>0.95066884845338495</v>
      </c>
      <c r="C1526" s="5">
        <v>1.46059385097309E-19</v>
      </c>
      <c r="D1526" s="6">
        <v>1.42306871250935E-18</v>
      </c>
      <c r="E1526" s="3" t="s">
        <v>4065</v>
      </c>
      <c r="F1526" s="3" t="s">
        <v>4066</v>
      </c>
      <c r="G1526" s="3">
        <v>66441</v>
      </c>
      <c r="H1526" s="7" t="str">
        <f>HYPERLINK("http://www.ensembl.org/Mus_musculus/Gene/Summary?db=core;g=ENSMUSG00000030188","ENSMUSG00000030188")</f>
        <v>ENSMUSG00000030188</v>
      </c>
      <c r="I1526" s="7" t="str">
        <f>HYPERLINK("http://www.informatics.jax.org/marker/MGI:1913691","MGI:1913691")</f>
        <v>MGI:1913691</v>
      </c>
      <c r="J1526" s="4" t="s">
        <v>12</v>
      </c>
    </row>
    <row r="1527" spans="1:10" x14ac:dyDescent="0.25">
      <c r="A1527" s="2">
        <v>735.59504473419599</v>
      </c>
      <c r="B1527" s="3">
        <v>0.94958013531381302</v>
      </c>
      <c r="C1527" s="5">
        <v>3.6842027809766003E-36</v>
      </c>
      <c r="D1527" s="6">
        <v>6.6470703422560399E-35</v>
      </c>
      <c r="E1527" s="3" t="s">
        <v>2203</v>
      </c>
      <c r="F1527" s="3" t="s">
        <v>2204</v>
      </c>
      <c r="G1527" s="3">
        <v>24086</v>
      </c>
      <c r="H1527" s="7" t="str">
        <f>HYPERLINK("http://www.ensembl.org/Mus_musculus/Gene/Summary?db=core;g=ENSMUSG00000020694","ENSMUSG00000020694")</f>
        <v>ENSMUSG00000020694</v>
      </c>
      <c r="I1527" s="7" t="str">
        <f>HYPERLINK("http://www.informatics.jax.org/marker/MGI:1346023","MGI:1346023")</f>
        <v>MGI:1346023</v>
      </c>
      <c r="J1527" s="4" t="s">
        <v>12</v>
      </c>
    </row>
    <row r="1528" spans="1:10" x14ac:dyDescent="0.25">
      <c r="A1528" s="2">
        <v>8.7607502521973206</v>
      </c>
      <c r="B1528" s="3">
        <v>0.94800516995917095</v>
      </c>
      <c r="C1528" s="3">
        <v>9.2773975398383994E-3</v>
      </c>
      <c r="D1528" s="4">
        <v>2.32229346897199E-2</v>
      </c>
      <c r="E1528" s="3" t="s">
        <v>15761</v>
      </c>
      <c r="F1528" s="3" t="s">
        <v>15762</v>
      </c>
      <c r="G1528" s="3" t="s">
        <v>83</v>
      </c>
      <c r="H1528" s="7" t="str">
        <f>HYPERLINK("http://www.ensembl.org/Mus_musculus/Gene/Summary?db=core;g=ENSMUSG00000092687","ENSMUSG00000092687")</f>
        <v>ENSMUSG00000092687</v>
      </c>
      <c r="I1528" s="7" t="str">
        <f>HYPERLINK("http://www.informatics.jax.org/marker/MGI:5455521","MGI:5455521")</f>
        <v>MGI:5455521</v>
      </c>
      <c r="J1528" s="4" t="s">
        <v>11100</v>
      </c>
    </row>
    <row r="1529" spans="1:10" x14ac:dyDescent="0.25">
      <c r="A1529" s="2">
        <v>58.994799277091502</v>
      </c>
      <c r="B1529" s="3">
        <v>0.94740870499359198</v>
      </c>
      <c r="C1529" s="5">
        <v>1.5566009745405999E-6</v>
      </c>
      <c r="D1529" s="6">
        <v>6.3095932616527301E-6</v>
      </c>
      <c r="E1529" s="3" t="s">
        <v>9745</v>
      </c>
      <c r="F1529" s="3" t="s">
        <v>9746</v>
      </c>
      <c r="G1529" s="3">
        <v>329795</v>
      </c>
      <c r="H1529" s="7" t="str">
        <f>HYPERLINK("http://www.ensembl.org/Mus_musculus/Gene/Summary?db=core;g=ENSMUSG00000049488","ENSMUSG00000049488")</f>
        <v>ENSMUSG00000049488</v>
      </c>
      <c r="I1529" s="7" t="str">
        <f>HYPERLINK("http://www.informatics.jax.org/marker/MGI:1923928","MGI:1923928")</f>
        <v>MGI:1923928</v>
      </c>
      <c r="J1529" s="4" t="s">
        <v>12</v>
      </c>
    </row>
    <row r="1530" spans="1:10" x14ac:dyDescent="0.25">
      <c r="A1530" s="2">
        <v>974.51377282906105</v>
      </c>
      <c r="B1530" s="3">
        <v>0.94609545315307797</v>
      </c>
      <c r="C1530" s="5">
        <v>3.0791583239020899E-47</v>
      </c>
      <c r="D1530" s="6">
        <v>7.7450257841006602E-46</v>
      </c>
      <c r="E1530" s="3" t="s">
        <v>1584</v>
      </c>
      <c r="F1530" s="3" t="s">
        <v>1585</v>
      </c>
      <c r="G1530" s="3">
        <v>83431</v>
      </c>
      <c r="H1530" s="7" t="str">
        <f>HYPERLINK("http://www.ensembl.org/Mus_musculus/Gene/Summary?db=core;g=ENSMUSG00000018736","ENSMUSG00000018736")</f>
        <v>ENSMUSG00000018736</v>
      </c>
      <c r="I1530" s="7" t="str">
        <f>HYPERLINK("http://www.informatics.jax.org/marker/MGI:1932915","MGI:1932915")</f>
        <v>MGI:1932915</v>
      </c>
      <c r="J1530" s="4" t="s">
        <v>12</v>
      </c>
    </row>
    <row r="1531" spans="1:10" x14ac:dyDescent="0.25">
      <c r="A1531" s="2">
        <v>19.411089228773701</v>
      </c>
      <c r="B1531" s="3">
        <v>0.94538448751158199</v>
      </c>
      <c r="C1531" s="3">
        <v>2.0036974338121E-3</v>
      </c>
      <c r="D1531" s="4">
        <v>5.6568236785647296E-3</v>
      </c>
      <c r="E1531" s="3" t="s">
        <v>13977</v>
      </c>
      <c r="F1531" s="3" t="s">
        <v>13978</v>
      </c>
      <c r="G1531" s="3" t="s">
        <v>83</v>
      </c>
      <c r="H1531" s="7" t="str">
        <f>HYPERLINK("http://www.ensembl.org/Mus_musculus/Gene/Summary?db=core;g=ENSMUSG00000118377","ENSMUSG00000118377")</f>
        <v>ENSMUSG00000118377</v>
      </c>
      <c r="I1531" s="7" t="str">
        <f>HYPERLINK("http://www.informatics.jax.org/marker/MGI:3643073","MGI:3643073")</f>
        <v>MGI:3643073</v>
      </c>
      <c r="J1531" s="4" t="s">
        <v>1043</v>
      </c>
    </row>
    <row r="1532" spans="1:10" x14ac:dyDescent="0.25">
      <c r="A1532" s="2">
        <v>467.51262727541098</v>
      </c>
      <c r="B1532" s="3">
        <v>0.94482413958851696</v>
      </c>
      <c r="C1532" s="5">
        <v>1.9497766933220202E-37</v>
      </c>
      <c r="D1532" s="6">
        <v>3.6688546175868498E-36</v>
      </c>
      <c r="E1532" s="3" t="s">
        <v>2113</v>
      </c>
      <c r="F1532" s="3" t="s">
        <v>2114</v>
      </c>
      <c r="G1532" s="3">
        <v>70556</v>
      </c>
      <c r="H1532" s="7" t="str">
        <f>HYPERLINK("http://www.ensembl.org/Mus_musculus/Gene/Summary?db=core;g=ENSMUSG00000028982","ENSMUSG00000028982")</f>
        <v>ENSMUSG00000028982</v>
      </c>
      <c r="I1532" s="7" t="str">
        <f>HYPERLINK("http://www.informatics.jax.org/marker/MGI:1917806","MGI:1917806")</f>
        <v>MGI:1917806</v>
      </c>
      <c r="J1532" s="4" t="s">
        <v>12</v>
      </c>
    </row>
    <row r="1533" spans="1:10" x14ac:dyDescent="0.25">
      <c r="A1533" s="2">
        <v>85.925209429153398</v>
      </c>
      <c r="B1533" s="3">
        <v>0.94380159277408804</v>
      </c>
      <c r="C1533" s="5">
        <v>2.8029558652868801E-8</v>
      </c>
      <c r="D1533" s="6">
        <v>1.3360959551234501E-7</v>
      </c>
      <c r="E1533" s="3" t="s">
        <v>8291</v>
      </c>
      <c r="F1533" s="3" t="s">
        <v>8292</v>
      </c>
      <c r="G1533" s="3" t="s">
        <v>83</v>
      </c>
      <c r="H1533" s="7" t="str">
        <f>HYPERLINK("http://www.ensembl.org/Mus_musculus/Gene/Summary?db=core;g=ENSMUSG00000105692","ENSMUSG00000105692")</f>
        <v>ENSMUSG00000105692</v>
      </c>
      <c r="I1533" s="7" t="str">
        <f>HYPERLINK("http://www.informatics.jax.org/marker/MGI:5663874","MGI:5663874")</f>
        <v>MGI:5663874</v>
      </c>
      <c r="J1533" s="4" t="s">
        <v>1828</v>
      </c>
    </row>
    <row r="1534" spans="1:10" x14ac:dyDescent="0.25">
      <c r="A1534" s="2">
        <v>868.11338603968397</v>
      </c>
      <c r="B1534" s="3">
        <v>0.94353870896786296</v>
      </c>
      <c r="C1534" s="5">
        <v>1.31716003978454E-27</v>
      </c>
      <c r="D1534" s="6">
        <v>1.77057914005121E-26</v>
      </c>
      <c r="E1534" s="3" t="s">
        <v>2952</v>
      </c>
      <c r="F1534" s="3" t="s">
        <v>2953</v>
      </c>
      <c r="G1534" s="3">
        <v>67048</v>
      </c>
      <c r="H1534" s="7" t="str">
        <f>HYPERLINK("http://www.ensembl.org/Mus_musculus/Gene/Summary?db=core;g=ENSMUSG00000073131","ENSMUSG00000073131")</f>
        <v>ENSMUSG00000073131</v>
      </c>
      <c r="I1534" s="7" t="str">
        <f>HYPERLINK("http://www.informatics.jax.org/marker/MGI:1914298","MGI:1914298")</f>
        <v>MGI:1914298</v>
      </c>
      <c r="J1534" s="4" t="s">
        <v>12</v>
      </c>
    </row>
    <row r="1535" spans="1:10" x14ac:dyDescent="0.25">
      <c r="A1535" s="2">
        <v>8.3820056181257705</v>
      </c>
      <c r="B1535" s="3">
        <v>0.94332656081818</v>
      </c>
      <c r="C1535" s="3">
        <v>1.0482303036741501E-2</v>
      </c>
      <c r="D1535" s="4">
        <v>2.59785114847986E-2</v>
      </c>
      <c r="E1535" s="3" t="s">
        <v>15919</v>
      </c>
      <c r="F1535" s="3" t="s">
        <v>15920</v>
      </c>
      <c r="G1535" s="3" t="s">
        <v>83</v>
      </c>
      <c r="H1535" s="7" t="str">
        <f>HYPERLINK("http://www.ensembl.org/Mus_musculus/Gene/Summary?db=core;g=ENSMUSG00000083736","ENSMUSG00000083736")</f>
        <v>ENSMUSG00000083736</v>
      </c>
      <c r="I1535" s="7" t="str">
        <f>HYPERLINK("http://www.informatics.jax.org/marker/MGI:3648055","MGI:3648055")</f>
        <v>MGI:3648055</v>
      </c>
      <c r="J1535" s="4" t="s">
        <v>1043</v>
      </c>
    </row>
    <row r="1536" spans="1:10" x14ac:dyDescent="0.25">
      <c r="A1536" s="2">
        <v>34.650103627900798</v>
      </c>
      <c r="B1536" s="3">
        <v>0.94268042503719396</v>
      </c>
      <c r="C1536" s="3">
        <v>5.0095105859534496E-4</v>
      </c>
      <c r="D1536" s="4">
        <v>1.54186903004529E-3</v>
      </c>
      <c r="E1536" s="3" t="s">
        <v>12823</v>
      </c>
      <c r="F1536" s="3" t="s">
        <v>12824</v>
      </c>
      <c r="G1536" s="3" t="s">
        <v>83</v>
      </c>
      <c r="H1536" s="7" t="str">
        <f>HYPERLINK("http://www.ensembl.org/Mus_musculus/Gene/Summary?db=core;g=ENSMUSG00000103313","ENSMUSG00000103313")</f>
        <v>ENSMUSG00000103313</v>
      </c>
      <c r="I1536" s="7" t="str">
        <f>HYPERLINK("http://www.informatics.jax.org/marker/MGI:5611585","MGI:5611585")</f>
        <v>MGI:5611585</v>
      </c>
      <c r="J1536" s="4" t="s">
        <v>1828</v>
      </c>
    </row>
    <row r="1537" spans="1:10" x14ac:dyDescent="0.25">
      <c r="A1537" s="2">
        <v>0.63574011461395497</v>
      </c>
      <c r="B1537" s="3">
        <v>0.94236793939613805</v>
      </c>
      <c r="C1537" s="3">
        <v>1.7069102758497299E-2</v>
      </c>
      <c r="D1537" s="4">
        <v>4.0461919268850503E-2</v>
      </c>
      <c r="E1537" s="3" t="s">
        <v>16642</v>
      </c>
      <c r="F1537" s="3" t="s">
        <v>16643</v>
      </c>
      <c r="G1537" s="3">
        <v>19419</v>
      </c>
      <c r="H1537" s="7" t="str">
        <f>HYPERLINK("http://www.ensembl.org/Mus_musculus/Gene/Summary?db=core;g=ENSMUSG00000027347","ENSMUSG00000027347")</f>
        <v>ENSMUSG00000027347</v>
      </c>
      <c r="I1537" s="7" t="str">
        <f>HYPERLINK("http://www.informatics.jax.org/marker/MGI:1314635","MGI:1314635")</f>
        <v>MGI:1314635</v>
      </c>
      <c r="J1537" s="4" t="s">
        <v>12</v>
      </c>
    </row>
    <row r="1538" spans="1:10" x14ac:dyDescent="0.25">
      <c r="A1538" s="2">
        <v>5.5336033137801701</v>
      </c>
      <c r="B1538" s="3">
        <v>0.94200597608830505</v>
      </c>
      <c r="C1538" s="3">
        <v>1.3818458663130501E-2</v>
      </c>
      <c r="D1538" s="4">
        <v>3.3406890380891598E-2</v>
      </c>
      <c r="E1538" s="3" t="s">
        <v>16319</v>
      </c>
      <c r="F1538" s="3" t="s">
        <v>16320</v>
      </c>
      <c r="G1538" s="3" t="s">
        <v>83</v>
      </c>
      <c r="H1538" s="7" t="str">
        <f>HYPERLINK("http://www.ensembl.org/Mus_musculus/Gene/Summary?db=core;g=ENSMUSG00000087535","ENSMUSG00000087535")</f>
        <v>ENSMUSG00000087535</v>
      </c>
      <c r="I1538" s="7" t="str">
        <f>HYPERLINK("http://www.informatics.jax.org/marker/MGI:3041228","MGI:3041228")</f>
        <v>MGI:3041228</v>
      </c>
      <c r="J1538" s="4" t="s">
        <v>932</v>
      </c>
    </row>
    <row r="1539" spans="1:10" x14ac:dyDescent="0.25">
      <c r="A1539" s="2">
        <v>681.03276914275796</v>
      </c>
      <c r="B1539" s="3">
        <v>0.940739374949916</v>
      </c>
      <c r="C1539" s="5">
        <v>4.1176679690457601E-43</v>
      </c>
      <c r="D1539" s="6">
        <v>9.1339046512466096E-42</v>
      </c>
      <c r="E1539" s="3" t="s">
        <v>1794</v>
      </c>
      <c r="F1539" s="3" t="s">
        <v>1795</v>
      </c>
      <c r="G1539" s="3">
        <v>226122</v>
      </c>
      <c r="H1539" s="7" t="str">
        <f>HYPERLINK("http://www.ensembl.org/Mus_musculus/Gene/Summary?db=core;g=ENSMUSG00000025171","ENSMUSG00000025171")</f>
        <v>ENSMUSG00000025171</v>
      </c>
      <c r="I1539" s="7" t="str">
        <f>HYPERLINK("http://www.informatics.jax.org/marker/MGI:2385092","MGI:2385092")</f>
        <v>MGI:2385092</v>
      </c>
      <c r="J1539" s="4" t="s">
        <v>12</v>
      </c>
    </row>
    <row r="1540" spans="1:10" x14ac:dyDescent="0.25">
      <c r="A1540" s="2">
        <v>427.91910468309197</v>
      </c>
      <c r="B1540" s="3">
        <v>0.94061228248624595</v>
      </c>
      <c r="C1540" s="5">
        <v>8.3423369488584703E-38</v>
      </c>
      <c r="D1540" s="6">
        <v>1.5803158946348599E-36</v>
      </c>
      <c r="E1540" s="3" t="s">
        <v>2099</v>
      </c>
      <c r="F1540" s="3" t="s">
        <v>2100</v>
      </c>
      <c r="G1540" s="3" t="s">
        <v>83</v>
      </c>
      <c r="H1540" s="7" t="str">
        <f>HYPERLINK("http://www.ensembl.org/Mus_musculus/Gene/Summary?db=core;g=ENSMUSG00000099329","ENSMUSG00000099329")</f>
        <v>ENSMUSG00000099329</v>
      </c>
      <c r="I1540" s="7" t="str">
        <f>HYPERLINK("http://www.informatics.jax.org/marker/MGI:5547788","MGI:5547788")</f>
        <v>MGI:5547788</v>
      </c>
      <c r="J1540" s="4" t="s">
        <v>331</v>
      </c>
    </row>
    <row r="1541" spans="1:10" x14ac:dyDescent="0.25">
      <c r="A1541" s="2">
        <v>283.63902394364101</v>
      </c>
      <c r="B1541" s="3">
        <v>0.93993660143007296</v>
      </c>
      <c r="C1541" s="5">
        <v>3.2563989137899899E-16</v>
      </c>
      <c r="D1541" s="6">
        <v>2.6502759628534299E-15</v>
      </c>
      <c r="E1541" s="3" t="s">
        <v>4863</v>
      </c>
      <c r="F1541" s="3" t="s">
        <v>4864</v>
      </c>
      <c r="G1541" s="3" t="s">
        <v>83</v>
      </c>
      <c r="H1541" s="7" t="str">
        <f>HYPERLINK("http://www.ensembl.org/Mus_musculus/Gene/Summary?db=core;g=ENSMUSG00000082082","ENSMUSG00000082082")</f>
        <v>ENSMUSG00000082082</v>
      </c>
      <c r="I1541" s="7" t="str">
        <f>HYPERLINK("http://www.informatics.jax.org/marker/MGI:3651934","MGI:3651934")</f>
        <v>MGI:3651934</v>
      </c>
      <c r="J1541" s="4" t="s">
        <v>320</v>
      </c>
    </row>
    <row r="1542" spans="1:10" x14ac:dyDescent="0.25">
      <c r="A1542" s="2">
        <v>20.139715700269001</v>
      </c>
      <c r="B1542" s="3">
        <v>0.93957367238824097</v>
      </c>
      <c r="C1542" s="3">
        <v>5.4480060223313696E-4</v>
      </c>
      <c r="D1542" s="4">
        <v>1.6692771715409299E-3</v>
      </c>
      <c r="E1542" s="3" t="s">
        <v>12881</v>
      </c>
      <c r="F1542" s="3" t="s">
        <v>12882</v>
      </c>
      <c r="G1542" s="3" t="s">
        <v>83</v>
      </c>
      <c r="H1542" s="7" t="str">
        <f>HYPERLINK("http://www.ensembl.org/Mus_musculus/Gene/Summary?db=core;g=ENSMUSG00000103756","ENSMUSG00000103756")</f>
        <v>ENSMUSG00000103756</v>
      </c>
      <c r="I1542" s="7" t="str">
        <f>HYPERLINK("http://www.informatics.jax.org/marker/MGI:5610513","MGI:5610513")</f>
        <v>MGI:5610513</v>
      </c>
      <c r="J1542" s="4" t="s">
        <v>1828</v>
      </c>
    </row>
    <row r="1543" spans="1:10" x14ac:dyDescent="0.25">
      <c r="A1543" s="2">
        <v>72.048103551528698</v>
      </c>
      <c r="B1543" s="3">
        <v>0.93952884692227201</v>
      </c>
      <c r="C1543" s="5">
        <v>6.52216863877042E-7</v>
      </c>
      <c r="D1543" s="6">
        <v>2.7529359066042999E-6</v>
      </c>
      <c r="E1543" s="3" t="s">
        <v>9359</v>
      </c>
      <c r="F1543" s="3" t="s">
        <v>9360</v>
      </c>
      <c r="G1543" s="3" t="s">
        <v>83</v>
      </c>
      <c r="H1543" s="7" t="str">
        <f>HYPERLINK("http://www.ensembl.org/Mus_musculus/Gene/Summary?db=core;g=ENSMUSG00000031640","ENSMUSG00000031640")</f>
        <v>ENSMUSG00000031640</v>
      </c>
      <c r="I1543" s="7" t="str">
        <f>HYPERLINK("http://www.informatics.jax.org/marker/MGI:5804868","MGI:5804868")</f>
        <v>MGI:5804868</v>
      </c>
      <c r="J1543" s="4" t="s">
        <v>12</v>
      </c>
    </row>
    <row r="1544" spans="1:10" x14ac:dyDescent="0.25">
      <c r="A1544" s="2">
        <v>7.2005656063078103</v>
      </c>
      <c r="B1544" s="3">
        <v>0.93894925799088302</v>
      </c>
      <c r="C1544" s="3">
        <v>1.1266000945136001E-2</v>
      </c>
      <c r="D1544" s="4">
        <v>2.77083485455328E-2</v>
      </c>
      <c r="E1544" s="3" t="s">
        <v>16041</v>
      </c>
      <c r="F1544" s="3" t="s">
        <v>16042</v>
      </c>
      <c r="G1544" s="3">
        <v>103844</v>
      </c>
      <c r="H1544" s="7" t="str">
        <f>HYPERLINK("http://www.ensembl.org/Mus_musculus/Gene/Summary?db=core;g=ENSMUSG00000057054","ENSMUSG00000057054")</f>
        <v>ENSMUSG00000057054</v>
      </c>
      <c r="I1544" s="7" t="str">
        <f>HYPERLINK("http://www.informatics.jax.org/marker/MGI:2144284","MGI:2144284")</f>
        <v>MGI:2144284</v>
      </c>
      <c r="J1544" s="4" t="s">
        <v>12</v>
      </c>
    </row>
    <row r="1545" spans="1:10" x14ac:dyDescent="0.25">
      <c r="A1545" s="2">
        <v>21.1672267384516</v>
      </c>
      <c r="B1545" s="3">
        <v>0.937071369629915</v>
      </c>
      <c r="C1545" s="3">
        <v>1.1337000942322399E-4</v>
      </c>
      <c r="D1545" s="4">
        <v>3.7956818095517499E-4</v>
      </c>
      <c r="E1545" s="3" t="s">
        <v>11791</v>
      </c>
      <c r="F1545" s="3" t="s">
        <v>11792</v>
      </c>
      <c r="G1545" s="3" t="s">
        <v>83</v>
      </c>
      <c r="H1545" s="7" t="str">
        <f>HYPERLINK("http://www.ensembl.org/Mus_musculus/Gene/Summary?db=core;g=ENSMUSG00000043889","ENSMUSG00000043889")</f>
        <v>ENSMUSG00000043889</v>
      </c>
      <c r="I1545" s="7" t="str">
        <f>HYPERLINK("http://www.informatics.jax.org/marker/MGI:3647971","MGI:3647971")</f>
        <v>MGI:3647971</v>
      </c>
      <c r="J1545" s="4" t="s">
        <v>1043</v>
      </c>
    </row>
    <row r="1546" spans="1:10" x14ac:dyDescent="0.25">
      <c r="A1546" s="2">
        <v>990.05211771749703</v>
      </c>
      <c r="B1546" s="3">
        <v>0.936825579682388</v>
      </c>
      <c r="C1546" s="5">
        <v>1.4282061792516599E-21</v>
      </c>
      <c r="D1546" s="6">
        <v>1.51420569112058E-20</v>
      </c>
      <c r="E1546" s="3" t="s">
        <v>3738</v>
      </c>
      <c r="F1546" s="3" t="s">
        <v>3739</v>
      </c>
      <c r="G1546" s="3">
        <v>243910</v>
      </c>
      <c r="H1546" s="7" t="str">
        <f>HYPERLINK("http://www.ensembl.org/Mus_musculus/Gene/Summary?db=core;g=ENSMUSG00000036931","ENSMUSG00000036931")</f>
        <v>ENSMUSG00000036931</v>
      </c>
      <c r="I1546" s="7" t="str">
        <f>HYPERLINK("http://www.informatics.jax.org/marker/MGI:3041243","MGI:3041243")</f>
        <v>MGI:3041243</v>
      </c>
      <c r="J1546" s="4" t="s">
        <v>12</v>
      </c>
    </row>
    <row r="1547" spans="1:10" x14ac:dyDescent="0.25">
      <c r="A1547" s="2">
        <v>4802.2594112709203</v>
      </c>
      <c r="B1547" s="3">
        <v>0.93624604053313698</v>
      </c>
      <c r="C1547" s="5">
        <v>9.7145239365905395E-58</v>
      </c>
      <c r="D1547" s="6">
        <v>3.24695613609433E-56</v>
      </c>
      <c r="E1547" s="3" t="s">
        <v>1196</v>
      </c>
      <c r="F1547" s="3" t="s">
        <v>1197</v>
      </c>
      <c r="G1547" s="3">
        <v>18024</v>
      </c>
      <c r="H1547" s="7" t="str">
        <f>HYPERLINK("http://www.ensembl.org/Mus_musculus/Gene/Summary?db=core;g=ENSMUSG00000015839","ENSMUSG00000015839")</f>
        <v>ENSMUSG00000015839</v>
      </c>
      <c r="I1547" s="7" t="str">
        <f>HYPERLINK("http://www.informatics.jax.org/marker/MGI:108420","MGI:108420")</f>
        <v>MGI:108420</v>
      </c>
      <c r="J1547" s="4" t="s">
        <v>12</v>
      </c>
    </row>
    <row r="1548" spans="1:10" x14ac:dyDescent="0.25">
      <c r="A1548" s="2">
        <v>451.19763954364601</v>
      </c>
      <c r="B1548" s="3">
        <v>0.93543716827274803</v>
      </c>
      <c r="C1548" s="5">
        <v>2.42670346541087E-18</v>
      </c>
      <c r="D1548" s="6">
        <v>2.2330654380729099E-17</v>
      </c>
      <c r="E1548" s="3" t="s">
        <v>4303</v>
      </c>
      <c r="F1548" s="3" t="s">
        <v>4304</v>
      </c>
      <c r="G1548" s="3">
        <v>228357</v>
      </c>
      <c r="H1548" s="7" t="str">
        <f>HYPERLINK("http://www.ensembl.org/Mus_musculus/Gene/Summary?db=core;g=ENSMUSG00000027253","ENSMUSG00000027253")</f>
        <v>ENSMUSG00000027253</v>
      </c>
      <c r="I1548" s="7" t="str">
        <f>HYPERLINK("http://www.informatics.jax.org/marker/MGI:2442252","MGI:2442252")</f>
        <v>MGI:2442252</v>
      </c>
      <c r="J1548" s="4" t="s">
        <v>12</v>
      </c>
    </row>
    <row r="1549" spans="1:10" x14ac:dyDescent="0.25">
      <c r="A1549" s="2">
        <v>19.380789573733701</v>
      </c>
      <c r="B1549" s="3">
        <v>0.93511297558822304</v>
      </c>
      <c r="C1549" s="3">
        <v>1.5736066476056701E-4</v>
      </c>
      <c r="D1549" s="4">
        <v>5.1745077690151299E-4</v>
      </c>
      <c r="E1549" s="3" t="s">
        <v>12005</v>
      </c>
      <c r="F1549" s="3" t="s">
        <v>12006</v>
      </c>
      <c r="G1549" s="3" t="s">
        <v>83</v>
      </c>
      <c r="H1549" s="7" t="str">
        <f>HYPERLINK("http://www.ensembl.org/Mus_musculus/Gene/Summary?db=core;g=ENSMUSG00000080989","ENSMUSG00000080989")</f>
        <v>ENSMUSG00000080989</v>
      </c>
      <c r="I1549" s="7" t="str">
        <f>HYPERLINK("http://www.informatics.jax.org/marker/MGI:3650660","MGI:3650660")</f>
        <v>MGI:3650660</v>
      </c>
      <c r="J1549" s="4" t="s">
        <v>1043</v>
      </c>
    </row>
    <row r="1550" spans="1:10" x14ac:dyDescent="0.25">
      <c r="A1550" s="2">
        <v>4829.5402692774696</v>
      </c>
      <c r="B1550" s="3">
        <v>0.935111209686046</v>
      </c>
      <c r="C1550" s="5">
        <v>4.8200667513758299E-55</v>
      </c>
      <c r="D1550" s="6">
        <v>1.48286608950283E-53</v>
      </c>
      <c r="E1550" s="3" t="s">
        <v>1298</v>
      </c>
      <c r="F1550" s="3" t="s">
        <v>1299</v>
      </c>
      <c r="G1550" s="3">
        <v>19175</v>
      </c>
      <c r="H1550" s="7" t="str">
        <f>HYPERLINK("http://www.ensembl.org/Mus_musculus/Gene/Summary?db=core;g=ENSMUSG00000018286","ENSMUSG00000018286")</f>
        <v>ENSMUSG00000018286</v>
      </c>
      <c r="I1550" s="7" t="str">
        <f>HYPERLINK("http://www.informatics.jax.org/marker/MGI:104880","MGI:104880")</f>
        <v>MGI:104880</v>
      </c>
      <c r="J1550" s="4" t="s">
        <v>12</v>
      </c>
    </row>
    <row r="1551" spans="1:10" x14ac:dyDescent="0.25">
      <c r="A1551" s="2">
        <v>455.91410941109001</v>
      </c>
      <c r="B1551" s="3">
        <v>0.93407511210070004</v>
      </c>
      <c r="C1551" s="5">
        <v>1.15694223163335E-38</v>
      </c>
      <c r="D1551" s="6">
        <v>2.2455611031308702E-37</v>
      </c>
      <c r="E1551" s="3" t="s">
        <v>2049</v>
      </c>
      <c r="F1551" s="3" t="s">
        <v>2050</v>
      </c>
      <c r="G1551" s="3">
        <v>20352</v>
      </c>
      <c r="H1551" s="7" t="str">
        <f>HYPERLINK("http://www.ensembl.org/Mus_musculus/Gene/Summary?db=core;g=ENSMUSG00000030539","ENSMUSG00000030539")</f>
        <v>ENSMUSG00000030539</v>
      </c>
      <c r="I1551" s="7" t="str">
        <f>HYPERLINK("http://www.informatics.jax.org/marker/MGI:107559","MGI:107559")</f>
        <v>MGI:107559</v>
      </c>
      <c r="J1551" s="4" t="s">
        <v>12</v>
      </c>
    </row>
    <row r="1552" spans="1:10" x14ac:dyDescent="0.25">
      <c r="A1552" s="2">
        <v>4926.8135630657598</v>
      </c>
      <c r="B1552" s="3">
        <v>0.93400268315797097</v>
      </c>
      <c r="C1552" s="5">
        <v>1.10717565132846E-54</v>
      </c>
      <c r="D1552" s="6">
        <v>3.3850393556894899E-53</v>
      </c>
      <c r="E1552" s="3" t="s">
        <v>1306</v>
      </c>
      <c r="F1552" s="3" t="s">
        <v>1307</v>
      </c>
      <c r="G1552" s="3">
        <v>57296</v>
      </c>
      <c r="H1552" s="7" t="str">
        <f>HYPERLINK("http://www.ensembl.org/Mus_musculus/Gene/Summary?db=core;g=ENSMUSG00000030591","ENSMUSG00000030591")</f>
        <v>ENSMUSG00000030591</v>
      </c>
      <c r="I1552" s="7" t="str">
        <f>HYPERLINK("http://www.informatics.jax.org/marker/MGI:1888669","MGI:1888669")</f>
        <v>MGI:1888669</v>
      </c>
      <c r="J1552" s="4" t="s">
        <v>12</v>
      </c>
    </row>
    <row r="1553" spans="1:10" x14ac:dyDescent="0.25">
      <c r="A1553" s="2">
        <v>5.8179299495094599</v>
      </c>
      <c r="B1553" s="3">
        <v>0.93385893253452401</v>
      </c>
      <c r="C1553" s="3">
        <v>1.6153627453384799E-2</v>
      </c>
      <c r="D1553" s="4">
        <v>3.8500064464678303E-2</v>
      </c>
      <c r="E1553" s="3" t="s">
        <v>16552</v>
      </c>
      <c r="F1553" s="3" t="s">
        <v>16553</v>
      </c>
      <c r="G1553" s="3" t="s">
        <v>83</v>
      </c>
      <c r="H1553" s="7" t="str">
        <f>HYPERLINK("http://www.ensembl.org/Mus_musculus/Gene/Summary?db=core;g=ENSMUSG00000118093","ENSMUSG00000118093")</f>
        <v>ENSMUSG00000118093</v>
      </c>
      <c r="I1553" s="7" t="str">
        <f>HYPERLINK("http://www.informatics.jax.org/marker/MGI:5009988","MGI:5009988")</f>
        <v>MGI:5009988</v>
      </c>
      <c r="J1553" s="4" t="s">
        <v>1043</v>
      </c>
    </row>
    <row r="1554" spans="1:10" x14ac:dyDescent="0.25">
      <c r="A1554" s="2">
        <v>260.96738033050099</v>
      </c>
      <c r="B1554" s="3">
        <v>0.932147304702034</v>
      </c>
      <c r="C1554" s="5">
        <v>1.8120493995107599E-26</v>
      </c>
      <c r="D1554" s="6">
        <v>2.3493500432841699E-25</v>
      </c>
      <c r="E1554" s="3" t="s">
        <v>3060</v>
      </c>
      <c r="F1554" s="3" t="s">
        <v>3061</v>
      </c>
      <c r="G1554" s="3">
        <v>68034</v>
      </c>
      <c r="H1554" s="7" t="str">
        <f>HYPERLINK("http://www.ensembl.org/Mus_musculus/Gene/Summary?db=core;g=ENSMUSG00000074922","ENSMUSG00000074922")</f>
        <v>ENSMUSG00000074922</v>
      </c>
      <c r="I1554" s="7" t="str">
        <f>HYPERLINK("http://www.informatics.jax.org/marker/MGI:1915284","MGI:1915284")</f>
        <v>MGI:1915284</v>
      </c>
      <c r="J1554" s="4" t="s">
        <v>12</v>
      </c>
    </row>
    <row r="1555" spans="1:10" x14ac:dyDescent="0.25">
      <c r="A1555" s="2">
        <v>139.64694990691899</v>
      </c>
      <c r="B1555" s="3">
        <v>0.93136579760810401</v>
      </c>
      <c r="C1555" s="5">
        <v>1.2155978364734999E-5</v>
      </c>
      <c r="D1555" s="6">
        <v>4.51953041765789E-5</v>
      </c>
      <c r="E1555" s="3" t="s">
        <v>10620</v>
      </c>
      <c r="F1555" s="3" t="s">
        <v>10621</v>
      </c>
      <c r="G1555" s="3" t="s">
        <v>83</v>
      </c>
      <c r="H1555" s="7" t="str">
        <f>HYPERLINK("http://www.ensembl.org/Mus_musculus/Gene/Summary?db=core;g=ENSMUSG00000091575","ENSMUSG00000091575")</f>
        <v>ENSMUSG00000091575</v>
      </c>
      <c r="I1555" s="7" t="str">
        <f>HYPERLINK("http://www.informatics.jax.org/marker/MGI:1916456","MGI:1916456")</f>
        <v>MGI:1916456</v>
      </c>
      <c r="J1555" s="4" t="s">
        <v>331</v>
      </c>
    </row>
    <row r="1556" spans="1:10" x14ac:dyDescent="0.25">
      <c r="A1556" s="2">
        <v>24.060520683211699</v>
      </c>
      <c r="B1556" s="3">
        <v>0.931059699784901</v>
      </c>
      <c r="C1556" s="3">
        <v>4.6649171014702699E-4</v>
      </c>
      <c r="D1556" s="4">
        <v>1.4414316082888401E-3</v>
      </c>
      <c r="E1556" s="3" t="s">
        <v>12773</v>
      </c>
      <c r="F1556" s="3" t="s">
        <v>12774</v>
      </c>
      <c r="G1556" s="3">
        <v>11475</v>
      </c>
      <c r="H1556" s="7" t="str">
        <f>HYPERLINK("http://www.ensembl.org/Mus_musculus/Gene/Summary?db=core;g=ENSMUSG00000035783","ENSMUSG00000035783")</f>
        <v>ENSMUSG00000035783</v>
      </c>
      <c r="I1556" s="7" t="str">
        <f>HYPERLINK("http://www.informatics.jax.org/marker/MGI:87909","MGI:87909")</f>
        <v>MGI:87909</v>
      </c>
      <c r="J1556" s="4" t="s">
        <v>12</v>
      </c>
    </row>
    <row r="1557" spans="1:10" x14ac:dyDescent="0.25">
      <c r="A1557" s="2">
        <v>107.26667282506401</v>
      </c>
      <c r="B1557" s="3">
        <v>0.93072840262567802</v>
      </c>
      <c r="C1557" s="5">
        <v>7.5753797458225405E-8</v>
      </c>
      <c r="D1557" s="6">
        <v>3.4668481918686599E-7</v>
      </c>
      <c r="E1557" s="3" t="s">
        <v>8635</v>
      </c>
      <c r="F1557" s="3" t="s">
        <v>8636</v>
      </c>
      <c r="G1557" s="3">
        <v>74155</v>
      </c>
      <c r="H1557" s="7" t="str">
        <f>HYPERLINK("http://www.ensembl.org/Mus_musculus/Gene/Summary?db=core;g=ENSMUSG00000028967","ENSMUSG00000028967")</f>
        <v>ENSMUSG00000028967</v>
      </c>
      <c r="I1557" s="7" t="str">
        <f>HYPERLINK("http://www.informatics.jax.org/marker/MGI:1921405","MGI:1921405")</f>
        <v>MGI:1921405</v>
      </c>
      <c r="J1557" s="4" t="s">
        <v>12</v>
      </c>
    </row>
    <row r="1558" spans="1:10" x14ac:dyDescent="0.25">
      <c r="A1558" s="2">
        <v>449.01741382470999</v>
      </c>
      <c r="B1558" s="3">
        <v>0.93064497228042797</v>
      </c>
      <c r="C1558" s="5">
        <v>3.99091063809829E-11</v>
      </c>
      <c r="D1558" s="6">
        <v>2.3928476066676298E-10</v>
      </c>
      <c r="E1558" s="3" t="s">
        <v>6595</v>
      </c>
      <c r="F1558" s="3" t="s">
        <v>6596</v>
      </c>
      <c r="G1558" s="3">
        <v>108943</v>
      </c>
      <c r="H1558" s="7" t="str">
        <f>HYPERLINK("http://www.ensembl.org/Mus_musculus/Gene/Summary?db=core;g=ENSMUSG00000004127","ENSMUSG00000004127")</f>
        <v>ENSMUSG00000004127</v>
      </c>
      <c r="I1558" s="7" t="str">
        <f>HYPERLINK("http://www.informatics.jax.org/marker/MGI:1920421","MGI:1920421")</f>
        <v>MGI:1920421</v>
      </c>
      <c r="J1558" s="4" t="s">
        <v>12</v>
      </c>
    </row>
    <row r="1559" spans="1:10" x14ac:dyDescent="0.25">
      <c r="A1559" s="2">
        <v>7040.1197821994201</v>
      </c>
      <c r="B1559" s="3">
        <v>0.93015887681349796</v>
      </c>
      <c r="C1559" s="5">
        <v>9.5422994302505894E-25</v>
      </c>
      <c r="D1559" s="6">
        <v>1.1523217683070501E-23</v>
      </c>
      <c r="E1559" s="3" t="s">
        <v>3286</v>
      </c>
      <c r="F1559" s="3" t="s">
        <v>3287</v>
      </c>
      <c r="G1559" s="3">
        <v>227737</v>
      </c>
      <c r="H1559" s="7" t="str">
        <f>HYPERLINK("http://www.ensembl.org/Mus_musculus/Gene/Summary?db=core;g=ENSMUSG00000026796","ENSMUSG00000026796")</f>
        <v>ENSMUSG00000026796</v>
      </c>
      <c r="I1559" s="7" t="str">
        <f>HYPERLINK("http://www.informatics.jax.org/marker/MGI:2442910","MGI:2442910")</f>
        <v>MGI:2442910</v>
      </c>
      <c r="J1559" s="4" t="s">
        <v>12</v>
      </c>
    </row>
    <row r="1560" spans="1:10" x14ac:dyDescent="0.25">
      <c r="A1560" s="2">
        <v>1828.7539699787901</v>
      </c>
      <c r="B1560" s="3">
        <v>0.92951662349410802</v>
      </c>
      <c r="C1560" s="5">
        <v>1.4110180523804E-62</v>
      </c>
      <c r="D1560" s="6">
        <v>5.4774165340436197E-61</v>
      </c>
      <c r="E1560" s="3" t="s">
        <v>1031</v>
      </c>
      <c r="F1560" s="3" t="s">
        <v>1032</v>
      </c>
      <c r="G1560" s="3">
        <v>80898</v>
      </c>
      <c r="H1560" s="7" t="str">
        <f>HYPERLINK("http://www.ensembl.org/Mus_musculus/Gene/Summary?db=core;g=ENSMUSG00000021583","ENSMUSG00000021583")</f>
        <v>ENSMUSG00000021583</v>
      </c>
      <c r="I1560" s="7" t="str">
        <f>HYPERLINK("http://www.informatics.jax.org/marker/MGI:1933403","MGI:1933403")</f>
        <v>MGI:1933403</v>
      </c>
      <c r="J1560" s="4" t="s">
        <v>12</v>
      </c>
    </row>
    <row r="1561" spans="1:10" x14ac:dyDescent="0.25">
      <c r="A1561" s="2">
        <v>491.96351346598698</v>
      </c>
      <c r="B1561" s="3">
        <v>0.92907968150666898</v>
      </c>
      <c r="C1561" s="5">
        <v>3.4157683362675598E-30</v>
      </c>
      <c r="D1561" s="6">
        <v>5.0645828264057396E-29</v>
      </c>
      <c r="E1561" s="3" t="s">
        <v>2677</v>
      </c>
      <c r="F1561" s="3" t="s">
        <v>2678</v>
      </c>
      <c r="G1561" s="3">
        <v>217882</v>
      </c>
      <c r="H1561" s="7" t="str">
        <f>HYPERLINK("http://www.ensembl.org/Mus_musculus/Gene/Summary?db=core;g=ENSMUSG00000072825","ENSMUSG00000072825")</f>
        <v>ENSMUSG00000072825</v>
      </c>
      <c r="I1561" s="7" t="str">
        <f>HYPERLINK("http://www.informatics.jax.org/marker/MGI:2145043","MGI:2145043")</f>
        <v>MGI:2145043</v>
      </c>
      <c r="J1561" s="4" t="s">
        <v>12</v>
      </c>
    </row>
    <row r="1562" spans="1:10" x14ac:dyDescent="0.25">
      <c r="A1562" s="2">
        <v>21.197791042004699</v>
      </c>
      <c r="B1562" s="3">
        <v>0.928874386065071</v>
      </c>
      <c r="C1562" s="3">
        <v>2.0805338256426299E-4</v>
      </c>
      <c r="D1562" s="4">
        <v>6.7391798688687095E-4</v>
      </c>
      <c r="E1562" s="3" t="s">
        <v>12187</v>
      </c>
      <c r="F1562" s="3" t="s">
        <v>12188</v>
      </c>
      <c r="G1562" s="3">
        <v>76787</v>
      </c>
      <c r="H1562" s="7" t="str">
        <f>HYPERLINK("http://www.ensembl.org/Mus_musculus/Gene/Summary?db=core;g=ENSMUSG00000003863","ENSMUSG00000003863")</f>
        <v>ENSMUSG00000003863</v>
      </c>
      <c r="I1562" s="7" t="str">
        <f>HYPERLINK("http://www.informatics.jax.org/marker/MGI:1924037","MGI:1924037")</f>
        <v>MGI:1924037</v>
      </c>
      <c r="J1562" s="4" t="s">
        <v>12</v>
      </c>
    </row>
    <row r="1563" spans="1:10" x14ac:dyDescent="0.25">
      <c r="A1563" s="2">
        <v>1516.53176703451</v>
      </c>
      <c r="B1563" s="3">
        <v>0.92864450461743198</v>
      </c>
      <c r="C1563" s="5">
        <v>1.57872397027898E-41</v>
      </c>
      <c r="D1563" s="6">
        <v>3.3439781626102602E-40</v>
      </c>
      <c r="E1563" s="3" t="s">
        <v>1879</v>
      </c>
      <c r="F1563" s="3" t="s">
        <v>1880</v>
      </c>
      <c r="G1563" s="3">
        <v>237436</v>
      </c>
      <c r="H1563" s="7" t="str">
        <f>HYPERLINK("http://www.ensembl.org/Mus_musculus/Gene/Summary?db=core;g=ENSMUSG00000074802","ENSMUSG00000074802")</f>
        <v>ENSMUSG00000074802</v>
      </c>
      <c r="I1563" s="7" t="str">
        <f>HYPERLINK("http://www.informatics.jax.org/marker/MGI:1918780","MGI:1918780")</f>
        <v>MGI:1918780</v>
      </c>
      <c r="J1563" s="4" t="s">
        <v>12</v>
      </c>
    </row>
    <row r="1564" spans="1:10" x14ac:dyDescent="0.25">
      <c r="A1564" s="2">
        <v>43.480411436564701</v>
      </c>
      <c r="B1564" s="3">
        <v>0.92674669223750195</v>
      </c>
      <c r="C1564" s="3">
        <v>1.79447444091763E-3</v>
      </c>
      <c r="D1564" s="4">
        <v>5.1026728154139498E-3</v>
      </c>
      <c r="E1564" s="3" t="s">
        <v>13877</v>
      </c>
      <c r="F1564" s="3" t="s">
        <v>13878</v>
      </c>
      <c r="G1564" s="3">
        <v>15077</v>
      </c>
      <c r="H1564" s="7" t="str">
        <f>HYPERLINK("http://www.ensembl.org/Mus_musculus/Gene/Summary?db=core;g=ENSMUSG00000093769","ENSMUSG00000093769")</f>
        <v>ENSMUSG00000093769</v>
      </c>
      <c r="I1564" s="7" t="str">
        <f>HYPERLINK("http://www.informatics.jax.org/marker/MGI:2448355","MGI:2448355")</f>
        <v>MGI:2448355</v>
      </c>
      <c r="J1564" s="4" t="s">
        <v>12</v>
      </c>
    </row>
    <row r="1565" spans="1:10" x14ac:dyDescent="0.25">
      <c r="A1565" s="2">
        <v>1152.9460402816101</v>
      </c>
      <c r="B1565" s="3">
        <v>0.92629881225227895</v>
      </c>
      <c r="C1565" s="5">
        <v>7.5216982820018806E-33</v>
      </c>
      <c r="D1565" s="6">
        <v>1.2000638359310399E-31</v>
      </c>
      <c r="E1565" s="3" t="s">
        <v>2489</v>
      </c>
      <c r="F1565" s="3" t="s">
        <v>2490</v>
      </c>
      <c r="G1565" s="3">
        <v>14042</v>
      </c>
      <c r="H1565" s="7" t="str">
        <f>HYPERLINK("http://www.ensembl.org/Mus_musculus/Gene/Summary?db=core;g=ENSMUSG00000061731","ENSMUSG00000061731")</f>
        <v>ENSMUSG00000061731</v>
      </c>
      <c r="I1565" s="7" t="str">
        <f>HYPERLINK("http://www.informatics.jax.org/marker/MGI:894663","MGI:894663")</f>
        <v>MGI:894663</v>
      </c>
      <c r="J1565" s="4" t="s">
        <v>12</v>
      </c>
    </row>
    <row r="1566" spans="1:10" x14ac:dyDescent="0.25">
      <c r="A1566" s="2">
        <v>2950.51908174453</v>
      </c>
      <c r="B1566" s="3">
        <v>0.92502763734563898</v>
      </c>
      <c r="C1566" s="5">
        <v>4.7798207216002596E-44</v>
      </c>
      <c r="D1566" s="6">
        <v>1.0884303075052801E-42</v>
      </c>
      <c r="E1566" s="3" t="s">
        <v>1748</v>
      </c>
      <c r="F1566" s="3" t="s">
        <v>1749</v>
      </c>
      <c r="G1566" s="3">
        <v>51897</v>
      </c>
      <c r="H1566" s="7" t="str">
        <f>HYPERLINK("http://www.ensembl.org/Mus_musculus/Gene/Summary?db=core;g=ENSMUSG00000027244","ENSMUSG00000027244")</f>
        <v>ENSMUSG00000027244</v>
      </c>
      <c r="I1566" s="7" t="str">
        <f>HYPERLINK("http://www.informatics.jax.org/marker/MGI:1196429","MGI:1196429")</f>
        <v>MGI:1196429</v>
      </c>
      <c r="J1566" s="4" t="s">
        <v>12</v>
      </c>
    </row>
    <row r="1567" spans="1:10" x14ac:dyDescent="0.25">
      <c r="A1567" s="2">
        <v>79.339317335033599</v>
      </c>
      <c r="B1567" s="3">
        <v>0.92367224567891204</v>
      </c>
      <c r="C1567" s="5">
        <v>4.4231187691868301E-8</v>
      </c>
      <c r="D1567" s="6">
        <v>2.0630061998194E-7</v>
      </c>
      <c r="E1567" s="3" t="s">
        <v>8473</v>
      </c>
      <c r="F1567" s="3" t="s">
        <v>8474</v>
      </c>
      <c r="G1567" s="3">
        <v>106052</v>
      </c>
      <c r="H1567" s="7" t="str">
        <f>HYPERLINK("http://www.ensembl.org/Mus_musculus/Gene/Summary?db=core;g=ENSMUSG00000022184","ENSMUSG00000022184")</f>
        <v>ENSMUSG00000022184</v>
      </c>
      <c r="I1567" s="7" t="str">
        <f>HYPERLINK("http://www.informatics.jax.org/marker/MGI:2146220","MGI:2146220")</f>
        <v>MGI:2146220</v>
      </c>
      <c r="J1567" s="4" t="s">
        <v>12</v>
      </c>
    </row>
    <row r="1568" spans="1:10" x14ac:dyDescent="0.25">
      <c r="A1568" s="2">
        <v>405.47798974466002</v>
      </c>
      <c r="B1568" s="3">
        <v>0.923252059498749</v>
      </c>
      <c r="C1568" s="5">
        <v>5.7243242663197198E-33</v>
      </c>
      <c r="D1568" s="6">
        <v>9.17753451478251E-32</v>
      </c>
      <c r="E1568" s="3" t="s">
        <v>2477</v>
      </c>
      <c r="F1568" s="3" t="s">
        <v>2478</v>
      </c>
      <c r="G1568" s="3">
        <v>56715</v>
      </c>
      <c r="H1568" s="7" t="str">
        <f>HYPERLINK("http://www.ensembl.org/Mus_musculus/Gene/Summary?db=core;g=ENSMUSG00000025340","ENSMUSG00000025340")</f>
        <v>ENSMUSG00000025340</v>
      </c>
      <c r="I1568" s="7" t="str">
        <f>HYPERLINK("http://www.informatics.jax.org/marker/MGI:1929459","MGI:1929459")</f>
        <v>MGI:1929459</v>
      </c>
      <c r="J1568" s="4" t="s">
        <v>12</v>
      </c>
    </row>
    <row r="1569" spans="1:10" x14ac:dyDescent="0.25">
      <c r="A1569" s="2">
        <v>751.41513406682702</v>
      </c>
      <c r="B1569" s="3">
        <v>0.92280491040296797</v>
      </c>
      <c r="C1569" s="5">
        <v>3.44231868215796E-43</v>
      </c>
      <c r="D1569" s="6">
        <v>7.6530467206488203E-42</v>
      </c>
      <c r="E1569" s="3" t="s">
        <v>1790</v>
      </c>
      <c r="F1569" s="3" t="s">
        <v>1791</v>
      </c>
      <c r="G1569" s="3">
        <v>21769</v>
      </c>
      <c r="H1569" s="7" t="str">
        <f>HYPERLINK("http://www.ensembl.org/Mus_musculus/Gene/Summary?db=core;g=ENSMUSG00000044477","ENSMUSG00000044477")</f>
        <v>ENSMUSG00000044477</v>
      </c>
      <c r="I1569" s="7" t="str">
        <f>HYPERLINK("http://www.informatics.jax.org/marker/MGI:1096572","MGI:1096572")</f>
        <v>MGI:1096572</v>
      </c>
      <c r="J1569" s="4" t="s">
        <v>12</v>
      </c>
    </row>
    <row r="1570" spans="1:10" x14ac:dyDescent="0.25">
      <c r="A1570" s="2">
        <v>783.84929841152302</v>
      </c>
      <c r="B1570" s="3">
        <v>0.92224979898066295</v>
      </c>
      <c r="C1570" s="5">
        <v>2.5533172848634299E-48</v>
      </c>
      <c r="D1570" s="6">
        <v>6.6251864286193199E-47</v>
      </c>
      <c r="E1570" s="3" t="s">
        <v>1536</v>
      </c>
      <c r="F1570" s="3" t="s">
        <v>1537</v>
      </c>
      <c r="G1570" s="3">
        <v>230734</v>
      </c>
      <c r="H1570" s="7" t="str">
        <f>HYPERLINK("http://www.ensembl.org/Mus_musculus/Gene/Summary?db=core;g=ENSMUSG00000028889","ENSMUSG00000028889")</f>
        <v>ENSMUSG00000028889</v>
      </c>
      <c r="I1570" s="7" t="str">
        <f>HYPERLINK("http://www.informatics.jax.org/marker/MGI:2387201","MGI:2387201")</f>
        <v>MGI:2387201</v>
      </c>
      <c r="J1570" s="4" t="s">
        <v>12</v>
      </c>
    </row>
    <row r="1571" spans="1:10" x14ac:dyDescent="0.25">
      <c r="A1571" s="2">
        <v>311.02312493107502</v>
      </c>
      <c r="B1571" s="3">
        <v>0.92203919509676902</v>
      </c>
      <c r="C1571" s="5">
        <v>1.7944897729211301E-19</v>
      </c>
      <c r="D1571" s="6">
        <v>1.7406462529269401E-18</v>
      </c>
      <c r="E1571" s="3" t="s">
        <v>4081</v>
      </c>
      <c r="F1571" s="3" t="s">
        <v>4082</v>
      </c>
      <c r="G1571" s="3">
        <v>15273</v>
      </c>
      <c r="H1571" s="7" t="str">
        <f>HYPERLINK("http://www.ensembl.org/Mus_musculus/Gene/Summary?db=core;g=ENSMUSG00000015501","ENSMUSG00000015501")</f>
        <v>ENSMUSG00000015501</v>
      </c>
      <c r="I1571" s="7" t="str">
        <f>HYPERLINK("http://www.informatics.jax.org/marker/MGI:1338076","MGI:1338076")</f>
        <v>MGI:1338076</v>
      </c>
      <c r="J1571" s="4" t="s">
        <v>12</v>
      </c>
    </row>
    <row r="1572" spans="1:10" x14ac:dyDescent="0.25">
      <c r="A1572" s="2">
        <v>177.588525322799</v>
      </c>
      <c r="B1572" s="3">
        <v>0.92146098202042004</v>
      </c>
      <c r="C1572" s="5">
        <v>1.95450362624808E-14</v>
      </c>
      <c r="D1572" s="6">
        <v>1.4571951421403501E-13</v>
      </c>
      <c r="E1572" s="3" t="s">
        <v>5307</v>
      </c>
      <c r="F1572" s="3" t="s">
        <v>5308</v>
      </c>
      <c r="G1572" s="3">
        <v>276905</v>
      </c>
      <c r="H1572" s="7" t="str">
        <f>HYPERLINK("http://www.ensembl.org/Mus_musculus/Gene/Summary?db=core;g=ENSMUSG00000057219","ENSMUSG00000057219")</f>
        <v>ENSMUSG00000057219</v>
      </c>
      <c r="I1572" s="7" t="str">
        <f>HYPERLINK("http://www.informatics.jax.org/marker/MGI:2679719","MGI:2679719")</f>
        <v>MGI:2679719</v>
      </c>
      <c r="J1572" s="4" t="s">
        <v>12</v>
      </c>
    </row>
    <row r="1573" spans="1:10" x14ac:dyDescent="0.25">
      <c r="A1573" s="2">
        <v>18.7948914820341</v>
      </c>
      <c r="B1573" s="3">
        <v>0.92118300074842796</v>
      </c>
      <c r="C1573" s="3">
        <v>1.13797458163448E-4</v>
      </c>
      <c r="D1573" s="4">
        <v>3.80934624848615E-4</v>
      </c>
      <c r="E1573" s="3" t="s">
        <v>11793</v>
      </c>
      <c r="F1573" s="3" t="s">
        <v>11794</v>
      </c>
      <c r="G1573" s="3">
        <v>78751</v>
      </c>
      <c r="H1573" s="7" t="str">
        <f>HYPERLINK("http://www.ensembl.org/Mus_musculus/Gene/Summary?db=core;g=ENSMUSG00000042851","ENSMUSG00000042851")</f>
        <v>ENSMUSG00000042851</v>
      </c>
      <c r="I1573" s="7" t="str">
        <f>HYPERLINK("http://www.informatics.jax.org/marker/MGI:1926001","MGI:1926001")</f>
        <v>MGI:1926001</v>
      </c>
      <c r="J1573" s="4" t="s">
        <v>12</v>
      </c>
    </row>
    <row r="1574" spans="1:10" x14ac:dyDescent="0.25">
      <c r="A1574" s="2">
        <v>16.5535429329774</v>
      </c>
      <c r="B1574" s="3">
        <v>0.92088870306232995</v>
      </c>
      <c r="C1574" s="3">
        <v>1.7810594201128399E-3</v>
      </c>
      <c r="D1574" s="4">
        <v>5.0671332129597303E-3</v>
      </c>
      <c r="E1574" s="3" t="s">
        <v>13869</v>
      </c>
      <c r="F1574" s="3" t="s">
        <v>13870</v>
      </c>
      <c r="G1574" s="3" t="s">
        <v>83</v>
      </c>
      <c r="H1574" s="7" t="str">
        <f>HYPERLINK("http://www.ensembl.org/Mus_musculus/Gene/Summary?db=core;g=ENSMUSG00000090389","ENSMUSG00000090389")</f>
        <v>ENSMUSG00000090389</v>
      </c>
      <c r="I1574" s="7" t="str">
        <f>HYPERLINK("http://www.informatics.jax.org/marker/MGI:3646628","MGI:3646628")</f>
        <v>MGI:3646628</v>
      </c>
      <c r="J1574" s="4" t="s">
        <v>1043</v>
      </c>
    </row>
    <row r="1575" spans="1:10" x14ac:dyDescent="0.25">
      <c r="A1575" s="2">
        <v>2283.5500007047499</v>
      </c>
      <c r="B1575" s="3">
        <v>0.92068468774396095</v>
      </c>
      <c r="C1575" s="5">
        <v>1.7066733134010501E-58</v>
      </c>
      <c r="D1575" s="6">
        <v>5.7927018485832601E-57</v>
      </c>
      <c r="E1575" s="3" t="s">
        <v>1178</v>
      </c>
      <c r="F1575" s="3" t="s">
        <v>1179</v>
      </c>
      <c r="G1575" s="3">
        <v>56324</v>
      </c>
      <c r="H1575" s="7" t="str">
        <f>HYPERLINK("http://www.ensembl.org/Mus_musculus/Gene/Summary?db=core;g=ENSMUSG00000055371","ENSMUSG00000055371")</f>
        <v>ENSMUSG00000055371</v>
      </c>
      <c r="I1575" s="7" t="str">
        <f>HYPERLINK("http://www.informatics.jax.org/marker/MGI:1929100","MGI:1929100")</f>
        <v>MGI:1929100</v>
      </c>
      <c r="J1575" s="4" t="s">
        <v>12</v>
      </c>
    </row>
    <row r="1576" spans="1:10" x14ac:dyDescent="0.25">
      <c r="A1576" s="2">
        <v>1392.3254666187099</v>
      </c>
      <c r="B1576" s="3">
        <v>0.91804968381042595</v>
      </c>
      <c r="C1576" s="5">
        <v>6.3266730317308297E-46</v>
      </c>
      <c r="D1576" s="6">
        <v>1.5214877095821E-44</v>
      </c>
      <c r="E1576" s="3" t="s">
        <v>1656</v>
      </c>
      <c r="F1576" s="3" t="s">
        <v>1657</v>
      </c>
      <c r="G1576" s="3">
        <v>19697</v>
      </c>
      <c r="H1576" s="7" t="str">
        <f>HYPERLINK("http://www.ensembl.org/Mus_musculus/Gene/Summary?db=core;g=ENSMUSG00000024927","ENSMUSG00000024927")</f>
        <v>ENSMUSG00000024927</v>
      </c>
      <c r="I1576" s="7" t="str">
        <f>HYPERLINK("http://www.informatics.jax.org/marker/MGI:103290","MGI:103290")</f>
        <v>MGI:103290</v>
      </c>
      <c r="J1576" s="4" t="s">
        <v>12</v>
      </c>
    </row>
    <row r="1577" spans="1:10" x14ac:dyDescent="0.25">
      <c r="A1577" s="2">
        <v>11.1562623165155</v>
      </c>
      <c r="B1577" s="3">
        <v>0.91632209702926104</v>
      </c>
      <c r="C1577" s="3">
        <v>6.9426208025446402E-3</v>
      </c>
      <c r="D1577" s="4">
        <v>1.7828946767310901E-2</v>
      </c>
      <c r="E1577" s="3" t="s">
        <v>15363</v>
      </c>
      <c r="F1577" s="3" t="s">
        <v>15364</v>
      </c>
      <c r="G1577" s="3">
        <v>71816</v>
      </c>
      <c r="H1577" s="7" t="str">
        <f>HYPERLINK("http://www.ensembl.org/Mus_musculus/Gene/Summary?db=core;g=ENSMUSG00000021720","ENSMUSG00000021720")</f>
        <v>ENSMUSG00000021720</v>
      </c>
      <c r="I1577" s="7" t="str">
        <f>HYPERLINK("http://www.informatics.jax.org/marker/MGI:1919066","MGI:1919066")</f>
        <v>MGI:1919066</v>
      </c>
      <c r="J1577" s="4" t="s">
        <v>12</v>
      </c>
    </row>
    <row r="1578" spans="1:10" x14ac:dyDescent="0.25">
      <c r="A1578" s="2">
        <v>750.44263034657899</v>
      </c>
      <c r="B1578" s="3">
        <v>0.91526205792340498</v>
      </c>
      <c r="C1578" s="5">
        <v>7.2935887796116999E-47</v>
      </c>
      <c r="D1578" s="6">
        <v>1.8137398579311801E-45</v>
      </c>
      <c r="E1578" s="3" t="s">
        <v>1602</v>
      </c>
      <c r="F1578" s="3" t="s">
        <v>1603</v>
      </c>
      <c r="G1578" s="3">
        <v>76497</v>
      </c>
      <c r="H1578" s="7" t="str">
        <f>HYPERLINK("http://www.ensembl.org/Mus_musculus/Gene/Summary?db=core;g=ENSMUSG00000036398","ENSMUSG00000036398")</f>
        <v>ENSMUSG00000036398</v>
      </c>
      <c r="I1578" s="7" t="str">
        <f>HYPERLINK("http://www.informatics.jax.org/marker/MGI:1923747","MGI:1923747")</f>
        <v>MGI:1923747</v>
      </c>
      <c r="J1578" s="4" t="s">
        <v>12</v>
      </c>
    </row>
    <row r="1579" spans="1:10" x14ac:dyDescent="0.25">
      <c r="A1579" s="2">
        <v>1665.9313791008501</v>
      </c>
      <c r="B1579" s="3">
        <v>0.91484587510099902</v>
      </c>
      <c r="C1579" s="5">
        <v>5.4605119454371003E-39</v>
      </c>
      <c r="D1579" s="6">
        <v>1.07359217910289E-37</v>
      </c>
      <c r="E1579" s="3" t="s">
        <v>2023</v>
      </c>
      <c r="F1579" s="3" t="s">
        <v>2024</v>
      </c>
      <c r="G1579" s="3">
        <v>12125</v>
      </c>
      <c r="H1579" s="7" t="str">
        <f>HYPERLINK("http://www.ensembl.org/Mus_musculus/Gene/Summary?db=core;g=ENSMUSG00000027381","ENSMUSG00000027381")</f>
        <v>ENSMUSG00000027381</v>
      </c>
      <c r="I1579" s="7" t="str">
        <f>HYPERLINK("http://www.informatics.jax.org/marker/MGI:1197519","MGI:1197519")</f>
        <v>MGI:1197519</v>
      </c>
      <c r="J1579" s="4" t="s">
        <v>12</v>
      </c>
    </row>
    <row r="1580" spans="1:10" x14ac:dyDescent="0.25">
      <c r="A1580" s="2">
        <v>29.3062087585961</v>
      </c>
      <c r="B1580" s="3">
        <v>0.91463193832234602</v>
      </c>
      <c r="C1580" s="5">
        <v>8.2703014872885405E-5</v>
      </c>
      <c r="D1580" s="4">
        <v>2.81238740005743E-4</v>
      </c>
      <c r="E1580" s="3" t="s">
        <v>11609</v>
      </c>
      <c r="F1580" s="3" t="s">
        <v>11610</v>
      </c>
      <c r="G1580" s="3" t="s">
        <v>83</v>
      </c>
      <c r="H1580" s="7" t="str">
        <f>HYPERLINK("http://www.ensembl.org/Mus_musculus/Gene/Summary?db=core;g=ENSMUSG00000074862","ENSMUSG00000074862")</f>
        <v>ENSMUSG00000074862</v>
      </c>
      <c r="I1580" s="7" t="str">
        <f>HYPERLINK("http://www.informatics.jax.org/marker/MGI:2670983","MGI:2670983")</f>
        <v>MGI:2670983</v>
      </c>
      <c r="J1580" s="4" t="s">
        <v>12</v>
      </c>
    </row>
    <row r="1581" spans="1:10" x14ac:dyDescent="0.25">
      <c r="A1581" s="2">
        <v>44.877008646719702</v>
      </c>
      <c r="B1581" s="3">
        <v>0.91436266699760604</v>
      </c>
      <c r="C1581" s="5">
        <v>2.5749402546760001E-5</v>
      </c>
      <c r="D1581" s="6">
        <v>9.2592672907021605E-5</v>
      </c>
      <c r="E1581" s="3" t="s">
        <v>10980</v>
      </c>
      <c r="F1581" s="3" t="s">
        <v>10981</v>
      </c>
      <c r="G1581" s="3">
        <v>12895</v>
      </c>
      <c r="H1581" s="7" t="str">
        <f>HYPERLINK("http://www.ensembl.org/Mus_musculus/Gene/Summary?db=core;g=ENSMUSG00000078937","ENSMUSG00000078937")</f>
        <v>ENSMUSG00000078937</v>
      </c>
      <c r="I1581" s="7" t="str">
        <f>HYPERLINK("http://www.informatics.jax.org/marker/MGI:1098297","MGI:1098297")</f>
        <v>MGI:1098297</v>
      </c>
      <c r="J1581" s="4" t="s">
        <v>12</v>
      </c>
    </row>
    <row r="1582" spans="1:10" x14ac:dyDescent="0.25">
      <c r="A1582" s="2">
        <v>3351.1380147077002</v>
      </c>
      <c r="B1582" s="3">
        <v>0.91258638807773995</v>
      </c>
      <c r="C1582" s="5">
        <v>4.8016014503622897E-96</v>
      </c>
      <c r="D1582" s="6">
        <v>3.61402979393681E-94</v>
      </c>
      <c r="E1582" s="3" t="s">
        <v>536</v>
      </c>
      <c r="F1582" s="3" t="s">
        <v>537</v>
      </c>
      <c r="G1582" s="3">
        <v>106957</v>
      </c>
      <c r="H1582" s="7" t="str">
        <f>HYPERLINK("http://www.ensembl.org/Mus_musculus/Gene/Summary?db=core;g=ENSMUSG00000024270","ENSMUSG00000024270")</f>
        <v>ENSMUSG00000024270</v>
      </c>
      <c r="I1582" s="7" t="str">
        <f>HYPERLINK("http://www.informatics.jax.org/marker/MGI:2147279","MGI:2147279")</f>
        <v>MGI:2147279</v>
      </c>
      <c r="J1582" s="4" t="s">
        <v>12</v>
      </c>
    </row>
    <row r="1583" spans="1:10" x14ac:dyDescent="0.25">
      <c r="A1583" s="2">
        <v>17.8583971651064</v>
      </c>
      <c r="B1583" s="3">
        <v>0.91258568257546502</v>
      </c>
      <c r="C1583" s="3">
        <v>3.0269155953537301E-4</v>
      </c>
      <c r="D1583" s="4">
        <v>9.5857998298338803E-4</v>
      </c>
      <c r="E1583" s="3" t="s">
        <v>12467</v>
      </c>
      <c r="F1583" s="3" t="s">
        <v>12468</v>
      </c>
      <c r="G1583" s="3">
        <v>14859</v>
      </c>
      <c r="H1583" s="7" t="str">
        <f>HYPERLINK("http://www.ensembl.org/Mus_musculus/Gene/Summary?db=core;g=ENSMUSG00000025934","ENSMUSG00000025934")</f>
        <v>ENSMUSG00000025934</v>
      </c>
      <c r="I1583" s="7" t="str">
        <f>HYPERLINK("http://www.informatics.jax.org/marker/MGI:95856","MGI:95856")</f>
        <v>MGI:95856</v>
      </c>
      <c r="J1583" s="4" t="s">
        <v>12</v>
      </c>
    </row>
    <row r="1584" spans="1:10" x14ac:dyDescent="0.25">
      <c r="A1584" s="2">
        <v>4466.9753820803298</v>
      </c>
      <c r="B1584" s="3">
        <v>0.91221148233583804</v>
      </c>
      <c r="C1584" s="5">
        <v>5.2918537951713704E-75</v>
      </c>
      <c r="D1584" s="6">
        <v>2.68265698819485E-73</v>
      </c>
      <c r="E1584" s="3" t="s">
        <v>790</v>
      </c>
      <c r="F1584" s="3" t="s">
        <v>791</v>
      </c>
      <c r="G1584" s="3">
        <v>19354</v>
      </c>
      <c r="H1584" s="7" t="str">
        <f>HYPERLINK("http://www.ensembl.org/Mus_musculus/Gene/Summary?db=core;g=ENSMUSG00000033220","ENSMUSG00000033220")</f>
        <v>ENSMUSG00000033220</v>
      </c>
      <c r="I1584" s="7" t="str">
        <f>HYPERLINK("http://www.informatics.jax.org/marker/MGI:97846","MGI:97846")</f>
        <v>MGI:97846</v>
      </c>
      <c r="J1584" s="4" t="s">
        <v>12</v>
      </c>
    </row>
    <row r="1585" spans="1:10" x14ac:dyDescent="0.25">
      <c r="A1585" s="2">
        <v>12.982343180969099</v>
      </c>
      <c r="B1585" s="3">
        <v>0.90970278282063799</v>
      </c>
      <c r="C1585" s="3">
        <v>1.66590769327843E-3</v>
      </c>
      <c r="D1585" s="4">
        <v>4.7624963339302096E-3</v>
      </c>
      <c r="E1585" s="3" t="s">
        <v>13803</v>
      </c>
      <c r="F1585" s="3" t="s">
        <v>13804</v>
      </c>
      <c r="G1585" s="3" t="s">
        <v>83</v>
      </c>
      <c r="H1585" s="7" t="str">
        <f>HYPERLINK("http://www.ensembl.org/Mus_musculus/Gene/Summary?db=core;g=ENSMUSG00000080832","ENSMUSG00000080832")</f>
        <v>ENSMUSG00000080832</v>
      </c>
      <c r="I1585" s="7" t="str">
        <f>HYPERLINK("http://www.informatics.jax.org/marker/MGI:96905","MGI:96905")</f>
        <v>MGI:96905</v>
      </c>
      <c r="J1585" s="4" t="s">
        <v>1043</v>
      </c>
    </row>
    <row r="1586" spans="1:10" x14ac:dyDescent="0.25">
      <c r="A1586" s="2">
        <v>410.30073835316</v>
      </c>
      <c r="B1586" s="3">
        <v>0.90950126043616597</v>
      </c>
      <c r="C1586" s="5">
        <v>1.9824736947251501E-31</v>
      </c>
      <c r="D1586" s="6">
        <v>3.0447337429891E-30</v>
      </c>
      <c r="E1586" s="3" t="s">
        <v>2585</v>
      </c>
      <c r="F1586" s="3" t="s">
        <v>2586</v>
      </c>
      <c r="G1586" s="3">
        <v>64213</v>
      </c>
      <c r="H1586" s="7" t="str">
        <f>HYPERLINK("http://www.ensembl.org/Mus_musculus/Gene/Summary?db=core;g=ENSMUSG00000029534","ENSMUSG00000029534")</f>
        <v>ENSMUSG00000029534</v>
      </c>
      <c r="I1586" s="7" t="str">
        <f>HYPERLINK("http://www.informatics.jax.org/marker/MGI:1927450","MGI:1927450")</f>
        <v>MGI:1927450</v>
      </c>
      <c r="J1586" s="4" t="s">
        <v>12</v>
      </c>
    </row>
    <row r="1587" spans="1:10" x14ac:dyDescent="0.25">
      <c r="A1587" s="2">
        <v>2167.26189264703</v>
      </c>
      <c r="B1587" s="3">
        <v>0.90915774010602601</v>
      </c>
      <c r="C1587" s="5">
        <v>5.8507637787989705E-75</v>
      </c>
      <c r="D1587" s="6">
        <v>2.9583861978952697E-73</v>
      </c>
      <c r="E1587" s="3" t="s">
        <v>792</v>
      </c>
      <c r="F1587" s="3" t="s">
        <v>793</v>
      </c>
      <c r="G1587" s="3">
        <v>78889</v>
      </c>
      <c r="H1587" s="7" t="str">
        <f>HYPERLINK("http://www.ensembl.org/Mus_musculus/Gene/Summary?db=core;g=ENSMUSG00000017677","ENSMUSG00000017677")</f>
        <v>ENSMUSG00000017677</v>
      </c>
      <c r="I1587" s="7" t="str">
        <f>HYPERLINK("http://www.informatics.jax.org/marker/MGI:1926139","MGI:1926139")</f>
        <v>MGI:1926139</v>
      </c>
      <c r="J1587" s="4" t="s">
        <v>12</v>
      </c>
    </row>
    <row r="1588" spans="1:10" x14ac:dyDescent="0.25">
      <c r="A1588" s="2">
        <v>3940.9217984490901</v>
      </c>
      <c r="B1588" s="3">
        <v>0.90786705404337498</v>
      </c>
      <c r="C1588" s="5">
        <v>4.0655268990129899E-22</v>
      </c>
      <c r="D1588" s="6">
        <v>4.4249338443460297E-21</v>
      </c>
      <c r="E1588" s="3" t="s">
        <v>3640</v>
      </c>
      <c r="F1588" s="3" t="s">
        <v>3641</v>
      </c>
      <c r="G1588" s="3">
        <v>108115</v>
      </c>
      <c r="H1588" s="7" t="str">
        <f>HYPERLINK("http://www.ensembl.org/Mus_musculus/Gene/Summary?db=core;g=ENSMUSG00000038963","ENSMUSG00000038963")</f>
        <v>ENSMUSG00000038963</v>
      </c>
      <c r="I1588" s="7" t="str">
        <f>HYPERLINK("http://www.informatics.jax.org/marker/MGI:1351866","MGI:1351866")</f>
        <v>MGI:1351866</v>
      </c>
      <c r="J1588" s="4" t="s">
        <v>12</v>
      </c>
    </row>
    <row r="1589" spans="1:10" x14ac:dyDescent="0.25">
      <c r="A1589" s="2">
        <v>0.55588816102968497</v>
      </c>
      <c r="B1589" s="3">
        <v>0.90774737436083996</v>
      </c>
      <c r="C1589" s="3">
        <v>1.8083450846178298E-2</v>
      </c>
      <c r="D1589" s="4">
        <v>4.2595037110204903E-2</v>
      </c>
      <c r="E1589" s="3" t="s">
        <v>16748</v>
      </c>
      <c r="F1589" s="3" t="s">
        <v>16749</v>
      </c>
      <c r="G1589" s="3" t="s">
        <v>83</v>
      </c>
      <c r="H1589" s="7" t="str">
        <f>HYPERLINK("http://www.ensembl.org/Mus_musculus/Gene/Summary?db=core;g=ENSMUSG00000085237","ENSMUSG00000085237")</f>
        <v>ENSMUSG00000085237</v>
      </c>
      <c r="I1589" s="7" t="str">
        <f>HYPERLINK("http://www.informatics.jax.org/marker/MGI:3705112","MGI:3705112")</f>
        <v>MGI:3705112</v>
      </c>
      <c r="J1589" s="4" t="s">
        <v>939</v>
      </c>
    </row>
    <row r="1590" spans="1:10" x14ac:dyDescent="0.25">
      <c r="A1590" s="2">
        <v>1251.9676090998801</v>
      </c>
      <c r="B1590" s="3">
        <v>0.90677133879545102</v>
      </c>
      <c r="C1590" s="5">
        <v>6.0210812327860196E-12</v>
      </c>
      <c r="D1590" s="6">
        <v>3.8326572598624997E-11</v>
      </c>
      <c r="E1590" s="3" t="s">
        <v>6213</v>
      </c>
      <c r="F1590" s="3" t="s">
        <v>6214</v>
      </c>
      <c r="G1590" s="3">
        <v>20969</v>
      </c>
      <c r="H1590" s="7" t="str">
        <f>HYPERLINK("http://www.ensembl.org/Mus_musculus/Gene/Summary?db=core;g=ENSMUSG00000020592","ENSMUSG00000020592")</f>
        <v>ENSMUSG00000020592</v>
      </c>
      <c r="I1590" s="7" t="str">
        <f>HYPERLINK("http://www.informatics.jax.org/marker/MGI:1349162","MGI:1349162")</f>
        <v>MGI:1349162</v>
      </c>
      <c r="J1590" s="4" t="s">
        <v>12</v>
      </c>
    </row>
    <row r="1591" spans="1:10" x14ac:dyDescent="0.25">
      <c r="A1591" s="2">
        <v>267.99178230764898</v>
      </c>
      <c r="B1591" s="3">
        <v>0.90632862004632497</v>
      </c>
      <c r="C1591" s="5">
        <v>4.3018753190727399E-20</v>
      </c>
      <c r="D1591" s="6">
        <v>4.2866589839370599E-19</v>
      </c>
      <c r="E1591" s="3" t="s">
        <v>3976</v>
      </c>
      <c r="F1591" s="3" t="s">
        <v>3977</v>
      </c>
      <c r="G1591" s="3">
        <v>240665</v>
      </c>
      <c r="H1591" s="7" t="str">
        <f>HYPERLINK("http://www.ensembl.org/Mus_musculus/Gene/Summary?db=core;g=ENSMUSG00000025010","ENSMUSG00000025010")</f>
        <v>ENSMUSG00000025010</v>
      </c>
      <c r="I1591" s="7" t="str">
        <f>HYPERLINK("http://www.informatics.jax.org/marker/MGI:2443297","MGI:2443297")</f>
        <v>MGI:2443297</v>
      </c>
      <c r="J1591" s="4" t="s">
        <v>12</v>
      </c>
    </row>
    <row r="1592" spans="1:10" x14ac:dyDescent="0.25">
      <c r="A1592" s="2">
        <v>285.50643890164099</v>
      </c>
      <c r="B1592" s="3">
        <v>0.90620419599887803</v>
      </c>
      <c r="C1592" s="5">
        <v>1.7997164418037399E-23</v>
      </c>
      <c r="D1592" s="6">
        <v>2.06941155873876E-22</v>
      </c>
      <c r="E1592" s="3" t="s">
        <v>3448</v>
      </c>
      <c r="F1592" s="3" t="s">
        <v>3449</v>
      </c>
      <c r="G1592" s="3">
        <v>108098</v>
      </c>
      <c r="H1592" s="7" t="str">
        <f>HYPERLINK("http://www.ensembl.org/Mus_musculus/Gene/Summary?db=core;g=ENSMUSG00000030291","ENSMUSG00000030291")</f>
        <v>ENSMUSG00000030291</v>
      </c>
      <c r="I1592" s="7" t="str">
        <f>HYPERLINK("http://www.informatics.jax.org/marker/MGI:1347064","MGI:1347064")</f>
        <v>MGI:1347064</v>
      </c>
      <c r="J1592" s="4" t="s">
        <v>12</v>
      </c>
    </row>
    <row r="1593" spans="1:10" x14ac:dyDescent="0.25">
      <c r="A1593" s="2">
        <v>3518.3939046445098</v>
      </c>
      <c r="B1593" s="3">
        <v>0.90444976264920796</v>
      </c>
      <c r="C1593" s="5">
        <v>3.00339320061746E-49</v>
      </c>
      <c r="D1593" s="6">
        <v>7.9713208500910202E-48</v>
      </c>
      <c r="E1593" s="3" t="s">
        <v>1502</v>
      </c>
      <c r="F1593" s="3" t="s">
        <v>1503</v>
      </c>
      <c r="G1593" s="3">
        <v>24136</v>
      </c>
      <c r="H1593" s="7" t="str">
        <f>HYPERLINK("http://www.ensembl.org/Mus_musculus/Gene/Summary?db=core;g=ENSMUSG00000026872","ENSMUSG00000026872")</f>
        <v>ENSMUSG00000026872</v>
      </c>
      <c r="I1593" s="7" t="str">
        <f>HYPERLINK("http://www.informatics.jax.org/marker/MGI:1344407","MGI:1344407")</f>
        <v>MGI:1344407</v>
      </c>
      <c r="J1593" s="4" t="s">
        <v>12</v>
      </c>
    </row>
    <row r="1594" spans="1:10" x14ac:dyDescent="0.25">
      <c r="A1594" s="2">
        <v>119.239342609941</v>
      </c>
      <c r="B1594" s="3">
        <v>0.904068748785117</v>
      </c>
      <c r="C1594" s="5">
        <v>2.8945157049764801E-11</v>
      </c>
      <c r="D1594" s="6">
        <v>1.75252839122309E-10</v>
      </c>
      <c r="E1594" s="3" t="s">
        <v>6531</v>
      </c>
      <c r="F1594" s="3" t="s">
        <v>6532</v>
      </c>
      <c r="G1594" s="3">
        <v>71956</v>
      </c>
      <c r="H1594" s="7" t="str">
        <f>HYPERLINK("http://www.ensembl.org/Mus_musculus/Gene/Summary?db=core;g=ENSMUSG00000020707","ENSMUSG00000020707")</f>
        <v>ENSMUSG00000020707</v>
      </c>
      <c r="I1594" s="7" t="str">
        <f>HYPERLINK("http://www.informatics.jax.org/marker/MGI:1919206","MGI:1919206")</f>
        <v>MGI:1919206</v>
      </c>
      <c r="J1594" s="4" t="s">
        <v>12</v>
      </c>
    </row>
    <row r="1595" spans="1:10" x14ac:dyDescent="0.25">
      <c r="A1595" s="2">
        <v>249.611902788104</v>
      </c>
      <c r="B1595" s="3">
        <v>0.90404840774325101</v>
      </c>
      <c r="C1595" s="5">
        <v>5.5038023919434799E-15</v>
      </c>
      <c r="D1595" s="6">
        <v>4.2264401545609597E-14</v>
      </c>
      <c r="E1595" s="3" t="s">
        <v>5153</v>
      </c>
      <c r="F1595" s="3" t="s">
        <v>5154</v>
      </c>
      <c r="G1595" s="3">
        <v>16154</v>
      </c>
      <c r="H1595" s="7" t="str">
        <f>HYPERLINK("http://www.ensembl.org/Mus_musculus/Gene/Summary?db=core;g=ENSMUSG00000032089","ENSMUSG00000032089")</f>
        <v>ENSMUSG00000032089</v>
      </c>
      <c r="I1595" s="7" t="str">
        <f>HYPERLINK("http://www.informatics.jax.org/marker/MGI:96538","MGI:96538")</f>
        <v>MGI:96538</v>
      </c>
      <c r="J1595" s="4" t="s">
        <v>12</v>
      </c>
    </row>
    <row r="1596" spans="1:10" x14ac:dyDescent="0.25">
      <c r="A1596" s="2">
        <v>2383.2400023416799</v>
      </c>
      <c r="B1596" s="3">
        <v>0.90351875496362999</v>
      </c>
      <c r="C1596" s="5">
        <v>6.54682545852681E-81</v>
      </c>
      <c r="D1596" s="6">
        <v>3.8538327773775699E-79</v>
      </c>
      <c r="E1596" s="3" t="s">
        <v>682</v>
      </c>
      <c r="F1596" s="3" t="s">
        <v>683</v>
      </c>
      <c r="G1596" s="3">
        <v>231713</v>
      </c>
      <c r="H1596" s="7" t="str">
        <f>HYPERLINK("http://www.ensembl.org/Mus_musculus/Gene/Summary?db=core;g=ENSMUSG00000042719","ENSMUSG00000042719")</f>
        <v>ENSMUSG00000042719</v>
      </c>
      <c r="I1596" s="7" t="str">
        <f>HYPERLINK("http://www.informatics.jax.org/marker/MGI:2442563","MGI:2442563")</f>
        <v>MGI:2442563</v>
      </c>
      <c r="J1596" s="4" t="s">
        <v>12</v>
      </c>
    </row>
    <row r="1597" spans="1:10" x14ac:dyDescent="0.25">
      <c r="A1597" s="2">
        <v>653.11558030402398</v>
      </c>
      <c r="B1597" s="3">
        <v>0.90337905233397497</v>
      </c>
      <c r="C1597" s="5">
        <v>1.44201338884762E-30</v>
      </c>
      <c r="D1597" s="6">
        <v>2.1624717892072301E-29</v>
      </c>
      <c r="E1597" s="3" t="s">
        <v>2647</v>
      </c>
      <c r="F1597" s="3" t="s">
        <v>2648</v>
      </c>
      <c r="G1597" s="3">
        <v>73247</v>
      </c>
      <c r="H1597" s="7" t="str">
        <f>HYPERLINK("http://www.ensembl.org/Mus_musculus/Gene/Summary?db=core;g=ENSMUSG00000027569","ENSMUSG00000027569")</f>
        <v>ENSMUSG00000027569</v>
      </c>
      <c r="I1597" s="7" t="str">
        <f>HYPERLINK("http://www.informatics.jax.org/marker/MGI:1920497","MGI:1920497")</f>
        <v>MGI:1920497</v>
      </c>
      <c r="J1597" s="4" t="s">
        <v>12</v>
      </c>
    </row>
    <row r="1598" spans="1:10" x14ac:dyDescent="0.25">
      <c r="A1598" s="2">
        <v>986.13697820767402</v>
      </c>
      <c r="B1598" s="3">
        <v>0.90309415079617406</v>
      </c>
      <c r="C1598" s="5">
        <v>2.9986110869440702E-21</v>
      </c>
      <c r="D1598" s="6">
        <v>3.1336836584280303E-20</v>
      </c>
      <c r="E1598" s="3" t="s">
        <v>3792</v>
      </c>
      <c r="F1598" s="3" t="s">
        <v>3793</v>
      </c>
      <c r="G1598" s="3">
        <v>13178</v>
      </c>
      <c r="H1598" s="7" t="str">
        <f>HYPERLINK("http://www.ensembl.org/Mus_musculus/Gene/Summary?db=core;g=ENSMUSG00000029366","ENSMUSG00000029366")</f>
        <v>ENSMUSG00000029366</v>
      </c>
      <c r="I1598" s="7" t="str">
        <f>HYPERLINK("http://www.informatics.jax.org/marker/MGI:102726","MGI:102726")</f>
        <v>MGI:102726</v>
      </c>
      <c r="J1598" s="4" t="s">
        <v>12</v>
      </c>
    </row>
    <row r="1599" spans="1:10" x14ac:dyDescent="0.25">
      <c r="A1599" s="2">
        <v>965.41255669014299</v>
      </c>
      <c r="B1599" s="3">
        <v>0.90233943191017896</v>
      </c>
      <c r="C1599" s="5">
        <v>4.5597519361557099E-32</v>
      </c>
      <c r="D1599" s="6">
        <v>7.1025519890198004E-31</v>
      </c>
      <c r="E1599" s="3" t="s">
        <v>2549</v>
      </c>
      <c r="F1599" s="3" t="s">
        <v>2550</v>
      </c>
      <c r="G1599" s="3">
        <v>14739</v>
      </c>
      <c r="H1599" s="7" t="str">
        <f>HYPERLINK("http://www.ensembl.org/Mus_musculus/Gene/Summary?db=core;g=ENSMUSG00000043895","ENSMUSG00000043895")</f>
        <v>ENSMUSG00000043895</v>
      </c>
      <c r="I1599" s="7" t="str">
        <f>HYPERLINK("http://www.informatics.jax.org/marker/MGI:99569","MGI:99569")</f>
        <v>MGI:99569</v>
      </c>
      <c r="J1599" s="4" t="s">
        <v>12</v>
      </c>
    </row>
    <row r="1600" spans="1:10" x14ac:dyDescent="0.25">
      <c r="A1600" s="2">
        <v>2325.1779465030299</v>
      </c>
      <c r="B1600" s="3">
        <v>0.89981817812332998</v>
      </c>
      <c r="C1600" s="5">
        <v>1.8184384630630299E-22</v>
      </c>
      <c r="D1600" s="6">
        <v>2.01345348071886E-21</v>
      </c>
      <c r="E1600" s="3" t="s">
        <v>3580</v>
      </c>
      <c r="F1600" s="3" t="s">
        <v>3581</v>
      </c>
      <c r="G1600" s="3">
        <v>20454</v>
      </c>
      <c r="H1600" s="7" t="str">
        <f>HYPERLINK("http://www.ensembl.org/Mus_musculus/Gene/Summary?db=core;g=ENSMUSG00000056091","ENSMUSG00000056091")</f>
        <v>ENSMUSG00000056091</v>
      </c>
      <c r="I1600" s="7" t="str">
        <f>HYPERLINK("http://www.informatics.jax.org/marker/MGI:1339963","MGI:1339963")</f>
        <v>MGI:1339963</v>
      </c>
      <c r="J1600" s="4" t="s">
        <v>12</v>
      </c>
    </row>
    <row r="1601" spans="1:10" x14ac:dyDescent="0.25">
      <c r="A1601" s="2">
        <v>143.95080975828799</v>
      </c>
      <c r="B1601" s="3">
        <v>0.89942856814208605</v>
      </c>
      <c r="C1601" s="5">
        <v>2.1531619662114201E-6</v>
      </c>
      <c r="D1601" s="6">
        <v>8.6319076994692592E-6</v>
      </c>
      <c r="E1601" s="3" t="s">
        <v>9853</v>
      </c>
      <c r="F1601" s="3" t="s">
        <v>9854</v>
      </c>
      <c r="G1601" s="3" t="s">
        <v>83</v>
      </c>
      <c r="H1601" s="7" t="str">
        <f>HYPERLINK("http://www.ensembl.org/Mus_musculus/Gene/Summary?db=core;g=ENSMUSG00000078956","ENSMUSG00000078956")</f>
        <v>ENSMUSG00000078956</v>
      </c>
      <c r="I1601" s="7" t="str">
        <f>HYPERLINK("http://www.informatics.jax.org/marker/MGI:3650696","MGI:3650696")</f>
        <v>MGI:3650696</v>
      </c>
      <c r="J1601" s="4" t="s">
        <v>939</v>
      </c>
    </row>
    <row r="1602" spans="1:10" x14ac:dyDescent="0.25">
      <c r="A1602" s="2">
        <v>571.76087602470602</v>
      </c>
      <c r="B1602" s="3">
        <v>0.89942262837915798</v>
      </c>
      <c r="C1602" s="5">
        <v>3.1141080385728999E-18</v>
      </c>
      <c r="D1602" s="6">
        <v>2.8417496770318098E-17</v>
      </c>
      <c r="E1602" s="3" t="s">
        <v>4339</v>
      </c>
      <c r="F1602" s="3" t="s">
        <v>4340</v>
      </c>
      <c r="G1602" s="3">
        <v>17342</v>
      </c>
      <c r="H1602" s="7" t="str">
        <f>HYPERLINK("http://www.ensembl.org/Mus_musculus/Gene/Summary?db=core;g=ENSMUSG00000035158","ENSMUSG00000035158")</f>
        <v>ENSMUSG00000035158</v>
      </c>
      <c r="I1602" s="7" t="str">
        <f>HYPERLINK("http://www.informatics.jax.org/marker/MGI:104554","MGI:104554")</f>
        <v>MGI:104554</v>
      </c>
      <c r="J1602" s="4" t="s">
        <v>12</v>
      </c>
    </row>
    <row r="1603" spans="1:10" x14ac:dyDescent="0.25">
      <c r="A1603" s="2">
        <v>0.54381519723961103</v>
      </c>
      <c r="B1603" s="3">
        <v>0.89933677554333602</v>
      </c>
      <c r="C1603" s="3">
        <v>1.9349059856959699E-2</v>
      </c>
      <c r="D1603" s="4">
        <v>4.53109441134361E-2</v>
      </c>
      <c r="E1603" s="3" t="s">
        <v>16846</v>
      </c>
      <c r="F1603" s="3" t="s">
        <v>16847</v>
      </c>
      <c r="G1603" s="3">
        <v>54378</v>
      </c>
      <c r="H1603" s="7" t="str">
        <f>HYPERLINK("http://www.ensembl.org/Mus_musculus/Gene/Summary?db=core;g=ENSMUSG00000078815","ENSMUSG00000078815")</f>
        <v>ENSMUSG00000078815</v>
      </c>
      <c r="I1603" s="7" t="str">
        <f>HYPERLINK("http://www.informatics.jax.org/marker/MGI:1859168","MGI:1859168")</f>
        <v>MGI:1859168</v>
      </c>
      <c r="J1603" s="4" t="s">
        <v>12</v>
      </c>
    </row>
    <row r="1604" spans="1:10" x14ac:dyDescent="0.25">
      <c r="A1604" s="2">
        <v>103.568990636552</v>
      </c>
      <c r="B1604" s="3">
        <v>0.89873114956158395</v>
      </c>
      <c r="C1604" s="5">
        <v>1.4040344058182199E-8</v>
      </c>
      <c r="D1604" s="6">
        <v>6.8669539887736203E-8</v>
      </c>
      <c r="E1604" s="3" t="s">
        <v>8081</v>
      </c>
      <c r="F1604" s="3" t="s">
        <v>8082</v>
      </c>
      <c r="G1604" s="3">
        <v>56213</v>
      </c>
      <c r="H1604" s="7" t="str">
        <f>HYPERLINK("http://www.ensembl.org/Mus_musculus/Gene/Summary?db=core;g=ENSMUSG00000006205","ENSMUSG00000006205")</f>
        <v>ENSMUSG00000006205</v>
      </c>
      <c r="I1604" s="7" t="str">
        <f>HYPERLINK("http://www.informatics.jax.org/marker/MGI:1929076","MGI:1929076")</f>
        <v>MGI:1929076</v>
      </c>
      <c r="J1604" s="4" t="s">
        <v>12</v>
      </c>
    </row>
    <row r="1605" spans="1:10" x14ac:dyDescent="0.25">
      <c r="A1605" s="2">
        <v>6.1049779359320198</v>
      </c>
      <c r="B1605" s="3">
        <v>0.89851016400640904</v>
      </c>
      <c r="C1605" s="3">
        <v>1.8279161644606301E-2</v>
      </c>
      <c r="D1605" s="4">
        <v>4.3020058196877403E-2</v>
      </c>
      <c r="E1605" s="3" t="s">
        <v>16762</v>
      </c>
      <c r="F1605" s="3" t="s">
        <v>16763</v>
      </c>
      <c r="G1605" s="3" t="s">
        <v>83</v>
      </c>
      <c r="H1605" s="7" t="str">
        <f>HYPERLINK("http://www.ensembl.org/Mus_musculus/Gene/Summary?db=core;g=ENSMUSG00000110673","ENSMUSG00000110673")</f>
        <v>ENSMUSG00000110673</v>
      </c>
      <c r="I1605" s="7" t="str">
        <f>HYPERLINK("http://www.informatics.jax.org/marker/MGI:5804948","MGI:5804948")</f>
        <v>MGI:5804948</v>
      </c>
      <c r="J1605" s="4" t="s">
        <v>939</v>
      </c>
    </row>
    <row r="1606" spans="1:10" x14ac:dyDescent="0.25">
      <c r="A1606" s="2">
        <v>1995.4503196968401</v>
      </c>
      <c r="B1606" s="3">
        <v>0.89819389223213897</v>
      </c>
      <c r="C1606" s="5">
        <v>7.32223337731424E-34</v>
      </c>
      <c r="D1606" s="6">
        <v>1.2185184995834299E-32</v>
      </c>
      <c r="E1606" s="3" t="s">
        <v>2387</v>
      </c>
      <c r="F1606" s="3" t="s">
        <v>2388</v>
      </c>
      <c r="G1606" s="3">
        <v>54446</v>
      </c>
      <c r="H1606" s="7" t="str">
        <f>HYPERLINK("http://www.ensembl.org/Mus_musculus/Gene/Summary?db=core;g=ENSMUSG00000003847","ENSMUSG00000003847")</f>
        <v>ENSMUSG00000003847</v>
      </c>
      <c r="I1606" s="7" t="str">
        <f>HYPERLINK("http://www.informatics.jax.org/marker/MGI:1859333","MGI:1859333")</f>
        <v>MGI:1859333</v>
      </c>
      <c r="J1606" s="4" t="s">
        <v>12</v>
      </c>
    </row>
    <row r="1607" spans="1:10" x14ac:dyDescent="0.25">
      <c r="A1607" s="2">
        <v>28.023567860761101</v>
      </c>
      <c r="B1607" s="3">
        <v>0.89736600980349701</v>
      </c>
      <c r="C1607" s="5">
        <v>1.16455998349398E-5</v>
      </c>
      <c r="D1607" s="6">
        <v>4.33385976118159E-5</v>
      </c>
      <c r="E1607" s="3" t="s">
        <v>10611</v>
      </c>
      <c r="F1607" s="3" t="s">
        <v>10612</v>
      </c>
      <c r="G1607" s="3" t="s">
        <v>83</v>
      </c>
      <c r="H1607" s="7" t="str">
        <f>HYPERLINK("http://www.ensembl.org/Mus_musculus/Gene/Summary?db=core;g=ENSMUSG00000103408","ENSMUSG00000103408")</f>
        <v>ENSMUSG00000103408</v>
      </c>
      <c r="I1607" s="7" t="str">
        <f>HYPERLINK("http://www.informatics.jax.org/marker/MGI:5611161","MGI:5611161")</f>
        <v>MGI:5611161</v>
      </c>
      <c r="J1607" s="4" t="s">
        <v>939</v>
      </c>
    </row>
    <row r="1608" spans="1:10" x14ac:dyDescent="0.25">
      <c r="A1608" s="2">
        <v>655.43413830919405</v>
      </c>
      <c r="B1608" s="3">
        <v>0.89733321262936205</v>
      </c>
      <c r="C1608" s="5">
        <v>2.4725987714625199E-34</v>
      </c>
      <c r="D1608" s="6">
        <v>4.18537749126532E-33</v>
      </c>
      <c r="E1608" s="3" t="s">
        <v>2347</v>
      </c>
      <c r="F1608" s="3" t="s">
        <v>2348</v>
      </c>
      <c r="G1608" s="3">
        <v>22259</v>
      </c>
      <c r="H1608" s="7" t="str">
        <f>HYPERLINK("http://www.ensembl.org/Mus_musculus/Gene/Summary?db=core;g=ENSMUSG00000002108","ENSMUSG00000002108")</f>
        <v>ENSMUSG00000002108</v>
      </c>
      <c r="I1608" s="7" t="str">
        <f>HYPERLINK("http://www.informatics.jax.org/marker/MGI:1352462","MGI:1352462")</f>
        <v>MGI:1352462</v>
      </c>
      <c r="J1608" s="4" t="s">
        <v>12</v>
      </c>
    </row>
    <row r="1609" spans="1:10" x14ac:dyDescent="0.25">
      <c r="A1609" s="2">
        <v>2242.4178935834698</v>
      </c>
      <c r="B1609" s="3">
        <v>0.89730226557222803</v>
      </c>
      <c r="C1609" s="5">
        <v>3.0743884877154402E-43</v>
      </c>
      <c r="D1609" s="6">
        <v>6.8505018053953199E-42</v>
      </c>
      <c r="E1609" s="3" t="s">
        <v>1786</v>
      </c>
      <c r="F1609" s="3" t="s">
        <v>1787</v>
      </c>
      <c r="G1609" s="3">
        <v>228536</v>
      </c>
      <c r="H1609" s="7" t="str">
        <f>HYPERLINK("http://www.ensembl.org/Mus_musculus/Gene/Summary?db=core;g=ENSMUSG00000040007","ENSMUSG00000040007")</f>
        <v>ENSMUSG00000040007</v>
      </c>
      <c r="I1609" s="7" t="str">
        <f>HYPERLINK("http://www.informatics.jax.org/marker/MGI:2139371","MGI:2139371")</f>
        <v>MGI:2139371</v>
      </c>
      <c r="J1609" s="4" t="s">
        <v>12</v>
      </c>
    </row>
    <row r="1610" spans="1:10" x14ac:dyDescent="0.25">
      <c r="A1610" s="2">
        <v>1542.9035992417801</v>
      </c>
      <c r="B1610" s="3">
        <v>0.89610580307588406</v>
      </c>
      <c r="C1610" s="5">
        <v>6.8593625112977995E-33</v>
      </c>
      <c r="D1610" s="6">
        <v>1.0961639280615301E-31</v>
      </c>
      <c r="E1610" s="3" t="s">
        <v>2485</v>
      </c>
      <c r="F1610" s="3" t="s">
        <v>2486</v>
      </c>
      <c r="G1610" s="3">
        <v>213053</v>
      </c>
      <c r="H1610" s="7" t="str">
        <f>HYPERLINK("http://www.ensembl.org/Mus_musculus/Gene/Summary?db=core;g=ENSMUSG00000022094","ENSMUSG00000022094")</f>
        <v>ENSMUSG00000022094</v>
      </c>
      <c r="I1610" s="7" t="str">
        <f>HYPERLINK("http://www.informatics.jax.org/marker/MGI:2384851","MGI:2384851")</f>
        <v>MGI:2384851</v>
      </c>
      <c r="J1610" s="4" t="s">
        <v>12</v>
      </c>
    </row>
    <row r="1611" spans="1:10" x14ac:dyDescent="0.25">
      <c r="A1611" s="2">
        <v>2965.00212259911</v>
      </c>
      <c r="B1611" s="3">
        <v>0.89576706815503704</v>
      </c>
      <c r="C1611" s="5">
        <v>8.3034517950622405E-57</v>
      </c>
      <c r="D1611" s="6">
        <v>2.6942198689920699E-55</v>
      </c>
      <c r="E1611" s="3" t="s">
        <v>1230</v>
      </c>
      <c r="F1611" s="3" t="s">
        <v>1231</v>
      </c>
      <c r="G1611" s="3">
        <v>50790</v>
      </c>
      <c r="H1611" s="7" t="str">
        <f>HYPERLINK("http://www.ensembl.org/Mus_musculus/Gene/Summary?db=core;g=ENSMUSG00000031278","ENSMUSG00000031278")</f>
        <v>ENSMUSG00000031278</v>
      </c>
      <c r="I1611" s="7" t="str">
        <f>HYPERLINK("http://www.informatics.jax.org/marker/MGI:1354713","MGI:1354713")</f>
        <v>MGI:1354713</v>
      </c>
      <c r="J1611" s="4" t="s">
        <v>12</v>
      </c>
    </row>
    <row r="1612" spans="1:10" x14ac:dyDescent="0.25">
      <c r="A1612" s="2">
        <v>56.083936420524402</v>
      </c>
      <c r="B1612" s="3">
        <v>0.89554785211253596</v>
      </c>
      <c r="C1612" s="5">
        <v>2.81421355729087E-5</v>
      </c>
      <c r="D1612" s="4">
        <v>1.00829017713983E-4</v>
      </c>
      <c r="E1612" s="3" t="s">
        <v>11020</v>
      </c>
      <c r="F1612" s="3" t="s">
        <v>11021</v>
      </c>
      <c r="G1612" s="3">
        <v>107934</v>
      </c>
      <c r="H1612" s="7" t="str">
        <f>HYPERLINK("http://www.ensembl.org/Mus_musculus/Gene/Summary?db=core;g=ENSMUSG00000023473","ENSMUSG00000023473")</f>
        <v>ENSMUSG00000023473</v>
      </c>
      <c r="I1612" s="7" t="str">
        <f>HYPERLINK("http://www.informatics.jax.org/marker/MGI:1858236","MGI:1858236")</f>
        <v>MGI:1858236</v>
      </c>
      <c r="J1612" s="4" t="s">
        <v>12</v>
      </c>
    </row>
    <row r="1613" spans="1:10" x14ac:dyDescent="0.25">
      <c r="A1613" s="2">
        <v>16.593483856379802</v>
      </c>
      <c r="B1613" s="3">
        <v>0.89538067137305599</v>
      </c>
      <c r="C1613" s="3">
        <v>6.5149622319876004E-4</v>
      </c>
      <c r="D1613" s="4">
        <v>1.9747164957699898E-3</v>
      </c>
      <c r="E1613" s="3" t="s">
        <v>13021</v>
      </c>
      <c r="F1613" s="3" t="s">
        <v>13022</v>
      </c>
      <c r="G1613" s="3" t="s">
        <v>83</v>
      </c>
      <c r="H1613" s="7" t="str">
        <f>HYPERLINK("http://www.ensembl.org/Mus_musculus/Gene/Summary?db=core;g=ENSMUSG00000085172","ENSMUSG00000085172")</f>
        <v>ENSMUSG00000085172</v>
      </c>
      <c r="I1613" s="7" t="str">
        <f>HYPERLINK("http://www.informatics.jax.org/marker/MGI:3644649","MGI:3644649")</f>
        <v>MGI:3644649</v>
      </c>
      <c r="J1613" s="4" t="s">
        <v>1043</v>
      </c>
    </row>
    <row r="1614" spans="1:10" x14ac:dyDescent="0.25">
      <c r="A1614" s="2">
        <v>2129.06456923118</v>
      </c>
      <c r="B1614" s="3">
        <v>0.89431159342618205</v>
      </c>
      <c r="C1614" s="5">
        <v>1.29111741005957E-61</v>
      </c>
      <c r="D1614" s="6">
        <v>4.8963144858413E-60</v>
      </c>
      <c r="E1614" s="3" t="s">
        <v>1056</v>
      </c>
      <c r="F1614" s="3" t="s">
        <v>1057</v>
      </c>
      <c r="G1614" s="3">
        <v>13367</v>
      </c>
      <c r="H1614" s="7" t="str">
        <f>HYPERLINK("http://www.ensembl.org/Mus_musculus/Gene/Summary?db=core;g=ENSMUSG00000024456","ENSMUSG00000024456")</f>
        <v>ENSMUSG00000024456</v>
      </c>
      <c r="I1614" s="7" t="str">
        <f>HYPERLINK("http://www.informatics.jax.org/marker/MGI:1194490","MGI:1194490")</f>
        <v>MGI:1194490</v>
      </c>
      <c r="J1614" s="4" t="s">
        <v>12</v>
      </c>
    </row>
    <row r="1615" spans="1:10" x14ac:dyDescent="0.25">
      <c r="A1615" s="2">
        <v>3102.34472791389</v>
      </c>
      <c r="B1615" s="3">
        <v>0.89286389982243397</v>
      </c>
      <c r="C1615" s="5">
        <v>3.4301485625466502E-94</v>
      </c>
      <c r="D1615" s="6">
        <v>2.4960343045542399E-92</v>
      </c>
      <c r="E1615" s="3" t="s">
        <v>554</v>
      </c>
      <c r="F1615" s="3" t="s">
        <v>555</v>
      </c>
      <c r="G1615" s="3">
        <v>15277</v>
      </c>
      <c r="H1615" s="7" t="str">
        <f>HYPERLINK("http://www.ensembl.org/Mus_musculus/Gene/Summary?db=core;g=ENSMUSG00000000628","ENSMUSG00000000628")</f>
        <v>ENSMUSG00000000628</v>
      </c>
      <c r="I1615" s="7" t="str">
        <f>HYPERLINK("http://www.informatics.jax.org/marker/MGI:1315197","MGI:1315197")</f>
        <v>MGI:1315197</v>
      </c>
      <c r="J1615" s="4" t="s">
        <v>12</v>
      </c>
    </row>
    <row r="1616" spans="1:10" x14ac:dyDescent="0.25">
      <c r="A1616" s="2">
        <v>795.88051242751897</v>
      </c>
      <c r="B1616" s="3">
        <v>0.892753037650998</v>
      </c>
      <c r="C1616" s="5">
        <v>3.7589325548995601E-78</v>
      </c>
      <c r="D1616" s="6">
        <v>2.0880605628906899E-76</v>
      </c>
      <c r="E1616" s="3" t="s">
        <v>722</v>
      </c>
      <c r="F1616" s="3" t="s">
        <v>723</v>
      </c>
      <c r="G1616" s="3">
        <v>80294</v>
      </c>
      <c r="H1616" s="7" t="str">
        <f>HYPERLINK("http://www.ensembl.org/Mus_musculus/Gene/Summary?db=core;g=ENSMUSG00000020260","ENSMUSG00000020260")</f>
        <v>ENSMUSG00000020260</v>
      </c>
      <c r="I1616" s="7" t="str">
        <f>HYPERLINK("http://www.informatics.jax.org/marker/MGI:1916863","MGI:1916863")</f>
        <v>MGI:1916863</v>
      </c>
      <c r="J1616" s="4" t="s">
        <v>12</v>
      </c>
    </row>
    <row r="1617" spans="1:10" x14ac:dyDescent="0.25">
      <c r="A1617" s="2">
        <v>4977.7637611166901</v>
      </c>
      <c r="B1617" s="3">
        <v>0.89123359469895003</v>
      </c>
      <c r="C1617" s="5">
        <v>5.4846147306293996E-60</v>
      </c>
      <c r="D1617" s="6">
        <v>1.9845248162937899E-58</v>
      </c>
      <c r="E1617" s="3" t="s">
        <v>1106</v>
      </c>
      <c r="F1617" s="3" t="s">
        <v>1107</v>
      </c>
      <c r="G1617" s="3">
        <v>56445</v>
      </c>
      <c r="H1617" s="7" t="str">
        <f>HYPERLINK("http://www.ensembl.org/Mus_musculus/Gene/Summary?db=core;g=ENSMUSG00000031701","ENSMUSG00000031701")</f>
        <v>ENSMUSG00000031701</v>
      </c>
      <c r="I1617" s="7" t="str">
        <f>HYPERLINK("http://www.informatics.jax.org/marker/MGI:1931882","MGI:1931882")</f>
        <v>MGI:1931882</v>
      </c>
      <c r="J1617" s="4" t="s">
        <v>12</v>
      </c>
    </row>
    <row r="1618" spans="1:10" x14ac:dyDescent="0.25">
      <c r="A1618" s="2">
        <v>31.187904803287999</v>
      </c>
      <c r="B1618" s="3">
        <v>0.89121084000495499</v>
      </c>
      <c r="C1618" s="3">
        <v>1.3672217299555501E-4</v>
      </c>
      <c r="D1618" s="4">
        <v>4.53136344785269E-4</v>
      </c>
      <c r="E1618" s="3" t="s">
        <v>11911</v>
      </c>
      <c r="F1618" s="3" t="s">
        <v>11912</v>
      </c>
      <c r="G1618" s="3" t="s">
        <v>83</v>
      </c>
      <c r="H1618" s="7" t="str">
        <f>HYPERLINK("http://www.ensembl.org/Mus_musculus/Gene/Summary?db=core;g=ENSMUSG00000104724","ENSMUSG00000104724")</f>
        <v>ENSMUSG00000104724</v>
      </c>
      <c r="I1618" s="7" t="str">
        <f>HYPERLINK("http://www.informatics.jax.org/marker/MGI:5663299","MGI:5663299")</f>
        <v>MGI:5663299</v>
      </c>
      <c r="J1618" s="4" t="s">
        <v>1828</v>
      </c>
    </row>
    <row r="1619" spans="1:10" x14ac:dyDescent="0.25">
      <c r="A1619" s="2">
        <v>498.81511768117298</v>
      </c>
      <c r="B1619" s="3">
        <v>0.89100511466741295</v>
      </c>
      <c r="C1619" s="5">
        <v>1.3171026109800199E-22</v>
      </c>
      <c r="D1619" s="6">
        <v>1.4682455335515E-21</v>
      </c>
      <c r="E1619" s="3" t="s">
        <v>3556</v>
      </c>
      <c r="F1619" s="3" t="s">
        <v>3557</v>
      </c>
      <c r="G1619" s="3">
        <v>231207</v>
      </c>
      <c r="H1619" s="7" t="str">
        <f>HYPERLINK("http://www.ensembl.org/Mus_musculus/Gene/Summary?db=core;g=ENSMUSG00000039782","ENSMUSG00000039782")</f>
        <v>ENSMUSG00000039782</v>
      </c>
      <c r="I1619" s="7" t="str">
        <f>HYPERLINK("http://www.informatics.jax.org/marker/MGI:2442640","MGI:2442640")</f>
        <v>MGI:2442640</v>
      </c>
      <c r="J1619" s="4" t="s">
        <v>12</v>
      </c>
    </row>
    <row r="1620" spans="1:10" x14ac:dyDescent="0.25">
      <c r="A1620" s="2">
        <v>2390.9168137003098</v>
      </c>
      <c r="B1620" s="3">
        <v>0.88956852890565097</v>
      </c>
      <c r="C1620" s="5">
        <v>2.9252309276324602E-75</v>
      </c>
      <c r="D1620" s="6">
        <v>1.4905827879305499E-73</v>
      </c>
      <c r="E1620" s="3" t="s">
        <v>786</v>
      </c>
      <c r="F1620" s="3" t="s">
        <v>787</v>
      </c>
      <c r="G1620" s="3">
        <v>15980</v>
      </c>
      <c r="H1620" s="7" t="str">
        <f>HYPERLINK("http://www.ensembl.org/Mus_musculus/Gene/Summary?db=core;g=ENSMUSG00000022965","ENSMUSG00000022965")</f>
        <v>ENSMUSG00000022965</v>
      </c>
      <c r="I1620" s="7" t="str">
        <f>HYPERLINK("http://www.informatics.jax.org/marker/MGI:107654","MGI:107654")</f>
        <v>MGI:107654</v>
      </c>
      <c r="J1620" s="4" t="s">
        <v>12</v>
      </c>
    </row>
    <row r="1621" spans="1:10" x14ac:dyDescent="0.25">
      <c r="A1621" s="2">
        <v>1394.4709263074401</v>
      </c>
      <c r="B1621" s="3">
        <v>0.88789734987539404</v>
      </c>
      <c r="C1621" s="5">
        <v>6.6529793875377904E-13</v>
      </c>
      <c r="D1621" s="6">
        <v>4.5053830193078702E-12</v>
      </c>
      <c r="E1621" s="3" t="s">
        <v>5841</v>
      </c>
      <c r="F1621" s="3" t="s">
        <v>5842</v>
      </c>
      <c r="G1621" s="3">
        <v>192187</v>
      </c>
      <c r="H1621" s="7" t="str">
        <f>HYPERLINK("http://www.ensembl.org/Mus_musculus/Gene/Summary?db=core;g=ENSMUSG00000042286","ENSMUSG00000042286")</f>
        <v>ENSMUSG00000042286</v>
      </c>
      <c r="I1621" s="7" t="str">
        <f>HYPERLINK("http://www.informatics.jax.org/marker/MGI:2178742","MGI:2178742")</f>
        <v>MGI:2178742</v>
      </c>
      <c r="J1621" s="4" t="s">
        <v>12</v>
      </c>
    </row>
    <row r="1622" spans="1:10" x14ac:dyDescent="0.25">
      <c r="A1622" s="2">
        <v>1315.5868836704001</v>
      </c>
      <c r="B1622" s="3">
        <v>0.88757580762233101</v>
      </c>
      <c r="C1622" s="5">
        <v>3.6946994104366599E-10</v>
      </c>
      <c r="D1622" s="6">
        <v>2.05180153122531E-9</v>
      </c>
      <c r="E1622" s="3" t="s">
        <v>7120</v>
      </c>
      <c r="F1622" s="3" t="s">
        <v>7121</v>
      </c>
      <c r="G1622" s="3">
        <v>16913</v>
      </c>
      <c r="H1622" s="7" t="str">
        <f>HYPERLINK("http://www.ensembl.org/Mus_musculus/Gene/Summary?db=core;g=ENSMUSG00000024338","ENSMUSG00000024338")</f>
        <v>ENSMUSG00000024338</v>
      </c>
      <c r="I1622" s="7" t="str">
        <f>HYPERLINK("http://www.informatics.jax.org/marker/MGI:1346527","MGI:1346527")</f>
        <v>MGI:1346527</v>
      </c>
      <c r="J1622" s="4" t="s">
        <v>12</v>
      </c>
    </row>
    <row r="1623" spans="1:10" x14ac:dyDescent="0.25">
      <c r="A1623" s="2">
        <v>6.6018761901650898</v>
      </c>
      <c r="B1623" s="3">
        <v>0.884513895226961</v>
      </c>
      <c r="C1623" s="3">
        <v>1.6757772517761099E-2</v>
      </c>
      <c r="D1623" s="4">
        <v>3.9800466584397003E-2</v>
      </c>
      <c r="E1623" s="3" t="s">
        <v>16610</v>
      </c>
      <c r="F1623" s="3" t="s">
        <v>16611</v>
      </c>
      <c r="G1623" s="3" t="s">
        <v>83</v>
      </c>
      <c r="H1623" s="7" t="str">
        <f>HYPERLINK("http://www.ensembl.org/Mus_musculus/Gene/Summary?db=core;g=ENSMUSG00000064634","ENSMUSG00000064634")</f>
        <v>ENSMUSG00000064634</v>
      </c>
      <c r="I1623" s="7" t="str">
        <f>HYPERLINK("http://www.informatics.jax.org/marker/MGI:5452397","MGI:5452397")</f>
        <v>MGI:5452397</v>
      </c>
      <c r="J1623" s="4" t="s">
        <v>11100</v>
      </c>
    </row>
    <row r="1624" spans="1:10" x14ac:dyDescent="0.25">
      <c r="A1624" s="2">
        <v>344.39485330256201</v>
      </c>
      <c r="B1624" s="3">
        <v>0.88421243282002304</v>
      </c>
      <c r="C1624" s="5">
        <v>4.84649729790936E-28</v>
      </c>
      <c r="D1624" s="6">
        <v>6.62321044454419E-27</v>
      </c>
      <c r="E1624" s="3" t="s">
        <v>2904</v>
      </c>
      <c r="F1624" s="3" t="s">
        <v>2905</v>
      </c>
      <c r="G1624" s="3">
        <v>20912</v>
      </c>
      <c r="H1624" s="7" t="str">
        <f>HYPERLINK("http://www.ensembl.org/Mus_musculus/Gene/Summary?db=core;g=ENSMUSG00000027882","ENSMUSG00000027882")</f>
        <v>ENSMUSG00000027882</v>
      </c>
      <c r="I1624" s="7" t="str">
        <f>HYPERLINK("http://www.informatics.jax.org/marker/MGI:107362","MGI:107362")</f>
        <v>MGI:107362</v>
      </c>
      <c r="J1624" s="4" t="s">
        <v>12</v>
      </c>
    </row>
    <row r="1625" spans="1:10" x14ac:dyDescent="0.25">
      <c r="A1625" s="2">
        <v>13.3485090421701</v>
      </c>
      <c r="B1625" s="3">
        <v>0.88403597934132505</v>
      </c>
      <c r="C1625" s="3">
        <v>2.0601034421601399E-3</v>
      </c>
      <c r="D1625" s="4">
        <v>5.8094151121690103E-3</v>
      </c>
      <c r="E1625" s="3" t="s">
        <v>13993</v>
      </c>
      <c r="F1625" s="3" t="s">
        <v>13994</v>
      </c>
      <c r="G1625" s="3" t="s">
        <v>83</v>
      </c>
      <c r="H1625" s="7" t="str">
        <f>HYPERLINK("http://www.ensembl.org/Mus_musculus/Gene/Summary?db=core;g=ENSMUSG00000115087","ENSMUSG00000115087")</f>
        <v>ENSMUSG00000115087</v>
      </c>
      <c r="I1625" s="7" t="str">
        <f>HYPERLINK("http://www.informatics.jax.org/marker/MGI:6118348","MGI:6118348")</f>
        <v>MGI:6118348</v>
      </c>
      <c r="J1625" s="4" t="s">
        <v>1828</v>
      </c>
    </row>
    <row r="1626" spans="1:10" x14ac:dyDescent="0.25">
      <c r="A1626" s="2">
        <v>18.297764822211199</v>
      </c>
      <c r="B1626" s="3">
        <v>0.88403554644280402</v>
      </c>
      <c r="C1626" s="3">
        <v>4.3220208299479102E-4</v>
      </c>
      <c r="D1626" s="4">
        <v>1.34136371996495E-3</v>
      </c>
      <c r="E1626" s="3" t="s">
        <v>12719</v>
      </c>
      <c r="F1626" s="3" t="s">
        <v>12720</v>
      </c>
      <c r="G1626" s="3" t="s">
        <v>83</v>
      </c>
      <c r="H1626" s="7" t="str">
        <f>HYPERLINK("http://www.ensembl.org/Mus_musculus/Gene/Summary?db=core;g=ENSMUSG00000084817","ENSMUSG00000084817")</f>
        <v>ENSMUSG00000084817</v>
      </c>
      <c r="I1626" s="7" t="str">
        <f>HYPERLINK("http://www.informatics.jax.org/marker/MGI:3643066","MGI:3643066")</f>
        <v>MGI:3643066</v>
      </c>
      <c r="J1626" s="4" t="s">
        <v>1043</v>
      </c>
    </row>
    <row r="1627" spans="1:10" x14ac:dyDescent="0.25">
      <c r="A1627" s="2">
        <v>1139.71682738349</v>
      </c>
      <c r="B1627" s="3">
        <v>0.88370903363511399</v>
      </c>
      <c r="C1627" s="5">
        <v>5.8627976792591501E-62</v>
      </c>
      <c r="D1627" s="6">
        <v>2.24058857044555E-60</v>
      </c>
      <c r="E1627" s="3" t="s">
        <v>1048</v>
      </c>
      <c r="F1627" s="3" t="s">
        <v>1049</v>
      </c>
      <c r="G1627" s="3">
        <v>17096</v>
      </c>
      <c r="H1627" s="7" t="str">
        <f>HYPERLINK("http://www.ensembl.org/Mus_musculus/Gene/Summary?db=core;g=ENSMUSG00000042228","ENSMUSG00000042228")</f>
        <v>ENSMUSG00000042228</v>
      </c>
      <c r="I1627" s="7" t="str">
        <f>HYPERLINK("http://www.informatics.jax.org/marker/MGI:96892","MGI:96892")</f>
        <v>MGI:96892</v>
      </c>
      <c r="J1627" s="4" t="s">
        <v>12</v>
      </c>
    </row>
    <row r="1628" spans="1:10" x14ac:dyDescent="0.25">
      <c r="A1628" s="2">
        <v>7.8810234250704196</v>
      </c>
      <c r="B1628" s="3">
        <v>0.88360658382655499</v>
      </c>
      <c r="C1628" s="3">
        <v>1.8931323380238601E-2</v>
      </c>
      <c r="D1628" s="4">
        <v>4.44107135714479E-2</v>
      </c>
      <c r="E1628" s="3" t="s">
        <v>16818</v>
      </c>
      <c r="F1628" s="3" t="s">
        <v>16819</v>
      </c>
      <c r="G1628" s="3">
        <v>226654</v>
      </c>
      <c r="H1628" s="7" t="str">
        <f>HYPERLINK("http://www.ensembl.org/Mus_musculus/Gene/Summary?db=core;g=ENSMUSG00000103711","ENSMUSG00000103711")</f>
        <v>ENSMUSG00000103711</v>
      </c>
      <c r="I1628" s="7" t="str">
        <f>HYPERLINK("http://www.informatics.jax.org/marker/MGI:3648482","MGI:3648482")</f>
        <v>MGI:3648482</v>
      </c>
      <c r="J1628" s="4" t="s">
        <v>12</v>
      </c>
    </row>
    <row r="1629" spans="1:10" x14ac:dyDescent="0.25">
      <c r="A1629" s="2">
        <v>689.20007816412601</v>
      </c>
      <c r="B1629" s="3">
        <v>0.88259749888210004</v>
      </c>
      <c r="C1629" s="5">
        <v>5.50819057869562E-41</v>
      </c>
      <c r="D1629" s="6">
        <v>1.15065167597328E-39</v>
      </c>
      <c r="E1629" s="3" t="s">
        <v>1905</v>
      </c>
      <c r="F1629" s="3" t="s">
        <v>1906</v>
      </c>
      <c r="G1629" s="3">
        <v>68533</v>
      </c>
      <c r="H1629" s="7" t="str">
        <f>HYPERLINK("http://www.ensembl.org/Mus_musculus/Gene/Summary?db=core;g=ENSMUSG00000031843","ENSMUSG00000031843")</f>
        <v>ENSMUSG00000031843</v>
      </c>
      <c r="I1629" s="7" t="str">
        <f>HYPERLINK("http://www.informatics.jax.org/marker/MGI:1915783","MGI:1915783")</f>
        <v>MGI:1915783</v>
      </c>
      <c r="J1629" s="4" t="s">
        <v>12</v>
      </c>
    </row>
    <row r="1630" spans="1:10" x14ac:dyDescent="0.25">
      <c r="A1630" s="2">
        <v>2327.56944130069</v>
      </c>
      <c r="B1630" s="3">
        <v>0.88200620526848195</v>
      </c>
      <c r="C1630" s="5">
        <v>8.4370600089924199E-49</v>
      </c>
      <c r="D1630" s="6">
        <v>2.2183843116977402E-47</v>
      </c>
      <c r="E1630" s="3" t="s">
        <v>1516</v>
      </c>
      <c r="F1630" s="3" t="s">
        <v>1517</v>
      </c>
      <c r="G1630" s="3">
        <v>12571</v>
      </c>
      <c r="H1630" s="7" t="str">
        <f>HYPERLINK("http://www.ensembl.org/Mus_musculus/Gene/Summary?db=core;g=ENSMUSG00000040274","ENSMUSG00000040274")</f>
        <v>ENSMUSG00000040274</v>
      </c>
      <c r="I1630" s="7" t="str">
        <f>HYPERLINK("http://www.informatics.jax.org/marker/MGI:1277162","MGI:1277162")</f>
        <v>MGI:1277162</v>
      </c>
      <c r="J1630" s="4" t="s">
        <v>12</v>
      </c>
    </row>
    <row r="1631" spans="1:10" x14ac:dyDescent="0.25">
      <c r="A1631" s="2">
        <v>9112.0641787060904</v>
      </c>
      <c r="B1631" s="3">
        <v>0.88195092078809201</v>
      </c>
      <c r="C1631" s="5">
        <v>7.3434725305574707E-49</v>
      </c>
      <c r="D1631" s="6">
        <v>1.93342160617615E-47</v>
      </c>
      <c r="E1631" s="3" t="s">
        <v>1514</v>
      </c>
      <c r="F1631" s="3" t="s">
        <v>1515</v>
      </c>
      <c r="G1631" s="3">
        <v>16412</v>
      </c>
      <c r="H1631" s="7" t="str">
        <f>HYPERLINK("http://www.ensembl.org/Mus_musculus/Gene/Summary?db=core;g=ENSMUSG00000025809","ENSMUSG00000025809")</f>
        <v>ENSMUSG00000025809</v>
      </c>
      <c r="I1631" s="7" t="str">
        <f>HYPERLINK("http://www.informatics.jax.org/marker/MGI:96610","MGI:96610")</f>
        <v>MGI:96610</v>
      </c>
      <c r="J1631" s="4" t="s">
        <v>12</v>
      </c>
    </row>
    <row r="1632" spans="1:10" x14ac:dyDescent="0.25">
      <c r="A1632" s="2">
        <v>753.23565694387003</v>
      </c>
      <c r="B1632" s="3">
        <v>0.88124330841787302</v>
      </c>
      <c r="C1632" s="5">
        <v>3.6917706732869501E-35</v>
      </c>
      <c r="D1632" s="6">
        <v>6.4255708452973203E-34</v>
      </c>
      <c r="E1632" s="3" t="s">
        <v>2283</v>
      </c>
      <c r="F1632" s="3" t="s">
        <v>2284</v>
      </c>
      <c r="G1632" s="3">
        <v>22030</v>
      </c>
      <c r="H1632" s="7" t="str">
        <f>HYPERLINK("http://www.ensembl.org/Mus_musculus/Gene/Summary?db=core;g=ENSMUSG00000026942","ENSMUSG00000026942")</f>
        <v>ENSMUSG00000026942</v>
      </c>
      <c r="I1632" s="7" t="str">
        <f>HYPERLINK("http://www.informatics.jax.org/marker/MGI:101835","MGI:101835")</f>
        <v>MGI:101835</v>
      </c>
      <c r="J1632" s="4" t="s">
        <v>12</v>
      </c>
    </row>
    <row r="1633" spans="1:10" x14ac:dyDescent="0.25">
      <c r="A1633" s="2">
        <v>664.18305634115097</v>
      </c>
      <c r="B1633" s="3">
        <v>0.88067829255008301</v>
      </c>
      <c r="C1633" s="5">
        <v>5.5169216011379002E-39</v>
      </c>
      <c r="D1633" s="6">
        <v>1.08360252962589E-37</v>
      </c>
      <c r="E1633" s="3" t="s">
        <v>2025</v>
      </c>
      <c r="F1633" s="3" t="s">
        <v>2026</v>
      </c>
      <c r="G1633" s="3">
        <v>83814</v>
      </c>
      <c r="H1633" s="7" t="str">
        <f>HYPERLINK("http://www.ensembl.org/Mus_musculus/Gene/Summary?db=core;g=ENSMUSG00000024589","ENSMUSG00000024589")</f>
        <v>ENSMUSG00000024589</v>
      </c>
      <c r="I1633" s="7" t="str">
        <f>HYPERLINK("http://www.informatics.jax.org/marker/MGI:1933754","MGI:1933754")</f>
        <v>MGI:1933754</v>
      </c>
      <c r="J1633" s="4" t="s">
        <v>12</v>
      </c>
    </row>
    <row r="1634" spans="1:10" x14ac:dyDescent="0.25">
      <c r="A1634" s="2">
        <v>19.672408139829599</v>
      </c>
      <c r="B1634" s="3">
        <v>0.88000131434120199</v>
      </c>
      <c r="C1634" s="3">
        <v>9.3968269974515695E-4</v>
      </c>
      <c r="D1634" s="4">
        <v>2.78027649496992E-3</v>
      </c>
      <c r="E1634" s="3" t="s">
        <v>13338</v>
      </c>
      <c r="F1634" s="3" t="s">
        <v>13339</v>
      </c>
      <c r="G1634" s="3" t="s">
        <v>83</v>
      </c>
      <c r="H1634" s="7" t="str">
        <f>HYPERLINK("http://www.ensembl.org/Mus_musculus/Gene/Summary?db=core;g=ENSMUSG00000086754","ENSMUSG00000086754")</f>
        <v>ENSMUSG00000086754</v>
      </c>
      <c r="I1634" s="7" t="str">
        <f>HYPERLINK("http://www.informatics.jax.org/marker/MGI:3801762","MGI:3801762")</f>
        <v>MGI:3801762</v>
      </c>
      <c r="J1634" s="4" t="s">
        <v>932</v>
      </c>
    </row>
    <row r="1635" spans="1:10" x14ac:dyDescent="0.25">
      <c r="A1635" s="2">
        <v>338.30239756076799</v>
      </c>
      <c r="B1635" s="3">
        <v>0.87984479701216101</v>
      </c>
      <c r="C1635" s="5">
        <v>2.03452527343556E-10</v>
      </c>
      <c r="D1635" s="6">
        <v>1.15356062082085E-9</v>
      </c>
      <c r="E1635" s="3" t="s">
        <v>6974</v>
      </c>
      <c r="F1635" s="3" t="s">
        <v>6975</v>
      </c>
      <c r="G1635" s="3" t="s">
        <v>83</v>
      </c>
      <c r="H1635" s="7" t="str">
        <f>HYPERLINK("http://www.ensembl.org/Mus_musculus/Gene/Summary?db=core;g=ENSMUSG00000115230","ENSMUSG00000115230")</f>
        <v>ENSMUSG00000115230</v>
      </c>
      <c r="I1635" s="7" t="str">
        <f>HYPERLINK("http://www.informatics.jax.org/marker/MGI:2146144","MGI:2146144")</f>
        <v>MGI:2146144</v>
      </c>
      <c r="J1635" s="4" t="s">
        <v>939</v>
      </c>
    </row>
    <row r="1636" spans="1:10" x14ac:dyDescent="0.25">
      <c r="A1636" s="2">
        <v>517.03270283517497</v>
      </c>
      <c r="B1636" s="3">
        <v>0.87911355563679805</v>
      </c>
      <c r="C1636" s="5">
        <v>6.4427831290877098E-33</v>
      </c>
      <c r="D1636" s="6">
        <v>1.0312636631948801E-31</v>
      </c>
      <c r="E1636" s="3" t="s">
        <v>2481</v>
      </c>
      <c r="F1636" s="3" t="s">
        <v>2482</v>
      </c>
      <c r="G1636" s="3">
        <v>319997</v>
      </c>
      <c r="H1636" s="7" t="str">
        <f>HYPERLINK("http://www.ensembl.org/Mus_musculus/Gene/Summary?db=core;g=ENSMUSG00000052760","ENSMUSG00000052760")</f>
        <v>ENSMUSG00000052760</v>
      </c>
      <c r="I1636" s="7" t="str">
        <f>HYPERLINK("http://www.informatics.jax.org/marker/MGI:2443131","MGI:2443131")</f>
        <v>MGI:2443131</v>
      </c>
      <c r="J1636" s="4" t="s">
        <v>12</v>
      </c>
    </row>
    <row r="1637" spans="1:10" x14ac:dyDescent="0.25">
      <c r="A1637" s="2">
        <v>622.54538486432102</v>
      </c>
      <c r="B1637" s="3">
        <v>0.87860310372530503</v>
      </c>
      <c r="C1637" s="5">
        <v>2.7856396958751799E-20</v>
      </c>
      <c r="D1637" s="6">
        <v>2.8012654157398498E-19</v>
      </c>
      <c r="E1637" s="3" t="s">
        <v>3940</v>
      </c>
      <c r="F1637" s="3" t="s">
        <v>3941</v>
      </c>
      <c r="G1637" s="3">
        <v>71712</v>
      </c>
      <c r="H1637" s="7" t="str">
        <f>HYPERLINK("http://www.ensembl.org/Mus_musculus/Gene/Summary?db=core;g=ENSMUSG00000020057","ENSMUSG00000020057")</f>
        <v>ENSMUSG00000020057</v>
      </c>
      <c r="I1637" s="7" t="str">
        <f>HYPERLINK("http://www.informatics.jax.org/marker/MGI:1918962","MGI:1918962")</f>
        <v>MGI:1918962</v>
      </c>
      <c r="J1637" s="4" t="s">
        <v>12</v>
      </c>
    </row>
    <row r="1638" spans="1:10" x14ac:dyDescent="0.25">
      <c r="A1638" s="2">
        <v>1397.9801409541601</v>
      </c>
      <c r="B1638" s="3">
        <v>0.878536866026566</v>
      </c>
      <c r="C1638" s="5">
        <v>9.8451446612543209E-35</v>
      </c>
      <c r="D1638" s="6">
        <v>1.6926438772444199E-33</v>
      </c>
      <c r="E1638" s="3" t="s">
        <v>2311</v>
      </c>
      <c r="F1638" s="3" t="s">
        <v>2312</v>
      </c>
      <c r="G1638" s="3">
        <v>27966</v>
      </c>
      <c r="H1638" s="7" t="str">
        <f>HYPERLINK("http://www.ensembl.org/Mus_musculus/Gene/Summary?db=core;g=ENSMUSG00000041506","ENSMUSG00000041506")</f>
        <v>ENSMUSG00000041506</v>
      </c>
      <c r="I1638" s="7" t="str">
        <f>HYPERLINK("http://www.informatics.jax.org/marker/MGI:2384313","MGI:2384313")</f>
        <v>MGI:2384313</v>
      </c>
      <c r="J1638" s="4" t="s">
        <v>12</v>
      </c>
    </row>
    <row r="1639" spans="1:10" x14ac:dyDescent="0.25">
      <c r="A1639" s="2">
        <v>154.61888562470099</v>
      </c>
      <c r="B1639" s="3">
        <v>0.87690863780343897</v>
      </c>
      <c r="C1639" s="5">
        <v>1.1467421321847701E-13</v>
      </c>
      <c r="D1639" s="6">
        <v>8.1608642535848896E-13</v>
      </c>
      <c r="E1639" s="3" t="s">
        <v>5559</v>
      </c>
      <c r="F1639" s="3" t="s">
        <v>5560</v>
      </c>
      <c r="G1639" s="3" t="s">
        <v>83</v>
      </c>
      <c r="H1639" s="7" t="str">
        <f>HYPERLINK("http://www.ensembl.org/Mus_musculus/Gene/Summary?db=core;g=ENSMUSG00000042549","ENSMUSG00000042549")</f>
        <v>ENSMUSG00000042549</v>
      </c>
      <c r="I1639" s="7" t="str">
        <f>HYPERLINK("http://www.informatics.jax.org/marker/MGI:1344334","MGI:1344334")</f>
        <v>MGI:1344334</v>
      </c>
      <c r="J1639" s="4" t="s">
        <v>932</v>
      </c>
    </row>
    <row r="1640" spans="1:10" x14ac:dyDescent="0.25">
      <c r="A1640" s="2">
        <v>1247.3762512206199</v>
      </c>
      <c r="B1640" s="3">
        <v>0.87599853584494303</v>
      </c>
      <c r="C1640" s="5">
        <v>7.7974896206636694E-43</v>
      </c>
      <c r="D1640" s="6">
        <v>1.7199831691217899E-41</v>
      </c>
      <c r="E1640" s="3" t="s">
        <v>1804</v>
      </c>
      <c r="F1640" s="3" t="s">
        <v>1805</v>
      </c>
      <c r="G1640" s="3" t="s">
        <v>83</v>
      </c>
      <c r="H1640" s="7" t="str">
        <f>HYPERLINK("http://www.ensembl.org/Mus_musculus/Gene/Summary?db=core;g=ENSMUSG00000098650","ENSMUSG00000098650")</f>
        <v>ENSMUSG00000098650</v>
      </c>
      <c r="I1640" s="7" t="str">
        <f>HYPERLINK("http://www.informatics.jax.org/marker/MGI:5547784","MGI:5547784")</f>
        <v>MGI:5547784</v>
      </c>
      <c r="J1640" s="4" t="s">
        <v>12</v>
      </c>
    </row>
    <row r="1641" spans="1:10" x14ac:dyDescent="0.25">
      <c r="A1641" s="2">
        <v>7.0937571093535201</v>
      </c>
      <c r="B1641" s="3">
        <v>0.87502757038144796</v>
      </c>
      <c r="C1641" s="3">
        <v>1.42728988586066E-2</v>
      </c>
      <c r="D1641" s="4">
        <v>3.4404298434387297E-2</v>
      </c>
      <c r="E1641" s="3" t="s">
        <v>16367</v>
      </c>
      <c r="F1641" s="3" t="s">
        <v>16368</v>
      </c>
      <c r="G1641" s="3">
        <v>73324</v>
      </c>
      <c r="H1641" s="7" t="str">
        <f>HYPERLINK("http://www.ensembl.org/Mus_musculus/Gene/Summary?db=core;g=ENSMUSG00000020461","ENSMUSG00000020461")</f>
        <v>ENSMUSG00000020461</v>
      </c>
      <c r="I1641" s="7" t="str">
        <f>HYPERLINK("http://www.informatics.jax.org/marker/MGI:1920574","MGI:1920574")</f>
        <v>MGI:1920574</v>
      </c>
      <c r="J1641" s="4" t="s">
        <v>12</v>
      </c>
    </row>
    <row r="1642" spans="1:10" x14ac:dyDescent="0.25">
      <c r="A1642" s="2">
        <v>53.235586274166799</v>
      </c>
      <c r="B1642" s="3">
        <v>0.87344959789356402</v>
      </c>
      <c r="C1642" s="5">
        <v>1.7333114875647401E-5</v>
      </c>
      <c r="D1642" s="6">
        <v>6.3415403589567001E-5</v>
      </c>
      <c r="E1642" s="3" t="s">
        <v>10792</v>
      </c>
      <c r="F1642" s="3" t="s">
        <v>10793</v>
      </c>
      <c r="G1642" s="3" t="s">
        <v>83</v>
      </c>
      <c r="H1642" s="7" t="str">
        <f>HYPERLINK("http://www.ensembl.org/Mus_musculus/Gene/Summary?db=core;g=ENSMUSG00000112336","ENSMUSG00000112336")</f>
        <v>ENSMUSG00000112336</v>
      </c>
      <c r="I1642" s="7" t="str">
        <f>HYPERLINK("http://www.informatics.jax.org/marker/MGI:6096919","MGI:6096919")</f>
        <v>MGI:6096919</v>
      </c>
      <c r="J1642" s="4" t="s">
        <v>932</v>
      </c>
    </row>
    <row r="1643" spans="1:10" x14ac:dyDescent="0.25">
      <c r="A1643" s="2">
        <v>992.259189562453</v>
      </c>
      <c r="B1643" s="3">
        <v>0.872621991702764</v>
      </c>
      <c r="C1643" s="5">
        <v>4.8138907187021198E-40</v>
      </c>
      <c r="D1643" s="6">
        <v>9.79668988367448E-39</v>
      </c>
      <c r="E1643" s="3" t="s">
        <v>1955</v>
      </c>
      <c r="F1643" s="3" t="s">
        <v>1956</v>
      </c>
      <c r="G1643" s="3">
        <v>56736</v>
      </c>
      <c r="H1643" s="7" t="str">
        <f>HYPERLINK("http://www.ensembl.org/Mus_musculus/Gene/Summary?db=core;g=ENSMUSG00000060450","ENSMUSG00000060450")</f>
        <v>ENSMUSG00000060450</v>
      </c>
      <c r="I1643" s="7" t="str">
        <f>HYPERLINK("http://www.informatics.jax.org/marker/MGI:1929668","MGI:1929668")</f>
        <v>MGI:1929668</v>
      </c>
      <c r="J1643" s="4" t="s">
        <v>12</v>
      </c>
    </row>
    <row r="1644" spans="1:10" x14ac:dyDescent="0.25">
      <c r="A1644" s="2">
        <v>2681.63805279911</v>
      </c>
      <c r="B1644" s="3">
        <v>0.87188653369647395</v>
      </c>
      <c r="C1644" s="5">
        <v>5.1522171005314599E-51</v>
      </c>
      <c r="D1644" s="6">
        <v>1.4150657551877499E-49</v>
      </c>
      <c r="E1644" s="3" t="s">
        <v>1452</v>
      </c>
      <c r="F1644" s="3" t="s">
        <v>1453</v>
      </c>
      <c r="G1644" s="3">
        <v>237782</v>
      </c>
      <c r="H1644" s="7" t="str">
        <f>HYPERLINK("http://www.ensembl.org/Mus_musculus/Gene/Summary?db=core;g=ENSMUSG00000049323","ENSMUSG00000049323")</f>
        <v>ENSMUSG00000049323</v>
      </c>
      <c r="I1644" s="7" t="str">
        <f>HYPERLINK("http://www.informatics.jax.org/marker/MGI:2444720","MGI:2444720")</f>
        <v>MGI:2444720</v>
      </c>
      <c r="J1644" s="4" t="s">
        <v>12</v>
      </c>
    </row>
    <row r="1645" spans="1:10" x14ac:dyDescent="0.25">
      <c r="A1645" s="2">
        <v>2032.8145225184601</v>
      </c>
      <c r="B1645" s="3">
        <v>0.87113735422477501</v>
      </c>
      <c r="C1645" s="5">
        <v>5.8070736605966496E-103</v>
      </c>
      <c r="D1645" s="6">
        <v>4.7914432044755598E-101</v>
      </c>
      <c r="E1645" s="3" t="s">
        <v>490</v>
      </c>
      <c r="F1645" s="3" t="s">
        <v>491</v>
      </c>
      <c r="G1645" s="3">
        <v>15463</v>
      </c>
      <c r="H1645" s="7" t="str">
        <f>HYPERLINK("http://www.ensembl.org/Mus_musculus/Gene/Summary?db=core;g=ENSMUSG00000026159","ENSMUSG00000026159")</f>
        <v>ENSMUSG00000026159</v>
      </c>
      <c r="I1645" s="7" t="str">
        <f>HYPERLINK("http://www.informatics.jax.org/marker/MGI:1333754","MGI:1333754")</f>
        <v>MGI:1333754</v>
      </c>
      <c r="J1645" s="4" t="s">
        <v>12</v>
      </c>
    </row>
    <row r="1646" spans="1:10" x14ac:dyDescent="0.25">
      <c r="A1646" s="2">
        <v>81.568264727134107</v>
      </c>
      <c r="B1646" s="3">
        <v>0.87099650170588505</v>
      </c>
      <c r="C1646" s="5">
        <v>1.48016860736994E-8</v>
      </c>
      <c r="D1646" s="6">
        <v>7.2303504922802107E-8</v>
      </c>
      <c r="E1646" s="3" t="s">
        <v>8091</v>
      </c>
      <c r="F1646" s="3" t="s">
        <v>8092</v>
      </c>
      <c r="G1646" s="3">
        <v>55942</v>
      </c>
      <c r="H1646" s="7" t="str">
        <f>HYPERLINK("http://www.ensembl.org/Mus_musculus/Gene/Summary?db=core;g=ENSMUSG00000008384","ENSMUSG00000008384")</f>
        <v>ENSMUSG00000008384</v>
      </c>
      <c r="I1646" s="7" t="str">
        <f>HYPERLINK("http://www.informatics.jax.org/marker/MGI:1913438","MGI:1913438")</f>
        <v>MGI:1913438</v>
      </c>
      <c r="J1646" s="4" t="s">
        <v>12</v>
      </c>
    </row>
    <row r="1647" spans="1:10" x14ac:dyDescent="0.25">
      <c r="A1647" s="2">
        <v>478.54563302635103</v>
      </c>
      <c r="B1647" s="3">
        <v>0.86984470657780399</v>
      </c>
      <c r="C1647" s="5">
        <v>1.8888661293623901E-17</v>
      </c>
      <c r="D1647" s="6">
        <v>1.65181552421403E-16</v>
      </c>
      <c r="E1647" s="3" t="s">
        <v>4527</v>
      </c>
      <c r="F1647" s="3" t="s">
        <v>4528</v>
      </c>
      <c r="G1647" s="3">
        <v>216850</v>
      </c>
      <c r="H1647" s="7" t="str">
        <f>HYPERLINK("http://www.ensembl.org/Mus_musculus/Gene/Summary?db=core;g=ENSMUSG00000018476","ENSMUSG00000018476")</f>
        <v>ENSMUSG00000018476</v>
      </c>
      <c r="I1647" s="7" t="str">
        <f>HYPERLINK("http://www.informatics.jax.org/marker/MGI:2448492","MGI:2448492")</f>
        <v>MGI:2448492</v>
      </c>
      <c r="J1647" s="4" t="s">
        <v>12</v>
      </c>
    </row>
    <row r="1648" spans="1:10" x14ac:dyDescent="0.25">
      <c r="A1648" s="2">
        <v>2722.39238769452</v>
      </c>
      <c r="B1648" s="3">
        <v>0.86930631292695504</v>
      </c>
      <c r="C1648" s="5">
        <v>1.2504752761229999E-28</v>
      </c>
      <c r="D1648" s="6">
        <v>1.75636555877105E-27</v>
      </c>
      <c r="E1648" s="3" t="s">
        <v>2826</v>
      </c>
      <c r="F1648" s="3" t="s">
        <v>2827</v>
      </c>
      <c r="G1648" s="3">
        <v>18753</v>
      </c>
      <c r="H1648" s="7" t="str">
        <f>HYPERLINK("http://www.ensembl.org/Mus_musculus/Gene/Summary?db=core;g=ENSMUSG00000021948","ENSMUSG00000021948")</f>
        <v>ENSMUSG00000021948</v>
      </c>
      <c r="I1648" s="7" t="str">
        <f>HYPERLINK("http://www.informatics.jax.org/marker/MGI:97598","MGI:97598")</f>
        <v>MGI:97598</v>
      </c>
      <c r="J1648" s="4" t="s">
        <v>12</v>
      </c>
    </row>
    <row r="1649" spans="1:10" x14ac:dyDescent="0.25">
      <c r="A1649" s="2">
        <v>833.81456299924002</v>
      </c>
      <c r="B1649" s="3">
        <v>0.86847101124176096</v>
      </c>
      <c r="C1649" s="5">
        <v>3.0333402053675501E-12</v>
      </c>
      <c r="D1649" s="6">
        <v>1.98136697084624E-11</v>
      </c>
      <c r="E1649" s="3" t="s">
        <v>6055</v>
      </c>
      <c r="F1649" s="3" t="s">
        <v>6056</v>
      </c>
      <c r="G1649" s="3">
        <v>23845</v>
      </c>
      <c r="H1649" s="7" t="str">
        <f>HYPERLINK("http://www.ensembl.org/Mus_musculus/Gene/Summary?db=core;g=ENSMUSG00000029915","ENSMUSG00000029915")</f>
        <v>ENSMUSG00000029915</v>
      </c>
      <c r="I1649" s="7" t="str">
        <f>HYPERLINK("http://www.informatics.jax.org/marker/MGI:1345151","MGI:1345151")</f>
        <v>MGI:1345151</v>
      </c>
      <c r="J1649" s="4" t="s">
        <v>12</v>
      </c>
    </row>
    <row r="1650" spans="1:10" x14ac:dyDescent="0.25">
      <c r="A1650" s="2">
        <v>134.28815161290601</v>
      </c>
      <c r="B1650" s="3">
        <v>0.86812602688127405</v>
      </c>
      <c r="C1650" s="5">
        <v>5.3239374295751299E-18</v>
      </c>
      <c r="D1650" s="6">
        <v>4.8049449021154E-17</v>
      </c>
      <c r="E1650" s="3" t="s">
        <v>4387</v>
      </c>
      <c r="F1650" s="3" t="s">
        <v>4388</v>
      </c>
      <c r="G1650" s="3">
        <v>94043</v>
      </c>
      <c r="H1650" s="7" t="str">
        <f>HYPERLINK("http://www.ensembl.org/Mus_musculus/Gene/Summary?db=core;g=ENSMUSG00000028563","ENSMUSG00000028563")</f>
        <v>ENSMUSG00000028563</v>
      </c>
      <c r="I1650" s="7" t="str">
        <f>HYPERLINK("http://www.informatics.jax.org/marker/MGI:2137022","MGI:2137022")</f>
        <v>MGI:2137022</v>
      </c>
      <c r="J1650" s="4" t="s">
        <v>12</v>
      </c>
    </row>
    <row r="1651" spans="1:10" x14ac:dyDescent="0.25">
      <c r="A1651" s="2">
        <v>11.384934616847801</v>
      </c>
      <c r="B1651" s="3">
        <v>0.86786273300147598</v>
      </c>
      <c r="C1651" s="3">
        <v>1.3404351628757799E-2</v>
      </c>
      <c r="D1651" s="4">
        <v>3.2477431394410103E-2</v>
      </c>
      <c r="E1651" s="3" t="s">
        <v>16283</v>
      </c>
      <c r="F1651" s="3" t="s">
        <v>16284</v>
      </c>
      <c r="G1651" s="3" t="s">
        <v>83</v>
      </c>
      <c r="H1651" s="7" t="str">
        <f>HYPERLINK("http://www.ensembl.org/Mus_musculus/Gene/Summary?db=core;g=ENSMUSG00000103103","ENSMUSG00000103103")</f>
        <v>ENSMUSG00000103103</v>
      </c>
      <c r="I1651" s="7" t="str">
        <f>HYPERLINK("http://www.informatics.jax.org/marker/MGI:2143268","MGI:2143268")</f>
        <v>MGI:2143268</v>
      </c>
      <c r="J1651" s="4" t="s">
        <v>939</v>
      </c>
    </row>
    <row r="1652" spans="1:10" x14ac:dyDescent="0.25">
      <c r="A1652" s="2">
        <v>16.385983082533901</v>
      </c>
      <c r="B1652" s="3">
        <v>0.86691300628724599</v>
      </c>
      <c r="C1652" s="3">
        <v>2.7629592820198699E-3</v>
      </c>
      <c r="D1652" s="4">
        <v>7.6278254292918698E-3</v>
      </c>
      <c r="E1652" s="3" t="s">
        <v>14291</v>
      </c>
      <c r="F1652" s="3" t="s">
        <v>14292</v>
      </c>
      <c r="G1652" s="3" t="s">
        <v>83</v>
      </c>
      <c r="H1652" s="7" t="str">
        <f>HYPERLINK("http://www.ensembl.org/Mus_musculus/Gene/Summary?db=core;g=ENSMUSG00000108825","ENSMUSG00000108825")</f>
        <v>ENSMUSG00000108825</v>
      </c>
      <c r="I1652" s="7" t="str">
        <f>HYPERLINK("http://www.informatics.jax.org/marker/MGI:5804953","MGI:5804953")</f>
        <v>MGI:5804953</v>
      </c>
      <c r="J1652" s="4" t="s">
        <v>1828</v>
      </c>
    </row>
    <row r="1653" spans="1:10" x14ac:dyDescent="0.25">
      <c r="A1653" s="2">
        <v>20.322414138893301</v>
      </c>
      <c r="B1653" s="3">
        <v>0.86601516509449294</v>
      </c>
      <c r="C1653" s="3">
        <v>2.5924775958392899E-3</v>
      </c>
      <c r="D1653" s="4">
        <v>7.18735529171246E-3</v>
      </c>
      <c r="E1653" s="3" t="s">
        <v>14233</v>
      </c>
      <c r="F1653" s="3" t="s">
        <v>14234</v>
      </c>
      <c r="G1653" s="3" t="s">
        <v>83</v>
      </c>
      <c r="H1653" s="7" t="str">
        <f>HYPERLINK("http://www.ensembl.org/Mus_musculus/Gene/Summary?db=core;g=ENSMUSG00000115816","ENSMUSG00000115816")</f>
        <v>ENSMUSG00000115816</v>
      </c>
      <c r="I1653" s="7" t="str">
        <f>HYPERLINK("http://www.informatics.jax.org/marker/MGI:5593748","MGI:5593748")</f>
        <v>MGI:5593748</v>
      </c>
      <c r="J1653" s="4" t="s">
        <v>331</v>
      </c>
    </row>
    <row r="1654" spans="1:10" x14ac:dyDescent="0.25">
      <c r="A1654" s="2">
        <v>2050.1237507308301</v>
      </c>
      <c r="B1654" s="3">
        <v>0.86565181061673802</v>
      </c>
      <c r="C1654" s="5">
        <v>1.0320101991478601E-62</v>
      </c>
      <c r="D1654" s="6">
        <v>4.0299487380585903E-61</v>
      </c>
      <c r="E1654" s="3" t="s">
        <v>1025</v>
      </c>
      <c r="F1654" s="3" t="s">
        <v>1026</v>
      </c>
      <c r="G1654" s="3">
        <v>70640</v>
      </c>
      <c r="H1654" s="7" t="str">
        <f>HYPERLINK("http://www.ensembl.org/Mus_musculus/Gene/Summary?db=core;g=ENSMUSG00000024472","ENSMUSG00000024472")</f>
        <v>ENSMUSG00000024472</v>
      </c>
      <c r="I1654" s="7" t="str">
        <f>HYPERLINK("http://www.informatics.jax.org/marker/MGI:1917890","MGI:1917890")</f>
        <v>MGI:1917890</v>
      </c>
      <c r="J1654" s="4" t="s">
        <v>12</v>
      </c>
    </row>
    <row r="1655" spans="1:10" x14ac:dyDescent="0.25">
      <c r="A1655" s="2">
        <v>4603.0979820460898</v>
      </c>
      <c r="B1655" s="3">
        <v>0.86507294638404797</v>
      </c>
      <c r="C1655" s="5">
        <v>9.3997846781144604E-72</v>
      </c>
      <c r="D1655" s="6">
        <v>4.5100670037084499E-70</v>
      </c>
      <c r="E1655" s="3" t="s">
        <v>834</v>
      </c>
      <c r="F1655" s="3" t="s">
        <v>835</v>
      </c>
      <c r="G1655" s="3">
        <v>56348</v>
      </c>
      <c r="H1655" s="7" t="str">
        <f>HYPERLINK("http://www.ensembl.org/Mus_musculus/Gene/Summary?db=core;g=ENSMUSG00000027195","ENSMUSG00000027195")</f>
        <v>ENSMUSG00000027195</v>
      </c>
      <c r="I1655" s="7" t="str">
        <f>HYPERLINK("http://www.informatics.jax.org/marker/MGI:1926967","MGI:1926967")</f>
        <v>MGI:1926967</v>
      </c>
      <c r="J1655" s="4" t="s">
        <v>12</v>
      </c>
    </row>
    <row r="1656" spans="1:10" x14ac:dyDescent="0.25">
      <c r="A1656" s="2">
        <v>3554.28937908732</v>
      </c>
      <c r="B1656" s="3">
        <v>0.86433215679215003</v>
      </c>
      <c r="C1656" s="5">
        <v>2.7622500766551199E-52</v>
      </c>
      <c r="D1656" s="6">
        <v>7.8489296126280794E-51</v>
      </c>
      <c r="E1656" s="3" t="s">
        <v>1404</v>
      </c>
      <c r="F1656" s="3" t="s">
        <v>1405</v>
      </c>
      <c r="G1656" s="3">
        <v>20918</v>
      </c>
      <c r="H1656" s="7" t="str">
        <f>HYPERLINK("http://www.ensembl.org/Mus_musculus/Gene/Summary?db=core;g=ENSMUSG00000035530","ENSMUSG00000035530")</f>
        <v>ENSMUSG00000035530</v>
      </c>
      <c r="I1656" s="7" t="str">
        <f>HYPERLINK("http://www.informatics.jax.org/marker/MGI:105125","MGI:105125")</f>
        <v>MGI:105125</v>
      </c>
      <c r="J1656" s="4" t="s">
        <v>12</v>
      </c>
    </row>
    <row r="1657" spans="1:10" x14ac:dyDescent="0.25">
      <c r="A1657" s="2">
        <v>81.793973318758404</v>
      </c>
      <c r="B1657" s="3">
        <v>0.86377730806963404</v>
      </c>
      <c r="C1657" s="5">
        <v>3.47017771219482E-9</v>
      </c>
      <c r="D1657" s="6">
        <v>1.7848697048639E-8</v>
      </c>
      <c r="E1657" s="3" t="s">
        <v>7684</v>
      </c>
      <c r="F1657" s="3" t="s">
        <v>7685</v>
      </c>
      <c r="G1657" s="3" t="s">
        <v>83</v>
      </c>
      <c r="H1657" s="7" t="str">
        <f>HYPERLINK("http://www.ensembl.org/Mus_musculus/Gene/Summary?db=core;g=ENSMUSG00000085823","ENSMUSG00000085823")</f>
        <v>ENSMUSG00000085823</v>
      </c>
      <c r="I1657" s="7" t="str">
        <f>HYPERLINK("http://www.informatics.jax.org/marker/MGI:3652270","MGI:3652270")</f>
        <v>MGI:3652270</v>
      </c>
      <c r="J1657" s="4" t="s">
        <v>932</v>
      </c>
    </row>
    <row r="1658" spans="1:10" x14ac:dyDescent="0.25">
      <c r="A1658" s="2">
        <v>3829.1660043348402</v>
      </c>
      <c r="B1658" s="3">
        <v>0.86368026904727402</v>
      </c>
      <c r="C1658" s="5">
        <v>3.70980948444378E-39</v>
      </c>
      <c r="D1658" s="6">
        <v>7.3599037256771901E-38</v>
      </c>
      <c r="E1658" s="3" t="s">
        <v>2005</v>
      </c>
      <c r="F1658" s="3" t="s">
        <v>2006</v>
      </c>
      <c r="G1658" s="3">
        <v>75608</v>
      </c>
      <c r="H1658" s="7" t="str">
        <f>HYPERLINK("http://www.ensembl.org/Mus_musculus/Gene/Summary?db=core;g=ENSMUSG00000038467","ENSMUSG00000038467")</f>
        <v>ENSMUSG00000038467</v>
      </c>
      <c r="I1658" s="7" t="str">
        <f>HYPERLINK("http://www.informatics.jax.org/marker/MGI:1922858","MGI:1922858")</f>
        <v>MGI:1922858</v>
      </c>
      <c r="J1658" s="4" t="s">
        <v>12</v>
      </c>
    </row>
    <row r="1659" spans="1:10" x14ac:dyDescent="0.25">
      <c r="A1659" s="2">
        <v>10166.5541102283</v>
      </c>
      <c r="B1659" s="3">
        <v>0.86343141258499101</v>
      </c>
      <c r="C1659" s="5">
        <v>4.8924828619503901E-14</v>
      </c>
      <c r="D1659" s="6">
        <v>3.5483546170526602E-13</v>
      </c>
      <c r="E1659" s="3" t="s">
        <v>5455</v>
      </c>
      <c r="F1659" s="3" t="s">
        <v>5456</v>
      </c>
      <c r="G1659" s="3">
        <v>22352</v>
      </c>
      <c r="H1659" s="7" t="str">
        <f>HYPERLINK("http://www.ensembl.org/Mus_musculus/Gene/Summary?db=core;g=ENSMUSG00000026728","ENSMUSG00000026728")</f>
        <v>ENSMUSG00000026728</v>
      </c>
      <c r="I1659" s="7" t="str">
        <f>HYPERLINK("http://www.informatics.jax.org/marker/MGI:98932","MGI:98932")</f>
        <v>MGI:98932</v>
      </c>
      <c r="J1659" s="4" t="s">
        <v>12</v>
      </c>
    </row>
    <row r="1660" spans="1:10" x14ac:dyDescent="0.25">
      <c r="A1660" s="2">
        <v>39.850163884032199</v>
      </c>
      <c r="B1660" s="3">
        <v>0.86303001636383503</v>
      </c>
      <c r="C1660" s="5">
        <v>4.3109542523677197E-5</v>
      </c>
      <c r="D1660" s="4">
        <v>1.5115934896282299E-4</v>
      </c>
      <c r="E1660" s="3" t="s">
        <v>11259</v>
      </c>
      <c r="F1660" s="3" t="s">
        <v>11260</v>
      </c>
      <c r="G1660" s="3">
        <v>77318</v>
      </c>
      <c r="H1660" s="7" t="str">
        <f>HYPERLINK("http://www.ensembl.org/Mus_musculus/Gene/Summary?db=core;g=ENSMUSG00000049985","ENSMUSG00000049985")</f>
        <v>ENSMUSG00000049985</v>
      </c>
      <c r="I1660" s="7" t="str">
        <f>HYPERLINK("http://www.informatics.jax.org/marker/MGI:1924568","MGI:1924568")</f>
        <v>MGI:1924568</v>
      </c>
      <c r="J1660" s="4" t="s">
        <v>12</v>
      </c>
    </row>
    <row r="1661" spans="1:10" x14ac:dyDescent="0.25">
      <c r="A1661" s="2">
        <v>2880.8522945087798</v>
      </c>
      <c r="B1661" s="3">
        <v>0.862316217733889</v>
      </c>
      <c r="C1661" s="5">
        <v>2.3235340522189298E-19</v>
      </c>
      <c r="D1661" s="6">
        <v>2.2405912718707798E-18</v>
      </c>
      <c r="E1661" s="3" t="s">
        <v>4107</v>
      </c>
      <c r="F1661" s="3" t="s">
        <v>4108</v>
      </c>
      <c r="G1661" s="3">
        <v>100340</v>
      </c>
      <c r="H1661" s="7" t="str">
        <f>HYPERLINK("http://www.ensembl.org/Mus_musculus/Gene/Summary?db=core;g=ENSMUSG00000028885","ENSMUSG00000028885")</f>
        <v>ENSMUSG00000028885</v>
      </c>
      <c r="I1661" s="7" t="str">
        <f>HYPERLINK("http://www.informatics.jax.org/marker/MGI:1916022","MGI:1916022")</f>
        <v>MGI:1916022</v>
      </c>
      <c r="J1661" s="4" t="s">
        <v>12</v>
      </c>
    </row>
    <row r="1662" spans="1:10" x14ac:dyDescent="0.25">
      <c r="A1662" s="2">
        <v>92.196854184365804</v>
      </c>
      <c r="B1662" s="3">
        <v>0.86229411073715601</v>
      </c>
      <c r="C1662" s="5">
        <v>4.15012775113229E-7</v>
      </c>
      <c r="D1662" s="6">
        <v>1.78535164163021E-6</v>
      </c>
      <c r="E1662" s="3" t="s">
        <v>9183</v>
      </c>
      <c r="F1662" s="3" t="s">
        <v>9184</v>
      </c>
      <c r="G1662" s="3">
        <v>110895</v>
      </c>
      <c r="H1662" s="7" t="str">
        <f>HYPERLINK("http://www.ensembl.org/Mus_musculus/Gene/Summary?db=core;g=ENSMUSG00000026065","ENSMUSG00000026065")</f>
        <v>ENSMUSG00000026065</v>
      </c>
      <c r="I1662" s="7" t="str">
        <f>HYPERLINK("http://www.informatics.jax.org/marker/MGI:105074","MGI:105074")</f>
        <v>MGI:105074</v>
      </c>
      <c r="J1662" s="4" t="s">
        <v>12</v>
      </c>
    </row>
    <row r="1663" spans="1:10" x14ac:dyDescent="0.25">
      <c r="A1663" s="2">
        <v>4681.0915156438396</v>
      </c>
      <c r="B1663" s="3">
        <v>0.86177430704908697</v>
      </c>
      <c r="C1663" s="5">
        <v>8.6913451739932501E-20</v>
      </c>
      <c r="D1663" s="6">
        <v>8.5355242445790203E-19</v>
      </c>
      <c r="E1663" s="3" t="s">
        <v>4035</v>
      </c>
      <c r="F1663" s="3" t="s">
        <v>4036</v>
      </c>
      <c r="G1663" s="3">
        <v>26457</v>
      </c>
      <c r="H1663" s="7" t="str">
        <f>HYPERLINK("http://www.ensembl.org/Mus_musculus/Gene/Summary?db=core;g=ENSMUSG00000031808","ENSMUSG00000031808")</f>
        <v>ENSMUSG00000031808</v>
      </c>
      <c r="I1663" s="7" t="str">
        <f>HYPERLINK("http://www.informatics.jax.org/marker/MGI:1347098","MGI:1347098")</f>
        <v>MGI:1347098</v>
      </c>
      <c r="J1663" s="4" t="s">
        <v>12</v>
      </c>
    </row>
    <row r="1664" spans="1:10" x14ac:dyDescent="0.25">
      <c r="A1664" s="2">
        <v>4113.3195203191199</v>
      </c>
      <c r="B1664" s="3">
        <v>0.86167484431586805</v>
      </c>
      <c r="C1664" s="5">
        <v>7.3738069118520302E-25</v>
      </c>
      <c r="D1664" s="6">
        <v>8.9209492209645496E-24</v>
      </c>
      <c r="E1664" s="3" t="s">
        <v>3280</v>
      </c>
      <c r="F1664" s="3" t="s">
        <v>3281</v>
      </c>
      <c r="G1664" s="3">
        <v>12359</v>
      </c>
      <c r="H1664" s="7" t="str">
        <f>HYPERLINK("http://www.ensembl.org/Mus_musculus/Gene/Summary?db=core;g=ENSMUSG00000027187","ENSMUSG00000027187")</f>
        <v>ENSMUSG00000027187</v>
      </c>
      <c r="I1664" s="7" t="str">
        <f>HYPERLINK("http://www.informatics.jax.org/marker/MGI:88271","MGI:88271")</f>
        <v>MGI:88271</v>
      </c>
      <c r="J1664" s="4" t="s">
        <v>12</v>
      </c>
    </row>
    <row r="1665" spans="1:10" x14ac:dyDescent="0.25">
      <c r="A1665" s="2">
        <v>7.40301630681624</v>
      </c>
      <c r="B1665" s="3">
        <v>0.86146299158738504</v>
      </c>
      <c r="C1665" s="3">
        <v>1.9269102867651301E-2</v>
      </c>
      <c r="D1665" s="4">
        <v>4.5139784812316897E-2</v>
      </c>
      <c r="E1665" s="3" t="s">
        <v>16840</v>
      </c>
      <c r="F1665" s="3" t="s">
        <v>16841</v>
      </c>
      <c r="G1665" s="3" t="s">
        <v>83</v>
      </c>
      <c r="H1665" s="7" t="str">
        <f>HYPERLINK("http://www.ensembl.org/Mus_musculus/Gene/Summary?db=core;g=ENSMUSG00000064968","ENSMUSG00000064968")</f>
        <v>ENSMUSG00000064968</v>
      </c>
      <c r="I1665" s="7" t="str">
        <f>HYPERLINK("http://www.informatics.jax.org/marker/MGI:3819537","MGI:3819537")</f>
        <v>MGI:3819537</v>
      </c>
      <c r="J1665" s="4" t="s">
        <v>11100</v>
      </c>
    </row>
    <row r="1666" spans="1:10" x14ac:dyDescent="0.25">
      <c r="A1666" s="2">
        <v>463.91035201447102</v>
      </c>
      <c r="B1666" s="3">
        <v>0.86067447809048903</v>
      </c>
      <c r="C1666" s="5">
        <v>8.2624555412652501E-7</v>
      </c>
      <c r="D1666" s="6">
        <v>3.4432718358780798E-6</v>
      </c>
      <c r="E1666" s="3" t="s">
        <v>9479</v>
      </c>
      <c r="F1666" s="3" t="s">
        <v>9480</v>
      </c>
      <c r="G1666" s="3">
        <v>22223</v>
      </c>
      <c r="H1666" s="7" t="str">
        <f>HYPERLINK("http://www.ensembl.org/Mus_musculus/Gene/Summary?db=core;g=ENSMUSG00000029223","ENSMUSG00000029223")</f>
        <v>ENSMUSG00000029223</v>
      </c>
      <c r="I1666" s="7" t="str">
        <f>HYPERLINK("http://www.informatics.jax.org/marker/MGI:103149","MGI:103149")</f>
        <v>MGI:103149</v>
      </c>
      <c r="J1666" s="4" t="s">
        <v>12</v>
      </c>
    </row>
    <row r="1667" spans="1:10" x14ac:dyDescent="0.25">
      <c r="A1667" s="2">
        <v>380.82430944932798</v>
      </c>
      <c r="B1667" s="3">
        <v>0.86065324842712498</v>
      </c>
      <c r="C1667" s="5">
        <v>3.0621138595307601E-22</v>
      </c>
      <c r="D1667" s="6">
        <v>3.3659356360059398E-21</v>
      </c>
      <c r="E1667" s="3" t="s">
        <v>3606</v>
      </c>
      <c r="F1667" s="3" t="s">
        <v>3607</v>
      </c>
      <c r="G1667" s="3">
        <v>101685</v>
      </c>
      <c r="H1667" s="7" t="str">
        <f>HYPERLINK("http://www.ensembl.org/Mus_musculus/Gene/Summary?db=core;g=ENSMUSG00000049516","ENSMUSG00000049516")</f>
        <v>ENSMUSG00000049516</v>
      </c>
      <c r="I1667" s="7" t="str">
        <f>HYPERLINK("http://www.informatics.jax.org/marker/MGI:2142062","MGI:2142062")</f>
        <v>MGI:2142062</v>
      </c>
      <c r="J1667" s="4" t="s">
        <v>12</v>
      </c>
    </row>
    <row r="1668" spans="1:10" x14ac:dyDescent="0.25">
      <c r="A1668" s="2">
        <v>2006.74548903761</v>
      </c>
      <c r="B1668" s="3">
        <v>0.85902855781009302</v>
      </c>
      <c r="C1668" s="5">
        <v>2.3212614260624399E-59</v>
      </c>
      <c r="D1668" s="6">
        <v>8.1887791273615803E-58</v>
      </c>
      <c r="E1668" s="3" t="s">
        <v>1134</v>
      </c>
      <c r="F1668" s="3" t="s">
        <v>1135</v>
      </c>
      <c r="G1668" s="3">
        <v>226849</v>
      </c>
      <c r="H1668" s="7" t="str">
        <f>HYPERLINK("http://www.ensembl.org/Mus_musculus/Gene/Summary?db=core;g=ENSMUSG00000026626","ENSMUSG00000026626")</f>
        <v>ENSMUSG00000026626</v>
      </c>
      <c r="I1668" s="7" t="str">
        <f>HYPERLINK("http://www.informatics.jax.org/marker/MGI:2388479","MGI:2388479")</f>
        <v>MGI:2388479</v>
      </c>
      <c r="J1668" s="4" t="s">
        <v>12</v>
      </c>
    </row>
    <row r="1669" spans="1:10" x14ac:dyDescent="0.25">
      <c r="A1669" s="2">
        <v>8.3976848744567807</v>
      </c>
      <c r="B1669" s="3">
        <v>0.85770212096437703</v>
      </c>
      <c r="C1669" s="3">
        <v>1.10018252216581E-2</v>
      </c>
      <c r="D1669" s="4">
        <v>2.71093331714479E-2</v>
      </c>
      <c r="E1669" s="3" t="s">
        <v>16009</v>
      </c>
      <c r="F1669" s="3" t="s">
        <v>16010</v>
      </c>
      <c r="G1669" s="3">
        <v>54120</v>
      </c>
      <c r="H1669" s="7" t="str">
        <f>HYPERLINK("http://www.ensembl.org/Mus_musculus/Gene/Summary?db=core;g=ENSMUSG00000039131","ENSMUSG00000039131")</f>
        <v>ENSMUSG00000039131</v>
      </c>
      <c r="I1669" s="7" t="str">
        <f>HYPERLINK("http://www.informatics.jax.org/marker/MGI:1889209","MGI:1889209")</f>
        <v>MGI:1889209</v>
      </c>
      <c r="J1669" s="4" t="s">
        <v>12</v>
      </c>
    </row>
    <row r="1670" spans="1:10" x14ac:dyDescent="0.25">
      <c r="A1670" s="2">
        <v>115.193498504763</v>
      </c>
      <c r="B1670" s="3">
        <v>0.85759958905095302</v>
      </c>
      <c r="C1670" s="5">
        <v>6.2661986768860698E-8</v>
      </c>
      <c r="D1670" s="6">
        <v>2.8898371821373598E-7</v>
      </c>
      <c r="E1670" s="3" t="s">
        <v>8569</v>
      </c>
      <c r="F1670" s="3" t="s">
        <v>8570</v>
      </c>
      <c r="G1670" s="3">
        <v>23882</v>
      </c>
      <c r="H1670" s="7" t="str">
        <f>HYPERLINK("http://www.ensembl.org/Mus_musculus/Gene/Summary?db=core;g=ENSMUSG00000021453","ENSMUSG00000021453")</f>
        <v>ENSMUSG00000021453</v>
      </c>
      <c r="I1670" s="7" t="str">
        <f>HYPERLINK("http://www.informatics.jax.org/marker/MGI:1346325","MGI:1346325")</f>
        <v>MGI:1346325</v>
      </c>
      <c r="J1670" s="4" t="s">
        <v>12</v>
      </c>
    </row>
    <row r="1671" spans="1:10" x14ac:dyDescent="0.25">
      <c r="A1671" s="2">
        <v>1619.8554629161899</v>
      </c>
      <c r="B1671" s="3">
        <v>0.85738108366996901</v>
      </c>
      <c r="C1671" s="5">
        <v>6.6110717378373796E-53</v>
      </c>
      <c r="D1671" s="6">
        <v>1.9087896730622699E-51</v>
      </c>
      <c r="E1671" s="3" t="s">
        <v>1382</v>
      </c>
      <c r="F1671" s="3" t="s">
        <v>1383</v>
      </c>
      <c r="G1671" s="3">
        <v>210009</v>
      </c>
      <c r="H1671" s="7" t="str">
        <f>HYPERLINK("http://www.ensembl.org/Mus_musculus/Gene/Summary?db=core;g=ENSMUSG00000034617","ENSMUSG00000034617")</f>
        <v>ENSMUSG00000034617</v>
      </c>
      <c r="I1671" s="7" t="str">
        <f>HYPERLINK("http://www.informatics.jax.org/marker/MGI:1891037","MGI:1891037")</f>
        <v>MGI:1891037</v>
      </c>
      <c r="J1671" s="4" t="s">
        <v>12</v>
      </c>
    </row>
    <row r="1672" spans="1:10" x14ac:dyDescent="0.25">
      <c r="A1672" s="2">
        <v>0.54127049265203298</v>
      </c>
      <c r="B1672" s="3">
        <v>0.85630032650732402</v>
      </c>
      <c r="C1672" s="3">
        <v>1.83050612393173E-2</v>
      </c>
      <c r="D1672" s="4">
        <v>4.3070732327805401E-2</v>
      </c>
      <c r="E1672" s="3" t="s">
        <v>16766</v>
      </c>
      <c r="F1672" s="3" t="s">
        <v>16767</v>
      </c>
      <c r="G1672" s="3">
        <v>71897</v>
      </c>
      <c r="H1672" s="7" t="str">
        <f>HYPERLINK("http://www.ensembl.org/Mus_musculus/Gene/Summary?db=core;g=ENSMUSG00000026765","ENSMUSG00000026765")</f>
        <v>ENSMUSG00000026765</v>
      </c>
      <c r="I1672" s="7" t="str">
        <f>HYPERLINK("http://www.informatics.jax.org/marker/MGI:1919147","MGI:1919147")</f>
        <v>MGI:1919147</v>
      </c>
      <c r="J1672" s="4" t="s">
        <v>12</v>
      </c>
    </row>
    <row r="1673" spans="1:10" x14ac:dyDescent="0.25">
      <c r="A1673" s="2">
        <v>605.67599938359797</v>
      </c>
      <c r="B1673" s="3">
        <v>0.85541994251241904</v>
      </c>
      <c r="C1673" s="5">
        <v>3.0915555155140498E-29</v>
      </c>
      <c r="D1673" s="6">
        <v>4.44678882319016E-28</v>
      </c>
      <c r="E1673" s="3" t="s">
        <v>2760</v>
      </c>
      <c r="F1673" s="3" t="s">
        <v>2761</v>
      </c>
      <c r="G1673" s="3">
        <v>109815</v>
      </c>
      <c r="H1673" s="7" t="str">
        <f>HYPERLINK("http://www.ensembl.org/Mus_musculus/Gene/Summary?db=core;g=ENSMUSG00000075701","ENSMUSG00000075701")</f>
        <v>ENSMUSG00000075701</v>
      </c>
      <c r="I1673" s="7" t="str">
        <f>HYPERLINK("http://www.informatics.jax.org/marker/MGI:95994","MGI:95994")</f>
        <v>MGI:95994</v>
      </c>
      <c r="J1673" s="4" t="s">
        <v>12</v>
      </c>
    </row>
    <row r="1674" spans="1:10" x14ac:dyDescent="0.25">
      <c r="A1674" s="2">
        <v>384.991986554405</v>
      </c>
      <c r="B1674" s="3">
        <v>0.85491845912768105</v>
      </c>
      <c r="C1674" s="5">
        <v>1.58666462975352E-21</v>
      </c>
      <c r="D1674" s="6">
        <v>1.6767967041125101E-20</v>
      </c>
      <c r="E1674" s="3" t="s">
        <v>3750</v>
      </c>
      <c r="F1674" s="3" t="s">
        <v>3751</v>
      </c>
      <c r="G1674" s="3">
        <v>320376</v>
      </c>
      <c r="H1674" s="7" t="str">
        <f>HYPERLINK("http://www.ensembl.org/Mus_musculus/Gene/Summary?db=core;g=ENSMUSG00000036959","ENSMUSG00000036959")</f>
        <v>ENSMUSG00000036959</v>
      </c>
      <c r="I1674" s="7" t="str">
        <f>HYPERLINK("http://www.informatics.jax.org/marker/MGI:2443910","MGI:2443910")</f>
        <v>MGI:2443910</v>
      </c>
      <c r="J1674" s="4" t="s">
        <v>12</v>
      </c>
    </row>
    <row r="1675" spans="1:10" x14ac:dyDescent="0.25">
      <c r="A1675" s="2">
        <v>2239.7898907648</v>
      </c>
      <c r="B1675" s="3">
        <v>0.85386892412914706</v>
      </c>
      <c r="C1675" s="5">
        <v>3.4053767559197202E-46</v>
      </c>
      <c r="D1675" s="6">
        <v>8.2803982277110799E-45</v>
      </c>
      <c r="E1675" s="3" t="s">
        <v>1638</v>
      </c>
      <c r="F1675" s="3" t="s">
        <v>1639</v>
      </c>
      <c r="G1675" s="3" t="s">
        <v>83</v>
      </c>
      <c r="H1675" s="7" t="str">
        <f>HYPERLINK("http://www.ensembl.org/Mus_musculus/Gene/Summary?db=core;g=ENSMUSG00000098374","ENSMUSG00000098374")</f>
        <v>ENSMUSG00000098374</v>
      </c>
      <c r="I1675" s="7" t="str">
        <f>HYPERLINK("http://www.informatics.jax.org/marker/MGI:5547779","MGI:5547779")</f>
        <v>MGI:5547779</v>
      </c>
      <c r="J1675" s="4" t="s">
        <v>12</v>
      </c>
    </row>
    <row r="1676" spans="1:10" x14ac:dyDescent="0.25">
      <c r="A1676" s="2">
        <v>598.15592294264502</v>
      </c>
      <c r="B1676" s="3">
        <v>0.85331085299064502</v>
      </c>
      <c r="C1676" s="5">
        <v>4.6782006344312502E-33</v>
      </c>
      <c r="D1676" s="6">
        <v>7.5371010221392304E-32</v>
      </c>
      <c r="E1676" s="3" t="s">
        <v>2465</v>
      </c>
      <c r="F1676" s="3" t="s">
        <v>2466</v>
      </c>
      <c r="G1676" s="3">
        <v>18038</v>
      </c>
      <c r="H1676" s="7" t="str">
        <f>HYPERLINK("http://www.ensembl.org/Mus_musculus/Gene/Summary?db=core;g=ENSMUSG00000042419","ENSMUSG00000042419")</f>
        <v>ENSMUSG00000042419</v>
      </c>
      <c r="I1676" s="7" t="str">
        <f>HYPERLINK("http://www.informatics.jax.org/marker/MGI:1340031","MGI:1340031")</f>
        <v>MGI:1340031</v>
      </c>
      <c r="J1676" s="4" t="s">
        <v>12</v>
      </c>
    </row>
    <row r="1677" spans="1:10" x14ac:dyDescent="0.25">
      <c r="A1677" s="2">
        <v>1301.2258511761199</v>
      </c>
      <c r="B1677" s="3">
        <v>0.85146570505913799</v>
      </c>
      <c r="C1677" s="5">
        <v>4.9716376084900698E-15</v>
      </c>
      <c r="D1677" s="6">
        <v>3.8282191971661098E-14</v>
      </c>
      <c r="E1677" s="3" t="s">
        <v>5139</v>
      </c>
      <c r="F1677" s="3" t="s">
        <v>5140</v>
      </c>
      <c r="G1677" s="3">
        <v>217944</v>
      </c>
      <c r="H1677" s="7" t="str">
        <f>HYPERLINK("http://www.ensembl.org/Mus_musculus/Gene/Summary?db=core;g=ENSMUSG00000041992","ENSMUSG00000041992")</f>
        <v>ENSMUSG00000041992</v>
      </c>
      <c r="I1677" s="7" t="str">
        <f>HYPERLINK("http://www.informatics.jax.org/marker/MGI:2444365","MGI:2444365")</f>
        <v>MGI:2444365</v>
      </c>
      <c r="J1677" s="4" t="s">
        <v>12</v>
      </c>
    </row>
    <row r="1678" spans="1:10" x14ac:dyDescent="0.25">
      <c r="A1678" s="2">
        <v>998.866224574993</v>
      </c>
      <c r="B1678" s="3">
        <v>0.84927109573264703</v>
      </c>
      <c r="C1678" s="5">
        <v>9.5698521258199905E-48</v>
      </c>
      <c r="D1678" s="6">
        <v>2.4445269937975398E-46</v>
      </c>
      <c r="E1678" s="3" t="s">
        <v>1560</v>
      </c>
      <c r="F1678" s="3" t="s">
        <v>1561</v>
      </c>
      <c r="G1678" s="3">
        <v>27393</v>
      </c>
      <c r="H1678" s="7" t="str">
        <f>HYPERLINK("http://www.ensembl.org/Mus_musculus/Gene/Summary?db=core;g=ENSMUSG00000022889","ENSMUSG00000022889")</f>
        <v>ENSMUSG00000022889</v>
      </c>
      <c r="I1678" s="7" t="str">
        <f>HYPERLINK("http://www.informatics.jax.org/marker/MGI:1351620","MGI:1351620")</f>
        <v>MGI:1351620</v>
      </c>
      <c r="J1678" s="4" t="s">
        <v>12</v>
      </c>
    </row>
    <row r="1679" spans="1:10" x14ac:dyDescent="0.25">
      <c r="A1679" s="2">
        <v>41.297376529173398</v>
      </c>
      <c r="B1679" s="3">
        <v>0.84842405947300203</v>
      </c>
      <c r="C1679" s="5">
        <v>3.1434723288004899E-5</v>
      </c>
      <c r="D1679" s="4">
        <v>1.1193440650766601E-4</v>
      </c>
      <c r="E1679" s="3" t="s">
        <v>11088</v>
      </c>
      <c r="F1679" s="3" t="s">
        <v>11089</v>
      </c>
      <c r="G1679" s="3" t="s">
        <v>83</v>
      </c>
      <c r="H1679" s="7" t="str">
        <f>HYPERLINK("http://www.ensembl.org/Mus_musculus/Gene/Summary?db=core;g=ENSMUSG00000070315","ENSMUSG00000070315")</f>
        <v>ENSMUSG00000070315</v>
      </c>
      <c r="I1679" s="7" t="str">
        <f>HYPERLINK("http://www.informatics.jax.org/marker/MGI:1926184","MGI:1926184")</f>
        <v>MGI:1926184</v>
      </c>
      <c r="J1679" s="4" t="s">
        <v>331</v>
      </c>
    </row>
    <row r="1680" spans="1:10" x14ac:dyDescent="0.25">
      <c r="A1680" s="2">
        <v>1321.58793719458</v>
      </c>
      <c r="B1680" s="3">
        <v>0.84594451114243796</v>
      </c>
      <c r="C1680" s="5">
        <v>1.39387946428583E-28</v>
      </c>
      <c r="D1680" s="6">
        <v>1.9495199037973498E-27</v>
      </c>
      <c r="E1680" s="3" t="s">
        <v>2838</v>
      </c>
      <c r="F1680" s="3" t="s">
        <v>2839</v>
      </c>
      <c r="G1680" s="3">
        <v>18708</v>
      </c>
      <c r="H1680" s="7" t="str">
        <f>HYPERLINK("http://www.ensembl.org/Mus_musculus/Gene/Summary?db=core;g=ENSMUSG00000041417","ENSMUSG00000041417")</f>
        <v>ENSMUSG00000041417</v>
      </c>
      <c r="I1680" s="7" t="str">
        <f>HYPERLINK("http://www.informatics.jax.org/marker/MGI:97583","MGI:97583")</f>
        <v>MGI:97583</v>
      </c>
      <c r="J1680" s="4" t="s">
        <v>12</v>
      </c>
    </row>
    <row r="1681" spans="1:10" x14ac:dyDescent="0.25">
      <c r="A1681" s="2">
        <v>2673.8207584010302</v>
      </c>
      <c r="B1681" s="3">
        <v>0.84502642724797805</v>
      </c>
      <c r="C1681" s="5">
        <v>1.6514604368706499E-140</v>
      </c>
      <c r="D1681" s="6">
        <v>2.7834871636828399E-138</v>
      </c>
      <c r="E1681" s="3" t="s">
        <v>244</v>
      </c>
      <c r="F1681" s="3" t="s">
        <v>245</v>
      </c>
      <c r="G1681" s="3">
        <v>71978</v>
      </c>
      <c r="H1681" s="7" t="str">
        <f>HYPERLINK("http://www.ensembl.org/Mus_musculus/Gene/Summary?db=core;g=ENSMUSG00000022052","ENSMUSG00000022052")</f>
        <v>ENSMUSG00000022052</v>
      </c>
      <c r="I1681" s="7" t="str">
        <f>HYPERLINK("http://www.informatics.jax.org/marker/MGI:1919228","MGI:1919228")</f>
        <v>MGI:1919228</v>
      </c>
      <c r="J1681" s="4" t="s">
        <v>12</v>
      </c>
    </row>
    <row r="1682" spans="1:10" x14ac:dyDescent="0.25">
      <c r="A1682" s="2">
        <v>11641.7690229613</v>
      </c>
      <c r="B1682" s="3">
        <v>0.84487660827357403</v>
      </c>
      <c r="C1682" s="5">
        <v>2.02763339584702E-12</v>
      </c>
      <c r="D1682" s="6">
        <v>1.33594823141007E-11</v>
      </c>
      <c r="E1682" s="3" t="s">
        <v>6003</v>
      </c>
      <c r="F1682" s="3" t="s">
        <v>6004</v>
      </c>
      <c r="G1682" s="3">
        <v>14964</v>
      </c>
      <c r="H1682" s="7" t="str">
        <f>HYPERLINK("http://www.ensembl.org/Mus_musculus/Gene/Summary?db=core;g=ENSMUSG00000073411","ENSMUSG00000073411")</f>
        <v>ENSMUSG00000073411</v>
      </c>
      <c r="I1682" s="7" t="str">
        <f>HYPERLINK("http://www.informatics.jax.org/marker/MGI:95896","MGI:95896")</f>
        <v>MGI:95896</v>
      </c>
      <c r="J1682" s="4" t="s">
        <v>12</v>
      </c>
    </row>
    <row r="1683" spans="1:10" x14ac:dyDescent="0.25">
      <c r="A1683" s="2">
        <v>366.263278143062</v>
      </c>
      <c r="B1683" s="3">
        <v>0.84399379523804796</v>
      </c>
      <c r="C1683" s="5">
        <v>3.90426380774604E-16</v>
      </c>
      <c r="D1683" s="6">
        <v>3.1683984480967798E-15</v>
      </c>
      <c r="E1683" s="3" t="s">
        <v>4877</v>
      </c>
      <c r="F1683" s="3" t="s">
        <v>4878</v>
      </c>
      <c r="G1683" s="3">
        <v>11610</v>
      </c>
      <c r="H1683" s="7" t="str">
        <f>HYPERLINK("http://www.ensembl.org/Mus_musculus/Gene/Summary?db=core;g=ENSMUSG00000029007","ENSMUSG00000029007")</f>
        <v>ENSMUSG00000029007</v>
      </c>
      <c r="I1683" s="7" t="str">
        <f>HYPERLINK("http://www.informatics.jax.org/marker/MGI:1339977","MGI:1339977")</f>
        <v>MGI:1339977</v>
      </c>
      <c r="J1683" s="4" t="s">
        <v>12</v>
      </c>
    </row>
    <row r="1684" spans="1:10" x14ac:dyDescent="0.25">
      <c r="A1684" s="2">
        <v>13314.3622476848</v>
      </c>
      <c r="B1684" s="3">
        <v>0.84211617127666005</v>
      </c>
      <c r="C1684" s="5">
        <v>9.0867928301332294E-26</v>
      </c>
      <c r="D1684" s="6">
        <v>1.14719305128186E-24</v>
      </c>
      <c r="E1684" s="3" t="s">
        <v>3142</v>
      </c>
      <c r="F1684" s="3" t="s">
        <v>3143</v>
      </c>
      <c r="G1684" s="3">
        <v>13424</v>
      </c>
      <c r="H1684" s="7" t="str">
        <f>HYPERLINK("http://www.ensembl.org/Mus_musculus/Gene/Summary?db=core;g=ENSMUSG00000018707","ENSMUSG00000018707")</f>
        <v>ENSMUSG00000018707</v>
      </c>
      <c r="I1684" s="7" t="str">
        <f>HYPERLINK("http://www.informatics.jax.org/marker/MGI:103147","MGI:103147")</f>
        <v>MGI:103147</v>
      </c>
      <c r="J1684" s="4" t="s">
        <v>12</v>
      </c>
    </row>
    <row r="1685" spans="1:10" x14ac:dyDescent="0.25">
      <c r="A1685" s="2">
        <v>5806.3800549613397</v>
      </c>
      <c r="B1685" s="3">
        <v>0.84146598788426896</v>
      </c>
      <c r="C1685" s="5">
        <v>2.4879959231457602E-16</v>
      </c>
      <c r="D1685" s="6">
        <v>2.04175112794151E-15</v>
      </c>
      <c r="E1685" s="3" t="s">
        <v>4823</v>
      </c>
      <c r="F1685" s="3" t="s">
        <v>4824</v>
      </c>
      <c r="G1685" s="3">
        <v>22388</v>
      </c>
      <c r="H1685" s="7" t="str">
        <f>HYPERLINK("http://www.ensembl.org/Mus_musculus/Gene/Summary?db=core;g=ENSMUSG00000005103","ENSMUSG00000005103")</f>
        <v>ENSMUSG00000005103</v>
      </c>
      <c r="I1685" s="7" t="str">
        <f>HYPERLINK("http://www.informatics.jax.org/marker/MGI:1337100","MGI:1337100")</f>
        <v>MGI:1337100</v>
      </c>
      <c r="J1685" s="4" t="s">
        <v>12</v>
      </c>
    </row>
    <row r="1686" spans="1:10" x14ac:dyDescent="0.25">
      <c r="A1686" s="2">
        <v>863.50765790601099</v>
      </c>
      <c r="B1686" s="3">
        <v>0.84059448562629202</v>
      </c>
      <c r="C1686" s="5">
        <v>3.7011176652427499E-37</v>
      </c>
      <c r="D1686" s="6">
        <v>6.9246717607767597E-36</v>
      </c>
      <c r="E1686" s="3" t="s">
        <v>2125</v>
      </c>
      <c r="F1686" s="3" t="s">
        <v>2126</v>
      </c>
      <c r="G1686" s="3">
        <v>75909</v>
      </c>
      <c r="H1686" s="7" t="str">
        <f>HYPERLINK("http://www.ensembl.org/Mus_musculus/Gene/Summary?db=core;g=ENSMUSG00000018171","ENSMUSG00000018171")</f>
        <v>ENSMUSG00000018171</v>
      </c>
      <c r="I1686" s="7" t="str">
        <f>HYPERLINK("http://www.informatics.jax.org/marker/MGI:1923159","MGI:1923159")</f>
        <v>MGI:1923159</v>
      </c>
      <c r="J1686" s="4" t="s">
        <v>12</v>
      </c>
    </row>
    <row r="1687" spans="1:10" x14ac:dyDescent="0.25">
      <c r="A1687" s="2">
        <v>4826.3238228901</v>
      </c>
      <c r="B1687" s="3">
        <v>0.84017671636607105</v>
      </c>
      <c r="C1687" s="5">
        <v>4.4794796996899301E-40</v>
      </c>
      <c r="D1687" s="6">
        <v>9.1444451012303794E-39</v>
      </c>
      <c r="E1687" s="3" t="s">
        <v>1949</v>
      </c>
      <c r="F1687" s="3" t="s">
        <v>1950</v>
      </c>
      <c r="G1687" s="3">
        <v>15081</v>
      </c>
      <c r="H1687" s="7" t="str">
        <f>HYPERLINK("http://www.ensembl.org/Mus_musculus/Gene/Summary?db=core;g=ENSMUSG00000016559","ENSMUSG00000016559")</f>
        <v>ENSMUSG00000016559</v>
      </c>
      <c r="I1687" s="7" t="str">
        <f>HYPERLINK("http://www.informatics.jax.org/marker/MGI:1101768","MGI:1101768")</f>
        <v>MGI:1101768</v>
      </c>
      <c r="J1687" s="4" t="s">
        <v>12</v>
      </c>
    </row>
    <row r="1688" spans="1:10" x14ac:dyDescent="0.25">
      <c r="A1688" s="2">
        <v>187.860725256672</v>
      </c>
      <c r="B1688" s="3">
        <v>0.83974583501119404</v>
      </c>
      <c r="C1688" s="5">
        <v>2.3353635344927601E-7</v>
      </c>
      <c r="D1688" s="6">
        <v>1.02889564120191E-6</v>
      </c>
      <c r="E1688" s="3" t="s">
        <v>8969</v>
      </c>
      <c r="F1688" s="3" t="s">
        <v>8970</v>
      </c>
      <c r="G1688" s="3">
        <v>19038</v>
      </c>
      <c r="H1688" s="7" t="str">
        <f>HYPERLINK("http://www.ensembl.org/Mus_musculus/Gene/Summary?db=core;g=ENSMUSG00000024538","ENSMUSG00000024538")</f>
        <v>ENSMUSG00000024538</v>
      </c>
      <c r="I1688" s="7" t="str">
        <f>HYPERLINK("http://www.informatics.jax.org/marker/MGI:97751","MGI:97751")</f>
        <v>MGI:97751</v>
      </c>
      <c r="J1688" s="4" t="s">
        <v>12</v>
      </c>
    </row>
    <row r="1689" spans="1:10" x14ac:dyDescent="0.25">
      <c r="A1689" s="2">
        <v>20.418793745684599</v>
      </c>
      <c r="B1689" s="3">
        <v>0.839680191860951</v>
      </c>
      <c r="C1689" s="3">
        <v>4.8331260911673102E-4</v>
      </c>
      <c r="D1689" s="4">
        <v>1.49107081536013E-3</v>
      </c>
      <c r="E1689" s="3" t="s">
        <v>12793</v>
      </c>
      <c r="F1689" s="3" t="s">
        <v>12794</v>
      </c>
      <c r="G1689" s="3" t="s">
        <v>83</v>
      </c>
      <c r="H1689" s="7" t="str">
        <f>HYPERLINK("http://www.ensembl.org/Mus_musculus/Gene/Summary?db=core;g=ENSMUSG00000081302","ENSMUSG00000081302")</f>
        <v>ENSMUSG00000081302</v>
      </c>
      <c r="I1689" s="7" t="str">
        <f>HYPERLINK("http://www.informatics.jax.org/marker/MGI:3650978","MGI:3650978")</f>
        <v>MGI:3650978</v>
      </c>
      <c r="J1689" s="4" t="s">
        <v>1043</v>
      </c>
    </row>
    <row r="1690" spans="1:10" x14ac:dyDescent="0.25">
      <c r="A1690" s="2">
        <v>437.82365030267999</v>
      </c>
      <c r="B1690" s="3">
        <v>0.83966416595587601</v>
      </c>
      <c r="C1690" s="5">
        <v>5.7204398165289604E-23</v>
      </c>
      <c r="D1690" s="6">
        <v>6.4608862074427902E-22</v>
      </c>
      <c r="E1690" s="3" t="s">
        <v>3510</v>
      </c>
      <c r="F1690" s="3" t="s">
        <v>3511</v>
      </c>
      <c r="G1690" s="3">
        <v>226043</v>
      </c>
      <c r="H1690" s="7" t="str">
        <f>HYPERLINK("http://www.ensembl.org/Mus_musculus/Gene/Summary?db=core;g=ENSMUSG00000024878","ENSMUSG00000024878")</f>
        <v>ENSMUSG00000024878</v>
      </c>
      <c r="I1690" s="7" t="str">
        <f>HYPERLINK("http://www.informatics.jax.org/marker/MGI:2385089","MGI:2385089")</f>
        <v>MGI:2385089</v>
      </c>
      <c r="J1690" s="4" t="s">
        <v>12</v>
      </c>
    </row>
    <row r="1691" spans="1:10" x14ac:dyDescent="0.25">
      <c r="A1691" s="2">
        <v>327.051974319453</v>
      </c>
      <c r="B1691" s="3">
        <v>0.83916841020919997</v>
      </c>
      <c r="C1691" s="5">
        <v>1.79604914874034E-13</v>
      </c>
      <c r="D1691" s="6">
        <v>1.2631272900556201E-12</v>
      </c>
      <c r="E1691" s="3" t="s">
        <v>5625</v>
      </c>
      <c r="F1691" s="3" t="s">
        <v>5626</v>
      </c>
      <c r="G1691" s="3">
        <v>211329</v>
      </c>
      <c r="H1691" s="7" t="str">
        <f>HYPERLINK("http://www.ensembl.org/Mus_musculus/Gene/Summary?db=core;g=ENSMUSG00000039697","ENSMUSG00000039697")</f>
        <v>ENSMUSG00000039697</v>
      </c>
      <c r="I1691" s="7" t="str">
        <f>HYPERLINK("http://www.informatics.jax.org/marker/MGI:2444847","MGI:2444847")</f>
        <v>MGI:2444847</v>
      </c>
      <c r="J1691" s="4" t="s">
        <v>12</v>
      </c>
    </row>
    <row r="1692" spans="1:10" x14ac:dyDescent="0.25">
      <c r="A1692" s="2">
        <v>32.346914778364798</v>
      </c>
      <c r="B1692" s="3">
        <v>0.83858540608517296</v>
      </c>
      <c r="C1692" s="3">
        <v>2.7782517746465603E-4</v>
      </c>
      <c r="D1692" s="4">
        <v>8.8409109240003396E-4</v>
      </c>
      <c r="E1692" s="3" t="s">
        <v>12406</v>
      </c>
      <c r="F1692" s="3" t="s">
        <v>12407</v>
      </c>
      <c r="G1692" s="3" t="s">
        <v>83</v>
      </c>
      <c r="H1692" s="7" t="str">
        <f>HYPERLINK("http://www.ensembl.org/Mus_musculus/Gene/Summary?db=core;g=ENSMUSG00000077565","ENSMUSG00000077565")</f>
        <v>ENSMUSG00000077565</v>
      </c>
      <c r="I1692" s="7" t="str">
        <f>HYPERLINK("http://www.informatics.jax.org/marker/MGI:5452978","MGI:5452978")</f>
        <v>MGI:5452978</v>
      </c>
      <c r="J1692" s="4" t="s">
        <v>11100</v>
      </c>
    </row>
    <row r="1693" spans="1:10" x14ac:dyDescent="0.25">
      <c r="A1693" s="2">
        <v>12.396668199255799</v>
      </c>
      <c r="B1693" s="3">
        <v>0.83783613192249595</v>
      </c>
      <c r="C1693" s="3">
        <v>1.5696876329725901E-2</v>
      </c>
      <c r="D1693" s="4">
        <v>3.75066522745904E-2</v>
      </c>
      <c r="E1693" s="3" t="s">
        <v>16509</v>
      </c>
      <c r="F1693" s="3" t="s">
        <v>16510</v>
      </c>
      <c r="G1693" s="3">
        <v>211135</v>
      </c>
      <c r="H1693" s="7" t="str">
        <f>HYPERLINK("http://www.ensembl.org/Mus_musculus/Gene/Summary?db=core;g=ENSMUSG00000079038","ENSMUSG00000079038")</f>
        <v>ENSMUSG00000079038</v>
      </c>
      <c r="I1693" s="7" t="str">
        <f>HYPERLINK("http://www.informatics.jax.org/marker/MGI:2444324","MGI:2444324")</f>
        <v>MGI:2444324</v>
      </c>
      <c r="J1693" s="4" t="s">
        <v>12</v>
      </c>
    </row>
    <row r="1694" spans="1:10" x14ac:dyDescent="0.25">
      <c r="A1694" s="2">
        <v>198.51280588859001</v>
      </c>
      <c r="B1694" s="3">
        <v>0.83741629795164996</v>
      </c>
      <c r="C1694" s="5">
        <v>8.4012633207549705E-9</v>
      </c>
      <c r="D1694" s="6">
        <v>4.19531305862973E-8</v>
      </c>
      <c r="E1694" s="3" t="s">
        <v>7914</v>
      </c>
      <c r="F1694" s="3" t="s">
        <v>7915</v>
      </c>
      <c r="G1694" s="3">
        <v>14991</v>
      </c>
      <c r="H1694" s="7" t="str">
        <f>HYPERLINK("http://www.ensembl.org/Mus_musculus/Gene/Summary?db=core;g=ENSMUSG00000016206","ENSMUSG00000016206")</f>
        <v>ENSMUSG00000016206</v>
      </c>
      <c r="I1694" s="7" t="str">
        <f>HYPERLINK("http://www.informatics.jax.org/marker/MGI:95915","MGI:95915")</f>
        <v>MGI:95915</v>
      </c>
      <c r="J1694" s="4" t="s">
        <v>12</v>
      </c>
    </row>
    <row r="1695" spans="1:10" x14ac:dyDescent="0.25">
      <c r="A1695" s="2">
        <v>20.623519179617698</v>
      </c>
      <c r="B1695" s="3">
        <v>0.83718541526622803</v>
      </c>
      <c r="C1695" s="3">
        <v>1.32483532117145E-3</v>
      </c>
      <c r="D1695" s="4">
        <v>3.83863540016177E-3</v>
      </c>
      <c r="E1695" s="3" t="s">
        <v>13621</v>
      </c>
      <c r="F1695" s="3" t="s">
        <v>13622</v>
      </c>
      <c r="G1695" s="3" t="s">
        <v>83</v>
      </c>
      <c r="H1695" s="7" t="str">
        <f>HYPERLINK("http://www.ensembl.org/Mus_musculus/Gene/Summary?db=core;g=ENSMUSG00000097787","ENSMUSG00000097787")</f>
        <v>ENSMUSG00000097787</v>
      </c>
      <c r="I1695" s="7" t="str">
        <f>HYPERLINK("http://www.informatics.jax.org/marker/MGI:1914438","MGI:1914438")</f>
        <v>MGI:1914438</v>
      </c>
      <c r="J1695" s="4" t="s">
        <v>3187</v>
      </c>
    </row>
    <row r="1696" spans="1:10" x14ac:dyDescent="0.25">
      <c r="A1696" s="2">
        <v>8.5011420257756498</v>
      </c>
      <c r="B1696" s="3">
        <v>0.83669833397969795</v>
      </c>
      <c r="C1696" s="3">
        <v>1.47544093504469E-2</v>
      </c>
      <c r="D1696" s="4">
        <v>3.5456611307678798E-2</v>
      </c>
      <c r="E1696" s="3" t="s">
        <v>16417</v>
      </c>
      <c r="F1696" s="3" t="s">
        <v>16418</v>
      </c>
      <c r="G1696" s="3" t="s">
        <v>83</v>
      </c>
      <c r="H1696" s="7" t="str">
        <f>HYPERLINK("http://www.ensembl.org/Mus_musculus/Gene/Summary?db=core;g=ENSMUSG00000114255","ENSMUSG00000114255")</f>
        <v>ENSMUSG00000114255</v>
      </c>
      <c r="I1696" s="7" t="str">
        <f>HYPERLINK("http://www.informatics.jax.org/marker/MGI:3642559","MGI:3642559")</f>
        <v>MGI:3642559</v>
      </c>
      <c r="J1696" s="4" t="s">
        <v>932</v>
      </c>
    </row>
    <row r="1697" spans="1:10" x14ac:dyDescent="0.25">
      <c r="A1697" s="2">
        <v>302.78872002810101</v>
      </c>
      <c r="B1697" s="3">
        <v>0.83658344772225302</v>
      </c>
      <c r="C1697" s="5">
        <v>4.7541002249648404E-22</v>
      </c>
      <c r="D1697" s="6">
        <v>5.16249209451028E-21</v>
      </c>
      <c r="E1697" s="3" t="s">
        <v>3650</v>
      </c>
      <c r="F1697" s="3" t="s">
        <v>3651</v>
      </c>
      <c r="G1697" s="3" t="s">
        <v>83</v>
      </c>
      <c r="H1697" s="7" t="str">
        <f>HYPERLINK("http://www.ensembl.org/Mus_musculus/Gene/Summary?db=core;g=ENSMUSG00000079179","ENSMUSG00000079179")</f>
        <v>ENSMUSG00000079179</v>
      </c>
      <c r="I1697" s="7" t="str">
        <f>HYPERLINK("http://www.informatics.jax.org/marker/MGI:1921423","MGI:1921423")</f>
        <v>MGI:1921423</v>
      </c>
      <c r="J1697" s="4" t="s">
        <v>932</v>
      </c>
    </row>
    <row r="1698" spans="1:10" x14ac:dyDescent="0.25">
      <c r="A1698" s="2">
        <v>324.31836176959399</v>
      </c>
      <c r="B1698" s="3">
        <v>0.83650242576875</v>
      </c>
      <c r="C1698" s="5">
        <v>7.6254251484000199E-23</v>
      </c>
      <c r="D1698" s="6">
        <v>8.57805955085273E-22</v>
      </c>
      <c r="E1698" s="3" t="s">
        <v>3524</v>
      </c>
      <c r="F1698" s="3" t="s">
        <v>3525</v>
      </c>
      <c r="G1698" s="3">
        <v>72999</v>
      </c>
      <c r="H1698" s="7" t="str">
        <f>HYPERLINK("http://www.ensembl.org/Mus_musculus/Gene/Summary?db=core;g=ENSMUSG00000003721","ENSMUSG00000003721")</f>
        <v>ENSMUSG00000003721</v>
      </c>
      <c r="I1698" s="7" t="str">
        <f>HYPERLINK("http://www.informatics.jax.org/marker/MGI:1920249","MGI:1920249")</f>
        <v>MGI:1920249</v>
      </c>
      <c r="J1698" s="4" t="s">
        <v>12</v>
      </c>
    </row>
    <row r="1699" spans="1:10" x14ac:dyDescent="0.25">
      <c r="A1699" s="2">
        <v>549.62407963545604</v>
      </c>
      <c r="B1699" s="3">
        <v>0.83617561895488302</v>
      </c>
      <c r="C1699" s="5">
        <v>7.9376334094647301E-28</v>
      </c>
      <c r="D1699" s="6">
        <v>1.07654835512135E-26</v>
      </c>
      <c r="E1699" s="3" t="s">
        <v>2926</v>
      </c>
      <c r="F1699" s="3" t="s">
        <v>2927</v>
      </c>
      <c r="G1699" s="3">
        <v>29864</v>
      </c>
      <c r="H1699" s="7" t="str">
        <f>HYPERLINK("http://www.ensembl.org/Mus_musculus/Gene/Summary?db=core;g=ENSMUSG00000028557","ENSMUSG00000028557")</f>
        <v>ENSMUSG00000028557</v>
      </c>
      <c r="I1699" s="7" t="str">
        <f>HYPERLINK("http://www.informatics.jax.org/marker/MGI:1352759","MGI:1352759")</f>
        <v>MGI:1352759</v>
      </c>
      <c r="J1699" s="4" t="s">
        <v>12</v>
      </c>
    </row>
    <row r="1700" spans="1:10" x14ac:dyDescent="0.25">
      <c r="A1700" s="2">
        <v>43.972883437192998</v>
      </c>
      <c r="B1700" s="3">
        <v>0.83610321563946399</v>
      </c>
      <c r="C1700" s="5">
        <v>3.6224086555719498E-5</v>
      </c>
      <c r="D1700" s="4">
        <v>1.2808660334925399E-4</v>
      </c>
      <c r="E1700" s="3" t="s">
        <v>11165</v>
      </c>
      <c r="F1700" s="3" t="s">
        <v>11166</v>
      </c>
      <c r="G1700" s="3">
        <v>16574</v>
      </c>
      <c r="H1700" s="7" t="str">
        <f>HYPERLINK("http://www.ensembl.org/Mus_musculus/Gene/Summary?db=core;g=ENSMUSG00000026764","ENSMUSG00000026764")</f>
        <v>ENSMUSG00000026764</v>
      </c>
      <c r="I1700" s="7" t="str">
        <f>HYPERLINK("http://www.informatics.jax.org/marker/MGI:1098269","MGI:1098269")</f>
        <v>MGI:1098269</v>
      </c>
      <c r="J1700" s="4" t="s">
        <v>12</v>
      </c>
    </row>
    <row r="1701" spans="1:10" x14ac:dyDescent="0.25">
      <c r="A1701" s="2">
        <v>13354.5583871697</v>
      </c>
      <c r="B1701" s="3">
        <v>0.835961585408456</v>
      </c>
      <c r="C1701" s="5">
        <v>6.8548841545204701E-21</v>
      </c>
      <c r="D1701" s="6">
        <v>7.0515553222297199E-20</v>
      </c>
      <c r="E1701" s="3" t="s">
        <v>3852</v>
      </c>
      <c r="F1701" s="3" t="s">
        <v>3853</v>
      </c>
      <c r="G1701" s="3">
        <v>192176</v>
      </c>
      <c r="H1701" s="7" t="str">
        <f>HYPERLINK("http://www.ensembl.org/Mus_musculus/Gene/Summary?db=core;g=ENSMUSG00000031328","ENSMUSG00000031328")</f>
        <v>ENSMUSG00000031328</v>
      </c>
      <c r="I1701" s="7" t="str">
        <f>HYPERLINK("http://www.informatics.jax.org/marker/MGI:95556","MGI:95556")</f>
        <v>MGI:95556</v>
      </c>
      <c r="J1701" s="4" t="s">
        <v>12</v>
      </c>
    </row>
    <row r="1702" spans="1:10" x14ac:dyDescent="0.25">
      <c r="A1702" s="2">
        <v>630.93312217439495</v>
      </c>
      <c r="B1702" s="3">
        <v>0.83556834894566701</v>
      </c>
      <c r="C1702" s="5">
        <v>6.95845165660164E-31</v>
      </c>
      <c r="D1702" s="6">
        <v>1.0539221710305999E-29</v>
      </c>
      <c r="E1702" s="3" t="s">
        <v>2621</v>
      </c>
      <c r="F1702" s="3" t="s">
        <v>2622</v>
      </c>
      <c r="G1702" s="3">
        <v>19328</v>
      </c>
      <c r="H1702" s="7" t="str">
        <f>HYPERLINK("http://www.ensembl.org/Mus_musculus/Gene/Summary?db=core;g=ENSMUSG00000023460","ENSMUSG00000023460")</f>
        <v>ENSMUSG00000023460</v>
      </c>
      <c r="I1702" s="7" t="str">
        <f>HYPERLINK("http://www.informatics.jax.org/marker/MGI:894284","MGI:894284")</f>
        <v>MGI:894284</v>
      </c>
      <c r="J1702" s="4" t="s">
        <v>12</v>
      </c>
    </row>
    <row r="1703" spans="1:10" x14ac:dyDescent="0.25">
      <c r="A1703" s="2">
        <v>533.73464180163398</v>
      </c>
      <c r="B1703" s="3">
        <v>0.83539382326394795</v>
      </c>
      <c r="C1703" s="5">
        <v>4.8321828274952199E-30</v>
      </c>
      <c r="D1703" s="6">
        <v>7.1271986056997499E-29</v>
      </c>
      <c r="E1703" s="3" t="s">
        <v>2692</v>
      </c>
      <c r="F1703" s="3" t="s">
        <v>2693</v>
      </c>
      <c r="G1703" s="3">
        <v>218441</v>
      </c>
      <c r="H1703" s="7" t="str">
        <f>HYPERLINK("http://www.ensembl.org/Mus_musculus/Gene/Summary?db=core;g=ENSMUSG00000021706","ENSMUSG00000021706")</f>
        <v>ENSMUSG00000021706</v>
      </c>
      <c r="I1703" s="7" t="str">
        <f>HYPERLINK("http://www.informatics.jax.org/marker/MGI:2145181","MGI:2145181")</f>
        <v>MGI:2145181</v>
      </c>
      <c r="J1703" s="4" t="s">
        <v>12</v>
      </c>
    </row>
    <row r="1704" spans="1:10" x14ac:dyDescent="0.25">
      <c r="A1704" s="2">
        <v>976.44103947875101</v>
      </c>
      <c r="B1704" s="3">
        <v>0.83535810017725898</v>
      </c>
      <c r="C1704" s="5">
        <v>3.4124796027967599E-49</v>
      </c>
      <c r="D1704" s="6">
        <v>9.0327648009600106E-48</v>
      </c>
      <c r="E1704" s="3" t="s">
        <v>1506</v>
      </c>
      <c r="F1704" s="3" t="s">
        <v>1507</v>
      </c>
      <c r="G1704" s="3">
        <v>195040</v>
      </c>
      <c r="H1704" s="7" t="str">
        <f>HYPERLINK("http://www.ensembl.org/Mus_musculus/Gene/Summary?db=core;g=ENSMUSG00000051232","ENSMUSG00000051232")</f>
        <v>ENSMUSG00000051232</v>
      </c>
      <c r="I1704" s="7" t="str">
        <f>HYPERLINK("http://www.informatics.jax.org/marker/MGI:2144113","MGI:2144113")</f>
        <v>MGI:2144113</v>
      </c>
      <c r="J1704" s="4" t="s">
        <v>12</v>
      </c>
    </row>
    <row r="1705" spans="1:10" x14ac:dyDescent="0.25">
      <c r="A1705" s="2">
        <v>2260.7212518772199</v>
      </c>
      <c r="B1705" s="3">
        <v>0.83496688420124898</v>
      </c>
      <c r="C1705" s="5">
        <v>2.31409350309397E-39</v>
      </c>
      <c r="D1705" s="6">
        <v>4.6094872607083901E-38</v>
      </c>
      <c r="E1705" s="3" t="s">
        <v>1997</v>
      </c>
      <c r="F1705" s="3" t="s">
        <v>1998</v>
      </c>
      <c r="G1705" s="3">
        <v>76901</v>
      </c>
      <c r="H1705" s="7" t="str">
        <f>HYPERLINK("http://www.ensembl.org/Mus_musculus/Gene/Summary?db=core;g=ENSMUSG00000020387","ENSMUSG00000020387")</f>
        <v>ENSMUSG00000020387</v>
      </c>
      <c r="I1705" s="7" t="str">
        <f>HYPERLINK("http://www.informatics.jax.org/marker/MGI:1924151","MGI:1924151")</f>
        <v>MGI:1924151</v>
      </c>
      <c r="J1705" s="4" t="s">
        <v>12</v>
      </c>
    </row>
    <row r="1706" spans="1:10" x14ac:dyDescent="0.25">
      <c r="A1706" s="2">
        <v>96.5424929208571</v>
      </c>
      <c r="B1706" s="3">
        <v>0.83494668398305905</v>
      </c>
      <c r="C1706" s="5">
        <v>2.8027513957779999E-7</v>
      </c>
      <c r="D1706" s="6">
        <v>1.22604830356571E-6</v>
      </c>
      <c r="E1706" s="3" t="s">
        <v>9031</v>
      </c>
      <c r="F1706" s="3" t="s">
        <v>9032</v>
      </c>
      <c r="G1706" s="3">
        <v>218461</v>
      </c>
      <c r="H1706" s="7" t="str">
        <f>HYPERLINK("http://www.ensembl.org/Mus_musculus/Gene/Summary?db=core;g=ENSMUSG00000021684","ENSMUSG00000021684")</f>
        <v>ENSMUSG00000021684</v>
      </c>
      <c r="I1706" s="7" t="str">
        <f>HYPERLINK("http://www.informatics.jax.org/marker/MGI:2443999","MGI:2443999")</f>
        <v>MGI:2443999</v>
      </c>
      <c r="J1706" s="4" t="s">
        <v>12</v>
      </c>
    </row>
    <row r="1707" spans="1:10" x14ac:dyDescent="0.25">
      <c r="A1707" s="2">
        <v>1846.82502469462</v>
      </c>
      <c r="B1707" s="3">
        <v>0.83421874439118004</v>
      </c>
      <c r="C1707" s="5">
        <v>2.54040017388675E-51</v>
      </c>
      <c r="D1707" s="6">
        <v>7.0261839311425904E-50</v>
      </c>
      <c r="E1707" s="3" t="s">
        <v>1442</v>
      </c>
      <c r="F1707" s="3" t="s">
        <v>1443</v>
      </c>
      <c r="G1707" s="3">
        <v>11308</v>
      </c>
      <c r="H1707" s="7" t="str">
        <f>HYPERLINK("http://www.ensembl.org/Mus_musculus/Gene/Summary?db=core;g=ENSMUSG00000058835","ENSMUSG00000058835")</f>
        <v>ENSMUSG00000058835</v>
      </c>
      <c r="I1707" s="7" t="str">
        <f>HYPERLINK("http://www.informatics.jax.org/marker/MGI:104913","MGI:104913")</f>
        <v>MGI:104913</v>
      </c>
      <c r="J1707" s="4" t="s">
        <v>12</v>
      </c>
    </row>
    <row r="1708" spans="1:10" x14ac:dyDescent="0.25">
      <c r="A1708" s="2">
        <v>2497.7766864649798</v>
      </c>
      <c r="B1708" s="3">
        <v>0.83365917909862597</v>
      </c>
      <c r="C1708" s="5">
        <v>3.4486713796107502E-84</v>
      </c>
      <c r="D1708" s="6">
        <v>2.16585349063452E-82</v>
      </c>
      <c r="E1708" s="3" t="s">
        <v>640</v>
      </c>
      <c r="F1708" s="3" t="s">
        <v>641</v>
      </c>
      <c r="G1708" s="3">
        <v>99683</v>
      </c>
      <c r="H1708" s="7" t="str">
        <f>HYPERLINK("http://www.ensembl.org/Mus_musculus/Gene/Summary?db=core;g=ENSMUSG00000001052","ENSMUSG00000001052")</f>
        <v>ENSMUSG00000001052</v>
      </c>
      <c r="I1708" s="7" t="str">
        <f>HYPERLINK("http://www.informatics.jax.org/marker/MGI:2139764","MGI:2139764")</f>
        <v>MGI:2139764</v>
      </c>
      <c r="J1708" s="4" t="s">
        <v>12</v>
      </c>
    </row>
    <row r="1709" spans="1:10" x14ac:dyDescent="0.25">
      <c r="A1709" s="2">
        <v>577.767397473046</v>
      </c>
      <c r="B1709" s="3">
        <v>0.83340064211292297</v>
      </c>
      <c r="C1709" s="5">
        <v>3.0662465042409002E-48</v>
      </c>
      <c r="D1709" s="6">
        <v>7.9352206120250097E-47</v>
      </c>
      <c r="E1709" s="3" t="s">
        <v>1540</v>
      </c>
      <c r="F1709" s="3" t="s">
        <v>1541</v>
      </c>
      <c r="G1709" s="3">
        <v>56274</v>
      </c>
      <c r="H1709" s="7" t="str">
        <f>HYPERLINK("http://www.ensembl.org/Mus_musculus/Gene/Summary?db=core;g=ENSMUSG00000022329","ENSMUSG00000022329")</f>
        <v>ENSMUSG00000022329</v>
      </c>
      <c r="I1709" s="7" t="str">
        <f>HYPERLINK("http://www.informatics.jax.org/marker/MGI:1928487","MGI:1928487")</f>
        <v>MGI:1928487</v>
      </c>
      <c r="J1709" s="4" t="s">
        <v>12</v>
      </c>
    </row>
    <row r="1710" spans="1:10" x14ac:dyDescent="0.25">
      <c r="A1710" s="2">
        <v>3369.96194577711</v>
      </c>
      <c r="B1710" s="3">
        <v>0.83256433574515198</v>
      </c>
      <c r="C1710" s="5">
        <v>3.7723090067326401E-52</v>
      </c>
      <c r="D1710" s="6">
        <v>1.06882088524091E-50</v>
      </c>
      <c r="E1710" s="3" t="s">
        <v>1408</v>
      </c>
      <c r="F1710" s="3" t="s">
        <v>1409</v>
      </c>
      <c r="G1710" s="3">
        <v>69077</v>
      </c>
      <c r="H1710" s="7" t="str">
        <f>HYPERLINK("http://www.ensembl.org/Mus_musculus/Gene/Summary?db=core;g=ENSMUSG00000017428","ENSMUSG00000017428")</f>
        <v>ENSMUSG00000017428</v>
      </c>
      <c r="I1710" s="7" t="str">
        <f>HYPERLINK("http://www.informatics.jax.org/marker/MGI:1916327","MGI:1916327")</f>
        <v>MGI:1916327</v>
      </c>
      <c r="J1710" s="4" t="s">
        <v>12</v>
      </c>
    </row>
    <row r="1711" spans="1:10" x14ac:dyDescent="0.25">
      <c r="A1711" s="2">
        <v>1427.3196846420999</v>
      </c>
      <c r="B1711" s="3">
        <v>0.82881471886171298</v>
      </c>
      <c r="C1711" s="5">
        <v>4.6160856142246403E-12</v>
      </c>
      <c r="D1711" s="6">
        <v>2.96898918175179E-11</v>
      </c>
      <c r="E1711" s="3" t="s">
        <v>6149</v>
      </c>
      <c r="F1711" s="3" t="s">
        <v>6150</v>
      </c>
      <c r="G1711" s="3">
        <v>11576</v>
      </c>
      <c r="H1711" s="7" t="str">
        <f>HYPERLINK("http://www.ensembl.org/Mus_musculus/Gene/Summary?db=core;g=ENSMUSG00000054932","ENSMUSG00000054932")</f>
        <v>ENSMUSG00000054932</v>
      </c>
      <c r="I1711" s="7" t="str">
        <f>HYPERLINK("http://www.informatics.jax.org/marker/MGI:87951","MGI:87951")</f>
        <v>MGI:87951</v>
      </c>
      <c r="J1711" s="4" t="s">
        <v>12</v>
      </c>
    </row>
    <row r="1712" spans="1:10" x14ac:dyDescent="0.25">
      <c r="A1712" s="2">
        <v>1598.2724828560999</v>
      </c>
      <c r="B1712" s="3">
        <v>0.828746028186785</v>
      </c>
      <c r="C1712" s="5">
        <v>7.2409348227244198E-37</v>
      </c>
      <c r="D1712" s="6">
        <v>1.3432853688064499E-35</v>
      </c>
      <c r="E1712" s="3" t="s">
        <v>2143</v>
      </c>
      <c r="F1712" s="3" t="s">
        <v>2144</v>
      </c>
      <c r="G1712" s="3">
        <v>59043</v>
      </c>
      <c r="H1712" s="7" t="str">
        <f>HYPERLINK("http://www.ensembl.org/Mus_musculus/Gene/Summary?db=core;g=ENSMUSG00000029364","ENSMUSG00000029364")</f>
        <v>ENSMUSG00000029364</v>
      </c>
      <c r="I1712" s="7" t="str">
        <f>HYPERLINK("http://www.informatics.jax.org/marker/MGI:2144041","MGI:2144041")</f>
        <v>MGI:2144041</v>
      </c>
      <c r="J1712" s="4" t="s">
        <v>12</v>
      </c>
    </row>
    <row r="1713" spans="1:10" x14ac:dyDescent="0.25">
      <c r="A1713" s="2">
        <v>33.001673104670502</v>
      </c>
      <c r="B1713" s="3">
        <v>0.82871912098787304</v>
      </c>
      <c r="C1713" s="3">
        <v>3.4616163371487099E-4</v>
      </c>
      <c r="D1713" s="4">
        <v>1.0882045937920101E-3</v>
      </c>
      <c r="E1713" s="3" t="s">
        <v>12559</v>
      </c>
      <c r="F1713" s="3" t="s">
        <v>12560</v>
      </c>
      <c r="G1713" s="3">
        <v>20112</v>
      </c>
      <c r="H1713" s="7" t="str">
        <f>HYPERLINK("http://www.ensembl.org/Mus_musculus/Gene/Summary?db=core;g=ENSMUSG00000023809","ENSMUSG00000023809")</f>
        <v>ENSMUSG00000023809</v>
      </c>
      <c r="I1713" s="7" t="str">
        <f>HYPERLINK("http://www.informatics.jax.org/marker/MGI:1342290","MGI:1342290")</f>
        <v>MGI:1342290</v>
      </c>
      <c r="J1713" s="4" t="s">
        <v>12</v>
      </c>
    </row>
    <row r="1714" spans="1:10" x14ac:dyDescent="0.25">
      <c r="A1714" s="2">
        <v>2954.9420650700299</v>
      </c>
      <c r="B1714" s="3">
        <v>0.82842698059372999</v>
      </c>
      <c r="C1714" s="5">
        <v>1.14844125783411E-71</v>
      </c>
      <c r="D1714" s="6">
        <v>5.4969081564292599E-70</v>
      </c>
      <c r="E1714" s="3" t="s">
        <v>836</v>
      </c>
      <c r="F1714" s="3" t="s">
        <v>837</v>
      </c>
      <c r="G1714" s="3">
        <v>12915</v>
      </c>
      <c r="H1714" s="7" t="str">
        <f>HYPERLINK("http://www.ensembl.org/Mus_musculus/Gene/Summary?db=core;g=ENSMUSG00000015461","ENSMUSG00000015461")</f>
        <v>ENSMUSG00000015461</v>
      </c>
      <c r="I1714" s="7" t="str">
        <f>HYPERLINK("http://www.informatics.jax.org/marker/MGI:105121","MGI:105121")</f>
        <v>MGI:105121</v>
      </c>
      <c r="J1714" s="4" t="s">
        <v>12</v>
      </c>
    </row>
    <row r="1715" spans="1:10" x14ac:dyDescent="0.25">
      <c r="A1715" s="2">
        <v>118.499290641863</v>
      </c>
      <c r="B1715" s="3">
        <v>0.82741469533110501</v>
      </c>
      <c r="C1715" s="5">
        <v>2.0993831227987802E-9</v>
      </c>
      <c r="D1715" s="6">
        <v>1.0972657084970001E-8</v>
      </c>
      <c r="E1715" s="3" t="s">
        <v>7564</v>
      </c>
      <c r="F1715" s="3" t="s">
        <v>7565</v>
      </c>
      <c r="G1715" s="3">
        <v>56299</v>
      </c>
      <c r="H1715" s="7" t="str">
        <f>HYPERLINK("http://www.ensembl.org/Mus_musculus/Gene/Summary?db=core;g=ENSMUSG00000033739","ENSMUSG00000033739")</f>
        <v>ENSMUSG00000033739</v>
      </c>
      <c r="I1715" s="7" t="str">
        <f>HYPERLINK("http://www.informatics.jax.org/marker/MGI:1932127","MGI:1932127")</f>
        <v>MGI:1932127</v>
      </c>
      <c r="J1715" s="4" t="s">
        <v>12</v>
      </c>
    </row>
    <row r="1716" spans="1:10" x14ac:dyDescent="0.25">
      <c r="A1716" s="2">
        <v>1528.2610508008599</v>
      </c>
      <c r="B1716" s="3">
        <v>0.82542719654928098</v>
      </c>
      <c r="C1716" s="5">
        <v>7.7918420448041003E-84</v>
      </c>
      <c r="D1716" s="6">
        <v>4.8471648303954802E-82</v>
      </c>
      <c r="E1716" s="3" t="s">
        <v>646</v>
      </c>
      <c r="F1716" s="3" t="s">
        <v>647</v>
      </c>
      <c r="G1716" s="3">
        <v>226351</v>
      </c>
      <c r="H1716" s="7" t="str">
        <f>HYPERLINK("http://www.ensembl.org/Mus_musculus/Gene/Summary?db=core;g=ENSMUSG00000098923","ENSMUSG00000098923")</f>
        <v>ENSMUSG00000098923</v>
      </c>
      <c r="I1716" s="7" t="str">
        <f>HYPERLINK("http://www.informatics.jax.org/marker/MGI:1917634","MGI:1917634")</f>
        <v>MGI:1917634</v>
      </c>
      <c r="J1716" s="4" t="s">
        <v>12</v>
      </c>
    </row>
    <row r="1717" spans="1:10" x14ac:dyDescent="0.25">
      <c r="A1717" s="2">
        <v>1184.35660302001</v>
      </c>
      <c r="B1717" s="3">
        <v>0.824097035514186</v>
      </c>
      <c r="C1717" s="5">
        <v>2.0627069211661099E-19</v>
      </c>
      <c r="D1717" s="6">
        <v>1.9959067951617099E-18</v>
      </c>
      <c r="E1717" s="3" t="s">
        <v>4093</v>
      </c>
      <c r="F1717" s="3" t="s">
        <v>4094</v>
      </c>
      <c r="G1717" s="3">
        <v>18784</v>
      </c>
      <c r="H1717" s="7" t="str">
        <f>HYPERLINK("http://www.ensembl.org/Mus_musculus/Gene/Summary?db=core;g=ENSMUSG00000041193","ENSMUSG00000041193")</f>
        <v>ENSMUSG00000041193</v>
      </c>
      <c r="I1717" s="7" t="str">
        <f>HYPERLINK("http://www.informatics.jax.org/marker/MGI:101899","MGI:101899")</f>
        <v>MGI:101899</v>
      </c>
      <c r="J1717" s="4" t="s">
        <v>12</v>
      </c>
    </row>
    <row r="1718" spans="1:10" x14ac:dyDescent="0.25">
      <c r="A1718" s="2">
        <v>31913.297590578899</v>
      </c>
      <c r="B1718" s="3">
        <v>0.82389465256603001</v>
      </c>
      <c r="C1718" s="5">
        <v>2.5347602822027201E-97</v>
      </c>
      <c r="D1718" s="6">
        <v>1.9449600297679999E-95</v>
      </c>
      <c r="E1718" s="3" t="s">
        <v>526</v>
      </c>
      <c r="F1718" s="3" t="s">
        <v>527</v>
      </c>
      <c r="G1718" s="3">
        <v>13690</v>
      </c>
      <c r="H1718" s="7" t="str">
        <f>HYPERLINK("http://www.ensembl.org/Mus_musculus/Gene/Summary?db=core;g=ENSMUSG00000005610","ENSMUSG00000005610")</f>
        <v>ENSMUSG00000005610</v>
      </c>
      <c r="I1718" s="7" t="str">
        <f>HYPERLINK("http://www.informatics.jax.org/marker/MGI:109207","MGI:109207")</f>
        <v>MGI:109207</v>
      </c>
      <c r="J1718" s="4" t="s">
        <v>12</v>
      </c>
    </row>
    <row r="1719" spans="1:10" x14ac:dyDescent="0.25">
      <c r="A1719" s="2">
        <v>2031.69179735233</v>
      </c>
      <c r="B1719" s="3">
        <v>0.82228612699469605</v>
      </c>
      <c r="C1719" s="5">
        <v>5.7318904897778902E-63</v>
      </c>
      <c r="D1719" s="6">
        <v>2.2606576091683999E-61</v>
      </c>
      <c r="E1719" s="3" t="s">
        <v>1015</v>
      </c>
      <c r="F1719" s="3" t="s">
        <v>1016</v>
      </c>
      <c r="G1719" s="3">
        <v>20529</v>
      </c>
      <c r="H1719" s="7" t="str">
        <f>HYPERLINK("http://www.ensembl.org/Mus_musculus/Gene/Summary?db=core;g=ENSMUSG00000066150","ENSMUSG00000066150")</f>
        <v>ENSMUSG00000066150</v>
      </c>
      <c r="I1719" s="7" t="str">
        <f>HYPERLINK("http://www.informatics.jax.org/marker/MGI:1333843","MGI:1333843")</f>
        <v>MGI:1333843</v>
      </c>
      <c r="J1719" s="4" t="s">
        <v>12</v>
      </c>
    </row>
    <row r="1720" spans="1:10" x14ac:dyDescent="0.25">
      <c r="A1720" s="2">
        <v>1430.4175739494599</v>
      </c>
      <c r="B1720" s="3">
        <v>0.82068238806486005</v>
      </c>
      <c r="C1720" s="5">
        <v>3.6517878544250697E-18</v>
      </c>
      <c r="D1720" s="6">
        <v>3.3231775029655001E-17</v>
      </c>
      <c r="E1720" s="3" t="s">
        <v>4351</v>
      </c>
      <c r="F1720" s="3" t="s">
        <v>4352</v>
      </c>
      <c r="G1720" s="3">
        <v>320706</v>
      </c>
      <c r="H1720" s="7" t="str">
        <f>HYPERLINK("http://www.ensembl.org/Mus_musculus/Gene/Summary?db=core;g=ENSMUSG00000055485","ENSMUSG00000055485")</f>
        <v>ENSMUSG00000055485</v>
      </c>
      <c r="I1720" s="7" t="str">
        <f>HYPERLINK("http://www.informatics.jax.org/marker/MGI:2444575","MGI:2444575")</f>
        <v>MGI:2444575</v>
      </c>
      <c r="J1720" s="4" t="s">
        <v>12</v>
      </c>
    </row>
    <row r="1721" spans="1:10" x14ac:dyDescent="0.25">
      <c r="A1721" s="2">
        <v>431.25893692786099</v>
      </c>
      <c r="B1721" s="3">
        <v>0.820410697906507</v>
      </c>
      <c r="C1721" s="5">
        <v>5.0369318571721601E-30</v>
      </c>
      <c r="D1721" s="6">
        <v>7.42363947858258E-29</v>
      </c>
      <c r="E1721" s="3" t="s">
        <v>2694</v>
      </c>
      <c r="F1721" s="3" t="s">
        <v>2695</v>
      </c>
      <c r="G1721" s="3">
        <v>12632</v>
      </c>
      <c r="H1721" s="7" t="str">
        <f>HYPERLINK("http://www.ensembl.org/Mus_musculus/Gene/Summary?db=core;g=ENSMUSG00000062929","ENSMUSG00000062929")</f>
        <v>ENSMUSG00000062929</v>
      </c>
      <c r="I1721" s="7" t="str">
        <f>HYPERLINK("http://www.informatics.jax.org/marker/MGI:101763","MGI:101763")</f>
        <v>MGI:101763</v>
      </c>
      <c r="J1721" s="4" t="s">
        <v>12</v>
      </c>
    </row>
    <row r="1722" spans="1:10" x14ac:dyDescent="0.25">
      <c r="A1722" s="2">
        <v>38.953217920114398</v>
      </c>
      <c r="B1722" s="3">
        <v>0.81958024998040202</v>
      </c>
      <c r="C1722" s="3">
        <v>4.69517042140242E-4</v>
      </c>
      <c r="D1722" s="4">
        <v>1.4503251990923499E-3</v>
      </c>
      <c r="E1722" s="3" t="s">
        <v>12777</v>
      </c>
      <c r="F1722" s="3" t="s">
        <v>12778</v>
      </c>
      <c r="G1722" s="3">
        <v>16068</v>
      </c>
      <c r="H1722" s="7" t="str">
        <f>HYPERLINK("http://www.ensembl.org/Mus_musculus/Gene/Summary?db=core;g=ENSMUSG00000070427","ENSMUSG00000070427")</f>
        <v>ENSMUSG00000070427</v>
      </c>
      <c r="I1722" s="7" t="str">
        <f>HYPERLINK("http://www.informatics.jax.org/marker/MGI:1333800","MGI:1333800")</f>
        <v>MGI:1333800</v>
      </c>
      <c r="J1722" s="4" t="s">
        <v>12</v>
      </c>
    </row>
    <row r="1723" spans="1:10" x14ac:dyDescent="0.25">
      <c r="A1723" s="2">
        <v>60.693429459601397</v>
      </c>
      <c r="B1723" s="3">
        <v>0.81867070735184599</v>
      </c>
      <c r="C1723" s="5">
        <v>2.7275533166237699E-6</v>
      </c>
      <c r="D1723" s="6">
        <v>1.0818051368427301E-5</v>
      </c>
      <c r="E1723" s="3" t="s">
        <v>9960</v>
      </c>
      <c r="F1723" s="3" t="s">
        <v>9961</v>
      </c>
      <c r="G1723" s="3">
        <v>100044193</v>
      </c>
      <c r="H1723" s="7" t="str">
        <f>HYPERLINK("http://www.ensembl.org/Mus_musculus/Gene/Summary?db=core;g=ENSMUSG00000095193","ENSMUSG00000095193")</f>
        <v>ENSMUSG00000095193</v>
      </c>
      <c r="I1723" s="7" t="str">
        <f>HYPERLINK("http://www.informatics.jax.org/marker/MGI:5434295","MGI:5434295")</f>
        <v>MGI:5434295</v>
      </c>
      <c r="J1723" s="4" t="s">
        <v>939</v>
      </c>
    </row>
    <row r="1724" spans="1:10" x14ac:dyDescent="0.25">
      <c r="A1724" s="2">
        <v>1641.9008804133</v>
      </c>
      <c r="B1724" s="3">
        <v>0.81802513986676595</v>
      </c>
      <c r="C1724" s="5">
        <v>1.1911384411305899E-25</v>
      </c>
      <c r="D1724" s="6">
        <v>1.49422710299588E-24</v>
      </c>
      <c r="E1724" s="3" t="s">
        <v>3163</v>
      </c>
      <c r="F1724" s="3" t="s">
        <v>3164</v>
      </c>
      <c r="G1724" s="3">
        <v>20650</v>
      </c>
      <c r="H1724" s="7" t="str">
        <f>HYPERLINK("http://www.ensembl.org/Mus_musculus/Gene/Summary?db=core;g=ENSMUSG00000041308","ENSMUSG00000041308")</f>
        <v>ENSMUSG00000041308</v>
      </c>
      <c r="I1724" s="7" t="str">
        <f>HYPERLINK("http://www.informatics.jax.org/marker/MGI:101771","MGI:101771")</f>
        <v>MGI:101771</v>
      </c>
      <c r="J1724" s="4" t="s">
        <v>12</v>
      </c>
    </row>
    <row r="1725" spans="1:10" x14ac:dyDescent="0.25">
      <c r="A1725" s="2">
        <v>1513.4308506070699</v>
      </c>
      <c r="B1725" s="3">
        <v>0.81707713594351095</v>
      </c>
      <c r="C1725" s="5">
        <v>9.4994278352697801E-24</v>
      </c>
      <c r="D1725" s="6">
        <v>1.10453252895944E-22</v>
      </c>
      <c r="E1725" s="3" t="s">
        <v>3410</v>
      </c>
      <c r="F1725" s="3" t="s">
        <v>3411</v>
      </c>
      <c r="G1725" s="3">
        <v>15239</v>
      </c>
      <c r="H1725" s="7" t="str">
        <f>HYPERLINK("http://www.ensembl.org/Mus_musculus/Gene/Summary?db=core;g=ENSMUSG00000025793","ENSMUSG00000025793")</f>
        <v>ENSMUSG00000025793</v>
      </c>
      <c r="I1725" s="7" t="str">
        <f>HYPERLINK("http://www.informatics.jax.org/marker/MGI:104681","MGI:104681")</f>
        <v>MGI:104681</v>
      </c>
      <c r="J1725" s="4" t="s">
        <v>12</v>
      </c>
    </row>
    <row r="1726" spans="1:10" x14ac:dyDescent="0.25">
      <c r="A1726" s="2">
        <v>21.154966767131899</v>
      </c>
      <c r="B1726" s="3">
        <v>0.81575464997685598</v>
      </c>
      <c r="C1726" s="3">
        <v>1.3160405772046199E-3</v>
      </c>
      <c r="D1726" s="4">
        <v>3.8148346586028398E-3</v>
      </c>
      <c r="E1726" s="3" t="s">
        <v>13615</v>
      </c>
      <c r="F1726" s="3" t="s">
        <v>13616</v>
      </c>
      <c r="G1726" s="3">
        <v>330695</v>
      </c>
      <c r="H1726" s="7" t="str">
        <f>HYPERLINK("http://www.ensembl.org/Mus_musculus/Gene/Summary?db=core;g=ENSMUSG00000048644","ENSMUSG00000048644")</f>
        <v>ENSMUSG00000048644</v>
      </c>
      <c r="I1726" s="7" t="str">
        <f>HYPERLINK("http://www.informatics.jax.org/marker/MGI:88566","MGI:88566")</f>
        <v>MGI:88566</v>
      </c>
      <c r="J1726" s="4" t="s">
        <v>12</v>
      </c>
    </row>
    <row r="1727" spans="1:10" x14ac:dyDescent="0.25">
      <c r="A1727" s="2">
        <v>1583.33974571513</v>
      </c>
      <c r="B1727" s="3">
        <v>0.81551138471529105</v>
      </c>
      <c r="C1727" s="5">
        <v>8.4678042175154803E-48</v>
      </c>
      <c r="D1727" s="6">
        <v>2.1658248919507802E-46</v>
      </c>
      <c r="E1727" s="3" t="s">
        <v>1558</v>
      </c>
      <c r="F1727" s="3" t="s">
        <v>1559</v>
      </c>
      <c r="G1727" s="3">
        <v>24055</v>
      </c>
      <c r="H1727" s="7" t="str">
        <f>HYPERLINK("http://www.ensembl.org/Mus_musculus/Gene/Summary?db=core;g=ENSMUSG00000054520","ENSMUSG00000054520")</f>
        <v>ENSMUSG00000054520</v>
      </c>
      <c r="I1727" s="7" t="str">
        <f>HYPERLINK("http://www.informatics.jax.org/marker/MGI:1346349","MGI:1346349")</f>
        <v>MGI:1346349</v>
      </c>
      <c r="J1727" s="4" t="s">
        <v>12</v>
      </c>
    </row>
    <row r="1728" spans="1:10" x14ac:dyDescent="0.25">
      <c r="A1728" s="2">
        <v>581.776023817338</v>
      </c>
      <c r="B1728" s="3">
        <v>0.81490291954939698</v>
      </c>
      <c r="C1728" s="5">
        <v>1.01758404215325E-34</v>
      </c>
      <c r="D1728" s="6">
        <v>1.7479753755454701E-33</v>
      </c>
      <c r="E1728" s="3" t="s">
        <v>2313</v>
      </c>
      <c r="F1728" s="3" t="s">
        <v>2314</v>
      </c>
      <c r="G1728" s="3">
        <v>67011</v>
      </c>
      <c r="H1728" s="7" t="str">
        <f>HYPERLINK("http://www.ensembl.org/Mus_musculus/Gene/Summary?db=core;g=ENSMUSG00000021891","ENSMUSG00000021891")</f>
        <v>ENSMUSG00000021891</v>
      </c>
      <c r="I1728" s="7" t="str">
        <f>HYPERLINK("http://www.informatics.jax.org/marker/MGI:1914261","MGI:1914261")</f>
        <v>MGI:1914261</v>
      </c>
      <c r="J1728" s="4" t="s">
        <v>12</v>
      </c>
    </row>
    <row r="1729" spans="1:10" x14ac:dyDescent="0.25">
      <c r="A1729" s="2">
        <v>607.18877527894495</v>
      </c>
      <c r="B1729" s="3">
        <v>0.81457554520471098</v>
      </c>
      <c r="C1729" s="5">
        <v>8.0759149564507002E-29</v>
      </c>
      <c r="D1729" s="6">
        <v>1.14491044529984E-27</v>
      </c>
      <c r="E1729" s="3" t="s">
        <v>2800</v>
      </c>
      <c r="F1729" s="3" t="s">
        <v>2801</v>
      </c>
      <c r="G1729" s="3">
        <v>75788</v>
      </c>
      <c r="H1729" s="7" t="str">
        <f>HYPERLINK("http://www.ensembl.org/Mus_musculus/Gene/Summary?db=core;g=ENSMUSG00000038780","ENSMUSG00000038780")</f>
        <v>ENSMUSG00000038780</v>
      </c>
      <c r="I1729" s="7" t="str">
        <f>HYPERLINK("http://www.informatics.jax.org/marker/MGI:1923038","MGI:1923038")</f>
        <v>MGI:1923038</v>
      </c>
      <c r="J1729" s="4" t="s">
        <v>12</v>
      </c>
    </row>
    <row r="1730" spans="1:10" x14ac:dyDescent="0.25">
      <c r="A1730" s="2">
        <v>500.13389642733301</v>
      </c>
      <c r="B1730" s="3">
        <v>0.81344605367164802</v>
      </c>
      <c r="C1730" s="5">
        <v>9.5075465600486004E-15</v>
      </c>
      <c r="D1730" s="6">
        <v>7.2194385122895106E-14</v>
      </c>
      <c r="E1730" s="3" t="s">
        <v>5211</v>
      </c>
      <c r="F1730" s="3" t="s">
        <v>5212</v>
      </c>
      <c r="G1730" s="3">
        <v>74190</v>
      </c>
      <c r="H1730" s="7" t="str">
        <f>HYPERLINK("http://www.ensembl.org/Mus_musculus/Gene/Summary?db=core;g=ENSMUSG00000021280","ENSMUSG00000021280")</f>
        <v>ENSMUSG00000021280</v>
      </c>
      <c r="I1730" s="7" t="str">
        <f>HYPERLINK("http://www.informatics.jax.org/marker/MGI:1921363","MGI:1921363")</f>
        <v>MGI:1921363</v>
      </c>
      <c r="J1730" s="4" t="s">
        <v>12</v>
      </c>
    </row>
    <row r="1731" spans="1:10" x14ac:dyDescent="0.25">
      <c r="A1731" s="2">
        <v>214.67429138298601</v>
      </c>
      <c r="B1731" s="3">
        <v>0.81117830682193903</v>
      </c>
      <c r="C1731" s="5">
        <v>2.9354664828674802E-7</v>
      </c>
      <c r="D1731" s="6">
        <v>1.2826811221393E-6</v>
      </c>
      <c r="E1731" s="3" t="s">
        <v>9041</v>
      </c>
      <c r="F1731" s="3" t="s">
        <v>9042</v>
      </c>
      <c r="G1731" s="3">
        <v>19294</v>
      </c>
      <c r="H1731" s="7" t="str">
        <f>HYPERLINK("http://www.ensembl.org/Mus_musculus/Gene/Summary?db=core;g=ENSMUSG00000062300","ENSMUSG00000062300")</f>
        <v>ENSMUSG00000062300</v>
      </c>
      <c r="I1731" s="7" t="str">
        <f>HYPERLINK("http://www.informatics.jax.org/marker/MGI:97822","MGI:97822")</f>
        <v>MGI:97822</v>
      </c>
      <c r="J1731" s="4" t="s">
        <v>12</v>
      </c>
    </row>
    <row r="1732" spans="1:10" x14ac:dyDescent="0.25">
      <c r="A1732" s="2">
        <v>676.35170571257902</v>
      </c>
      <c r="B1732" s="3">
        <v>0.81113178711581602</v>
      </c>
      <c r="C1732" s="5">
        <v>7.1306007496051801E-35</v>
      </c>
      <c r="D1732" s="6">
        <v>1.23238778950231E-33</v>
      </c>
      <c r="E1732" s="3" t="s">
        <v>2299</v>
      </c>
      <c r="F1732" s="3" t="s">
        <v>2300</v>
      </c>
      <c r="G1732" s="3">
        <v>12856</v>
      </c>
      <c r="H1732" s="7" t="str">
        <f>HYPERLINK("http://www.ensembl.org/Mus_musculus/Gene/Summary?db=core;g=ENSMUSG00000046516","ENSMUSG00000046516")</f>
        <v>ENSMUSG00000046516</v>
      </c>
      <c r="I1732" s="7" t="str">
        <f>HYPERLINK("http://www.informatics.jax.org/marker/MGI:1333806","MGI:1333806")</f>
        <v>MGI:1333806</v>
      </c>
      <c r="J1732" s="4" t="s">
        <v>12</v>
      </c>
    </row>
    <row r="1733" spans="1:10" x14ac:dyDescent="0.25">
      <c r="A1733" s="2">
        <v>27.070666921963401</v>
      </c>
      <c r="B1733" s="3">
        <v>0.81080636274082496</v>
      </c>
      <c r="C1733" s="3">
        <v>2.6039482322989301E-3</v>
      </c>
      <c r="D1733" s="4">
        <v>7.21611286409989E-3</v>
      </c>
      <c r="E1733" s="3" t="s">
        <v>14239</v>
      </c>
      <c r="F1733" s="3" t="s">
        <v>14240</v>
      </c>
      <c r="G1733" s="3">
        <v>22066</v>
      </c>
      <c r="H1733" s="7" t="str">
        <f>HYPERLINK("http://www.ensembl.org/Mus_musculus/Gene/Summary?db=core;g=ENSMUSG00000027748","ENSMUSG00000027748")</f>
        <v>ENSMUSG00000027748</v>
      </c>
      <c r="I1733" s="7" t="str">
        <f>HYPERLINK("http://www.informatics.jax.org/marker/MGI:109525","MGI:109525")</f>
        <v>MGI:109525</v>
      </c>
      <c r="J1733" s="4" t="s">
        <v>12</v>
      </c>
    </row>
    <row r="1734" spans="1:10" x14ac:dyDescent="0.25">
      <c r="A1734" s="2">
        <v>581.79234943613596</v>
      </c>
      <c r="B1734" s="3">
        <v>0.81046665431492504</v>
      </c>
      <c r="C1734" s="5">
        <v>1.78647163362589E-35</v>
      </c>
      <c r="D1734" s="6">
        <v>3.1426601797593801E-34</v>
      </c>
      <c r="E1734" s="3" t="s">
        <v>2259</v>
      </c>
      <c r="F1734" s="3" t="s">
        <v>2260</v>
      </c>
      <c r="G1734" s="3">
        <v>74120</v>
      </c>
      <c r="H1734" s="7" t="str">
        <f>HYPERLINK("http://www.ensembl.org/Mus_musculus/Gene/Summary?db=core;g=ENSMUSG00000022529","ENSMUSG00000022529")</f>
        <v>ENSMUSG00000022529</v>
      </c>
      <c r="I1734" s="7" t="str">
        <f>HYPERLINK("http://www.informatics.jax.org/marker/MGI:1921370","MGI:1921370")</f>
        <v>MGI:1921370</v>
      </c>
      <c r="J1734" s="4" t="s">
        <v>12</v>
      </c>
    </row>
    <row r="1735" spans="1:10" x14ac:dyDescent="0.25">
      <c r="A1735" s="2">
        <v>11.264407992776199</v>
      </c>
      <c r="B1735" s="3">
        <v>0.81046122161838496</v>
      </c>
      <c r="C1735" s="3">
        <v>1.8079517171171299E-2</v>
      </c>
      <c r="D1735" s="4">
        <v>4.2590858752299302E-2</v>
      </c>
      <c r="E1735" s="3" t="s">
        <v>16744</v>
      </c>
      <c r="F1735" s="3" t="s">
        <v>16745</v>
      </c>
      <c r="G1735" s="3" t="s">
        <v>83</v>
      </c>
      <c r="H1735" s="7" t="str">
        <f>HYPERLINK("http://www.ensembl.org/Mus_musculus/Gene/Summary?db=core;g=ENSMUSG00000085501","ENSMUSG00000085501")</f>
        <v>ENSMUSG00000085501</v>
      </c>
      <c r="I1735" s="7" t="str">
        <f>HYPERLINK("http://www.informatics.jax.org/marker/MGI:3649468","MGI:3649468")</f>
        <v>MGI:3649468</v>
      </c>
      <c r="J1735" s="4" t="s">
        <v>932</v>
      </c>
    </row>
    <row r="1736" spans="1:10" x14ac:dyDescent="0.25">
      <c r="A1736" s="2">
        <v>34.524508270453602</v>
      </c>
      <c r="B1736" s="3">
        <v>0.81025920565296194</v>
      </c>
      <c r="C1736" s="3">
        <v>1.6769382381230801E-4</v>
      </c>
      <c r="D1736" s="4">
        <v>5.48957869451976E-4</v>
      </c>
      <c r="E1736" s="3" t="s">
        <v>12059</v>
      </c>
      <c r="F1736" s="3" t="s">
        <v>12060</v>
      </c>
      <c r="G1736" s="3">
        <v>69743</v>
      </c>
      <c r="H1736" s="7" t="str">
        <f>HYPERLINK("http://www.ensembl.org/Mus_musculus/Gene/Summary?db=core;g=ENSMUSG00000028977","ENSMUSG00000028977")</f>
        <v>ENSMUSG00000028977</v>
      </c>
      <c r="I1736" s="7" t="str">
        <f>HYPERLINK("http://www.informatics.jax.org/marker/MGI:1196251","MGI:1196251")</f>
        <v>MGI:1196251</v>
      </c>
      <c r="J1736" s="4" t="s">
        <v>12</v>
      </c>
    </row>
    <row r="1737" spans="1:10" x14ac:dyDescent="0.25">
      <c r="A1737" s="2">
        <v>339.25832901111698</v>
      </c>
      <c r="B1737" s="3">
        <v>0.80977421954888895</v>
      </c>
      <c r="C1737" s="5">
        <v>3.0696571733136601E-21</v>
      </c>
      <c r="D1737" s="6">
        <v>3.2014478667456401E-20</v>
      </c>
      <c r="E1737" s="3" t="s">
        <v>3800</v>
      </c>
      <c r="F1737" s="3" t="s">
        <v>3801</v>
      </c>
      <c r="G1737" s="3">
        <v>73916</v>
      </c>
      <c r="H1737" s="7" t="str">
        <f>HYPERLINK("http://www.ensembl.org/Mus_musculus/Gene/Summary?db=core;g=ENSMUSG00000032965","ENSMUSG00000032965")</f>
        <v>ENSMUSG00000032965</v>
      </c>
      <c r="I1737" s="7" t="str">
        <f>HYPERLINK("http://www.informatics.jax.org/marker/MGI:1921166","MGI:1921166")</f>
        <v>MGI:1921166</v>
      </c>
      <c r="J1737" s="4" t="s">
        <v>12</v>
      </c>
    </row>
    <row r="1738" spans="1:10" x14ac:dyDescent="0.25">
      <c r="A1738" s="2">
        <v>4086.54254123172</v>
      </c>
      <c r="B1738" s="3">
        <v>0.808670868078887</v>
      </c>
      <c r="C1738" s="5">
        <v>2.6498971166726098E-12</v>
      </c>
      <c r="D1738" s="6">
        <v>1.7349260006900402E-11</v>
      </c>
      <c r="E1738" s="3" t="s">
        <v>6041</v>
      </c>
      <c r="F1738" s="3" t="s">
        <v>6042</v>
      </c>
      <c r="G1738" s="3">
        <v>20970</v>
      </c>
      <c r="H1738" s="7" t="str">
        <f>HYPERLINK("http://www.ensembl.org/Mus_musculus/Gene/Summary?db=core;g=ENSMUSG00000025743","ENSMUSG00000025743")</f>
        <v>ENSMUSG00000025743</v>
      </c>
      <c r="I1738" s="7" t="str">
        <f>HYPERLINK("http://www.informatics.jax.org/marker/MGI:1349163","MGI:1349163")</f>
        <v>MGI:1349163</v>
      </c>
      <c r="J1738" s="4" t="s">
        <v>12</v>
      </c>
    </row>
    <row r="1739" spans="1:10" x14ac:dyDescent="0.25">
      <c r="A1739" s="2">
        <v>317.028318708038</v>
      </c>
      <c r="B1739" s="3">
        <v>0.80806051999214001</v>
      </c>
      <c r="C1739" s="5">
        <v>1.5541958639184801E-13</v>
      </c>
      <c r="D1739" s="6">
        <v>1.0961638925777E-12</v>
      </c>
      <c r="E1739" s="3" t="s">
        <v>5609</v>
      </c>
      <c r="F1739" s="3" t="s">
        <v>5610</v>
      </c>
      <c r="G1739" s="3">
        <v>270084</v>
      </c>
      <c r="H1739" s="7" t="str">
        <f>HYPERLINK("http://www.ensembl.org/Mus_musculus/Gene/Summary?db=core;g=ENSMUSG00000033192","ENSMUSG00000033192")</f>
        <v>ENSMUSG00000033192</v>
      </c>
      <c r="I1739" s="7" t="str">
        <f>HYPERLINK("http://www.informatics.jax.org/marker/MGI:3606214","MGI:3606214")</f>
        <v>MGI:3606214</v>
      </c>
      <c r="J1739" s="4" t="s">
        <v>12</v>
      </c>
    </row>
    <row r="1740" spans="1:10" x14ac:dyDescent="0.25">
      <c r="A1740" s="2">
        <v>425.85837043858902</v>
      </c>
      <c r="B1740" s="3">
        <v>0.807667262760009</v>
      </c>
      <c r="C1740" s="5">
        <v>1.56723256853899E-21</v>
      </c>
      <c r="D1740" s="6">
        <v>1.6571488606750101E-20</v>
      </c>
      <c r="E1740" s="3" t="s">
        <v>3748</v>
      </c>
      <c r="F1740" s="3" t="s">
        <v>3749</v>
      </c>
      <c r="G1740" s="3">
        <v>109054</v>
      </c>
      <c r="H1740" s="7" t="str">
        <f>HYPERLINK("http://www.ensembl.org/Mus_musculus/Gene/Summary?db=core;g=ENSMUSG00000052033","ENSMUSG00000052033")</f>
        <v>ENSMUSG00000052033</v>
      </c>
      <c r="I1740" s="7" t="str">
        <f>HYPERLINK("http://www.informatics.jax.org/marker/MGI:1923512","MGI:1923512")</f>
        <v>MGI:1923512</v>
      </c>
      <c r="J1740" s="4" t="s">
        <v>12</v>
      </c>
    </row>
    <row r="1741" spans="1:10" x14ac:dyDescent="0.25">
      <c r="A1741" s="2">
        <v>113.54075265970999</v>
      </c>
      <c r="B1741" s="3">
        <v>0.807228919127982</v>
      </c>
      <c r="C1741" s="5">
        <v>2.8104353925694599E-8</v>
      </c>
      <c r="D1741" s="6">
        <v>1.33933750462711E-7</v>
      </c>
      <c r="E1741" s="3" t="s">
        <v>8293</v>
      </c>
      <c r="F1741" s="3" t="s">
        <v>8294</v>
      </c>
      <c r="G1741" s="3">
        <v>50780</v>
      </c>
      <c r="H1741" s="7" t="str">
        <f>HYPERLINK("http://www.ensembl.org/Mus_musculus/Gene/Summary?db=core;g=ENSMUSG00000059810","ENSMUSG00000059810")</f>
        <v>ENSMUSG00000059810</v>
      </c>
      <c r="I1741" s="7" t="str">
        <f>HYPERLINK("http://www.informatics.jax.org/marker/MGI:1354734","MGI:1354734")</f>
        <v>MGI:1354734</v>
      </c>
      <c r="J1741" s="4" t="s">
        <v>12</v>
      </c>
    </row>
    <row r="1742" spans="1:10" x14ac:dyDescent="0.25">
      <c r="A1742" s="2">
        <v>1667.8556268218299</v>
      </c>
      <c r="B1742" s="3">
        <v>0.80676577600247601</v>
      </c>
      <c r="C1742" s="5">
        <v>2.6099148628423201E-59</v>
      </c>
      <c r="D1742" s="6">
        <v>9.1742461845366405E-58</v>
      </c>
      <c r="E1742" s="3" t="s">
        <v>1138</v>
      </c>
      <c r="F1742" s="3" t="s">
        <v>1139</v>
      </c>
      <c r="G1742" s="3">
        <v>74451</v>
      </c>
      <c r="H1742" s="7" t="str">
        <f>HYPERLINK("http://www.ensembl.org/Mus_musculus/Gene/Summary?db=core;g=ENSMUSG00000017715","ENSMUSG00000017715")</f>
        <v>ENSMUSG00000017715</v>
      </c>
      <c r="I1742" s="7" t="str">
        <f>HYPERLINK("http://www.informatics.jax.org/marker/MGI:1921701","MGI:1921701")</f>
        <v>MGI:1921701</v>
      </c>
      <c r="J1742" s="4" t="s">
        <v>12</v>
      </c>
    </row>
    <row r="1743" spans="1:10" x14ac:dyDescent="0.25">
      <c r="A1743" s="2">
        <v>635.61982143759894</v>
      </c>
      <c r="B1743" s="3">
        <v>0.80663737720894801</v>
      </c>
      <c r="C1743" s="5">
        <v>4.9933644513354197E-32</v>
      </c>
      <c r="D1743" s="6">
        <v>7.7657055978181797E-31</v>
      </c>
      <c r="E1743" s="3" t="s">
        <v>2553</v>
      </c>
      <c r="F1743" s="3" t="s">
        <v>2554</v>
      </c>
      <c r="G1743" s="3">
        <v>13496</v>
      </c>
      <c r="H1743" s="7" t="str">
        <f>HYPERLINK("http://www.ensembl.org/Mus_musculus/Gene/Summary?db=core;g=ENSMUSG00000019564","ENSMUSG00000019564")</f>
        <v>ENSMUSG00000019564</v>
      </c>
      <c r="I1743" s="7" t="str">
        <f>HYPERLINK("http://www.informatics.jax.org/marker/MGI:1328360","MGI:1328360")</f>
        <v>MGI:1328360</v>
      </c>
      <c r="J1743" s="4" t="s">
        <v>12</v>
      </c>
    </row>
    <row r="1744" spans="1:10" x14ac:dyDescent="0.25">
      <c r="A1744" s="2">
        <v>1451.20759120454</v>
      </c>
      <c r="B1744" s="3">
        <v>0.80588891936685603</v>
      </c>
      <c r="C1744" s="5">
        <v>3.9453519179711702E-18</v>
      </c>
      <c r="D1744" s="6">
        <v>3.5787644812507599E-17</v>
      </c>
      <c r="E1744" s="3" t="s">
        <v>4365</v>
      </c>
      <c r="F1744" s="3" t="s">
        <v>4366</v>
      </c>
      <c r="G1744" s="3">
        <v>50918</v>
      </c>
      <c r="H1744" s="7" t="str">
        <f>HYPERLINK("http://www.ensembl.org/Mus_musculus/Gene/Summary?db=core;g=ENSMUSG00000068566","ENSMUSG00000068566")</f>
        <v>ENSMUSG00000068566</v>
      </c>
      <c r="I1744" s="7" t="str">
        <f>HYPERLINK("http://www.informatics.jax.org/marker/MGI:1355332","MGI:1355332")</f>
        <v>MGI:1355332</v>
      </c>
      <c r="J1744" s="4" t="s">
        <v>12</v>
      </c>
    </row>
    <row r="1745" spans="1:10" x14ac:dyDescent="0.25">
      <c r="A1745" s="2">
        <v>169.69692366814201</v>
      </c>
      <c r="B1745" s="3">
        <v>0.80500547177512805</v>
      </c>
      <c r="C1745" s="5">
        <v>9.0637519096345392E-12</v>
      </c>
      <c r="D1745" s="6">
        <v>5.6832174136086902E-11</v>
      </c>
      <c r="E1745" s="3" t="s">
        <v>6307</v>
      </c>
      <c r="F1745" s="3" t="s">
        <v>6308</v>
      </c>
      <c r="G1745" s="3">
        <v>233805</v>
      </c>
      <c r="H1745" s="7" t="str">
        <f>HYPERLINK("http://www.ensembl.org/Mus_musculus/Gene/Summary?db=core;g=ENSMUSG00000048787","ENSMUSG00000048787")</f>
        <v>ENSMUSG00000048787</v>
      </c>
      <c r="I1745" s="7" t="str">
        <f>HYPERLINK("http://www.informatics.jax.org/marker/MGI:2679003","MGI:2679003")</f>
        <v>MGI:2679003</v>
      </c>
      <c r="J1745" s="4" t="s">
        <v>12</v>
      </c>
    </row>
    <row r="1746" spans="1:10" x14ac:dyDescent="0.25">
      <c r="A1746" s="2">
        <v>1588.3156660622401</v>
      </c>
      <c r="B1746" s="3">
        <v>0.80446587182935902</v>
      </c>
      <c r="C1746" s="5">
        <v>1.7360081825677899E-54</v>
      </c>
      <c r="D1746" s="6">
        <v>5.2586914531853702E-53</v>
      </c>
      <c r="E1746" s="3" t="s">
        <v>1318</v>
      </c>
      <c r="F1746" s="3" t="s">
        <v>1319</v>
      </c>
      <c r="G1746" s="3">
        <v>57915</v>
      </c>
      <c r="H1746" s="7" t="str">
        <f>HYPERLINK("http://www.ensembl.org/Mus_musculus/Gene/Summary?db=core;g=ENSMUSG00000029174","ENSMUSG00000029174")</f>
        <v>ENSMUSG00000029174</v>
      </c>
      <c r="I1746" s="7" t="str">
        <f>HYPERLINK("http://www.informatics.jax.org/marker/MGI:1889508","MGI:1889508")</f>
        <v>MGI:1889508</v>
      </c>
      <c r="J1746" s="4" t="s">
        <v>12</v>
      </c>
    </row>
    <row r="1747" spans="1:10" x14ac:dyDescent="0.25">
      <c r="A1747" s="2">
        <v>272.59527296689703</v>
      </c>
      <c r="B1747" s="3">
        <v>0.80352751496915997</v>
      </c>
      <c r="C1747" s="5">
        <v>4.6802365651713697E-19</v>
      </c>
      <c r="D1747" s="6">
        <v>4.4608151312314803E-18</v>
      </c>
      <c r="E1747" s="3" t="s">
        <v>4155</v>
      </c>
      <c r="F1747" s="3" t="s">
        <v>4156</v>
      </c>
      <c r="G1747" s="3" t="s">
        <v>83</v>
      </c>
      <c r="H1747" s="7" t="str">
        <f>HYPERLINK("http://www.ensembl.org/Mus_musculus/Gene/Summary?db=core;g=ENSMUSG00000094439","ENSMUSG00000094439")</f>
        <v>ENSMUSG00000094439</v>
      </c>
      <c r="I1747" s="7" t="str">
        <f>HYPERLINK("http://www.informatics.jax.org/marker/MGI:5439438","MGI:5439438")</f>
        <v>MGI:5439438</v>
      </c>
      <c r="J1747" s="4" t="s">
        <v>12</v>
      </c>
    </row>
    <row r="1748" spans="1:10" x14ac:dyDescent="0.25">
      <c r="A1748" s="2">
        <v>846.82617665851501</v>
      </c>
      <c r="B1748" s="3">
        <v>0.80311941868556203</v>
      </c>
      <c r="C1748" s="3">
        <v>1.8042956965965201E-4</v>
      </c>
      <c r="D1748" s="4">
        <v>5.8840269781516895E-4</v>
      </c>
      <c r="E1748" s="3" t="s">
        <v>12105</v>
      </c>
      <c r="F1748" s="3" t="s">
        <v>12106</v>
      </c>
      <c r="G1748" s="3">
        <v>20612</v>
      </c>
      <c r="H1748" s="7" t="str">
        <f>HYPERLINK("http://www.ensembl.org/Mus_musculus/Gene/Summary?db=core;g=ENSMUSG00000027322","ENSMUSG00000027322")</f>
        <v>ENSMUSG00000027322</v>
      </c>
      <c r="I1748" s="7" t="str">
        <f>HYPERLINK("http://www.informatics.jax.org/marker/MGI:99668","MGI:99668")</f>
        <v>MGI:99668</v>
      </c>
      <c r="J1748" s="4" t="s">
        <v>12</v>
      </c>
    </row>
    <row r="1749" spans="1:10" x14ac:dyDescent="0.25">
      <c r="A1749" s="2">
        <v>23.040669007166901</v>
      </c>
      <c r="B1749" s="3">
        <v>0.80251482284684295</v>
      </c>
      <c r="C1749" s="3">
        <v>3.7105339250006301E-3</v>
      </c>
      <c r="D1749" s="4">
        <v>1.00441632122186E-2</v>
      </c>
      <c r="E1749" s="3" t="s">
        <v>14573</v>
      </c>
      <c r="F1749" s="3" t="s">
        <v>14574</v>
      </c>
      <c r="G1749" s="3">
        <v>27404</v>
      </c>
      <c r="H1749" s="7" t="str">
        <f>HYPERLINK("http://www.ensembl.org/Mus_musculus/Gene/Summary?db=core;g=ENSMUSG00000020620","ENSMUSG00000020620")</f>
        <v>ENSMUSG00000020620</v>
      </c>
      <c r="I1749" s="7" t="str">
        <f>HYPERLINK("http://www.informatics.jax.org/marker/MGI:1351668","MGI:1351668")</f>
        <v>MGI:1351668</v>
      </c>
      <c r="J1749" s="4" t="s">
        <v>12</v>
      </c>
    </row>
    <row r="1750" spans="1:10" x14ac:dyDescent="0.25">
      <c r="A1750" s="2">
        <v>4253.6925097133599</v>
      </c>
      <c r="B1750" s="3">
        <v>0.80249452600856097</v>
      </c>
      <c r="C1750" s="5">
        <v>9.35127531704812E-37</v>
      </c>
      <c r="D1750" s="6">
        <v>1.72504349160139E-35</v>
      </c>
      <c r="E1750" s="3" t="s">
        <v>2155</v>
      </c>
      <c r="F1750" s="3" t="s">
        <v>2156</v>
      </c>
      <c r="G1750" s="3">
        <v>20430</v>
      </c>
      <c r="H1750" s="7" t="str">
        <f>HYPERLINK("http://www.ensembl.org/Mus_musculus/Gene/Summary?db=core;g=ENSMUSG00000030447","ENSMUSG00000030447")</f>
        <v>ENSMUSG00000030447</v>
      </c>
      <c r="I1750" s="7" t="str">
        <f>HYPERLINK("http://www.informatics.jax.org/marker/MGI:1338801","MGI:1338801")</f>
        <v>MGI:1338801</v>
      </c>
      <c r="J1750" s="4" t="s">
        <v>12</v>
      </c>
    </row>
    <row r="1751" spans="1:10" x14ac:dyDescent="0.25">
      <c r="A1751" s="2">
        <v>274.24838188393699</v>
      </c>
      <c r="B1751" s="3">
        <v>0.80216856950141602</v>
      </c>
      <c r="C1751" s="5">
        <v>5.5054967613398802E-24</v>
      </c>
      <c r="D1751" s="6">
        <v>6.45856015072115E-23</v>
      </c>
      <c r="E1751" s="3" t="s">
        <v>3380</v>
      </c>
      <c r="F1751" s="3" t="s">
        <v>3381</v>
      </c>
      <c r="G1751" s="3">
        <v>73373</v>
      </c>
      <c r="H1751" s="7" t="str">
        <f>HYPERLINK("http://www.ensembl.org/Mus_musculus/Gene/Summary?db=core;g=ENSMUSG00000027088","ENSMUSG00000027088")</f>
        <v>ENSMUSG00000027088</v>
      </c>
      <c r="I1751" s="7" t="str">
        <f>HYPERLINK("http://www.informatics.jax.org/marker/MGI:1920623","MGI:1920623")</f>
        <v>MGI:1920623</v>
      </c>
      <c r="J1751" s="4" t="s">
        <v>12</v>
      </c>
    </row>
    <row r="1752" spans="1:10" x14ac:dyDescent="0.25">
      <c r="A1752" s="2">
        <v>10.434976453341999</v>
      </c>
      <c r="B1752" s="3">
        <v>0.79933233222838695</v>
      </c>
      <c r="C1752" s="3">
        <v>1.6448382457141801E-2</v>
      </c>
      <c r="D1752" s="4">
        <v>3.9122525918307997E-2</v>
      </c>
      <c r="E1752" s="3" t="s">
        <v>16584</v>
      </c>
      <c r="F1752" s="3" t="s">
        <v>16585</v>
      </c>
      <c r="G1752" s="3">
        <v>75750</v>
      </c>
      <c r="H1752" s="7" t="str">
        <f>HYPERLINK("http://www.ensembl.org/Mus_musculus/Gene/Summary?db=core;g=ENSMUSG00000029321","ENSMUSG00000029321")</f>
        <v>ENSMUSG00000029321</v>
      </c>
      <c r="I1752" s="7" t="str">
        <f>HYPERLINK("http://www.informatics.jax.org/marker/MGI:1923000","MGI:1923000")</f>
        <v>MGI:1923000</v>
      </c>
      <c r="J1752" s="4" t="s">
        <v>12</v>
      </c>
    </row>
    <row r="1753" spans="1:10" x14ac:dyDescent="0.25">
      <c r="A1753" s="2">
        <v>767.90441021806498</v>
      </c>
      <c r="B1753" s="3">
        <v>0.79788802156781602</v>
      </c>
      <c r="C1753" s="5">
        <v>5.8064152144809302E-13</v>
      </c>
      <c r="D1753" s="6">
        <v>3.9442820540669601E-12</v>
      </c>
      <c r="E1753" s="3" t="s">
        <v>5823</v>
      </c>
      <c r="F1753" s="3" t="s">
        <v>5824</v>
      </c>
      <c r="G1753" s="3">
        <v>16210</v>
      </c>
      <c r="H1753" s="7" t="str">
        <f>HYPERLINK("http://www.ensembl.org/Mus_musculus/Gene/Summary?db=core;g=ENSMUSG00000024423","ENSMUSG00000024423")</f>
        <v>ENSMUSG00000024423</v>
      </c>
      <c r="I1753" s="7" t="str">
        <f>HYPERLINK("http://www.informatics.jax.org/marker/MGI:1098233","MGI:1098233")</f>
        <v>MGI:1098233</v>
      </c>
      <c r="J1753" s="4" t="s">
        <v>12</v>
      </c>
    </row>
    <row r="1754" spans="1:10" x14ac:dyDescent="0.25">
      <c r="A1754" s="2">
        <v>68773.127476534006</v>
      </c>
      <c r="B1754" s="3">
        <v>0.79780930428764396</v>
      </c>
      <c r="C1754" s="5">
        <v>2.6092591337382901E-22</v>
      </c>
      <c r="D1754" s="6">
        <v>2.8761649031480702E-21</v>
      </c>
      <c r="E1754" s="3" t="s">
        <v>3596</v>
      </c>
      <c r="F1754" s="3" t="s">
        <v>3597</v>
      </c>
      <c r="G1754" s="3">
        <v>11461</v>
      </c>
      <c r="H1754" s="7" t="str">
        <f>HYPERLINK("http://www.ensembl.org/Mus_musculus/Gene/Summary?db=core;g=ENSMUSG00000029580","ENSMUSG00000029580")</f>
        <v>ENSMUSG00000029580</v>
      </c>
      <c r="I1754" s="7" t="str">
        <f>HYPERLINK("http://www.informatics.jax.org/marker/MGI:87904","MGI:87904")</f>
        <v>MGI:87904</v>
      </c>
      <c r="J1754" s="4" t="s">
        <v>12</v>
      </c>
    </row>
    <row r="1755" spans="1:10" x14ac:dyDescent="0.25">
      <c r="A1755" s="2">
        <v>309.89420713405599</v>
      </c>
      <c r="B1755" s="3">
        <v>0.79508918376290005</v>
      </c>
      <c r="C1755" s="5">
        <v>1.47394597432936E-12</v>
      </c>
      <c r="D1755" s="6">
        <v>9.7800183761019702E-12</v>
      </c>
      <c r="E1755" s="3" t="s">
        <v>5961</v>
      </c>
      <c r="F1755" s="3" t="s">
        <v>5962</v>
      </c>
      <c r="G1755" s="3">
        <v>27279</v>
      </c>
      <c r="H1755" s="7" t="str">
        <f>HYPERLINK("http://www.ensembl.org/Mus_musculus/Gene/Summary?db=core;g=ENSMUSG00000023905","ENSMUSG00000023905")</f>
        <v>ENSMUSG00000023905</v>
      </c>
      <c r="I1755" s="7" t="str">
        <f>HYPERLINK("http://www.informatics.jax.org/marker/MGI:1351484","MGI:1351484")</f>
        <v>MGI:1351484</v>
      </c>
      <c r="J1755" s="4" t="s">
        <v>12</v>
      </c>
    </row>
    <row r="1756" spans="1:10" x14ac:dyDescent="0.25">
      <c r="A1756" s="2">
        <v>1128.47524925469</v>
      </c>
      <c r="B1756" s="3">
        <v>0.79434660509805799</v>
      </c>
      <c r="C1756" s="5">
        <v>1.18146891460154E-51</v>
      </c>
      <c r="D1756" s="6">
        <v>3.30945553919636E-50</v>
      </c>
      <c r="E1756" s="3" t="s">
        <v>1424</v>
      </c>
      <c r="F1756" s="3" t="s">
        <v>1425</v>
      </c>
      <c r="G1756" s="3">
        <v>11544</v>
      </c>
      <c r="H1756" s="7" t="str">
        <f>HYPERLINK("http://www.ensembl.org/Mus_musculus/Gene/Summary?db=core;g=ENSMUSG00000002844","ENSMUSG00000002844")</f>
        <v>ENSMUSG00000002844</v>
      </c>
      <c r="I1756" s="7" t="str">
        <f>HYPERLINK("http://www.informatics.jax.org/marker/MGI:1098234","MGI:1098234")</f>
        <v>MGI:1098234</v>
      </c>
      <c r="J1756" s="4" t="s">
        <v>12</v>
      </c>
    </row>
    <row r="1757" spans="1:10" x14ac:dyDescent="0.25">
      <c r="A1757" s="2">
        <v>1925.6101690328801</v>
      </c>
      <c r="B1757" s="3">
        <v>0.79379564577953998</v>
      </c>
      <c r="C1757" s="5">
        <v>3.2615964795271799E-23</v>
      </c>
      <c r="D1757" s="6">
        <v>3.7199932085758298E-22</v>
      </c>
      <c r="E1757" s="3" t="s">
        <v>3476</v>
      </c>
      <c r="F1757" s="3" t="s">
        <v>3477</v>
      </c>
      <c r="G1757" s="3">
        <v>17876</v>
      </c>
      <c r="H1757" s="7" t="str">
        <f>HYPERLINK("http://www.ensembl.org/Mus_musculus/Gene/Summary?db=core;g=ENSMUSG00000027201","ENSMUSG00000027201")</f>
        <v>ENSMUSG00000027201</v>
      </c>
      <c r="I1757" s="7" t="str">
        <f>HYPERLINK("http://www.informatics.jax.org/marker/MGI:104592","MGI:104592")</f>
        <v>MGI:104592</v>
      </c>
      <c r="J1757" s="4" t="s">
        <v>12</v>
      </c>
    </row>
    <row r="1758" spans="1:10" x14ac:dyDescent="0.25">
      <c r="A1758" s="2">
        <v>154.72970242892899</v>
      </c>
      <c r="B1758" s="3">
        <v>0.79324734344810599</v>
      </c>
      <c r="C1758" s="5">
        <v>9.6988966565277992E-15</v>
      </c>
      <c r="D1758" s="6">
        <v>7.3534118441648694E-14</v>
      </c>
      <c r="E1758" s="3" t="s">
        <v>5219</v>
      </c>
      <c r="F1758" s="3" t="s">
        <v>5220</v>
      </c>
      <c r="G1758" s="3">
        <v>666468</v>
      </c>
      <c r="H1758" s="7" t="str">
        <f>HYPERLINK("http://www.ensembl.org/Mus_musculus/Gene/Summary?db=core;g=ENSMUSG00000079418","ENSMUSG00000079418")</f>
        <v>ENSMUSG00000079418</v>
      </c>
      <c r="I1758" s="7" t="str">
        <f>HYPERLINK("http://www.informatics.jax.org/marker/MGI:2147903","MGI:2147903")</f>
        <v>MGI:2147903</v>
      </c>
      <c r="J1758" s="4" t="s">
        <v>12</v>
      </c>
    </row>
    <row r="1759" spans="1:10" x14ac:dyDescent="0.25">
      <c r="A1759" s="2">
        <v>16.441856743224299</v>
      </c>
      <c r="B1759" s="3">
        <v>0.79218348671888505</v>
      </c>
      <c r="C1759" s="3">
        <v>3.6728065171441602E-3</v>
      </c>
      <c r="D1759" s="4">
        <v>9.9474995904522499E-3</v>
      </c>
      <c r="E1759" s="3" t="s">
        <v>14565</v>
      </c>
      <c r="F1759" s="3" t="s">
        <v>14566</v>
      </c>
      <c r="G1759" s="3">
        <v>320225</v>
      </c>
      <c r="H1759" s="7" t="str">
        <f>HYPERLINK("http://www.ensembl.org/Mus_musculus/Gene/Summary?db=core;g=ENSMUSG00000049676","ENSMUSG00000049676")</f>
        <v>ENSMUSG00000049676</v>
      </c>
      <c r="I1759" s="7" t="str">
        <f>HYPERLINK("http://www.informatics.jax.org/marker/MGI:2443617","MGI:2443617")</f>
        <v>MGI:2443617</v>
      </c>
      <c r="J1759" s="4" t="s">
        <v>12</v>
      </c>
    </row>
    <row r="1760" spans="1:10" x14ac:dyDescent="0.25">
      <c r="A1760" s="2">
        <v>515.68585908525597</v>
      </c>
      <c r="B1760" s="3">
        <v>0.792140401612488</v>
      </c>
      <c r="C1760" s="5">
        <v>6.7768888490779299E-25</v>
      </c>
      <c r="D1760" s="6">
        <v>8.2088604486373904E-24</v>
      </c>
      <c r="E1760" s="3" t="s">
        <v>3276</v>
      </c>
      <c r="F1760" s="3" t="s">
        <v>3277</v>
      </c>
      <c r="G1760" s="3">
        <v>381269</v>
      </c>
      <c r="H1760" s="7" t="str">
        <f>HYPERLINK("http://www.ensembl.org/Mus_musculus/Gene/Summary?db=core;g=ENSMUSG00000039395","ENSMUSG00000039395")</f>
        <v>ENSMUSG00000039395</v>
      </c>
      <c r="I1760" s="7" t="str">
        <f>HYPERLINK("http://www.informatics.jax.org/marker/MGI:2151839","MGI:2151839")</f>
        <v>MGI:2151839</v>
      </c>
      <c r="J1760" s="4" t="s">
        <v>12</v>
      </c>
    </row>
    <row r="1761" spans="1:10" x14ac:dyDescent="0.25">
      <c r="A1761" s="2">
        <v>1027.2297998638901</v>
      </c>
      <c r="B1761" s="3">
        <v>0.79197484918403904</v>
      </c>
      <c r="C1761" s="5">
        <v>1.2237791889824E-29</v>
      </c>
      <c r="D1761" s="6">
        <v>1.77971427778266E-28</v>
      </c>
      <c r="E1761" s="3" t="s">
        <v>2730</v>
      </c>
      <c r="F1761" s="3" t="s">
        <v>2731</v>
      </c>
      <c r="G1761" s="3">
        <v>21815</v>
      </c>
      <c r="H1761" s="7" t="str">
        <f>HYPERLINK("http://www.ensembl.org/Mus_musculus/Gene/Summary?db=core;g=ENSMUSG00000047407","ENSMUSG00000047407")</f>
        <v>ENSMUSG00000047407</v>
      </c>
      <c r="I1761" s="7" t="str">
        <f>HYPERLINK("http://www.informatics.jax.org/marker/MGI:1194497","MGI:1194497")</f>
        <v>MGI:1194497</v>
      </c>
      <c r="J1761" s="4" t="s">
        <v>12</v>
      </c>
    </row>
    <row r="1762" spans="1:10" x14ac:dyDescent="0.25">
      <c r="A1762" s="2">
        <v>2887.1365140020798</v>
      </c>
      <c r="B1762" s="3">
        <v>0.79139637776128202</v>
      </c>
      <c r="C1762" s="5">
        <v>4.5319971571099596E-44</v>
      </c>
      <c r="D1762" s="6">
        <v>1.03319056575963E-42</v>
      </c>
      <c r="E1762" s="3" t="s">
        <v>1746</v>
      </c>
      <c r="F1762" s="3" t="s">
        <v>1747</v>
      </c>
      <c r="G1762" s="3">
        <v>109754</v>
      </c>
      <c r="H1762" s="7" t="str">
        <f>HYPERLINK("http://www.ensembl.org/Mus_musculus/Gene/Summary?db=core;g=ENSMUSG00000018042","ENSMUSG00000018042")</f>
        <v>ENSMUSG00000018042</v>
      </c>
      <c r="I1762" s="7" t="str">
        <f>HYPERLINK("http://www.informatics.jax.org/marker/MGI:94893","MGI:94893")</f>
        <v>MGI:94893</v>
      </c>
      <c r="J1762" s="4" t="s">
        <v>12</v>
      </c>
    </row>
    <row r="1763" spans="1:10" x14ac:dyDescent="0.25">
      <c r="A1763" s="2">
        <v>548.43797504832503</v>
      </c>
      <c r="B1763" s="3">
        <v>0.791392081387152</v>
      </c>
      <c r="C1763" s="5">
        <v>2.8378081501141601E-29</v>
      </c>
      <c r="D1763" s="6">
        <v>4.0877703959277798E-28</v>
      </c>
      <c r="E1763" s="3" t="s">
        <v>2756</v>
      </c>
      <c r="F1763" s="3" t="s">
        <v>2757</v>
      </c>
      <c r="G1763" s="3">
        <v>320119</v>
      </c>
      <c r="H1763" s="7" t="str">
        <f>HYPERLINK("http://www.ensembl.org/Mus_musculus/Gene/Summary?db=core;g=ENSMUSG00000089872","ENSMUSG00000089872")</f>
        <v>ENSMUSG00000089872</v>
      </c>
      <c r="I1763" s="7" t="str">
        <f>HYPERLINK("http://www.informatics.jax.org/marker/MGI:2443419","MGI:2443419")</f>
        <v>MGI:2443419</v>
      </c>
      <c r="J1763" s="4" t="s">
        <v>12</v>
      </c>
    </row>
    <row r="1764" spans="1:10" x14ac:dyDescent="0.25">
      <c r="A1764" s="2">
        <v>1197.9543924116099</v>
      </c>
      <c r="B1764" s="3">
        <v>0.79115868020589597</v>
      </c>
      <c r="C1764" s="5">
        <v>3.4560351319567499E-28</v>
      </c>
      <c r="D1764" s="6">
        <v>4.76261445158541E-27</v>
      </c>
      <c r="E1764" s="3" t="s">
        <v>2880</v>
      </c>
      <c r="F1764" s="3" t="s">
        <v>2881</v>
      </c>
      <c r="G1764" s="3">
        <v>22003</v>
      </c>
      <c r="H1764" s="7" t="str">
        <f>HYPERLINK("http://www.ensembl.org/Mus_musculus/Gene/Summary?db=core;g=ENSMUSG00000032366","ENSMUSG00000032366")</f>
        <v>ENSMUSG00000032366</v>
      </c>
      <c r="I1764" s="7" t="str">
        <f>HYPERLINK("http://www.informatics.jax.org/marker/MGI:98809","MGI:98809")</f>
        <v>MGI:98809</v>
      </c>
      <c r="J1764" s="4" t="s">
        <v>12</v>
      </c>
    </row>
    <row r="1765" spans="1:10" x14ac:dyDescent="0.25">
      <c r="A1765" s="2">
        <v>1826.53011701077</v>
      </c>
      <c r="B1765" s="3">
        <v>0.79057162979717299</v>
      </c>
      <c r="C1765" s="5">
        <v>3.5621440141723E-37</v>
      </c>
      <c r="D1765" s="6">
        <v>6.6709857511375004E-36</v>
      </c>
      <c r="E1765" s="3" t="s">
        <v>2123</v>
      </c>
      <c r="F1765" s="3" t="s">
        <v>2124</v>
      </c>
      <c r="G1765" s="3">
        <v>66998</v>
      </c>
      <c r="H1765" s="7" t="str">
        <f>HYPERLINK("http://www.ensembl.org/Mus_musculus/Gene/Summary?db=core;g=ENSMUSG00000026869","ENSMUSG00000026869")</f>
        <v>ENSMUSG00000026869</v>
      </c>
      <c r="I1765" s="7" t="str">
        <f>HYPERLINK("http://www.informatics.jax.org/marker/MGI:1914248","MGI:1914248")</f>
        <v>MGI:1914248</v>
      </c>
      <c r="J1765" s="4" t="s">
        <v>12</v>
      </c>
    </row>
    <row r="1766" spans="1:10" x14ac:dyDescent="0.25">
      <c r="A1766" s="2">
        <v>1007.42747488823</v>
      </c>
      <c r="B1766" s="3">
        <v>0.79013669413670895</v>
      </c>
      <c r="C1766" s="5">
        <v>1.2930686055152799E-8</v>
      </c>
      <c r="D1766" s="6">
        <v>6.3494305031776197E-8</v>
      </c>
      <c r="E1766" s="3" t="s">
        <v>8049</v>
      </c>
      <c r="F1766" s="3" t="s">
        <v>8050</v>
      </c>
      <c r="G1766" s="3">
        <v>22330</v>
      </c>
      <c r="H1766" s="7" t="str">
        <f>HYPERLINK("http://www.ensembl.org/Mus_musculus/Gene/Summary?db=core;g=ENSMUSG00000021823","ENSMUSG00000021823")</f>
        <v>ENSMUSG00000021823</v>
      </c>
      <c r="I1766" s="7" t="str">
        <f>HYPERLINK("http://www.informatics.jax.org/marker/MGI:98927","MGI:98927")</f>
        <v>MGI:98927</v>
      </c>
      <c r="J1766" s="4" t="s">
        <v>12</v>
      </c>
    </row>
    <row r="1767" spans="1:10" x14ac:dyDescent="0.25">
      <c r="A1767" s="2">
        <v>1736.1496942014501</v>
      </c>
      <c r="B1767" s="3">
        <v>0.79003882229654498</v>
      </c>
      <c r="C1767" s="5">
        <v>3.0453040212021301E-42</v>
      </c>
      <c r="D1767" s="6">
        <v>6.6211020174317597E-41</v>
      </c>
      <c r="E1767" s="3" t="s">
        <v>1831</v>
      </c>
      <c r="F1767" s="3" t="s">
        <v>1832</v>
      </c>
      <c r="G1767" s="3" t="s">
        <v>83</v>
      </c>
      <c r="H1767" s="7" t="str">
        <f>HYPERLINK("http://www.ensembl.org/Mus_musculus/Gene/Summary?db=core;g=ENSMUSG00000089739","ENSMUSG00000089739")</f>
        <v>ENSMUSG00000089739</v>
      </c>
      <c r="I1767" s="7" t="str">
        <f>HYPERLINK("http://www.informatics.jax.org/marker/MGI:5141896","MGI:5141896")</f>
        <v>MGI:5141896</v>
      </c>
      <c r="J1767" s="4" t="s">
        <v>12</v>
      </c>
    </row>
    <row r="1768" spans="1:10" x14ac:dyDescent="0.25">
      <c r="A1768" s="2">
        <v>509.84069743814098</v>
      </c>
      <c r="B1768" s="3">
        <v>0.78908933722364905</v>
      </c>
      <c r="C1768" s="5">
        <v>1.3080980129961901E-22</v>
      </c>
      <c r="D1768" s="6">
        <v>1.45955558466263E-21</v>
      </c>
      <c r="E1768" s="3" t="s">
        <v>3552</v>
      </c>
      <c r="F1768" s="3" t="s">
        <v>3553</v>
      </c>
      <c r="G1768" s="3" t="s">
        <v>83</v>
      </c>
      <c r="H1768" s="7" t="str">
        <f>HYPERLINK("http://www.ensembl.org/Mus_musculus/Gene/Summary?db=core;g=ENSMUSG00000095464","ENSMUSG00000095464")</f>
        <v>ENSMUSG00000095464</v>
      </c>
      <c r="I1768" s="7" t="str">
        <f>HYPERLINK("http://www.informatics.jax.org/marker/MGI:5439456","MGI:5439456")</f>
        <v>MGI:5439456</v>
      </c>
      <c r="J1768" s="4" t="s">
        <v>12</v>
      </c>
    </row>
    <row r="1769" spans="1:10" x14ac:dyDescent="0.25">
      <c r="A1769" s="2">
        <v>636.09762790264404</v>
      </c>
      <c r="B1769" s="3">
        <v>0.78868936770727205</v>
      </c>
      <c r="C1769" s="5">
        <v>3.7017501501162997E-11</v>
      </c>
      <c r="D1769" s="6">
        <v>2.2248861005880299E-10</v>
      </c>
      <c r="E1769" s="3" t="s">
        <v>6579</v>
      </c>
      <c r="F1769" s="3" t="s">
        <v>6580</v>
      </c>
      <c r="G1769" s="3">
        <v>56055</v>
      </c>
      <c r="H1769" s="7" t="str">
        <f>HYPERLINK("http://www.ensembl.org/Mus_musculus/Gene/Summary?db=core;g=ENSMUSG00000023952","ENSMUSG00000023952")</f>
        <v>ENSMUSG00000023952</v>
      </c>
      <c r="I1769" s="7" t="str">
        <f>HYPERLINK("http://www.informatics.jax.org/marker/MGI:1860138","MGI:1860138")</f>
        <v>MGI:1860138</v>
      </c>
      <c r="J1769" s="4" t="s">
        <v>12</v>
      </c>
    </row>
    <row r="1770" spans="1:10" x14ac:dyDescent="0.25">
      <c r="A1770" s="2">
        <v>61.564321411149002</v>
      </c>
      <c r="B1770" s="3">
        <v>0.78840968999282401</v>
      </c>
      <c r="C1770" s="5">
        <v>3.1655849693017202E-8</v>
      </c>
      <c r="D1770" s="6">
        <v>1.4973695273358101E-7</v>
      </c>
      <c r="E1770" s="3" t="s">
        <v>8355</v>
      </c>
      <c r="F1770" s="3" t="s">
        <v>8356</v>
      </c>
      <c r="G1770" s="3">
        <v>20130</v>
      </c>
      <c r="H1770" s="7" t="str">
        <f>HYPERLINK("http://www.ensembl.org/Mus_musculus/Gene/Summary?db=core;g=ENSMUSG00000038387","ENSMUSG00000038387")</f>
        <v>ENSMUSG00000038387</v>
      </c>
      <c r="I1770" s="7" t="str">
        <f>HYPERLINK("http://www.informatics.jax.org/marker/MGI:98179","MGI:98179")</f>
        <v>MGI:98179</v>
      </c>
      <c r="J1770" s="4" t="s">
        <v>12</v>
      </c>
    </row>
    <row r="1771" spans="1:10" x14ac:dyDescent="0.25">
      <c r="A1771" s="2">
        <v>425.88325938364801</v>
      </c>
      <c r="B1771" s="3">
        <v>0.78831832433758897</v>
      </c>
      <c r="C1771" s="5">
        <v>2.2186833898967501E-19</v>
      </c>
      <c r="D1771" s="6">
        <v>2.1426266625251599E-18</v>
      </c>
      <c r="E1771" s="3" t="s">
        <v>4101</v>
      </c>
      <c r="F1771" s="3" t="s">
        <v>4102</v>
      </c>
      <c r="G1771" s="3">
        <v>233877</v>
      </c>
      <c r="H1771" s="7" t="str">
        <f>HYPERLINK("http://www.ensembl.org/Mus_musculus/Gene/Summary?db=core;g=ENSMUSG00000030685","ENSMUSG00000030685")</f>
        <v>ENSMUSG00000030685</v>
      </c>
      <c r="I1771" s="7" t="str">
        <f>HYPERLINK("http://www.informatics.jax.org/marker/MGI:1923739","MGI:1923739")</f>
        <v>MGI:1923739</v>
      </c>
      <c r="J1771" s="4" t="s">
        <v>12</v>
      </c>
    </row>
    <row r="1772" spans="1:10" x14ac:dyDescent="0.25">
      <c r="A1772" s="2">
        <v>439.75074807278702</v>
      </c>
      <c r="B1772" s="3">
        <v>0.78827424406626301</v>
      </c>
      <c r="C1772" s="5">
        <v>9.7601513839458099E-27</v>
      </c>
      <c r="D1772" s="6">
        <v>1.2763274886698399E-25</v>
      </c>
      <c r="E1772" s="3" t="s">
        <v>3034</v>
      </c>
      <c r="F1772" s="3" t="s">
        <v>3035</v>
      </c>
      <c r="G1772" s="3">
        <v>231999</v>
      </c>
      <c r="H1772" s="7" t="str">
        <f>HYPERLINK("http://www.ensembl.org/Mus_musculus/Gene/Summary?db=core;g=ENSMUSG00000005225","ENSMUSG00000005225")</f>
        <v>ENSMUSG00000005225</v>
      </c>
      <c r="I1772" s="7" t="str">
        <f>HYPERLINK("http://www.informatics.jax.org/marker/MGI:2681164","MGI:2681164")</f>
        <v>MGI:2681164</v>
      </c>
      <c r="J1772" s="4" t="s">
        <v>12</v>
      </c>
    </row>
    <row r="1773" spans="1:10" x14ac:dyDescent="0.25">
      <c r="A1773" s="2">
        <v>1183.8145452107401</v>
      </c>
      <c r="B1773" s="3">
        <v>0.78538858992235105</v>
      </c>
      <c r="C1773" s="5">
        <v>7.5286817699737696E-29</v>
      </c>
      <c r="D1773" s="6">
        <v>1.0680978741286499E-27</v>
      </c>
      <c r="E1773" s="3" t="s">
        <v>2798</v>
      </c>
      <c r="F1773" s="3" t="s">
        <v>2799</v>
      </c>
      <c r="G1773" s="3">
        <v>231147</v>
      </c>
      <c r="H1773" s="7" t="str">
        <f>HYPERLINK("http://www.ensembl.org/Mus_musculus/Gene/Summary?db=core;g=ENSMUSG00000036553","ENSMUSG00000036553")</f>
        <v>ENSMUSG00000036553</v>
      </c>
      <c r="I1773" s="7" t="str">
        <f>HYPERLINK("http://www.informatics.jax.org/marker/MGI:2678949","MGI:2678949")</f>
        <v>MGI:2678949</v>
      </c>
      <c r="J1773" s="4" t="s">
        <v>12</v>
      </c>
    </row>
    <row r="1774" spans="1:10" x14ac:dyDescent="0.25">
      <c r="A1774" s="2">
        <v>1751.0116017227399</v>
      </c>
      <c r="B1774" s="3">
        <v>0.78418929544386895</v>
      </c>
      <c r="C1774" s="5">
        <v>5.2939842694682403E-25</v>
      </c>
      <c r="D1774" s="6">
        <v>6.4442820860440598E-24</v>
      </c>
      <c r="E1774" s="3" t="s">
        <v>3260</v>
      </c>
      <c r="F1774" s="3" t="s">
        <v>3261</v>
      </c>
      <c r="G1774" s="3">
        <v>71701</v>
      </c>
      <c r="H1774" s="7" t="str">
        <f>HYPERLINK("http://www.ensembl.org/Mus_musculus/Gene/Summary?db=core;g=ENSMUSG00000020464","ENSMUSG00000020464")</f>
        <v>ENSMUSG00000020464</v>
      </c>
      <c r="I1774" s="7" t="str">
        <f>HYPERLINK("http://www.informatics.jax.org/marker/MGI:1918951","MGI:1918951")</f>
        <v>MGI:1918951</v>
      </c>
      <c r="J1774" s="4" t="s">
        <v>12</v>
      </c>
    </row>
    <row r="1775" spans="1:10" x14ac:dyDescent="0.25">
      <c r="A1775" s="2">
        <v>81.645443705105507</v>
      </c>
      <c r="B1775" s="3">
        <v>0.78392628544224496</v>
      </c>
      <c r="C1775" s="5">
        <v>6.4034091565661998E-8</v>
      </c>
      <c r="D1775" s="6">
        <v>2.9471727656858601E-7</v>
      </c>
      <c r="E1775" s="3" t="s">
        <v>8585</v>
      </c>
      <c r="F1775" s="3" t="s">
        <v>8586</v>
      </c>
      <c r="G1775" s="3">
        <v>17087</v>
      </c>
      <c r="H1775" s="7" t="str">
        <f>HYPERLINK("http://www.ensembl.org/Mus_musculus/Gene/Summary?db=core;g=ENSMUSG00000025779","ENSMUSG00000025779")</f>
        <v>ENSMUSG00000025779</v>
      </c>
      <c r="I1775" s="7" t="str">
        <f>HYPERLINK("http://www.informatics.jax.org/marker/MGI:1341909","MGI:1341909")</f>
        <v>MGI:1341909</v>
      </c>
      <c r="J1775" s="4" t="s">
        <v>12</v>
      </c>
    </row>
    <row r="1776" spans="1:10" x14ac:dyDescent="0.25">
      <c r="A1776" s="2">
        <v>21.7391805439682</v>
      </c>
      <c r="B1776" s="3">
        <v>0.78301666817340698</v>
      </c>
      <c r="C1776" s="3">
        <v>1.0339281593698299E-2</v>
      </c>
      <c r="D1776" s="4">
        <v>2.5649846902469499E-2</v>
      </c>
      <c r="E1776" s="3" t="s">
        <v>15901</v>
      </c>
      <c r="F1776" s="3" t="s">
        <v>15902</v>
      </c>
      <c r="G1776" s="3" t="s">
        <v>83</v>
      </c>
      <c r="H1776" s="7" t="str">
        <f>HYPERLINK("http://www.ensembl.org/Mus_musculus/Gene/Summary?db=core;g=ENSMUSG00000096960","ENSMUSG00000096960")</f>
        <v>ENSMUSG00000096960</v>
      </c>
      <c r="I1776" s="7" t="str">
        <f>HYPERLINK("http://www.informatics.jax.org/marker/MGI:2442126","MGI:2442126")</f>
        <v>MGI:2442126</v>
      </c>
      <c r="J1776" s="4" t="s">
        <v>939</v>
      </c>
    </row>
    <row r="1777" spans="1:10" x14ac:dyDescent="0.25">
      <c r="A1777" s="2">
        <v>411.59596679418598</v>
      </c>
      <c r="B1777" s="3">
        <v>0.78241824804462001</v>
      </c>
      <c r="C1777" s="5">
        <v>3.8920700356596202E-21</v>
      </c>
      <c r="D1777" s="6">
        <v>4.0374340401477003E-20</v>
      </c>
      <c r="E1777" s="3" t="s">
        <v>3820</v>
      </c>
      <c r="F1777" s="3" t="s">
        <v>3821</v>
      </c>
      <c r="G1777" s="3">
        <v>74198</v>
      </c>
      <c r="H1777" s="7" t="str">
        <f>HYPERLINK("http://www.ensembl.org/Mus_musculus/Gene/Summary?db=core;g=ENSMUSG00000004947","ENSMUSG00000004947")</f>
        <v>ENSMUSG00000004947</v>
      </c>
      <c r="I1777" s="7" t="str">
        <f>HYPERLINK("http://www.informatics.jax.org/marker/MGI:1921448","MGI:1921448")</f>
        <v>MGI:1921448</v>
      </c>
      <c r="J1777" s="4" t="s">
        <v>12</v>
      </c>
    </row>
    <row r="1778" spans="1:10" x14ac:dyDescent="0.25">
      <c r="A1778" s="2">
        <v>5914.8214110178997</v>
      </c>
      <c r="B1778" s="3">
        <v>0.78234175187380695</v>
      </c>
      <c r="C1778" s="5">
        <v>3.55608501840635E-40</v>
      </c>
      <c r="D1778" s="6">
        <v>7.2744809712627796E-39</v>
      </c>
      <c r="E1778" s="3" t="s">
        <v>1945</v>
      </c>
      <c r="F1778" s="3" t="s">
        <v>1946</v>
      </c>
      <c r="G1778" s="3">
        <v>74117</v>
      </c>
      <c r="H1778" s="7" t="str">
        <f>HYPERLINK("http://www.ensembl.org/Mus_musculus/Gene/Summary?db=core;g=ENSMUSG00000026341","ENSMUSG00000026341")</f>
        <v>ENSMUSG00000026341</v>
      </c>
      <c r="I1778" s="7" t="str">
        <f>HYPERLINK("http://www.informatics.jax.org/marker/MGI:1921367","MGI:1921367")</f>
        <v>MGI:1921367</v>
      </c>
      <c r="J1778" s="4" t="s">
        <v>12</v>
      </c>
    </row>
    <row r="1779" spans="1:10" x14ac:dyDescent="0.25">
      <c r="A1779" s="2">
        <v>5779.7544856045697</v>
      </c>
      <c r="B1779" s="3">
        <v>0.78141184589216806</v>
      </c>
      <c r="C1779" s="5">
        <v>5.19716345188027E-43</v>
      </c>
      <c r="D1779" s="6">
        <v>1.15155127270875E-41</v>
      </c>
      <c r="E1779" s="3" t="s">
        <v>1796</v>
      </c>
      <c r="F1779" s="3" t="s">
        <v>1797</v>
      </c>
      <c r="G1779" s="3">
        <v>110213</v>
      </c>
      <c r="H1779" s="7" t="str">
        <f>HYPERLINK("http://www.ensembl.org/Mus_musculus/Gene/Summary?db=core;g=ENSMUSG00000023010","ENSMUSG00000023010")</f>
        <v>ENSMUSG00000023010</v>
      </c>
      <c r="I1779" s="7" t="str">
        <f>HYPERLINK("http://www.informatics.jax.org/marker/MGI:99682","MGI:99682")</f>
        <v>MGI:99682</v>
      </c>
      <c r="J1779" s="4" t="s">
        <v>12</v>
      </c>
    </row>
    <row r="1780" spans="1:10" x14ac:dyDescent="0.25">
      <c r="A1780" s="2">
        <v>149.65878249389601</v>
      </c>
      <c r="B1780" s="3">
        <v>0.78037103986148904</v>
      </c>
      <c r="C1780" s="5">
        <v>3.7324925239734901E-14</v>
      </c>
      <c r="D1780" s="6">
        <v>2.72711198861642E-13</v>
      </c>
      <c r="E1780" s="3" t="s">
        <v>5415</v>
      </c>
      <c r="F1780" s="3" t="s">
        <v>5416</v>
      </c>
      <c r="G1780" s="3">
        <v>98376</v>
      </c>
      <c r="H1780" s="7" t="str">
        <f>HYPERLINK("http://www.ensembl.org/Mus_musculus/Gene/Summary?db=core;g=ENSMUSG00000040124","ENSMUSG00000040124")</f>
        <v>ENSMUSG00000040124</v>
      </c>
      <c r="I1780" s="7" t="str">
        <f>HYPERLINK("http://www.informatics.jax.org/marker/MGI:2138271","MGI:2138271")</f>
        <v>MGI:2138271</v>
      </c>
      <c r="J1780" s="4" t="s">
        <v>12</v>
      </c>
    </row>
    <row r="1781" spans="1:10" x14ac:dyDescent="0.25">
      <c r="A1781" s="2">
        <v>499.27818017074202</v>
      </c>
      <c r="B1781" s="3">
        <v>0.78033839391778004</v>
      </c>
      <c r="C1781" s="5">
        <v>2.05539659387723E-34</v>
      </c>
      <c r="D1781" s="6">
        <v>3.48516086253301E-33</v>
      </c>
      <c r="E1781" s="3" t="s">
        <v>2343</v>
      </c>
      <c r="F1781" s="3" t="s">
        <v>2344</v>
      </c>
      <c r="G1781" s="3">
        <v>224250</v>
      </c>
      <c r="H1781" s="7" t="str">
        <f>HYPERLINK("http://www.ensembl.org/Mus_musculus/Gene/Summary?db=core;g=ENSMUSG00000022744","ENSMUSG00000022744")</f>
        <v>ENSMUSG00000022744</v>
      </c>
      <c r="I1781" s="7" t="str">
        <f>HYPERLINK("http://www.informatics.jax.org/marker/MGI:2447860","MGI:2447860")</f>
        <v>MGI:2447860</v>
      </c>
      <c r="J1781" s="4" t="s">
        <v>12</v>
      </c>
    </row>
    <row r="1782" spans="1:10" x14ac:dyDescent="0.25">
      <c r="A1782" s="2">
        <v>16335.2189099769</v>
      </c>
      <c r="B1782" s="3">
        <v>0.77968123063751504</v>
      </c>
      <c r="C1782" s="5">
        <v>3.6012126547918001E-11</v>
      </c>
      <c r="D1782" s="6">
        <v>2.1664403158173999E-10</v>
      </c>
      <c r="E1782" s="3" t="s">
        <v>6573</v>
      </c>
      <c r="F1782" s="3" t="s">
        <v>6574</v>
      </c>
      <c r="G1782" s="3">
        <v>14828</v>
      </c>
      <c r="H1782" s="7" t="str">
        <f>HYPERLINK("http://www.ensembl.org/Mus_musculus/Gene/Summary?db=core;g=ENSMUSG00000026864","ENSMUSG00000026864")</f>
        <v>ENSMUSG00000026864</v>
      </c>
      <c r="I1782" s="7" t="str">
        <f>HYPERLINK("http://www.informatics.jax.org/marker/MGI:95835","MGI:95835")</f>
        <v>MGI:95835</v>
      </c>
      <c r="J1782" s="4" t="s">
        <v>12</v>
      </c>
    </row>
    <row r="1783" spans="1:10" x14ac:dyDescent="0.25">
      <c r="A1783" s="2">
        <v>34.064342919371903</v>
      </c>
      <c r="B1783" s="3">
        <v>0.77930055954102495</v>
      </c>
      <c r="C1783" s="3">
        <v>1.3822799238447001E-3</v>
      </c>
      <c r="D1783" s="4">
        <v>3.99392821951904E-3</v>
      </c>
      <c r="E1783" s="3" t="s">
        <v>13659</v>
      </c>
      <c r="F1783" s="3" t="s">
        <v>13660</v>
      </c>
      <c r="G1783" s="3" t="s">
        <v>83</v>
      </c>
      <c r="H1783" s="7" t="str">
        <f>HYPERLINK("http://www.ensembl.org/Mus_musculus/Gene/Summary?db=core;g=ENSMUSG00000065939","ENSMUSG00000065939")</f>
        <v>ENSMUSG00000065939</v>
      </c>
      <c r="I1783" s="7" t="str">
        <f>HYPERLINK("http://www.informatics.jax.org/marker/MGI:3819497","MGI:3819497")</f>
        <v>MGI:3819497</v>
      </c>
      <c r="J1783" s="4" t="s">
        <v>11100</v>
      </c>
    </row>
    <row r="1784" spans="1:10" x14ac:dyDescent="0.25">
      <c r="A1784" s="2">
        <v>6927.8809605537199</v>
      </c>
      <c r="B1784" s="3">
        <v>0.77890087456020796</v>
      </c>
      <c r="C1784" s="5">
        <v>3.0585528693038202E-31</v>
      </c>
      <c r="D1784" s="6">
        <v>4.6719335850248797E-30</v>
      </c>
      <c r="E1784" s="3" t="s">
        <v>2599</v>
      </c>
      <c r="F1784" s="3" t="s">
        <v>2600</v>
      </c>
      <c r="G1784" s="3">
        <v>109711</v>
      </c>
      <c r="H1784" s="7" t="str">
        <f>HYPERLINK("http://www.ensembl.org/Mus_musculus/Gene/Summary?db=core;g=ENSMUSG00000015143","ENSMUSG00000015143")</f>
        <v>ENSMUSG00000015143</v>
      </c>
      <c r="I1784" s="7" t="str">
        <f>HYPERLINK("http://www.informatics.jax.org/marker/MGI:2137706","MGI:2137706")</f>
        <v>MGI:2137706</v>
      </c>
      <c r="J1784" s="4" t="s">
        <v>12</v>
      </c>
    </row>
    <row r="1785" spans="1:10" x14ac:dyDescent="0.25">
      <c r="A1785" s="2">
        <v>73.163339250560597</v>
      </c>
      <c r="B1785" s="3">
        <v>0.77872838046852499</v>
      </c>
      <c r="C1785" s="3">
        <v>3.0264194811787602E-4</v>
      </c>
      <c r="D1785" s="4">
        <v>9.5857680965058198E-4</v>
      </c>
      <c r="E1785" s="3" t="s">
        <v>12465</v>
      </c>
      <c r="F1785" s="3" t="s">
        <v>12466</v>
      </c>
      <c r="G1785" s="3">
        <v>54525</v>
      </c>
      <c r="H1785" s="7" t="str">
        <f>HYPERLINK("http://www.ensembl.org/Mus_musculus/Gene/Summary?db=core;g=ENSMUSG00000024743","ENSMUSG00000024743")</f>
        <v>ENSMUSG00000024743</v>
      </c>
      <c r="I1785" s="7" t="str">
        <f>HYPERLINK("http://www.informatics.jax.org/marker/MGI:1859545","MGI:1859545")</f>
        <v>MGI:1859545</v>
      </c>
      <c r="J1785" s="4" t="s">
        <v>12</v>
      </c>
    </row>
    <row r="1786" spans="1:10" x14ac:dyDescent="0.25">
      <c r="A1786" s="2">
        <v>50.202473571762297</v>
      </c>
      <c r="B1786" s="3">
        <v>0.77826744522949398</v>
      </c>
      <c r="C1786" s="3">
        <v>3.7959236843036097E-4</v>
      </c>
      <c r="D1786" s="4">
        <v>1.1864893811137599E-3</v>
      </c>
      <c r="E1786" s="3" t="s">
        <v>12631</v>
      </c>
      <c r="F1786" s="3" t="s">
        <v>12632</v>
      </c>
      <c r="G1786" s="3">
        <v>229445</v>
      </c>
      <c r="H1786" s="7" t="str">
        <f>HYPERLINK("http://www.ensembl.org/Mus_musculus/Gene/Summary?db=core;g=ENSMUSG00000028015","ENSMUSG00000028015")</f>
        <v>ENSMUSG00000028015</v>
      </c>
      <c r="I1786" s="7" t="str">
        <f>HYPERLINK("http://www.informatics.jax.org/marker/MGI:2139628","MGI:2139628")</f>
        <v>MGI:2139628</v>
      </c>
      <c r="J1786" s="4" t="s">
        <v>12</v>
      </c>
    </row>
    <row r="1787" spans="1:10" x14ac:dyDescent="0.25">
      <c r="A1787" s="2">
        <v>3031.2361623471402</v>
      </c>
      <c r="B1787" s="3">
        <v>0.77688181186569605</v>
      </c>
      <c r="C1787" s="5">
        <v>2.03883690733035E-25</v>
      </c>
      <c r="D1787" s="6">
        <v>2.53026203980834E-24</v>
      </c>
      <c r="E1787" s="3" t="s">
        <v>3198</v>
      </c>
      <c r="F1787" s="3" t="s">
        <v>3199</v>
      </c>
      <c r="G1787" s="3">
        <v>18023</v>
      </c>
      <c r="H1787" s="7" t="str">
        <f>HYPERLINK("http://www.ensembl.org/Mus_musculus/Gene/Summary?db=core;g=ENSMUSG00000038615","ENSMUSG00000038615")</f>
        <v>ENSMUSG00000038615</v>
      </c>
      <c r="I1787" s="7" t="str">
        <f>HYPERLINK("http://www.informatics.jax.org/marker/MGI:99421","MGI:99421")</f>
        <v>MGI:99421</v>
      </c>
      <c r="J1787" s="4" t="s">
        <v>12</v>
      </c>
    </row>
    <row r="1788" spans="1:10" x14ac:dyDescent="0.25">
      <c r="A1788" s="2">
        <v>1317.2576169429501</v>
      </c>
      <c r="B1788" s="3">
        <v>0.77587380828075403</v>
      </c>
      <c r="C1788" s="5">
        <v>5.6816785423068901E-32</v>
      </c>
      <c r="D1788" s="6">
        <v>8.8222599097867597E-31</v>
      </c>
      <c r="E1788" s="3" t="s">
        <v>2557</v>
      </c>
      <c r="F1788" s="3" t="s">
        <v>2558</v>
      </c>
      <c r="G1788" s="3">
        <v>330177</v>
      </c>
      <c r="H1788" s="7" t="str">
        <f>HYPERLINK("http://www.ensembl.org/Mus_musculus/Gene/Summary?db=core;g=ENSMUSG00000061288","ENSMUSG00000061288")</f>
        <v>ENSMUSG00000061288</v>
      </c>
      <c r="I1788" s="7" t="str">
        <f>HYPERLINK("http://www.informatics.jax.org/marker/MGI:3041177","MGI:3041177")</f>
        <v>MGI:3041177</v>
      </c>
      <c r="J1788" s="4" t="s">
        <v>12</v>
      </c>
    </row>
    <row r="1789" spans="1:10" x14ac:dyDescent="0.25">
      <c r="A1789" s="2">
        <v>41.713241999248901</v>
      </c>
      <c r="B1789" s="3">
        <v>0.77560761679593204</v>
      </c>
      <c r="C1789" s="5">
        <v>8.7926202895862795E-6</v>
      </c>
      <c r="D1789" s="6">
        <v>3.3134047794886597E-5</v>
      </c>
      <c r="E1789" s="3" t="s">
        <v>10480</v>
      </c>
      <c r="F1789" s="3" t="s">
        <v>10481</v>
      </c>
      <c r="G1789" s="3">
        <v>18752</v>
      </c>
      <c r="H1789" s="7" t="str">
        <f>HYPERLINK("http://www.ensembl.org/Mus_musculus/Gene/Summary?db=core;g=ENSMUSG00000078816","ENSMUSG00000078816")</f>
        <v>ENSMUSG00000078816</v>
      </c>
      <c r="I1789" s="7" t="str">
        <f>HYPERLINK("http://www.informatics.jax.org/marker/MGI:97597","MGI:97597")</f>
        <v>MGI:97597</v>
      </c>
      <c r="J1789" s="4" t="s">
        <v>12</v>
      </c>
    </row>
    <row r="1790" spans="1:10" x14ac:dyDescent="0.25">
      <c r="A1790" s="2">
        <v>1737.6227018761899</v>
      </c>
      <c r="B1790" s="3">
        <v>0.77411666935988099</v>
      </c>
      <c r="C1790" s="5">
        <v>1.24711964332943E-25</v>
      </c>
      <c r="D1790" s="6">
        <v>1.5614729756480199E-24</v>
      </c>
      <c r="E1790" s="3" t="s">
        <v>3169</v>
      </c>
      <c r="F1790" s="3" t="s">
        <v>3170</v>
      </c>
      <c r="G1790" s="3">
        <v>228869</v>
      </c>
      <c r="H1790" s="7" t="str">
        <f>HYPERLINK("http://www.ensembl.org/Mus_musculus/Gene/Summary?db=core;g=ENSMUSG00000039804","ENSMUSG00000039804")</f>
        <v>ENSMUSG00000039804</v>
      </c>
      <c r="I1790" s="7" t="str">
        <f>HYPERLINK("http://www.informatics.jax.org/marker/MGI:2385165","MGI:2385165")</f>
        <v>MGI:2385165</v>
      </c>
      <c r="J1790" s="4" t="s">
        <v>12</v>
      </c>
    </row>
    <row r="1791" spans="1:10" x14ac:dyDescent="0.25">
      <c r="A1791" s="2">
        <v>452.79798192305498</v>
      </c>
      <c r="B1791" s="3">
        <v>0.772816558517749</v>
      </c>
      <c r="C1791" s="5">
        <v>3.29104701696881E-9</v>
      </c>
      <c r="D1791" s="6">
        <v>1.69450253719647E-8</v>
      </c>
      <c r="E1791" s="3" t="s">
        <v>7676</v>
      </c>
      <c r="F1791" s="3" t="s">
        <v>7677</v>
      </c>
      <c r="G1791" s="3">
        <v>55991</v>
      </c>
      <c r="H1791" s="7" t="str">
        <f>HYPERLINK("http://www.ensembl.org/Mus_musculus/Gene/Summary?db=core;g=ENSMUSG00000031934","ENSMUSG00000031934")</f>
        <v>ENSMUSG00000031934</v>
      </c>
      <c r="I1791" s="7" t="str">
        <f>HYPERLINK("http://www.informatics.jax.org/marker/MGI:1860055","MGI:1860055")</f>
        <v>MGI:1860055</v>
      </c>
      <c r="J1791" s="4" t="s">
        <v>12</v>
      </c>
    </row>
    <row r="1792" spans="1:10" x14ac:dyDescent="0.25">
      <c r="A1792" s="2">
        <v>4979.3578732680098</v>
      </c>
      <c r="B1792" s="3">
        <v>0.77240277770823695</v>
      </c>
      <c r="C1792" s="5">
        <v>7.8924482761369099E-27</v>
      </c>
      <c r="D1792" s="6">
        <v>1.03346002659641E-25</v>
      </c>
      <c r="E1792" s="3" t="s">
        <v>3030</v>
      </c>
      <c r="F1792" s="3" t="s">
        <v>3031</v>
      </c>
      <c r="G1792" s="3">
        <v>52398</v>
      </c>
      <c r="H1792" s="7" t="str">
        <f>HYPERLINK("http://www.ensembl.org/Mus_musculus/Gene/Summary?db=core;g=ENSMUSG00000058013","ENSMUSG00000058013")</f>
        <v>ENSMUSG00000058013</v>
      </c>
      <c r="I1792" s="7" t="str">
        <f>HYPERLINK("http://www.informatics.jax.org/marker/MGI:1277214","MGI:1277214")</f>
        <v>MGI:1277214</v>
      </c>
      <c r="J1792" s="4" t="s">
        <v>12</v>
      </c>
    </row>
    <row r="1793" spans="1:10" x14ac:dyDescent="0.25">
      <c r="A1793" s="2">
        <v>241.817629873697</v>
      </c>
      <c r="B1793" s="3">
        <v>0.77219178342926198</v>
      </c>
      <c r="C1793" s="5">
        <v>2.1794822102782701E-13</v>
      </c>
      <c r="D1793" s="6">
        <v>1.5251734984629999E-12</v>
      </c>
      <c r="E1793" s="3" t="s">
        <v>5653</v>
      </c>
      <c r="F1793" s="3" t="s">
        <v>5654</v>
      </c>
      <c r="G1793" s="3">
        <v>103737</v>
      </c>
      <c r="H1793" s="7" t="str">
        <f>HYPERLINK("http://www.ensembl.org/Mus_musculus/Gene/Summary?db=core;g=ENSMUSG00000018733","ENSMUSG00000018733")</f>
        <v>ENSMUSG00000018733</v>
      </c>
      <c r="I1793" s="7" t="str">
        <f>HYPERLINK("http://www.informatics.jax.org/marker/MGI:2144177","MGI:2144177")</f>
        <v>MGI:2144177</v>
      </c>
      <c r="J1793" s="4" t="s">
        <v>12</v>
      </c>
    </row>
    <row r="1794" spans="1:10" x14ac:dyDescent="0.25">
      <c r="A1794" s="2">
        <v>234.42917146537599</v>
      </c>
      <c r="B1794" s="3">
        <v>0.77203865613899902</v>
      </c>
      <c r="C1794" s="5">
        <v>3.6548993364322698E-21</v>
      </c>
      <c r="D1794" s="6">
        <v>3.7993998373455103E-20</v>
      </c>
      <c r="E1794" s="3" t="s">
        <v>3812</v>
      </c>
      <c r="F1794" s="3" t="s">
        <v>3813</v>
      </c>
      <c r="G1794" s="3">
        <v>72795</v>
      </c>
      <c r="H1794" s="7" t="str">
        <f>HYPERLINK("http://www.ensembl.org/Mus_musculus/Gene/Summary?db=core;g=ENSMUSG00000042298","ENSMUSG00000042298")</f>
        <v>ENSMUSG00000042298</v>
      </c>
      <c r="I1794" s="7" t="str">
        <f>HYPERLINK("http://www.informatics.jax.org/marker/MGI:1920045","MGI:1920045")</f>
        <v>MGI:1920045</v>
      </c>
      <c r="J1794" s="4" t="s">
        <v>12</v>
      </c>
    </row>
    <row r="1795" spans="1:10" x14ac:dyDescent="0.25">
      <c r="A1795" s="2">
        <v>48.273598030062999</v>
      </c>
      <c r="B1795" s="3">
        <v>0.77139146030883698</v>
      </c>
      <c r="C1795" s="5">
        <v>2.97327520571912E-5</v>
      </c>
      <c r="D1795" s="4">
        <v>1.0621917945069001E-4</v>
      </c>
      <c r="E1795" s="3" t="s">
        <v>11052</v>
      </c>
      <c r="F1795" s="3" t="s">
        <v>11053</v>
      </c>
      <c r="G1795" s="3" t="s">
        <v>83</v>
      </c>
      <c r="H1795" s="7" t="str">
        <f>HYPERLINK("http://www.ensembl.org/Mus_musculus/Gene/Summary?db=core;g=ENSMUSG00000050900","ENSMUSG00000050900")</f>
        <v>ENSMUSG00000050900</v>
      </c>
      <c r="I1795" s="7" t="str">
        <f>HYPERLINK("http://www.informatics.jax.org/marker/MGI:3646274","MGI:3646274")</f>
        <v>MGI:3646274</v>
      </c>
      <c r="J1795" s="4" t="s">
        <v>1043</v>
      </c>
    </row>
    <row r="1796" spans="1:10" x14ac:dyDescent="0.25">
      <c r="A1796" s="2">
        <v>1328.7456110463499</v>
      </c>
      <c r="B1796" s="3">
        <v>0.771224744332214</v>
      </c>
      <c r="C1796" s="5">
        <v>2.0793880138702599E-13</v>
      </c>
      <c r="D1796" s="6">
        <v>1.45927158838155E-12</v>
      </c>
      <c r="E1796" s="3" t="s">
        <v>5637</v>
      </c>
      <c r="F1796" s="3" t="s">
        <v>5638</v>
      </c>
      <c r="G1796" s="3">
        <v>11746</v>
      </c>
      <c r="H1796" s="7" t="str">
        <f>HYPERLINK("http://www.ensembl.org/Mus_musculus/Gene/Summary?db=core;g=ENSMUSG00000029994","ENSMUSG00000029994")</f>
        <v>ENSMUSG00000029994</v>
      </c>
      <c r="I1796" s="7" t="str">
        <f>HYPERLINK("http://www.informatics.jax.org/marker/MGI:88030","MGI:88030")</f>
        <v>MGI:88030</v>
      </c>
      <c r="J1796" s="4" t="s">
        <v>12</v>
      </c>
    </row>
    <row r="1797" spans="1:10" x14ac:dyDescent="0.25">
      <c r="A1797" s="2">
        <v>1118.6035348267201</v>
      </c>
      <c r="B1797" s="3">
        <v>0.771128741190657</v>
      </c>
      <c r="C1797" s="5">
        <v>3.5127724939802899E-17</v>
      </c>
      <c r="D1797" s="6">
        <v>3.0289406900433402E-16</v>
      </c>
      <c r="E1797" s="3" t="s">
        <v>4591</v>
      </c>
      <c r="F1797" s="3" t="s">
        <v>4592</v>
      </c>
      <c r="G1797" s="3">
        <v>100434</v>
      </c>
      <c r="H1797" s="7" t="str">
        <f>HYPERLINK("http://www.ensembl.org/Mus_musculus/Gene/Summary?db=core;g=ENSMUSG00000028412","ENSMUSG00000028412")</f>
        <v>ENSMUSG00000028412</v>
      </c>
      <c r="I1797" s="7" t="str">
        <f>HYPERLINK("http://www.informatics.jax.org/marker/MGI:2140592","MGI:2140592")</f>
        <v>MGI:2140592</v>
      </c>
      <c r="J1797" s="4" t="s">
        <v>12</v>
      </c>
    </row>
    <row r="1798" spans="1:10" x14ac:dyDescent="0.25">
      <c r="A1798" s="2">
        <v>544.50923524966697</v>
      </c>
      <c r="B1798" s="3">
        <v>0.771097410919099</v>
      </c>
      <c r="C1798" s="5">
        <v>9.2075570332900597E-12</v>
      </c>
      <c r="D1798" s="6">
        <v>5.7697179757381702E-11</v>
      </c>
      <c r="E1798" s="3" t="s">
        <v>6311</v>
      </c>
      <c r="F1798" s="3" t="s">
        <v>6312</v>
      </c>
      <c r="G1798" s="3">
        <v>210126</v>
      </c>
      <c r="H1798" s="7" t="str">
        <f>HYPERLINK("http://www.ensembl.org/Mus_musculus/Gene/Summary?db=core;g=ENSMUSG00000033306","ENSMUSG00000033306")</f>
        <v>ENSMUSG00000033306</v>
      </c>
      <c r="I1798" s="7" t="str">
        <f>HYPERLINK("http://www.informatics.jax.org/marker/MGI:2441849","MGI:2441849")</f>
        <v>MGI:2441849</v>
      </c>
      <c r="J1798" s="4" t="s">
        <v>12</v>
      </c>
    </row>
    <row r="1799" spans="1:10" x14ac:dyDescent="0.25">
      <c r="A1799" s="2">
        <v>288.73541896012603</v>
      </c>
      <c r="B1799" s="3">
        <v>0.77094507876965901</v>
      </c>
      <c r="C1799" s="5">
        <v>9.7445776223253792E-13</v>
      </c>
      <c r="D1799" s="6">
        <v>6.5495252458165098E-12</v>
      </c>
      <c r="E1799" s="3" t="s">
        <v>5885</v>
      </c>
      <c r="F1799" s="3" t="s">
        <v>5886</v>
      </c>
      <c r="G1799" s="3">
        <v>17318</v>
      </c>
      <c r="H1799" s="7" t="str">
        <f>HYPERLINK("http://www.ensembl.org/Mus_musculus/Gene/Summary?db=core;g=ENSMUSG00000035299","ENSMUSG00000035299")</f>
        <v>ENSMUSG00000035299</v>
      </c>
      <c r="I1799" s="7" t="str">
        <f>HYPERLINK("http://www.informatics.jax.org/marker/MGI:1100537","MGI:1100537")</f>
        <v>MGI:1100537</v>
      </c>
      <c r="J1799" s="4" t="s">
        <v>12</v>
      </c>
    </row>
    <row r="1800" spans="1:10" x14ac:dyDescent="0.25">
      <c r="A1800" s="2">
        <v>229.21851183867901</v>
      </c>
      <c r="B1800" s="3">
        <v>0.76829093802575799</v>
      </c>
      <c r="C1800" s="5">
        <v>3.3022459565752802E-16</v>
      </c>
      <c r="D1800" s="6">
        <v>2.6864806214382998E-15</v>
      </c>
      <c r="E1800" s="3" t="s">
        <v>4865</v>
      </c>
      <c r="F1800" s="3" t="s">
        <v>4866</v>
      </c>
      <c r="G1800" s="3">
        <v>30939</v>
      </c>
      <c r="H1800" s="7" t="str">
        <f>HYPERLINK("http://www.ensembl.org/Mus_musculus/Gene/Summary?db=core;g=ENSMUSG00000020415","ENSMUSG00000020415")</f>
        <v>ENSMUSG00000020415</v>
      </c>
      <c r="I1800" s="7" t="str">
        <f>HYPERLINK("http://www.informatics.jax.org/marker/MGI:1353578","MGI:1353578")</f>
        <v>MGI:1353578</v>
      </c>
      <c r="J1800" s="4" t="s">
        <v>12</v>
      </c>
    </row>
    <row r="1801" spans="1:10" x14ac:dyDescent="0.25">
      <c r="A1801" s="2">
        <v>451.30952896899601</v>
      </c>
      <c r="B1801" s="3">
        <v>0.76821359701932401</v>
      </c>
      <c r="C1801" s="5">
        <v>2.27072528875783E-18</v>
      </c>
      <c r="D1801" s="6">
        <v>2.09148541309222E-17</v>
      </c>
      <c r="E1801" s="3" t="s">
        <v>4299</v>
      </c>
      <c r="F1801" s="3" t="s">
        <v>4300</v>
      </c>
      <c r="G1801" s="3">
        <v>14933</v>
      </c>
      <c r="H1801" s="7" t="str">
        <f>HYPERLINK("http://www.ensembl.org/Mus_musculus/Gene/Summary?db=core;g=ENSMUSG00000025059","ENSMUSG00000025059")</f>
        <v>ENSMUSG00000025059</v>
      </c>
      <c r="I1801" s="7" t="str">
        <f>HYPERLINK("http://www.informatics.jax.org/marker/MGI:106594","MGI:106594")</f>
        <v>MGI:106594</v>
      </c>
      <c r="J1801" s="4" t="s">
        <v>12</v>
      </c>
    </row>
    <row r="1802" spans="1:10" x14ac:dyDescent="0.25">
      <c r="A1802" s="2">
        <v>747.51100165483501</v>
      </c>
      <c r="B1802" s="3">
        <v>0.76786853759484397</v>
      </c>
      <c r="C1802" s="5">
        <v>1.6192815147926299E-37</v>
      </c>
      <c r="D1802" s="6">
        <v>3.05279459576583E-36</v>
      </c>
      <c r="E1802" s="3" t="s">
        <v>2109</v>
      </c>
      <c r="F1802" s="3" t="s">
        <v>2110</v>
      </c>
      <c r="G1802" s="3">
        <v>330192</v>
      </c>
      <c r="H1802" s="7" t="str">
        <f>HYPERLINK("http://www.ensembl.org/Mus_musculus/Gene/Summary?db=core;g=ENSMUSG00000066278","ENSMUSG00000066278")</f>
        <v>ENSMUSG00000066278</v>
      </c>
      <c r="I1802" s="7" t="str">
        <f>HYPERLINK("http://www.informatics.jax.org/marker/MGI:1916724","MGI:1916724")</f>
        <v>MGI:1916724</v>
      </c>
      <c r="J1802" s="4" t="s">
        <v>12</v>
      </c>
    </row>
    <row r="1803" spans="1:10" x14ac:dyDescent="0.25">
      <c r="A1803" s="2">
        <v>2533.3512511232602</v>
      </c>
      <c r="B1803" s="3">
        <v>0.76780095646359603</v>
      </c>
      <c r="C1803" s="5">
        <v>5.1397073465485798E-8</v>
      </c>
      <c r="D1803" s="6">
        <v>2.3870708637291098E-7</v>
      </c>
      <c r="E1803" s="3" t="s">
        <v>8509</v>
      </c>
      <c r="F1803" s="3" t="s">
        <v>8510</v>
      </c>
      <c r="G1803" s="3">
        <v>16835</v>
      </c>
      <c r="H1803" s="7" t="str">
        <f>HYPERLINK("http://www.ensembl.org/Mus_musculus/Gene/Summary?db=core;g=ENSMUSG00000032193","ENSMUSG00000032193")</f>
        <v>ENSMUSG00000032193</v>
      </c>
      <c r="I1803" s="7" t="str">
        <f>HYPERLINK("http://www.informatics.jax.org/marker/MGI:96765","MGI:96765")</f>
        <v>MGI:96765</v>
      </c>
      <c r="J1803" s="4" t="s">
        <v>12</v>
      </c>
    </row>
    <row r="1804" spans="1:10" x14ac:dyDescent="0.25">
      <c r="A1804" s="2">
        <v>72.814521713249903</v>
      </c>
      <c r="B1804" s="3">
        <v>0.76770503766826503</v>
      </c>
      <c r="C1804" s="5">
        <v>1.17909892802522E-6</v>
      </c>
      <c r="D1804" s="6">
        <v>4.8461506587447696E-6</v>
      </c>
      <c r="E1804" s="3" t="s">
        <v>9611</v>
      </c>
      <c r="F1804" s="3" t="s">
        <v>9612</v>
      </c>
      <c r="G1804" s="3" t="s">
        <v>83</v>
      </c>
      <c r="H1804" s="7" t="str">
        <f>HYPERLINK("http://www.ensembl.org/Mus_musculus/Gene/Summary?db=core;g=ENSMUSG00000097577","ENSMUSG00000097577")</f>
        <v>ENSMUSG00000097577</v>
      </c>
      <c r="I1804" s="7" t="str">
        <f>HYPERLINK("http://www.informatics.jax.org/marker/MGI:1923383","MGI:1923383")</f>
        <v>MGI:1923383</v>
      </c>
      <c r="J1804" s="4" t="s">
        <v>932</v>
      </c>
    </row>
    <row r="1805" spans="1:10" x14ac:dyDescent="0.25">
      <c r="A1805" s="2">
        <v>23.240441564072</v>
      </c>
      <c r="B1805" s="3">
        <v>0.76605402070641204</v>
      </c>
      <c r="C1805" s="3">
        <v>1.78309119736442E-3</v>
      </c>
      <c r="D1805" s="4">
        <v>5.0717666828250796E-3</v>
      </c>
      <c r="E1805" s="3" t="s">
        <v>13873</v>
      </c>
      <c r="F1805" s="3" t="s">
        <v>13874</v>
      </c>
      <c r="G1805" s="3" t="s">
        <v>83</v>
      </c>
      <c r="H1805" s="7" t="str">
        <f>HYPERLINK("http://www.ensembl.org/Mus_musculus/Gene/Summary?db=core;g=ENSMUSG00000110630","ENSMUSG00000110630")</f>
        <v>ENSMUSG00000110630</v>
      </c>
      <c r="I1805" s="7" t="str">
        <f>HYPERLINK("http://www.informatics.jax.org/marker/MGI:3642019","MGI:3642019")</f>
        <v>MGI:3642019</v>
      </c>
      <c r="J1805" s="4" t="s">
        <v>932</v>
      </c>
    </row>
    <row r="1806" spans="1:10" x14ac:dyDescent="0.25">
      <c r="A1806" s="2">
        <v>9.1307997643702397</v>
      </c>
      <c r="B1806" s="3">
        <v>0.76570785321524903</v>
      </c>
      <c r="C1806" s="3">
        <v>1.9882926085124701E-2</v>
      </c>
      <c r="D1806" s="4">
        <v>4.6447248363187102E-2</v>
      </c>
      <c r="E1806" s="3" t="s">
        <v>16888</v>
      </c>
      <c r="F1806" s="3" t="s">
        <v>16889</v>
      </c>
      <c r="G1806" s="3" t="s">
        <v>83</v>
      </c>
      <c r="H1806" s="7" t="str">
        <f>HYPERLINK("http://www.ensembl.org/Mus_musculus/Gene/Summary?db=core;g=ENSMUSG00000085311","ENSMUSG00000085311")</f>
        <v>ENSMUSG00000085311</v>
      </c>
      <c r="I1806" s="7" t="str">
        <f>HYPERLINK("http://www.informatics.jax.org/marker/MGI:3707341","MGI:3707341")</f>
        <v>MGI:3707341</v>
      </c>
      <c r="J1806" s="4" t="s">
        <v>932</v>
      </c>
    </row>
    <row r="1807" spans="1:10" x14ac:dyDescent="0.25">
      <c r="A1807" s="2">
        <v>4667.3366195130102</v>
      </c>
      <c r="B1807" s="3">
        <v>0.76453282959891899</v>
      </c>
      <c r="C1807" s="5">
        <v>1.2061648184763601E-7</v>
      </c>
      <c r="D1807" s="6">
        <v>5.4294594551827101E-7</v>
      </c>
      <c r="E1807" s="3" t="s">
        <v>8775</v>
      </c>
      <c r="F1807" s="3" t="s">
        <v>8776</v>
      </c>
      <c r="G1807" s="3">
        <v>11911</v>
      </c>
      <c r="H1807" s="7" t="str">
        <f>HYPERLINK("http://www.ensembl.org/Mus_musculus/Gene/Summary?db=core;g=ENSMUSG00000042406","ENSMUSG00000042406")</f>
        <v>ENSMUSG00000042406</v>
      </c>
      <c r="I1807" s="7" t="str">
        <f>HYPERLINK("http://www.informatics.jax.org/marker/MGI:88096","MGI:88096")</f>
        <v>MGI:88096</v>
      </c>
      <c r="J1807" s="4" t="s">
        <v>12</v>
      </c>
    </row>
    <row r="1808" spans="1:10" x14ac:dyDescent="0.25">
      <c r="A1808" s="2">
        <v>4152.4709689164902</v>
      </c>
      <c r="B1808" s="3">
        <v>0.76324622802213304</v>
      </c>
      <c r="C1808" s="5">
        <v>2.8587877014337699E-35</v>
      </c>
      <c r="D1808" s="6">
        <v>5.0111371975354603E-34</v>
      </c>
      <c r="E1808" s="3" t="s">
        <v>2267</v>
      </c>
      <c r="F1808" s="3" t="s">
        <v>2268</v>
      </c>
      <c r="G1808" s="3">
        <v>208266</v>
      </c>
      <c r="H1808" s="7" t="str">
        <f>HYPERLINK("http://www.ensembl.org/Mus_musculus/Gene/Summary?db=core;g=ENSMUSG00000061589","ENSMUSG00000061589")</f>
        <v>ENSMUSG00000061589</v>
      </c>
      <c r="I1808" s="7" t="str">
        <f>HYPERLINK("http://www.informatics.jax.org/marker/MGI:2143886","MGI:2143886")</f>
        <v>MGI:2143886</v>
      </c>
      <c r="J1808" s="4" t="s">
        <v>12</v>
      </c>
    </row>
    <row r="1809" spans="1:10" x14ac:dyDescent="0.25">
      <c r="A1809" s="2">
        <v>1155.80319655466</v>
      </c>
      <c r="B1809" s="3">
        <v>0.76244027499427502</v>
      </c>
      <c r="C1809" s="5">
        <v>1.22147942905961E-23</v>
      </c>
      <c r="D1809" s="6">
        <v>1.4152511363722301E-22</v>
      </c>
      <c r="E1809" s="3" t="s">
        <v>3422</v>
      </c>
      <c r="F1809" s="3" t="s">
        <v>3423</v>
      </c>
      <c r="G1809" s="3">
        <v>106205</v>
      </c>
      <c r="H1809" s="7" t="str">
        <f>HYPERLINK("http://www.ensembl.org/Mus_musculus/Gene/Summary?db=core;g=ENSMUSG00000037965","ENSMUSG00000037965")</f>
        <v>ENSMUSG00000037965</v>
      </c>
      <c r="I1809" s="7" t="str">
        <f>HYPERLINK("http://www.informatics.jax.org/marker/MGI:2445044","MGI:2445044")</f>
        <v>MGI:2445044</v>
      </c>
      <c r="J1809" s="4" t="s">
        <v>12</v>
      </c>
    </row>
    <row r="1810" spans="1:10" x14ac:dyDescent="0.25">
      <c r="A1810" s="2">
        <v>1313.68679511344</v>
      </c>
      <c r="B1810" s="3">
        <v>0.76236447678016805</v>
      </c>
      <c r="C1810" s="5">
        <v>2.9229011404750402E-18</v>
      </c>
      <c r="D1810" s="6">
        <v>2.67469190209595E-17</v>
      </c>
      <c r="E1810" s="3" t="s">
        <v>4327</v>
      </c>
      <c r="F1810" s="3" t="s">
        <v>4328</v>
      </c>
      <c r="G1810" s="3">
        <v>68267</v>
      </c>
      <c r="H1810" s="7" t="str">
        <f>HYPERLINK("http://www.ensembl.org/Mus_musculus/Gene/Summary?db=core;g=ENSMUSG00000019082","ENSMUSG00000019082")</f>
        <v>ENSMUSG00000019082</v>
      </c>
      <c r="I1810" s="7" t="str">
        <f>HYPERLINK("http://www.informatics.jax.org/marker/MGI:1915517","MGI:1915517")</f>
        <v>MGI:1915517</v>
      </c>
      <c r="J1810" s="4" t="s">
        <v>12</v>
      </c>
    </row>
    <row r="1811" spans="1:10" x14ac:dyDescent="0.25">
      <c r="A1811" s="2">
        <v>14.932899784186199</v>
      </c>
      <c r="B1811" s="3">
        <v>0.76168287293688497</v>
      </c>
      <c r="C1811" s="3">
        <v>7.6944813212310196E-3</v>
      </c>
      <c r="D1811" s="4">
        <v>1.95686318873711E-2</v>
      </c>
      <c r="E1811" s="3" t="s">
        <v>15511</v>
      </c>
      <c r="F1811" s="3" t="s">
        <v>15512</v>
      </c>
      <c r="G1811" s="3" t="s">
        <v>83</v>
      </c>
      <c r="H1811" s="7" t="str">
        <f>HYPERLINK("http://www.ensembl.org/Mus_musculus/Gene/Summary?db=core;g=ENSMUSG00000103032","ENSMUSG00000103032")</f>
        <v>ENSMUSG00000103032</v>
      </c>
      <c r="I1811" s="7" t="str">
        <f>HYPERLINK("http://www.informatics.jax.org/marker/MGI:5610349","MGI:5610349")</f>
        <v>MGI:5610349</v>
      </c>
      <c r="J1811" s="4" t="s">
        <v>1828</v>
      </c>
    </row>
    <row r="1812" spans="1:10" x14ac:dyDescent="0.25">
      <c r="A1812" s="2">
        <v>1664.1406691286099</v>
      </c>
      <c r="B1812" s="3">
        <v>0.76163364190064398</v>
      </c>
      <c r="C1812" s="5">
        <v>4.0471335933108898E-25</v>
      </c>
      <c r="D1812" s="6">
        <v>4.9417631244638299E-24</v>
      </c>
      <c r="E1812" s="3" t="s">
        <v>3250</v>
      </c>
      <c r="F1812" s="3" t="s">
        <v>3251</v>
      </c>
      <c r="G1812" s="3">
        <v>105203</v>
      </c>
      <c r="H1812" s="7" t="str">
        <f>HYPERLINK("http://www.ensembl.org/Mus_musculus/Gene/Summary?db=core;g=ENSMUSG00000033799","ENSMUSG00000033799")</f>
        <v>ENSMUSG00000033799</v>
      </c>
      <c r="I1812" s="7" t="str">
        <f>HYPERLINK("http://www.informatics.jax.org/marker/MGI:2145274","MGI:2145274")</f>
        <v>MGI:2145274</v>
      </c>
      <c r="J1812" s="4" t="s">
        <v>12</v>
      </c>
    </row>
    <row r="1813" spans="1:10" x14ac:dyDescent="0.25">
      <c r="A1813" s="2">
        <v>3095.9878127290799</v>
      </c>
      <c r="B1813" s="3">
        <v>0.76125303282613099</v>
      </c>
      <c r="C1813" s="5">
        <v>7.68580550563171E-46</v>
      </c>
      <c r="D1813" s="6">
        <v>1.8416049158087199E-44</v>
      </c>
      <c r="E1813" s="3" t="s">
        <v>1662</v>
      </c>
      <c r="F1813" s="3" t="s">
        <v>1663</v>
      </c>
      <c r="G1813" s="3">
        <v>433256</v>
      </c>
      <c r="H1813" s="7" t="str">
        <f>HYPERLINK("http://www.ensembl.org/Mus_musculus/Gene/Summary?db=core;g=ENSMUSG00000024981","ENSMUSG00000024981")</f>
        <v>ENSMUSG00000024981</v>
      </c>
      <c r="I1813" s="7" t="str">
        <f>HYPERLINK("http://www.informatics.jax.org/marker/MGI:1919129","MGI:1919129")</f>
        <v>MGI:1919129</v>
      </c>
      <c r="J1813" s="4" t="s">
        <v>12</v>
      </c>
    </row>
    <row r="1814" spans="1:10" x14ac:dyDescent="0.25">
      <c r="A1814" s="2">
        <v>20.4571498480075</v>
      </c>
      <c r="B1814" s="3">
        <v>0.75942667385575802</v>
      </c>
      <c r="C1814" s="3">
        <v>3.8140355099698701E-3</v>
      </c>
      <c r="D1814" s="4">
        <v>1.0304532162845E-2</v>
      </c>
      <c r="E1814" s="3" t="s">
        <v>14601</v>
      </c>
      <c r="F1814" s="3" t="s">
        <v>14602</v>
      </c>
      <c r="G1814" s="3" t="s">
        <v>83</v>
      </c>
      <c r="H1814" s="7" t="str">
        <f>HYPERLINK("http://www.ensembl.org/Mus_musculus/Gene/Summary?db=core;g=ENSMUSG00000100865","ENSMUSG00000100865")</f>
        <v>ENSMUSG00000100865</v>
      </c>
      <c r="I1814" s="7" t="str">
        <f>HYPERLINK("http://www.informatics.jax.org/marker/MGI:3645000","MGI:3645000")</f>
        <v>MGI:3645000</v>
      </c>
      <c r="J1814" s="4" t="s">
        <v>5705</v>
      </c>
    </row>
    <row r="1815" spans="1:10" x14ac:dyDescent="0.25">
      <c r="A1815" s="2">
        <v>2783.25475938304</v>
      </c>
      <c r="B1815" s="3">
        <v>0.75941217336869704</v>
      </c>
      <c r="C1815" s="5">
        <v>5.7404488908226201E-56</v>
      </c>
      <c r="D1815" s="6">
        <v>1.8258330988229399E-54</v>
      </c>
      <c r="E1815" s="3" t="s">
        <v>1256</v>
      </c>
      <c r="F1815" s="3" t="s">
        <v>1257</v>
      </c>
      <c r="G1815" s="3">
        <v>59014</v>
      </c>
      <c r="H1815" s="7" t="str">
        <f>HYPERLINK("http://www.ensembl.org/Mus_musculus/Gene/Summary?db=core;g=ENSMUSG00000061024","ENSMUSG00000061024")</f>
        <v>ENSMUSG00000061024</v>
      </c>
      <c r="I1815" s="7" t="str">
        <f>HYPERLINK("http://www.informatics.jax.org/marker/MGI:1929721","MGI:1929721")</f>
        <v>MGI:1929721</v>
      </c>
      <c r="J1815" s="4" t="s">
        <v>12</v>
      </c>
    </row>
    <row r="1816" spans="1:10" x14ac:dyDescent="0.25">
      <c r="A1816" s="2">
        <v>732.05148585062602</v>
      </c>
      <c r="B1816" s="3">
        <v>0.75939713156827204</v>
      </c>
      <c r="C1816" s="5">
        <v>2.9921306262170902E-25</v>
      </c>
      <c r="D1816" s="6">
        <v>3.6763125201869802E-24</v>
      </c>
      <c r="E1816" s="3" t="s">
        <v>3230</v>
      </c>
      <c r="F1816" s="3" t="s">
        <v>3231</v>
      </c>
      <c r="G1816" s="3">
        <v>67179</v>
      </c>
      <c r="H1816" s="7" t="str">
        <f>HYPERLINK("http://www.ensembl.org/Mus_musculus/Gene/Summary?db=core;g=ENSMUSG00000022035","ENSMUSG00000022035")</f>
        <v>ENSMUSG00000022035</v>
      </c>
      <c r="I1816" s="7" t="str">
        <f>HYPERLINK("http://www.informatics.jax.org/marker/MGI:1914429","MGI:1914429")</f>
        <v>MGI:1914429</v>
      </c>
      <c r="J1816" s="4" t="s">
        <v>12</v>
      </c>
    </row>
    <row r="1817" spans="1:10" x14ac:dyDescent="0.25">
      <c r="A1817" s="2">
        <v>2254.2147087008898</v>
      </c>
      <c r="B1817" s="3">
        <v>0.75910257076360999</v>
      </c>
      <c r="C1817" s="5">
        <v>3.8110737687220001E-39</v>
      </c>
      <c r="D1817" s="6">
        <v>7.5532034893666202E-38</v>
      </c>
      <c r="E1817" s="3" t="s">
        <v>2007</v>
      </c>
      <c r="F1817" s="3" t="s">
        <v>2008</v>
      </c>
      <c r="G1817" s="3">
        <v>64143</v>
      </c>
      <c r="H1817" s="7" t="str">
        <f>HYPERLINK("http://www.ensembl.org/Mus_musculus/Gene/Summary?db=core;g=ENSMUSG00000004451","ENSMUSG00000004451")</f>
        <v>ENSMUSG00000004451</v>
      </c>
      <c r="I1817" s="7" t="str">
        <f>HYPERLINK("http://www.informatics.jax.org/marker/MGI:1927244","MGI:1927244")</f>
        <v>MGI:1927244</v>
      </c>
      <c r="J1817" s="4" t="s">
        <v>12</v>
      </c>
    </row>
    <row r="1818" spans="1:10" x14ac:dyDescent="0.25">
      <c r="A1818" s="2">
        <v>547.35823772219101</v>
      </c>
      <c r="B1818" s="3">
        <v>0.75809461515518095</v>
      </c>
      <c r="C1818" s="5">
        <v>5.1451923905390896E-41</v>
      </c>
      <c r="D1818" s="6">
        <v>1.0782486072415599E-39</v>
      </c>
      <c r="E1818" s="3" t="s">
        <v>1899</v>
      </c>
      <c r="F1818" s="3" t="s">
        <v>1900</v>
      </c>
      <c r="G1818" s="3">
        <v>17764</v>
      </c>
      <c r="H1818" s="7" t="str">
        <f>HYPERLINK("http://www.ensembl.org/Mus_musculus/Gene/Summary?db=core;g=ENSMUSG00000028890","ENSMUSG00000028890")</f>
        <v>ENSMUSG00000028890</v>
      </c>
      <c r="I1818" s="7" t="str">
        <f>HYPERLINK("http://www.informatics.jax.org/marker/MGI:101786","MGI:101786")</f>
        <v>MGI:101786</v>
      </c>
      <c r="J1818" s="4" t="s">
        <v>12</v>
      </c>
    </row>
    <row r="1819" spans="1:10" x14ac:dyDescent="0.25">
      <c r="A1819" s="2">
        <v>563.40822231967502</v>
      </c>
      <c r="B1819" s="3">
        <v>0.75806722313196995</v>
      </c>
      <c r="C1819" s="5">
        <v>7.5570992655630401E-24</v>
      </c>
      <c r="D1819" s="6">
        <v>8.8233272656544199E-23</v>
      </c>
      <c r="E1819" s="3" t="s">
        <v>3396</v>
      </c>
      <c r="F1819" s="3" t="s">
        <v>3397</v>
      </c>
      <c r="G1819" s="3">
        <v>76792</v>
      </c>
      <c r="H1819" s="7" t="str">
        <f>HYPERLINK("http://www.ensembl.org/Mus_musculus/Gene/Summary?db=core;g=ENSMUSG00000032840","ENSMUSG00000032840")</f>
        <v>ENSMUSG00000032840</v>
      </c>
      <c r="I1819" s="7" t="str">
        <f>HYPERLINK("http://www.informatics.jax.org/marker/MGI:1924042","MGI:1924042")</f>
        <v>MGI:1924042</v>
      </c>
      <c r="J1819" s="4" t="s">
        <v>12</v>
      </c>
    </row>
    <row r="1820" spans="1:10" x14ac:dyDescent="0.25">
      <c r="A1820" s="2">
        <v>240.69000084248901</v>
      </c>
      <c r="B1820" s="3">
        <v>0.75799239577448296</v>
      </c>
      <c r="C1820" s="5">
        <v>5.86299855147738E-8</v>
      </c>
      <c r="D1820" s="6">
        <v>2.7089580936066998E-7</v>
      </c>
      <c r="E1820" s="3" t="s">
        <v>8553</v>
      </c>
      <c r="F1820" s="3" t="s">
        <v>8554</v>
      </c>
      <c r="G1820" s="3">
        <v>68742</v>
      </c>
      <c r="H1820" s="7" t="str">
        <f>HYPERLINK("http://www.ensembl.org/Mus_musculus/Gene/Summary?db=core;g=ENSMUSG00000060538","ENSMUSG00000060538")</f>
        <v>ENSMUSG00000060538</v>
      </c>
      <c r="I1820" s="7" t="str">
        <f>HYPERLINK("http://www.informatics.jax.org/marker/MGI:1915992","MGI:1915992")</f>
        <v>MGI:1915992</v>
      </c>
      <c r="J1820" s="4" t="s">
        <v>12</v>
      </c>
    </row>
    <row r="1821" spans="1:10" x14ac:dyDescent="0.25">
      <c r="A1821" s="2">
        <v>913.55565322348502</v>
      </c>
      <c r="B1821" s="3">
        <v>0.75780901301355197</v>
      </c>
      <c r="C1821" s="5">
        <v>7.5966845772640197E-27</v>
      </c>
      <c r="D1821" s="6">
        <v>9.9539282301426197E-26</v>
      </c>
      <c r="E1821" s="3" t="s">
        <v>3028</v>
      </c>
      <c r="F1821" s="3" t="s">
        <v>3029</v>
      </c>
      <c r="G1821" s="3">
        <v>16150</v>
      </c>
      <c r="H1821" s="7" t="str">
        <f>HYPERLINK("http://www.ensembl.org/Mus_musculus/Gene/Summary?db=core;g=ENSMUSG00000031537","ENSMUSG00000031537")</f>
        <v>ENSMUSG00000031537</v>
      </c>
      <c r="I1821" s="7" t="str">
        <f>HYPERLINK("http://www.informatics.jax.org/marker/MGI:1338071","MGI:1338071")</f>
        <v>MGI:1338071</v>
      </c>
      <c r="J1821" s="4" t="s">
        <v>12</v>
      </c>
    </row>
    <row r="1822" spans="1:10" x14ac:dyDescent="0.25">
      <c r="A1822" s="2">
        <v>703.01786226507102</v>
      </c>
      <c r="B1822" s="3">
        <v>0.75757300024765994</v>
      </c>
      <c r="C1822" s="5">
        <v>6.7571185560215895E-19</v>
      </c>
      <c r="D1822" s="6">
        <v>6.3847809259581103E-18</v>
      </c>
      <c r="E1822" s="3" t="s">
        <v>4191</v>
      </c>
      <c r="F1822" s="3" t="s">
        <v>4192</v>
      </c>
      <c r="G1822" s="3">
        <v>26372</v>
      </c>
      <c r="H1822" s="7" t="str">
        <f>HYPERLINK("http://www.ensembl.org/Mus_musculus/Gene/Summary?db=core;g=ENSMUSG00000029016","ENSMUSG00000029016")</f>
        <v>ENSMUSG00000029016</v>
      </c>
      <c r="I1822" s="7" t="str">
        <f>HYPERLINK("http://www.informatics.jax.org/marker/MGI:1347049","MGI:1347049")</f>
        <v>MGI:1347049</v>
      </c>
      <c r="J1822" s="4" t="s">
        <v>12</v>
      </c>
    </row>
    <row r="1823" spans="1:10" x14ac:dyDescent="0.25">
      <c r="A1823" s="2">
        <v>1186.77996906364</v>
      </c>
      <c r="B1823" s="3">
        <v>0.75578884827679205</v>
      </c>
      <c r="C1823" s="5">
        <v>7.9751294746425797E-16</v>
      </c>
      <c r="D1823" s="6">
        <v>6.3749312217248398E-15</v>
      </c>
      <c r="E1823" s="3" t="s">
        <v>4951</v>
      </c>
      <c r="F1823" s="3" t="s">
        <v>4952</v>
      </c>
      <c r="G1823" s="3">
        <v>54216</v>
      </c>
      <c r="H1823" s="7" t="str">
        <f>HYPERLINK("http://www.ensembl.org/Mus_musculus/Gene/Summary?db=core;g=ENSMUSG00000029108","ENSMUSG00000029108")</f>
        <v>ENSMUSG00000029108</v>
      </c>
      <c r="I1823" s="7" t="str">
        <f>HYPERLINK("http://www.informatics.jax.org/marker/MGI:1860487","MGI:1860487")</f>
        <v>MGI:1860487</v>
      </c>
      <c r="J1823" s="4" t="s">
        <v>12</v>
      </c>
    </row>
    <row r="1824" spans="1:10" x14ac:dyDescent="0.25">
      <c r="A1824" s="2">
        <v>3430.3389864926598</v>
      </c>
      <c r="B1824" s="3">
        <v>0.75492926193995002</v>
      </c>
      <c r="C1824" s="5">
        <v>3.0994080742001E-20</v>
      </c>
      <c r="D1824" s="6">
        <v>3.1136182997058502E-19</v>
      </c>
      <c r="E1824" s="3" t="s">
        <v>3944</v>
      </c>
      <c r="F1824" s="3" t="s">
        <v>3945</v>
      </c>
      <c r="G1824" s="3">
        <v>20515</v>
      </c>
      <c r="H1824" s="7" t="str">
        <f>HYPERLINK("http://www.ensembl.org/Mus_musculus/Gene/Summary?db=core;g=ENSMUSG00000027397","ENSMUSG00000027397")</f>
        <v>ENSMUSG00000027397</v>
      </c>
      <c r="I1824" s="7" t="str">
        <f>HYPERLINK("http://www.informatics.jax.org/marker/MGI:108392","MGI:108392")</f>
        <v>MGI:108392</v>
      </c>
      <c r="J1824" s="4" t="s">
        <v>12</v>
      </c>
    </row>
    <row r="1825" spans="1:10" x14ac:dyDescent="0.25">
      <c r="A1825" s="2">
        <v>4190.8689386421702</v>
      </c>
      <c r="B1825" s="3">
        <v>0.75490199636660105</v>
      </c>
      <c r="C1825" s="5">
        <v>1.38720964989299E-18</v>
      </c>
      <c r="D1825" s="6">
        <v>1.2897583354969199E-17</v>
      </c>
      <c r="E1825" s="3" t="s">
        <v>4259</v>
      </c>
      <c r="F1825" s="3" t="s">
        <v>4260</v>
      </c>
      <c r="G1825" s="3">
        <v>105855</v>
      </c>
      <c r="H1825" s="7" t="str">
        <f>HYPERLINK("http://www.ensembl.org/Mus_musculus/Gene/Summary?db=core;g=ENSMUSG00000022488","ENSMUSG00000022488")</f>
        <v>ENSMUSG00000022488</v>
      </c>
      <c r="I1825" s="7" t="str">
        <f>HYPERLINK("http://www.informatics.jax.org/marker/MGI:1926063","MGI:1926063")</f>
        <v>MGI:1926063</v>
      </c>
      <c r="J1825" s="4" t="s">
        <v>12</v>
      </c>
    </row>
    <row r="1826" spans="1:10" x14ac:dyDescent="0.25">
      <c r="A1826" s="2">
        <v>444.41100875584198</v>
      </c>
      <c r="B1826" s="3">
        <v>0.75459681733579098</v>
      </c>
      <c r="C1826" s="5">
        <v>2.2274833272509802E-19</v>
      </c>
      <c r="D1826" s="6">
        <v>2.1500720124028101E-18</v>
      </c>
      <c r="E1826" s="3" t="s">
        <v>4103</v>
      </c>
      <c r="F1826" s="3" t="s">
        <v>4104</v>
      </c>
      <c r="G1826" s="3">
        <v>75914</v>
      </c>
      <c r="H1826" s="7" t="str">
        <f>HYPERLINK("http://www.ensembl.org/Mus_musculus/Gene/Summary?db=core;g=ENSMUSG00000033769","ENSMUSG00000033769")</f>
        <v>ENSMUSG00000033769</v>
      </c>
      <c r="I1826" s="7" t="str">
        <f>HYPERLINK("http://www.informatics.jax.org/marker/MGI:1923164","MGI:1923164")</f>
        <v>MGI:1923164</v>
      </c>
      <c r="J1826" s="4" t="s">
        <v>12</v>
      </c>
    </row>
    <row r="1827" spans="1:10" x14ac:dyDescent="0.25">
      <c r="A1827" s="2">
        <v>1757.3449031075399</v>
      </c>
      <c r="B1827" s="3">
        <v>0.75430114758721101</v>
      </c>
      <c r="C1827" s="5">
        <v>1.00135878450648E-28</v>
      </c>
      <c r="D1827" s="6">
        <v>1.4114935833072E-27</v>
      </c>
      <c r="E1827" s="3" t="s">
        <v>2816</v>
      </c>
      <c r="F1827" s="3" t="s">
        <v>2817</v>
      </c>
      <c r="G1827" s="3">
        <v>14123</v>
      </c>
      <c r="H1827" s="7" t="str">
        <f>HYPERLINK("http://www.ensembl.org/Mus_musculus/Gene/Summary?db=core;g=ENSMUSG00000042423","ENSMUSG00000042423")</f>
        <v>ENSMUSG00000042423</v>
      </c>
      <c r="I1827" s="7" t="str">
        <f>HYPERLINK("http://www.informatics.jax.org/marker/MGI:104648","MGI:104648")</f>
        <v>MGI:104648</v>
      </c>
      <c r="J1827" s="4" t="s">
        <v>12</v>
      </c>
    </row>
    <row r="1828" spans="1:10" x14ac:dyDescent="0.25">
      <c r="A1828" s="2">
        <v>25.465813510088498</v>
      </c>
      <c r="B1828" s="3">
        <v>0.75311850150742499</v>
      </c>
      <c r="C1828" s="3">
        <v>2.81112962223945E-3</v>
      </c>
      <c r="D1828" s="4">
        <v>7.7477954088835798E-3</v>
      </c>
      <c r="E1828" s="3" t="s">
        <v>14315</v>
      </c>
      <c r="F1828" s="3" t="s">
        <v>14316</v>
      </c>
      <c r="G1828" s="3" t="s">
        <v>83</v>
      </c>
      <c r="H1828" s="7" t="str">
        <f>HYPERLINK("http://www.ensembl.org/Mus_musculus/Gene/Summary?db=core;g=ENSMUSG00000097217","ENSMUSG00000097217")</f>
        <v>ENSMUSG00000097217</v>
      </c>
      <c r="I1828" s="7" t="str">
        <f>HYPERLINK("http://www.informatics.jax.org/marker/MGI:5477043","MGI:5477043")</f>
        <v>MGI:5477043</v>
      </c>
      <c r="J1828" s="4" t="s">
        <v>3187</v>
      </c>
    </row>
    <row r="1829" spans="1:10" x14ac:dyDescent="0.25">
      <c r="A1829" s="2">
        <v>580.154945613466</v>
      </c>
      <c r="B1829" s="3">
        <v>0.75241219892901501</v>
      </c>
      <c r="C1829" s="5">
        <v>1.36416570030883E-13</v>
      </c>
      <c r="D1829" s="6">
        <v>9.6559036647847009E-13</v>
      </c>
      <c r="E1829" s="3" t="s">
        <v>5589</v>
      </c>
      <c r="F1829" s="3" t="s">
        <v>5590</v>
      </c>
      <c r="G1829" s="3" t="s">
        <v>83</v>
      </c>
      <c r="H1829" s="7" t="str">
        <f>HYPERLINK("http://www.ensembl.org/Mus_musculus/Gene/Summary?db=core;g=ENSMUSG00000105769","ENSMUSG00000105769")</f>
        <v>ENSMUSG00000105769</v>
      </c>
      <c r="I1829" s="7" t="str">
        <f>HYPERLINK("http://www.informatics.jax.org/marker/MGI:5663488","MGI:5663488")</f>
        <v>MGI:5663488</v>
      </c>
      <c r="J1829" s="4" t="s">
        <v>939</v>
      </c>
    </row>
    <row r="1830" spans="1:10" x14ac:dyDescent="0.25">
      <c r="A1830" s="2">
        <v>675.73378949592598</v>
      </c>
      <c r="B1830" s="3">
        <v>0.75193277132925196</v>
      </c>
      <c r="C1830" s="5">
        <v>2.5802576656973101E-14</v>
      </c>
      <c r="D1830" s="6">
        <v>1.91144557353685E-13</v>
      </c>
      <c r="E1830" s="3" t="s">
        <v>5341</v>
      </c>
      <c r="F1830" s="3" t="s">
        <v>5342</v>
      </c>
      <c r="G1830" s="3">
        <v>17436</v>
      </c>
      <c r="H1830" s="7" t="str">
        <f>HYPERLINK("http://www.ensembl.org/Mus_musculus/Gene/Summary?db=core;g=ENSMUSG00000032418","ENSMUSG00000032418")</f>
        <v>ENSMUSG00000032418</v>
      </c>
      <c r="I1830" s="7" t="str">
        <f>HYPERLINK("http://www.informatics.jax.org/marker/MGI:97043","MGI:97043")</f>
        <v>MGI:97043</v>
      </c>
      <c r="J1830" s="4" t="s">
        <v>12</v>
      </c>
    </row>
    <row r="1831" spans="1:10" x14ac:dyDescent="0.25">
      <c r="A1831" s="2">
        <v>2370.6741548933801</v>
      </c>
      <c r="B1831" s="3">
        <v>0.75155315132202305</v>
      </c>
      <c r="C1831" s="5">
        <v>7.4303543754144895E-52</v>
      </c>
      <c r="D1831" s="6">
        <v>2.0872733373671501E-50</v>
      </c>
      <c r="E1831" s="3" t="s">
        <v>1420</v>
      </c>
      <c r="F1831" s="3" t="s">
        <v>1421</v>
      </c>
      <c r="G1831" s="3">
        <v>26562</v>
      </c>
      <c r="H1831" s="7" t="str">
        <f>HYPERLINK("http://www.ensembl.org/Mus_musculus/Gene/Summary?db=core;g=ENSMUSG00000028833","ENSMUSG00000028833")</f>
        <v>ENSMUSG00000028833</v>
      </c>
      <c r="I1831" s="7" t="str">
        <f>HYPERLINK("http://www.informatics.jax.org/marker/MGI:1347351","MGI:1347351")</f>
        <v>MGI:1347351</v>
      </c>
      <c r="J1831" s="4" t="s">
        <v>12</v>
      </c>
    </row>
    <row r="1832" spans="1:10" x14ac:dyDescent="0.25">
      <c r="A1832" s="2">
        <v>1911.71249851017</v>
      </c>
      <c r="B1832" s="3">
        <v>0.748527453269627</v>
      </c>
      <c r="C1832" s="5">
        <v>2.9925354214077602E-70</v>
      </c>
      <c r="D1832" s="6">
        <v>1.3820327519944E-68</v>
      </c>
      <c r="E1832" s="3" t="s">
        <v>866</v>
      </c>
      <c r="F1832" s="3" t="s">
        <v>867</v>
      </c>
      <c r="G1832" s="3">
        <v>94112</v>
      </c>
      <c r="H1832" s="7" t="str">
        <f>HYPERLINK("http://www.ensembl.org/Mus_musculus/Gene/Summary?db=core;g=ENSMUSG00000012114","ENSMUSG00000012114")</f>
        <v>ENSMUSG00000012114</v>
      </c>
      <c r="I1832" s="7" t="str">
        <f>HYPERLINK("http://www.informatics.jax.org/marker/MGI:2137379","MGI:2137379")</f>
        <v>MGI:2137379</v>
      </c>
      <c r="J1832" s="4" t="s">
        <v>12</v>
      </c>
    </row>
    <row r="1833" spans="1:10" x14ac:dyDescent="0.25">
      <c r="A1833" s="2">
        <v>250.87080214466201</v>
      </c>
      <c r="B1833" s="3">
        <v>0.74795159908981401</v>
      </c>
      <c r="C1833" s="5">
        <v>2.94462099456536E-16</v>
      </c>
      <c r="D1833" s="6">
        <v>2.4024793551025599E-15</v>
      </c>
      <c r="E1833" s="3" t="s">
        <v>4851</v>
      </c>
      <c r="F1833" s="3" t="s">
        <v>4852</v>
      </c>
      <c r="G1833" s="3">
        <v>66213</v>
      </c>
      <c r="H1833" s="7" t="str">
        <f>HYPERLINK("http://www.ensembl.org/Mus_musculus/Gene/Summary?db=core;g=ENSMUSG00000020397","ENSMUSG00000020397")</f>
        <v>ENSMUSG00000020397</v>
      </c>
      <c r="I1833" s="7" t="str">
        <f>HYPERLINK("http://www.informatics.jax.org/marker/MGI:1913463","MGI:1913463")</f>
        <v>MGI:1913463</v>
      </c>
      <c r="J1833" s="4" t="s">
        <v>12</v>
      </c>
    </row>
    <row r="1834" spans="1:10" x14ac:dyDescent="0.25">
      <c r="A1834" s="2">
        <v>1266.67870297633</v>
      </c>
      <c r="B1834" s="3">
        <v>0.747500726173283</v>
      </c>
      <c r="C1834" s="5">
        <v>3.7784333993281602E-5</v>
      </c>
      <c r="D1834" s="4">
        <v>1.3341218734959999E-4</v>
      </c>
      <c r="E1834" s="3" t="s">
        <v>11181</v>
      </c>
      <c r="F1834" s="3" t="s">
        <v>11182</v>
      </c>
      <c r="G1834" s="3">
        <v>16414</v>
      </c>
      <c r="H1834" s="7" t="str">
        <f>HYPERLINK("http://www.ensembl.org/Mus_musculus/Gene/Summary?db=core;g=ENSMUSG00000000290","ENSMUSG00000000290")</f>
        <v>ENSMUSG00000000290</v>
      </c>
      <c r="I1834" s="7" t="str">
        <f>HYPERLINK("http://www.informatics.jax.org/marker/MGI:96611","MGI:96611")</f>
        <v>MGI:96611</v>
      </c>
      <c r="J1834" s="4" t="s">
        <v>12</v>
      </c>
    </row>
    <row r="1835" spans="1:10" x14ac:dyDescent="0.25">
      <c r="A1835" s="2">
        <v>12.8722674208952</v>
      </c>
      <c r="B1835" s="3">
        <v>0.74672617145717401</v>
      </c>
      <c r="C1835" s="3">
        <v>1.2154164132429699E-2</v>
      </c>
      <c r="D1835" s="4">
        <v>2.97111834252527E-2</v>
      </c>
      <c r="E1835" s="3" t="s">
        <v>16139</v>
      </c>
      <c r="F1835" s="3" t="s">
        <v>16140</v>
      </c>
      <c r="G1835" s="3" t="s">
        <v>83</v>
      </c>
      <c r="H1835" s="7" t="str">
        <f>HYPERLINK("http://www.ensembl.org/Mus_musculus/Gene/Summary?db=core;g=ENSMUSG00000117428","ENSMUSG00000117428")</f>
        <v>ENSMUSG00000117428</v>
      </c>
      <c r="I1835" s="7" t="str">
        <f>HYPERLINK("http://www.informatics.jax.org/marker/MGI:3646586","MGI:3646586")</f>
        <v>MGI:3646586</v>
      </c>
      <c r="J1835" s="4" t="s">
        <v>1043</v>
      </c>
    </row>
    <row r="1836" spans="1:10" x14ac:dyDescent="0.25">
      <c r="A1836" s="2">
        <v>2001.1118099642199</v>
      </c>
      <c r="B1836" s="3">
        <v>0.74627197257455502</v>
      </c>
      <c r="C1836" s="5">
        <v>2.8705789486775101E-11</v>
      </c>
      <c r="D1836" s="6">
        <v>1.73910343680248E-10</v>
      </c>
      <c r="E1836" s="3" t="s">
        <v>6527</v>
      </c>
      <c r="F1836" s="3" t="s">
        <v>6528</v>
      </c>
      <c r="G1836" s="3">
        <v>207521</v>
      </c>
      <c r="H1836" s="7" t="str">
        <f>HYPERLINK("http://www.ensembl.org/Mus_musculus/Gene/Summary?db=core;g=ENSMUSG00000039982","ENSMUSG00000039982")</f>
        <v>ENSMUSG00000039982</v>
      </c>
      <c r="I1836" s="7" t="str">
        <f>HYPERLINK("http://www.informatics.jax.org/marker/MGI:2672905","MGI:2672905")</f>
        <v>MGI:2672905</v>
      </c>
      <c r="J1836" s="4" t="s">
        <v>12</v>
      </c>
    </row>
    <row r="1837" spans="1:10" x14ac:dyDescent="0.25">
      <c r="A1837" s="2">
        <v>961.25600460850706</v>
      </c>
      <c r="B1837" s="3">
        <v>0.74623370398251598</v>
      </c>
      <c r="C1837" s="5">
        <v>2.5209205253921002E-43</v>
      </c>
      <c r="D1837" s="6">
        <v>5.6491537228104902E-42</v>
      </c>
      <c r="E1837" s="3" t="s">
        <v>1776</v>
      </c>
      <c r="F1837" s="3" t="s">
        <v>1777</v>
      </c>
      <c r="G1837" s="3">
        <v>98258</v>
      </c>
      <c r="H1837" s="7" t="str">
        <f>HYPERLINK("http://www.ensembl.org/Mus_musculus/Gene/Summary?db=core;g=ENSMUSG00000058407","ENSMUSG00000058407")</f>
        <v>ENSMUSG00000058407</v>
      </c>
      <c r="I1837" s="7" t="str">
        <f>HYPERLINK("http://www.informatics.jax.org/marker/MGI:2138153","MGI:2138153")</f>
        <v>MGI:2138153</v>
      </c>
      <c r="J1837" s="4" t="s">
        <v>12</v>
      </c>
    </row>
    <row r="1838" spans="1:10" x14ac:dyDescent="0.25">
      <c r="A1838" s="2">
        <v>44.0698697382674</v>
      </c>
      <c r="B1838" s="3">
        <v>0.74622409183056404</v>
      </c>
      <c r="C1838" s="3">
        <v>1.1529829536376501E-3</v>
      </c>
      <c r="D1838" s="4">
        <v>3.3704156308530099E-3</v>
      </c>
      <c r="E1838" s="3" t="s">
        <v>13501</v>
      </c>
      <c r="F1838" s="3" t="s">
        <v>13502</v>
      </c>
      <c r="G1838" s="3">
        <v>67426</v>
      </c>
      <c r="H1838" s="7" t="str">
        <f>HYPERLINK("http://www.ensembl.org/Mus_musculus/Gene/Summary?db=core;g=ENSMUSG00000026489","ENSMUSG00000026489")</f>
        <v>ENSMUSG00000026489</v>
      </c>
      <c r="I1838" s="7" t="str">
        <f>HYPERLINK("http://www.informatics.jax.org/marker/MGI:1914676","MGI:1914676")</f>
        <v>MGI:1914676</v>
      </c>
      <c r="J1838" s="4" t="s">
        <v>12</v>
      </c>
    </row>
    <row r="1839" spans="1:10" x14ac:dyDescent="0.25">
      <c r="A1839" s="2">
        <v>2078.72846209713</v>
      </c>
      <c r="B1839" s="3">
        <v>0.74575947396111397</v>
      </c>
      <c r="C1839" s="5">
        <v>5.6363023889233297E-29</v>
      </c>
      <c r="D1839" s="6">
        <v>8.01354600645769E-28</v>
      </c>
      <c r="E1839" s="3" t="s">
        <v>2792</v>
      </c>
      <c r="F1839" s="3" t="s">
        <v>2793</v>
      </c>
      <c r="G1839" s="3">
        <v>211401</v>
      </c>
      <c r="H1839" s="7" t="str">
        <f>HYPERLINK("http://www.ensembl.org/Mus_musculus/Gene/Summary?db=core;g=ENSMUSG00000022353","ENSMUSG00000022353")</f>
        <v>ENSMUSG00000022353</v>
      </c>
      <c r="I1839" s="7" t="str">
        <f>HYPERLINK("http://www.informatics.jax.org/marker/MGI:2384818","MGI:2384818")</f>
        <v>MGI:2384818</v>
      </c>
      <c r="J1839" s="4" t="s">
        <v>12</v>
      </c>
    </row>
    <row r="1840" spans="1:10" x14ac:dyDescent="0.25">
      <c r="A1840" s="2">
        <v>581.04410555774405</v>
      </c>
      <c r="B1840" s="3">
        <v>0.74516857016643101</v>
      </c>
      <c r="C1840" s="5">
        <v>1.0743948452938E-18</v>
      </c>
      <c r="D1840" s="6">
        <v>1.00603353984775E-17</v>
      </c>
      <c r="E1840" s="3" t="s">
        <v>4229</v>
      </c>
      <c r="F1840" s="3" t="s">
        <v>4230</v>
      </c>
      <c r="G1840" s="3" t="s">
        <v>83</v>
      </c>
      <c r="H1840" s="7" t="str">
        <f>HYPERLINK("http://www.ensembl.org/Mus_musculus/Gene/Summary?db=core;g=ENSMUSG00000074578","ENSMUSG00000074578")</f>
        <v>ENSMUSG00000074578</v>
      </c>
      <c r="I1840" s="7" t="str">
        <f>HYPERLINK("http://www.informatics.jax.org/marker/MGI:1916199","MGI:1916199")</f>
        <v>MGI:1916199</v>
      </c>
      <c r="J1840" s="4" t="s">
        <v>331</v>
      </c>
    </row>
    <row r="1841" spans="1:10" x14ac:dyDescent="0.25">
      <c r="A1841" s="2">
        <v>5330.95435489585</v>
      </c>
      <c r="B1841" s="3">
        <v>0.74516489704627697</v>
      </c>
      <c r="C1841" s="5">
        <v>1.17325918082212E-14</v>
      </c>
      <c r="D1841" s="6">
        <v>8.8646249217671405E-14</v>
      </c>
      <c r="E1841" s="3" t="s">
        <v>5237</v>
      </c>
      <c r="F1841" s="3" t="s">
        <v>5238</v>
      </c>
      <c r="G1841" s="3">
        <v>69116</v>
      </c>
      <c r="H1841" s="7" t="str">
        <f>HYPERLINK("http://www.ensembl.org/Mus_musculus/Gene/Summary?db=core;g=ENSMUSG00000066036","ENSMUSG00000066036")</f>
        <v>ENSMUSG00000066036</v>
      </c>
      <c r="I1841" s="7" t="str">
        <f>HYPERLINK("http://www.informatics.jax.org/marker/MGI:1916366","MGI:1916366")</f>
        <v>MGI:1916366</v>
      </c>
      <c r="J1841" s="4" t="s">
        <v>12</v>
      </c>
    </row>
    <row r="1842" spans="1:10" x14ac:dyDescent="0.25">
      <c r="A1842" s="2">
        <v>624.43597383480505</v>
      </c>
      <c r="B1842" s="3">
        <v>0.745131606900302</v>
      </c>
      <c r="C1842" s="5">
        <v>1.33488525660895E-20</v>
      </c>
      <c r="D1842" s="6">
        <v>1.3618177579062901E-19</v>
      </c>
      <c r="E1842" s="3" t="s">
        <v>3884</v>
      </c>
      <c r="F1842" s="3" t="s">
        <v>3885</v>
      </c>
      <c r="G1842" s="3">
        <v>192157</v>
      </c>
      <c r="H1842" s="7" t="str">
        <f>HYPERLINK("http://www.ensembl.org/Mus_musculus/Gene/Summary?db=core;g=ENSMUSG00000038485","ENSMUSG00000038485")</f>
        <v>ENSMUSG00000038485</v>
      </c>
      <c r="I1842" s="7" t="str">
        <f>HYPERLINK("http://www.informatics.jax.org/marker/MGI:2651588","MGI:2651588")</f>
        <v>MGI:2651588</v>
      </c>
      <c r="J1842" s="4" t="s">
        <v>12</v>
      </c>
    </row>
    <row r="1843" spans="1:10" x14ac:dyDescent="0.25">
      <c r="A1843" s="2">
        <v>3123.75791776909</v>
      </c>
      <c r="B1843" s="3">
        <v>0.74455305749777201</v>
      </c>
      <c r="C1843" s="5">
        <v>3.9959497301285798E-33</v>
      </c>
      <c r="D1843" s="6">
        <v>6.4590269408307901E-32</v>
      </c>
      <c r="E1843" s="3" t="s">
        <v>2457</v>
      </c>
      <c r="F1843" s="3" t="s">
        <v>2458</v>
      </c>
      <c r="G1843" s="3">
        <v>67533</v>
      </c>
      <c r="H1843" s="7" t="str">
        <f>HYPERLINK("http://www.ensembl.org/Mus_musculus/Gene/Summary?db=core;g=ENSMUSG00000016487","ENSMUSG00000016487")</f>
        <v>ENSMUSG00000016487</v>
      </c>
      <c r="I1843" s="7" t="str">
        <f>HYPERLINK("http://www.informatics.jax.org/marker/MGI:1914783","MGI:1914783")</f>
        <v>MGI:1914783</v>
      </c>
      <c r="J1843" s="4" t="s">
        <v>12</v>
      </c>
    </row>
    <row r="1844" spans="1:10" x14ac:dyDescent="0.25">
      <c r="A1844" s="2">
        <v>915.511881382571</v>
      </c>
      <c r="B1844" s="3">
        <v>0.74327524623879904</v>
      </c>
      <c r="C1844" s="5">
        <v>7.8322650091343602E-10</v>
      </c>
      <c r="D1844" s="6">
        <v>4.2315689309624599E-9</v>
      </c>
      <c r="E1844" s="3" t="s">
        <v>7318</v>
      </c>
      <c r="F1844" s="3" t="s">
        <v>7319</v>
      </c>
      <c r="G1844" s="3">
        <v>17684</v>
      </c>
      <c r="H1844" s="7" t="str">
        <f>HYPERLINK("http://www.ensembl.org/Mus_musculus/Gene/Summary?db=core;g=ENSMUSG00000039910","ENSMUSG00000039910")</f>
        <v>ENSMUSG00000039910</v>
      </c>
      <c r="I1844" s="7" t="str">
        <f>HYPERLINK("http://www.informatics.jax.org/marker/MGI:1306784","MGI:1306784")</f>
        <v>MGI:1306784</v>
      </c>
      <c r="J1844" s="4" t="s">
        <v>12</v>
      </c>
    </row>
    <row r="1845" spans="1:10" x14ac:dyDescent="0.25">
      <c r="A1845" s="2">
        <v>126.22666617852499</v>
      </c>
      <c r="B1845" s="3">
        <v>0.74268835057766902</v>
      </c>
      <c r="C1845" s="5">
        <v>1.9390971487333298E-6</v>
      </c>
      <c r="D1845" s="6">
        <v>7.8054696413597293E-6</v>
      </c>
      <c r="E1845" s="3" t="s">
        <v>9813</v>
      </c>
      <c r="F1845" s="3" t="s">
        <v>9814</v>
      </c>
      <c r="G1845" s="3">
        <v>235505</v>
      </c>
      <c r="H1845" s="7" t="str">
        <f>HYPERLINK("http://www.ensembl.org/Mus_musculus/Gene/Summary?db=core;g=ENSMUSG00000046186","ENSMUSG00000046186")</f>
        <v>ENSMUSG00000046186</v>
      </c>
      <c r="I1845" s="7" t="str">
        <f>HYPERLINK("http://www.informatics.jax.org/marker/MGI:2445221","MGI:2445221")</f>
        <v>MGI:2445221</v>
      </c>
      <c r="J1845" s="4" t="s">
        <v>12</v>
      </c>
    </row>
    <row r="1846" spans="1:10" x14ac:dyDescent="0.25">
      <c r="A1846" s="2">
        <v>2627.1262262652799</v>
      </c>
      <c r="B1846" s="3">
        <v>0.74264419771331003</v>
      </c>
      <c r="C1846" s="5">
        <v>9.5690777043497498E-28</v>
      </c>
      <c r="D1846" s="6">
        <v>1.2951421573766401E-26</v>
      </c>
      <c r="E1846" s="3" t="s">
        <v>2932</v>
      </c>
      <c r="F1846" s="3" t="s">
        <v>2933</v>
      </c>
      <c r="G1846" s="3">
        <v>76884</v>
      </c>
      <c r="H1846" s="7" t="str">
        <f>HYPERLINK("http://www.ensembl.org/Mus_musculus/Gene/Summary?db=core;g=ENSMUSG00000020340","ENSMUSG00000020340")</f>
        <v>ENSMUSG00000020340</v>
      </c>
      <c r="I1846" s="7" t="str">
        <f>HYPERLINK("http://www.informatics.jax.org/marker/MGI:1924134","MGI:1924134")</f>
        <v>MGI:1924134</v>
      </c>
      <c r="J1846" s="4" t="s">
        <v>12</v>
      </c>
    </row>
    <row r="1847" spans="1:10" x14ac:dyDescent="0.25">
      <c r="A1847" s="2">
        <v>117.820547296372</v>
      </c>
      <c r="B1847" s="3">
        <v>0.74229232708503001</v>
      </c>
      <c r="C1847" s="5">
        <v>9.4200380367827904E-11</v>
      </c>
      <c r="D1847" s="6">
        <v>5.4781229750916097E-10</v>
      </c>
      <c r="E1847" s="3" t="s">
        <v>6800</v>
      </c>
      <c r="F1847" s="3" t="s">
        <v>6801</v>
      </c>
      <c r="G1847" s="3" t="s">
        <v>83</v>
      </c>
      <c r="H1847" s="7" t="str">
        <f>HYPERLINK("http://www.ensembl.org/Mus_musculus/Gene/Summary?db=core;g=ENSMUSG00000082319","ENSMUSG00000082319")</f>
        <v>ENSMUSG00000082319</v>
      </c>
      <c r="I1847" s="7" t="str">
        <f>HYPERLINK("http://www.informatics.jax.org/marker/MGI:3648640","MGI:3648640")</f>
        <v>MGI:3648640</v>
      </c>
      <c r="J1847" s="4" t="s">
        <v>1043</v>
      </c>
    </row>
    <row r="1848" spans="1:10" x14ac:dyDescent="0.25">
      <c r="A1848" s="2">
        <v>252.18462530359901</v>
      </c>
      <c r="B1848" s="3">
        <v>0.74169068481191003</v>
      </c>
      <c r="C1848" s="5">
        <v>7.1279386048914495E-15</v>
      </c>
      <c r="D1848" s="6">
        <v>5.4460654509283001E-14</v>
      </c>
      <c r="E1848" s="3" t="s">
        <v>5179</v>
      </c>
      <c r="F1848" s="3" t="s">
        <v>5180</v>
      </c>
      <c r="G1848" s="3">
        <v>17760</v>
      </c>
      <c r="H1848" s="7" t="str">
        <f>HYPERLINK("http://www.ensembl.org/Mus_musculus/Gene/Summary?db=core;g=ENSMUSG00000055407","ENSMUSG00000055407")</f>
        <v>ENSMUSG00000055407</v>
      </c>
      <c r="I1848" s="7" t="str">
        <f>HYPERLINK("http://www.informatics.jax.org/marker/MGI:1201690","MGI:1201690")</f>
        <v>MGI:1201690</v>
      </c>
      <c r="J1848" s="4" t="s">
        <v>12</v>
      </c>
    </row>
    <row r="1849" spans="1:10" x14ac:dyDescent="0.25">
      <c r="A1849" s="2">
        <v>36.166027451387798</v>
      </c>
      <c r="B1849" s="3">
        <v>0.74148466091676901</v>
      </c>
      <c r="C1849" s="3">
        <v>1.5834701882313899E-4</v>
      </c>
      <c r="D1849" s="4">
        <v>5.2026044838258804E-4</v>
      </c>
      <c r="E1849" s="3" t="s">
        <v>12015</v>
      </c>
      <c r="F1849" s="3" t="s">
        <v>12016</v>
      </c>
      <c r="G1849" s="3" t="s">
        <v>83</v>
      </c>
      <c r="H1849" s="7" t="str">
        <f>HYPERLINK("http://www.ensembl.org/Mus_musculus/Gene/Summary?db=core;g=ENSMUSG00000104068","ENSMUSG00000104068")</f>
        <v>ENSMUSG00000104068</v>
      </c>
      <c r="I1849" s="7" t="str">
        <f>HYPERLINK("http://www.informatics.jax.org/marker/MGI:5610427","MGI:5610427")</f>
        <v>MGI:5610427</v>
      </c>
      <c r="J1849" s="4" t="s">
        <v>1828</v>
      </c>
    </row>
    <row r="1850" spans="1:10" x14ac:dyDescent="0.25">
      <c r="A1850" s="2">
        <v>68.806458053982894</v>
      </c>
      <c r="B1850" s="3">
        <v>0.74004162089909398</v>
      </c>
      <c r="C1850" s="3">
        <v>1.7113326421635099E-4</v>
      </c>
      <c r="D1850" s="4">
        <v>5.5956689941078603E-4</v>
      </c>
      <c r="E1850" s="3" t="s">
        <v>12073</v>
      </c>
      <c r="F1850" s="3" t="s">
        <v>12074</v>
      </c>
      <c r="G1850" s="3">
        <v>57746</v>
      </c>
      <c r="H1850" s="7" t="str">
        <f>HYPERLINK("http://www.ensembl.org/Mus_musculus/Gene/Summary?db=core;g=ENSMUSG00000033644","ENSMUSG00000033644")</f>
        <v>ENSMUSG00000033644</v>
      </c>
      <c r="I1850" s="7" t="str">
        <f>HYPERLINK("http://www.informatics.jax.org/marker/MGI:1930036","MGI:1930036")</f>
        <v>MGI:1930036</v>
      </c>
      <c r="J1850" s="4" t="s">
        <v>12</v>
      </c>
    </row>
    <row r="1851" spans="1:10" x14ac:dyDescent="0.25">
      <c r="A1851" s="2">
        <v>2060.5668355978601</v>
      </c>
      <c r="B1851" s="3">
        <v>0.73987932525052302</v>
      </c>
      <c r="C1851" s="5">
        <v>6.6000350657904496E-16</v>
      </c>
      <c r="D1851" s="6">
        <v>5.3015352952092696E-15</v>
      </c>
      <c r="E1851" s="3" t="s">
        <v>4927</v>
      </c>
      <c r="F1851" s="3" t="s">
        <v>4928</v>
      </c>
      <c r="G1851" s="3">
        <v>52440</v>
      </c>
      <c r="H1851" s="7" t="str">
        <f>HYPERLINK("http://www.ensembl.org/Mus_musculus/Gene/Summary?db=core;g=ENSMUSG00000004535","ENSMUSG00000004535")</f>
        <v>ENSMUSG00000004535</v>
      </c>
      <c r="I1851" s="7" t="str">
        <f>HYPERLINK("http://www.informatics.jax.org/marker/MGI:1289308","MGI:1289308")</f>
        <v>MGI:1289308</v>
      </c>
      <c r="J1851" s="4" t="s">
        <v>12</v>
      </c>
    </row>
    <row r="1852" spans="1:10" x14ac:dyDescent="0.25">
      <c r="A1852" s="2">
        <v>1382.2580210881699</v>
      </c>
      <c r="B1852" s="3">
        <v>0.739815518075297</v>
      </c>
      <c r="C1852" s="5">
        <v>1.35164673287562E-59</v>
      </c>
      <c r="D1852" s="6">
        <v>4.8026078508661703E-58</v>
      </c>
      <c r="E1852" s="3" t="s">
        <v>1126</v>
      </c>
      <c r="F1852" s="3" t="s">
        <v>1127</v>
      </c>
      <c r="G1852" s="3">
        <v>216344</v>
      </c>
      <c r="H1852" s="7" t="str">
        <f>HYPERLINK("http://www.ensembl.org/Mus_musculus/Gene/Summary?db=core;g=ENSMUSG00000020132","ENSMUSG00000020132")</f>
        <v>ENSMUSG00000020132</v>
      </c>
      <c r="I1852" s="7" t="str">
        <f>HYPERLINK("http://www.informatics.jax.org/marker/MGI:894308","MGI:894308")</f>
        <v>MGI:894308</v>
      </c>
      <c r="J1852" s="4" t="s">
        <v>12</v>
      </c>
    </row>
    <row r="1853" spans="1:10" x14ac:dyDescent="0.25">
      <c r="A1853" s="2">
        <v>116.33807760213401</v>
      </c>
      <c r="B1853" s="3">
        <v>0.73979389796096096</v>
      </c>
      <c r="C1853" s="5">
        <v>5.09267243371871E-5</v>
      </c>
      <c r="D1853" s="4">
        <v>1.77339749943375E-4</v>
      </c>
      <c r="E1853" s="3" t="s">
        <v>11337</v>
      </c>
      <c r="F1853" s="3" t="s">
        <v>11338</v>
      </c>
      <c r="G1853" s="3" t="s">
        <v>83</v>
      </c>
      <c r="H1853" s="7" t="str">
        <f>HYPERLINK("http://www.ensembl.org/Mus_musculus/Gene/Summary?db=core;g=ENSMUSG00000086813","ENSMUSG00000086813")</f>
        <v>ENSMUSG00000086813</v>
      </c>
      <c r="I1853" s="7" t="str">
        <f>HYPERLINK("http://www.informatics.jax.org/marker/MGI:3650031","MGI:3650031")</f>
        <v>MGI:3650031</v>
      </c>
      <c r="J1853" s="4" t="s">
        <v>331</v>
      </c>
    </row>
    <row r="1854" spans="1:10" x14ac:dyDescent="0.25">
      <c r="A1854" s="2">
        <v>595.42593860039096</v>
      </c>
      <c r="B1854" s="3">
        <v>0.73942504918393903</v>
      </c>
      <c r="C1854" s="5">
        <v>1.1339455931986099E-12</v>
      </c>
      <c r="D1854" s="6">
        <v>7.58270840891035E-12</v>
      </c>
      <c r="E1854" s="3" t="s">
        <v>5915</v>
      </c>
      <c r="F1854" s="3" t="s">
        <v>5916</v>
      </c>
      <c r="G1854" s="3">
        <v>226421</v>
      </c>
      <c r="H1854" s="7" t="str">
        <f>HYPERLINK("http://www.ensembl.org/Mus_musculus/Gene/Summary?db=core;g=ENSMUSG00000052688","ENSMUSG00000052688")</f>
        <v>ENSMUSG00000052688</v>
      </c>
      <c r="I1854" s="7" t="str">
        <f>HYPERLINK("http://www.informatics.jax.org/marker/MGI:2442295","MGI:2442295")</f>
        <v>MGI:2442295</v>
      </c>
      <c r="J1854" s="4" t="s">
        <v>12</v>
      </c>
    </row>
    <row r="1855" spans="1:10" x14ac:dyDescent="0.25">
      <c r="A1855" s="2">
        <v>836.12100158781698</v>
      </c>
      <c r="B1855" s="3">
        <v>0.73900461114256699</v>
      </c>
      <c r="C1855" s="5">
        <v>1.93147417619533E-21</v>
      </c>
      <c r="D1855" s="6">
        <v>2.03682731307872E-20</v>
      </c>
      <c r="E1855" s="3" t="s">
        <v>3758</v>
      </c>
      <c r="F1855" s="3" t="s">
        <v>3759</v>
      </c>
      <c r="G1855" s="3">
        <v>71268</v>
      </c>
      <c r="H1855" s="7" t="str">
        <f>HYPERLINK("http://www.ensembl.org/Mus_musculus/Gene/Summary?db=core;g=ENSMUSG00000032497","ENSMUSG00000032497")</f>
        <v>ENSMUSG00000032497</v>
      </c>
      <c r="I1855" s="7" t="str">
        <f>HYPERLINK("http://www.informatics.jax.org/marker/MGI:1918518","MGI:1918518")</f>
        <v>MGI:1918518</v>
      </c>
      <c r="J1855" s="4" t="s">
        <v>12</v>
      </c>
    </row>
    <row r="1856" spans="1:10" x14ac:dyDescent="0.25">
      <c r="A1856" s="2">
        <v>319.07074175935998</v>
      </c>
      <c r="B1856" s="3">
        <v>0.73848138353120696</v>
      </c>
      <c r="C1856" s="5">
        <v>3.3713440025081198E-17</v>
      </c>
      <c r="D1856" s="6">
        <v>2.9133612501954499E-16</v>
      </c>
      <c r="E1856" s="3" t="s">
        <v>4581</v>
      </c>
      <c r="F1856" s="3" t="s">
        <v>4582</v>
      </c>
      <c r="G1856" s="3">
        <v>79233</v>
      </c>
      <c r="H1856" s="7" t="str">
        <f>HYPERLINK("http://www.ensembl.org/Mus_musculus/Gene/Summary?db=core;g=ENSMUSG00000046556","ENSMUSG00000046556")</f>
        <v>ENSMUSG00000046556</v>
      </c>
      <c r="I1856" s="7" t="str">
        <f>HYPERLINK("http://www.informatics.jax.org/marker/MGI:1890618","MGI:1890618")</f>
        <v>MGI:1890618</v>
      </c>
      <c r="J1856" s="4" t="s">
        <v>12</v>
      </c>
    </row>
    <row r="1857" spans="1:10" x14ac:dyDescent="0.25">
      <c r="A1857" s="2">
        <v>21.727059841485602</v>
      </c>
      <c r="B1857" s="3">
        <v>0.73709731542397094</v>
      </c>
      <c r="C1857" s="3">
        <v>4.1468456087199101E-3</v>
      </c>
      <c r="D1857" s="4">
        <v>1.1133532389919199E-2</v>
      </c>
      <c r="E1857" s="3" t="s">
        <v>14694</v>
      </c>
      <c r="F1857" s="3" t="s">
        <v>14695</v>
      </c>
      <c r="G1857" s="3" t="s">
        <v>83</v>
      </c>
      <c r="H1857" s="7" t="str">
        <f>HYPERLINK("http://www.ensembl.org/Mus_musculus/Gene/Summary?db=core;g=ENSMUSG00000105875","ENSMUSG00000105875")</f>
        <v>ENSMUSG00000105875</v>
      </c>
      <c r="I1857" s="7" t="str">
        <f>HYPERLINK("http://www.informatics.jax.org/marker/MGI:5663655","MGI:5663655")</f>
        <v>MGI:5663655</v>
      </c>
      <c r="J1857" s="4" t="s">
        <v>12</v>
      </c>
    </row>
    <row r="1858" spans="1:10" x14ac:dyDescent="0.25">
      <c r="A1858" s="2">
        <v>1297.39372298321</v>
      </c>
      <c r="B1858" s="3">
        <v>0.7352993003853</v>
      </c>
      <c r="C1858" s="5">
        <v>4.1803152159271702E-38</v>
      </c>
      <c r="D1858" s="6">
        <v>8.0034772871926102E-37</v>
      </c>
      <c r="E1858" s="3" t="s">
        <v>2077</v>
      </c>
      <c r="F1858" s="3" t="s">
        <v>2078</v>
      </c>
      <c r="G1858" s="3">
        <v>52696</v>
      </c>
      <c r="H1858" s="7" t="str">
        <f>HYPERLINK("http://www.ensembl.org/Mus_musculus/Gene/Summary?db=core;g=ENSMUSG00000019923","ENSMUSG00000019923")</f>
        <v>ENSMUSG00000019923</v>
      </c>
      <c r="I1858" s="7" t="str">
        <f>HYPERLINK("http://www.informatics.jax.org/marker/MGI:1289227","MGI:1289227")</f>
        <v>MGI:1289227</v>
      </c>
      <c r="J1858" s="4" t="s">
        <v>12</v>
      </c>
    </row>
    <row r="1859" spans="1:10" x14ac:dyDescent="0.25">
      <c r="A1859" s="2">
        <v>238.68516398774901</v>
      </c>
      <c r="B1859" s="3">
        <v>0.73524170540571099</v>
      </c>
      <c r="C1859" s="5">
        <v>4.5107283465473599E-10</v>
      </c>
      <c r="D1859" s="6">
        <v>2.4805232290550501E-9</v>
      </c>
      <c r="E1859" s="3" t="s">
        <v>7190</v>
      </c>
      <c r="F1859" s="3" t="s">
        <v>7191</v>
      </c>
      <c r="G1859" s="3" t="s">
        <v>83</v>
      </c>
      <c r="H1859" s="7" t="str">
        <f>HYPERLINK("http://www.ensembl.org/Mus_musculus/Gene/Summary?db=core;g=ENSMUSG00000118087","ENSMUSG00000118087")</f>
        <v>ENSMUSG00000118087</v>
      </c>
      <c r="I1859" s="7" t="str">
        <f>HYPERLINK("http://www.informatics.jax.org/marker/MGI:2147599","MGI:2147599")</f>
        <v>MGI:2147599</v>
      </c>
      <c r="J1859" s="4" t="s">
        <v>3187</v>
      </c>
    </row>
    <row r="1860" spans="1:10" x14ac:dyDescent="0.25">
      <c r="A1860" s="2">
        <v>9.9082131984323496</v>
      </c>
      <c r="B1860" s="3">
        <v>0.73386000451266398</v>
      </c>
      <c r="C1860" s="3">
        <v>1.7839724198942902E-2</v>
      </c>
      <c r="D1860" s="4">
        <v>4.2091332998702199E-2</v>
      </c>
      <c r="E1860" s="3" t="s">
        <v>16720</v>
      </c>
      <c r="F1860" s="3" t="s">
        <v>16721</v>
      </c>
      <c r="G1860" s="3">
        <v>230863</v>
      </c>
      <c r="H1860" s="7" t="str">
        <f>HYPERLINK("http://www.ensembl.org/Mus_musculus/Gene/Summary?db=core;g=ENSMUSG00000045349","ENSMUSG00000045349")</f>
        <v>ENSMUSG00000045349</v>
      </c>
      <c r="I1860" s="7" t="str">
        <f>HYPERLINK("http://www.informatics.jax.org/marker/MGI:2446215","MGI:2446215")</f>
        <v>MGI:2446215</v>
      </c>
      <c r="J1860" s="4" t="s">
        <v>12</v>
      </c>
    </row>
    <row r="1861" spans="1:10" x14ac:dyDescent="0.25">
      <c r="A1861" s="2">
        <v>150.97678651055301</v>
      </c>
      <c r="B1861" s="3">
        <v>0.73335783125063303</v>
      </c>
      <c r="C1861" s="5">
        <v>4.6330758534375602E-10</v>
      </c>
      <c r="D1861" s="6">
        <v>2.5421328834109299E-9</v>
      </c>
      <c r="E1861" s="3" t="s">
        <v>7206</v>
      </c>
      <c r="F1861" s="3" t="s">
        <v>7207</v>
      </c>
      <c r="G1861" s="3">
        <v>16404</v>
      </c>
      <c r="H1861" s="7" t="str">
        <f>HYPERLINK("http://www.ensembl.org/Mus_musculus/Gene/Summary?db=core;g=ENSMUSG00000025348","ENSMUSG00000025348")</f>
        <v>ENSMUSG00000025348</v>
      </c>
      <c r="I1861" s="7" t="str">
        <f>HYPERLINK("http://www.informatics.jax.org/marker/MGI:102700","MGI:102700")</f>
        <v>MGI:102700</v>
      </c>
      <c r="J1861" s="4" t="s">
        <v>12</v>
      </c>
    </row>
    <row r="1862" spans="1:10" x14ac:dyDescent="0.25">
      <c r="A1862" s="2">
        <v>300.24358221337599</v>
      </c>
      <c r="B1862" s="3">
        <v>0.73322665732193304</v>
      </c>
      <c r="C1862" s="5">
        <v>1.01374467655722E-11</v>
      </c>
      <c r="D1862" s="6">
        <v>6.3262800701608906E-11</v>
      </c>
      <c r="E1862" s="3" t="s">
        <v>6337</v>
      </c>
      <c r="F1862" s="3" t="s">
        <v>6338</v>
      </c>
      <c r="G1862" s="3">
        <v>50766</v>
      </c>
      <c r="H1862" s="7" t="str">
        <f>HYPERLINK("http://www.ensembl.org/Mus_musculus/Gene/Summary?db=core;g=ENSMUSG00000024074","ENSMUSG00000024074")</f>
        <v>ENSMUSG00000024074</v>
      </c>
      <c r="I1862" s="7" t="str">
        <f>HYPERLINK("http://www.informatics.jax.org/marker/MGI:1354756","MGI:1354756")</f>
        <v>MGI:1354756</v>
      </c>
      <c r="J1862" s="4" t="s">
        <v>12</v>
      </c>
    </row>
    <row r="1863" spans="1:10" x14ac:dyDescent="0.25">
      <c r="A1863" s="2">
        <v>3348.8577389687798</v>
      </c>
      <c r="B1863" s="3">
        <v>0.73316803705909805</v>
      </c>
      <c r="C1863" s="5">
        <v>2.8149599995628398E-12</v>
      </c>
      <c r="D1863" s="6">
        <v>1.8405507689449301E-11</v>
      </c>
      <c r="E1863" s="3" t="s">
        <v>6049</v>
      </c>
      <c r="F1863" s="3" t="s">
        <v>6050</v>
      </c>
      <c r="G1863" s="3">
        <v>16790</v>
      </c>
      <c r="H1863" s="7" t="str">
        <f>HYPERLINK("http://www.ensembl.org/Mus_musculus/Gene/Summary?db=core;g=ENSMUSG00000039062","ENSMUSG00000039062")</f>
        <v>ENSMUSG00000039062</v>
      </c>
      <c r="I1863" s="7" t="str">
        <f>HYPERLINK("http://www.informatics.jax.org/marker/MGI:5000466","MGI:5000466")</f>
        <v>MGI:5000466</v>
      </c>
      <c r="J1863" s="4" t="s">
        <v>12</v>
      </c>
    </row>
    <row r="1864" spans="1:10" x14ac:dyDescent="0.25">
      <c r="A1864" s="2">
        <v>1943.7079111611399</v>
      </c>
      <c r="B1864" s="3">
        <v>0.73245226805460295</v>
      </c>
      <c r="C1864" s="5">
        <v>3.1739330819590099E-11</v>
      </c>
      <c r="D1864" s="6">
        <v>1.91523746561296E-10</v>
      </c>
      <c r="E1864" s="3" t="s">
        <v>6553</v>
      </c>
      <c r="F1864" s="3" t="s">
        <v>6554</v>
      </c>
      <c r="G1864" s="3">
        <v>20910</v>
      </c>
      <c r="H1864" s="7" t="str">
        <f>HYPERLINK("http://www.ensembl.org/Mus_musculus/Gene/Summary?db=core;g=ENSMUSG00000026797","ENSMUSG00000026797")</f>
        <v>ENSMUSG00000026797</v>
      </c>
      <c r="I1864" s="7" t="str">
        <f>HYPERLINK("http://www.informatics.jax.org/marker/MGI:107363","MGI:107363")</f>
        <v>MGI:107363</v>
      </c>
      <c r="J1864" s="4" t="s">
        <v>12</v>
      </c>
    </row>
    <row r="1865" spans="1:10" x14ac:dyDescent="0.25">
      <c r="A1865" s="2">
        <v>111.558161759827</v>
      </c>
      <c r="B1865" s="3">
        <v>0.73197480813110205</v>
      </c>
      <c r="C1865" s="5">
        <v>1.0025344107192801E-6</v>
      </c>
      <c r="D1865" s="6">
        <v>4.1455186788392196E-6</v>
      </c>
      <c r="E1865" s="3" t="s">
        <v>9553</v>
      </c>
      <c r="F1865" s="3" t="s">
        <v>9554</v>
      </c>
      <c r="G1865" s="3" t="s">
        <v>83</v>
      </c>
      <c r="H1865" s="7" t="str">
        <f>HYPERLINK("http://www.ensembl.org/Mus_musculus/Gene/Summary?db=core;g=ENSMUSG00000052825","ENSMUSG00000052825")</f>
        <v>ENSMUSG00000052825</v>
      </c>
      <c r="I1865" s="7" t="str">
        <f>HYPERLINK("http://www.informatics.jax.org/marker/MGI:3701610","MGI:3701610")</f>
        <v>MGI:3701610</v>
      </c>
      <c r="J1865" s="4" t="s">
        <v>1043</v>
      </c>
    </row>
    <row r="1866" spans="1:10" x14ac:dyDescent="0.25">
      <c r="A1866" s="2">
        <v>260.73089903881299</v>
      </c>
      <c r="B1866" s="3">
        <v>0.73162700004482095</v>
      </c>
      <c r="C1866" s="5">
        <v>9.4105048601148597E-9</v>
      </c>
      <c r="D1866" s="6">
        <v>4.6779721664095E-8</v>
      </c>
      <c r="E1866" s="3" t="s">
        <v>7951</v>
      </c>
      <c r="F1866" s="3" t="s">
        <v>7952</v>
      </c>
      <c r="G1866" s="3">
        <v>66966</v>
      </c>
      <c r="H1866" s="7" t="str">
        <f>HYPERLINK("http://www.ensembl.org/Mus_musculus/Gene/Summary?db=core;g=ENSMUSG00000028653","ENSMUSG00000028653")</f>
        <v>ENSMUSG00000028653</v>
      </c>
      <c r="I1866" s="7" t="str">
        <f>HYPERLINK("http://www.informatics.jax.org/marker/MGI:1914216","MGI:1914216")</f>
        <v>MGI:1914216</v>
      </c>
      <c r="J1866" s="4" t="s">
        <v>12</v>
      </c>
    </row>
    <row r="1867" spans="1:10" x14ac:dyDescent="0.25">
      <c r="A1867" s="2">
        <v>326.29821372669801</v>
      </c>
      <c r="B1867" s="3">
        <v>0.73148554802988697</v>
      </c>
      <c r="C1867" s="5">
        <v>2.1806859728233899E-13</v>
      </c>
      <c r="D1867" s="6">
        <v>1.52547454359976E-12</v>
      </c>
      <c r="E1867" s="3" t="s">
        <v>5655</v>
      </c>
      <c r="F1867" s="3" t="s">
        <v>5656</v>
      </c>
      <c r="G1867" s="3">
        <v>353310</v>
      </c>
      <c r="H1867" s="7" t="str">
        <f>HYPERLINK("http://www.ensembl.org/Mus_musculus/Gene/Summary?db=core;g=ENSMUSG00000085795","ENSMUSG00000085795")</f>
        <v>ENSMUSG00000085795</v>
      </c>
      <c r="I1867" s="7" t="str">
        <f>HYPERLINK("http://www.informatics.jax.org/marker/MGI:2662729","MGI:2662729")</f>
        <v>MGI:2662729</v>
      </c>
      <c r="J1867" s="4" t="s">
        <v>12</v>
      </c>
    </row>
    <row r="1868" spans="1:10" x14ac:dyDescent="0.25">
      <c r="A1868" s="2">
        <v>332.94450685428899</v>
      </c>
      <c r="B1868" s="3">
        <v>0.72915548515449102</v>
      </c>
      <c r="C1868" s="5">
        <v>6.81508349920627E-18</v>
      </c>
      <c r="D1868" s="6">
        <v>6.1158918473589205E-17</v>
      </c>
      <c r="E1868" s="3" t="s">
        <v>4413</v>
      </c>
      <c r="F1868" s="3" t="s">
        <v>4414</v>
      </c>
      <c r="G1868" s="3" t="s">
        <v>83</v>
      </c>
      <c r="H1868" s="7" t="str">
        <f>HYPERLINK("http://www.ensembl.org/Mus_musculus/Gene/Summary?db=core;g=ENSMUSG00000105053","ENSMUSG00000105053")</f>
        <v>ENSMUSG00000105053</v>
      </c>
      <c r="I1868" s="7" t="str">
        <f>HYPERLINK("http://www.informatics.jax.org/marker/MGI:5663201","MGI:5663201")</f>
        <v>MGI:5663201</v>
      </c>
      <c r="J1868" s="4" t="s">
        <v>12</v>
      </c>
    </row>
    <row r="1869" spans="1:10" x14ac:dyDescent="0.25">
      <c r="A1869" s="2">
        <v>32.453225121137102</v>
      </c>
      <c r="B1869" s="3">
        <v>0.72900578485890599</v>
      </c>
      <c r="C1869" s="3">
        <v>6.9876828663574899E-4</v>
      </c>
      <c r="D1869" s="4">
        <v>2.1044151821101101E-3</v>
      </c>
      <c r="E1869" s="3" t="s">
        <v>13105</v>
      </c>
      <c r="F1869" s="3" t="s">
        <v>13106</v>
      </c>
      <c r="G1869" s="3" t="s">
        <v>83</v>
      </c>
      <c r="H1869" s="7" t="str">
        <f>HYPERLINK("http://www.ensembl.org/Mus_musculus/Gene/Summary?db=core;g=ENSMUSG00000111528","ENSMUSG00000111528")</f>
        <v>ENSMUSG00000111528</v>
      </c>
      <c r="I1869" s="7" t="str">
        <f>HYPERLINK("http://www.informatics.jax.org/marker/MGI:5622345","MGI:5622345")</f>
        <v>MGI:5622345</v>
      </c>
      <c r="J1869" s="4" t="s">
        <v>939</v>
      </c>
    </row>
    <row r="1870" spans="1:10" x14ac:dyDescent="0.25">
      <c r="A1870" s="2">
        <v>507.59867148217597</v>
      </c>
      <c r="B1870" s="3">
        <v>0.72876391535090901</v>
      </c>
      <c r="C1870" s="5">
        <v>3.0288320540179999E-18</v>
      </c>
      <c r="D1870" s="6">
        <v>2.76777424027966E-17</v>
      </c>
      <c r="E1870" s="3" t="s">
        <v>4333</v>
      </c>
      <c r="F1870" s="3" t="s">
        <v>4334</v>
      </c>
      <c r="G1870" s="3">
        <v>235533</v>
      </c>
      <c r="H1870" s="7" t="str">
        <f>HYPERLINK("http://www.ensembl.org/Mus_musculus/Gene/Summary?db=core;g=ENSMUSG00000041440","ENSMUSG00000041440")</f>
        <v>ENSMUSG00000041440</v>
      </c>
      <c r="I1870" s="7" t="str">
        <f>HYPERLINK("http://www.informatics.jax.org/marker/MGI:2443336","MGI:2443336")</f>
        <v>MGI:2443336</v>
      </c>
      <c r="J1870" s="4" t="s">
        <v>12</v>
      </c>
    </row>
    <row r="1871" spans="1:10" x14ac:dyDescent="0.25">
      <c r="A1871" s="2">
        <v>394.08541694757997</v>
      </c>
      <c r="B1871" s="3">
        <v>0.72848945005094101</v>
      </c>
      <c r="C1871" s="5">
        <v>5.2983008433882103E-25</v>
      </c>
      <c r="D1871" s="6">
        <v>6.4455578427893597E-24</v>
      </c>
      <c r="E1871" s="3" t="s">
        <v>3262</v>
      </c>
      <c r="F1871" s="3" t="s">
        <v>3263</v>
      </c>
      <c r="G1871" s="3">
        <v>72098</v>
      </c>
      <c r="H1871" s="7" t="str">
        <f>HYPERLINK("http://www.ensembl.org/Mus_musculus/Gene/Summary?db=core;g=ENSMUSG00000028232","ENSMUSG00000028232")</f>
        <v>ENSMUSG00000028232</v>
      </c>
      <c r="I1871" s="7" t="str">
        <f>HYPERLINK("http://www.informatics.jax.org/marker/MGI:1919348","MGI:1919348")</f>
        <v>MGI:1919348</v>
      </c>
      <c r="J1871" s="4" t="s">
        <v>12</v>
      </c>
    </row>
    <row r="1872" spans="1:10" x14ac:dyDescent="0.25">
      <c r="A1872" s="2">
        <v>310.89707410312599</v>
      </c>
      <c r="B1872" s="3">
        <v>0.72800011542636101</v>
      </c>
      <c r="C1872" s="5">
        <v>6.1592646997945797E-12</v>
      </c>
      <c r="D1872" s="6">
        <v>3.9168236014172598E-11</v>
      </c>
      <c r="E1872" s="3" t="s">
        <v>6219</v>
      </c>
      <c r="F1872" s="3" t="s">
        <v>6220</v>
      </c>
      <c r="G1872" s="3">
        <v>242466</v>
      </c>
      <c r="H1872" s="7" t="str">
        <f>HYPERLINK("http://www.ensembl.org/Mus_musculus/Gene/Summary?db=core;g=ENSMUSG00000060206","ENSMUSG00000060206")</f>
        <v>ENSMUSG00000060206</v>
      </c>
      <c r="I1872" s="7" t="str">
        <f>HYPERLINK("http://www.informatics.jax.org/marker/MGI:107690","MGI:107690")</f>
        <v>MGI:107690</v>
      </c>
      <c r="J1872" s="4" t="s">
        <v>12</v>
      </c>
    </row>
    <row r="1873" spans="1:10" x14ac:dyDescent="0.25">
      <c r="A1873" s="2">
        <v>1028.7908939558899</v>
      </c>
      <c r="B1873" s="3">
        <v>0.727270728834292</v>
      </c>
      <c r="C1873" s="5">
        <v>3.0429474121502602E-32</v>
      </c>
      <c r="D1873" s="6">
        <v>4.7624542037780299E-31</v>
      </c>
      <c r="E1873" s="3" t="s">
        <v>2537</v>
      </c>
      <c r="F1873" s="3" t="s">
        <v>2538</v>
      </c>
      <c r="G1873" s="3">
        <v>18704</v>
      </c>
      <c r="H1873" s="7" t="str">
        <f>HYPERLINK("http://www.ensembl.org/Mus_musculus/Gene/Summary?db=core;g=ENSMUSG00000030660","ENSMUSG00000030660")</f>
        <v>ENSMUSG00000030660</v>
      </c>
      <c r="I1873" s="7" t="str">
        <f>HYPERLINK("http://www.informatics.jax.org/marker/MGI:1203729","MGI:1203729")</f>
        <v>MGI:1203729</v>
      </c>
      <c r="J1873" s="4" t="s">
        <v>12</v>
      </c>
    </row>
    <row r="1874" spans="1:10" x14ac:dyDescent="0.25">
      <c r="A1874" s="2">
        <v>5948.6480406160799</v>
      </c>
      <c r="B1874" s="3">
        <v>0.72655271798087295</v>
      </c>
      <c r="C1874" s="5">
        <v>2.5747087261839799E-12</v>
      </c>
      <c r="D1874" s="6">
        <v>1.68681913888199E-11</v>
      </c>
      <c r="E1874" s="3" t="s">
        <v>6037</v>
      </c>
      <c r="F1874" s="3" t="s">
        <v>6038</v>
      </c>
      <c r="G1874" s="3">
        <v>17909</v>
      </c>
      <c r="H1874" s="7" t="str">
        <f>HYPERLINK("http://www.ensembl.org/Mus_musculus/Gene/Summary?db=core;g=ENSMUSG00000022272","ENSMUSG00000022272")</f>
        <v>ENSMUSG00000022272</v>
      </c>
      <c r="I1874" s="7" t="str">
        <f>HYPERLINK("http://www.informatics.jax.org/marker/MGI:107716","MGI:107716")</f>
        <v>MGI:107716</v>
      </c>
      <c r="J1874" s="4" t="s">
        <v>12</v>
      </c>
    </row>
    <row r="1875" spans="1:10" x14ac:dyDescent="0.25">
      <c r="A1875" s="2">
        <v>26.6405567517915</v>
      </c>
      <c r="B1875" s="3">
        <v>0.72622972699781896</v>
      </c>
      <c r="C1875" s="3">
        <v>8.5146788080973099E-4</v>
      </c>
      <c r="D1875" s="4">
        <v>2.5360136851786601E-3</v>
      </c>
      <c r="E1875" s="3" t="s">
        <v>13251</v>
      </c>
      <c r="F1875" s="3" t="s">
        <v>13252</v>
      </c>
      <c r="G1875" s="3" t="s">
        <v>83</v>
      </c>
      <c r="H1875" s="7" t="str">
        <f>HYPERLINK("http://www.ensembl.org/Mus_musculus/Gene/Summary?db=core;g=ENSMUSG00000118653","ENSMUSG00000118653")</f>
        <v>ENSMUSG00000118653</v>
      </c>
      <c r="I1875" s="3" t="s">
        <v>83</v>
      </c>
      <c r="J1875" s="4" t="s">
        <v>12</v>
      </c>
    </row>
    <row r="1876" spans="1:10" x14ac:dyDescent="0.25">
      <c r="A1876" s="2">
        <v>5021.1094580467498</v>
      </c>
      <c r="B1876" s="3">
        <v>0.72612755701818799</v>
      </c>
      <c r="C1876" s="5">
        <v>6.1297741752364497E-30</v>
      </c>
      <c r="D1876" s="6">
        <v>9.0073879832833601E-29</v>
      </c>
      <c r="E1876" s="3" t="s">
        <v>2702</v>
      </c>
      <c r="F1876" s="3" t="s">
        <v>2703</v>
      </c>
      <c r="G1876" s="3">
        <v>18173</v>
      </c>
      <c r="H1876" s="7" t="str">
        <f>HYPERLINK("http://www.ensembl.org/Mus_musculus/Gene/Summary?db=core;g=ENSMUSG00000026177","ENSMUSG00000026177")</f>
        <v>ENSMUSG00000026177</v>
      </c>
      <c r="I1876" s="7" t="str">
        <f>HYPERLINK("http://www.informatics.jax.org/marker/MGI:1345275","MGI:1345275")</f>
        <v>MGI:1345275</v>
      </c>
      <c r="J1876" s="4" t="s">
        <v>12</v>
      </c>
    </row>
    <row r="1877" spans="1:10" x14ac:dyDescent="0.25">
      <c r="A1877" s="2">
        <v>506.05463091919802</v>
      </c>
      <c r="B1877" s="3">
        <v>0.72607956534915197</v>
      </c>
      <c r="C1877" s="5">
        <v>2.10853844251738E-21</v>
      </c>
      <c r="D1877" s="6">
        <v>2.21998815197239E-20</v>
      </c>
      <c r="E1877" s="3" t="s">
        <v>3764</v>
      </c>
      <c r="F1877" s="3" t="s">
        <v>3765</v>
      </c>
      <c r="G1877" s="3">
        <v>70427</v>
      </c>
      <c r="H1877" s="7" t="str">
        <f>HYPERLINK("http://www.ensembl.org/Mus_musculus/Gene/Summary?db=core;g=ENSMUSG00000042570","ENSMUSG00000042570")</f>
        <v>ENSMUSG00000042570</v>
      </c>
      <c r="I1877" s="7" t="str">
        <f>HYPERLINK("http://www.informatics.jax.org/marker/MGI:1917677","MGI:1917677")</f>
        <v>MGI:1917677</v>
      </c>
      <c r="J1877" s="4" t="s">
        <v>12</v>
      </c>
    </row>
    <row r="1878" spans="1:10" x14ac:dyDescent="0.25">
      <c r="A1878" s="2">
        <v>730.65638159626997</v>
      </c>
      <c r="B1878" s="3">
        <v>0.72604645408965196</v>
      </c>
      <c r="C1878" s="5">
        <v>3.44527534542757E-23</v>
      </c>
      <c r="D1878" s="6">
        <v>3.92041718475659E-22</v>
      </c>
      <c r="E1878" s="3" t="s">
        <v>3484</v>
      </c>
      <c r="F1878" s="3" t="s">
        <v>3485</v>
      </c>
      <c r="G1878" s="3">
        <v>230393</v>
      </c>
      <c r="H1878" s="7" t="str">
        <f>HYPERLINK("http://www.ensembl.org/Mus_musculus/Gene/Summary?db=core;g=ENSMUSG00000038368","ENSMUSG00000038368")</f>
        <v>ENSMUSG00000038368</v>
      </c>
      <c r="I1878" s="7" t="str">
        <f>HYPERLINK("http://www.informatics.jax.org/marker/MGI:2676921","MGI:2676921")</f>
        <v>MGI:2676921</v>
      </c>
      <c r="J1878" s="4" t="s">
        <v>12</v>
      </c>
    </row>
    <row r="1879" spans="1:10" x14ac:dyDescent="0.25">
      <c r="A1879" s="2">
        <v>83.874180067906593</v>
      </c>
      <c r="B1879" s="3">
        <v>0.72561969585567798</v>
      </c>
      <c r="C1879" s="3">
        <v>1.0544624113220599E-3</v>
      </c>
      <c r="D1879" s="4">
        <v>3.0980331870189199E-3</v>
      </c>
      <c r="E1879" s="3" t="s">
        <v>13433</v>
      </c>
      <c r="F1879" s="3" t="s">
        <v>13434</v>
      </c>
      <c r="G1879" s="3">
        <v>21350</v>
      </c>
      <c r="H1879" s="7" t="str">
        <f>HYPERLINK("http://www.ensembl.org/Mus_musculus/Gene/Summary?db=core;g=ENSMUSG00000028417","ENSMUSG00000028417")</f>
        <v>ENSMUSG00000028417</v>
      </c>
      <c r="I1879" s="7" t="str">
        <f>HYPERLINK("http://www.informatics.jax.org/marker/MGI:99540","MGI:99540")</f>
        <v>MGI:99540</v>
      </c>
      <c r="J1879" s="4" t="s">
        <v>12</v>
      </c>
    </row>
    <row r="1880" spans="1:10" x14ac:dyDescent="0.25">
      <c r="A1880" s="2">
        <v>7009.4630411455701</v>
      </c>
      <c r="B1880" s="3">
        <v>0.72489723055733002</v>
      </c>
      <c r="C1880" s="5">
        <v>3.31708499189147E-42</v>
      </c>
      <c r="D1880" s="6">
        <v>7.1882325318791E-41</v>
      </c>
      <c r="E1880" s="3" t="s">
        <v>1837</v>
      </c>
      <c r="F1880" s="3" t="s">
        <v>1838</v>
      </c>
      <c r="G1880" s="3">
        <v>98238</v>
      </c>
      <c r="H1880" s="7" t="str">
        <f>HYPERLINK("http://www.ensembl.org/Mus_musculus/Gene/Summary?db=core;g=ENSMUSG00000020869","ENSMUSG00000020869")</f>
        <v>ENSMUSG00000020869</v>
      </c>
      <c r="I1880" s="7" t="str">
        <f>HYPERLINK("http://www.informatics.jax.org/marker/MGI:2138133","MGI:2138133")</f>
        <v>MGI:2138133</v>
      </c>
      <c r="J1880" s="4" t="s">
        <v>12</v>
      </c>
    </row>
    <row r="1881" spans="1:10" x14ac:dyDescent="0.25">
      <c r="A1881" s="2">
        <v>1160.6225916118001</v>
      </c>
      <c r="B1881" s="3">
        <v>0.72425299124278197</v>
      </c>
      <c r="C1881" s="5">
        <v>2.80552128518118E-32</v>
      </c>
      <c r="D1881" s="6">
        <v>4.4013428594886903E-31</v>
      </c>
      <c r="E1881" s="3" t="s">
        <v>2531</v>
      </c>
      <c r="F1881" s="3" t="s">
        <v>2532</v>
      </c>
      <c r="G1881" s="3">
        <v>19696</v>
      </c>
      <c r="H1881" s="7" t="str">
        <f>HYPERLINK("http://www.ensembl.org/Mus_musculus/Gene/Summary?db=core;g=ENSMUSG00000020275","ENSMUSG00000020275")</f>
        <v>ENSMUSG00000020275</v>
      </c>
      <c r="I1881" s="7" t="str">
        <f>HYPERLINK("http://www.informatics.jax.org/marker/MGI:97897","MGI:97897")</f>
        <v>MGI:97897</v>
      </c>
      <c r="J1881" s="4" t="s">
        <v>12</v>
      </c>
    </row>
    <row r="1882" spans="1:10" x14ac:dyDescent="0.25">
      <c r="A1882" s="2">
        <v>94.5499860229327</v>
      </c>
      <c r="B1882" s="3">
        <v>0.72420970732329504</v>
      </c>
      <c r="C1882" s="5">
        <v>1.58199652612032E-7</v>
      </c>
      <c r="D1882" s="6">
        <v>7.0390278644162095E-7</v>
      </c>
      <c r="E1882" s="3" t="s">
        <v>8881</v>
      </c>
      <c r="F1882" s="3" t="s">
        <v>8882</v>
      </c>
      <c r="G1882" s="3" t="s">
        <v>83</v>
      </c>
      <c r="H1882" s="7" t="str">
        <f>HYPERLINK("http://www.ensembl.org/Mus_musculus/Gene/Summary?db=core;g=ENSMUSG00000102644","ENSMUSG00000102644")</f>
        <v>ENSMUSG00000102644</v>
      </c>
      <c r="I1882" s="7" t="str">
        <f>HYPERLINK("http://www.informatics.jax.org/marker/MGI:1922436","MGI:1922436")</f>
        <v>MGI:1922436</v>
      </c>
      <c r="J1882" s="4" t="s">
        <v>3150</v>
      </c>
    </row>
    <row r="1883" spans="1:10" x14ac:dyDescent="0.25">
      <c r="A1883" s="2">
        <v>18.607237399706801</v>
      </c>
      <c r="B1883" s="3">
        <v>0.72365171948575402</v>
      </c>
      <c r="C1883" s="3">
        <v>1.17130881617473E-2</v>
      </c>
      <c r="D1883" s="4">
        <v>2.8725543906187902E-2</v>
      </c>
      <c r="E1883" s="3" t="s">
        <v>16087</v>
      </c>
      <c r="F1883" s="3" t="s">
        <v>16088</v>
      </c>
      <c r="G1883" s="3" t="s">
        <v>83</v>
      </c>
      <c r="H1883" s="7" t="str">
        <f>HYPERLINK("http://www.ensembl.org/Mus_musculus/Gene/Summary?db=core;g=ENSMUSG00000116380","ENSMUSG00000116380")</f>
        <v>ENSMUSG00000116380</v>
      </c>
      <c r="I1883" s="7" t="str">
        <f>HYPERLINK("http://www.informatics.jax.org/marker/MGI:5622441","MGI:5622441")</f>
        <v>MGI:5622441</v>
      </c>
      <c r="J1883" s="4" t="s">
        <v>939</v>
      </c>
    </row>
    <row r="1884" spans="1:10" x14ac:dyDescent="0.25">
      <c r="A1884" s="2">
        <v>9663.3205871098307</v>
      </c>
      <c r="B1884" s="3">
        <v>0.72331316283395397</v>
      </c>
      <c r="C1884" s="5">
        <v>1.17374700110408E-14</v>
      </c>
      <c r="D1884" s="6">
        <v>8.8649141561748005E-14</v>
      </c>
      <c r="E1884" s="3" t="s">
        <v>5239</v>
      </c>
      <c r="F1884" s="3" t="s">
        <v>5240</v>
      </c>
      <c r="G1884" s="3">
        <v>110208</v>
      </c>
      <c r="H1884" s="7" t="str">
        <f>HYPERLINK("http://www.ensembl.org/Mus_musculus/Gene/Summary?db=core;g=ENSMUSG00000028961","ENSMUSG00000028961")</f>
        <v>ENSMUSG00000028961</v>
      </c>
      <c r="I1884" s="7" t="str">
        <f>HYPERLINK("http://www.informatics.jax.org/marker/MGI:97553","MGI:97553")</f>
        <v>MGI:97553</v>
      </c>
      <c r="J1884" s="4" t="s">
        <v>12</v>
      </c>
    </row>
    <row r="1885" spans="1:10" x14ac:dyDescent="0.25">
      <c r="A1885" s="2">
        <v>1158.0354387019499</v>
      </c>
      <c r="B1885" s="3">
        <v>0.72304408496821204</v>
      </c>
      <c r="C1885" s="5">
        <v>8.9722936831698301E-63</v>
      </c>
      <c r="D1885" s="6">
        <v>3.5175672252904401E-61</v>
      </c>
      <c r="E1885" s="3" t="s">
        <v>1021</v>
      </c>
      <c r="F1885" s="3" t="s">
        <v>1022</v>
      </c>
      <c r="G1885" s="3">
        <v>170760</v>
      </c>
      <c r="H1885" s="7" t="str">
        <f>HYPERLINK("http://www.ensembl.org/Mus_musculus/Gene/Summary?db=core;g=ENSMUSG00000026499","ENSMUSG00000026499")</f>
        <v>ENSMUSG00000026499</v>
      </c>
      <c r="I1885" s="7" t="str">
        <f>HYPERLINK("http://www.informatics.jax.org/marker/MGI:2181074","MGI:2181074")</f>
        <v>MGI:2181074</v>
      </c>
      <c r="J1885" s="4" t="s">
        <v>12</v>
      </c>
    </row>
    <row r="1886" spans="1:10" x14ac:dyDescent="0.25">
      <c r="A1886" s="2">
        <v>1970.02267366312</v>
      </c>
      <c r="B1886" s="3">
        <v>0.72282640238609797</v>
      </c>
      <c r="C1886" s="5">
        <v>3.04452085739511E-30</v>
      </c>
      <c r="D1886" s="6">
        <v>4.52433694859318E-29</v>
      </c>
      <c r="E1886" s="3" t="s">
        <v>2671</v>
      </c>
      <c r="F1886" s="3" t="s">
        <v>2672</v>
      </c>
      <c r="G1886" s="3">
        <v>241694</v>
      </c>
      <c r="H1886" s="7" t="str">
        <f>HYPERLINK("http://www.ensembl.org/Mus_musculus/Gene/Summary?db=core;g=ENSMUSG00000037110","ENSMUSG00000037110")</f>
        <v>ENSMUSG00000037110</v>
      </c>
      <c r="I1886" s="7" t="str">
        <f>HYPERLINK("http://www.informatics.jax.org/marker/MGI:3036245","MGI:3036245")</f>
        <v>MGI:3036245</v>
      </c>
      <c r="J1886" s="4" t="s">
        <v>12</v>
      </c>
    </row>
    <row r="1887" spans="1:10" x14ac:dyDescent="0.25">
      <c r="A1887" s="2">
        <v>26.889633270057999</v>
      </c>
      <c r="B1887" s="3">
        <v>0.72186717517184895</v>
      </c>
      <c r="C1887" s="3">
        <v>1.1217935883123099E-3</v>
      </c>
      <c r="D1887" s="4">
        <v>3.2855739731945401E-3</v>
      </c>
      <c r="E1887" s="3" t="s">
        <v>13475</v>
      </c>
      <c r="F1887" s="3" t="s">
        <v>13476</v>
      </c>
      <c r="G1887" s="3" t="s">
        <v>83</v>
      </c>
      <c r="H1887" s="7" t="str">
        <f>HYPERLINK("http://www.ensembl.org/Mus_musculus/Gene/Summary?db=core;g=ENSMUSG00000064437","ENSMUSG00000064437")</f>
        <v>ENSMUSG00000064437</v>
      </c>
      <c r="I1887" s="7" t="str">
        <f>HYPERLINK("http://www.informatics.jax.org/marker/MGI:3819539","MGI:3819539")</f>
        <v>MGI:3819539</v>
      </c>
      <c r="J1887" s="4" t="s">
        <v>11100</v>
      </c>
    </row>
    <row r="1888" spans="1:10" x14ac:dyDescent="0.25">
      <c r="A1888" s="2">
        <v>5974.8786076386996</v>
      </c>
      <c r="B1888" s="3">
        <v>0.72129603427416</v>
      </c>
      <c r="C1888" s="5">
        <v>5.0468394734656102E-71</v>
      </c>
      <c r="D1888" s="6">
        <v>2.38094914872588E-69</v>
      </c>
      <c r="E1888" s="3" t="s">
        <v>848</v>
      </c>
      <c r="F1888" s="3" t="s">
        <v>849</v>
      </c>
      <c r="G1888" s="3">
        <v>66105</v>
      </c>
      <c r="H1888" s="7" t="str">
        <f>HYPERLINK("http://www.ensembl.org/Mus_musculus/Gene/Summary?db=core;g=ENSMUSG00000078578","ENSMUSG00000078578")</f>
        <v>ENSMUSG00000078578</v>
      </c>
      <c r="I1888" s="7" t="str">
        <f>HYPERLINK("http://www.informatics.jax.org/marker/MGI:1913355","MGI:1913355")</f>
        <v>MGI:1913355</v>
      </c>
      <c r="J1888" s="4" t="s">
        <v>12</v>
      </c>
    </row>
    <row r="1889" spans="1:10" x14ac:dyDescent="0.25">
      <c r="A1889" s="2">
        <v>225.963781502335</v>
      </c>
      <c r="B1889" s="3">
        <v>0.72044499177250698</v>
      </c>
      <c r="C1889" s="3">
        <v>1.49788279762537E-2</v>
      </c>
      <c r="D1889" s="4">
        <v>3.5925868121104598E-2</v>
      </c>
      <c r="E1889" s="3" t="s">
        <v>16449</v>
      </c>
      <c r="F1889" s="3" t="s">
        <v>16450</v>
      </c>
      <c r="G1889" s="3">
        <v>23833</v>
      </c>
      <c r="H1889" s="7" t="str">
        <f>HYPERLINK("http://www.ensembl.org/Mus_musculus/Gene/Summary?db=core;g=ENSMUSG00000000682","ENSMUSG00000000682")</f>
        <v>ENSMUSG00000000682</v>
      </c>
      <c r="I1889" s="7" t="str">
        <f>HYPERLINK("http://www.informatics.jax.org/marker/MGI:1346088","MGI:1346088")</f>
        <v>MGI:1346088</v>
      </c>
      <c r="J1889" s="4" t="s">
        <v>12</v>
      </c>
    </row>
    <row r="1890" spans="1:10" x14ac:dyDescent="0.25">
      <c r="A1890" s="2">
        <v>4758.6621861037102</v>
      </c>
      <c r="B1890" s="3">
        <v>0.72026015150607503</v>
      </c>
      <c r="C1890" s="5">
        <v>1.0390885171612601E-18</v>
      </c>
      <c r="D1890" s="6">
        <v>9.7343589351164197E-18</v>
      </c>
      <c r="E1890" s="3" t="s">
        <v>4227</v>
      </c>
      <c r="F1890" s="3" t="s">
        <v>4228</v>
      </c>
      <c r="G1890" s="3">
        <v>140559</v>
      </c>
      <c r="H1890" s="7" t="str">
        <f>HYPERLINK("http://www.ensembl.org/Mus_musculus/Gene/Summary?db=core;g=ENSMUSG00000038034","ENSMUSG00000038034")</f>
        <v>ENSMUSG00000038034</v>
      </c>
      <c r="I1890" s="7" t="str">
        <f>HYPERLINK("http://www.informatics.jax.org/marker/MGI:2154090","MGI:2154090")</f>
        <v>MGI:2154090</v>
      </c>
      <c r="J1890" s="4" t="s">
        <v>12</v>
      </c>
    </row>
    <row r="1891" spans="1:10" x14ac:dyDescent="0.25">
      <c r="A1891" s="2">
        <v>434.60972683055599</v>
      </c>
      <c r="B1891" s="3">
        <v>0.72021991187993895</v>
      </c>
      <c r="C1891" s="5">
        <v>5.4630498758251198E-17</v>
      </c>
      <c r="D1891" s="6">
        <v>4.63959274553279E-16</v>
      </c>
      <c r="E1891" s="3" t="s">
        <v>4661</v>
      </c>
      <c r="F1891" s="3" t="s">
        <v>4662</v>
      </c>
      <c r="G1891" s="3">
        <v>74185</v>
      </c>
      <c r="H1891" s="7" t="str">
        <f>HYPERLINK("http://www.ensembl.org/Mus_musculus/Gene/Summary?db=core;g=ENSMUSG00000022707","ENSMUSG00000022707")</f>
        <v>ENSMUSG00000022707</v>
      </c>
      <c r="I1891" s="7" t="str">
        <f>HYPERLINK("http://www.informatics.jax.org/marker/MGI:1921435","MGI:1921435")</f>
        <v>MGI:1921435</v>
      </c>
      <c r="J1891" s="4" t="s">
        <v>12</v>
      </c>
    </row>
    <row r="1892" spans="1:10" x14ac:dyDescent="0.25">
      <c r="A1892" s="2">
        <v>103.636458632539</v>
      </c>
      <c r="B1892" s="3">
        <v>0.71998714116686702</v>
      </c>
      <c r="C1892" s="5">
        <v>5.6905391279689398E-7</v>
      </c>
      <c r="D1892" s="6">
        <v>2.4158758149310499E-6</v>
      </c>
      <c r="E1892" s="3" t="s">
        <v>9305</v>
      </c>
      <c r="F1892" s="3" t="s">
        <v>9306</v>
      </c>
      <c r="G1892" s="3" t="s">
        <v>83</v>
      </c>
      <c r="H1892" s="7" t="str">
        <f>HYPERLINK("http://www.ensembl.org/Mus_musculus/Gene/Summary?db=core;g=ENSMUSG00000097882","ENSMUSG00000097882")</f>
        <v>ENSMUSG00000097882</v>
      </c>
      <c r="I1892" s="7" t="str">
        <f>HYPERLINK("http://www.informatics.jax.org/marker/MGI:1917595","MGI:1917595")</f>
        <v>MGI:1917595</v>
      </c>
      <c r="J1892" s="4" t="s">
        <v>932</v>
      </c>
    </row>
    <row r="1893" spans="1:10" x14ac:dyDescent="0.25">
      <c r="A1893" s="2">
        <v>1968.92056859428</v>
      </c>
      <c r="B1893" s="3">
        <v>0.719200169321626</v>
      </c>
      <c r="C1893" s="5">
        <v>6.9861550725787899E-26</v>
      </c>
      <c r="D1893" s="6">
        <v>8.8653139016250704E-25</v>
      </c>
      <c r="E1893" s="3" t="s">
        <v>3126</v>
      </c>
      <c r="F1893" s="3" t="s">
        <v>3127</v>
      </c>
      <c r="G1893" s="3">
        <v>56436</v>
      </c>
      <c r="H1893" s="7" t="str">
        <f>HYPERLINK("http://www.ensembl.org/Mus_musculus/Gene/Summary?db=core;g=ENSMUSG00000039041","ENSMUSG00000039041")</f>
        <v>ENSMUSG00000039041</v>
      </c>
      <c r="I1893" s="7" t="str">
        <f>HYPERLINK("http://www.informatics.jax.org/marker/MGI:1929289","MGI:1929289")</f>
        <v>MGI:1929289</v>
      </c>
      <c r="J1893" s="4" t="s">
        <v>12</v>
      </c>
    </row>
    <row r="1894" spans="1:10" x14ac:dyDescent="0.25">
      <c r="A1894" s="2">
        <v>474.36472955780101</v>
      </c>
      <c r="B1894" s="3">
        <v>0.71867978853263703</v>
      </c>
      <c r="C1894" s="5">
        <v>7.5414161188337197E-19</v>
      </c>
      <c r="D1894" s="6">
        <v>7.0986503992076898E-18</v>
      </c>
      <c r="E1894" s="3" t="s">
        <v>4207</v>
      </c>
      <c r="F1894" s="3" t="s">
        <v>4208</v>
      </c>
      <c r="G1894" s="3">
        <v>12050</v>
      </c>
      <c r="H1894" s="7" t="str">
        <f>HYPERLINK("http://www.ensembl.org/Mus_musculus/Gene/Summary?db=core;g=ENSMUSG00000089682","ENSMUSG00000089682")</f>
        <v>ENSMUSG00000089682</v>
      </c>
      <c r="I1894" s="7" t="str">
        <f>HYPERLINK("http://www.informatics.jax.org/marker/MGI:108052","MGI:108052")</f>
        <v>MGI:108052</v>
      </c>
      <c r="J1894" s="4" t="s">
        <v>12</v>
      </c>
    </row>
    <row r="1895" spans="1:10" x14ac:dyDescent="0.25">
      <c r="A1895" s="2">
        <v>286.87450450845699</v>
      </c>
      <c r="B1895" s="3">
        <v>0.71745162325446599</v>
      </c>
      <c r="C1895" s="5">
        <v>3.7663356684325298E-17</v>
      </c>
      <c r="D1895" s="6">
        <v>3.2390815255773802E-16</v>
      </c>
      <c r="E1895" s="3" t="s">
        <v>4603</v>
      </c>
      <c r="F1895" s="3" t="s">
        <v>4604</v>
      </c>
      <c r="G1895" s="3">
        <v>69161</v>
      </c>
      <c r="H1895" s="7" t="str">
        <f>HYPERLINK("http://www.ensembl.org/Mus_musculus/Gene/Summary?db=core;g=ENSMUSG00000063019","ENSMUSG00000063019")</f>
        <v>ENSMUSG00000063019</v>
      </c>
      <c r="I1895" s="7" t="str">
        <f>HYPERLINK("http://www.informatics.jax.org/marker/MGI:1916411","MGI:1916411")</f>
        <v>MGI:1916411</v>
      </c>
      <c r="J1895" s="4" t="s">
        <v>12</v>
      </c>
    </row>
    <row r="1896" spans="1:10" x14ac:dyDescent="0.25">
      <c r="A1896" s="2">
        <v>259.01099577024797</v>
      </c>
      <c r="B1896" s="3">
        <v>0.71721570995684103</v>
      </c>
      <c r="C1896" s="5">
        <v>5.4558092304380203E-9</v>
      </c>
      <c r="D1896" s="6">
        <v>2.7629316390405202E-8</v>
      </c>
      <c r="E1896" s="3" t="s">
        <v>7804</v>
      </c>
      <c r="F1896" s="3" t="s">
        <v>7805</v>
      </c>
      <c r="G1896" s="3">
        <v>93730</v>
      </c>
      <c r="H1896" s="7" t="str">
        <f>HYPERLINK("http://www.ensembl.org/Mus_musculus/Gene/Summary?db=core;g=ENSMUSG00000025245","ENSMUSG00000025245")</f>
        <v>ENSMUSG00000025245</v>
      </c>
      <c r="I1896" s="7" t="str">
        <f>HYPERLINK("http://www.informatics.jax.org/marker/MGI:1934860","MGI:1934860")</f>
        <v>MGI:1934860</v>
      </c>
      <c r="J1896" s="4" t="s">
        <v>12</v>
      </c>
    </row>
    <row r="1897" spans="1:10" x14ac:dyDescent="0.25">
      <c r="A1897" s="2">
        <v>343.57246099415602</v>
      </c>
      <c r="B1897" s="3">
        <v>0.71666136553718596</v>
      </c>
      <c r="C1897" s="5">
        <v>1.32557828238771E-10</v>
      </c>
      <c r="D1897" s="6">
        <v>7.6433929031244598E-10</v>
      </c>
      <c r="E1897" s="3" t="s">
        <v>6858</v>
      </c>
      <c r="F1897" s="3" t="s">
        <v>6859</v>
      </c>
      <c r="G1897" s="3">
        <v>20557</v>
      </c>
      <c r="H1897" s="7" t="str">
        <f>HYPERLINK("http://www.ensembl.org/Mus_musculus/Gene/Summary?db=core;g=ENSMUSG00000018986","ENSMUSG00000018986")</f>
        <v>ENSMUSG00000018986</v>
      </c>
      <c r="I1897" s="7" t="str">
        <f>HYPERLINK("http://www.informatics.jax.org/marker/MGI:1329005","MGI:1329005")</f>
        <v>MGI:1329005</v>
      </c>
      <c r="J1897" s="4" t="s">
        <v>12</v>
      </c>
    </row>
    <row r="1898" spans="1:10" x14ac:dyDescent="0.25">
      <c r="A1898" s="2">
        <v>49.794410263252402</v>
      </c>
      <c r="B1898" s="3">
        <v>0.716057230556433</v>
      </c>
      <c r="C1898" s="5">
        <v>5.8982540230797597E-6</v>
      </c>
      <c r="D1898" s="6">
        <v>2.2624697400337101E-5</v>
      </c>
      <c r="E1898" s="3" t="s">
        <v>10296</v>
      </c>
      <c r="F1898" s="3" t="s">
        <v>10297</v>
      </c>
      <c r="G1898" s="3" t="s">
        <v>83</v>
      </c>
      <c r="H1898" s="7" t="str">
        <f>HYPERLINK("http://www.ensembl.org/Mus_musculus/Gene/Summary?db=core;g=ENSMUSG00000056687","ENSMUSG00000056687")</f>
        <v>ENSMUSG00000056687</v>
      </c>
      <c r="I1898" s="7" t="str">
        <f>HYPERLINK("http://www.informatics.jax.org/marker/MGI:3701776","MGI:3701776")</f>
        <v>MGI:3701776</v>
      </c>
      <c r="J1898" s="4" t="s">
        <v>932</v>
      </c>
    </row>
    <row r="1899" spans="1:10" x14ac:dyDescent="0.25">
      <c r="A1899" s="2">
        <v>1014.08908204824</v>
      </c>
      <c r="B1899" s="3">
        <v>0.71407038733221795</v>
      </c>
      <c r="C1899" s="5">
        <v>6.0982399292691198E-18</v>
      </c>
      <c r="D1899" s="6">
        <v>5.4912005207847898E-17</v>
      </c>
      <c r="E1899" s="3" t="s">
        <v>4397</v>
      </c>
      <c r="F1899" s="3" t="s">
        <v>4398</v>
      </c>
      <c r="G1899" s="3">
        <v>56706</v>
      </c>
      <c r="H1899" s="7" t="str">
        <f>HYPERLINK("http://www.ensembl.org/Mus_musculus/Gene/Summary?db=core;g=ENSMUSG00000027829","ENSMUSG00000027829")</f>
        <v>ENSMUSG00000027829</v>
      </c>
      <c r="I1899" s="7" t="str">
        <f>HYPERLINK("http://www.informatics.jax.org/marker/MGI:1922664","MGI:1922664")</f>
        <v>MGI:1922664</v>
      </c>
      <c r="J1899" s="4" t="s">
        <v>12</v>
      </c>
    </row>
    <row r="1900" spans="1:10" x14ac:dyDescent="0.25">
      <c r="A1900" s="2">
        <v>39.673479330545902</v>
      </c>
      <c r="B1900" s="3">
        <v>0.71368890891353098</v>
      </c>
      <c r="C1900" s="3">
        <v>4.1957712562606199E-4</v>
      </c>
      <c r="D1900" s="4">
        <v>1.30485111454754E-3</v>
      </c>
      <c r="E1900" s="3" t="s">
        <v>12695</v>
      </c>
      <c r="F1900" s="3" t="s">
        <v>12696</v>
      </c>
      <c r="G1900" s="3">
        <v>214944</v>
      </c>
      <c r="H1900" s="7" t="str">
        <f>HYPERLINK("http://www.ensembl.org/Mus_musculus/Gene/Summary?db=core;g=ENSMUSG00000073910","ENSMUSG00000073910")</f>
        <v>ENSMUSG00000073910</v>
      </c>
      <c r="I1900" s="7" t="str">
        <f>HYPERLINK("http://www.informatics.jax.org/marker/MGI:2664539","MGI:2664539")</f>
        <v>MGI:2664539</v>
      </c>
      <c r="J1900" s="4" t="s">
        <v>12</v>
      </c>
    </row>
    <row r="1901" spans="1:10" x14ac:dyDescent="0.25">
      <c r="A1901" s="2">
        <v>74.029198341863093</v>
      </c>
      <c r="B1901" s="3">
        <v>0.71365842075135999</v>
      </c>
      <c r="C1901" s="5">
        <v>1.5222318094225601E-6</v>
      </c>
      <c r="D1901" s="6">
        <v>6.1728174546191502E-6</v>
      </c>
      <c r="E1901" s="3" t="s">
        <v>9741</v>
      </c>
      <c r="F1901" s="3" t="s">
        <v>9742</v>
      </c>
      <c r="G1901" s="3">
        <v>11601</v>
      </c>
      <c r="H1901" s="7" t="str">
        <f>HYPERLINK("http://www.ensembl.org/Mus_musculus/Gene/Summary?db=core;g=ENSMUSG00000031465","ENSMUSG00000031465")</f>
        <v>ENSMUSG00000031465</v>
      </c>
      <c r="I1901" s="7" t="str">
        <f>HYPERLINK("http://www.informatics.jax.org/marker/MGI:1202890","MGI:1202890")</f>
        <v>MGI:1202890</v>
      </c>
      <c r="J1901" s="4" t="s">
        <v>12</v>
      </c>
    </row>
    <row r="1902" spans="1:10" x14ac:dyDescent="0.25">
      <c r="A1902" s="2">
        <v>5329.1407320099597</v>
      </c>
      <c r="B1902" s="3">
        <v>0.71307728700065398</v>
      </c>
      <c r="C1902" s="5">
        <v>1.37867171258797E-36</v>
      </c>
      <c r="D1902" s="6">
        <v>2.5243645470969998E-35</v>
      </c>
      <c r="E1902" s="3" t="s">
        <v>2171</v>
      </c>
      <c r="F1902" s="3" t="s">
        <v>2172</v>
      </c>
      <c r="G1902" s="3">
        <v>104458</v>
      </c>
      <c r="H1902" s="7" t="str">
        <f>HYPERLINK("http://www.ensembl.org/Mus_musculus/Gene/Summary?db=core;g=ENSMUSG00000018848","ENSMUSG00000018848")</f>
        <v>ENSMUSG00000018848</v>
      </c>
      <c r="I1902" s="7" t="str">
        <f>HYPERLINK("http://www.informatics.jax.org/marker/MGI:1914297","MGI:1914297")</f>
        <v>MGI:1914297</v>
      </c>
      <c r="J1902" s="4" t="s">
        <v>12</v>
      </c>
    </row>
    <row r="1903" spans="1:10" x14ac:dyDescent="0.25">
      <c r="A1903" s="2">
        <v>20.6129817323582</v>
      </c>
      <c r="B1903" s="3">
        <v>0.71305728343335095</v>
      </c>
      <c r="C1903" s="3">
        <v>2.8623193039435399E-3</v>
      </c>
      <c r="D1903" s="4">
        <v>7.87835571454382E-3</v>
      </c>
      <c r="E1903" s="3" t="s">
        <v>14335</v>
      </c>
      <c r="F1903" s="3" t="s">
        <v>14336</v>
      </c>
      <c r="G1903" s="3">
        <v>56620</v>
      </c>
      <c r="H1903" s="7" t="str">
        <f>HYPERLINK("http://www.ensembl.org/Mus_musculus/Gene/Summary?db=core;g=ENSMUSG00000023349","ENSMUSG00000023349")</f>
        <v>ENSMUSG00000023349</v>
      </c>
      <c r="I1903" s="7" t="str">
        <f>HYPERLINK("http://www.informatics.jax.org/marker/MGI:1861231","MGI:1861231")</f>
        <v>MGI:1861231</v>
      </c>
      <c r="J1903" s="4" t="s">
        <v>12</v>
      </c>
    </row>
    <row r="1904" spans="1:10" x14ac:dyDescent="0.25">
      <c r="A1904" s="2">
        <v>2357.1030398901298</v>
      </c>
      <c r="B1904" s="3">
        <v>0.71271498326874805</v>
      </c>
      <c r="C1904" s="5">
        <v>7.8537607649258501E-38</v>
      </c>
      <c r="D1904" s="6">
        <v>1.4891938681186301E-36</v>
      </c>
      <c r="E1904" s="3" t="s">
        <v>2097</v>
      </c>
      <c r="F1904" s="3" t="s">
        <v>2098</v>
      </c>
      <c r="G1904" s="3">
        <v>13427</v>
      </c>
      <c r="H1904" s="7" t="str">
        <f>HYPERLINK("http://www.ensembl.org/Mus_musculus/Gene/Summary?db=core;g=ENSMUSG00000027012","ENSMUSG00000027012")</f>
        <v>ENSMUSG00000027012</v>
      </c>
      <c r="I1904" s="7" t="str">
        <f>HYPERLINK("http://www.informatics.jax.org/marker/MGI:107750","MGI:107750")</f>
        <v>MGI:107750</v>
      </c>
      <c r="J1904" s="4" t="s">
        <v>12</v>
      </c>
    </row>
    <row r="1905" spans="1:10" x14ac:dyDescent="0.25">
      <c r="A1905" s="2">
        <v>809.97452023296501</v>
      </c>
      <c r="B1905" s="3">
        <v>0.71248603827717605</v>
      </c>
      <c r="C1905" s="5">
        <v>1.7386370647563199E-10</v>
      </c>
      <c r="D1905" s="6">
        <v>9.9293144850838703E-10</v>
      </c>
      <c r="E1905" s="3" t="s">
        <v>6924</v>
      </c>
      <c r="F1905" s="3" t="s">
        <v>6925</v>
      </c>
      <c r="G1905" s="3">
        <v>18626</v>
      </c>
      <c r="H1905" s="7" t="str">
        <f>HYPERLINK("http://www.ensembl.org/Mus_musculus/Gene/Summary?db=core;g=ENSMUSG00000020893","ENSMUSG00000020893")</f>
        <v>ENSMUSG00000020893</v>
      </c>
      <c r="I1905" s="7" t="str">
        <f>HYPERLINK("http://www.informatics.jax.org/marker/MGI:1098283","MGI:1098283")</f>
        <v>MGI:1098283</v>
      </c>
      <c r="J1905" s="4" t="s">
        <v>12</v>
      </c>
    </row>
    <row r="1906" spans="1:10" x14ac:dyDescent="0.25">
      <c r="A1906" s="2">
        <v>2226.5156501581901</v>
      </c>
      <c r="B1906" s="3">
        <v>0.71245101837275404</v>
      </c>
      <c r="C1906" s="5">
        <v>1.00345954719685E-26</v>
      </c>
      <c r="D1906" s="6">
        <v>1.31134673762239E-25</v>
      </c>
      <c r="E1906" s="3" t="s">
        <v>3036</v>
      </c>
      <c r="F1906" s="3" t="s">
        <v>3037</v>
      </c>
      <c r="G1906" s="3">
        <v>226517</v>
      </c>
      <c r="H1906" s="7" t="str">
        <f>HYPERLINK("http://www.ensembl.org/Mus_musculus/Gene/Summary?db=core;g=ENSMUSG00000042772","ENSMUSG00000042772")</f>
        <v>ENSMUSG00000042772</v>
      </c>
      <c r="I1906" s="7" t="str">
        <f>HYPERLINK("http://www.informatics.jax.org/marker/MGI:2682334","MGI:2682334")</f>
        <v>MGI:2682334</v>
      </c>
      <c r="J1906" s="4" t="s">
        <v>12</v>
      </c>
    </row>
    <row r="1907" spans="1:10" x14ac:dyDescent="0.25">
      <c r="A1907" s="2">
        <v>15.4042353510907</v>
      </c>
      <c r="B1907" s="3">
        <v>0.71205269523088299</v>
      </c>
      <c r="C1907" s="3">
        <v>1.20428852704321E-2</v>
      </c>
      <c r="D1907" s="4">
        <v>2.9472039902323301E-2</v>
      </c>
      <c r="E1907" s="3" t="s">
        <v>16121</v>
      </c>
      <c r="F1907" s="3" t="s">
        <v>16122</v>
      </c>
      <c r="G1907" s="3">
        <v>332359</v>
      </c>
      <c r="H1907" s="7" t="str">
        <f>HYPERLINK("http://www.ensembl.org/Mus_musculus/Gene/Summary?db=core;g=ENSMUSG00000044390","ENSMUSG00000044390")</f>
        <v>ENSMUSG00000044390</v>
      </c>
      <c r="I1907" s="7" t="str">
        <f>HYPERLINK("http://www.informatics.jax.org/marker/MGI:2681860","MGI:2681860")</f>
        <v>MGI:2681860</v>
      </c>
      <c r="J1907" s="4" t="s">
        <v>12</v>
      </c>
    </row>
    <row r="1908" spans="1:10" x14ac:dyDescent="0.25">
      <c r="A1908" s="2">
        <v>2423.5869306442301</v>
      </c>
      <c r="B1908" s="3">
        <v>0.71159961478047395</v>
      </c>
      <c r="C1908" s="5">
        <v>1.6880896361506701E-17</v>
      </c>
      <c r="D1908" s="6">
        <v>1.4828119209305599E-16</v>
      </c>
      <c r="E1908" s="3" t="s">
        <v>4507</v>
      </c>
      <c r="F1908" s="3" t="s">
        <v>4508</v>
      </c>
      <c r="G1908" s="3">
        <v>78317</v>
      </c>
      <c r="H1908" s="7" t="str">
        <f>HYPERLINK("http://www.ensembl.org/Mus_musculus/Gene/Summary?db=core;g=ENSMUSG00000047810","ENSMUSG00000047810")</f>
        <v>ENSMUSG00000047810</v>
      </c>
      <c r="I1908" s="7" t="str">
        <f>HYPERLINK("http://www.informatics.jax.org/marker/MGI:1925567","MGI:1925567")</f>
        <v>MGI:1925567</v>
      </c>
      <c r="J1908" s="4" t="s">
        <v>12</v>
      </c>
    </row>
    <row r="1909" spans="1:10" x14ac:dyDescent="0.25">
      <c r="A1909" s="2">
        <v>543.86222709493302</v>
      </c>
      <c r="B1909" s="3">
        <v>0.71151466513138995</v>
      </c>
      <c r="C1909" s="5">
        <v>8.8323024883714603E-13</v>
      </c>
      <c r="D1909" s="6">
        <v>5.9505638903547997E-12</v>
      </c>
      <c r="E1909" s="3" t="s">
        <v>5871</v>
      </c>
      <c r="F1909" s="3" t="s">
        <v>5872</v>
      </c>
      <c r="G1909" s="3">
        <v>18563</v>
      </c>
      <c r="H1909" s="7" t="str">
        <f>HYPERLINK("http://www.ensembl.org/Mus_musculus/Gene/Summary?db=core;g=ENSMUSG00000024892","ENSMUSG00000024892")</f>
        <v>ENSMUSG00000024892</v>
      </c>
      <c r="I1909" s="7" t="str">
        <f>HYPERLINK("http://www.informatics.jax.org/marker/MGI:97520","MGI:97520")</f>
        <v>MGI:97520</v>
      </c>
      <c r="J1909" s="4" t="s">
        <v>12</v>
      </c>
    </row>
    <row r="1910" spans="1:10" x14ac:dyDescent="0.25">
      <c r="A1910" s="2">
        <v>826.28056839811597</v>
      </c>
      <c r="B1910" s="3">
        <v>0.70941654303906798</v>
      </c>
      <c r="C1910" s="5">
        <v>1.4552482885621801E-18</v>
      </c>
      <c r="D1910" s="6">
        <v>1.3517426401529E-17</v>
      </c>
      <c r="E1910" s="3" t="s">
        <v>4263</v>
      </c>
      <c r="F1910" s="3" t="s">
        <v>4264</v>
      </c>
      <c r="G1910" s="3">
        <v>16543</v>
      </c>
      <c r="H1910" s="7" t="str">
        <f>HYPERLINK("http://www.ensembl.org/Mus_musculus/Gene/Summary?db=core;g=ENSMUSG00000041390","ENSMUSG00000041390")</f>
        <v>ENSMUSG00000041390</v>
      </c>
      <c r="I1910" s="7" t="str">
        <f>HYPERLINK("http://www.informatics.jax.org/marker/MGI:104611","MGI:104611")</f>
        <v>MGI:104611</v>
      </c>
      <c r="J1910" s="4" t="s">
        <v>12</v>
      </c>
    </row>
    <row r="1911" spans="1:10" x14ac:dyDescent="0.25">
      <c r="A1911" s="2">
        <v>167.60449230351401</v>
      </c>
      <c r="B1911" s="3">
        <v>0.70915464576933296</v>
      </c>
      <c r="C1911" s="5">
        <v>5.1036920586632697E-6</v>
      </c>
      <c r="D1911" s="6">
        <v>1.96841008012595E-5</v>
      </c>
      <c r="E1911" s="3" t="s">
        <v>10240</v>
      </c>
      <c r="F1911" s="3" t="s">
        <v>10241</v>
      </c>
      <c r="G1911" s="3">
        <v>71704</v>
      </c>
      <c r="H1911" s="7" t="str">
        <f>HYPERLINK("http://www.ensembl.org/Mus_musculus/Gene/Summary?db=core;g=ENSMUSG00000021895","ENSMUSG00000021895")</f>
        <v>ENSMUSG00000021895</v>
      </c>
      <c r="I1911" s="7" t="str">
        <f>HYPERLINK("http://www.informatics.jax.org/marker/MGI:1918954","MGI:1918954")</f>
        <v>MGI:1918954</v>
      </c>
      <c r="J1911" s="4" t="s">
        <v>12</v>
      </c>
    </row>
    <row r="1912" spans="1:10" x14ac:dyDescent="0.25">
      <c r="A1912" s="2">
        <v>374.34044595090597</v>
      </c>
      <c r="B1912" s="3">
        <v>0.70881640402386503</v>
      </c>
      <c r="C1912" s="5">
        <v>9.3860222624218806E-9</v>
      </c>
      <c r="D1912" s="6">
        <v>4.6693329721230902E-8</v>
      </c>
      <c r="E1912" s="3" t="s">
        <v>7944</v>
      </c>
      <c r="F1912" s="3" t="s">
        <v>7945</v>
      </c>
      <c r="G1912" s="3">
        <v>11630</v>
      </c>
      <c r="H1912" s="7" t="str">
        <f>HYPERLINK("http://www.ensembl.org/Mus_musculus/Gene/Summary?db=core;g=ENSMUSG00000019866","ENSMUSG00000019866")</f>
        <v>ENSMUSG00000019866</v>
      </c>
      <c r="I1912" s="7" t="str">
        <f>HYPERLINK("http://www.informatics.jax.org/marker/MGI:109544","MGI:109544")</f>
        <v>MGI:109544</v>
      </c>
      <c r="J1912" s="4" t="s">
        <v>12</v>
      </c>
    </row>
    <row r="1913" spans="1:10" x14ac:dyDescent="0.25">
      <c r="A1913" s="2">
        <v>3542.07688450662</v>
      </c>
      <c r="B1913" s="3">
        <v>0.70852525629400198</v>
      </c>
      <c r="C1913" s="5">
        <v>2.1622121037071701E-23</v>
      </c>
      <c r="D1913" s="6">
        <v>2.4775608765314002E-22</v>
      </c>
      <c r="E1913" s="3" t="s">
        <v>3460</v>
      </c>
      <c r="F1913" s="3" t="s">
        <v>3461</v>
      </c>
      <c r="G1913" s="3">
        <v>114601</v>
      </c>
      <c r="H1913" s="7" t="str">
        <f>HYPERLINK("http://www.ensembl.org/Mus_musculus/Gene/Summary?db=core;g=ENSMUSG00000024937","ENSMUSG00000024937")</f>
        <v>ENSMUSG00000024937</v>
      </c>
      <c r="I1913" s="7" t="str">
        <f>HYPERLINK("http://www.informatics.jax.org/marker/MGI:3612340","MGI:3612340")</f>
        <v>MGI:3612340</v>
      </c>
      <c r="J1913" s="4" t="s">
        <v>12</v>
      </c>
    </row>
    <row r="1914" spans="1:10" x14ac:dyDescent="0.25">
      <c r="A1914" s="2">
        <v>853.57586505506094</v>
      </c>
      <c r="B1914" s="3">
        <v>0.70771450383460699</v>
      </c>
      <c r="C1914" s="5">
        <v>6.2994209462495603E-22</v>
      </c>
      <c r="D1914" s="6">
        <v>6.7808177434520393E-21</v>
      </c>
      <c r="E1914" s="3" t="s">
        <v>3682</v>
      </c>
      <c r="F1914" s="3" t="s">
        <v>3683</v>
      </c>
      <c r="G1914" s="3">
        <v>56696</v>
      </c>
      <c r="H1914" s="7" t="str">
        <f>HYPERLINK("http://www.ensembl.org/Mus_musculus/Gene/Summary?db=core;g=ENSMUSG00000021298","ENSMUSG00000021298")</f>
        <v>ENSMUSG00000021298</v>
      </c>
      <c r="I1914" s="7" t="str">
        <f>HYPERLINK("http://www.informatics.jax.org/marker/MGI:1890220","MGI:1890220")</f>
        <v>MGI:1890220</v>
      </c>
      <c r="J1914" s="4" t="s">
        <v>12</v>
      </c>
    </row>
    <row r="1915" spans="1:10" x14ac:dyDescent="0.25">
      <c r="A1915" s="2">
        <v>519.05721818710401</v>
      </c>
      <c r="B1915" s="3">
        <v>0.70735603872150599</v>
      </c>
      <c r="C1915" s="5">
        <v>1.3207163325875499E-8</v>
      </c>
      <c r="D1915" s="6">
        <v>6.4755161806629795E-8</v>
      </c>
      <c r="E1915" s="3" t="s">
        <v>8061</v>
      </c>
      <c r="F1915" s="3" t="s">
        <v>8062</v>
      </c>
      <c r="G1915" s="3">
        <v>319565</v>
      </c>
      <c r="H1915" s="7" t="str">
        <f>HYPERLINK("http://www.ensembl.org/Mus_musculus/Gene/Summary?db=core;g=ENSMUSG00000063450","ENSMUSG00000063450")</f>
        <v>ENSMUSG00000063450</v>
      </c>
      <c r="I1915" s="7" t="str">
        <f>HYPERLINK("http://www.informatics.jax.org/marker/MGI:2449316","MGI:2449316")</f>
        <v>MGI:2449316</v>
      </c>
      <c r="J1915" s="4" t="s">
        <v>12</v>
      </c>
    </row>
    <row r="1916" spans="1:10" x14ac:dyDescent="0.25">
      <c r="A1916" s="2">
        <v>14.6614042295676</v>
      </c>
      <c r="B1916" s="3">
        <v>0.70550907731097301</v>
      </c>
      <c r="C1916" s="3">
        <v>1.29390093970475E-2</v>
      </c>
      <c r="D1916" s="4">
        <v>3.1454297991836397E-2</v>
      </c>
      <c r="E1916" s="3" t="s">
        <v>16229</v>
      </c>
      <c r="F1916" s="3" t="s">
        <v>16230</v>
      </c>
      <c r="G1916" s="3">
        <v>13003</v>
      </c>
      <c r="H1916" s="7" t="str">
        <f>HYPERLINK("http://www.ensembl.org/Mus_musculus/Gene/Summary?db=core;g=ENSMUSG00000021614","ENSMUSG00000021614")</f>
        <v>ENSMUSG00000021614</v>
      </c>
      <c r="I1916" s="7" t="str">
        <f>HYPERLINK("http://www.informatics.jax.org/marker/MGI:102889","MGI:102889")</f>
        <v>MGI:102889</v>
      </c>
      <c r="J1916" s="4" t="s">
        <v>12</v>
      </c>
    </row>
    <row r="1917" spans="1:10" x14ac:dyDescent="0.25">
      <c r="A1917" s="2">
        <v>31.810735639223701</v>
      </c>
      <c r="B1917" s="3">
        <v>0.70482908755648699</v>
      </c>
      <c r="C1917" s="3">
        <v>8.5775269919776201E-4</v>
      </c>
      <c r="D1917" s="4">
        <v>2.5539609283073898E-3</v>
      </c>
      <c r="E1917" s="3" t="s">
        <v>13255</v>
      </c>
      <c r="F1917" s="3" t="s">
        <v>13256</v>
      </c>
      <c r="G1917" s="3" t="s">
        <v>83</v>
      </c>
      <c r="H1917" s="7" t="str">
        <f>HYPERLINK("http://www.ensembl.org/Mus_musculus/Gene/Summary?db=core;g=ENSMUSG00000086637","ENSMUSG00000086637")</f>
        <v>ENSMUSG00000086637</v>
      </c>
      <c r="I1917" s="7" t="str">
        <f>HYPERLINK("http://www.informatics.jax.org/marker/MGI:3651082","MGI:3651082")</f>
        <v>MGI:3651082</v>
      </c>
      <c r="J1917" s="4" t="s">
        <v>4024</v>
      </c>
    </row>
    <row r="1918" spans="1:10" x14ac:dyDescent="0.25">
      <c r="A1918" s="2">
        <v>389.913114418963</v>
      </c>
      <c r="B1918" s="3">
        <v>0.70361755524353597</v>
      </c>
      <c r="C1918" s="5">
        <v>1.70423493405549E-19</v>
      </c>
      <c r="D1918" s="6">
        <v>1.6571751922866899E-18</v>
      </c>
      <c r="E1918" s="3" t="s">
        <v>4073</v>
      </c>
      <c r="F1918" s="3" t="s">
        <v>4074</v>
      </c>
      <c r="G1918" s="3">
        <v>67489</v>
      </c>
      <c r="H1918" s="7" t="str">
        <f>HYPERLINK("http://www.ensembl.org/Mus_musculus/Gene/Summary?db=core;g=ENSMUSG00000032952","ENSMUSG00000032952")</f>
        <v>ENSMUSG00000032952</v>
      </c>
      <c r="I1918" s="7" t="str">
        <f>HYPERLINK("http://www.informatics.jax.org/marker/MGI:1337130","MGI:1337130")</f>
        <v>MGI:1337130</v>
      </c>
      <c r="J1918" s="4" t="s">
        <v>12</v>
      </c>
    </row>
    <row r="1919" spans="1:10" x14ac:dyDescent="0.25">
      <c r="A1919" s="2">
        <v>93.499811261092702</v>
      </c>
      <c r="B1919" s="3">
        <v>0.70286735419973301</v>
      </c>
      <c r="C1919" s="5">
        <v>2.0554026435671501E-8</v>
      </c>
      <c r="D1919" s="6">
        <v>9.8980561980816296E-8</v>
      </c>
      <c r="E1919" s="3" t="s">
        <v>8207</v>
      </c>
      <c r="F1919" s="3" t="s">
        <v>8208</v>
      </c>
      <c r="G1919" s="3" t="s">
        <v>83</v>
      </c>
      <c r="H1919" s="7" t="str">
        <f>HYPERLINK("http://www.ensembl.org/Mus_musculus/Gene/Summary?db=core;g=ENSMUSG00000060149","ENSMUSG00000060149")</f>
        <v>ENSMUSG00000060149</v>
      </c>
      <c r="I1919" s="7" t="str">
        <f>HYPERLINK("http://www.informatics.jax.org/marker/MGI:2384864","MGI:2384864")</f>
        <v>MGI:2384864</v>
      </c>
      <c r="J1919" s="4" t="s">
        <v>939</v>
      </c>
    </row>
    <row r="1920" spans="1:10" x14ac:dyDescent="0.25">
      <c r="A1920" s="2">
        <v>231.12502485858701</v>
      </c>
      <c r="B1920" s="3">
        <v>0.70177361612712497</v>
      </c>
      <c r="C1920" s="5">
        <v>9.3644509749316303E-13</v>
      </c>
      <c r="D1920" s="6">
        <v>6.2983278726347799E-12</v>
      </c>
      <c r="E1920" s="3" t="s">
        <v>5881</v>
      </c>
      <c r="F1920" s="3" t="s">
        <v>5882</v>
      </c>
      <c r="G1920" s="3">
        <v>74718</v>
      </c>
      <c r="H1920" s="7" t="str">
        <f>HYPERLINK("http://www.ensembl.org/Mus_musculus/Gene/Summary?db=core;g=ENSMUSG00000027534","ENSMUSG00000027534")</f>
        <v>ENSMUSG00000027534</v>
      </c>
      <c r="I1920" s="7" t="str">
        <f>HYPERLINK("http://www.informatics.jax.org/marker/MGI:1921968","MGI:1921968")</f>
        <v>MGI:1921968</v>
      </c>
      <c r="J1920" s="4" t="s">
        <v>12</v>
      </c>
    </row>
    <row r="1921" spans="1:10" x14ac:dyDescent="0.25">
      <c r="A1921" s="2">
        <v>1225.16386674706</v>
      </c>
      <c r="B1921" s="3">
        <v>0.70145999222066802</v>
      </c>
      <c r="C1921" s="5">
        <v>6.1053113139215601E-11</v>
      </c>
      <c r="D1921" s="6">
        <v>3.6068525797044102E-10</v>
      </c>
      <c r="E1921" s="3" t="s">
        <v>6693</v>
      </c>
      <c r="F1921" s="3" t="s">
        <v>6694</v>
      </c>
      <c r="G1921" s="3">
        <v>12982</v>
      </c>
      <c r="H1921" s="7" t="str">
        <f>HYPERLINK("http://www.ensembl.org/Mus_musculus/Gene/Summary?db=core;g=ENSMUSG00000059326","ENSMUSG00000059326")</f>
        <v>ENSMUSG00000059326</v>
      </c>
      <c r="I1921" s="7" t="str">
        <f>HYPERLINK("http://www.informatics.jax.org/marker/MGI:1339754","MGI:1339754")</f>
        <v>MGI:1339754</v>
      </c>
      <c r="J1921" s="4" t="s">
        <v>12</v>
      </c>
    </row>
    <row r="1922" spans="1:10" x14ac:dyDescent="0.25">
      <c r="A1922" s="2">
        <v>1626.5514983317901</v>
      </c>
      <c r="B1922" s="3">
        <v>0.701042145124538</v>
      </c>
      <c r="C1922" s="5">
        <v>2.05722167137592E-25</v>
      </c>
      <c r="D1922" s="6">
        <v>2.55147241254926E-24</v>
      </c>
      <c r="E1922" s="3" t="s">
        <v>3200</v>
      </c>
      <c r="F1922" s="3" t="s">
        <v>3201</v>
      </c>
      <c r="G1922" s="3">
        <v>380921</v>
      </c>
      <c r="H1922" s="7" t="str">
        <f>HYPERLINK("http://www.ensembl.org/Mus_musculus/Gene/Summary?db=core;g=ENSMUSG00000034731","ENSMUSG00000034731")</f>
        <v>ENSMUSG00000034731</v>
      </c>
      <c r="I1922" s="7" t="str">
        <f>HYPERLINK("http://www.informatics.jax.org/marker/MGI:2444188","MGI:2444188")</f>
        <v>MGI:2444188</v>
      </c>
      <c r="J1922" s="4" t="s">
        <v>12</v>
      </c>
    </row>
    <row r="1923" spans="1:10" x14ac:dyDescent="0.25">
      <c r="A1923" s="2">
        <v>8014.3179052676296</v>
      </c>
      <c r="B1923" s="3">
        <v>0.700931674034452</v>
      </c>
      <c r="C1923" s="5">
        <v>4.0749088577133503E-26</v>
      </c>
      <c r="D1923" s="6">
        <v>5.2078550015623599E-25</v>
      </c>
      <c r="E1923" s="3" t="s">
        <v>3104</v>
      </c>
      <c r="F1923" s="3" t="s">
        <v>3105</v>
      </c>
      <c r="G1923" s="3">
        <v>81910</v>
      </c>
      <c r="H1923" s="7" t="str">
        <f>HYPERLINK("http://www.ensembl.org/Mus_musculus/Gene/Summary?db=core;g=ENSMUSG00000027422","ENSMUSG00000027422")</f>
        <v>ENSMUSG00000027422</v>
      </c>
      <c r="I1923" s="7" t="str">
        <f>HYPERLINK("http://www.informatics.jax.org/marker/MGI:1932395","MGI:1932395")</f>
        <v>MGI:1932395</v>
      </c>
      <c r="J1923" s="4" t="s">
        <v>12</v>
      </c>
    </row>
    <row r="1924" spans="1:10" x14ac:dyDescent="0.25">
      <c r="A1924" s="2">
        <v>321.07073904293298</v>
      </c>
      <c r="B1924" s="3">
        <v>0.70090401886092302</v>
      </c>
      <c r="C1924" s="5">
        <v>5.5847964710837203E-8</v>
      </c>
      <c r="D1924" s="6">
        <v>2.58465586504978E-7</v>
      </c>
      <c r="E1924" s="3" t="s">
        <v>8539</v>
      </c>
      <c r="F1924" s="3" t="s">
        <v>8540</v>
      </c>
      <c r="G1924" s="3">
        <v>15468</v>
      </c>
      <c r="H1924" s="7" t="str">
        <f>HYPERLINK("http://www.ensembl.org/Mus_musculus/Gene/Summary?db=core;g=ENSMUSG00000020230","ENSMUSG00000020230")</f>
        <v>ENSMUSG00000020230</v>
      </c>
      <c r="I1924" s="7" t="str">
        <f>HYPERLINK("http://www.informatics.jax.org/marker/MGI:1316652","MGI:1316652")</f>
        <v>MGI:1316652</v>
      </c>
      <c r="J1924" s="4" t="s">
        <v>12</v>
      </c>
    </row>
    <row r="1925" spans="1:10" x14ac:dyDescent="0.25">
      <c r="A1925" s="2">
        <v>879.70018764923395</v>
      </c>
      <c r="B1925" s="3">
        <v>0.70047904475143796</v>
      </c>
      <c r="C1925" s="5">
        <v>1.1954294006781099E-12</v>
      </c>
      <c r="D1925" s="6">
        <v>7.9857275682155498E-12</v>
      </c>
      <c r="E1925" s="3" t="s">
        <v>5921</v>
      </c>
      <c r="F1925" s="3" t="s">
        <v>5922</v>
      </c>
      <c r="G1925" s="3">
        <v>11655</v>
      </c>
      <c r="H1925" s="7" t="str">
        <f>HYPERLINK("http://www.ensembl.org/Mus_musculus/Gene/Summary?db=core;g=ENSMUSG00000032786","ENSMUSG00000032786")</f>
        <v>ENSMUSG00000032786</v>
      </c>
      <c r="I1925" s="7" t="str">
        <f>HYPERLINK("http://www.informatics.jax.org/marker/MGI:87989","MGI:87989")</f>
        <v>MGI:87989</v>
      </c>
      <c r="J1925" s="4" t="s">
        <v>12</v>
      </c>
    </row>
    <row r="1926" spans="1:10" x14ac:dyDescent="0.25">
      <c r="A1926" s="2">
        <v>1413.14922373732</v>
      </c>
      <c r="B1926" s="3">
        <v>0.70045541325771998</v>
      </c>
      <c r="C1926" s="5">
        <v>1.06455644742062E-41</v>
      </c>
      <c r="D1926" s="6">
        <v>2.2670683739886301E-40</v>
      </c>
      <c r="E1926" s="3" t="s">
        <v>1869</v>
      </c>
      <c r="F1926" s="3" t="s">
        <v>1870</v>
      </c>
      <c r="G1926" s="3">
        <v>211286</v>
      </c>
      <c r="H1926" s="7" t="str">
        <f>HYPERLINK("http://www.ensembl.org/Mus_musculus/Gene/Summary?db=core;g=ENSMUSG00000022125","ENSMUSG00000022125")</f>
        <v>ENSMUSG00000022125</v>
      </c>
      <c r="I1926" s="7" t="str">
        <f>HYPERLINK("http://www.informatics.jax.org/marker/MGI:2442253","MGI:2442253")</f>
        <v>MGI:2442253</v>
      </c>
      <c r="J1926" s="4" t="s">
        <v>12</v>
      </c>
    </row>
    <row r="1927" spans="1:10" x14ac:dyDescent="0.25">
      <c r="A1927" s="2">
        <v>589.92692899635097</v>
      </c>
      <c r="B1927" s="3">
        <v>0.69941081258923099</v>
      </c>
      <c r="C1927" s="5">
        <v>7.9933342985155103E-17</v>
      </c>
      <c r="D1927" s="6">
        <v>6.7276377450587205E-16</v>
      </c>
      <c r="E1927" s="3" t="s">
        <v>4703</v>
      </c>
      <c r="F1927" s="3" t="s">
        <v>4704</v>
      </c>
      <c r="G1927" s="3">
        <v>76482</v>
      </c>
      <c r="H1927" s="7" t="str">
        <f>HYPERLINK("http://www.ensembl.org/Mus_musculus/Gene/Summary?db=core;g=ENSMUSG00000024410","ENSMUSG00000024410")</f>
        <v>ENSMUSG00000024410</v>
      </c>
      <c r="I1927" s="7" t="str">
        <f>HYPERLINK("http://www.informatics.jax.org/marker/MGI:1916528","MGI:1916528")</f>
        <v>MGI:1916528</v>
      </c>
      <c r="J1927" s="4" t="s">
        <v>12</v>
      </c>
    </row>
    <row r="1928" spans="1:10" x14ac:dyDescent="0.25">
      <c r="A1928" s="2">
        <v>1094.6097437948899</v>
      </c>
      <c r="B1928" s="3">
        <v>0.69914850862235101</v>
      </c>
      <c r="C1928" s="5">
        <v>5.5087046920880099E-22</v>
      </c>
      <c r="D1928" s="6">
        <v>5.9622204461018499E-21</v>
      </c>
      <c r="E1928" s="3" t="s">
        <v>3662</v>
      </c>
      <c r="F1928" s="3" t="s">
        <v>3663</v>
      </c>
      <c r="G1928" s="3">
        <v>170768</v>
      </c>
      <c r="H1928" s="7" t="str">
        <f>HYPERLINK("http://www.ensembl.org/Mus_musculus/Gene/Summary?db=core;g=ENSMUSG00000026773","ENSMUSG00000026773")</f>
        <v>ENSMUSG00000026773</v>
      </c>
      <c r="I1928" s="7" t="str">
        <f>HYPERLINK("http://www.informatics.jax.org/marker/MGI:2181202","MGI:2181202")</f>
        <v>MGI:2181202</v>
      </c>
      <c r="J1928" s="4" t="s">
        <v>12</v>
      </c>
    </row>
    <row r="1929" spans="1:10" x14ac:dyDescent="0.25">
      <c r="A1929" s="2">
        <v>279.11672097291898</v>
      </c>
      <c r="B1929" s="3">
        <v>0.69875340846809197</v>
      </c>
      <c r="C1929" s="5">
        <v>7.9917189475724305E-13</v>
      </c>
      <c r="D1929" s="6">
        <v>5.3913561712990699E-12</v>
      </c>
      <c r="E1929" s="3" t="s">
        <v>5863</v>
      </c>
      <c r="F1929" s="3" t="s">
        <v>5864</v>
      </c>
      <c r="G1929" s="3">
        <v>20725</v>
      </c>
      <c r="H1929" s="7" t="str">
        <f>HYPERLINK("http://www.ensembl.org/Mus_musculus/Gene/Summary?db=core;g=ENSMUSG00000026315","ENSMUSG00000026315")</f>
        <v>ENSMUSG00000026315</v>
      </c>
      <c r="I1929" s="7" t="str">
        <f>HYPERLINK("http://www.informatics.jax.org/marker/MGI:894657","MGI:894657")</f>
        <v>MGI:894657</v>
      </c>
      <c r="J1929" s="4" t="s">
        <v>12</v>
      </c>
    </row>
    <row r="1930" spans="1:10" x14ac:dyDescent="0.25">
      <c r="A1930" s="2">
        <v>720.85975541662003</v>
      </c>
      <c r="B1930" s="3">
        <v>0.698184062167579</v>
      </c>
      <c r="C1930" s="5">
        <v>3.7399391822316798E-21</v>
      </c>
      <c r="D1930" s="6">
        <v>3.8837072497950798E-20</v>
      </c>
      <c r="E1930" s="3" t="s">
        <v>3816</v>
      </c>
      <c r="F1930" s="3" t="s">
        <v>3817</v>
      </c>
      <c r="G1930" s="3">
        <v>14201</v>
      </c>
      <c r="H1930" s="7" t="str">
        <f>HYPERLINK("http://www.ensembl.org/Mus_musculus/Gene/Summary?db=core;g=ENSMUSG00000032643","ENSMUSG00000032643")</f>
        <v>ENSMUSG00000032643</v>
      </c>
      <c r="I1930" s="7" t="str">
        <f>HYPERLINK("http://www.informatics.jax.org/marker/MGI:1341092","MGI:1341092")</f>
        <v>MGI:1341092</v>
      </c>
      <c r="J1930" s="4" t="s">
        <v>12</v>
      </c>
    </row>
    <row r="1931" spans="1:10" x14ac:dyDescent="0.25">
      <c r="A1931" s="2">
        <v>3260.0687700879898</v>
      </c>
      <c r="B1931" s="3">
        <v>0.69719594714966604</v>
      </c>
      <c r="C1931" s="5">
        <v>2.9028753870675101E-61</v>
      </c>
      <c r="D1931" s="6">
        <v>1.0924561571177701E-59</v>
      </c>
      <c r="E1931" s="3" t="s">
        <v>1064</v>
      </c>
      <c r="F1931" s="3" t="s">
        <v>1065</v>
      </c>
      <c r="G1931" s="3">
        <v>69237</v>
      </c>
      <c r="H1931" s="7" t="str">
        <f>HYPERLINK("http://www.ensembl.org/Mus_musculus/Gene/Summary?db=core;g=ENSMUSG00000021149","ENSMUSG00000021149")</f>
        <v>ENSMUSG00000021149</v>
      </c>
      <c r="I1931" s="7" t="str">
        <f>HYPERLINK("http://www.informatics.jax.org/marker/MGI:1916487","MGI:1916487")</f>
        <v>MGI:1916487</v>
      </c>
      <c r="J1931" s="4" t="s">
        <v>12</v>
      </c>
    </row>
    <row r="1932" spans="1:10" x14ac:dyDescent="0.25">
      <c r="A1932" s="2">
        <v>256.90030522234798</v>
      </c>
      <c r="B1932" s="3">
        <v>0.69713175440616804</v>
      </c>
      <c r="C1932" s="5">
        <v>7.0177987421131502E-10</v>
      </c>
      <c r="D1932" s="6">
        <v>3.8029950864103104E-9</v>
      </c>
      <c r="E1932" s="3" t="s">
        <v>7296</v>
      </c>
      <c r="F1932" s="3" t="s">
        <v>7297</v>
      </c>
      <c r="G1932" s="3">
        <v>78581</v>
      </c>
      <c r="H1932" s="7" t="str">
        <f>HYPERLINK("http://www.ensembl.org/Mus_musculus/Gene/Summary?db=core;g=ENSMUSG00000022313","ENSMUSG00000022313")</f>
        <v>ENSMUSG00000022313</v>
      </c>
      <c r="I1932" s="7" t="str">
        <f>HYPERLINK("http://www.informatics.jax.org/marker/MGI:1925831","MGI:1925831")</f>
        <v>MGI:1925831</v>
      </c>
      <c r="J1932" s="4" t="s">
        <v>12</v>
      </c>
    </row>
    <row r="1933" spans="1:10" x14ac:dyDescent="0.25">
      <c r="A1933" s="2">
        <v>2206.9289650462101</v>
      </c>
      <c r="B1933" s="3">
        <v>0.69695336122581197</v>
      </c>
      <c r="C1933" s="5">
        <v>7.1226455916876298E-34</v>
      </c>
      <c r="D1933" s="6">
        <v>1.18630549888581E-32</v>
      </c>
      <c r="E1933" s="3" t="s">
        <v>2385</v>
      </c>
      <c r="F1933" s="3" t="s">
        <v>2386</v>
      </c>
      <c r="G1933" s="3">
        <v>67895</v>
      </c>
      <c r="H1933" s="7" t="str">
        <f>HYPERLINK("http://www.ensembl.org/Mus_musculus/Gene/Summary?db=core;g=ENSMUSG00000020089","ENSMUSG00000020089")</f>
        <v>ENSMUSG00000020089</v>
      </c>
      <c r="I1933" s="7" t="str">
        <f>HYPERLINK("http://www.informatics.jax.org/marker/MGI:97831","MGI:97831")</f>
        <v>MGI:97831</v>
      </c>
      <c r="J1933" s="4" t="s">
        <v>12</v>
      </c>
    </row>
    <row r="1934" spans="1:10" x14ac:dyDescent="0.25">
      <c r="A1934" s="2">
        <v>551.07812681492499</v>
      </c>
      <c r="B1934" s="3">
        <v>0.696160338025824</v>
      </c>
      <c r="C1934" s="5">
        <v>1.1117363962877199E-6</v>
      </c>
      <c r="D1934" s="6">
        <v>4.5769189425456896E-6</v>
      </c>
      <c r="E1934" s="3" t="s">
        <v>9595</v>
      </c>
      <c r="F1934" s="3" t="s">
        <v>9596</v>
      </c>
      <c r="G1934" s="3">
        <v>320554</v>
      </c>
      <c r="H1934" s="7" t="str">
        <f>HYPERLINK("http://www.ensembl.org/Mus_musculus/Gene/Summary?db=core;g=ENSMUSG00000027175","ENSMUSG00000027175")</f>
        <v>ENSMUSG00000027175</v>
      </c>
      <c r="I1934" s="7" t="str">
        <f>HYPERLINK("http://www.informatics.jax.org/marker/MGI:2444263","MGI:2444263")</f>
        <v>MGI:2444263</v>
      </c>
      <c r="J1934" s="4" t="s">
        <v>12</v>
      </c>
    </row>
    <row r="1935" spans="1:10" x14ac:dyDescent="0.25">
      <c r="A1935" s="2">
        <v>49.503015122009799</v>
      </c>
      <c r="B1935" s="3">
        <v>0.69548214057577395</v>
      </c>
      <c r="C1935" s="5">
        <v>9.5221375469206699E-5</v>
      </c>
      <c r="D1935" s="4">
        <v>3.21865876628858E-4</v>
      </c>
      <c r="E1935" s="3" t="s">
        <v>11679</v>
      </c>
      <c r="F1935" s="3" t="s">
        <v>11680</v>
      </c>
      <c r="G1935" s="3">
        <v>73919</v>
      </c>
      <c r="H1935" s="7" t="str">
        <f>HYPERLINK("http://www.ensembl.org/Mus_musculus/Gene/Summary?db=core;g=ENSMUSG00000030922","ENSMUSG00000030922")</f>
        <v>ENSMUSG00000030922</v>
      </c>
      <c r="I1935" s="7" t="str">
        <f>HYPERLINK("http://www.informatics.jax.org/marker/MGI:1921169","MGI:1921169")</f>
        <v>MGI:1921169</v>
      </c>
      <c r="J1935" s="4" t="s">
        <v>12</v>
      </c>
    </row>
    <row r="1936" spans="1:10" x14ac:dyDescent="0.25">
      <c r="A1936" s="2">
        <v>456.85320055096599</v>
      </c>
      <c r="B1936" s="3">
        <v>0.69542615044789802</v>
      </c>
      <c r="C1936" s="5">
        <v>2.0294688218185201E-17</v>
      </c>
      <c r="D1936" s="6">
        <v>1.77163015344229E-16</v>
      </c>
      <c r="E1936" s="3" t="s">
        <v>4535</v>
      </c>
      <c r="F1936" s="3" t="s">
        <v>4536</v>
      </c>
      <c r="G1936" s="3">
        <v>68523</v>
      </c>
      <c r="H1936" s="7" t="str">
        <f>HYPERLINK("http://www.ensembl.org/Mus_musculus/Gene/Summary?db=core;g=ENSMUSG00000031879","ENSMUSG00000031879")</f>
        <v>ENSMUSG00000031879</v>
      </c>
      <c r="I1936" s="7" t="str">
        <f>HYPERLINK("http://www.informatics.jax.org/marker/MGI:1915773","MGI:1915773")</f>
        <v>MGI:1915773</v>
      </c>
      <c r="J1936" s="4" t="s">
        <v>12</v>
      </c>
    </row>
    <row r="1937" spans="1:10" x14ac:dyDescent="0.25">
      <c r="A1937" s="2">
        <v>2626.5625143185798</v>
      </c>
      <c r="B1937" s="3">
        <v>0.69470208146067403</v>
      </c>
      <c r="C1937" s="5">
        <v>2.54761205493976E-35</v>
      </c>
      <c r="D1937" s="6">
        <v>4.4696538899832804E-34</v>
      </c>
      <c r="E1937" s="3" t="s">
        <v>2265</v>
      </c>
      <c r="F1937" s="3" t="s">
        <v>2266</v>
      </c>
      <c r="G1937" s="3">
        <v>207839</v>
      </c>
      <c r="H1937" s="7" t="str">
        <f>HYPERLINK("http://www.ensembl.org/Mus_musculus/Gene/Summary?db=core;g=ENSMUSG00000037280","ENSMUSG00000037280")</f>
        <v>ENSMUSG00000037280</v>
      </c>
      <c r="I1937" s="7" t="str">
        <f>HYPERLINK("http://www.informatics.jax.org/marker/MGI:1891640","MGI:1891640")</f>
        <v>MGI:1891640</v>
      </c>
      <c r="J1937" s="4" t="s">
        <v>12</v>
      </c>
    </row>
    <row r="1938" spans="1:10" x14ac:dyDescent="0.25">
      <c r="A1938" s="2">
        <v>857.555609592976</v>
      </c>
      <c r="B1938" s="3">
        <v>0.69452607588505599</v>
      </c>
      <c r="C1938" s="5">
        <v>9.5354370742220596E-18</v>
      </c>
      <c r="D1938" s="6">
        <v>8.50085077322148E-17</v>
      </c>
      <c r="E1938" s="3" t="s">
        <v>4441</v>
      </c>
      <c r="F1938" s="3" t="s">
        <v>4442</v>
      </c>
      <c r="G1938" s="3">
        <v>67338</v>
      </c>
      <c r="H1938" s="7" t="str">
        <f>HYPERLINK("http://www.ensembl.org/Mus_musculus/Gene/Summary?db=core;g=ENSMUSG00000020696","ENSMUSG00000020696")</f>
        <v>ENSMUSG00000020696</v>
      </c>
      <c r="I1938" s="7" t="str">
        <f>HYPERLINK("http://www.informatics.jax.org/marker/MGI:1914588","MGI:1914588")</f>
        <v>MGI:1914588</v>
      </c>
      <c r="J1938" s="4" t="s">
        <v>12</v>
      </c>
    </row>
    <row r="1939" spans="1:10" x14ac:dyDescent="0.25">
      <c r="A1939" s="2">
        <v>1449.4178910208</v>
      </c>
      <c r="B1939" s="3">
        <v>0.69447480741748802</v>
      </c>
      <c r="C1939" s="5">
        <v>9.7800428117035203E-32</v>
      </c>
      <c r="D1939" s="6">
        <v>1.5114611618087301E-30</v>
      </c>
      <c r="E1939" s="3" t="s">
        <v>2569</v>
      </c>
      <c r="F1939" s="3" t="s">
        <v>2570</v>
      </c>
      <c r="G1939" s="3">
        <v>19334</v>
      </c>
      <c r="H1939" s="7" t="str">
        <f>HYPERLINK("http://www.ensembl.org/Mus_musculus/Gene/Summary?db=core;g=ENSMUSG00000027519","ENSMUSG00000027519")</f>
        <v>ENSMUSG00000027519</v>
      </c>
      <c r="I1939" s="7" t="str">
        <f>HYPERLINK("http://www.informatics.jax.org/marker/MGI:105072","MGI:105072")</f>
        <v>MGI:105072</v>
      </c>
      <c r="J1939" s="4" t="s">
        <v>12</v>
      </c>
    </row>
    <row r="1940" spans="1:10" x14ac:dyDescent="0.25">
      <c r="A1940" s="2">
        <v>1329.4300471552599</v>
      </c>
      <c r="B1940" s="3">
        <v>0.694383313121122</v>
      </c>
      <c r="C1940" s="5">
        <v>2.7333461723381101E-17</v>
      </c>
      <c r="D1940" s="6">
        <v>2.36930050630802E-16</v>
      </c>
      <c r="E1940" s="3" t="s">
        <v>4567</v>
      </c>
      <c r="F1940" s="3" t="s">
        <v>4568</v>
      </c>
      <c r="G1940" s="3">
        <v>18550</v>
      </c>
      <c r="H1940" s="7" t="str">
        <f>HYPERLINK("http://www.ensembl.org/Mus_musculus/Gene/Summary?db=core;g=ENSMUSG00000030530","ENSMUSG00000030530")</f>
        <v>ENSMUSG00000030530</v>
      </c>
      <c r="I1940" s="7" t="str">
        <f>HYPERLINK("http://www.informatics.jax.org/marker/MGI:97513","MGI:97513")</f>
        <v>MGI:97513</v>
      </c>
      <c r="J1940" s="4" t="s">
        <v>12</v>
      </c>
    </row>
    <row r="1941" spans="1:10" x14ac:dyDescent="0.25">
      <c r="A1941" s="2">
        <v>57.908736251190298</v>
      </c>
      <c r="B1941" s="3">
        <v>0.69372380431894998</v>
      </c>
      <c r="C1941" s="5">
        <v>8.4708798654834201E-6</v>
      </c>
      <c r="D1941" s="6">
        <v>3.1994972408989301E-5</v>
      </c>
      <c r="E1941" s="3" t="s">
        <v>10456</v>
      </c>
      <c r="F1941" s="3" t="s">
        <v>10457</v>
      </c>
      <c r="G1941" s="3">
        <v>240186</v>
      </c>
      <c r="H1941" s="7" t="str">
        <f>HYPERLINK("http://www.ensembl.org/Mus_musculus/Gene/Summary?db=core;g=ENSMUSG00000050945","ENSMUSG00000050945")</f>
        <v>ENSMUSG00000050945</v>
      </c>
      <c r="I1941" s="7" t="str">
        <f>HYPERLINK("http://www.informatics.jax.org/marker/MGI:2444919","MGI:2444919")</f>
        <v>MGI:2444919</v>
      </c>
      <c r="J1941" s="4" t="s">
        <v>12</v>
      </c>
    </row>
    <row r="1942" spans="1:10" x14ac:dyDescent="0.25">
      <c r="A1942" s="2">
        <v>469.02164534405699</v>
      </c>
      <c r="B1942" s="3">
        <v>0.69369208873004495</v>
      </c>
      <c r="C1942" s="5">
        <v>2.7864775839784798E-7</v>
      </c>
      <c r="D1942" s="6">
        <v>1.21974113110001E-6</v>
      </c>
      <c r="E1942" s="3" t="s">
        <v>9025</v>
      </c>
      <c r="F1942" s="3" t="s">
        <v>9026</v>
      </c>
      <c r="G1942" s="3">
        <v>269713</v>
      </c>
      <c r="H1942" s="7" t="str">
        <f>HYPERLINK("http://www.ensembl.org/Mus_musculus/Gene/Summary?db=core;g=ENSMUSG00000063146","ENSMUSG00000063146")</f>
        <v>ENSMUSG00000063146</v>
      </c>
      <c r="I1942" s="7" t="str">
        <f>HYPERLINK("http://www.informatics.jax.org/marker/MGI:1313136","MGI:1313136")</f>
        <v>MGI:1313136</v>
      </c>
      <c r="J1942" s="4" t="s">
        <v>12</v>
      </c>
    </row>
    <row r="1943" spans="1:10" x14ac:dyDescent="0.25">
      <c r="A1943" s="2">
        <v>689.61133912161097</v>
      </c>
      <c r="B1943" s="3">
        <v>0.69312347314453004</v>
      </c>
      <c r="C1943" s="5">
        <v>5.7983611326478499E-22</v>
      </c>
      <c r="D1943" s="6">
        <v>6.2605716132413702E-21</v>
      </c>
      <c r="E1943" s="3" t="s">
        <v>3670</v>
      </c>
      <c r="F1943" s="3" t="s">
        <v>3671</v>
      </c>
      <c r="G1943" s="3">
        <v>68087</v>
      </c>
      <c r="H1943" s="7" t="str">
        <f>HYPERLINK("http://www.ensembl.org/Mus_musculus/Gene/Summary?db=core;g=ENSMUSG00000020935","ENSMUSG00000020935")</f>
        <v>ENSMUSG00000020935</v>
      </c>
      <c r="I1943" s="7" t="str">
        <f>HYPERLINK("http://www.informatics.jax.org/marker/MGI:1915337","MGI:1915337")</f>
        <v>MGI:1915337</v>
      </c>
      <c r="J1943" s="4" t="s">
        <v>12</v>
      </c>
    </row>
    <row r="1944" spans="1:10" x14ac:dyDescent="0.25">
      <c r="A1944" s="2">
        <v>13.852925367643801</v>
      </c>
      <c r="B1944" s="3">
        <v>0.69308037720984506</v>
      </c>
      <c r="C1944" s="3">
        <v>1.97378704981757E-2</v>
      </c>
      <c r="D1944" s="4">
        <v>4.6144731028337299E-2</v>
      </c>
      <c r="E1944" s="3" t="s">
        <v>16874</v>
      </c>
      <c r="F1944" s="3" t="s">
        <v>16875</v>
      </c>
      <c r="G1944" s="3" t="s">
        <v>83</v>
      </c>
      <c r="H1944" s="7" t="str">
        <f>HYPERLINK("http://www.ensembl.org/Mus_musculus/Gene/Summary?db=core;g=ENSMUSG00000082998","ENSMUSG00000082998")</f>
        <v>ENSMUSG00000082998</v>
      </c>
      <c r="I1944" s="7" t="str">
        <f>HYPERLINK("http://www.informatics.jax.org/marker/MGI:3651633","MGI:3651633")</f>
        <v>MGI:3651633</v>
      </c>
      <c r="J1944" s="4" t="s">
        <v>1043</v>
      </c>
    </row>
    <row r="1945" spans="1:10" x14ac:dyDescent="0.25">
      <c r="A1945" s="2">
        <v>24.8236492268117</v>
      </c>
      <c r="B1945" s="3">
        <v>0.69301946282783999</v>
      </c>
      <c r="C1945" s="3">
        <v>1.1522988607204E-2</v>
      </c>
      <c r="D1945" s="4">
        <v>2.8287481057396199E-2</v>
      </c>
      <c r="E1945" s="3" t="s">
        <v>16071</v>
      </c>
      <c r="F1945" s="3" t="s">
        <v>16072</v>
      </c>
      <c r="G1945" s="3">
        <v>54646</v>
      </c>
      <c r="H1945" s="7" t="str">
        <f>HYPERLINK("http://www.ensembl.org/Mus_musculus/Gene/Summary?db=core;g=ENSMUSG00000039556","ENSMUSG00000039556")</f>
        <v>ENSMUSG00000039556</v>
      </c>
      <c r="I1945" s="7" t="str">
        <f>HYPERLINK("http://www.informatics.jax.org/marker/MGI:1859617","MGI:1859617")</f>
        <v>MGI:1859617</v>
      </c>
      <c r="J1945" s="4" t="s">
        <v>12</v>
      </c>
    </row>
    <row r="1946" spans="1:10" x14ac:dyDescent="0.25">
      <c r="A1946" s="2">
        <v>2172.6544399961999</v>
      </c>
      <c r="B1946" s="3">
        <v>0.691296963904939</v>
      </c>
      <c r="C1946" s="5">
        <v>1.5440606623818999E-21</v>
      </c>
      <c r="D1946" s="6">
        <v>1.63352340462291E-20</v>
      </c>
      <c r="E1946" s="3" t="s">
        <v>3746</v>
      </c>
      <c r="F1946" s="3" t="s">
        <v>3747</v>
      </c>
      <c r="G1946" s="3">
        <v>75751</v>
      </c>
      <c r="H1946" s="7" t="str">
        <f>HYPERLINK("http://www.ensembl.org/Mus_musculus/Gene/Summary?db=core;g=ENSMUSG00000002319","ENSMUSG00000002319")</f>
        <v>ENSMUSG00000002319</v>
      </c>
      <c r="I1946" s="7" t="str">
        <f>HYPERLINK("http://www.informatics.jax.org/marker/MGI:1923001","MGI:1923001")</f>
        <v>MGI:1923001</v>
      </c>
      <c r="J1946" s="4" t="s">
        <v>12</v>
      </c>
    </row>
    <row r="1947" spans="1:10" x14ac:dyDescent="0.25">
      <c r="A1947" s="2">
        <v>26.062342154773301</v>
      </c>
      <c r="B1947" s="3">
        <v>0.69073004847295405</v>
      </c>
      <c r="C1947" s="3">
        <v>1.0191590428804799E-2</v>
      </c>
      <c r="D1947" s="4">
        <v>2.5339666763131201E-2</v>
      </c>
      <c r="E1947" s="3" t="s">
        <v>15867</v>
      </c>
      <c r="F1947" s="3" t="s">
        <v>15868</v>
      </c>
      <c r="G1947" s="3">
        <v>14957</v>
      </c>
      <c r="H1947" s="7" t="str">
        <f>HYPERLINK("http://www.ensembl.org/Mus_musculus/Gene/Summary?db=core;g=ENSMUSG00000052565","ENSMUSG00000052565")</f>
        <v>ENSMUSG00000052565</v>
      </c>
      <c r="I1947" s="7" t="str">
        <f>HYPERLINK("http://www.informatics.jax.org/marker/MGI:107502","MGI:107502")</f>
        <v>MGI:107502</v>
      </c>
      <c r="J1947" s="4" t="s">
        <v>12</v>
      </c>
    </row>
    <row r="1948" spans="1:10" x14ac:dyDescent="0.25">
      <c r="A1948" s="2">
        <v>2331.0595651610101</v>
      </c>
      <c r="B1948" s="3">
        <v>0.68995043363878905</v>
      </c>
      <c r="C1948" s="5">
        <v>1.7086452586260299E-12</v>
      </c>
      <c r="D1948" s="6">
        <v>1.12992905768294E-11</v>
      </c>
      <c r="E1948" s="3" t="s">
        <v>5981</v>
      </c>
      <c r="F1948" s="3" t="s">
        <v>5982</v>
      </c>
      <c r="G1948" s="3">
        <v>17134</v>
      </c>
      <c r="H1948" s="7" t="str">
        <f>HYPERLINK("http://www.ensembl.org/Mus_musculus/Gene/Summary?db=core;g=ENSMUSG00000051510","ENSMUSG00000051510")</f>
        <v>ENSMUSG00000051510</v>
      </c>
      <c r="I1948" s="7" t="str">
        <f>HYPERLINK("http://www.informatics.jax.org/marker/MGI:96911","MGI:96911")</f>
        <v>MGI:96911</v>
      </c>
      <c r="J1948" s="4" t="s">
        <v>12</v>
      </c>
    </row>
    <row r="1949" spans="1:10" x14ac:dyDescent="0.25">
      <c r="A1949" s="2">
        <v>5045.7275330729099</v>
      </c>
      <c r="B1949" s="3">
        <v>0.68986827926315197</v>
      </c>
      <c r="C1949" s="5">
        <v>6.8029959996158406E-24</v>
      </c>
      <c r="D1949" s="6">
        <v>7.9570036246989505E-23</v>
      </c>
      <c r="E1949" s="3" t="s">
        <v>3390</v>
      </c>
      <c r="F1949" s="3" t="s">
        <v>3391</v>
      </c>
      <c r="G1949" s="3">
        <v>67784</v>
      </c>
      <c r="H1949" s="7" t="str">
        <f>HYPERLINK("http://www.ensembl.org/Mus_musculus/Gene/Summary?db=core;g=ENSMUSG00000030123","ENSMUSG00000030123")</f>
        <v>ENSMUSG00000030123</v>
      </c>
      <c r="I1949" s="7" t="str">
        <f>HYPERLINK("http://www.informatics.jax.org/marker/MGI:2154244","MGI:2154244")</f>
        <v>MGI:2154244</v>
      </c>
      <c r="J1949" s="4" t="s">
        <v>12</v>
      </c>
    </row>
    <row r="1950" spans="1:10" x14ac:dyDescent="0.25">
      <c r="A1950" s="2">
        <v>383.753684444339</v>
      </c>
      <c r="B1950" s="3">
        <v>0.68879606624156897</v>
      </c>
      <c r="C1950" s="5">
        <v>2.86396846272546E-14</v>
      </c>
      <c r="D1950" s="6">
        <v>2.1136773235384E-13</v>
      </c>
      <c r="E1950" s="3" t="s">
        <v>5361</v>
      </c>
      <c r="F1950" s="3" t="s">
        <v>5362</v>
      </c>
      <c r="G1950" s="3">
        <v>20364</v>
      </c>
      <c r="H1950" s="7" t="str">
        <f>HYPERLINK("http://www.ensembl.org/Mus_musculus/Gene/Summary?db=core;g=ENSMUSG00000041571","ENSMUSG00000041571")</f>
        <v>ENSMUSG00000041571</v>
      </c>
      <c r="I1950" s="7" t="str">
        <f>HYPERLINK("http://www.informatics.jax.org/marker/MGI:1100878","MGI:1100878")</f>
        <v>MGI:1100878</v>
      </c>
      <c r="J1950" s="4" t="s">
        <v>12</v>
      </c>
    </row>
    <row r="1951" spans="1:10" x14ac:dyDescent="0.25">
      <c r="A1951" s="2">
        <v>3590.2106259730299</v>
      </c>
      <c r="B1951" s="3">
        <v>0.68872510114946495</v>
      </c>
      <c r="C1951" s="5">
        <v>3.4702171431700601E-71</v>
      </c>
      <c r="D1951" s="6">
        <v>1.64107151230968E-69</v>
      </c>
      <c r="E1951" s="3" t="s">
        <v>846</v>
      </c>
      <c r="F1951" s="3" t="s">
        <v>847</v>
      </c>
      <c r="G1951" s="3">
        <v>17187</v>
      </c>
      <c r="H1951" s="7" t="str">
        <f>HYPERLINK("http://www.ensembl.org/Mus_musculus/Gene/Summary?db=core;g=ENSMUSG00000059436","ENSMUSG00000059436")</f>
        <v>ENSMUSG00000059436</v>
      </c>
      <c r="I1951" s="7" t="str">
        <f>HYPERLINK("http://www.informatics.jax.org/marker/MGI:96921","MGI:96921")</f>
        <v>MGI:96921</v>
      </c>
      <c r="J1951" s="4" t="s">
        <v>12</v>
      </c>
    </row>
    <row r="1952" spans="1:10" x14ac:dyDescent="0.25">
      <c r="A1952" s="2">
        <v>625.96001595016696</v>
      </c>
      <c r="B1952" s="3">
        <v>0.68864957525824599</v>
      </c>
      <c r="C1952" s="5">
        <v>7.4621031224486197E-31</v>
      </c>
      <c r="D1952" s="6">
        <v>1.1293374794680501E-29</v>
      </c>
      <c r="E1952" s="3" t="s">
        <v>2623</v>
      </c>
      <c r="F1952" s="3" t="s">
        <v>2624</v>
      </c>
      <c r="G1952" s="3">
        <v>108067</v>
      </c>
      <c r="H1952" s="7" t="str">
        <f>HYPERLINK("http://www.ensembl.org/Mus_musculus/Gene/Summary?db=core;g=ENSMUSG00000028683","ENSMUSG00000028683")</f>
        <v>ENSMUSG00000028683</v>
      </c>
      <c r="I1952" s="7" t="str">
        <f>HYPERLINK("http://www.informatics.jax.org/marker/MGI:1313286","MGI:1313286")</f>
        <v>MGI:1313286</v>
      </c>
      <c r="J1952" s="4" t="s">
        <v>12</v>
      </c>
    </row>
    <row r="1953" spans="1:10" x14ac:dyDescent="0.25">
      <c r="A1953" s="2">
        <v>1440.13516248016</v>
      </c>
      <c r="B1953" s="3">
        <v>0.68850659871140696</v>
      </c>
      <c r="C1953" s="5">
        <v>3.9336923344836402E-11</v>
      </c>
      <c r="D1953" s="6">
        <v>2.3592582979324002E-10</v>
      </c>
      <c r="E1953" s="3" t="s">
        <v>6593</v>
      </c>
      <c r="F1953" s="3" t="s">
        <v>6594</v>
      </c>
      <c r="G1953" s="3">
        <v>26442</v>
      </c>
      <c r="H1953" s="7" t="str">
        <f>HYPERLINK("http://www.ensembl.org/Mus_musculus/Gene/Summary?db=core;g=ENSMUSG00000068749","ENSMUSG00000068749")</f>
        <v>ENSMUSG00000068749</v>
      </c>
      <c r="I1953" s="7" t="str">
        <f>HYPERLINK("http://www.informatics.jax.org/marker/MGI:1347009","MGI:1347009")</f>
        <v>MGI:1347009</v>
      </c>
      <c r="J1953" s="4" t="s">
        <v>12</v>
      </c>
    </row>
    <row r="1954" spans="1:10" x14ac:dyDescent="0.25">
      <c r="A1954" s="2">
        <v>324.10107817629199</v>
      </c>
      <c r="B1954" s="3">
        <v>0.68813970818676995</v>
      </c>
      <c r="C1954" s="5">
        <v>3.4926954775673999E-14</v>
      </c>
      <c r="D1954" s="6">
        <v>2.5585421551868101E-13</v>
      </c>
      <c r="E1954" s="3" t="s">
        <v>5401</v>
      </c>
      <c r="F1954" s="3" t="s">
        <v>5402</v>
      </c>
      <c r="G1954" s="3">
        <v>71254</v>
      </c>
      <c r="H1954" s="7" t="str">
        <f>HYPERLINK("http://www.ensembl.org/Mus_musculus/Gene/Summary?db=core;g=ENSMUSG00000039164","ENSMUSG00000039164")</f>
        <v>ENSMUSG00000039164</v>
      </c>
      <c r="I1954" s="7" t="str">
        <f>HYPERLINK("http://www.informatics.jax.org/marker/MGI:1918504","MGI:1918504")</f>
        <v>MGI:1918504</v>
      </c>
      <c r="J1954" s="4" t="s">
        <v>12</v>
      </c>
    </row>
    <row r="1955" spans="1:10" x14ac:dyDescent="0.25">
      <c r="A1955" s="2">
        <v>95.584220181326501</v>
      </c>
      <c r="B1955" s="3">
        <v>0.68806089752793897</v>
      </c>
      <c r="C1955" s="5">
        <v>9.0622462714814002E-6</v>
      </c>
      <c r="D1955" s="6">
        <v>3.4091472047617902E-5</v>
      </c>
      <c r="E1955" s="3" t="s">
        <v>10498</v>
      </c>
      <c r="F1955" s="3" t="s">
        <v>10499</v>
      </c>
      <c r="G1955" s="3">
        <v>53328</v>
      </c>
      <c r="H1955" s="7" t="str">
        <f>HYPERLINK("http://www.ensembl.org/Mus_musculus/Gene/Summary?db=core;g=ENSMUSG00000006373","ENSMUSG00000006373")</f>
        <v>ENSMUSG00000006373</v>
      </c>
      <c r="I1955" s="7" t="str">
        <f>HYPERLINK("http://www.informatics.jax.org/marker/MGI:1858305","MGI:1858305")</f>
        <v>MGI:1858305</v>
      </c>
      <c r="J1955" s="4" t="s">
        <v>12</v>
      </c>
    </row>
    <row r="1956" spans="1:10" x14ac:dyDescent="0.25">
      <c r="A1956" s="2">
        <v>363.186250747705</v>
      </c>
      <c r="B1956" s="3">
        <v>0.686250133628725</v>
      </c>
      <c r="C1956" s="5">
        <v>1.85723591427907E-15</v>
      </c>
      <c r="D1956" s="6">
        <v>1.46089717708748E-14</v>
      </c>
      <c r="E1956" s="3" t="s">
        <v>5031</v>
      </c>
      <c r="F1956" s="3" t="s">
        <v>5032</v>
      </c>
      <c r="G1956" s="3">
        <v>18590</v>
      </c>
      <c r="H1956" s="7" t="str">
        <f>HYPERLINK("http://www.ensembl.org/Mus_musculus/Gene/Summary?db=core;g=ENSMUSG00000025856","ENSMUSG00000025856")</f>
        <v>ENSMUSG00000025856</v>
      </c>
      <c r="I1956" s="7" t="str">
        <f>HYPERLINK("http://www.informatics.jax.org/marker/MGI:97527","MGI:97527")</f>
        <v>MGI:97527</v>
      </c>
      <c r="J1956" s="4" t="s">
        <v>12</v>
      </c>
    </row>
    <row r="1957" spans="1:10" x14ac:dyDescent="0.25">
      <c r="A1957" s="2">
        <v>222.05683897236199</v>
      </c>
      <c r="B1957" s="3">
        <v>0.68464446558378</v>
      </c>
      <c r="C1957" s="5">
        <v>5.8003423685680299E-10</v>
      </c>
      <c r="D1957" s="6">
        <v>3.1623652614918898E-9</v>
      </c>
      <c r="E1957" s="3" t="s">
        <v>7252</v>
      </c>
      <c r="F1957" s="3" t="s">
        <v>7253</v>
      </c>
      <c r="G1957" s="3">
        <v>72982</v>
      </c>
      <c r="H1957" s="7" t="str">
        <f>HYPERLINK("http://www.ensembl.org/Mus_musculus/Gene/Summary?db=core;g=ENSMUSG00000024666","ENSMUSG00000024666")</f>
        <v>ENSMUSG00000024666</v>
      </c>
      <c r="I1957" s="7" t="str">
        <f>HYPERLINK("http://www.informatics.jax.org/marker/MGI:1920232","MGI:1920232")</f>
        <v>MGI:1920232</v>
      </c>
      <c r="J1957" s="4" t="s">
        <v>12</v>
      </c>
    </row>
    <row r="1958" spans="1:10" x14ac:dyDescent="0.25">
      <c r="A1958" s="2">
        <v>57.8599270189751</v>
      </c>
      <c r="B1958" s="3">
        <v>0.68425249289395895</v>
      </c>
      <c r="C1958" s="3">
        <v>1.8475560934586702E-2</v>
      </c>
      <c r="D1958" s="4">
        <v>4.34367876527956E-2</v>
      </c>
      <c r="E1958" s="3" t="s">
        <v>16780</v>
      </c>
      <c r="F1958" s="3" t="s">
        <v>16781</v>
      </c>
      <c r="G1958" s="3" t="s">
        <v>83</v>
      </c>
      <c r="H1958" s="7" t="str">
        <f>HYPERLINK("http://www.ensembl.org/Mus_musculus/Gene/Summary?db=core;g=ENSMUSG00000057359","ENSMUSG00000057359")</f>
        <v>ENSMUSG00000057359</v>
      </c>
      <c r="I1958" s="7" t="str">
        <f>HYPERLINK("http://www.informatics.jax.org/marker/MGI:4937128","MGI:4937128")</f>
        <v>MGI:4937128</v>
      </c>
      <c r="J1958" s="4" t="s">
        <v>331</v>
      </c>
    </row>
    <row r="1959" spans="1:10" x14ac:dyDescent="0.25">
      <c r="A1959" s="2">
        <v>41.376787737870899</v>
      </c>
      <c r="B1959" s="3">
        <v>0.68424664198091201</v>
      </c>
      <c r="C1959" s="3">
        <v>2.3111689031570399E-4</v>
      </c>
      <c r="D1959" s="4">
        <v>7.4507521285363499E-4</v>
      </c>
      <c r="E1959" s="3" t="s">
        <v>12245</v>
      </c>
      <c r="F1959" s="3" t="s">
        <v>12246</v>
      </c>
      <c r="G1959" s="3">
        <v>213084</v>
      </c>
      <c r="H1959" s="7" t="str">
        <f>HYPERLINK("http://www.ensembl.org/Mus_musculus/Gene/Summary?db=core;g=ENSMUSG00000020389","ENSMUSG00000020389")</f>
        <v>ENSMUSG00000020389</v>
      </c>
      <c r="I1959" s="7" t="str">
        <f>HYPERLINK("http://www.informatics.jax.org/marker/MGI:2388268","MGI:2388268")</f>
        <v>MGI:2388268</v>
      </c>
      <c r="J1959" s="4" t="s">
        <v>12</v>
      </c>
    </row>
    <row r="1960" spans="1:10" x14ac:dyDescent="0.25">
      <c r="A1960" s="2">
        <v>206.73795694952599</v>
      </c>
      <c r="B1960" s="3">
        <v>0.68381362618235797</v>
      </c>
      <c r="C1960" s="3">
        <v>5.9875265832605301E-3</v>
      </c>
      <c r="D1960" s="4">
        <v>1.5570885430818599E-2</v>
      </c>
      <c r="E1960" s="3" t="s">
        <v>15171</v>
      </c>
      <c r="F1960" s="3" t="s">
        <v>15172</v>
      </c>
      <c r="G1960" s="3">
        <v>14863</v>
      </c>
      <c r="H1960" s="7" t="str">
        <f>HYPERLINK("http://www.ensembl.org/Mus_musculus/Gene/Summary?db=core;g=ENSMUSG00000040562","ENSMUSG00000040562")</f>
        <v>ENSMUSG00000040562</v>
      </c>
      <c r="I1960" s="7" t="str">
        <f>HYPERLINK("http://www.informatics.jax.org/marker/MGI:95861","MGI:95861")</f>
        <v>MGI:95861</v>
      </c>
      <c r="J1960" s="4" t="s">
        <v>12</v>
      </c>
    </row>
    <row r="1961" spans="1:10" x14ac:dyDescent="0.25">
      <c r="A1961" s="2">
        <v>1183.54011993125</v>
      </c>
      <c r="B1961" s="3">
        <v>0.68352164796667403</v>
      </c>
      <c r="C1961" s="5">
        <v>5.7328997001617803E-17</v>
      </c>
      <c r="D1961" s="6">
        <v>4.8645775424780696E-16</v>
      </c>
      <c r="E1961" s="3" t="s">
        <v>4665</v>
      </c>
      <c r="F1961" s="3" t="s">
        <v>4666</v>
      </c>
      <c r="G1961" s="3">
        <v>18438</v>
      </c>
      <c r="H1961" s="7" t="str">
        <f>HYPERLINK("http://www.ensembl.org/Mus_musculus/Gene/Summary?db=core;g=ENSMUSG00000029470","ENSMUSG00000029470")</f>
        <v>ENSMUSG00000029470</v>
      </c>
      <c r="I1961" s="7" t="str">
        <f>HYPERLINK("http://www.informatics.jax.org/marker/MGI:1338859","MGI:1338859")</f>
        <v>MGI:1338859</v>
      </c>
      <c r="J1961" s="4" t="s">
        <v>12</v>
      </c>
    </row>
    <row r="1962" spans="1:10" x14ac:dyDescent="0.25">
      <c r="A1962" s="2">
        <v>1247.3214792685101</v>
      </c>
      <c r="B1962" s="3">
        <v>0.68329567228667298</v>
      </c>
      <c r="C1962" s="5">
        <v>1.4714570725429101E-12</v>
      </c>
      <c r="D1962" s="6">
        <v>9.7667901280869006E-12</v>
      </c>
      <c r="E1962" s="3" t="s">
        <v>5959</v>
      </c>
      <c r="F1962" s="3" t="s">
        <v>5960</v>
      </c>
      <c r="G1962" s="3">
        <v>100910</v>
      </c>
      <c r="H1962" s="7" t="str">
        <f>HYPERLINK("http://www.ensembl.org/Mus_musculus/Gene/Summary?db=core;g=ENSMUSG00000038181","ENSMUSG00000038181")</f>
        <v>ENSMUSG00000038181</v>
      </c>
      <c r="I1962" s="7" t="str">
        <f>HYPERLINK("http://www.informatics.jax.org/marker/MGI:1917522","MGI:1917522")</f>
        <v>MGI:1917522</v>
      </c>
      <c r="J1962" s="4" t="s">
        <v>12</v>
      </c>
    </row>
    <row r="1963" spans="1:10" x14ac:dyDescent="0.25">
      <c r="A1963" s="2">
        <v>13.538543051518801</v>
      </c>
      <c r="B1963" s="3">
        <v>0.68247504593697395</v>
      </c>
      <c r="C1963" s="3">
        <v>1.46803372684443E-2</v>
      </c>
      <c r="D1963" s="4">
        <v>3.5298195443182599E-2</v>
      </c>
      <c r="E1963" s="3" t="s">
        <v>16409</v>
      </c>
      <c r="F1963" s="3" t="s">
        <v>16410</v>
      </c>
      <c r="G1963" s="3" t="s">
        <v>83</v>
      </c>
      <c r="H1963" s="7" t="str">
        <f>HYPERLINK("http://www.ensembl.org/Mus_musculus/Gene/Summary?db=core;g=ENSMUSG00000097797","ENSMUSG00000097797")</f>
        <v>ENSMUSG00000097797</v>
      </c>
      <c r="I1963" s="7" t="str">
        <f>HYPERLINK("http://www.informatics.jax.org/marker/MGI:5477395","MGI:5477395")</f>
        <v>MGI:5477395</v>
      </c>
      <c r="J1963" s="4" t="s">
        <v>939</v>
      </c>
    </row>
    <row r="1964" spans="1:10" x14ac:dyDescent="0.25">
      <c r="A1964" s="2">
        <v>4019.1592329642599</v>
      </c>
      <c r="B1964" s="3">
        <v>0.68145116013856799</v>
      </c>
      <c r="C1964" s="5">
        <v>9.3730254615045093E-24</v>
      </c>
      <c r="D1964" s="6">
        <v>1.090478242483E-22</v>
      </c>
      <c r="E1964" s="3" t="s">
        <v>3408</v>
      </c>
      <c r="F1964" s="3" t="s">
        <v>3409</v>
      </c>
      <c r="G1964" s="3">
        <v>110960</v>
      </c>
      <c r="H1964" s="7" t="str">
        <f>HYPERLINK("http://www.ensembl.org/Mus_musculus/Gene/Summary?db=core;g=ENSMUSG00000022241","ENSMUSG00000022241")</f>
        <v>ENSMUSG00000022241</v>
      </c>
      <c r="I1964" s="7" t="str">
        <f>HYPERLINK("http://www.informatics.jax.org/marker/MGI:106314","MGI:106314")</f>
        <v>MGI:106314</v>
      </c>
      <c r="J1964" s="4" t="s">
        <v>12</v>
      </c>
    </row>
    <row r="1965" spans="1:10" x14ac:dyDescent="0.25">
      <c r="A1965" s="2">
        <v>284.045462769734</v>
      </c>
      <c r="B1965" s="3">
        <v>0.68140716298397597</v>
      </c>
      <c r="C1965" s="5">
        <v>9.4170325791055203E-8</v>
      </c>
      <c r="D1965" s="6">
        <v>4.27889130092076E-7</v>
      </c>
      <c r="E1965" s="3" t="s">
        <v>8697</v>
      </c>
      <c r="F1965" s="3" t="s">
        <v>8698</v>
      </c>
      <c r="G1965" s="3">
        <v>56441</v>
      </c>
      <c r="H1965" s="7" t="str">
        <f>HYPERLINK("http://www.ensembl.org/Mus_musculus/Gene/Summary?db=core;g=ENSMUSG00000079334","ENSMUSG00000079334")</f>
        <v>ENSMUSG00000079334</v>
      </c>
      <c r="I1965" s="7" t="str">
        <f>HYPERLINK("http://www.informatics.jax.org/marker/MGI:1888902","MGI:1888902")</f>
        <v>MGI:1888902</v>
      </c>
      <c r="J1965" s="4" t="s">
        <v>12</v>
      </c>
    </row>
    <row r="1966" spans="1:10" x14ac:dyDescent="0.25">
      <c r="A1966" s="2">
        <v>1437.7522772791699</v>
      </c>
      <c r="B1966" s="3">
        <v>0.68110099167994698</v>
      </c>
      <c r="C1966" s="5">
        <v>4.7784548089821202E-24</v>
      </c>
      <c r="D1966" s="6">
        <v>5.6223823886114199E-23</v>
      </c>
      <c r="E1966" s="3" t="s">
        <v>3372</v>
      </c>
      <c r="F1966" s="3" t="s">
        <v>3373</v>
      </c>
      <c r="G1966" s="3">
        <v>24056</v>
      </c>
      <c r="H1966" s="7" t="str">
        <f>HYPERLINK("http://www.ensembl.org/Mus_musculus/Gene/Summary?db=core;g=ENSMUSG00000021892","ENSMUSG00000021892")</f>
        <v>ENSMUSG00000021892</v>
      </c>
      <c r="I1966" s="7" t="str">
        <f>HYPERLINK("http://www.informatics.jax.org/marker/MGI:1344391","MGI:1344391")</f>
        <v>MGI:1344391</v>
      </c>
      <c r="J1966" s="4" t="s">
        <v>12</v>
      </c>
    </row>
    <row r="1967" spans="1:10" x14ac:dyDescent="0.25">
      <c r="A1967" s="2">
        <v>1946.4236148042301</v>
      </c>
      <c r="B1967" s="3">
        <v>0.68072880904747002</v>
      </c>
      <c r="C1967" s="5">
        <v>5.4300252468933204E-22</v>
      </c>
      <c r="D1967" s="6">
        <v>5.88029093183615E-21</v>
      </c>
      <c r="E1967" s="3" t="s">
        <v>3660</v>
      </c>
      <c r="F1967" s="3" t="s">
        <v>3661</v>
      </c>
      <c r="G1967" s="3">
        <v>226026</v>
      </c>
      <c r="H1967" s="7" t="str">
        <f>HYPERLINK("http://www.ensembl.org/Mus_musculus/Gene/Summary?db=core;g=ENSMUSG00000024943","ENSMUSG00000024943")</f>
        <v>ENSMUSG00000024943</v>
      </c>
      <c r="I1967" s="7" t="str">
        <f>HYPERLINK("http://www.informatics.jax.org/marker/MGI:2385088","MGI:2385088")</f>
        <v>MGI:2385088</v>
      </c>
      <c r="J1967" s="4" t="s">
        <v>12</v>
      </c>
    </row>
    <row r="1968" spans="1:10" x14ac:dyDescent="0.25">
      <c r="A1968" s="2">
        <v>3394.78012934036</v>
      </c>
      <c r="B1968" s="3">
        <v>0.68056603823852402</v>
      </c>
      <c r="C1968" s="5">
        <v>8.7736724710459698E-20</v>
      </c>
      <c r="D1968" s="6">
        <v>8.6120866664522898E-19</v>
      </c>
      <c r="E1968" s="3" t="s">
        <v>4037</v>
      </c>
      <c r="F1968" s="3" t="s">
        <v>4038</v>
      </c>
      <c r="G1968" s="3">
        <v>18984</v>
      </c>
      <c r="H1968" s="7" t="str">
        <f>HYPERLINK("http://www.ensembl.org/Mus_musculus/Gene/Summary?db=core;g=ENSMUSG00000005514","ENSMUSG00000005514")</f>
        <v>ENSMUSG00000005514</v>
      </c>
      <c r="I1968" s="7" t="str">
        <f>HYPERLINK("http://www.informatics.jax.org/marker/MGI:97744","MGI:97744")</f>
        <v>MGI:97744</v>
      </c>
      <c r="J1968" s="4" t="s">
        <v>12</v>
      </c>
    </row>
    <row r="1969" spans="1:10" x14ac:dyDescent="0.25">
      <c r="A1969" s="2">
        <v>929.480039753558</v>
      </c>
      <c r="B1969" s="3">
        <v>0.68033844571689805</v>
      </c>
      <c r="C1969" s="5">
        <v>1.9744489967430801E-26</v>
      </c>
      <c r="D1969" s="6">
        <v>2.5548644498539102E-25</v>
      </c>
      <c r="E1969" s="3" t="s">
        <v>3066</v>
      </c>
      <c r="F1969" s="3" t="s">
        <v>3067</v>
      </c>
      <c r="G1969" s="3">
        <v>67239</v>
      </c>
      <c r="H1969" s="7" t="str">
        <f>HYPERLINK("http://www.ensembl.org/Mus_musculus/Gene/Summary?db=core;g=ENSMUSG00000038510","ENSMUSG00000038510")</f>
        <v>ENSMUSG00000038510</v>
      </c>
      <c r="I1969" s="7" t="str">
        <f>HYPERLINK("http://www.informatics.jax.org/marker/MGI:1914489","MGI:1914489")</f>
        <v>MGI:1914489</v>
      </c>
      <c r="J1969" s="4" t="s">
        <v>12</v>
      </c>
    </row>
    <row r="1970" spans="1:10" x14ac:dyDescent="0.25">
      <c r="A1970" s="2">
        <v>1382.5013361259</v>
      </c>
      <c r="B1970" s="3">
        <v>0.67911138991529396</v>
      </c>
      <c r="C1970" s="5">
        <v>6.7094003841175602E-28</v>
      </c>
      <c r="D1970" s="6">
        <v>9.1184959045346906E-27</v>
      </c>
      <c r="E1970" s="3" t="s">
        <v>2920</v>
      </c>
      <c r="F1970" s="3" t="s">
        <v>2921</v>
      </c>
      <c r="G1970" s="3">
        <v>17972</v>
      </c>
      <c r="H1970" s="7" t="str">
        <f>HYPERLINK("http://www.ensembl.org/Mus_musculus/Gene/Summary?db=core;g=ENSMUSG00000071715","ENSMUSG00000071715")</f>
        <v>ENSMUSG00000071715</v>
      </c>
      <c r="I1970" s="7" t="str">
        <f>HYPERLINK("http://www.informatics.jax.org/marker/MGI:109186","MGI:109186")</f>
        <v>MGI:109186</v>
      </c>
      <c r="J1970" s="4" t="s">
        <v>12</v>
      </c>
    </row>
    <row r="1971" spans="1:10" x14ac:dyDescent="0.25">
      <c r="A1971" s="2">
        <v>660.21257289315395</v>
      </c>
      <c r="B1971" s="3">
        <v>0.67897659832992996</v>
      </c>
      <c r="C1971" s="5">
        <v>2.4934843817261401E-11</v>
      </c>
      <c r="D1971" s="6">
        <v>1.51763925949505E-10</v>
      </c>
      <c r="E1971" s="3" t="s">
        <v>6497</v>
      </c>
      <c r="F1971" s="3" t="s">
        <v>6498</v>
      </c>
      <c r="G1971" s="3">
        <v>170756</v>
      </c>
      <c r="H1971" s="7" t="str">
        <f>HYPERLINK("http://www.ensembl.org/Mus_musculus/Gene/Summary?db=core;g=ENSMUSG00000032754","ENSMUSG00000032754")</f>
        <v>ENSMUSG00000032754</v>
      </c>
      <c r="I1971" s="7" t="str">
        <f>HYPERLINK("http://www.informatics.jax.org/marker/MGI:2180781","MGI:2180781")</f>
        <v>MGI:2180781</v>
      </c>
      <c r="J1971" s="4" t="s">
        <v>12</v>
      </c>
    </row>
    <row r="1972" spans="1:10" x14ac:dyDescent="0.25">
      <c r="A1972" s="2">
        <v>4269.4635380968703</v>
      </c>
      <c r="B1972" s="3">
        <v>0.67887909290989901</v>
      </c>
      <c r="C1972" s="5">
        <v>4.9177034476797603E-17</v>
      </c>
      <c r="D1972" s="6">
        <v>4.18726735700539E-16</v>
      </c>
      <c r="E1972" s="3" t="s">
        <v>4649</v>
      </c>
      <c r="F1972" s="3" t="s">
        <v>4650</v>
      </c>
      <c r="G1972" s="3">
        <v>17069</v>
      </c>
      <c r="H1972" s="7" t="str">
        <f>HYPERLINK("http://www.ensembl.org/Mus_musculus/Gene/Summary?db=core;g=ENSMUSG00000022587","ENSMUSG00000022587")</f>
        <v>ENSMUSG00000022587</v>
      </c>
      <c r="I1972" s="7" t="str">
        <f>HYPERLINK("http://www.informatics.jax.org/marker/MGI:106651","MGI:106651")</f>
        <v>MGI:106651</v>
      </c>
      <c r="J1972" s="4" t="s">
        <v>12</v>
      </c>
    </row>
    <row r="1973" spans="1:10" x14ac:dyDescent="0.25">
      <c r="A1973" s="2">
        <v>727.46334757363297</v>
      </c>
      <c r="B1973" s="3">
        <v>0.67862157717974303</v>
      </c>
      <c r="C1973" s="5">
        <v>5.3467422123310303E-8</v>
      </c>
      <c r="D1973" s="6">
        <v>2.4785556282832098E-7</v>
      </c>
      <c r="E1973" s="3" t="s">
        <v>8525</v>
      </c>
      <c r="F1973" s="3" t="s">
        <v>8526</v>
      </c>
      <c r="G1973" s="3">
        <v>18670</v>
      </c>
      <c r="H1973" s="7" t="str">
        <f>HYPERLINK("http://www.ensembl.org/Mus_musculus/Gene/Summary?db=core;g=ENSMUSG00000042476","ENSMUSG00000042476")</f>
        <v>ENSMUSG00000042476</v>
      </c>
      <c r="I1973" s="7" t="str">
        <f>HYPERLINK("http://www.informatics.jax.org/marker/MGI:97569","MGI:97569")</f>
        <v>MGI:97569</v>
      </c>
      <c r="J1973" s="4" t="s">
        <v>12</v>
      </c>
    </row>
    <row r="1974" spans="1:10" x14ac:dyDescent="0.25">
      <c r="A1974" s="2">
        <v>13.975806599989699</v>
      </c>
      <c r="B1974" s="3">
        <v>0.67826451309192304</v>
      </c>
      <c r="C1974" s="3">
        <v>1.57980445423925E-2</v>
      </c>
      <c r="D1974" s="4">
        <v>3.7707266809002597E-2</v>
      </c>
      <c r="E1974" s="3" t="s">
        <v>16527</v>
      </c>
      <c r="F1974" s="3" t="s">
        <v>16528</v>
      </c>
      <c r="G1974" s="3" t="s">
        <v>83</v>
      </c>
      <c r="H1974" s="7" t="str">
        <f>HYPERLINK("http://www.ensembl.org/Mus_musculus/Gene/Summary?db=core;g=ENSMUSG00000085984","ENSMUSG00000085984")</f>
        <v>ENSMUSG00000085984</v>
      </c>
      <c r="I1974" s="7" t="str">
        <f>HYPERLINK("http://www.informatics.jax.org/marker/MGI:1916553","MGI:1916553")</f>
        <v>MGI:1916553</v>
      </c>
      <c r="J1974" s="4" t="s">
        <v>331</v>
      </c>
    </row>
    <row r="1975" spans="1:10" x14ac:dyDescent="0.25">
      <c r="A1975" s="2">
        <v>1088.8235541065201</v>
      </c>
      <c r="B1975" s="3">
        <v>0.67814752025878999</v>
      </c>
      <c r="C1975" s="5">
        <v>7.1894831833185101E-18</v>
      </c>
      <c r="D1975" s="6">
        <v>6.4443912897745903E-17</v>
      </c>
      <c r="E1975" s="3" t="s">
        <v>4417</v>
      </c>
      <c r="F1975" s="3" t="s">
        <v>4418</v>
      </c>
      <c r="G1975" s="3">
        <v>77031</v>
      </c>
      <c r="H1975" s="7" t="str">
        <f>HYPERLINK("http://www.ensembl.org/Mus_musculus/Gene/Summary?db=core;g=ENSMUSG00000039463","ENSMUSG00000039463")</f>
        <v>ENSMUSG00000039463</v>
      </c>
      <c r="I1975" s="7" t="str">
        <f>HYPERLINK("http://www.informatics.jax.org/marker/MGI:1924281","MGI:1924281")</f>
        <v>MGI:1924281</v>
      </c>
      <c r="J1975" s="4" t="s">
        <v>12</v>
      </c>
    </row>
    <row r="1976" spans="1:10" x14ac:dyDescent="0.25">
      <c r="A1976" s="2">
        <v>253.28785235901299</v>
      </c>
      <c r="B1976" s="3">
        <v>0.67761758271626504</v>
      </c>
      <c r="C1976" s="5">
        <v>8.7770861027709202E-9</v>
      </c>
      <c r="D1976" s="6">
        <v>4.3763372426458297E-8</v>
      </c>
      <c r="E1976" s="3" t="s">
        <v>7926</v>
      </c>
      <c r="F1976" s="3" t="s">
        <v>7927</v>
      </c>
      <c r="G1976" s="3">
        <v>229055</v>
      </c>
      <c r="H1976" s="7" t="str">
        <f>HYPERLINK("http://www.ensembl.org/Mus_musculus/Gene/Summary?db=core;g=ENSMUSG00000069114","ENSMUSG00000069114")</f>
        <v>ENSMUSG00000069114</v>
      </c>
      <c r="I1976" s="7" t="str">
        <f>HYPERLINK("http://www.informatics.jax.org/marker/MGI:2139883","MGI:2139883")</f>
        <v>MGI:2139883</v>
      </c>
      <c r="J1976" s="4" t="s">
        <v>12</v>
      </c>
    </row>
    <row r="1977" spans="1:10" x14ac:dyDescent="0.25">
      <c r="A1977" s="2">
        <v>399.84271853452299</v>
      </c>
      <c r="B1977" s="3">
        <v>0.677563515897883</v>
      </c>
      <c r="C1977" s="5">
        <v>7.9968216333616899E-15</v>
      </c>
      <c r="D1977" s="6">
        <v>6.0934050467500898E-14</v>
      </c>
      <c r="E1977" s="3" t="s">
        <v>5193</v>
      </c>
      <c r="F1977" s="3" t="s">
        <v>5194</v>
      </c>
      <c r="G1977" s="3">
        <v>71835</v>
      </c>
      <c r="H1977" s="7" t="str">
        <f>HYPERLINK("http://www.ensembl.org/Mus_musculus/Gene/Summary?db=core;g=ENSMUSG00000062190","ENSMUSG00000062190")</f>
        <v>ENSMUSG00000062190</v>
      </c>
      <c r="I1977" s="7" t="str">
        <f>HYPERLINK("http://www.informatics.jax.org/marker/MGI:1919085","MGI:1919085")</f>
        <v>MGI:1919085</v>
      </c>
      <c r="J1977" s="4" t="s">
        <v>12</v>
      </c>
    </row>
    <row r="1978" spans="1:10" x14ac:dyDescent="0.25">
      <c r="A1978" s="2">
        <v>216.13226404962401</v>
      </c>
      <c r="B1978" s="3">
        <v>0.67741629623706001</v>
      </c>
      <c r="C1978" s="5">
        <v>1.0891192044957401E-9</v>
      </c>
      <c r="D1978" s="6">
        <v>5.8283394064195403E-9</v>
      </c>
      <c r="E1978" s="3" t="s">
        <v>7388</v>
      </c>
      <c r="F1978" s="3" t="s">
        <v>7389</v>
      </c>
      <c r="G1978" s="3">
        <v>56812</v>
      </c>
      <c r="H1978" s="7" t="str">
        <f>HYPERLINK("http://www.ensembl.org/Mus_musculus/Gene/Summary?db=core;g=ENSMUSG00000026203","ENSMUSG00000026203")</f>
        <v>ENSMUSG00000026203</v>
      </c>
      <c r="I1978" s="7" t="str">
        <f>HYPERLINK("http://www.informatics.jax.org/marker/MGI:1928739","MGI:1928739")</f>
        <v>MGI:1928739</v>
      </c>
      <c r="J1978" s="4" t="s">
        <v>12</v>
      </c>
    </row>
    <row r="1979" spans="1:10" x14ac:dyDescent="0.25">
      <c r="A1979" s="2">
        <v>101.102179247111</v>
      </c>
      <c r="B1979" s="3">
        <v>0.67708489184341303</v>
      </c>
      <c r="C1979" s="5">
        <v>1.51444640081877E-5</v>
      </c>
      <c r="D1979" s="6">
        <v>5.5811779151833599E-5</v>
      </c>
      <c r="E1979" s="3" t="s">
        <v>10714</v>
      </c>
      <c r="F1979" s="3" t="s">
        <v>10715</v>
      </c>
      <c r="G1979" s="3">
        <v>241308</v>
      </c>
      <c r="H1979" s="7" t="str">
        <f>HYPERLINK("http://www.ensembl.org/Mus_musculus/Gene/Summary?db=core;g=ENSMUSG00000038831","ENSMUSG00000038831")</f>
        <v>ENSMUSG00000038831</v>
      </c>
      <c r="I1979" s="7" t="str">
        <f>HYPERLINK("http://www.informatics.jax.org/marker/MGI:1922008","MGI:1922008")</f>
        <v>MGI:1922008</v>
      </c>
      <c r="J1979" s="4" t="s">
        <v>12</v>
      </c>
    </row>
    <row r="1980" spans="1:10" x14ac:dyDescent="0.25">
      <c r="A1980" s="2">
        <v>1454.30485915452</v>
      </c>
      <c r="B1980" s="3">
        <v>0.67593341657967598</v>
      </c>
      <c r="C1980" s="5">
        <v>2.02614280686109E-33</v>
      </c>
      <c r="D1980" s="6">
        <v>3.3158121287386503E-32</v>
      </c>
      <c r="E1980" s="3" t="s">
        <v>2427</v>
      </c>
      <c r="F1980" s="3" t="s">
        <v>2428</v>
      </c>
      <c r="G1980" s="3">
        <v>327987</v>
      </c>
      <c r="H1980" s="7" t="str">
        <f>HYPERLINK("http://www.ensembl.org/Mus_musculus/Gene/Summary?db=core;g=ENSMUSG00000034297","ENSMUSG00000034297")</f>
        <v>ENSMUSG00000034297</v>
      </c>
      <c r="I1980" s="7" t="str">
        <f>HYPERLINK("http://www.informatics.jax.org/marker/MGI:3029632","MGI:3029632")</f>
        <v>MGI:3029632</v>
      </c>
      <c r="J1980" s="4" t="s">
        <v>12</v>
      </c>
    </row>
    <row r="1981" spans="1:10" x14ac:dyDescent="0.25">
      <c r="A1981" s="2">
        <v>196.275639671676</v>
      </c>
      <c r="B1981" s="3">
        <v>0.67584169773374403</v>
      </c>
      <c r="C1981" s="5">
        <v>3.6515401788566198E-10</v>
      </c>
      <c r="D1981" s="6">
        <v>2.0284048542831702E-9</v>
      </c>
      <c r="E1981" s="3" t="s">
        <v>7118</v>
      </c>
      <c r="F1981" s="3" t="s">
        <v>7119</v>
      </c>
      <c r="G1981" s="3" t="s">
        <v>83</v>
      </c>
      <c r="H1981" s="7" t="str">
        <f>HYPERLINK("http://www.ensembl.org/Mus_musculus/Gene/Summary?db=core;g=ENSMUSG00000086712","ENSMUSG00000086712")</f>
        <v>ENSMUSG00000086712</v>
      </c>
      <c r="I1981" s="7" t="str">
        <f>HYPERLINK("http://www.informatics.jax.org/marker/MGI:2140270","MGI:2140270")</f>
        <v>MGI:2140270</v>
      </c>
      <c r="J1981" s="4" t="s">
        <v>939</v>
      </c>
    </row>
    <row r="1982" spans="1:10" x14ac:dyDescent="0.25">
      <c r="A1982" s="2">
        <v>90.742448364697196</v>
      </c>
      <c r="B1982" s="3">
        <v>0.67576670214806001</v>
      </c>
      <c r="C1982" s="5">
        <v>1.3357988356705E-7</v>
      </c>
      <c r="D1982" s="6">
        <v>5.9895300226062302E-7</v>
      </c>
      <c r="E1982" s="3" t="s">
        <v>8813</v>
      </c>
      <c r="F1982" s="3" t="s">
        <v>8814</v>
      </c>
      <c r="G1982" s="3" t="s">
        <v>83</v>
      </c>
      <c r="H1982" s="7" t="str">
        <f>HYPERLINK("http://www.ensembl.org/Mus_musculus/Gene/Summary?db=core;g=ENSMUSG00000045464","ENSMUSG00000045464")</f>
        <v>ENSMUSG00000045464</v>
      </c>
      <c r="I1982" s="7" t="str">
        <f>HYPERLINK("http://www.informatics.jax.org/marker/MGI:1913707","MGI:1913707")</f>
        <v>MGI:1913707</v>
      </c>
      <c r="J1982" s="4" t="s">
        <v>331</v>
      </c>
    </row>
    <row r="1983" spans="1:10" x14ac:dyDescent="0.25">
      <c r="A1983" s="2">
        <v>1291.4241493434699</v>
      </c>
      <c r="B1983" s="3">
        <v>0.674707435633779</v>
      </c>
      <c r="C1983" s="5">
        <v>1.2080839938273599E-23</v>
      </c>
      <c r="D1983" s="6">
        <v>1.4005535777939699E-22</v>
      </c>
      <c r="E1983" s="3" t="s">
        <v>3420</v>
      </c>
      <c r="F1983" s="3" t="s">
        <v>3421</v>
      </c>
      <c r="G1983" s="3">
        <v>77891</v>
      </c>
      <c r="H1983" s="7" t="str">
        <f>HYPERLINK("http://www.ensembl.org/Mus_musculus/Gene/Summary?db=core;g=ENSMUSG00000060860","ENSMUSG00000060860")</f>
        <v>ENSMUSG00000060860</v>
      </c>
      <c r="I1983" s="7" t="str">
        <f>HYPERLINK("http://www.informatics.jax.org/marker/MGI:1925141","MGI:1925141")</f>
        <v>MGI:1925141</v>
      </c>
      <c r="J1983" s="4" t="s">
        <v>12</v>
      </c>
    </row>
    <row r="1984" spans="1:10" x14ac:dyDescent="0.25">
      <c r="A1984" s="2">
        <v>387.199170279942</v>
      </c>
      <c r="B1984" s="3">
        <v>0.67465487557989801</v>
      </c>
      <c r="C1984" s="5">
        <v>2.8378084419323102E-15</v>
      </c>
      <c r="D1984" s="6">
        <v>2.2093005319741499E-14</v>
      </c>
      <c r="E1984" s="3" t="s">
        <v>5083</v>
      </c>
      <c r="F1984" s="3" t="s">
        <v>5084</v>
      </c>
      <c r="G1984" s="3">
        <v>70612</v>
      </c>
      <c r="H1984" s="7" t="str">
        <f>HYPERLINK("http://www.ensembl.org/Mus_musculus/Gene/Summary?db=core;g=ENSMUSG00000027341","ENSMUSG00000027341")</f>
        <v>ENSMUSG00000027341</v>
      </c>
      <c r="I1984" s="7" t="str">
        <f>HYPERLINK("http://www.informatics.jax.org/marker/MGI:1917862","MGI:1917862")</f>
        <v>MGI:1917862</v>
      </c>
      <c r="J1984" s="4" t="s">
        <v>12</v>
      </c>
    </row>
    <row r="1985" spans="1:10" x14ac:dyDescent="0.25">
      <c r="A1985" s="2">
        <v>628.17329854507204</v>
      </c>
      <c r="B1985" s="3">
        <v>0.673861461407536</v>
      </c>
      <c r="C1985" s="5">
        <v>1.60826355517594E-15</v>
      </c>
      <c r="D1985" s="6">
        <v>1.27012243924988E-14</v>
      </c>
      <c r="E1985" s="3" t="s">
        <v>5011</v>
      </c>
      <c r="F1985" s="3" t="s">
        <v>5012</v>
      </c>
      <c r="G1985" s="3">
        <v>234577</v>
      </c>
      <c r="H1985" s="7" t="str">
        <f>HYPERLINK("http://www.ensembl.org/Mus_musculus/Gene/Summary?db=core;g=ENSMUSG00000034361","ENSMUSG00000034361")</f>
        <v>ENSMUSG00000034361</v>
      </c>
      <c r="I1985" s="7" t="str">
        <f>HYPERLINK("http://www.informatics.jax.org/marker/MGI:2387578","MGI:2387578")</f>
        <v>MGI:2387578</v>
      </c>
      <c r="J1985" s="4" t="s">
        <v>12</v>
      </c>
    </row>
    <row r="1986" spans="1:10" x14ac:dyDescent="0.25">
      <c r="A1986" s="2">
        <v>128.72619014075499</v>
      </c>
      <c r="B1986" s="3">
        <v>0.67284235177118201</v>
      </c>
      <c r="C1986" s="5">
        <v>8.8499583692515901E-8</v>
      </c>
      <c r="D1986" s="6">
        <v>4.0295815987448899E-7</v>
      </c>
      <c r="E1986" s="3" t="s">
        <v>8679</v>
      </c>
      <c r="F1986" s="3" t="s">
        <v>8680</v>
      </c>
      <c r="G1986" s="3">
        <v>19057</v>
      </c>
      <c r="H1986" s="7" t="str">
        <f>HYPERLINK("http://www.ensembl.org/Mus_musculus/Gene/Summary?db=core;g=ENSMUSG00000022092","ENSMUSG00000022092")</f>
        <v>ENSMUSG00000022092</v>
      </c>
      <c r="I1986" s="7" t="str">
        <f>HYPERLINK("http://www.informatics.jax.org/marker/MGI:107162","MGI:107162")</f>
        <v>MGI:107162</v>
      </c>
      <c r="J1986" s="4" t="s">
        <v>12</v>
      </c>
    </row>
    <row r="1987" spans="1:10" x14ac:dyDescent="0.25">
      <c r="A1987" s="2">
        <v>23.5579195000083</v>
      </c>
      <c r="B1987" s="3">
        <v>0.67265200625063304</v>
      </c>
      <c r="C1987" s="3">
        <v>6.0365559170653896E-3</v>
      </c>
      <c r="D1987" s="4">
        <v>1.5688613916341101E-2</v>
      </c>
      <c r="E1987" s="3" t="s">
        <v>15181</v>
      </c>
      <c r="F1987" s="3" t="s">
        <v>15182</v>
      </c>
      <c r="G1987" s="3">
        <v>219149</v>
      </c>
      <c r="H1987" s="7" t="str">
        <f>HYPERLINK("http://www.ensembl.org/Mus_musculus/Gene/Summary?db=core;g=ENSMUSG00000035067","ENSMUSG00000035067")</f>
        <v>ENSMUSG00000035067</v>
      </c>
      <c r="I1987" s="7" t="str">
        <f>HYPERLINK("http://www.informatics.jax.org/marker/MGI:2447765","MGI:2447765")</f>
        <v>MGI:2447765</v>
      </c>
      <c r="J1987" s="4" t="s">
        <v>12</v>
      </c>
    </row>
    <row r="1988" spans="1:10" x14ac:dyDescent="0.25">
      <c r="A1988" s="2">
        <v>425.82811557267098</v>
      </c>
      <c r="B1988" s="3">
        <v>0.67162557953547897</v>
      </c>
      <c r="C1988" s="5">
        <v>2.1663757979136899E-13</v>
      </c>
      <c r="D1988" s="6">
        <v>1.5165399621887801E-12</v>
      </c>
      <c r="E1988" s="3" t="s">
        <v>5651</v>
      </c>
      <c r="F1988" s="3" t="s">
        <v>5652</v>
      </c>
      <c r="G1988" s="3">
        <v>225358</v>
      </c>
      <c r="H1988" s="7" t="str">
        <f>HYPERLINK("http://www.ensembl.org/Mus_musculus/Gene/Summary?db=core;g=ENSMUSG00000036501","ENSMUSG00000036501")</f>
        <v>ENSMUSG00000036501</v>
      </c>
      <c r="I1988" s="7" t="str">
        <f>HYPERLINK("http://www.informatics.jax.org/marker/MGI:2447834","MGI:2447834")</f>
        <v>MGI:2447834</v>
      </c>
      <c r="J1988" s="4" t="s">
        <v>12</v>
      </c>
    </row>
    <row r="1989" spans="1:10" x14ac:dyDescent="0.25">
      <c r="A1989" s="2">
        <v>4983.8728398879703</v>
      </c>
      <c r="B1989" s="3">
        <v>0.67047934603006998</v>
      </c>
      <c r="C1989" s="5">
        <v>6.9971327685480802E-11</v>
      </c>
      <c r="D1989" s="6">
        <v>4.1054286877646E-10</v>
      </c>
      <c r="E1989" s="3" t="s">
        <v>6740</v>
      </c>
      <c r="F1989" s="3" t="s">
        <v>6741</v>
      </c>
      <c r="G1989" s="3">
        <v>19280</v>
      </c>
      <c r="H1989" s="7" t="str">
        <f>HYPERLINK("http://www.ensembl.org/Mus_musculus/Gene/Summary?db=core;g=ENSMUSG00000013236","ENSMUSG00000013236")</f>
        <v>ENSMUSG00000013236</v>
      </c>
      <c r="I1989" s="7" t="str">
        <f>HYPERLINK("http://www.informatics.jax.org/marker/MGI:97815","MGI:97815")</f>
        <v>MGI:97815</v>
      </c>
      <c r="J1989" s="4" t="s">
        <v>12</v>
      </c>
    </row>
    <row r="1990" spans="1:10" x14ac:dyDescent="0.25">
      <c r="A1990" s="2">
        <v>798.81035534307296</v>
      </c>
      <c r="B1990" s="3">
        <v>0.67001966142138902</v>
      </c>
      <c r="C1990" s="5">
        <v>1.36742527498939E-29</v>
      </c>
      <c r="D1990" s="6">
        <v>1.98715006800227E-28</v>
      </c>
      <c r="E1990" s="3" t="s">
        <v>2732</v>
      </c>
      <c r="F1990" s="3" t="s">
        <v>2733</v>
      </c>
      <c r="G1990" s="3">
        <v>69587</v>
      </c>
      <c r="H1990" s="7" t="str">
        <f>HYPERLINK("http://www.ensembl.org/Mus_musculus/Gene/Summary?db=core;g=ENSMUSG00000033623","ENSMUSG00000033623")</f>
        <v>ENSMUSG00000033623</v>
      </c>
      <c r="I1990" s="7" t="str">
        <f>HYPERLINK("http://www.informatics.jax.org/marker/MGI:1916837","MGI:1916837")</f>
        <v>MGI:1916837</v>
      </c>
      <c r="J1990" s="4" t="s">
        <v>12</v>
      </c>
    </row>
    <row r="1991" spans="1:10" x14ac:dyDescent="0.25">
      <c r="A1991" s="2">
        <v>39.550927963128302</v>
      </c>
      <c r="B1991" s="3">
        <v>0.66991870735687897</v>
      </c>
      <c r="C1991" s="3">
        <v>1.9783213232985199E-4</v>
      </c>
      <c r="D1991" s="4">
        <v>6.4228673848282702E-4</v>
      </c>
      <c r="E1991" s="3" t="s">
        <v>12159</v>
      </c>
      <c r="F1991" s="3" t="s">
        <v>12160</v>
      </c>
      <c r="G1991" s="3" t="s">
        <v>83</v>
      </c>
      <c r="H1991" s="7" t="str">
        <f>HYPERLINK("http://www.ensembl.org/Mus_musculus/Gene/Summary?db=core;g=ENSMUSG00000092564","ENSMUSG00000092564")</f>
        <v>ENSMUSG00000092564</v>
      </c>
      <c r="I1991" s="7" t="str">
        <f>HYPERLINK("http://www.informatics.jax.org/marker/MGI:3039585","MGI:3039585")</f>
        <v>MGI:3039585</v>
      </c>
      <c r="J1991" s="4" t="s">
        <v>3187</v>
      </c>
    </row>
    <row r="1992" spans="1:10" x14ac:dyDescent="0.25">
      <c r="A1992" s="2">
        <v>1543.51658891901</v>
      </c>
      <c r="B1992" s="3">
        <v>0.66989342537353602</v>
      </c>
      <c r="C1992" s="5">
        <v>3.0207513779578099E-31</v>
      </c>
      <c r="D1992" s="6">
        <v>4.6177687731262E-30</v>
      </c>
      <c r="E1992" s="3" t="s">
        <v>2597</v>
      </c>
      <c r="F1992" s="3" t="s">
        <v>2598</v>
      </c>
      <c r="G1992" s="3">
        <v>227656</v>
      </c>
      <c r="H1992" s="7" t="str">
        <f>HYPERLINK("http://www.ensembl.org/Mus_musculus/Gene/Summary?db=core;g=ENSMUSG00000052406","ENSMUSG00000052406")</f>
        <v>ENSMUSG00000052406</v>
      </c>
      <c r="I1992" s="7" t="str">
        <f>HYPERLINK("http://www.informatics.jax.org/marker/MGI:2684957","MGI:2684957")</f>
        <v>MGI:2684957</v>
      </c>
      <c r="J1992" s="4" t="s">
        <v>12</v>
      </c>
    </row>
    <row r="1993" spans="1:10" x14ac:dyDescent="0.25">
      <c r="A1993" s="2">
        <v>1389.3538547048099</v>
      </c>
      <c r="B1993" s="3">
        <v>0.66985378812237095</v>
      </c>
      <c r="C1993" s="5">
        <v>4.3351281953102002E-7</v>
      </c>
      <c r="D1993" s="6">
        <v>1.8608778409124299E-6</v>
      </c>
      <c r="E1993" s="3" t="s">
        <v>9203</v>
      </c>
      <c r="F1993" s="3" t="s">
        <v>9204</v>
      </c>
      <c r="G1993" s="3">
        <v>16000</v>
      </c>
      <c r="H1993" s="7" t="str">
        <f>HYPERLINK("http://www.ensembl.org/Mus_musculus/Gene/Summary?db=core;g=ENSMUSG00000020053","ENSMUSG00000020053")</f>
        <v>ENSMUSG00000020053</v>
      </c>
      <c r="I1993" s="7" t="str">
        <f>HYPERLINK("http://www.informatics.jax.org/marker/MGI:96432","MGI:96432")</f>
        <v>MGI:96432</v>
      </c>
      <c r="J1993" s="4" t="s">
        <v>12</v>
      </c>
    </row>
    <row r="1994" spans="1:10" x14ac:dyDescent="0.25">
      <c r="A1994" s="2">
        <v>3026.4705463894202</v>
      </c>
      <c r="B1994" s="3">
        <v>0.66979136576358</v>
      </c>
      <c r="C1994" s="3">
        <v>4.1261986172123899E-3</v>
      </c>
      <c r="D1994" s="4">
        <v>1.10841352310895E-2</v>
      </c>
      <c r="E1994" s="3" t="s">
        <v>14685</v>
      </c>
      <c r="F1994" s="3" t="s">
        <v>14686</v>
      </c>
      <c r="G1994" s="3" t="s">
        <v>83</v>
      </c>
      <c r="H1994" s="7" t="str">
        <f>HYPERLINK("http://www.ensembl.org/Mus_musculus/Gene/Summary?db=core;g=ENSMUSG00000064339","ENSMUSG00000064339")</f>
        <v>ENSMUSG00000064339</v>
      </c>
      <c r="I1994" s="7" t="str">
        <f>HYPERLINK("http://www.informatics.jax.org/marker/MGI:102492","MGI:102492")</f>
        <v>MGI:102492</v>
      </c>
      <c r="J1994" s="4" t="s">
        <v>14687</v>
      </c>
    </row>
    <row r="1995" spans="1:10" x14ac:dyDescent="0.25">
      <c r="A1995" s="2">
        <v>2205.2681990677602</v>
      </c>
      <c r="B1995" s="3">
        <v>0.66901866352033901</v>
      </c>
      <c r="C1995" s="5">
        <v>2.62827571205064E-23</v>
      </c>
      <c r="D1995" s="6">
        <v>3.0046143212544201E-22</v>
      </c>
      <c r="E1995" s="3" t="s">
        <v>3468</v>
      </c>
      <c r="F1995" s="3" t="s">
        <v>3469</v>
      </c>
      <c r="G1995" s="3">
        <v>70296</v>
      </c>
      <c r="H1995" s="7" t="str">
        <f>HYPERLINK("http://www.ensembl.org/Mus_musculus/Gene/Summary?db=core;g=ENSMUSG00000039678","ENSMUSG00000039678")</f>
        <v>ENSMUSG00000039678</v>
      </c>
      <c r="I1995" s="7" t="str">
        <f>HYPERLINK("http://www.informatics.jax.org/marker/MGI:2385326","MGI:2385326")</f>
        <v>MGI:2385326</v>
      </c>
      <c r="J1995" s="4" t="s">
        <v>12</v>
      </c>
    </row>
    <row r="1996" spans="1:10" x14ac:dyDescent="0.25">
      <c r="A1996" s="2">
        <v>1963.92005459297</v>
      </c>
      <c r="B1996" s="3">
        <v>0.66834078381286999</v>
      </c>
      <c r="C1996" s="5">
        <v>3.3936427342625402E-16</v>
      </c>
      <c r="D1996" s="6">
        <v>2.7596962770992698E-15</v>
      </c>
      <c r="E1996" s="3" t="s">
        <v>4867</v>
      </c>
      <c r="F1996" s="3" t="s">
        <v>4868</v>
      </c>
      <c r="G1996" s="3">
        <v>234595</v>
      </c>
      <c r="H1996" s="7" t="str">
        <f>HYPERLINK("http://www.ensembl.org/Mus_musculus/Gene/Summary?db=core;g=ENSMUSG00000036534","ENSMUSG00000036534")</f>
        <v>ENSMUSG00000036534</v>
      </c>
      <c r="I1996" s="7" t="str">
        <f>HYPERLINK("http://www.informatics.jax.org/marker/MGI:2679005","MGI:2679005")</f>
        <v>MGI:2679005</v>
      </c>
      <c r="J1996" s="4" t="s">
        <v>12</v>
      </c>
    </row>
    <row r="1997" spans="1:10" x14ac:dyDescent="0.25">
      <c r="A1997" s="2">
        <v>2684.2879061526901</v>
      </c>
      <c r="B1997" s="3">
        <v>0.66736943041324703</v>
      </c>
      <c r="C1997" s="5">
        <v>1.7347831877581501E-45</v>
      </c>
      <c r="D1997" s="6">
        <v>4.1019094079845098E-44</v>
      </c>
      <c r="E1997" s="3" t="s">
        <v>1684</v>
      </c>
      <c r="F1997" s="3" t="s">
        <v>1685</v>
      </c>
      <c r="G1997" s="3">
        <v>14050</v>
      </c>
      <c r="H1997" s="7" t="str">
        <f>HYPERLINK("http://www.ensembl.org/Mus_musculus/Gene/Summary?db=core;g=ENSMUSG00000028886","ENSMUSG00000028886")</f>
        <v>ENSMUSG00000028886</v>
      </c>
      <c r="I1997" s="7" t="str">
        <f>HYPERLINK("http://www.informatics.jax.org/marker/MGI:109339","MGI:109339")</f>
        <v>MGI:109339</v>
      </c>
      <c r="J1997" s="4" t="s">
        <v>12</v>
      </c>
    </row>
    <row r="1998" spans="1:10" x14ac:dyDescent="0.25">
      <c r="A1998" s="2">
        <v>1481.2493609651999</v>
      </c>
      <c r="B1998" s="3">
        <v>0.66727008609497096</v>
      </c>
      <c r="C1998" s="5">
        <v>1.6749138747432801E-45</v>
      </c>
      <c r="D1998" s="6">
        <v>3.9651022340861198E-44</v>
      </c>
      <c r="E1998" s="3" t="s">
        <v>1682</v>
      </c>
      <c r="F1998" s="3" t="s">
        <v>1683</v>
      </c>
      <c r="G1998" s="3">
        <v>12752</v>
      </c>
      <c r="H1998" s="7" t="str">
        <f>HYPERLINK("http://www.ensembl.org/Mus_musculus/Gene/Summary?db=core;g=ENSMUSG00000030720","ENSMUSG00000030720")</f>
        <v>ENSMUSG00000030720</v>
      </c>
      <c r="I1998" s="7" t="str">
        <f>HYPERLINK("http://www.informatics.jax.org/marker/MGI:107537","MGI:107537")</f>
        <v>MGI:107537</v>
      </c>
      <c r="J1998" s="4" t="s">
        <v>12</v>
      </c>
    </row>
    <row r="1999" spans="1:10" x14ac:dyDescent="0.25">
      <c r="A1999" s="2">
        <v>9351.8212524721603</v>
      </c>
      <c r="B1999" s="3">
        <v>0.66723877627606898</v>
      </c>
      <c r="C1999" s="5">
        <v>1.1467962299688E-34</v>
      </c>
      <c r="D1999" s="6">
        <v>1.9630921575507599E-33</v>
      </c>
      <c r="E1999" s="3" t="s">
        <v>2321</v>
      </c>
      <c r="F1999" s="3" t="s">
        <v>2322</v>
      </c>
      <c r="G1999" s="3">
        <v>12462</v>
      </c>
      <c r="H1999" s="7" t="str">
        <f>HYPERLINK("http://www.ensembl.org/Mus_musculus/Gene/Summary?db=core;g=ENSMUSG00000001416","ENSMUSG00000001416")</f>
        <v>ENSMUSG00000001416</v>
      </c>
      <c r="I1999" s="7" t="str">
        <f>HYPERLINK("http://www.informatics.jax.org/marker/MGI:104708","MGI:104708")</f>
        <v>MGI:104708</v>
      </c>
      <c r="J1999" s="4" t="s">
        <v>12</v>
      </c>
    </row>
    <row r="2000" spans="1:10" x14ac:dyDescent="0.25">
      <c r="A2000" s="2">
        <v>824.58147350462298</v>
      </c>
      <c r="B2000" s="3">
        <v>0.66694318157732402</v>
      </c>
      <c r="C2000" s="5">
        <v>1.6670897464827E-20</v>
      </c>
      <c r="D2000" s="6">
        <v>1.6945881340535499E-19</v>
      </c>
      <c r="E2000" s="3" t="s">
        <v>3898</v>
      </c>
      <c r="F2000" s="3" t="s">
        <v>3899</v>
      </c>
      <c r="G2000" s="3">
        <v>59045</v>
      </c>
      <c r="H2000" s="7" t="str">
        <f>HYPERLINK("http://www.ensembl.org/Mus_musculus/Gene/Summary?db=core;g=ENSMUSG00000018167","ENSMUSG00000018167")</f>
        <v>ENSMUSG00000018167</v>
      </c>
      <c r="I2000" s="7" t="str">
        <f>HYPERLINK("http://www.informatics.jax.org/marker/MGI:1929618","MGI:1929618")</f>
        <v>MGI:1929618</v>
      </c>
      <c r="J2000" s="4" t="s">
        <v>12</v>
      </c>
    </row>
    <row r="2001" spans="1:10" x14ac:dyDescent="0.25">
      <c r="A2001" s="2">
        <v>192.16603122083501</v>
      </c>
      <c r="B2001" s="3">
        <v>0.666741532430289</v>
      </c>
      <c r="C2001" s="5">
        <v>5.8126355257329696E-7</v>
      </c>
      <c r="D2001" s="6">
        <v>2.4661181705562398E-6</v>
      </c>
      <c r="E2001" s="3" t="s">
        <v>9311</v>
      </c>
      <c r="F2001" s="3" t="s">
        <v>9312</v>
      </c>
      <c r="G2001" s="3" t="s">
        <v>83</v>
      </c>
      <c r="H2001" s="7" t="str">
        <f>HYPERLINK("http://www.ensembl.org/Mus_musculus/Gene/Summary?db=core;g=ENSMUSG00000110605","ENSMUSG00000110605")</f>
        <v>ENSMUSG00000110605</v>
      </c>
      <c r="I2001" s="7" t="str">
        <f>HYPERLINK("http://www.informatics.jax.org/marker/MGI:5592015","MGI:5592015")</f>
        <v>MGI:5592015</v>
      </c>
      <c r="J2001" s="4" t="s">
        <v>939</v>
      </c>
    </row>
    <row r="2002" spans="1:10" x14ac:dyDescent="0.25">
      <c r="A2002" s="2">
        <v>521.29672868115301</v>
      </c>
      <c r="B2002" s="3">
        <v>0.66669022290961499</v>
      </c>
      <c r="C2002" s="5">
        <v>7.3011142899980898E-26</v>
      </c>
      <c r="D2002" s="6">
        <v>9.2590336848078703E-25</v>
      </c>
      <c r="E2002" s="3" t="s">
        <v>3128</v>
      </c>
      <c r="F2002" s="3" t="s">
        <v>3129</v>
      </c>
      <c r="G2002" s="3">
        <v>73067</v>
      </c>
      <c r="H2002" s="7" t="str">
        <f>HYPERLINK("http://www.ensembl.org/Mus_musculus/Gene/Summary?db=core;g=ENSMUSG00000025521","ENSMUSG00000025521")</f>
        <v>ENSMUSG00000025521</v>
      </c>
      <c r="I2002" s="7" t="str">
        <f>HYPERLINK("http://www.informatics.jax.org/marker/MGI:1920317","MGI:1920317")</f>
        <v>MGI:1920317</v>
      </c>
      <c r="J2002" s="4" t="s">
        <v>12</v>
      </c>
    </row>
    <row r="2003" spans="1:10" x14ac:dyDescent="0.25">
      <c r="A2003" s="2">
        <v>2950.2156024587498</v>
      </c>
      <c r="B2003" s="3">
        <v>0.66647408235654004</v>
      </c>
      <c r="C2003" s="5">
        <v>5.9680258883596603E-34</v>
      </c>
      <c r="D2003" s="6">
        <v>9.9568079964849805E-33</v>
      </c>
      <c r="E2003" s="3" t="s">
        <v>2381</v>
      </c>
      <c r="F2003" s="3" t="s">
        <v>2382</v>
      </c>
      <c r="G2003" s="3">
        <v>108150</v>
      </c>
      <c r="H2003" s="7" t="str">
        <f>HYPERLINK("http://www.ensembl.org/Mus_musculus/Gene/Summary?db=core;g=ENSMUSG00000031608","ENSMUSG00000031608")</f>
        <v>ENSMUSG00000031608</v>
      </c>
      <c r="I2003" s="7" t="str">
        <f>HYPERLINK("http://www.informatics.jax.org/marker/MGI:1349449","MGI:1349449")</f>
        <v>MGI:1349449</v>
      </c>
      <c r="J2003" s="4" t="s">
        <v>12</v>
      </c>
    </row>
    <row r="2004" spans="1:10" x14ac:dyDescent="0.25">
      <c r="A2004" s="2">
        <v>1006.30953835482</v>
      </c>
      <c r="B2004" s="3">
        <v>0.66610393718705196</v>
      </c>
      <c r="C2004" s="5">
        <v>1.71373847694933E-35</v>
      </c>
      <c r="D2004" s="6">
        <v>3.0174038183429301E-34</v>
      </c>
      <c r="E2004" s="3" t="s">
        <v>2257</v>
      </c>
      <c r="F2004" s="3" t="s">
        <v>2258</v>
      </c>
      <c r="G2004" s="3">
        <v>76080</v>
      </c>
      <c r="H2004" s="7" t="str">
        <f>HYPERLINK("http://www.ensembl.org/Mus_musculus/Gene/Summary?db=core;g=ENSMUSG00000017679","ENSMUSG00000017679")</f>
        <v>ENSMUSG00000017679</v>
      </c>
      <c r="I2004" s="7" t="str">
        <f>HYPERLINK("http://www.informatics.jax.org/marker/MGI:1923330","MGI:1923330")</f>
        <v>MGI:1923330</v>
      </c>
      <c r="J2004" s="4" t="s">
        <v>12</v>
      </c>
    </row>
    <row r="2005" spans="1:10" x14ac:dyDescent="0.25">
      <c r="A2005" s="2">
        <v>235.37576585867899</v>
      </c>
      <c r="B2005" s="3">
        <v>0.66596343329283003</v>
      </c>
      <c r="C2005" s="5">
        <v>1.28685052173522E-8</v>
      </c>
      <c r="D2005" s="6">
        <v>6.3220459114645106E-8</v>
      </c>
      <c r="E2005" s="3" t="s">
        <v>8045</v>
      </c>
      <c r="F2005" s="3" t="s">
        <v>8046</v>
      </c>
      <c r="G2005" s="3">
        <v>52502</v>
      </c>
      <c r="H2005" s="7" t="str">
        <f>HYPERLINK("http://www.ensembl.org/Mus_musculus/Gene/Summary?db=core;g=ENSMUSG00000008393","ENSMUSG00000008393")</f>
        <v>ENSMUSG00000008393</v>
      </c>
      <c r="I2005" s="7" t="str">
        <f>HYPERLINK("http://www.informatics.jax.org/marker/MGI:1196368","MGI:1196368")</f>
        <v>MGI:1196368</v>
      </c>
      <c r="J2005" s="4" t="s">
        <v>12</v>
      </c>
    </row>
    <row r="2006" spans="1:10" x14ac:dyDescent="0.25">
      <c r="A2006" s="2">
        <v>2548.9958159453499</v>
      </c>
      <c r="B2006" s="3">
        <v>0.66558562284592204</v>
      </c>
      <c r="C2006" s="5">
        <v>3.7081175076632E-18</v>
      </c>
      <c r="D2006" s="6">
        <v>3.3713267520109803E-17</v>
      </c>
      <c r="E2006" s="3" t="s">
        <v>4355</v>
      </c>
      <c r="F2006" s="3" t="s">
        <v>4356</v>
      </c>
      <c r="G2006" s="3">
        <v>65963</v>
      </c>
      <c r="H2006" s="7" t="str">
        <f>HYPERLINK("http://www.ensembl.org/Mus_musculus/Gene/Summary?db=core;g=ENSMUSG00000029810","ENSMUSG00000029810")</f>
        <v>ENSMUSG00000029810</v>
      </c>
      <c r="I2006" s="7" t="str">
        <f>HYPERLINK("http://www.informatics.jax.org/marker/MGI:1916348","MGI:1916348")</f>
        <v>MGI:1916348</v>
      </c>
      <c r="J2006" s="4" t="s">
        <v>12</v>
      </c>
    </row>
    <row r="2007" spans="1:10" x14ac:dyDescent="0.25">
      <c r="A2007" s="2">
        <v>4315.2884867980001</v>
      </c>
      <c r="B2007" s="3">
        <v>0.66528561368327399</v>
      </c>
      <c r="C2007" s="5">
        <v>2.9660250739473103E-14</v>
      </c>
      <c r="D2007" s="6">
        <v>2.1857255029238E-13</v>
      </c>
      <c r="E2007" s="3" t="s">
        <v>5369</v>
      </c>
      <c r="F2007" s="3" t="s">
        <v>5370</v>
      </c>
      <c r="G2007" s="3">
        <v>67951</v>
      </c>
      <c r="H2007" s="7" t="str">
        <f>HYPERLINK("http://www.ensembl.org/Mus_musculus/Gene/Summary?db=core;g=ENSMUSG00000001473","ENSMUSG00000001473")</f>
        <v>ENSMUSG00000001473</v>
      </c>
      <c r="I2007" s="7" t="str">
        <f>HYPERLINK("http://www.informatics.jax.org/marker/MGI:1915201","MGI:1915201")</f>
        <v>MGI:1915201</v>
      </c>
      <c r="J2007" s="4" t="s">
        <v>12</v>
      </c>
    </row>
    <row r="2008" spans="1:10" x14ac:dyDescent="0.25">
      <c r="A2008" s="2">
        <v>217.86813479571401</v>
      </c>
      <c r="B2008" s="3">
        <v>0.66515405418477203</v>
      </c>
      <c r="C2008" s="5">
        <v>2.01170254525993E-9</v>
      </c>
      <c r="D2008" s="6">
        <v>1.05283370999272E-8</v>
      </c>
      <c r="E2008" s="3" t="s">
        <v>7554</v>
      </c>
      <c r="F2008" s="3" t="s">
        <v>7555</v>
      </c>
      <c r="G2008" s="3">
        <v>67742</v>
      </c>
      <c r="H2008" s="7" t="str">
        <f>HYPERLINK("http://www.ensembl.org/Mus_musculus/Gene/Summary?db=core;g=ENSMUSG00000022876","ENSMUSG00000022876")</f>
        <v>ENSMUSG00000022876</v>
      </c>
      <c r="I2008" s="7" t="str">
        <f>HYPERLINK("http://www.informatics.jax.org/marker/MGI:1914992","MGI:1914992")</f>
        <v>MGI:1914992</v>
      </c>
      <c r="J2008" s="4" t="s">
        <v>12</v>
      </c>
    </row>
    <row r="2009" spans="1:10" x14ac:dyDescent="0.25">
      <c r="A2009" s="2">
        <v>582.84027927341299</v>
      </c>
      <c r="B2009" s="3">
        <v>0.66487875511053396</v>
      </c>
      <c r="C2009" s="5">
        <v>2.5101606673828602E-16</v>
      </c>
      <c r="D2009" s="6">
        <v>2.05822737466902E-15</v>
      </c>
      <c r="E2009" s="3" t="s">
        <v>4827</v>
      </c>
      <c r="F2009" s="3" t="s">
        <v>4828</v>
      </c>
      <c r="G2009" s="3">
        <v>66311</v>
      </c>
      <c r="H2009" s="7" t="str">
        <f>HYPERLINK("http://www.ensembl.org/Mus_musculus/Gene/Summary?db=core;g=ENSMUSG00000075266","ENSMUSG00000075266")</f>
        <v>ENSMUSG00000075266</v>
      </c>
      <c r="I2009" s="7" t="str">
        <f>HYPERLINK("http://www.informatics.jax.org/marker/MGI:1913561","MGI:1913561")</f>
        <v>MGI:1913561</v>
      </c>
      <c r="J2009" s="4" t="s">
        <v>12</v>
      </c>
    </row>
    <row r="2010" spans="1:10" x14ac:dyDescent="0.25">
      <c r="A2010" s="2">
        <v>2302.5384880070901</v>
      </c>
      <c r="B2010" s="3">
        <v>0.66438035654691296</v>
      </c>
      <c r="C2010" s="5">
        <v>1.4916038500273901E-31</v>
      </c>
      <c r="D2010" s="6">
        <v>2.29620826873849E-30</v>
      </c>
      <c r="E2010" s="3" t="s">
        <v>2579</v>
      </c>
      <c r="F2010" s="3" t="s">
        <v>2580</v>
      </c>
      <c r="G2010" s="3">
        <v>20773</v>
      </c>
      <c r="H2010" s="7" t="str">
        <f>HYPERLINK("http://www.ensembl.org/Mus_musculus/Gene/Summary?db=core;g=ENSMUSG00000021036","ENSMUSG00000021036")</f>
        <v>ENSMUSG00000021036</v>
      </c>
      <c r="I2010" s="7" t="str">
        <f>HYPERLINK("http://www.informatics.jax.org/marker/MGI:108074","MGI:108074")</f>
        <v>MGI:108074</v>
      </c>
      <c r="J2010" s="4" t="s">
        <v>12</v>
      </c>
    </row>
    <row r="2011" spans="1:10" x14ac:dyDescent="0.25">
      <c r="A2011" s="2">
        <v>46.272042478536903</v>
      </c>
      <c r="B2011" s="3">
        <v>0.66436428756155796</v>
      </c>
      <c r="C2011" s="5">
        <v>9.8768710219767898E-5</v>
      </c>
      <c r="D2011" s="4">
        <v>3.3345642279298399E-4</v>
      </c>
      <c r="E2011" s="3" t="s">
        <v>11693</v>
      </c>
      <c r="F2011" s="3" t="s">
        <v>11694</v>
      </c>
      <c r="G2011" s="3" t="s">
        <v>83</v>
      </c>
      <c r="H2011" s="7" t="str">
        <f>HYPERLINK("http://www.ensembl.org/Mus_musculus/Gene/Summary?db=core;g=ENSMUSG00000061062","ENSMUSG00000061062")</f>
        <v>ENSMUSG00000061062</v>
      </c>
      <c r="I2011" s="7" t="str">
        <f>HYPERLINK("http://www.informatics.jax.org/marker/MGI:3704479","MGI:3704479")</f>
        <v>MGI:3704479</v>
      </c>
      <c r="J2011" s="4" t="s">
        <v>1043</v>
      </c>
    </row>
    <row r="2012" spans="1:10" x14ac:dyDescent="0.25">
      <c r="A2012" s="2">
        <v>2104.0388896011</v>
      </c>
      <c r="B2012" s="3">
        <v>0.66426831786345497</v>
      </c>
      <c r="C2012" s="5">
        <v>2.06761001346256E-32</v>
      </c>
      <c r="D2012" s="6">
        <v>3.2592541539153999E-31</v>
      </c>
      <c r="E2012" s="3" t="s">
        <v>2519</v>
      </c>
      <c r="F2012" s="3" t="s">
        <v>2520</v>
      </c>
      <c r="G2012" s="3">
        <v>210293</v>
      </c>
      <c r="H2012" s="7" t="str">
        <f>HYPERLINK("http://www.ensembl.org/Mus_musculus/Gene/Summary?db=core;g=ENSMUSG00000038608","ENSMUSG00000038608")</f>
        <v>ENSMUSG00000038608</v>
      </c>
      <c r="I2012" s="7" t="str">
        <f>HYPERLINK("http://www.informatics.jax.org/marker/MGI:2146320","MGI:2146320")</f>
        <v>MGI:2146320</v>
      </c>
      <c r="J2012" s="4" t="s">
        <v>12</v>
      </c>
    </row>
    <row r="2013" spans="1:10" x14ac:dyDescent="0.25">
      <c r="A2013" s="2">
        <v>748.45174284949803</v>
      </c>
      <c r="B2013" s="3">
        <v>0.663935751063645</v>
      </c>
      <c r="C2013" s="5">
        <v>1.4663964159416999E-11</v>
      </c>
      <c r="D2013" s="6">
        <v>9.0593162037500799E-11</v>
      </c>
      <c r="E2013" s="3" t="s">
        <v>6401</v>
      </c>
      <c r="F2013" s="3" t="s">
        <v>6402</v>
      </c>
      <c r="G2013" s="3">
        <v>74096</v>
      </c>
      <c r="H2013" s="7" t="str">
        <f>HYPERLINK("http://www.ensembl.org/Mus_musculus/Gene/Summary?db=core;g=ENSMUSG00000064267","ENSMUSG00000064267")</f>
        <v>ENSMUSG00000064267</v>
      </c>
      <c r="I2013" s="7" t="str">
        <f>HYPERLINK("http://www.informatics.jax.org/marker/MGI:1921346","MGI:1921346")</f>
        <v>MGI:1921346</v>
      </c>
      <c r="J2013" s="4" t="s">
        <v>12</v>
      </c>
    </row>
    <row r="2014" spans="1:10" x14ac:dyDescent="0.25">
      <c r="A2014" s="2">
        <v>4018.24409436822</v>
      </c>
      <c r="B2014" s="3">
        <v>0.663730517272764</v>
      </c>
      <c r="C2014" s="5">
        <v>8.1731669882069008E-34</v>
      </c>
      <c r="D2014" s="6">
        <v>1.3578336394898101E-32</v>
      </c>
      <c r="E2014" s="3" t="s">
        <v>2391</v>
      </c>
      <c r="F2014" s="3" t="s">
        <v>2392</v>
      </c>
      <c r="G2014" s="3">
        <v>56397</v>
      </c>
      <c r="H2014" s="7" t="str">
        <f>HYPERLINK("http://www.ensembl.org/Mus_musculus/Gene/Summary?db=core;g=ENSMUSG00000031422","ENSMUSG00000031422")</f>
        <v>ENSMUSG00000031422</v>
      </c>
      <c r="I2014" s="7" t="str">
        <f>HYPERLINK("http://www.informatics.jax.org/marker/MGI:1927167","MGI:1927167")</f>
        <v>MGI:1927167</v>
      </c>
      <c r="J2014" s="4" t="s">
        <v>12</v>
      </c>
    </row>
    <row r="2015" spans="1:10" x14ac:dyDescent="0.25">
      <c r="A2015" s="2">
        <v>329.36158548570199</v>
      </c>
      <c r="B2015" s="3">
        <v>0.663648561181295</v>
      </c>
      <c r="C2015" s="5">
        <v>6.6424602913813999E-13</v>
      </c>
      <c r="D2015" s="6">
        <v>4.4998047731377897E-12</v>
      </c>
      <c r="E2015" s="3" t="s">
        <v>5839</v>
      </c>
      <c r="F2015" s="3" t="s">
        <v>5840</v>
      </c>
      <c r="G2015" s="3">
        <v>27081</v>
      </c>
      <c r="H2015" s="7" t="str">
        <f>HYPERLINK("http://www.ensembl.org/Mus_musculus/Gene/Summary?db=core;g=ENSMUSG00000031365","ENSMUSG00000031365")</f>
        <v>ENSMUSG00000031365</v>
      </c>
      <c r="I2015" s="7" t="str">
        <f>HYPERLINK("http://www.informatics.jax.org/marker/MGI:1350985","MGI:1350985")</f>
        <v>MGI:1350985</v>
      </c>
      <c r="J2015" s="4" t="s">
        <v>12</v>
      </c>
    </row>
    <row r="2016" spans="1:10" x14ac:dyDescent="0.25">
      <c r="A2016" s="2">
        <v>5620.0746934997796</v>
      </c>
      <c r="B2016" s="3">
        <v>0.66325545154695997</v>
      </c>
      <c r="C2016" s="5">
        <v>2.12813304680232E-27</v>
      </c>
      <c r="D2016" s="6">
        <v>2.8452056734197801E-26</v>
      </c>
      <c r="E2016" s="3" t="s">
        <v>2968</v>
      </c>
      <c r="F2016" s="3" t="s">
        <v>2969</v>
      </c>
      <c r="G2016" s="3">
        <v>17969</v>
      </c>
      <c r="H2016" s="7" t="str">
        <f>HYPERLINK("http://www.ensembl.org/Mus_musculus/Gene/Summary?db=core;g=ENSMUSG00000015950","ENSMUSG00000015950")</f>
        <v>ENSMUSG00000015950</v>
      </c>
      <c r="I2016" s="7" t="str">
        <f>HYPERLINK("http://www.informatics.jax.org/marker/MGI:97283","MGI:97283")</f>
        <v>MGI:97283</v>
      </c>
      <c r="J2016" s="4" t="s">
        <v>12</v>
      </c>
    </row>
    <row r="2017" spans="1:10" x14ac:dyDescent="0.25">
      <c r="A2017" s="2">
        <v>20.934113395510401</v>
      </c>
      <c r="B2017" s="3">
        <v>0.66322201726582597</v>
      </c>
      <c r="C2017" s="3">
        <v>7.4256260662474999E-3</v>
      </c>
      <c r="D2017" s="4">
        <v>1.8936162682839899E-2</v>
      </c>
      <c r="E2017" s="3" t="s">
        <v>15471</v>
      </c>
      <c r="F2017" s="3" t="s">
        <v>15472</v>
      </c>
      <c r="G2017" s="3" t="s">
        <v>83</v>
      </c>
      <c r="H2017" s="7" t="str">
        <f>HYPERLINK("http://www.ensembl.org/Mus_musculus/Gene/Summary?db=core;g=ENSMUSG00000063245","ENSMUSG00000063245")</f>
        <v>ENSMUSG00000063245</v>
      </c>
      <c r="I2017" s="7" t="str">
        <f>HYPERLINK("http://www.informatics.jax.org/marker/MGI:3713585","MGI:3713585")</f>
        <v>MGI:3713585</v>
      </c>
      <c r="J2017" s="4" t="s">
        <v>12</v>
      </c>
    </row>
    <row r="2018" spans="1:10" x14ac:dyDescent="0.25">
      <c r="A2018" s="2">
        <v>30.954030414459702</v>
      </c>
      <c r="B2018" s="3">
        <v>0.66273430070356698</v>
      </c>
      <c r="C2018" s="3">
        <v>1.67758485029027E-3</v>
      </c>
      <c r="D2018" s="4">
        <v>4.7937941237102197E-3</v>
      </c>
      <c r="E2018" s="3" t="s">
        <v>13809</v>
      </c>
      <c r="F2018" s="3" t="s">
        <v>13810</v>
      </c>
      <c r="G2018" s="3" t="s">
        <v>83</v>
      </c>
      <c r="H2018" s="7" t="str">
        <f>HYPERLINK("http://www.ensembl.org/Mus_musculus/Gene/Summary?db=core;g=ENSMUSG00000081519","ENSMUSG00000081519")</f>
        <v>ENSMUSG00000081519</v>
      </c>
      <c r="I2018" s="7" t="str">
        <f>HYPERLINK("http://www.informatics.jax.org/marker/MGI:3649454","MGI:3649454")</f>
        <v>MGI:3649454</v>
      </c>
      <c r="J2018" s="4" t="s">
        <v>1043</v>
      </c>
    </row>
    <row r="2019" spans="1:10" x14ac:dyDescent="0.25">
      <c r="A2019" s="2">
        <v>62.405591564551699</v>
      </c>
      <c r="B2019" s="3">
        <v>0.66235098394812497</v>
      </c>
      <c r="C2019" s="5">
        <v>1.6748243778498001E-5</v>
      </c>
      <c r="D2019" s="6">
        <v>6.1343864656757094E-5</v>
      </c>
      <c r="E2019" s="3" t="s">
        <v>10780</v>
      </c>
      <c r="F2019" s="3" t="s">
        <v>10781</v>
      </c>
      <c r="G2019" s="3">
        <v>238690</v>
      </c>
      <c r="H2019" s="7" t="str">
        <f>HYPERLINK("http://www.ensembl.org/Mus_musculus/Gene/Summary?db=core;g=ENSMUSG00000055480","ENSMUSG00000055480")</f>
        <v>ENSMUSG00000055480</v>
      </c>
      <c r="I2019" s="7" t="str">
        <f>HYPERLINK("http://www.informatics.jax.org/marker/MGI:3040691","MGI:3040691")</f>
        <v>MGI:3040691</v>
      </c>
      <c r="J2019" s="4" t="s">
        <v>12</v>
      </c>
    </row>
    <row r="2020" spans="1:10" x14ac:dyDescent="0.25">
      <c r="A2020" s="2">
        <v>898.54239559264397</v>
      </c>
      <c r="B2020" s="3">
        <v>0.66199033433965204</v>
      </c>
      <c r="C2020" s="5">
        <v>1.27972348413767E-33</v>
      </c>
      <c r="D2020" s="6">
        <v>2.1082829663487701E-32</v>
      </c>
      <c r="E2020" s="3" t="s">
        <v>2411</v>
      </c>
      <c r="F2020" s="3" t="s">
        <v>2412</v>
      </c>
      <c r="G2020" s="3">
        <v>52575</v>
      </c>
      <c r="H2020" s="7" t="str">
        <f>HYPERLINK("http://www.ensembl.org/Mus_musculus/Gene/Summary?db=core;g=ENSMUSG00000044763","ENSMUSG00000044763")</f>
        <v>ENSMUSG00000044763</v>
      </c>
      <c r="I2020" s="7" t="str">
        <f>HYPERLINK("http://www.informatics.jax.org/marker/MGI:1196261","MGI:1196261")</f>
        <v>MGI:1196261</v>
      </c>
      <c r="J2020" s="4" t="s">
        <v>12</v>
      </c>
    </row>
    <row r="2021" spans="1:10" x14ac:dyDescent="0.25">
      <c r="A2021" s="2">
        <v>608.91630176051694</v>
      </c>
      <c r="B2021" s="3">
        <v>0.66181931266471505</v>
      </c>
      <c r="C2021" s="5">
        <v>7.8846509291645396E-17</v>
      </c>
      <c r="D2021" s="6">
        <v>6.6418332474636798E-16</v>
      </c>
      <c r="E2021" s="3" t="s">
        <v>4699</v>
      </c>
      <c r="F2021" s="3" t="s">
        <v>4700</v>
      </c>
      <c r="G2021" s="3">
        <v>16190</v>
      </c>
      <c r="H2021" s="7" t="str">
        <f>HYPERLINK("http://www.ensembl.org/Mus_musculus/Gene/Summary?db=core;g=ENSMUSG00000030748","ENSMUSG00000030748")</f>
        <v>ENSMUSG00000030748</v>
      </c>
      <c r="I2021" s="7" t="str">
        <f>HYPERLINK("http://www.informatics.jax.org/marker/MGI:105367","MGI:105367")</f>
        <v>MGI:105367</v>
      </c>
      <c r="J2021" s="4" t="s">
        <v>12</v>
      </c>
    </row>
    <row r="2022" spans="1:10" x14ac:dyDescent="0.25">
      <c r="A2022" s="2">
        <v>350.44539404398199</v>
      </c>
      <c r="B2022" s="3">
        <v>0.66151372872949399</v>
      </c>
      <c r="C2022" s="5">
        <v>7.5309209564348397E-15</v>
      </c>
      <c r="D2022" s="6">
        <v>5.74950682388289E-14</v>
      </c>
      <c r="E2022" s="3" t="s">
        <v>5183</v>
      </c>
      <c r="F2022" s="3" t="s">
        <v>5184</v>
      </c>
      <c r="G2022" s="3">
        <v>72886</v>
      </c>
      <c r="H2022" s="7" t="str">
        <f>HYPERLINK("http://www.ensembl.org/Mus_musculus/Gene/Summary?db=core;g=ENSMUSG00000003208","ENSMUSG00000003208")</f>
        <v>ENSMUSG00000003208</v>
      </c>
      <c r="I2022" s="7" t="str">
        <f>HYPERLINK("http://www.informatics.jax.org/marker/MGI:1920136","MGI:1920136")</f>
        <v>MGI:1920136</v>
      </c>
      <c r="J2022" s="4" t="s">
        <v>12</v>
      </c>
    </row>
    <row r="2023" spans="1:10" x14ac:dyDescent="0.25">
      <c r="A2023" s="2">
        <v>384.43027453291802</v>
      </c>
      <c r="B2023" s="3">
        <v>0.66138857409220897</v>
      </c>
      <c r="C2023" s="5">
        <v>9.0264351232405302E-16</v>
      </c>
      <c r="D2023" s="6">
        <v>7.1948787643614898E-15</v>
      </c>
      <c r="E2023" s="3" t="s">
        <v>4965</v>
      </c>
      <c r="F2023" s="3" t="s">
        <v>4966</v>
      </c>
      <c r="G2023" s="3">
        <v>380916</v>
      </c>
      <c r="H2023" s="7" t="str">
        <f>HYPERLINK("http://www.ensembl.org/Mus_musculus/Gene/Summary?db=core;g=ENSMUSG00000068015","ENSMUSG00000068015")</f>
        <v>ENSMUSG00000068015</v>
      </c>
      <c r="I2023" s="7" t="str">
        <f>HYPERLINK("http://www.informatics.jax.org/marker/MGI:2443390","MGI:2443390")</f>
        <v>MGI:2443390</v>
      </c>
      <c r="J2023" s="4" t="s">
        <v>12</v>
      </c>
    </row>
    <row r="2024" spans="1:10" x14ac:dyDescent="0.25">
      <c r="A2024" s="2">
        <v>479.10632289567297</v>
      </c>
      <c r="B2024" s="3">
        <v>0.66111082545525202</v>
      </c>
      <c r="C2024" s="5">
        <v>1.1084720881563601E-17</v>
      </c>
      <c r="D2024" s="6">
        <v>9.8331397114005399E-17</v>
      </c>
      <c r="E2024" s="3" t="s">
        <v>4463</v>
      </c>
      <c r="F2024" s="3" t="s">
        <v>4464</v>
      </c>
      <c r="G2024" s="3">
        <v>67846</v>
      </c>
      <c r="H2024" s="7" t="str">
        <f>HYPERLINK("http://www.ensembl.org/Mus_musculus/Gene/Summary?db=core;g=ENSMUSG00000002845","ENSMUSG00000002845")</f>
        <v>ENSMUSG00000002845</v>
      </c>
      <c r="I2024" s="7" t="str">
        <f>HYPERLINK("http://www.informatics.jax.org/marker/MGI:1915096","MGI:1915096")</f>
        <v>MGI:1915096</v>
      </c>
      <c r="J2024" s="4" t="s">
        <v>12</v>
      </c>
    </row>
    <row r="2025" spans="1:10" x14ac:dyDescent="0.25">
      <c r="A2025" s="2">
        <v>1757.1780357942901</v>
      </c>
      <c r="B2025" s="3">
        <v>0.66107474819904</v>
      </c>
      <c r="C2025" s="5">
        <v>7.1765719025812606E-39</v>
      </c>
      <c r="D2025" s="6">
        <v>1.4012079001871499E-37</v>
      </c>
      <c r="E2025" s="3" t="s">
        <v>2037</v>
      </c>
      <c r="F2025" s="3" t="s">
        <v>2038</v>
      </c>
      <c r="G2025" s="3">
        <v>223499</v>
      </c>
      <c r="H2025" s="7" t="str">
        <f>HYPERLINK("http://www.ensembl.org/Mus_musculus/Gene/Summary?db=core;g=ENSMUSG00000022300","ENSMUSG00000022300")</f>
        <v>ENSMUSG00000022300</v>
      </c>
      <c r="I2025" s="7" t="str">
        <f>HYPERLINK("http://www.informatics.jax.org/marker/MGI:2684929","MGI:2684929")</f>
        <v>MGI:2684929</v>
      </c>
      <c r="J2025" s="4" t="s">
        <v>12</v>
      </c>
    </row>
    <row r="2026" spans="1:10" x14ac:dyDescent="0.25">
      <c r="A2026" s="2">
        <v>99.086080602751693</v>
      </c>
      <c r="B2026" s="3">
        <v>0.66090054859207703</v>
      </c>
      <c r="C2026" s="5">
        <v>1.02751625114059E-6</v>
      </c>
      <c r="D2026" s="6">
        <v>4.2470384557728697E-6</v>
      </c>
      <c r="E2026" s="3" t="s">
        <v>9557</v>
      </c>
      <c r="F2026" s="3" t="s">
        <v>9558</v>
      </c>
      <c r="G2026" s="3" t="s">
        <v>83</v>
      </c>
      <c r="H2026" s="7" t="str">
        <f>HYPERLINK("http://www.ensembl.org/Mus_musculus/Gene/Summary?db=core;g=ENSMUSG00000085761","ENSMUSG00000085761")</f>
        <v>ENSMUSG00000085761</v>
      </c>
      <c r="I2026" s="7" t="str">
        <f>HYPERLINK("http://www.informatics.jax.org/marker/MGI:1926167","MGI:1926167")</f>
        <v>MGI:1926167</v>
      </c>
      <c r="J2026" s="4" t="s">
        <v>932</v>
      </c>
    </row>
    <row r="2027" spans="1:10" x14ac:dyDescent="0.25">
      <c r="A2027" s="2">
        <v>1783.2716301437599</v>
      </c>
      <c r="B2027" s="3">
        <v>0.66055965904625902</v>
      </c>
      <c r="C2027" s="5">
        <v>2.6237420098336202E-27</v>
      </c>
      <c r="D2027" s="6">
        <v>3.4912410549203E-26</v>
      </c>
      <c r="E2027" s="3" t="s">
        <v>2982</v>
      </c>
      <c r="F2027" s="3" t="s">
        <v>2983</v>
      </c>
      <c r="G2027" s="3">
        <v>11973</v>
      </c>
      <c r="H2027" s="7" t="str">
        <f>HYPERLINK("http://www.ensembl.org/Mus_musculus/Gene/Summary?db=core;g=ENSMUSG00000019210","ENSMUSG00000019210")</f>
        <v>ENSMUSG00000019210</v>
      </c>
      <c r="I2027" s="7" t="str">
        <f>HYPERLINK("http://www.informatics.jax.org/marker/MGI:894326","MGI:894326")</f>
        <v>MGI:894326</v>
      </c>
      <c r="J2027" s="4" t="s">
        <v>12</v>
      </c>
    </row>
    <row r="2028" spans="1:10" x14ac:dyDescent="0.25">
      <c r="A2028" s="2">
        <v>901.61475642738503</v>
      </c>
      <c r="B2028" s="3">
        <v>0.66035021643107195</v>
      </c>
      <c r="C2028" s="5">
        <v>4.6634911199389897E-13</v>
      </c>
      <c r="D2028" s="6">
        <v>3.1920876391946102E-12</v>
      </c>
      <c r="E2028" s="3" t="s">
        <v>5779</v>
      </c>
      <c r="F2028" s="3" t="s">
        <v>5780</v>
      </c>
      <c r="G2028" s="3">
        <v>108909</v>
      </c>
      <c r="H2028" s="7" t="str">
        <f>HYPERLINK("http://www.ensembl.org/Mus_musculus/Gene/Summary?db=core;g=ENSMUSG00000042901","ENSMUSG00000042901")</f>
        <v>ENSMUSG00000042901</v>
      </c>
      <c r="I2028" s="7" t="str">
        <f>HYPERLINK("http://www.informatics.jax.org/marker/MGI:1919737","MGI:1919737")</f>
        <v>MGI:1919737</v>
      </c>
      <c r="J2028" s="4" t="s">
        <v>12</v>
      </c>
    </row>
    <row r="2029" spans="1:10" x14ac:dyDescent="0.25">
      <c r="A2029" s="2">
        <v>187.76307964441301</v>
      </c>
      <c r="B2029" s="3">
        <v>0.66029362097463895</v>
      </c>
      <c r="C2029" s="5">
        <v>3.1910677582643999E-7</v>
      </c>
      <c r="D2029" s="6">
        <v>1.38944261852449E-6</v>
      </c>
      <c r="E2029" s="3" t="s">
        <v>9073</v>
      </c>
      <c r="F2029" s="3" t="s">
        <v>9074</v>
      </c>
      <c r="G2029" s="3">
        <v>108767</v>
      </c>
      <c r="H2029" s="7" t="str">
        <f>HYPERLINK("http://www.ensembl.org/Mus_musculus/Gene/Summary?db=core;g=ENSMUSG00000040128","ENSMUSG00000040128")</f>
        <v>ENSMUSG00000040128</v>
      </c>
      <c r="I2029" s="7" t="str">
        <f>HYPERLINK("http://www.informatics.jax.org/marker/MGI:1917838","MGI:1917838")</f>
        <v>MGI:1917838</v>
      </c>
      <c r="J2029" s="4" t="s">
        <v>12</v>
      </c>
    </row>
    <row r="2030" spans="1:10" x14ac:dyDescent="0.25">
      <c r="A2030" s="2">
        <v>2504.5273295878701</v>
      </c>
      <c r="B2030" s="3">
        <v>0.65958837851818597</v>
      </c>
      <c r="C2030" s="5">
        <v>2.5161253706033798E-25</v>
      </c>
      <c r="D2030" s="6">
        <v>3.1011245192686602E-24</v>
      </c>
      <c r="E2030" s="3" t="s">
        <v>3220</v>
      </c>
      <c r="F2030" s="3" t="s">
        <v>3221</v>
      </c>
      <c r="G2030" s="3">
        <v>22187</v>
      </c>
      <c r="H2030" s="7" t="str">
        <f>HYPERLINK("http://www.ensembl.org/Mus_musculus/Gene/Summary?db=core;g=ENSMUSG00000019505","ENSMUSG00000019505")</f>
        <v>ENSMUSG00000019505</v>
      </c>
      <c r="I2030" s="7" t="str">
        <f>HYPERLINK("http://www.informatics.jax.org/marker/MGI:98888","MGI:98888")</f>
        <v>MGI:98888</v>
      </c>
      <c r="J2030" s="4" t="s">
        <v>12</v>
      </c>
    </row>
    <row r="2031" spans="1:10" x14ac:dyDescent="0.25">
      <c r="A2031" s="2">
        <v>2241.7778729256802</v>
      </c>
      <c r="B2031" s="3">
        <v>0.65897960893787</v>
      </c>
      <c r="C2031" s="5">
        <v>1.9344730309040899E-10</v>
      </c>
      <c r="D2031" s="6">
        <v>1.09904373867556E-9</v>
      </c>
      <c r="E2031" s="3" t="s">
        <v>6960</v>
      </c>
      <c r="F2031" s="3" t="s">
        <v>6961</v>
      </c>
      <c r="G2031" s="3">
        <v>15258</v>
      </c>
      <c r="H2031" s="7" t="str">
        <f>HYPERLINK("http://www.ensembl.org/Mus_musculus/Gene/Summary?db=core;g=ENSMUSG00000061436","ENSMUSG00000061436")</f>
        <v>ENSMUSG00000061436</v>
      </c>
      <c r="I2031" s="7" t="str">
        <f>HYPERLINK("http://www.informatics.jax.org/marker/MGI:1314872","MGI:1314872")</f>
        <v>MGI:1314872</v>
      </c>
      <c r="J2031" s="4" t="s">
        <v>12</v>
      </c>
    </row>
    <row r="2032" spans="1:10" x14ac:dyDescent="0.25">
      <c r="A2032" s="2">
        <v>600.89799010852903</v>
      </c>
      <c r="B2032" s="3">
        <v>0.65856969085032602</v>
      </c>
      <c r="C2032" s="5">
        <v>1.2467657687672899E-12</v>
      </c>
      <c r="D2032" s="6">
        <v>8.3258452286119199E-12</v>
      </c>
      <c r="E2032" s="3" t="s">
        <v>5923</v>
      </c>
      <c r="F2032" s="3" t="s">
        <v>5924</v>
      </c>
      <c r="G2032" s="3">
        <v>14567</v>
      </c>
      <c r="H2032" s="7" t="str">
        <f>HYPERLINK("http://www.ensembl.org/Mus_musculus/Gene/Summary?db=core;g=ENSMUSG00000015291","ENSMUSG00000015291")</f>
        <v>ENSMUSG00000015291</v>
      </c>
      <c r="I2032" s="7" t="str">
        <f>HYPERLINK("http://www.informatics.jax.org/marker/MGI:99846","MGI:99846")</f>
        <v>MGI:99846</v>
      </c>
      <c r="J2032" s="4" t="s">
        <v>12</v>
      </c>
    </row>
    <row r="2033" spans="1:10" x14ac:dyDescent="0.25">
      <c r="A2033" s="2">
        <v>2983.57224175076</v>
      </c>
      <c r="B2033" s="3">
        <v>0.65741750739765203</v>
      </c>
      <c r="C2033" s="5">
        <v>1.3351989123625901E-12</v>
      </c>
      <c r="D2033" s="6">
        <v>8.8923075149578798E-12</v>
      </c>
      <c r="E2033" s="3" t="s">
        <v>5939</v>
      </c>
      <c r="F2033" s="3" t="s">
        <v>5940</v>
      </c>
      <c r="G2033" s="3">
        <v>237542</v>
      </c>
      <c r="H2033" s="7" t="str">
        <f>HYPERLINK("http://www.ensembl.org/Mus_musculus/Gene/Summary?db=core;g=ENSMUSG00000020189","ENSMUSG00000020189")</f>
        <v>ENSMUSG00000020189</v>
      </c>
      <c r="I2033" s="7" t="str">
        <f>HYPERLINK("http://www.informatics.jax.org/marker/MGI:2443807","MGI:2443807")</f>
        <v>MGI:2443807</v>
      </c>
      <c r="J2033" s="4" t="s">
        <v>12</v>
      </c>
    </row>
    <row r="2034" spans="1:10" x14ac:dyDescent="0.25">
      <c r="A2034" s="2">
        <v>154.99688976377101</v>
      </c>
      <c r="B2034" s="3">
        <v>0.65740124230672203</v>
      </c>
      <c r="C2034" s="5">
        <v>1.13408757182183E-9</v>
      </c>
      <c r="D2034" s="6">
        <v>6.0607606819312903E-9</v>
      </c>
      <c r="E2034" s="3" t="s">
        <v>7398</v>
      </c>
      <c r="F2034" s="3" t="s">
        <v>7399</v>
      </c>
      <c r="G2034" s="3">
        <v>666532</v>
      </c>
      <c r="H2034" s="7" t="str">
        <f>HYPERLINK("http://www.ensembl.org/Mus_musculus/Gene/Summary?db=core;g=ENSMUSG00000067916","ENSMUSG00000067916")</f>
        <v>ENSMUSG00000067916</v>
      </c>
      <c r="I2034" s="7" t="str">
        <f>HYPERLINK("http://www.informatics.jax.org/marker/MGI:3701604","MGI:3701604")</f>
        <v>MGI:3701604</v>
      </c>
      <c r="J2034" s="4" t="s">
        <v>12</v>
      </c>
    </row>
    <row r="2035" spans="1:10" x14ac:dyDescent="0.25">
      <c r="A2035" s="2">
        <v>38.5937538341257</v>
      </c>
      <c r="B2035" s="3">
        <v>0.65735570131371202</v>
      </c>
      <c r="C2035" s="3">
        <v>1.6741052459087499E-3</v>
      </c>
      <c r="D2035" s="4">
        <v>4.7848861780853897E-3</v>
      </c>
      <c r="E2035" s="3" t="s">
        <v>13805</v>
      </c>
      <c r="F2035" s="3" t="s">
        <v>13806</v>
      </c>
      <c r="G2035" s="3" t="s">
        <v>83</v>
      </c>
      <c r="H2035" s="7" t="str">
        <f>HYPERLINK("http://www.ensembl.org/Mus_musculus/Gene/Summary?db=core;g=ENSMUSG00000110419","ENSMUSG00000110419")</f>
        <v>ENSMUSG00000110419</v>
      </c>
      <c r="I2035" s="7" t="str">
        <f>HYPERLINK("http://www.informatics.jax.org/marker/MGI:2142745","MGI:2142745")</f>
        <v>MGI:2142745</v>
      </c>
      <c r="J2035" s="4" t="s">
        <v>3187</v>
      </c>
    </row>
    <row r="2036" spans="1:10" x14ac:dyDescent="0.25">
      <c r="A2036" s="2">
        <v>5558.8636997720796</v>
      </c>
      <c r="B2036" s="3">
        <v>0.65709606774843998</v>
      </c>
      <c r="C2036" s="5">
        <v>2.7046051119953599E-25</v>
      </c>
      <c r="D2036" s="6">
        <v>3.3271873243012201E-24</v>
      </c>
      <c r="E2036" s="3" t="s">
        <v>3226</v>
      </c>
      <c r="F2036" s="3" t="s">
        <v>3227</v>
      </c>
      <c r="G2036" s="3">
        <v>28146</v>
      </c>
      <c r="H2036" s="7" t="str">
        <f>HYPERLINK("http://www.ensembl.org/Mus_musculus/Gene/Summary?db=core;g=ENSMUSG00000027808","ENSMUSG00000027808")</f>
        <v>ENSMUSG00000027808</v>
      </c>
      <c r="I2036" s="7" t="str">
        <f>HYPERLINK("http://www.informatics.jax.org/marker/MGI:92638","MGI:92638")</f>
        <v>MGI:92638</v>
      </c>
      <c r="J2036" s="4" t="s">
        <v>12</v>
      </c>
    </row>
    <row r="2037" spans="1:10" x14ac:dyDescent="0.25">
      <c r="A2037" s="2">
        <v>577.08153770529805</v>
      </c>
      <c r="B2037" s="3">
        <v>0.656839119032814</v>
      </c>
      <c r="C2037" s="5">
        <v>1.01554444858853E-21</v>
      </c>
      <c r="D2037" s="6">
        <v>1.0848611335951101E-20</v>
      </c>
      <c r="E2037" s="3" t="s">
        <v>3710</v>
      </c>
      <c r="F2037" s="3" t="s">
        <v>3711</v>
      </c>
      <c r="G2037" s="3">
        <v>15364</v>
      </c>
      <c r="H2037" s="7" t="str">
        <f>HYPERLINK("http://www.ensembl.org/Mus_musculus/Gene/Summary?db=core;g=ENSMUSG00000056758","ENSMUSG00000056758")</f>
        <v>ENSMUSG00000056758</v>
      </c>
      <c r="I2037" s="7" t="str">
        <f>HYPERLINK("http://www.informatics.jax.org/marker/MGI:101761","MGI:101761")</f>
        <v>MGI:101761</v>
      </c>
      <c r="J2037" s="4" t="s">
        <v>12</v>
      </c>
    </row>
    <row r="2038" spans="1:10" x14ac:dyDescent="0.25">
      <c r="A2038" s="2">
        <v>1427.3305868464699</v>
      </c>
      <c r="B2038" s="3">
        <v>0.65628100275764001</v>
      </c>
      <c r="C2038" s="5">
        <v>2.4302613776906899E-8</v>
      </c>
      <c r="D2038" s="6">
        <v>1.1629399264270901E-7</v>
      </c>
      <c r="E2038" s="3" t="s">
        <v>8259</v>
      </c>
      <c r="F2038" s="3" t="s">
        <v>8260</v>
      </c>
      <c r="G2038" s="3">
        <v>20807</v>
      </c>
      <c r="H2038" s="7" t="str">
        <f>HYPERLINK("http://www.ensembl.org/Mus_musculus/Gene/Summary?db=core;g=ENSMUSG00000015605","ENSMUSG00000015605")</f>
        <v>ENSMUSG00000015605</v>
      </c>
      <c r="I2038" s="7" t="str">
        <f>HYPERLINK("http://www.informatics.jax.org/marker/MGI:106658","MGI:106658")</f>
        <v>MGI:106658</v>
      </c>
      <c r="J2038" s="4" t="s">
        <v>12</v>
      </c>
    </row>
    <row r="2039" spans="1:10" x14ac:dyDescent="0.25">
      <c r="A2039" s="2">
        <v>1050.87258560604</v>
      </c>
      <c r="B2039" s="3">
        <v>0.65548395066836995</v>
      </c>
      <c r="C2039" s="5">
        <v>7.2279854115398197E-41</v>
      </c>
      <c r="D2039" s="6">
        <v>1.5067216946677101E-39</v>
      </c>
      <c r="E2039" s="3" t="s">
        <v>1909</v>
      </c>
      <c r="F2039" s="3" t="s">
        <v>1910</v>
      </c>
      <c r="G2039" s="3">
        <v>52521</v>
      </c>
      <c r="H2039" s="7" t="str">
        <f>HYPERLINK("http://www.ensembl.org/Mus_musculus/Gene/Summary?db=core;g=ENSMUSG00000052253","ENSMUSG00000052253")</f>
        <v>ENSMUSG00000052253</v>
      </c>
      <c r="I2039" s="7" t="str">
        <f>HYPERLINK("http://www.informatics.jax.org/marker/MGI:1289282","MGI:1289282")</f>
        <v>MGI:1289282</v>
      </c>
      <c r="J2039" s="4" t="s">
        <v>12</v>
      </c>
    </row>
    <row r="2040" spans="1:10" x14ac:dyDescent="0.25">
      <c r="A2040" s="2">
        <v>87.088651141499597</v>
      </c>
      <c r="B2040" s="3">
        <v>0.65438807823233702</v>
      </c>
      <c r="C2040" s="3">
        <v>2.6581216935386202E-4</v>
      </c>
      <c r="D2040" s="4">
        <v>8.4942731804539995E-4</v>
      </c>
      <c r="E2040" s="3" t="s">
        <v>12354</v>
      </c>
      <c r="F2040" s="3" t="s">
        <v>12355</v>
      </c>
      <c r="G2040" s="3" t="s">
        <v>83</v>
      </c>
      <c r="H2040" s="7" t="str">
        <f>HYPERLINK("http://www.ensembl.org/Mus_musculus/Gene/Summary?db=core;g=ENSMUSG00000078247","ENSMUSG00000078247")</f>
        <v>ENSMUSG00000078247</v>
      </c>
      <c r="I2040" s="7" t="str">
        <f>HYPERLINK("http://www.informatics.jax.org/marker/MGI:1353471","MGI:1353471")</f>
        <v>MGI:1353471</v>
      </c>
      <c r="J2040" s="4" t="s">
        <v>932</v>
      </c>
    </row>
    <row r="2041" spans="1:10" x14ac:dyDescent="0.25">
      <c r="A2041" s="2">
        <v>2773.0998931231102</v>
      </c>
      <c r="B2041" s="3">
        <v>0.65410302066003301</v>
      </c>
      <c r="C2041" s="5">
        <v>2.9151621374475098E-14</v>
      </c>
      <c r="D2041" s="6">
        <v>2.1498503122836601E-13</v>
      </c>
      <c r="E2041" s="3" t="s">
        <v>5365</v>
      </c>
      <c r="F2041" s="3" t="s">
        <v>5366</v>
      </c>
      <c r="G2041" s="3">
        <v>114715</v>
      </c>
      <c r="H2041" s="7" t="str">
        <f>HYPERLINK("http://www.ensembl.org/Mus_musculus/Gene/Summary?db=core;g=ENSMUSG00000027351","ENSMUSG00000027351")</f>
        <v>ENSMUSG00000027351</v>
      </c>
      <c r="I2041" s="7" t="str">
        <f>HYPERLINK("http://www.informatics.jax.org/marker/MGI:2150016","MGI:2150016")</f>
        <v>MGI:2150016</v>
      </c>
      <c r="J2041" s="4" t="s">
        <v>12</v>
      </c>
    </row>
    <row r="2042" spans="1:10" x14ac:dyDescent="0.25">
      <c r="A2042" s="2">
        <v>631.91446175192004</v>
      </c>
      <c r="B2042" s="3">
        <v>0.65365450248828405</v>
      </c>
      <c r="C2042" s="5">
        <v>7.75893062012911E-19</v>
      </c>
      <c r="D2042" s="6">
        <v>7.2929509928000901E-18</v>
      </c>
      <c r="E2042" s="3" t="s">
        <v>4213</v>
      </c>
      <c r="F2042" s="3" t="s">
        <v>4214</v>
      </c>
      <c r="G2042" s="3">
        <v>53608</v>
      </c>
      <c r="H2042" s="7" t="str">
        <f>HYPERLINK("http://www.ensembl.org/Mus_musculus/Gene/Summary?db=core;g=ENSMUSG00000028862","ENSMUSG00000028862")</f>
        <v>ENSMUSG00000028862</v>
      </c>
      <c r="I2042" s="7" t="str">
        <f>HYPERLINK("http://www.informatics.jax.org/marker/MGI:1855691","MGI:1855691")</f>
        <v>MGI:1855691</v>
      </c>
      <c r="J2042" s="4" t="s">
        <v>12</v>
      </c>
    </row>
    <row r="2043" spans="1:10" x14ac:dyDescent="0.25">
      <c r="A2043" s="2">
        <v>23.207577432809799</v>
      </c>
      <c r="B2043" s="3">
        <v>0.65356759434704204</v>
      </c>
      <c r="C2043" s="3">
        <v>9.9925752544369802E-3</v>
      </c>
      <c r="D2043" s="4">
        <v>2.4877361951457799E-2</v>
      </c>
      <c r="E2043" s="3" t="s">
        <v>15847</v>
      </c>
      <c r="F2043" s="3" t="s">
        <v>15848</v>
      </c>
      <c r="G2043" s="3" t="s">
        <v>83</v>
      </c>
      <c r="H2043" s="7" t="str">
        <f>HYPERLINK("http://www.ensembl.org/Mus_musculus/Gene/Summary?db=core;g=ENSMUSG00000089542","ENSMUSG00000089542")</f>
        <v>ENSMUSG00000089542</v>
      </c>
      <c r="I2043" s="7" t="str">
        <f>HYPERLINK("http://www.informatics.jax.org/marker/MGI:5455612","MGI:5455612")</f>
        <v>MGI:5455612</v>
      </c>
      <c r="J2043" s="4" t="s">
        <v>11100</v>
      </c>
    </row>
    <row r="2044" spans="1:10" x14ac:dyDescent="0.25">
      <c r="A2044" s="2">
        <v>32.010868413864102</v>
      </c>
      <c r="B2044" s="3">
        <v>0.65229329880502496</v>
      </c>
      <c r="C2044" s="3">
        <v>2.0653467148942198E-3</v>
      </c>
      <c r="D2044" s="4">
        <v>5.8208714045610999E-3</v>
      </c>
      <c r="E2044" s="3" t="s">
        <v>14001</v>
      </c>
      <c r="F2044" s="3" t="s">
        <v>14002</v>
      </c>
      <c r="G2044" s="3">
        <v>240041</v>
      </c>
      <c r="H2044" s="7" t="str">
        <f>HYPERLINK("http://www.ensembl.org/Mus_musculus/Gene/Summary?db=core;g=ENSMUSG00000059142","ENSMUSG00000059142")</f>
        <v>ENSMUSG00000059142</v>
      </c>
      <c r="I2044" s="7" t="str">
        <f>HYPERLINK("http://www.informatics.jax.org/marker/MGI:2445132","MGI:2445132")</f>
        <v>MGI:2445132</v>
      </c>
      <c r="J2044" s="4" t="s">
        <v>12</v>
      </c>
    </row>
    <row r="2045" spans="1:10" x14ac:dyDescent="0.25">
      <c r="A2045" s="2">
        <v>1448.5323239356101</v>
      </c>
      <c r="B2045" s="3">
        <v>0.65228397721030495</v>
      </c>
      <c r="C2045" s="5">
        <v>4.4196193119055001E-39</v>
      </c>
      <c r="D2045" s="6">
        <v>8.7329551934645804E-38</v>
      </c>
      <c r="E2045" s="3" t="s">
        <v>2013</v>
      </c>
      <c r="F2045" s="3" t="s">
        <v>2014</v>
      </c>
      <c r="G2045" s="3">
        <v>545389</v>
      </c>
      <c r="H2045" s="7" t="str">
        <f>HYPERLINK("http://www.ensembl.org/Mus_musculus/Gene/Summary?db=core;g=ENSMUSG00000057335","ENSMUSG00000057335")</f>
        <v>ENSMUSG00000057335</v>
      </c>
      <c r="I2045" s="7" t="str">
        <f>HYPERLINK("http://www.informatics.jax.org/marker/MGI:1918348","MGI:1918348")</f>
        <v>MGI:1918348</v>
      </c>
      <c r="J2045" s="4" t="s">
        <v>12</v>
      </c>
    </row>
    <row r="2046" spans="1:10" x14ac:dyDescent="0.25">
      <c r="A2046" s="2">
        <v>157.239110781938</v>
      </c>
      <c r="B2046" s="3">
        <v>0.65192429331994195</v>
      </c>
      <c r="C2046" s="3">
        <v>1.7401044298224301E-4</v>
      </c>
      <c r="D2046" s="4">
        <v>5.6831499430437798E-4</v>
      </c>
      <c r="E2046" s="3" t="s">
        <v>12087</v>
      </c>
      <c r="F2046" s="3" t="s">
        <v>12088</v>
      </c>
      <c r="G2046" s="3">
        <v>19200</v>
      </c>
      <c r="H2046" s="7" t="str">
        <f>HYPERLINK("http://www.ensembl.org/Mus_musculus/Gene/Summary?db=core;g=ENSMUSG00000032322","ENSMUSG00000032322")</f>
        <v>ENSMUSG00000032322</v>
      </c>
      <c r="I2046" s="7" t="str">
        <f>HYPERLINK("http://www.informatics.jax.org/marker/MGI:1321396","MGI:1321396")</f>
        <v>MGI:1321396</v>
      </c>
      <c r="J2046" s="4" t="s">
        <v>12</v>
      </c>
    </row>
    <row r="2047" spans="1:10" x14ac:dyDescent="0.25">
      <c r="A2047" s="2">
        <v>27.212415397465399</v>
      </c>
      <c r="B2047" s="3">
        <v>0.65186840990256401</v>
      </c>
      <c r="C2047" s="3">
        <v>4.02225257115692E-3</v>
      </c>
      <c r="D2047" s="4">
        <v>1.0831465342511899E-2</v>
      </c>
      <c r="E2047" s="3" t="s">
        <v>14647</v>
      </c>
      <c r="F2047" s="3" t="s">
        <v>14648</v>
      </c>
      <c r="G2047" s="3">
        <v>70240</v>
      </c>
      <c r="H2047" s="7" t="str">
        <f>HYPERLINK("http://www.ensembl.org/Mus_musculus/Gene/Summary?db=core;g=ENSMUSG00000051502","ENSMUSG00000051502")</f>
        <v>ENSMUSG00000051502</v>
      </c>
      <c r="I2047" s="7" t="str">
        <f>HYPERLINK("http://www.informatics.jax.org/marker/MGI:1917490","MGI:1917490")</f>
        <v>MGI:1917490</v>
      </c>
      <c r="J2047" s="4" t="s">
        <v>12</v>
      </c>
    </row>
    <row r="2048" spans="1:10" x14ac:dyDescent="0.25">
      <c r="A2048" s="2">
        <v>397.00307712539598</v>
      </c>
      <c r="B2048" s="3">
        <v>0.65171797036395795</v>
      </c>
      <c r="C2048" s="5">
        <v>4.1917900222984798E-15</v>
      </c>
      <c r="D2048" s="6">
        <v>3.24038021323896E-14</v>
      </c>
      <c r="E2048" s="3" t="s">
        <v>5119</v>
      </c>
      <c r="F2048" s="3" t="s">
        <v>5120</v>
      </c>
      <c r="G2048" s="3">
        <v>18519</v>
      </c>
      <c r="H2048" s="7" t="str">
        <f>HYPERLINK("http://www.ensembl.org/Mus_musculus/Gene/Summary?db=core;g=ENSMUSG00000000708","ENSMUSG00000000708")</f>
        <v>ENSMUSG00000000708</v>
      </c>
      <c r="I2048" s="7" t="str">
        <f>HYPERLINK("http://www.informatics.jax.org/marker/MGI:1343094","MGI:1343094")</f>
        <v>MGI:1343094</v>
      </c>
      <c r="J2048" s="4" t="s">
        <v>12</v>
      </c>
    </row>
    <row r="2049" spans="1:10" x14ac:dyDescent="0.25">
      <c r="A2049" s="2">
        <v>296.733361930868</v>
      </c>
      <c r="B2049" s="3">
        <v>0.65169386815667196</v>
      </c>
      <c r="C2049" s="5">
        <v>7.8232333239262602E-16</v>
      </c>
      <c r="D2049" s="6">
        <v>6.2560487083465402E-15</v>
      </c>
      <c r="E2049" s="3" t="s">
        <v>4949</v>
      </c>
      <c r="F2049" s="3" t="s">
        <v>4950</v>
      </c>
      <c r="G2049" s="3">
        <v>76167</v>
      </c>
      <c r="H2049" s="7" t="str">
        <f>HYPERLINK("http://www.ensembl.org/Mus_musculus/Gene/Summary?db=core;g=ENSMUSG00000029402","ENSMUSG00000029402")</f>
        <v>ENSMUSG00000029402</v>
      </c>
      <c r="I2049" s="7" t="str">
        <f>HYPERLINK("http://www.informatics.jax.org/marker/MGI:1923417","MGI:1923417")</f>
        <v>MGI:1923417</v>
      </c>
      <c r="J2049" s="4" t="s">
        <v>12</v>
      </c>
    </row>
    <row r="2050" spans="1:10" x14ac:dyDescent="0.25">
      <c r="A2050" s="2">
        <v>1396.1850437263599</v>
      </c>
      <c r="B2050" s="3">
        <v>0.65162644202578102</v>
      </c>
      <c r="C2050" s="5">
        <v>1.0671716969712E-30</v>
      </c>
      <c r="D2050" s="6">
        <v>1.6064599896390901E-29</v>
      </c>
      <c r="E2050" s="3" t="s">
        <v>2637</v>
      </c>
      <c r="F2050" s="3" t="s">
        <v>2638</v>
      </c>
      <c r="G2050" s="3">
        <v>70178</v>
      </c>
      <c r="H2050" s="7" t="str">
        <f>HYPERLINK("http://www.ensembl.org/Mus_musculus/Gene/Summary?db=core;g=ENSMUSG00000038459","ENSMUSG00000038459")</f>
        <v>ENSMUSG00000038459</v>
      </c>
      <c r="I2050" s="7" t="str">
        <f>HYPERLINK("http://www.informatics.jax.org/marker/MGI:1917428","MGI:1917428")</f>
        <v>MGI:1917428</v>
      </c>
      <c r="J2050" s="4" t="s">
        <v>12</v>
      </c>
    </row>
    <row r="2051" spans="1:10" x14ac:dyDescent="0.25">
      <c r="A2051" s="2">
        <v>873.54422025899498</v>
      </c>
      <c r="B2051" s="3">
        <v>0.65017078205894197</v>
      </c>
      <c r="C2051" s="5">
        <v>1.4278915824071301E-20</v>
      </c>
      <c r="D2051" s="6">
        <v>1.4551949356624599E-19</v>
      </c>
      <c r="E2051" s="3" t="s">
        <v>3888</v>
      </c>
      <c r="F2051" s="3" t="s">
        <v>3889</v>
      </c>
      <c r="G2051" s="3">
        <v>67073</v>
      </c>
      <c r="H2051" s="7" t="str">
        <f>HYPERLINK("http://www.ensembl.org/Mus_musculus/Gene/Summary?db=core;g=ENSMUSG00000029186","ENSMUSG00000029186")</f>
        <v>ENSMUSG00000029186</v>
      </c>
      <c r="I2051" s="7" t="str">
        <f>HYPERLINK("http://www.informatics.jax.org/marker/MGI:1914323","MGI:1914323")</f>
        <v>MGI:1914323</v>
      </c>
      <c r="J2051" s="4" t="s">
        <v>12</v>
      </c>
    </row>
    <row r="2052" spans="1:10" x14ac:dyDescent="0.25">
      <c r="A2052" s="2">
        <v>752.10405488131198</v>
      </c>
      <c r="B2052" s="3">
        <v>0.64982460709370704</v>
      </c>
      <c r="C2052" s="5">
        <v>2.26732118390043E-10</v>
      </c>
      <c r="D2052" s="6">
        <v>1.2818685133749E-9</v>
      </c>
      <c r="E2052" s="3" t="s">
        <v>6994</v>
      </c>
      <c r="F2052" s="3" t="s">
        <v>6995</v>
      </c>
      <c r="G2052" s="3">
        <v>20194</v>
      </c>
      <c r="H2052" s="7" t="str">
        <f>HYPERLINK("http://www.ensembl.org/Mus_musculus/Gene/Summary?db=core;g=ENSMUSG00000041959","ENSMUSG00000041959")</f>
        <v>ENSMUSG00000041959</v>
      </c>
      <c r="I2052" s="7" t="str">
        <f>HYPERLINK("http://www.informatics.jax.org/marker/MGI:1339468","MGI:1339468")</f>
        <v>MGI:1339468</v>
      </c>
      <c r="J2052" s="4" t="s">
        <v>12</v>
      </c>
    </row>
    <row r="2053" spans="1:10" x14ac:dyDescent="0.25">
      <c r="A2053" s="2">
        <v>1064.3393074712901</v>
      </c>
      <c r="B2053" s="3">
        <v>0.64975420167006404</v>
      </c>
      <c r="C2053" s="5">
        <v>4.1978555175501802E-27</v>
      </c>
      <c r="D2053" s="6">
        <v>5.54094449839957E-26</v>
      </c>
      <c r="E2053" s="3" t="s">
        <v>3006</v>
      </c>
      <c r="F2053" s="3" t="s">
        <v>3007</v>
      </c>
      <c r="G2053" s="3">
        <v>69181</v>
      </c>
      <c r="H2053" s="7" t="str">
        <f>HYPERLINK("http://www.ensembl.org/Mus_musculus/Gene/Summary?db=core;g=ENSMUSG00000028630","ENSMUSG00000028630")</f>
        <v>ENSMUSG00000028630</v>
      </c>
      <c r="I2053" s="7" t="str">
        <f>HYPERLINK("http://www.informatics.jax.org/marker/MGI:1330301","MGI:1330301")</f>
        <v>MGI:1330301</v>
      </c>
      <c r="J2053" s="4" t="s">
        <v>12</v>
      </c>
    </row>
    <row r="2054" spans="1:10" x14ac:dyDescent="0.25">
      <c r="A2054" s="2">
        <v>3053.98367255325</v>
      </c>
      <c r="B2054" s="3">
        <v>0.649538913938146</v>
      </c>
      <c r="C2054" s="5">
        <v>1.46193920645902E-30</v>
      </c>
      <c r="D2054" s="6">
        <v>2.1906870175814501E-29</v>
      </c>
      <c r="E2054" s="3" t="s">
        <v>2649</v>
      </c>
      <c r="F2054" s="3" t="s">
        <v>2650</v>
      </c>
      <c r="G2054" s="3">
        <v>16800</v>
      </c>
      <c r="H2054" s="7" t="str">
        <f>HYPERLINK("http://www.ensembl.org/Mus_musculus/Gene/Summary?db=core;g=ENSMUSG00000028059","ENSMUSG00000028059")</f>
        <v>ENSMUSG00000028059</v>
      </c>
      <c r="I2054" s="7" t="str">
        <f>HYPERLINK("http://www.informatics.jax.org/marker/MGI:103264","MGI:103264")</f>
        <v>MGI:103264</v>
      </c>
      <c r="J2054" s="4" t="s">
        <v>12</v>
      </c>
    </row>
    <row r="2055" spans="1:10" x14ac:dyDescent="0.25">
      <c r="A2055" s="2">
        <v>22.608691466081901</v>
      </c>
      <c r="B2055" s="3">
        <v>0.649411824676982</v>
      </c>
      <c r="C2055" s="3">
        <v>4.5413355515637197E-3</v>
      </c>
      <c r="D2055" s="4">
        <v>1.2095507438794799E-2</v>
      </c>
      <c r="E2055" s="3" t="s">
        <v>14812</v>
      </c>
      <c r="F2055" s="3" t="s">
        <v>14813</v>
      </c>
      <c r="G2055" s="3" t="s">
        <v>83</v>
      </c>
      <c r="H2055" s="7" t="str">
        <f>HYPERLINK("http://www.ensembl.org/Mus_musculus/Gene/Summary?db=core;g=ENSMUSG00000077714","ENSMUSG00000077714")</f>
        <v>ENSMUSG00000077714</v>
      </c>
      <c r="I2055" s="7" t="str">
        <f>HYPERLINK("http://www.informatics.jax.org/marker/MGI:3819523","MGI:3819523")</f>
        <v>MGI:3819523</v>
      </c>
      <c r="J2055" s="4" t="s">
        <v>11100</v>
      </c>
    </row>
    <row r="2056" spans="1:10" x14ac:dyDescent="0.25">
      <c r="A2056" s="2">
        <v>1060.2946025599399</v>
      </c>
      <c r="B2056" s="3">
        <v>0.64891273255111803</v>
      </c>
      <c r="C2056" s="5">
        <v>3.3658435460479501E-14</v>
      </c>
      <c r="D2056" s="6">
        <v>2.4683687143200298E-13</v>
      </c>
      <c r="E2056" s="3" t="s">
        <v>5395</v>
      </c>
      <c r="F2056" s="3" t="s">
        <v>5396</v>
      </c>
      <c r="G2056" s="3">
        <v>269682</v>
      </c>
      <c r="H2056" s="7" t="str">
        <f>HYPERLINK("http://www.ensembl.org/Mus_musculus/Gene/Summary?db=core;g=ENSMUSG00000029502","ENSMUSG00000029502")</f>
        <v>ENSMUSG00000029502</v>
      </c>
      <c r="I2056" s="7" t="str">
        <f>HYPERLINK("http://www.informatics.jax.org/marker/MGI:96958","MGI:96958")</f>
        <v>MGI:96958</v>
      </c>
      <c r="J2056" s="4" t="s">
        <v>12</v>
      </c>
    </row>
    <row r="2057" spans="1:10" x14ac:dyDescent="0.25">
      <c r="A2057" s="2">
        <v>1630.57391197789</v>
      </c>
      <c r="B2057" s="3">
        <v>0.64841381188680103</v>
      </c>
      <c r="C2057" s="5">
        <v>5.0531091434140102E-26</v>
      </c>
      <c r="D2057" s="6">
        <v>6.4247138818906698E-25</v>
      </c>
      <c r="E2057" s="3" t="s">
        <v>3120</v>
      </c>
      <c r="F2057" s="3" t="s">
        <v>3121</v>
      </c>
      <c r="G2057" s="3">
        <v>78655</v>
      </c>
      <c r="H2057" s="7" t="str">
        <f>HYPERLINK("http://www.ensembl.org/Mus_musculus/Gene/Summary?db=core;g=ENSMUSG00000027236","ENSMUSG00000027236")</f>
        <v>ENSMUSG00000027236</v>
      </c>
      <c r="I2057" s="7" t="str">
        <f>HYPERLINK("http://www.informatics.jax.org/marker/MGI:1925905","MGI:1925905")</f>
        <v>MGI:1925905</v>
      </c>
      <c r="J2057" s="4" t="s">
        <v>12</v>
      </c>
    </row>
    <row r="2058" spans="1:10" x14ac:dyDescent="0.25">
      <c r="A2058" s="2">
        <v>1559.6448379425899</v>
      </c>
      <c r="B2058" s="3">
        <v>0.647755715155647</v>
      </c>
      <c r="C2058" s="5">
        <v>3.21970450731477E-34</v>
      </c>
      <c r="D2058" s="6">
        <v>5.4313578173008799E-33</v>
      </c>
      <c r="E2058" s="3" t="s">
        <v>2355</v>
      </c>
      <c r="F2058" s="3" t="s">
        <v>2356</v>
      </c>
      <c r="G2058" s="3">
        <v>72170</v>
      </c>
      <c r="H2058" s="7" t="str">
        <f>HYPERLINK("http://www.ensembl.org/Mus_musculus/Gene/Summary?db=core;g=ENSMUSG00000034203","ENSMUSG00000034203")</f>
        <v>ENSMUSG00000034203</v>
      </c>
      <c r="I2058" s="7" t="str">
        <f>HYPERLINK("http://www.informatics.jax.org/marker/MGI:1919420","MGI:1919420")</f>
        <v>MGI:1919420</v>
      </c>
      <c r="J2058" s="4" t="s">
        <v>12</v>
      </c>
    </row>
    <row r="2059" spans="1:10" x14ac:dyDescent="0.25">
      <c r="A2059" s="2">
        <v>92.4151326760187</v>
      </c>
      <c r="B2059" s="3">
        <v>0.64759733898022498</v>
      </c>
      <c r="C2059" s="3">
        <v>2.41961629759141E-4</v>
      </c>
      <c r="D2059" s="4">
        <v>7.7736776455690005E-4</v>
      </c>
      <c r="E2059" s="3" t="s">
        <v>12287</v>
      </c>
      <c r="F2059" s="3" t="s">
        <v>12288</v>
      </c>
      <c r="G2059" s="3">
        <v>16988</v>
      </c>
      <c r="H2059" s="7" t="str">
        <f>HYPERLINK("http://www.ensembl.org/Mus_musculus/Gene/Summary?db=core;g=ENSMUSG00000073412","ENSMUSG00000073412")</f>
        <v>ENSMUSG00000073412</v>
      </c>
      <c r="I2059" s="7" t="str">
        <f>HYPERLINK("http://www.informatics.jax.org/marker/MGI:1096324","MGI:1096324")</f>
        <v>MGI:1096324</v>
      </c>
      <c r="J2059" s="4" t="s">
        <v>12</v>
      </c>
    </row>
    <row r="2060" spans="1:10" x14ac:dyDescent="0.25">
      <c r="A2060" s="2">
        <v>485.47181105278497</v>
      </c>
      <c r="B2060" s="3">
        <v>0.64658284751321204</v>
      </c>
      <c r="C2060" s="5">
        <v>7.7677769984641701E-12</v>
      </c>
      <c r="D2060" s="6">
        <v>4.8939476808215199E-11</v>
      </c>
      <c r="E2060" s="3" t="s">
        <v>6277</v>
      </c>
      <c r="F2060" s="3" t="s">
        <v>6278</v>
      </c>
      <c r="G2060" s="3">
        <v>74277</v>
      </c>
      <c r="H2060" s="7" t="str">
        <f>HYPERLINK("http://www.ensembl.org/Mus_musculus/Gene/Summary?db=core;g=ENSMUSG00000029229","ENSMUSG00000029229")</f>
        <v>ENSMUSG00000029229</v>
      </c>
      <c r="I2060" s="7" t="str">
        <f>HYPERLINK("http://www.informatics.jax.org/marker/MGI:1921527","MGI:1921527")</f>
        <v>MGI:1921527</v>
      </c>
      <c r="J2060" s="4" t="s">
        <v>12</v>
      </c>
    </row>
    <row r="2061" spans="1:10" x14ac:dyDescent="0.25">
      <c r="A2061" s="2">
        <v>2640.0794494039401</v>
      </c>
      <c r="B2061" s="3">
        <v>0.64547939986762404</v>
      </c>
      <c r="C2061" s="5">
        <v>1.49337805119648E-56</v>
      </c>
      <c r="D2061" s="6">
        <v>4.81199594274422E-55</v>
      </c>
      <c r="E2061" s="3" t="s">
        <v>1240</v>
      </c>
      <c r="F2061" s="3" t="s">
        <v>1241</v>
      </c>
      <c r="G2061" s="3">
        <v>68119</v>
      </c>
      <c r="H2061" s="7" t="str">
        <f>HYPERLINK("http://www.ensembl.org/Mus_musculus/Gene/Summary?db=core;g=ENSMUSG00000031875","ENSMUSG00000031875")</f>
        <v>ENSMUSG00000031875</v>
      </c>
      <c r="I2061" s="7" t="str">
        <f>HYPERLINK("http://www.informatics.jax.org/marker/MGI:2447162","MGI:2447162")</f>
        <v>MGI:2447162</v>
      </c>
      <c r="J2061" s="4" t="s">
        <v>12</v>
      </c>
    </row>
    <row r="2062" spans="1:10" x14ac:dyDescent="0.25">
      <c r="A2062" s="2">
        <v>1599.0677459808301</v>
      </c>
      <c r="B2062" s="3">
        <v>0.64525905560129304</v>
      </c>
      <c r="C2062" s="5">
        <v>1.1098782245560501E-56</v>
      </c>
      <c r="D2062" s="6">
        <v>3.5821274285180503E-55</v>
      </c>
      <c r="E2062" s="3" t="s">
        <v>1238</v>
      </c>
      <c r="F2062" s="3" t="s">
        <v>1239</v>
      </c>
      <c r="G2062" s="3">
        <v>13383</v>
      </c>
      <c r="H2062" s="7" t="str">
        <f>HYPERLINK("http://www.ensembl.org/Mus_musculus/Gene/Summary?db=core;g=ENSMUSG00000022770","ENSMUSG00000022770")</f>
        <v>ENSMUSG00000022770</v>
      </c>
      <c r="I2062" s="7" t="str">
        <f>HYPERLINK("http://www.informatics.jax.org/marker/MGI:107231","MGI:107231")</f>
        <v>MGI:107231</v>
      </c>
      <c r="J2062" s="4" t="s">
        <v>12</v>
      </c>
    </row>
    <row r="2063" spans="1:10" x14ac:dyDescent="0.25">
      <c r="A2063" s="2">
        <v>32.369769332475599</v>
      </c>
      <c r="B2063" s="3">
        <v>0.64498578148802899</v>
      </c>
      <c r="C2063" s="3">
        <v>5.2296248944660798E-3</v>
      </c>
      <c r="D2063" s="4">
        <v>1.37890363576509E-2</v>
      </c>
      <c r="E2063" s="3" t="s">
        <v>14962</v>
      </c>
      <c r="F2063" s="3" t="s">
        <v>14963</v>
      </c>
      <c r="G2063" s="3">
        <v>195209</v>
      </c>
      <c r="H2063" s="7" t="str">
        <f>HYPERLINK("http://www.ensembl.org/Mus_musculus/Gene/Summary?db=core;g=ENSMUSG00000043903","ENSMUSG00000043903")</f>
        <v>ENSMUSG00000043903</v>
      </c>
      <c r="I2063" s="7" t="str">
        <f>HYPERLINK("http://www.informatics.jax.org/marker/MGI:2684868","MGI:2684868")</f>
        <v>MGI:2684868</v>
      </c>
      <c r="J2063" s="4" t="s">
        <v>12</v>
      </c>
    </row>
    <row r="2064" spans="1:10" x14ac:dyDescent="0.25">
      <c r="A2064" s="2">
        <v>3132.0053222861702</v>
      </c>
      <c r="B2064" s="3">
        <v>0.64452962352821197</v>
      </c>
      <c r="C2064" s="5">
        <v>8.8710502632604098E-40</v>
      </c>
      <c r="D2064" s="6">
        <v>1.78872301831795E-38</v>
      </c>
      <c r="E2064" s="3" t="s">
        <v>1973</v>
      </c>
      <c r="F2064" s="3" t="s">
        <v>1974</v>
      </c>
      <c r="G2064" s="3">
        <v>245877</v>
      </c>
      <c r="H2064" s="7" t="str">
        <f>HYPERLINK("http://www.ensembl.org/Mus_musculus/Gene/Summary?db=core;g=ENSMUSG00000028849","ENSMUSG00000028849")</f>
        <v>ENSMUSG00000028849</v>
      </c>
      <c r="I2064" s="7" t="str">
        <f>HYPERLINK("http://www.informatics.jax.org/marker/MGI:2384297","MGI:2384297")</f>
        <v>MGI:2384297</v>
      </c>
      <c r="J2064" s="4" t="s">
        <v>12</v>
      </c>
    </row>
    <row r="2065" spans="1:10" x14ac:dyDescent="0.25">
      <c r="A2065" s="2">
        <v>31.0137434239562</v>
      </c>
      <c r="B2065" s="3">
        <v>0.64451043789142903</v>
      </c>
      <c r="C2065" s="3">
        <v>3.8702263997394E-3</v>
      </c>
      <c r="D2065" s="4">
        <v>1.04420392123219E-2</v>
      </c>
      <c r="E2065" s="3" t="s">
        <v>14621</v>
      </c>
      <c r="F2065" s="3" t="s">
        <v>14622</v>
      </c>
      <c r="G2065" s="3" t="s">
        <v>83</v>
      </c>
      <c r="H2065" s="7" t="str">
        <f>HYPERLINK("http://www.ensembl.org/Mus_musculus/Gene/Summary?db=core;g=ENSMUSG00000110136","ENSMUSG00000110136")</f>
        <v>ENSMUSG00000110136</v>
      </c>
      <c r="I2065" s="7" t="str">
        <f>HYPERLINK("http://www.informatics.jax.org/marker/MGI:5804900","MGI:5804900")</f>
        <v>MGI:5804900</v>
      </c>
      <c r="J2065" s="4" t="s">
        <v>12</v>
      </c>
    </row>
    <row r="2066" spans="1:10" x14ac:dyDescent="0.25">
      <c r="A2066" s="2">
        <v>447.39669421584699</v>
      </c>
      <c r="B2066" s="3">
        <v>0.64401689383581495</v>
      </c>
      <c r="C2066" s="5">
        <v>1.6779651496390101E-16</v>
      </c>
      <c r="D2066" s="6">
        <v>1.3891466310193601E-15</v>
      </c>
      <c r="E2066" s="3" t="s">
        <v>4781</v>
      </c>
      <c r="F2066" s="3" t="s">
        <v>4782</v>
      </c>
      <c r="G2066" s="3">
        <v>15587</v>
      </c>
      <c r="H2066" s="7" t="str">
        <f>HYPERLINK("http://www.ensembl.org/Mus_musculus/Gene/Summary?db=core;g=ENSMUSG00000010047","ENSMUSG00000010047")</f>
        <v>ENSMUSG00000010047</v>
      </c>
      <c r="I2066" s="7" t="str">
        <f>HYPERLINK("http://www.informatics.jax.org/marker/MGI:1196334","MGI:1196334")</f>
        <v>MGI:1196334</v>
      </c>
      <c r="J2066" s="4" t="s">
        <v>12</v>
      </c>
    </row>
    <row r="2067" spans="1:10" x14ac:dyDescent="0.25">
      <c r="A2067" s="2">
        <v>1034.07073724559</v>
      </c>
      <c r="B2067" s="3">
        <v>0.64401198110772095</v>
      </c>
      <c r="C2067" s="5">
        <v>1.14062728014432E-34</v>
      </c>
      <c r="D2067" s="6">
        <v>1.9542284938701999E-33</v>
      </c>
      <c r="E2067" s="3" t="s">
        <v>2319</v>
      </c>
      <c r="F2067" s="3" t="s">
        <v>2320</v>
      </c>
      <c r="G2067" s="3">
        <v>330171</v>
      </c>
      <c r="H2067" s="7" t="str">
        <f>HYPERLINK("http://www.ensembl.org/Mus_musculus/Gene/Summary?db=core;g=ENSMUSG00000001098","ENSMUSG00000001098")</f>
        <v>ENSMUSG00000001098</v>
      </c>
      <c r="I2067" s="7" t="str">
        <f>HYPERLINK("http://www.informatics.jax.org/marker/MGI:2141207","MGI:2141207")</f>
        <v>MGI:2141207</v>
      </c>
      <c r="J2067" s="4" t="s">
        <v>12</v>
      </c>
    </row>
    <row r="2068" spans="1:10" x14ac:dyDescent="0.25">
      <c r="A2068" s="2">
        <v>6315.7563844049</v>
      </c>
      <c r="B2068" s="3">
        <v>0.64365551479628003</v>
      </c>
      <c r="C2068" s="5">
        <v>1.5313192984459301E-70</v>
      </c>
      <c r="D2068" s="6">
        <v>7.1389164457101005E-69</v>
      </c>
      <c r="E2068" s="3" t="s">
        <v>858</v>
      </c>
      <c r="F2068" s="3" t="s">
        <v>859</v>
      </c>
      <c r="G2068" s="3">
        <v>225363</v>
      </c>
      <c r="H2068" s="7" t="str">
        <f>HYPERLINK("http://www.ensembl.org/Mus_musculus/Gene/Summary?db=core;g=ENSMUSG00000024360","ENSMUSG00000024360")</f>
        <v>ENSMUSG00000024360</v>
      </c>
      <c r="I2068" s="7" t="str">
        <f>HYPERLINK("http://www.informatics.jax.org/marker/MGI:2385071","MGI:2385071")</f>
        <v>MGI:2385071</v>
      </c>
      <c r="J2068" s="4" t="s">
        <v>12</v>
      </c>
    </row>
    <row r="2069" spans="1:10" x14ac:dyDescent="0.25">
      <c r="A2069" s="2">
        <v>7172.7902565659497</v>
      </c>
      <c r="B2069" s="3">
        <v>0.64301358546326104</v>
      </c>
      <c r="C2069" s="5">
        <v>3.09140930632971E-22</v>
      </c>
      <c r="D2069" s="6">
        <v>3.3962446529705799E-21</v>
      </c>
      <c r="E2069" s="3" t="s">
        <v>3608</v>
      </c>
      <c r="F2069" s="3" t="s">
        <v>3609</v>
      </c>
      <c r="G2069" s="3">
        <v>234839</v>
      </c>
      <c r="H2069" s="7" t="str">
        <f>HYPERLINK("http://www.ensembl.org/Mus_musculus/Gene/Summary?db=core;g=ENSMUSG00000014444","ENSMUSG00000014444")</f>
        <v>ENSMUSG00000014444</v>
      </c>
      <c r="I2069" s="7" t="str">
        <f>HYPERLINK("http://www.informatics.jax.org/marker/MGI:3603204","MGI:3603204")</f>
        <v>MGI:3603204</v>
      </c>
      <c r="J2069" s="4" t="s">
        <v>12</v>
      </c>
    </row>
    <row r="2070" spans="1:10" x14ac:dyDescent="0.25">
      <c r="A2070" s="2">
        <v>320.86940421916501</v>
      </c>
      <c r="B2070" s="3">
        <v>0.64254249888035897</v>
      </c>
      <c r="C2070" s="5">
        <v>2.24166303837357E-8</v>
      </c>
      <c r="D2070" s="6">
        <v>1.07582368256819E-7</v>
      </c>
      <c r="E2070" s="3" t="s">
        <v>8235</v>
      </c>
      <c r="F2070" s="3" t="s">
        <v>8236</v>
      </c>
      <c r="G2070" s="3">
        <v>210029</v>
      </c>
      <c r="H2070" s="7" t="str">
        <f>HYPERLINK("http://www.ensembl.org/Mus_musculus/Gene/Summary?db=core;g=ENSMUSG00000039208","ENSMUSG00000039208")</f>
        <v>ENSMUSG00000039208</v>
      </c>
      <c r="I2070" s="7" t="str">
        <f>HYPERLINK("http://www.informatics.jax.org/marker/MGI:2384806","MGI:2384806")</f>
        <v>MGI:2384806</v>
      </c>
      <c r="J2070" s="4" t="s">
        <v>12</v>
      </c>
    </row>
    <row r="2071" spans="1:10" x14ac:dyDescent="0.25">
      <c r="A2071" s="2">
        <v>498.70927346953403</v>
      </c>
      <c r="B2071" s="3">
        <v>0.64243169410048095</v>
      </c>
      <c r="C2071" s="5">
        <v>7.4616021456008597E-12</v>
      </c>
      <c r="D2071" s="6">
        <v>4.7100766424855602E-11</v>
      </c>
      <c r="E2071" s="3" t="s">
        <v>6265</v>
      </c>
      <c r="F2071" s="3" t="s">
        <v>6266</v>
      </c>
      <c r="G2071" s="3">
        <v>106869</v>
      </c>
      <c r="H2071" s="7" t="str">
        <f>HYPERLINK("http://www.ensembl.org/Mus_musculus/Gene/Summary?db=core;g=ENSMUSG00000062210","ENSMUSG00000062210")</f>
        <v>ENSMUSG00000062210</v>
      </c>
      <c r="I2071" s="7" t="str">
        <f>HYPERLINK("http://www.informatics.jax.org/marker/MGI:2147191","MGI:2147191")</f>
        <v>MGI:2147191</v>
      </c>
      <c r="J2071" s="4" t="s">
        <v>12</v>
      </c>
    </row>
    <row r="2072" spans="1:10" x14ac:dyDescent="0.25">
      <c r="A2072" s="2">
        <v>104.62804518547</v>
      </c>
      <c r="B2072" s="3">
        <v>0.64232901181423696</v>
      </c>
      <c r="C2072" s="5">
        <v>4.5532976138205799E-7</v>
      </c>
      <c r="D2072" s="6">
        <v>1.9490130007497699E-6</v>
      </c>
      <c r="E2072" s="3" t="s">
        <v>9229</v>
      </c>
      <c r="F2072" s="3" t="s">
        <v>9230</v>
      </c>
      <c r="G2072" s="3" t="s">
        <v>83</v>
      </c>
      <c r="H2072" s="7" t="str">
        <f>HYPERLINK("http://www.ensembl.org/Mus_musculus/Gene/Summary?db=core;g=ENSMUSG00000104366","ENSMUSG00000104366")</f>
        <v>ENSMUSG00000104366</v>
      </c>
      <c r="I2072" s="7" t="str">
        <f>HYPERLINK("http://www.informatics.jax.org/marker/MGI:1918334","MGI:1918334")</f>
        <v>MGI:1918334</v>
      </c>
      <c r="J2072" s="4" t="s">
        <v>939</v>
      </c>
    </row>
    <row r="2073" spans="1:10" x14ac:dyDescent="0.25">
      <c r="A2073" s="2">
        <v>171.40648755589601</v>
      </c>
      <c r="B2073" s="3">
        <v>0.64223458101831299</v>
      </c>
      <c r="C2073" s="5">
        <v>2.39429695117415E-5</v>
      </c>
      <c r="D2073" s="6">
        <v>8.6396223014005894E-5</v>
      </c>
      <c r="E2073" s="3" t="s">
        <v>10942</v>
      </c>
      <c r="F2073" s="3" t="s">
        <v>10943</v>
      </c>
      <c r="G2073" s="3" t="s">
        <v>83</v>
      </c>
      <c r="H2073" s="7" t="str">
        <f>HYPERLINK("http://www.ensembl.org/Mus_musculus/Gene/Summary?db=core;g=ENSMUSG00000055897","ENSMUSG00000055897")</f>
        <v>ENSMUSG00000055897</v>
      </c>
      <c r="I2073" s="7" t="str">
        <f>HYPERLINK("http://www.informatics.jax.org/marker/MGI:1924560","MGI:1924560")</f>
        <v>MGI:1924560</v>
      </c>
      <c r="J2073" s="4" t="s">
        <v>320</v>
      </c>
    </row>
    <row r="2074" spans="1:10" x14ac:dyDescent="0.25">
      <c r="A2074" s="2">
        <v>1556.0339547814201</v>
      </c>
      <c r="B2074" s="3">
        <v>0.64144444683524504</v>
      </c>
      <c r="C2074" s="5">
        <v>7.7731358458588702E-35</v>
      </c>
      <c r="D2074" s="6">
        <v>1.34226128616757E-33</v>
      </c>
      <c r="E2074" s="3" t="s">
        <v>2301</v>
      </c>
      <c r="F2074" s="3" t="s">
        <v>2302</v>
      </c>
      <c r="G2074" s="3">
        <v>230857</v>
      </c>
      <c r="H2074" s="7" t="str">
        <f>HYPERLINK("http://www.ensembl.org/Mus_musculus/Gene/Summary?db=core;g=ENSMUSG00000057530","ENSMUSG00000057530")</f>
        <v>ENSMUSG00000057530</v>
      </c>
      <c r="I2074" s="7" t="str">
        <f>HYPERLINK("http://www.informatics.jax.org/marker/MGI:1101357","MGI:1101357")</f>
        <v>MGI:1101357</v>
      </c>
      <c r="J2074" s="4" t="s">
        <v>12</v>
      </c>
    </row>
    <row r="2075" spans="1:10" x14ac:dyDescent="0.25">
      <c r="A2075" s="2">
        <v>968.10889712548897</v>
      </c>
      <c r="B2075" s="3">
        <v>0.64079118237836596</v>
      </c>
      <c r="C2075" s="5">
        <v>7.5343350629705099E-22</v>
      </c>
      <c r="D2075" s="6">
        <v>8.0968440022767506E-21</v>
      </c>
      <c r="E2075" s="3" t="s">
        <v>3688</v>
      </c>
      <c r="F2075" s="3" t="s">
        <v>3689</v>
      </c>
      <c r="G2075" s="3">
        <v>72323</v>
      </c>
      <c r="H2075" s="7" t="str">
        <f>HYPERLINK("http://www.ensembl.org/Mus_musculus/Gene/Summary?db=core;g=ENSMUSG00000039483","ENSMUSG00000039483")</f>
        <v>ENSMUSG00000039483</v>
      </c>
      <c r="I2075" s="7" t="str">
        <f>HYPERLINK("http://www.informatics.jax.org/marker/MGI:1919573","MGI:1919573")</f>
        <v>MGI:1919573</v>
      </c>
      <c r="J2075" s="4" t="s">
        <v>12</v>
      </c>
    </row>
    <row r="2076" spans="1:10" x14ac:dyDescent="0.25">
      <c r="A2076" s="2">
        <v>1943.4448736484601</v>
      </c>
      <c r="B2076" s="3">
        <v>0.640561828856134</v>
      </c>
      <c r="C2076" s="5">
        <v>5.3752908101263397E-15</v>
      </c>
      <c r="D2076" s="6">
        <v>4.1309717371664599E-14</v>
      </c>
      <c r="E2076" s="3" t="s">
        <v>5149</v>
      </c>
      <c r="F2076" s="3" t="s">
        <v>5150</v>
      </c>
      <c r="G2076" s="3">
        <v>338467</v>
      </c>
      <c r="H2076" s="7" t="str">
        <f>HYPERLINK("http://www.ensembl.org/Mus_musculus/Gene/Summary?db=core;g=ENSMUSG00000039456","ENSMUSG00000039456")</f>
        <v>ENSMUSG00000039456</v>
      </c>
      <c r="I2076" s="7" t="str">
        <f>HYPERLINK("http://www.informatics.jax.org/marker/MGI:2136841","MGI:2136841")</f>
        <v>MGI:2136841</v>
      </c>
      <c r="J2076" s="4" t="s">
        <v>12</v>
      </c>
    </row>
    <row r="2077" spans="1:10" x14ac:dyDescent="0.25">
      <c r="A2077" s="2">
        <v>916.37771199557505</v>
      </c>
      <c r="B2077" s="3">
        <v>0.64053081782475696</v>
      </c>
      <c r="C2077" s="5">
        <v>9.2382455952979698E-11</v>
      </c>
      <c r="D2077" s="6">
        <v>5.3755740082406602E-10</v>
      </c>
      <c r="E2077" s="3" t="s">
        <v>6796</v>
      </c>
      <c r="F2077" s="3" t="s">
        <v>6797</v>
      </c>
      <c r="G2077" s="3">
        <v>244059</v>
      </c>
      <c r="H2077" s="7" t="str">
        <f>HYPERLINK("http://www.ensembl.org/Mus_musculus/Gene/Summary?db=core;g=ENSMUSG00000078671","ENSMUSG00000078671")</f>
        <v>ENSMUSG00000078671</v>
      </c>
      <c r="I2077" s="7" t="str">
        <f>HYPERLINK("http://www.informatics.jax.org/marker/MGI:2448567","MGI:2448567")</f>
        <v>MGI:2448567</v>
      </c>
      <c r="J2077" s="4" t="s">
        <v>12</v>
      </c>
    </row>
    <row r="2078" spans="1:10" x14ac:dyDescent="0.25">
      <c r="A2078" s="2">
        <v>142.69618331019001</v>
      </c>
      <c r="B2078" s="3">
        <v>0.64040317867102703</v>
      </c>
      <c r="C2078" s="5">
        <v>1.0716218333229101E-8</v>
      </c>
      <c r="D2078" s="6">
        <v>5.3056446279507398E-8</v>
      </c>
      <c r="E2078" s="3" t="s">
        <v>7983</v>
      </c>
      <c r="F2078" s="3" t="s">
        <v>7984</v>
      </c>
      <c r="G2078" s="3">
        <v>71198</v>
      </c>
      <c r="H2078" s="7" t="str">
        <f>HYPERLINK("http://www.ensembl.org/Mus_musculus/Gene/Summary?db=core;g=ENSMUSG00000043415","ENSMUSG00000043415")</f>
        <v>ENSMUSG00000043415</v>
      </c>
      <c r="I2078" s="7" t="str">
        <f>HYPERLINK("http://www.informatics.jax.org/marker/MGI:1918448","MGI:1918448")</f>
        <v>MGI:1918448</v>
      </c>
      <c r="J2078" s="4" t="s">
        <v>12</v>
      </c>
    </row>
    <row r="2079" spans="1:10" x14ac:dyDescent="0.25">
      <c r="A2079" s="2">
        <v>1008.40365472803</v>
      </c>
      <c r="B2079" s="3">
        <v>0.640381076308977</v>
      </c>
      <c r="C2079" s="5">
        <v>1.41612054433737E-14</v>
      </c>
      <c r="D2079" s="6">
        <v>1.06384370035554E-13</v>
      </c>
      <c r="E2079" s="3" t="s">
        <v>5267</v>
      </c>
      <c r="F2079" s="3" t="s">
        <v>5268</v>
      </c>
      <c r="G2079" s="3">
        <v>217431</v>
      </c>
      <c r="H2079" s="7" t="str">
        <f>HYPERLINK("http://www.ensembl.org/Mus_musculus/Gene/Summary?db=core;g=ENSMUSG00000061458","ENSMUSG00000061458")</f>
        <v>ENSMUSG00000061458</v>
      </c>
      <c r="I2079" s="7" t="str">
        <f>HYPERLINK("http://www.informatics.jax.org/marker/MGI:2684913","MGI:2684913")</f>
        <v>MGI:2684913</v>
      </c>
      <c r="J2079" s="4" t="s">
        <v>12</v>
      </c>
    </row>
    <row r="2080" spans="1:10" x14ac:dyDescent="0.25">
      <c r="A2080" s="2">
        <v>306.04013866661103</v>
      </c>
      <c r="B2080" s="3">
        <v>0.64013684528071702</v>
      </c>
      <c r="C2080" s="5">
        <v>3.51454069703905E-7</v>
      </c>
      <c r="D2080" s="6">
        <v>1.52289040970358E-6</v>
      </c>
      <c r="E2080" s="3" t="s">
        <v>9117</v>
      </c>
      <c r="F2080" s="3" t="s">
        <v>9118</v>
      </c>
      <c r="G2080" s="3">
        <v>56699</v>
      </c>
      <c r="H2080" s="7" t="str">
        <f>HYPERLINK("http://www.ensembl.org/Mus_musculus/Gene/Summary?db=core;g=ENSMUSG00000041598","ENSMUSG00000041598")</f>
        <v>ENSMUSG00000041598</v>
      </c>
      <c r="I2080" s="7" t="str">
        <f>HYPERLINK("http://www.informatics.jax.org/marker/MGI:1929760","MGI:1929760")</f>
        <v>MGI:1929760</v>
      </c>
      <c r="J2080" s="4" t="s">
        <v>12</v>
      </c>
    </row>
    <row r="2081" spans="1:10" x14ac:dyDescent="0.25">
      <c r="A2081" s="2">
        <v>2779.3618751438798</v>
      </c>
      <c r="B2081" s="3">
        <v>0.63986164349054997</v>
      </c>
      <c r="C2081" s="5">
        <v>3.9426193718713702E-28</v>
      </c>
      <c r="D2081" s="6">
        <v>5.4142377446590097E-27</v>
      </c>
      <c r="E2081" s="3" t="s">
        <v>2890</v>
      </c>
      <c r="F2081" s="3" t="s">
        <v>2891</v>
      </c>
      <c r="G2081" s="3">
        <v>12343</v>
      </c>
      <c r="H2081" s="7" t="str">
        <f>HYPERLINK("http://www.ensembl.org/Mus_musculus/Gene/Summary?db=core;g=ENSMUSG00000015733","ENSMUSG00000015733")</f>
        <v>ENSMUSG00000015733</v>
      </c>
      <c r="I2081" s="7" t="str">
        <f>HYPERLINK("http://www.informatics.jax.org/marker/MGI:106222","MGI:106222")</f>
        <v>MGI:106222</v>
      </c>
      <c r="J2081" s="4" t="s">
        <v>12</v>
      </c>
    </row>
    <row r="2082" spans="1:10" x14ac:dyDescent="0.25">
      <c r="A2082" s="2">
        <v>6911.3256915040502</v>
      </c>
      <c r="B2082" s="3">
        <v>0.63980929599542102</v>
      </c>
      <c r="C2082" s="5">
        <v>7.7432988782436797E-26</v>
      </c>
      <c r="D2082" s="6">
        <v>9.8008892091762104E-25</v>
      </c>
      <c r="E2082" s="3" t="s">
        <v>3134</v>
      </c>
      <c r="F2082" s="3" t="s">
        <v>3135</v>
      </c>
      <c r="G2082" s="3">
        <v>14312</v>
      </c>
      <c r="H2082" s="7" t="str">
        <f>HYPERLINK("http://www.ensembl.org/Mus_musculus/Gene/Summary?db=core;g=ENSMUSG00000024335","ENSMUSG00000024335")</f>
        <v>ENSMUSG00000024335</v>
      </c>
      <c r="I2082" s="7" t="str">
        <f>HYPERLINK("http://www.informatics.jax.org/marker/MGI:99495","MGI:99495")</f>
        <v>MGI:99495</v>
      </c>
      <c r="J2082" s="4" t="s">
        <v>12</v>
      </c>
    </row>
    <row r="2083" spans="1:10" x14ac:dyDescent="0.25">
      <c r="A2083" s="2">
        <v>147.02587529870399</v>
      </c>
      <c r="B2083" s="3">
        <v>0.63972387397108899</v>
      </c>
      <c r="C2083" s="5">
        <v>3.8812044529253298E-5</v>
      </c>
      <c r="D2083" s="4">
        <v>1.3686937019257399E-4</v>
      </c>
      <c r="E2083" s="3" t="s">
        <v>11195</v>
      </c>
      <c r="F2083" s="3" t="s">
        <v>11196</v>
      </c>
      <c r="G2083" s="3">
        <v>69440</v>
      </c>
      <c r="H2083" s="7" t="str">
        <f>HYPERLINK("http://www.ensembl.org/Mus_musculus/Gene/Summary?db=core;g=ENSMUSG00000015377","ENSMUSG00000015377")</f>
        <v>ENSMUSG00000015377</v>
      </c>
      <c r="I2083" s="7" t="str">
        <f>HYPERLINK("http://www.informatics.jax.org/marker/MGI:1916690","MGI:1916690")</f>
        <v>MGI:1916690</v>
      </c>
      <c r="J2083" s="4" t="s">
        <v>12</v>
      </c>
    </row>
    <row r="2084" spans="1:10" x14ac:dyDescent="0.25">
      <c r="A2084" s="2">
        <v>63.2375070336889</v>
      </c>
      <c r="B2084" s="3">
        <v>0.63895680273580602</v>
      </c>
      <c r="C2084" s="3">
        <v>1.03661473140107E-4</v>
      </c>
      <c r="D2084" s="4">
        <v>3.4913821525583299E-4</v>
      </c>
      <c r="E2084" s="3" t="s">
        <v>11721</v>
      </c>
      <c r="F2084" s="3" t="s">
        <v>11722</v>
      </c>
      <c r="G2084" s="3">
        <v>60322</v>
      </c>
      <c r="H2084" s="7" t="str">
        <f>HYPERLINK("http://www.ensembl.org/Mus_musculus/Gene/Summary?db=core;g=ENSMUSG00000037347","ENSMUSG00000037347")</f>
        <v>ENSMUSG00000037347</v>
      </c>
      <c r="I2084" s="7" t="str">
        <f>HYPERLINK("http://www.informatics.jax.org/marker/MGI:1891767","MGI:1891767")</f>
        <v>MGI:1891767</v>
      </c>
      <c r="J2084" s="4" t="s">
        <v>12</v>
      </c>
    </row>
    <row r="2085" spans="1:10" x14ac:dyDescent="0.25">
      <c r="A2085" s="2">
        <v>1757.81865674446</v>
      </c>
      <c r="B2085" s="3">
        <v>0.63825396986381999</v>
      </c>
      <c r="C2085" s="5">
        <v>3.8264349897984702E-14</v>
      </c>
      <c r="D2085" s="6">
        <v>2.7905805472938598E-13</v>
      </c>
      <c r="E2085" s="3" t="s">
        <v>5425</v>
      </c>
      <c r="F2085" s="3" t="s">
        <v>5426</v>
      </c>
      <c r="G2085" s="3">
        <v>246198</v>
      </c>
      <c r="H2085" s="7" t="str">
        <f>HYPERLINK("http://www.ensembl.org/Mus_musculus/Gene/Summary?db=core;g=ENSMUSG00000038437","ENSMUSG00000038437")</f>
        <v>ENSMUSG00000038437</v>
      </c>
      <c r="I2085" s="7" t="str">
        <f>HYPERLINK("http://www.informatics.jax.org/marker/MGI:1935145","MGI:1935145")</f>
        <v>MGI:1935145</v>
      </c>
      <c r="J2085" s="4" t="s">
        <v>12</v>
      </c>
    </row>
    <row r="2086" spans="1:10" x14ac:dyDescent="0.25">
      <c r="A2086" s="2">
        <v>754.40015324041303</v>
      </c>
      <c r="B2086" s="3">
        <v>0.63818633365892297</v>
      </c>
      <c r="C2086" s="5">
        <v>2.4956320608171299E-23</v>
      </c>
      <c r="D2086" s="6">
        <v>2.85463249647992E-22</v>
      </c>
      <c r="E2086" s="3" t="s">
        <v>3466</v>
      </c>
      <c r="F2086" s="3" t="s">
        <v>3467</v>
      </c>
      <c r="G2086" s="3" t="s">
        <v>83</v>
      </c>
      <c r="H2086" s="7" t="str">
        <f>HYPERLINK("http://www.ensembl.org/Mus_musculus/Gene/Summary?db=core;g=ENSMUSG00000092463","ENSMUSG00000092463")</f>
        <v>ENSMUSG00000092463</v>
      </c>
      <c r="I2086" s="7" t="str">
        <f>HYPERLINK("http://www.informatics.jax.org/marker/MGI:5141954","MGI:5141954")</f>
        <v>MGI:5141954</v>
      </c>
      <c r="J2086" s="4" t="s">
        <v>12</v>
      </c>
    </row>
    <row r="2087" spans="1:10" x14ac:dyDescent="0.25">
      <c r="A2087" s="2">
        <v>633.26026201163404</v>
      </c>
      <c r="B2087" s="3">
        <v>0.63812317547068997</v>
      </c>
      <c r="C2087" s="5">
        <v>7.4344581712685402E-22</v>
      </c>
      <c r="D2087" s="6">
        <v>7.9938666923345495E-21</v>
      </c>
      <c r="E2087" s="3" t="s">
        <v>3686</v>
      </c>
      <c r="F2087" s="3" t="s">
        <v>3687</v>
      </c>
      <c r="G2087" s="3">
        <v>14854</v>
      </c>
      <c r="H2087" s="7" t="str">
        <f>HYPERLINK("http://www.ensembl.org/Mus_musculus/Gene/Summary?db=core;g=ENSMUSG00000027610","ENSMUSG00000027610")</f>
        <v>ENSMUSG00000027610</v>
      </c>
      <c r="I2087" s="7" t="str">
        <f>HYPERLINK("http://www.informatics.jax.org/marker/MGI:95852","MGI:95852")</f>
        <v>MGI:95852</v>
      </c>
      <c r="J2087" s="4" t="s">
        <v>12</v>
      </c>
    </row>
    <row r="2088" spans="1:10" x14ac:dyDescent="0.25">
      <c r="A2088" s="2">
        <v>45.194764489052098</v>
      </c>
      <c r="B2088" s="3">
        <v>0.63750567448177797</v>
      </c>
      <c r="C2088" s="3">
        <v>2.6759578650854002E-4</v>
      </c>
      <c r="D2088" s="4">
        <v>8.5425597109377099E-4</v>
      </c>
      <c r="E2088" s="3" t="s">
        <v>12370</v>
      </c>
      <c r="F2088" s="3" t="s">
        <v>12371</v>
      </c>
      <c r="G2088" s="3" t="s">
        <v>83</v>
      </c>
      <c r="H2088" s="7" t="str">
        <f>HYPERLINK("http://www.ensembl.org/Mus_musculus/Gene/Summary?db=core;g=ENSMUSG00000099081","ENSMUSG00000099081")</f>
        <v>ENSMUSG00000099081</v>
      </c>
      <c r="I2088" s="7" t="str">
        <f>HYPERLINK("http://www.informatics.jax.org/marker/MGI:5531006","MGI:5531006")</f>
        <v>MGI:5531006</v>
      </c>
      <c r="J2088" s="4" t="s">
        <v>9951</v>
      </c>
    </row>
    <row r="2089" spans="1:10" x14ac:dyDescent="0.25">
      <c r="A2089" s="2">
        <v>33.786294652347301</v>
      </c>
      <c r="B2089" s="3">
        <v>0.63748763873755299</v>
      </c>
      <c r="C2089" s="3">
        <v>1.32521305003308E-2</v>
      </c>
      <c r="D2089" s="4">
        <v>3.2140205813125398E-2</v>
      </c>
      <c r="E2089" s="3" t="s">
        <v>16267</v>
      </c>
      <c r="F2089" s="3" t="s">
        <v>16268</v>
      </c>
      <c r="G2089" s="3" t="s">
        <v>83</v>
      </c>
      <c r="H2089" s="7" t="str">
        <f>HYPERLINK("http://www.ensembl.org/Mus_musculus/Gene/Summary?db=core;g=ENSMUSG00000093452","ENSMUSG00000093452")</f>
        <v>ENSMUSG00000093452</v>
      </c>
      <c r="I2089" s="7" t="str">
        <f>HYPERLINK("http://www.informatics.jax.org/marker/MGI:3620246","MGI:3620246")</f>
        <v>MGI:3620246</v>
      </c>
      <c r="J2089" s="4" t="s">
        <v>932</v>
      </c>
    </row>
    <row r="2090" spans="1:10" x14ac:dyDescent="0.25">
      <c r="A2090" s="2">
        <v>134.01304608755899</v>
      </c>
      <c r="B2090" s="3">
        <v>0.63707346672340603</v>
      </c>
      <c r="C2090" s="5">
        <v>6.3924657772057599E-8</v>
      </c>
      <c r="D2090" s="6">
        <v>2.9432506450267901E-7</v>
      </c>
      <c r="E2090" s="3" t="s">
        <v>8583</v>
      </c>
      <c r="F2090" s="3" t="s">
        <v>8584</v>
      </c>
      <c r="G2090" s="3">
        <v>54399</v>
      </c>
      <c r="H2090" s="7" t="str">
        <f>HYPERLINK("http://www.ensembl.org/Mus_musculus/Gene/Summary?db=core;g=ENSMUSG00000025484","ENSMUSG00000025484")</f>
        <v>ENSMUSG00000025484</v>
      </c>
      <c r="I2090" s="7" t="str">
        <f>HYPERLINK("http://www.informatics.jax.org/marker/MGI:1913128","MGI:1913128")</f>
        <v>MGI:1913128</v>
      </c>
      <c r="J2090" s="4" t="s">
        <v>12</v>
      </c>
    </row>
    <row r="2091" spans="1:10" x14ac:dyDescent="0.25">
      <c r="A2091" s="2">
        <v>887.26427915641</v>
      </c>
      <c r="B2091" s="3">
        <v>0.636886237889143</v>
      </c>
      <c r="C2091" s="3">
        <v>6.43167665332991E-4</v>
      </c>
      <c r="D2091" s="4">
        <v>1.9506715411206699E-3</v>
      </c>
      <c r="E2091" s="3" t="s">
        <v>13013</v>
      </c>
      <c r="F2091" s="3" t="s">
        <v>13014</v>
      </c>
      <c r="G2091" s="3">
        <v>69608</v>
      </c>
      <c r="H2091" s="7" t="str">
        <f>HYPERLINK("http://www.ensembl.org/Mus_musculus/Gene/Summary?db=core;g=ENSMUSG00000039234","ENSMUSG00000039234")</f>
        <v>ENSMUSG00000039234</v>
      </c>
      <c r="I2091" s="7" t="str">
        <f>HYPERLINK("http://www.informatics.jax.org/marker/MGI:1916858","MGI:1916858")</f>
        <v>MGI:1916858</v>
      </c>
      <c r="J2091" s="4" t="s">
        <v>12</v>
      </c>
    </row>
    <row r="2092" spans="1:10" x14ac:dyDescent="0.25">
      <c r="A2092" s="2">
        <v>3247.5544883678699</v>
      </c>
      <c r="B2092" s="3">
        <v>0.63663995409788499</v>
      </c>
      <c r="C2092" s="5">
        <v>3.3134339846894302E-35</v>
      </c>
      <c r="D2092" s="6">
        <v>5.7875038244531098E-34</v>
      </c>
      <c r="E2092" s="3" t="s">
        <v>2275</v>
      </c>
      <c r="F2092" s="3" t="s">
        <v>2276</v>
      </c>
      <c r="G2092" s="3">
        <v>11984</v>
      </c>
      <c r="H2092" s="7" t="str">
        <f>HYPERLINK("http://www.ensembl.org/Mus_musculus/Gene/Summary?db=core;g=ENSMUSG00000024121","ENSMUSG00000024121")</f>
        <v>ENSMUSG00000024121</v>
      </c>
      <c r="I2092" s="7" t="str">
        <f>HYPERLINK("http://www.informatics.jax.org/marker/MGI:88116","MGI:88116")</f>
        <v>MGI:88116</v>
      </c>
      <c r="J2092" s="4" t="s">
        <v>12</v>
      </c>
    </row>
    <row r="2093" spans="1:10" x14ac:dyDescent="0.25">
      <c r="A2093" s="2">
        <v>818.82435542977998</v>
      </c>
      <c r="B2093" s="3">
        <v>0.63662311796809701</v>
      </c>
      <c r="C2093" s="5">
        <v>1.23060845536268E-23</v>
      </c>
      <c r="D2093" s="6">
        <v>1.4249911180124499E-22</v>
      </c>
      <c r="E2093" s="3" t="s">
        <v>3424</v>
      </c>
      <c r="F2093" s="3" t="s">
        <v>3425</v>
      </c>
      <c r="G2093" s="3">
        <v>225028</v>
      </c>
      <c r="H2093" s="7" t="str">
        <f>HYPERLINK("http://www.ensembl.org/Mus_musculus/Gene/Summary?db=core;g=ENSMUSG00000024242","ENSMUSG00000024242")</f>
        <v>ENSMUSG00000024242</v>
      </c>
      <c r="I2093" s="7" t="str">
        <f>HYPERLINK("http://www.informatics.jax.org/marker/MGI:2154405","MGI:2154405")</f>
        <v>MGI:2154405</v>
      </c>
      <c r="J2093" s="4" t="s">
        <v>12</v>
      </c>
    </row>
    <row r="2094" spans="1:10" x14ac:dyDescent="0.25">
      <c r="A2094" s="2">
        <v>32.581991753620201</v>
      </c>
      <c r="B2094" s="3">
        <v>0.63586599743296301</v>
      </c>
      <c r="C2094" s="3">
        <v>5.8715292600407601E-3</v>
      </c>
      <c r="D2094" s="4">
        <v>1.5297470869071701E-2</v>
      </c>
      <c r="E2094" s="3" t="s">
        <v>15142</v>
      </c>
      <c r="F2094" s="3" t="s">
        <v>15143</v>
      </c>
      <c r="G2094" s="3" t="s">
        <v>83</v>
      </c>
      <c r="H2094" s="7" t="str">
        <f>HYPERLINK("http://www.ensembl.org/Mus_musculus/Gene/Summary?db=core;g=ENSMUSG00000085054","ENSMUSG00000085054")</f>
        <v>ENSMUSG00000085054</v>
      </c>
      <c r="I2094" s="7" t="str">
        <f>HYPERLINK("http://www.informatics.jax.org/marker/MGI:3802168","MGI:3802168")</f>
        <v>MGI:3802168</v>
      </c>
      <c r="J2094" s="4" t="s">
        <v>939</v>
      </c>
    </row>
    <row r="2095" spans="1:10" x14ac:dyDescent="0.25">
      <c r="A2095" s="2">
        <v>75.198050842648399</v>
      </c>
      <c r="B2095" s="3">
        <v>0.63559455522214203</v>
      </c>
      <c r="C2095" s="5">
        <v>3.8512440626823202E-5</v>
      </c>
      <c r="D2095" s="4">
        <v>1.358857271714E-4</v>
      </c>
      <c r="E2095" s="3" t="s">
        <v>11189</v>
      </c>
      <c r="F2095" s="3" t="s">
        <v>11190</v>
      </c>
      <c r="G2095" s="3" t="s">
        <v>83</v>
      </c>
      <c r="H2095" s="7" t="str">
        <f>HYPERLINK("http://www.ensembl.org/Mus_musculus/Gene/Summary?db=core;g=ENSMUSG00000080242","ENSMUSG00000080242")</f>
        <v>ENSMUSG00000080242</v>
      </c>
      <c r="I2095" s="7" t="str">
        <f>HYPERLINK("http://www.informatics.jax.org/marker/MGI:2151816","MGI:2151816")</f>
        <v>MGI:2151816</v>
      </c>
      <c r="J2095" s="4" t="s">
        <v>1043</v>
      </c>
    </row>
    <row r="2096" spans="1:10" x14ac:dyDescent="0.25">
      <c r="A2096" s="2">
        <v>306.37211532241002</v>
      </c>
      <c r="B2096" s="3">
        <v>0.63423356183271795</v>
      </c>
      <c r="C2096" s="5">
        <v>2.5348504236343398E-12</v>
      </c>
      <c r="D2096" s="6">
        <v>1.66291584677542E-11</v>
      </c>
      <c r="E2096" s="3" t="s">
        <v>6029</v>
      </c>
      <c r="F2096" s="3" t="s">
        <v>6030</v>
      </c>
      <c r="G2096" s="3" t="s">
        <v>83</v>
      </c>
      <c r="H2096" s="7" t="str">
        <f>HYPERLINK("http://www.ensembl.org/Mus_musculus/Gene/Summary?db=core;g=ENSMUSG00000092534","ENSMUSG00000092534")</f>
        <v>ENSMUSG00000092534</v>
      </c>
      <c r="I2096" s="7" t="str">
        <f>HYPERLINK("http://www.informatics.jax.org/marker/MGI:5141883","MGI:5141883")</f>
        <v>MGI:5141883</v>
      </c>
      <c r="J2096" s="4" t="s">
        <v>12</v>
      </c>
    </row>
    <row r="2097" spans="1:10" x14ac:dyDescent="0.25">
      <c r="A2097" s="2">
        <v>351.08602440427802</v>
      </c>
      <c r="B2097" s="3">
        <v>0.63393366043101496</v>
      </c>
      <c r="C2097" s="5">
        <v>1.3055790766230801E-8</v>
      </c>
      <c r="D2097" s="6">
        <v>6.4076703312611002E-8</v>
      </c>
      <c r="E2097" s="3" t="s">
        <v>8053</v>
      </c>
      <c r="F2097" s="3" t="s">
        <v>8054</v>
      </c>
      <c r="G2097" s="3">
        <v>228608</v>
      </c>
      <c r="H2097" s="7" t="str">
        <f>HYPERLINK("http://www.ensembl.org/Mus_musculus/Gene/Summary?db=core;g=ENSMUSG00000027333","ENSMUSG00000027333")</f>
        <v>ENSMUSG00000027333</v>
      </c>
      <c r="I2097" s="7" t="str">
        <f>HYPERLINK("http://www.informatics.jax.org/marker/MGI:2445356","MGI:2445356")</f>
        <v>MGI:2445356</v>
      </c>
      <c r="J2097" s="4" t="s">
        <v>12</v>
      </c>
    </row>
    <row r="2098" spans="1:10" x14ac:dyDescent="0.25">
      <c r="A2098" s="2">
        <v>648.81847095145201</v>
      </c>
      <c r="B2098" s="3">
        <v>0.63383716577535099</v>
      </c>
      <c r="C2098" s="5">
        <v>3.9972472499738502E-22</v>
      </c>
      <c r="D2098" s="6">
        <v>4.3574193349631997E-21</v>
      </c>
      <c r="E2098" s="3" t="s">
        <v>3636</v>
      </c>
      <c r="F2098" s="3" t="s">
        <v>3637</v>
      </c>
      <c r="G2098" s="3">
        <v>216971</v>
      </c>
      <c r="H2098" s="7" t="str">
        <f>HYPERLINK("http://www.ensembl.org/Mus_musculus/Gene/Summary?db=core;g=ENSMUSG00000037750","ENSMUSG00000037750")</f>
        <v>ENSMUSG00000037750</v>
      </c>
      <c r="I2098" s="7" t="str">
        <f>HYPERLINK("http://www.informatics.jax.org/marker/MGI:2384939","MGI:2384939")</f>
        <v>MGI:2384939</v>
      </c>
      <c r="J2098" s="4" t="s">
        <v>12</v>
      </c>
    </row>
    <row r="2099" spans="1:10" x14ac:dyDescent="0.25">
      <c r="A2099" s="2">
        <v>2413.0456548153602</v>
      </c>
      <c r="B2099" s="3">
        <v>0.63331178299658197</v>
      </c>
      <c r="C2099" s="5">
        <v>5.6503691274637299E-42</v>
      </c>
      <c r="D2099" s="6">
        <v>1.2137829977514701E-40</v>
      </c>
      <c r="E2099" s="3" t="s">
        <v>1853</v>
      </c>
      <c r="F2099" s="3" t="s">
        <v>1854</v>
      </c>
      <c r="G2099" s="3">
        <v>68724</v>
      </c>
      <c r="H2099" s="7" t="str">
        <f>HYPERLINK("http://www.ensembl.org/Mus_musculus/Gene/Summary?db=core;g=ENSMUSG00000026426","ENSMUSG00000026426")</f>
        <v>ENSMUSG00000026426</v>
      </c>
      <c r="I2099" s="7" t="str">
        <f>HYPERLINK("http://www.informatics.jax.org/marker/MGI:1915974","MGI:1915974")</f>
        <v>MGI:1915974</v>
      </c>
      <c r="J2099" s="4" t="s">
        <v>12</v>
      </c>
    </row>
    <row r="2100" spans="1:10" x14ac:dyDescent="0.25">
      <c r="A2100" s="2">
        <v>188.487016349036</v>
      </c>
      <c r="B2100" s="3">
        <v>0.63300533440217799</v>
      </c>
      <c r="C2100" s="5">
        <v>1.64419806149028E-5</v>
      </c>
      <c r="D2100" s="6">
        <v>6.0289300432481103E-5</v>
      </c>
      <c r="E2100" s="3" t="s">
        <v>10768</v>
      </c>
      <c r="F2100" s="3" t="s">
        <v>10769</v>
      </c>
      <c r="G2100" s="3">
        <v>67725</v>
      </c>
      <c r="H2100" s="7" t="str">
        <f>HYPERLINK("http://www.ensembl.org/Mus_musculus/Gene/Summary?db=core;g=ENSMUSG00000021809","ENSMUSG00000021809")</f>
        <v>ENSMUSG00000021809</v>
      </c>
      <c r="I2100" s="7" t="str">
        <f>HYPERLINK("http://www.informatics.jax.org/marker/MGI:1914975","MGI:1914975")</f>
        <v>MGI:1914975</v>
      </c>
      <c r="J2100" s="4" t="s">
        <v>12</v>
      </c>
    </row>
    <row r="2101" spans="1:10" x14ac:dyDescent="0.25">
      <c r="A2101" s="2">
        <v>37.836927259012597</v>
      </c>
      <c r="B2101" s="3">
        <v>0.63233224960470003</v>
      </c>
      <c r="C2101" s="3">
        <v>9.6813733712617397E-4</v>
      </c>
      <c r="D2101" s="4">
        <v>2.8593182998544499E-3</v>
      </c>
      <c r="E2101" s="3" t="s">
        <v>13363</v>
      </c>
      <c r="F2101" s="3" t="s">
        <v>13364</v>
      </c>
      <c r="G2101" s="3" t="s">
        <v>83</v>
      </c>
      <c r="H2101" s="7" t="str">
        <f>HYPERLINK("http://www.ensembl.org/Mus_musculus/Gene/Summary?db=core;g=ENSMUSG00000111842","ENSMUSG00000111842")</f>
        <v>ENSMUSG00000111842</v>
      </c>
      <c r="I2101" s="7" t="str">
        <f>HYPERLINK("http://www.informatics.jax.org/marker/MGI:6121495","MGI:6121495")</f>
        <v>MGI:6121495</v>
      </c>
      <c r="J2101" s="4" t="s">
        <v>12</v>
      </c>
    </row>
    <row r="2102" spans="1:10" x14ac:dyDescent="0.25">
      <c r="A2102" s="2">
        <v>936.13445125110297</v>
      </c>
      <c r="B2102" s="3">
        <v>0.63227814373880897</v>
      </c>
      <c r="C2102" s="5">
        <v>4.2985184961177502E-26</v>
      </c>
      <c r="D2102" s="6">
        <v>5.4865232843651803E-25</v>
      </c>
      <c r="E2102" s="3" t="s">
        <v>3108</v>
      </c>
      <c r="F2102" s="3" t="s">
        <v>3109</v>
      </c>
      <c r="G2102" s="3">
        <v>76688</v>
      </c>
      <c r="H2102" s="7" t="str">
        <f>HYPERLINK("http://www.ensembl.org/Mus_musculus/Gene/Summary?db=core;g=ENSMUSG00000038671","ENSMUSG00000038671")</f>
        <v>ENSMUSG00000038671</v>
      </c>
      <c r="I2102" s="7" t="str">
        <f>HYPERLINK("http://www.informatics.jax.org/marker/MGI:1923938","MGI:1923938")</f>
        <v>MGI:1923938</v>
      </c>
      <c r="J2102" s="4" t="s">
        <v>12</v>
      </c>
    </row>
    <row r="2103" spans="1:10" x14ac:dyDescent="0.25">
      <c r="A2103" s="2">
        <v>233.03932742811</v>
      </c>
      <c r="B2103" s="3">
        <v>0.63220333222380298</v>
      </c>
      <c r="C2103" s="5">
        <v>2.36024576225376E-9</v>
      </c>
      <c r="D2103" s="6">
        <v>1.2287235066432E-8</v>
      </c>
      <c r="E2103" s="3" t="s">
        <v>7594</v>
      </c>
      <c r="F2103" s="3" t="s">
        <v>7595</v>
      </c>
      <c r="G2103" s="3">
        <v>50721</v>
      </c>
      <c r="H2103" s="7" t="str">
        <f>HYPERLINK("http://www.ensembl.org/Mus_musculus/Gene/Summary?db=core;g=ENSMUSG00000034748","ENSMUSG00000034748")</f>
        <v>ENSMUSG00000034748</v>
      </c>
      <c r="I2103" s="7" t="str">
        <f>HYPERLINK("http://www.informatics.jax.org/marker/MGI:1354161","MGI:1354161")</f>
        <v>MGI:1354161</v>
      </c>
      <c r="J2103" s="4" t="s">
        <v>12</v>
      </c>
    </row>
    <row r="2104" spans="1:10" x14ac:dyDescent="0.25">
      <c r="A2104" s="2">
        <v>2880.8007025203801</v>
      </c>
      <c r="B2104" s="3">
        <v>0.63158516882438698</v>
      </c>
      <c r="C2104" s="5">
        <v>1.5080816576440501E-30</v>
      </c>
      <c r="D2104" s="6">
        <v>2.2581146764419599E-29</v>
      </c>
      <c r="E2104" s="3" t="s">
        <v>2651</v>
      </c>
      <c r="F2104" s="3" t="s">
        <v>2652</v>
      </c>
      <c r="G2104" s="3">
        <v>11737</v>
      </c>
      <c r="H2104" s="7" t="str">
        <f>HYPERLINK("http://www.ensembl.org/Mus_musculus/Gene/Summary?db=core;g=ENSMUSG00000032249","ENSMUSG00000032249")</f>
        <v>ENSMUSG00000032249</v>
      </c>
      <c r="I2104" s="7" t="str">
        <f>HYPERLINK("http://www.informatics.jax.org/marker/MGI:108447","MGI:108447")</f>
        <v>MGI:108447</v>
      </c>
      <c r="J2104" s="4" t="s">
        <v>12</v>
      </c>
    </row>
    <row r="2105" spans="1:10" x14ac:dyDescent="0.25">
      <c r="A2105" s="2">
        <v>1578.84095627907</v>
      </c>
      <c r="B2105" s="3">
        <v>0.62997865069630599</v>
      </c>
      <c r="C2105" s="5">
        <v>9.7966203908199104E-18</v>
      </c>
      <c r="D2105" s="6">
        <v>8.7139988320689495E-17</v>
      </c>
      <c r="E2105" s="3" t="s">
        <v>4451</v>
      </c>
      <c r="F2105" s="3" t="s">
        <v>4452</v>
      </c>
      <c r="G2105" s="3">
        <v>70834</v>
      </c>
      <c r="H2105" s="7" t="str">
        <f>HYPERLINK("http://www.ensembl.org/Mus_musculus/Gene/Summary?db=core;g=ENSMUSG00000020859","ENSMUSG00000020859")</f>
        <v>ENSMUSG00000020859</v>
      </c>
      <c r="I2105" s="7" t="str">
        <f>HYPERLINK("http://www.informatics.jax.org/marker/MGI:1918084","MGI:1918084")</f>
        <v>MGI:1918084</v>
      </c>
      <c r="J2105" s="4" t="s">
        <v>12</v>
      </c>
    </row>
    <row r="2106" spans="1:10" x14ac:dyDescent="0.25">
      <c r="A2106" s="2">
        <v>1089.1659431529899</v>
      </c>
      <c r="B2106" s="3">
        <v>0.62724188745495502</v>
      </c>
      <c r="C2106" s="5">
        <v>6.1253983127619898E-22</v>
      </c>
      <c r="D2106" s="6">
        <v>6.6007024441347798E-21</v>
      </c>
      <c r="E2106" s="3" t="s">
        <v>3678</v>
      </c>
      <c r="F2106" s="3" t="s">
        <v>3679</v>
      </c>
      <c r="G2106" s="3">
        <v>68473</v>
      </c>
      <c r="H2106" s="7" t="str">
        <f>HYPERLINK("http://www.ensembl.org/Mus_musculus/Gene/Summary?db=core;g=ENSMUSG00000006262","ENSMUSG00000006262")</f>
        <v>ENSMUSG00000006262</v>
      </c>
      <c r="I2106" s="7" t="str">
        <f>HYPERLINK("http://www.informatics.jax.org/marker/MGI:1915723","MGI:1915723")</f>
        <v>MGI:1915723</v>
      </c>
      <c r="J2106" s="4" t="s">
        <v>12</v>
      </c>
    </row>
    <row r="2107" spans="1:10" x14ac:dyDescent="0.25">
      <c r="A2107" s="2">
        <v>719.85764921372402</v>
      </c>
      <c r="B2107" s="3">
        <v>0.62721633232048202</v>
      </c>
      <c r="C2107" s="5">
        <v>9.7018259558298905E-18</v>
      </c>
      <c r="D2107" s="6">
        <v>8.6452782579740399E-17</v>
      </c>
      <c r="E2107" s="3" t="s">
        <v>4443</v>
      </c>
      <c r="F2107" s="3" t="s">
        <v>4444</v>
      </c>
      <c r="G2107" s="3">
        <v>76867</v>
      </c>
      <c r="H2107" s="7" t="str">
        <f>HYPERLINK("http://www.ensembl.org/Mus_musculus/Gene/Summary?db=core;g=ENSMUSG00000026142","ENSMUSG00000026142")</f>
        <v>ENSMUSG00000026142</v>
      </c>
      <c r="I2107" s="7" t="str">
        <f>HYPERLINK("http://www.informatics.jax.org/marker/MGI:1924117","MGI:1924117")</f>
        <v>MGI:1924117</v>
      </c>
      <c r="J2107" s="4" t="s">
        <v>12</v>
      </c>
    </row>
    <row r="2108" spans="1:10" x14ac:dyDescent="0.25">
      <c r="A2108" s="2">
        <v>1207.8161451562901</v>
      </c>
      <c r="B2108" s="3">
        <v>0.62716928987603604</v>
      </c>
      <c r="C2108" s="5">
        <v>9.5358885296340599E-15</v>
      </c>
      <c r="D2108" s="6">
        <v>7.2381725097915197E-14</v>
      </c>
      <c r="E2108" s="3" t="s">
        <v>5213</v>
      </c>
      <c r="F2108" s="3" t="s">
        <v>5214</v>
      </c>
      <c r="G2108" s="3">
        <v>55950</v>
      </c>
      <c r="H2108" s="7" t="str">
        <f>HYPERLINK("http://www.ensembl.org/Mus_musculus/Gene/Summary?db=core;g=ENSMUSG00000047843","ENSMUSG00000047843")</f>
        <v>ENSMUSG00000047843</v>
      </c>
      <c r="I2108" s="7" t="str">
        <f>HYPERLINK("http://www.informatics.jax.org/marker/MGI:1933174","MGI:1933174")</f>
        <v>MGI:1933174</v>
      </c>
      <c r="J2108" s="4" t="s">
        <v>12</v>
      </c>
    </row>
    <row r="2109" spans="1:10" x14ac:dyDescent="0.25">
      <c r="A2109" s="2">
        <v>131.16206232650501</v>
      </c>
      <c r="B2109" s="3">
        <v>0.62691842960879296</v>
      </c>
      <c r="C2109" s="5">
        <v>1.76055222987926E-6</v>
      </c>
      <c r="D2109" s="6">
        <v>7.1056262736838098E-6</v>
      </c>
      <c r="E2109" s="3" t="s">
        <v>9787</v>
      </c>
      <c r="F2109" s="3" t="s">
        <v>9788</v>
      </c>
      <c r="G2109" s="3">
        <v>18128</v>
      </c>
      <c r="H2109" s="7" t="str">
        <f>HYPERLINK("http://www.ensembl.org/Mus_musculus/Gene/Summary?db=core;g=ENSMUSG00000026923","ENSMUSG00000026923")</f>
        <v>ENSMUSG00000026923</v>
      </c>
      <c r="I2109" s="7" t="str">
        <f>HYPERLINK("http://www.informatics.jax.org/marker/MGI:97363","MGI:97363")</f>
        <v>MGI:97363</v>
      </c>
      <c r="J2109" s="4" t="s">
        <v>12</v>
      </c>
    </row>
    <row r="2110" spans="1:10" x14ac:dyDescent="0.25">
      <c r="A2110" s="2">
        <v>6953.8997047921603</v>
      </c>
      <c r="B2110" s="3">
        <v>0.62624192443002602</v>
      </c>
      <c r="C2110" s="5">
        <v>2.1308291658637599E-27</v>
      </c>
      <c r="D2110" s="6">
        <v>2.8468801592705597E-26</v>
      </c>
      <c r="E2110" s="3" t="s">
        <v>2970</v>
      </c>
      <c r="F2110" s="3" t="s">
        <v>2971</v>
      </c>
      <c r="G2110" s="3">
        <v>105727</v>
      </c>
      <c r="H2110" s="7" t="str">
        <f>HYPERLINK("http://www.ensembl.org/Mus_musculus/Gene/Summary?db=core;g=ENSMUSG00000023169","ENSMUSG00000023169")</f>
        <v>ENSMUSG00000023169</v>
      </c>
      <c r="I2110" s="7" t="str">
        <f>HYPERLINK("http://www.informatics.jax.org/marker/MGI:2145895","MGI:2145895")</f>
        <v>MGI:2145895</v>
      </c>
      <c r="J2110" s="4" t="s">
        <v>12</v>
      </c>
    </row>
    <row r="2111" spans="1:10" x14ac:dyDescent="0.25">
      <c r="A2111" s="2">
        <v>1768.5559447984199</v>
      </c>
      <c r="B2111" s="3">
        <v>0.62543461515883003</v>
      </c>
      <c r="C2111" s="5">
        <v>9.6551470809804393E-9</v>
      </c>
      <c r="D2111" s="6">
        <v>4.7935423070728698E-8</v>
      </c>
      <c r="E2111" s="3" t="s">
        <v>7961</v>
      </c>
      <c r="F2111" s="3" t="s">
        <v>7962</v>
      </c>
      <c r="G2111" s="3" t="s">
        <v>83</v>
      </c>
      <c r="H2111" s="7" t="str">
        <f>HYPERLINK("http://www.ensembl.org/Mus_musculus/Gene/Summary?db=core;g=ENSMUSG00000111394","ENSMUSG00000111394")</f>
        <v>ENSMUSG00000111394</v>
      </c>
      <c r="I2111" s="7" t="str">
        <f>HYPERLINK("http://www.informatics.jax.org/marker/MGI:6215263","MGI:6215263")</f>
        <v>MGI:6215263</v>
      </c>
      <c r="J2111" s="4" t="s">
        <v>1828</v>
      </c>
    </row>
    <row r="2112" spans="1:10" x14ac:dyDescent="0.25">
      <c r="A2112" s="2">
        <v>499.44043132660101</v>
      </c>
      <c r="B2112" s="3">
        <v>0.62508069977823699</v>
      </c>
      <c r="C2112" s="5">
        <v>1.2229784792404201E-13</v>
      </c>
      <c r="D2112" s="6">
        <v>8.6877289663620895E-13</v>
      </c>
      <c r="E2112" s="3" t="s">
        <v>5569</v>
      </c>
      <c r="F2112" s="3" t="s">
        <v>5570</v>
      </c>
      <c r="G2112" s="3" t="s">
        <v>83</v>
      </c>
      <c r="H2112" s="7" t="str">
        <f>HYPERLINK("http://www.ensembl.org/Mus_musculus/Gene/Summary?db=core;g=ENSMUSG00000094638","ENSMUSG00000094638")</f>
        <v>ENSMUSG00000094638</v>
      </c>
      <c r="I2112" s="7" t="str">
        <f>HYPERLINK("http://www.informatics.jax.org/marker/MGI:5439441","MGI:5439441")</f>
        <v>MGI:5439441</v>
      </c>
      <c r="J2112" s="4" t="s">
        <v>12</v>
      </c>
    </row>
    <row r="2113" spans="1:10" x14ac:dyDescent="0.25">
      <c r="A2113" s="2">
        <v>2379.7093112501302</v>
      </c>
      <c r="B2113" s="3">
        <v>0.62494795003463999</v>
      </c>
      <c r="C2113" s="5">
        <v>2.5368657957482601E-28</v>
      </c>
      <c r="D2113" s="6">
        <v>3.5180726787732499E-27</v>
      </c>
      <c r="E2113" s="3" t="s">
        <v>2862</v>
      </c>
      <c r="F2113" s="3" t="s">
        <v>2863</v>
      </c>
      <c r="G2113" s="3">
        <v>56041</v>
      </c>
      <c r="H2113" s="7" t="str">
        <f>HYPERLINK("http://www.ensembl.org/Mus_musculus/Gene/Summary?db=core;g=ENSMUSG00000029407","ENSMUSG00000029407")</f>
        <v>ENSMUSG00000029407</v>
      </c>
      <c r="I2113" s="7" t="str">
        <f>HYPERLINK("http://www.informatics.jax.org/marker/MGI:1929095","MGI:1929095")</f>
        <v>MGI:1929095</v>
      </c>
      <c r="J2113" s="4" t="s">
        <v>12</v>
      </c>
    </row>
    <row r="2114" spans="1:10" x14ac:dyDescent="0.25">
      <c r="A2114" s="2">
        <v>662.09652955711999</v>
      </c>
      <c r="B2114" s="3">
        <v>0.624270116461206</v>
      </c>
      <c r="C2114" s="5">
        <v>2.30999262286585E-20</v>
      </c>
      <c r="D2114" s="6">
        <v>2.3312719817254199E-19</v>
      </c>
      <c r="E2114" s="3" t="s">
        <v>3926</v>
      </c>
      <c r="F2114" s="3" t="s">
        <v>3927</v>
      </c>
      <c r="G2114" s="3">
        <v>23857</v>
      </c>
      <c r="H2114" s="7" t="str">
        <f>HYPERLINK("http://www.ensembl.org/Mus_musculus/Gene/Summary?db=core;g=ENSMUSG00000042508","ENSMUSG00000042508")</f>
        <v>ENSMUSG00000042508</v>
      </c>
      <c r="I2114" s="7" t="str">
        <f>HYPERLINK("http://www.informatics.jax.org/marker/MGI:1344415","MGI:1344415")</f>
        <v>MGI:1344415</v>
      </c>
      <c r="J2114" s="4" t="s">
        <v>12</v>
      </c>
    </row>
    <row r="2115" spans="1:10" x14ac:dyDescent="0.25">
      <c r="A2115" s="2">
        <v>1617.56814381818</v>
      </c>
      <c r="B2115" s="3">
        <v>0.62405111065616103</v>
      </c>
      <c r="C2115" s="5">
        <v>7.3100485329617096E-47</v>
      </c>
      <c r="D2115" s="6">
        <v>1.81554353992449E-45</v>
      </c>
      <c r="E2115" s="3" t="s">
        <v>1604</v>
      </c>
      <c r="F2115" s="3" t="s">
        <v>1605</v>
      </c>
      <c r="G2115" s="3">
        <v>19248</v>
      </c>
      <c r="H2115" s="7" t="str">
        <f>HYPERLINK("http://www.ensembl.org/Mus_musculus/Gene/Summary?db=core;g=ENSMUSG00000028771","ENSMUSG00000028771")</f>
        <v>ENSMUSG00000028771</v>
      </c>
      <c r="I2115" s="7" t="str">
        <f>HYPERLINK("http://www.informatics.jax.org/marker/MGI:104673","MGI:104673")</f>
        <v>MGI:104673</v>
      </c>
      <c r="J2115" s="4" t="s">
        <v>12</v>
      </c>
    </row>
    <row r="2116" spans="1:10" x14ac:dyDescent="0.25">
      <c r="A2116" s="2">
        <v>307.22938908774398</v>
      </c>
      <c r="B2116" s="3">
        <v>0.62387200114909802</v>
      </c>
      <c r="C2116" s="5">
        <v>8.0778984687175395E-11</v>
      </c>
      <c r="D2116" s="6">
        <v>4.7156944287480702E-10</v>
      </c>
      <c r="E2116" s="3" t="s">
        <v>6774</v>
      </c>
      <c r="F2116" s="3" t="s">
        <v>6775</v>
      </c>
      <c r="G2116" s="3">
        <v>16890</v>
      </c>
      <c r="H2116" s="7" t="str">
        <f>HYPERLINK("http://www.ensembl.org/Mus_musculus/Gene/Summary?db=core;g=ENSMUSG00000003123","ENSMUSG00000003123")</f>
        <v>ENSMUSG00000003123</v>
      </c>
      <c r="I2116" s="7" t="str">
        <f>HYPERLINK("http://www.informatics.jax.org/marker/MGI:96790","MGI:96790")</f>
        <v>MGI:96790</v>
      </c>
      <c r="J2116" s="4" t="s">
        <v>12</v>
      </c>
    </row>
    <row r="2117" spans="1:10" x14ac:dyDescent="0.25">
      <c r="A2117" s="2">
        <v>647.28356851091701</v>
      </c>
      <c r="B2117" s="3">
        <v>0.62256035253507103</v>
      </c>
      <c r="C2117" s="5">
        <v>1.3297494974126499E-7</v>
      </c>
      <c r="D2117" s="6">
        <v>5.9651183095945196E-7</v>
      </c>
      <c r="E2117" s="3" t="s">
        <v>8809</v>
      </c>
      <c r="F2117" s="3" t="s">
        <v>8810</v>
      </c>
      <c r="G2117" s="3">
        <v>207728</v>
      </c>
      <c r="H2117" s="7" t="str">
        <f>HYPERLINK("http://www.ensembl.org/Mus_musculus/Gene/Summary?db=core;g=ENSMUSG00000030653","ENSMUSG00000030653")</f>
        <v>ENSMUSG00000030653</v>
      </c>
      <c r="I2117" s="7" t="str">
        <f>HYPERLINK("http://www.informatics.jax.org/marker/MGI:5804952","MGI:5804952")</f>
        <v>MGI:5804952</v>
      </c>
      <c r="J2117" s="4" t="s">
        <v>12</v>
      </c>
    </row>
    <row r="2118" spans="1:10" x14ac:dyDescent="0.25">
      <c r="A2118" s="2">
        <v>94.222954204995801</v>
      </c>
      <c r="B2118" s="3">
        <v>0.62065137889643196</v>
      </c>
      <c r="C2118" s="5">
        <v>6.3477242079865897E-6</v>
      </c>
      <c r="D2118" s="6">
        <v>2.4259132050677399E-5</v>
      </c>
      <c r="E2118" s="3" t="s">
        <v>10334</v>
      </c>
      <c r="F2118" s="3" t="s">
        <v>10335</v>
      </c>
      <c r="G2118" s="3">
        <v>194744</v>
      </c>
      <c r="H2118" s="7" t="str">
        <f>HYPERLINK("http://www.ensembl.org/Mus_musculus/Gene/Summary?db=core;g=ENSMUSG00000037636","ENSMUSG00000037636")</f>
        <v>ENSMUSG00000037636</v>
      </c>
      <c r="I2118" s="7" t="str">
        <f>HYPERLINK("http://www.informatics.jax.org/marker/MGI:2684854","MGI:2684854")</f>
        <v>MGI:2684854</v>
      </c>
      <c r="J2118" s="4" t="s">
        <v>12</v>
      </c>
    </row>
    <row r="2119" spans="1:10" x14ac:dyDescent="0.25">
      <c r="A2119" s="2">
        <v>28.316659093761899</v>
      </c>
      <c r="B2119" s="3">
        <v>0.62058029339446097</v>
      </c>
      <c r="C2119" s="3">
        <v>9.3150693950863998E-3</v>
      </c>
      <c r="D2119" s="4">
        <v>2.3311315795825401E-2</v>
      </c>
      <c r="E2119" s="3" t="s">
        <v>15765</v>
      </c>
      <c r="F2119" s="3" t="s">
        <v>15766</v>
      </c>
      <c r="G2119" s="3" t="s">
        <v>83</v>
      </c>
      <c r="H2119" s="7" t="str">
        <f>HYPERLINK("http://www.ensembl.org/Mus_musculus/Gene/Summary?db=core;g=ENSMUSG00000111162","ENSMUSG00000111162")</f>
        <v>ENSMUSG00000111162</v>
      </c>
      <c r="I2119" s="7" t="str">
        <f>HYPERLINK("http://www.informatics.jax.org/marker/MGI:3779717","MGI:3779717")</f>
        <v>MGI:3779717</v>
      </c>
      <c r="J2119" s="4" t="s">
        <v>1043</v>
      </c>
    </row>
    <row r="2120" spans="1:10" x14ac:dyDescent="0.25">
      <c r="A2120" s="2">
        <v>67.802432221456101</v>
      </c>
      <c r="B2120" s="3">
        <v>0.61955416361892102</v>
      </c>
      <c r="C2120" s="3">
        <v>2.8280102079719402E-3</v>
      </c>
      <c r="D2120" s="4">
        <v>7.7910535486458102E-3</v>
      </c>
      <c r="E2120" s="3" t="s">
        <v>14321</v>
      </c>
      <c r="F2120" s="3" t="s">
        <v>14322</v>
      </c>
      <c r="G2120" s="3">
        <v>237940</v>
      </c>
      <c r="H2120" s="7" t="str">
        <f>HYPERLINK("http://www.ensembl.org/Mus_musculus/Gene/Summary?db=core;g=ENSMUSG00000078651","ENSMUSG00000078651")</f>
        <v>ENSMUSG00000078651</v>
      </c>
      <c r="I2120" s="7" t="str">
        <f>HYPERLINK("http://www.informatics.jax.org/marker/MGI:2668431","MGI:2668431")</f>
        <v>MGI:2668431</v>
      </c>
      <c r="J2120" s="4" t="s">
        <v>12</v>
      </c>
    </row>
    <row r="2121" spans="1:10" x14ac:dyDescent="0.25">
      <c r="A2121" s="2">
        <v>2419.0241602881001</v>
      </c>
      <c r="B2121" s="3">
        <v>0.61930605177234999</v>
      </c>
      <c r="C2121" s="5">
        <v>1.4786340432968099E-20</v>
      </c>
      <c r="D2121" s="6">
        <v>1.5053517467120899E-19</v>
      </c>
      <c r="E2121" s="3" t="s">
        <v>3892</v>
      </c>
      <c r="F2121" s="3" t="s">
        <v>3893</v>
      </c>
      <c r="G2121" s="3">
        <v>84095</v>
      </c>
      <c r="H2121" s="7" t="str">
        <f>HYPERLINK("http://www.ensembl.org/Mus_musculus/Gene/Summary?db=core;g=ENSMUSG00000025178","ENSMUSG00000025178")</f>
        <v>ENSMUSG00000025178</v>
      </c>
      <c r="I2121" s="7" t="str">
        <f>HYPERLINK("http://www.informatics.jax.org/marker/MGI:1934031","MGI:1934031")</f>
        <v>MGI:1934031</v>
      </c>
      <c r="J2121" s="4" t="s">
        <v>12</v>
      </c>
    </row>
    <row r="2122" spans="1:10" x14ac:dyDescent="0.25">
      <c r="A2122" s="2">
        <v>4591.7364432232698</v>
      </c>
      <c r="B2122" s="3">
        <v>0.61889904472652701</v>
      </c>
      <c r="C2122" s="5">
        <v>2.7711365115835701E-6</v>
      </c>
      <c r="D2122" s="6">
        <v>1.09820763682532E-5</v>
      </c>
      <c r="E2122" s="3" t="s">
        <v>9968</v>
      </c>
      <c r="F2122" s="3" t="s">
        <v>9969</v>
      </c>
      <c r="G2122" s="3">
        <v>13733</v>
      </c>
      <c r="H2122" s="7" t="str">
        <f>HYPERLINK("http://www.ensembl.org/Mus_musculus/Gene/Summary?db=core;g=ENSMUSG00000004730","ENSMUSG00000004730")</f>
        <v>ENSMUSG00000004730</v>
      </c>
      <c r="I2122" s="7" t="str">
        <f>HYPERLINK("http://www.informatics.jax.org/marker/MGI:106912","MGI:106912")</f>
        <v>MGI:106912</v>
      </c>
      <c r="J2122" s="4" t="s">
        <v>12</v>
      </c>
    </row>
    <row r="2123" spans="1:10" x14ac:dyDescent="0.25">
      <c r="A2123" s="2">
        <v>18.981043778245599</v>
      </c>
      <c r="B2123" s="3">
        <v>0.61861748841830799</v>
      </c>
      <c r="C2123" s="3">
        <v>1.9608555640792402E-2</v>
      </c>
      <c r="D2123" s="4">
        <v>4.5885928235009699E-2</v>
      </c>
      <c r="E2123" s="3" t="s">
        <v>16858</v>
      </c>
      <c r="F2123" s="3" t="s">
        <v>16859</v>
      </c>
      <c r="G2123" s="3">
        <v>407789</v>
      </c>
      <c r="H2123" s="7" t="str">
        <f>HYPERLINK("http://www.ensembl.org/Mus_musculus/Gene/Summary?db=core;g=ENSMUSG00000074052","ENSMUSG00000074052")</f>
        <v>ENSMUSG00000074052</v>
      </c>
      <c r="I2123" s="7" t="str">
        <f>HYPERLINK("http://www.informatics.jax.org/marker/MGI:3039566","MGI:3039566")</f>
        <v>MGI:3039566</v>
      </c>
      <c r="J2123" s="4" t="s">
        <v>3187</v>
      </c>
    </row>
    <row r="2124" spans="1:10" x14ac:dyDescent="0.25">
      <c r="A2124" s="2">
        <v>567.82520370785903</v>
      </c>
      <c r="B2124" s="3">
        <v>0.61845792851276404</v>
      </c>
      <c r="C2124" s="5">
        <v>2.1473839521458399E-21</v>
      </c>
      <c r="D2124" s="6">
        <v>2.2596804448407701E-20</v>
      </c>
      <c r="E2124" s="3" t="s">
        <v>3766</v>
      </c>
      <c r="F2124" s="3" t="s">
        <v>3767</v>
      </c>
      <c r="G2124" s="3">
        <v>100383</v>
      </c>
      <c r="H2124" s="7" t="str">
        <f>HYPERLINK("http://www.ensembl.org/Mus_musculus/Gene/Summary?db=core;g=ENSMUSG00000040859","ENSMUSG00000040859")</f>
        <v>ENSMUSG00000040859</v>
      </c>
      <c r="I2124" s="7" t="str">
        <f>HYPERLINK("http://www.informatics.jax.org/marker/MGI:1913466","MGI:1913466")</f>
        <v>MGI:1913466</v>
      </c>
      <c r="J2124" s="4" t="s">
        <v>12</v>
      </c>
    </row>
    <row r="2125" spans="1:10" x14ac:dyDescent="0.25">
      <c r="A2125" s="2">
        <v>62.624999690319697</v>
      </c>
      <c r="B2125" s="3">
        <v>0.61796033205363698</v>
      </c>
      <c r="C2125" s="3">
        <v>1.08694535624578E-3</v>
      </c>
      <c r="D2125" s="4">
        <v>3.1891924453454601E-3</v>
      </c>
      <c r="E2125" s="3" t="s">
        <v>13449</v>
      </c>
      <c r="F2125" s="3" t="s">
        <v>13450</v>
      </c>
      <c r="G2125" s="3" t="s">
        <v>83</v>
      </c>
      <c r="H2125" s="7" t="str">
        <f>HYPERLINK("http://www.ensembl.org/Mus_musculus/Gene/Summary?db=core;g=ENSMUSG00000095762","ENSMUSG00000095762")</f>
        <v>ENSMUSG00000095762</v>
      </c>
      <c r="I2125" s="7" t="str">
        <f>HYPERLINK("http://www.informatics.jax.org/marker/MGI:3646886","MGI:3646886")</f>
        <v>MGI:3646886</v>
      </c>
      <c r="J2125" s="4" t="s">
        <v>1043</v>
      </c>
    </row>
    <row r="2126" spans="1:10" x14ac:dyDescent="0.25">
      <c r="A2126" s="2">
        <v>1691.6711481251</v>
      </c>
      <c r="B2126" s="3">
        <v>0.61763293907707295</v>
      </c>
      <c r="C2126" s="5">
        <v>7.9779071845684202E-34</v>
      </c>
      <c r="D2126" s="6">
        <v>1.32651205463482E-32</v>
      </c>
      <c r="E2126" s="3" t="s">
        <v>2389</v>
      </c>
      <c r="F2126" s="3" t="s">
        <v>2390</v>
      </c>
      <c r="G2126" s="3">
        <v>16186</v>
      </c>
      <c r="H2126" s="7" t="str">
        <f>HYPERLINK("http://www.ensembl.org/Mus_musculus/Gene/Summary?db=core;g=ENSMUSG00000031304","ENSMUSG00000031304")</f>
        <v>ENSMUSG00000031304</v>
      </c>
      <c r="I2126" s="7" t="str">
        <f>HYPERLINK("http://www.informatics.jax.org/marker/MGI:96551","MGI:96551")</f>
        <v>MGI:96551</v>
      </c>
      <c r="J2126" s="4" t="s">
        <v>12</v>
      </c>
    </row>
    <row r="2127" spans="1:10" x14ac:dyDescent="0.25">
      <c r="A2127" s="2">
        <v>21.3319342901105</v>
      </c>
      <c r="B2127" s="3">
        <v>0.61701017454048901</v>
      </c>
      <c r="C2127" s="3">
        <v>1.05667009951134E-2</v>
      </c>
      <c r="D2127" s="4">
        <v>2.6154806529890402E-2</v>
      </c>
      <c r="E2127" s="3" t="s">
        <v>15939</v>
      </c>
      <c r="F2127" s="3" t="s">
        <v>15940</v>
      </c>
      <c r="G2127" s="3">
        <v>11722</v>
      </c>
      <c r="H2127" s="7" t="str">
        <f>HYPERLINK("http://www.ensembl.org/Mus_musculus/Gene/Summary?db=core;g=ENSMUSG00000074264","ENSMUSG00000074264")</f>
        <v>ENSMUSG00000074264</v>
      </c>
      <c r="I2127" s="7" t="str">
        <f>HYPERLINK("http://www.informatics.jax.org/marker/MGI:88019","MGI:88019")</f>
        <v>MGI:88019</v>
      </c>
      <c r="J2127" s="4" t="s">
        <v>12</v>
      </c>
    </row>
    <row r="2128" spans="1:10" x14ac:dyDescent="0.25">
      <c r="A2128" s="2">
        <v>371.57202566222202</v>
      </c>
      <c r="B2128" s="3">
        <v>0.61686457808933703</v>
      </c>
      <c r="C2128" s="5">
        <v>1.7518219360468201E-19</v>
      </c>
      <c r="D2128" s="6">
        <v>1.70260860418153E-18</v>
      </c>
      <c r="E2128" s="3" t="s">
        <v>4075</v>
      </c>
      <c r="F2128" s="3" t="s">
        <v>4076</v>
      </c>
      <c r="G2128" s="3">
        <v>321000</v>
      </c>
      <c r="H2128" s="7" t="str">
        <f>HYPERLINK("http://www.ensembl.org/Mus_musculus/Gene/Summary?db=core;g=ENSMUSG00000056260","ENSMUSG00000056260")</f>
        <v>ENSMUSG00000056260</v>
      </c>
      <c r="I2128" s="7" t="str">
        <f>HYPERLINK("http://www.informatics.jax.org/marker/MGI:2445214","MGI:2445214")</f>
        <v>MGI:2445214</v>
      </c>
      <c r="J2128" s="4" t="s">
        <v>12</v>
      </c>
    </row>
    <row r="2129" spans="1:10" x14ac:dyDescent="0.25">
      <c r="A2129" s="2">
        <v>1879.5231913382499</v>
      </c>
      <c r="B2129" s="3">
        <v>0.61682791757968303</v>
      </c>
      <c r="C2129" s="5">
        <v>1.5022294441601099E-32</v>
      </c>
      <c r="D2129" s="6">
        <v>2.3737151152914501E-31</v>
      </c>
      <c r="E2129" s="3" t="s">
        <v>2513</v>
      </c>
      <c r="F2129" s="3" t="s">
        <v>2514</v>
      </c>
      <c r="G2129" s="3">
        <v>224647</v>
      </c>
      <c r="H2129" s="7" t="str">
        <f>HYPERLINK("http://www.ensembl.org/Mus_musculus/Gene/Summary?db=core;g=ENSMUSG00000056692","ENSMUSG00000056692")</f>
        <v>ENSMUSG00000056692</v>
      </c>
      <c r="I2129" s="7" t="str">
        <f>HYPERLINK("http://www.informatics.jax.org/marker/MGI:106281","MGI:106281")</f>
        <v>MGI:106281</v>
      </c>
      <c r="J2129" s="4" t="s">
        <v>12</v>
      </c>
    </row>
    <row r="2130" spans="1:10" x14ac:dyDescent="0.25">
      <c r="A2130" s="2">
        <v>684.99137461399096</v>
      </c>
      <c r="B2130" s="3">
        <v>0.61653502458057396</v>
      </c>
      <c r="C2130" s="5">
        <v>2.66522491505214E-5</v>
      </c>
      <c r="D2130" s="6">
        <v>9.5717055772770305E-5</v>
      </c>
      <c r="E2130" s="3" t="s">
        <v>10994</v>
      </c>
      <c r="F2130" s="3" t="s">
        <v>10995</v>
      </c>
      <c r="G2130" s="3">
        <v>22190</v>
      </c>
      <c r="H2130" s="7" t="str">
        <f>HYPERLINK("http://www.ensembl.org/Mus_musculus/Gene/Summary?db=core;g=ENSMUSG00000008348","ENSMUSG00000008348")</f>
        <v>ENSMUSG00000008348</v>
      </c>
      <c r="I2130" s="7" t="str">
        <f>HYPERLINK("http://www.informatics.jax.org/marker/MGI:98889","MGI:98889")</f>
        <v>MGI:98889</v>
      </c>
      <c r="J2130" s="4" t="s">
        <v>12</v>
      </c>
    </row>
    <row r="2131" spans="1:10" x14ac:dyDescent="0.25">
      <c r="A2131" s="2">
        <v>3022.9589369123</v>
      </c>
      <c r="B2131" s="3">
        <v>0.61574961494033198</v>
      </c>
      <c r="C2131" s="5">
        <v>8.4564241718016699E-18</v>
      </c>
      <c r="D2131" s="6">
        <v>7.5559893370153597E-17</v>
      </c>
      <c r="E2131" s="3" t="s">
        <v>4431</v>
      </c>
      <c r="F2131" s="3" t="s">
        <v>4432</v>
      </c>
      <c r="G2131" s="3">
        <v>226977</v>
      </c>
      <c r="H2131" s="7" t="str">
        <f>HYPERLINK("http://www.ensembl.org/Mus_musculus/Gene/Summary?db=core;g=ENSMUSG00000037351","ENSMUSG00000037351")</f>
        <v>ENSMUSG00000037351</v>
      </c>
      <c r="I2131" s="7" t="str">
        <f>HYPERLINK("http://www.informatics.jax.org/marker/MGI:1917446","MGI:1917446")</f>
        <v>MGI:1917446</v>
      </c>
      <c r="J2131" s="4" t="s">
        <v>12</v>
      </c>
    </row>
    <row r="2132" spans="1:10" x14ac:dyDescent="0.25">
      <c r="A2132" s="2">
        <v>2257.63778213671</v>
      </c>
      <c r="B2132" s="3">
        <v>0.61562154071594599</v>
      </c>
      <c r="C2132" s="5">
        <v>1.8331283319812101E-17</v>
      </c>
      <c r="D2132" s="6">
        <v>1.60449581476563E-16</v>
      </c>
      <c r="E2132" s="3" t="s">
        <v>4523</v>
      </c>
      <c r="F2132" s="3" t="s">
        <v>4524</v>
      </c>
      <c r="G2132" s="3">
        <v>224902</v>
      </c>
      <c r="H2132" s="7" t="str">
        <f>HYPERLINK("http://www.ensembl.org/Mus_musculus/Gene/Summary?db=core;g=ENSMUSG00000042625","ENSMUSG00000042625")</f>
        <v>ENSMUSG00000042625</v>
      </c>
      <c r="I2132" s="7" t="str">
        <f>HYPERLINK("http://www.informatics.jax.org/marker/MGI:2146808","MGI:2146808")</f>
        <v>MGI:2146808</v>
      </c>
      <c r="J2132" s="4" t="s">
        <v>12</v>
      </c>
    </row>
    <row r="2133" spans="1:10" x14ac:dyDescent="0.25">
      <c r="A2133" s="2">
        <v>127.597926408769</v>
      </c>
      <c r="B2133" s="3">
        <v>0.61560101292922498</v>
      </c>
      <c r="C2133" s="5">
        <v>5.1329406561271499E-8</v>
      </c>
      <c r="D2133" s="6">
        <v>2.3844897464976999E-7</v>
      </c>
      <c r="E2133" s="3" t="s">
        <v>8507</v>
      </c>
      <c r="F2133" s="3" t="s">
        <v>8508</v>
      </c>
      <c r="G2133" s="3">
        <v>233060</v>
      </c>
      <c r="H2133" s="7" t="str">
        <f>HYPERLINK("http://www.ensembl.org/Mus_musculus/Gene/Summary?db=core;g=ENSMUSG00000074220","ENSMUSG00000074220")</f>
        <v>ENSMUSG00000074220</v>
      </c>
      <c r="I2133" s="7" t="str">
        <f>HYPERLINK("http://www.informatics.jax.org/marker/MGI:3588204","MGI:3588204")</f>
        <v>MGI:3588204</v>
      </c>
      <c r="J2133" s="4" t="s">
        <v>12</v>
      </c>
    </row>
    <row r="2134" spans="1:10" x14ac:dyDescent="0.25">
      <c r="A2134" s="2">
        <v>187.43946516837099</v>
      </c>
      <c r="B2134" s="3">
        <v>0.61398467852111505</v>
      </c>
      <c r="C2134" s="5">
        <v>4.8991967495470504E-10</v>
      </c>
      <c r="D2134" s="6">
        <v>2.6859093661681402E-9</v>
      </c>
      <c r="E2134" s="3" t="s">
        <v>7212</v>
      </c>
      <c r="F2134" s="3" t="s">
        <v>7213</v>
      </c>
      <c r="G2134" s="3">
        <v>327942</v>
      </c>
      <c r="H2134" s="7" t="str">
        <f>HYPERLINK("http://www.ensembl.org/Mus_musculus/Gene/Summary?db=core;g=ENSMUSG00000014245","ENSMUSG00000014245")</f>
        <v>ENSMUSG00000014245</v>
      </c>
      <c r="I2134" s="7" t="str">
        <f>HYPERLINK("http://www.informatics.jax.org/marker/MGI:2681271","MGI:2681271")</f>
        <v>MGI:2681271</v>
      </c>
      <c r="J2134" s="4" t="s">
        <v>12</v>
      </c>
    </row>
    <row r="2135" spans="1:10" x14ac:dyDescent="0.25">
      <c r="A2135" s="2">
        <v>183.006433771221</v>
      </c>
      <c r="B2135" s="3">
        <v>0.61357396003438103</v>
      </c>
      <c r="C2135" s="5">
        <v>1.7188816457240101E-8</v>
      </c>
      <c r="D2135" s="6">
        <v>8.3426891591625698E-8</v>
      </c>
      <c r="E2135" s="3" t="s">
        <v>8143</v>
      </c>
      <c r="F2135" s="3" t="s">
        <v>8144</v>
      </c>
      <c r="G2135" s="3" t="s">
        <v>83</v>
      </c>
      <c r="H2135" s="7" t="str">
        <f>HYPERLINK("http://www.ensembl.org/Mus_musculus/Gene/Summary?db=core;g=ENSMUSG00000118181","ENSMUSG00000118181")</f>
        <v>ENSMUSG00000118181</v>
      </c>
      <c r="I2135" s="3" t="s">
        <v>83</v>
      </c>
      <c r="J2135" s="4" t="s">
        <v>331</v>
      </c>
    </row>
    <row r="2136" spans="1:10" x14ac:dyDescent="0.25">
      <c r="A2136" s="2">
        <v>616.554209636466</v>
      </c>
      <c r="B2136" s="3">
        <v>0.61327633027696304</v>
      </c>
      <c r="C2136" s="5">
        <v>3.6501268269571002E-20</v>
      </c>
      <c r="D2136" s="6">
        <v>3.6464286234850002E-19</v>
      </c>
      <c r="E2136" s="3" t="s">
        <v>3966</v>
      </c>
      <c r="F2136" s="3" t="s">
        <v>3967</v>
      </c>
      <c r="G2136" s="3">
        <v>320351</v>
      </c>
      <c r="H2136" s="7" t="str">
        <f>HYPERLINK("http://www.ensembl.org/Mus_musculus/Gene/Summary?db=core;g=ENSMUSG00000046675","ENSMUSG00000046675")</f>
        <v>ENSMUSG00000046675</v>
      </c>
      <c r="I2136" s="7" t="str">
        <f>HYPERLINK("http://www.informatics.jax.org/marker/MGI:2443862","MGI:2443862")</f>
        <v>MGI:2443862</v>
      </c>
      <c r="J2136" s="4" t="s">
        <v>12</v>
      </c>
    </row>
    <row r="2137" spans="1:10" x14ac:dyDescent="0.25">
      <c r="A2137" s="2">
        <v>1015.7609308132299</v>
      </c>
      <c r="B2137" s="3">
        <v>0.61310782483155501</v>
      </c>
      <c r="C2137" s="5">
        <v>1.02263359701539E-20</v>
      </c>
      <c r="D2137" s="6">
        <v>1.04814628550641E-19</v>
      </c>
      <c r="E2137" s="3" t="s">
        <v>3866</v>
      </c>
      <c r="F2137" s="3" t="s">
        <v>3867</v>
      </c>
      <c r="G2137" s="3">
        <v>72007</v>
      </c>
      <c r="H2137" s="7" t="str">
        <f>HYPERLINK("http://www.ensembl.org/Mus_musculus/Gene/Summary?db=core;g=ENSMUSG00000039286","ENSMUSG00000039286")</f>
        <v>ENSMUSG00000039286</v>
      </c>
      <c r="I2137" s="7" t="str">
        <f>HYPERLINK("http://www.informatics.jax.org/marker/MGI:1919257","MGI:1919257")</f>
        <v>MGI:1919257</v>
      </c>
      <c r="J2137" s="4" t="s">
        <v>12</v>
      </c>
    </row>
    <row r="2138" spans="1:10" x14ac:dyDescent="0.25">
      <c r="A2138" s="2">
        <v>5045.7064334243196</v>
      </c>
      <c r="B2138" s="3">
        <v>0.612129750244086</v>
      </c>
      <c r="C2138" s="5">
        <v>2.6667313579241899E-16</v>
      </c>
      <c r="D2138" s="6">
        <v>2.1838846502601701E-15</v>
      </c>
      <c r="E2138" s="3" t="s">
        <v>4833</v>
      </c>
      <c r="F2138" s="3" t="s">
        <v>4834</v>
      </c>
      <c r="G2138" s="3">
        <v>70247</v>
      </c>
      <c r="H2138" s="7" t="str">
        <f>HYPERLINK("http://www.ensembl.org/Mus_musculus/Gene/Summary?db=core;g=ENSMUSG00000026229","ENSMUSG00000026229")</f>
        <v>ENSMUSG00000026229</v>
      </c>
      <c r="I2138" s="7" t="str">
        <f>HYPERLINK("http://www.informatics.jax.org/marker/MGI:1917497","MGI:1917497")</f>
        <v>MGI:1917497</v>
      </c>
      <c r="J2138" s="4" t="s">
        <v>12</v>
      </c>
    </row>
    <row r="2139" spans="1:10" x14ac:dyDescent="0.25">
      <c r="A2139" s="2">
        <v>2020.9971575828499</v>
      </c>
      <c r="B2139" s="3">
        <v>0.61037708619843201</v>
      </c>
      <c r="C2139" s="5">
        <v>4.9651690687970801E-29</v>
      </c>
      <c r="D2139" s="6">
        <v>7.0746484130547998E-28</v>
      </c>
      <c r="E2139" s="3" t="s">
        <v>2786</v>
      </c>
      <c r="F2139" s="3" t="s">
        <v>2787</v>
      </c>
      <c r="G2139" s="3">
        <v>103583</v>
      </c>
      <c r="H2139" s="7" t="str">
        <f>HYPERLINK("http://www.ensembl.org/Mus_musculus/Gene/Summary?db=core;g=ENSMUSG00000020271","ENSMUSG00000020271")</f>
        <v>ENSMUSG00000020271</v>
      </c>
      <c r="I2139" s="7" t="str">
        <f>HYPERLINK("http://www.informatics.jax.org/marker/MGI:2144023","MGI:2144023")</f>
        <v>MGI:2144023</v>
      </c>
      <c r="J2139" s="4" t="s">
        <v>12</v>
      </c>
    </row>
    <row r="2140" spans="1:10" x14ac:dyDescent="0.25">
      <c r="A2140" s="2">
        <v>6999.8048997060196</v>
      </c>
      <c r="B2140" s="3">
        <v>0.60988118083709597</v>
      </c>
      <c r="C2140" s="5">
        <v>6.8771572415611697E-28</v>
      </c>
      <c r="D2140" s="6">
        <v>9.3400510195307399E-27</v>
      </c>
      <c r="E2140" s="3" t="s">
        <v>2922</v>
      </c>
      <c r="F2140" s="3" t="s">
        <v>2923</v>
      </c>
      <c r="G2140" s="3">
        <v>20867</v>
      </c>
      <c r="H2140" s="7" t="str">
        <f>HYPERLINK("http://www.ensembl.org/Mus_musculus/Gene/Summary?db=core;g=ENSMUSG00000024966","ENSMUSG00000024966")</f>
        <v>ENSMUSG00000024966</v>
      </c>
      <c r="I2140" s="7" t="str">
        <f>HYPERLINK("http://www.informatics.jax.org/marker/MGI:109130","MGI:109130")</f>
        <v>MGI:109130</v>
      </c>
      <c r="J2140" s="4" t="s">
        <v>12</v>
      </c>
    </row>
    <row r="2141" spans="1:10" x14ac:dyDescent="0.25">
      <c r="A2141" s="2">
        <v>2215.2439836634699</v>
      </c>
      <c r="B2141" s="3">
        <v>0.60882599719611796</v>
      </c>
      <c r="C2141" s="5">
        <v>2.3313596348752201E-41</v>
      </c>
      <c r="D2141" s="6">
        <v>4.9065541088302397E-40</v>
      </c>
      <c r="E2141" s="3" t="s">
        <v>1891</v>
      </c>
      <c r="F2141" s="3" t="s">
        <v>1892</v>
      </c>
      <c r="G2141" s="3">
        <v>11774</v>
      </c>
      <c r="H2141" s="7" t="str">
        <f>HYPERLINK("http://www.ensembl.org/Mus_musculus/Gene/Summary?db=core;g=ENSMUSG00000021686","ENSMUSG00000021686")</f>
        <v>ENSMUSG00000021686</v>
      </c>
      <c r="I2141" s="7" t="str">
        <f>HYPERLINK("http://www.informatics.jax.org/marker/MGI:1333879","MGI:1333879")</f>
        <v>MGI:1333879</v>
      </c>
      <c r="J2141" s="4" t="s">
        <v>12</v>
      </c>
    </row>
    <row r="2142" spans="1:10" x14ac:dyDescent="0.25">
      <c r="A2142" s="2">
        <v>3629.4731233408002</v>
      </c>
      <c r="B2142" s="3">
        <v>0.60852461062074703</v>
      </c>
      <c r="C2142" s="5">
        <v>6.6394880936247296E-7</v>
      </c>
      <c r="D2142" s="6">
        <v>2.8006567958562502E-6</v>
      </c>
      <c r="E2142" s="3" t="s">
        <v>9365</v>
      </c>
      <c r="F2142" s="3" t="s">
        <v>9366</v>
      </c>
      <c r="G2142" s="3">
        <v>54375</v>
      </c>
      <c r="H2142" s="7" t="str">
        <f>HYPERLINK("http://www.ensembl.org/Mus_musculus/Gene/Summary?db=core;g=ENSMUSG00000037458","ENSMUSG00000037458")</f>
        <v>ENSMUSG00000037458</v>
      </c>
      <c r="I2142" s="7" t="str">
        <f>HYPERLINK("http://www.informatics.jax.org/marker/MGI:1859169","MGI:1859169")</f>
        <v>MGI:1859169</v>
      </c>
      <c r="J2142" s="4" t="s">
        <v>12</v>
      </c>
    </row>
    <row r="2143" spans="1:10" x14ac:dyDescent="0.25">
      <c r="A2143" s="2">
        <v>939.86048306456701</v>
      </c>
      <c r="B2143" s="3">
        <v>0.60718280373424305</v>
      </c>
      <c r="C2143" s="5">
        <v>7.5631156782287095E-36</v>
      </c>
      <c r="D2143" s="6">
        <v>1.35094783672708E-34</v>
      </c>
      <c r="E2143" s="3" t="s">
        <v>2225</v>
      </c>
      <c r="F2143" s="3" t="s">
        <v>2226</v>
      </c>
      <c r="G2143" s="3">
        <v>353258</v>
      </c>
      <c r="H2143" s="7" t="str">
        <f>HYPERLINK("http://www.ensembl.org/Mus_musculus/Gene/Summary?db=core;g=ENSMUSG00000019814","ENSMUSG00000019814")</f>
        <v>ENSMUSG00000019814</v>
      </c>
      <c r="I2143" s="7" t="str">
        <f>HYPERLINK("http://www.informatics.jax.org/marker/MGI:2447810","MGI:2447810")</f>
        <v>MGI:2447810</v>
      </c>
      <c r="J2143" s="4" t="s">
        <v>12</v>
      </c>
    </row>
    <row r="2144" spans="1:10" x14ac:dyDescent="0.25">
      <c r="A2144" s="2">
        <v>39.073112728748697</v>
      </c>
      <c r="B2144" s="3">
        <v>0.60668280405631403</v>
      </c>
      <c r="C2144" s="3">
        <v>7.4174070849380401E-3</v>
      </c>
      <c r="D2144" s="4">
        <v>1.89176497303386E-2</v>
      </c>
      <c r="E2144" s="3" t="s">
        <v>15469</v>
      </c>
      <c r="F2144" s="3" t="s">
        <v>15470</v>
      </c>
      <c r="G2144" s="3">
        <v>16161</v>
      </c>
      <c r="H2144" s="7" t="str">
        <f>HYPERLINK("http://www.ensembl.org/Mus_musculus/Gene/Summary?db=core;g=ENSMUSG00000000791","ENSMUSG00000000791")</f>
        <v>ENSMUSG00000000791</v>
      </c>
      <c r="I2144" s="7" t="str">
        <f>HYPERLINK("http://www.informatics.jax.org/marker/MGI:104579","MGI:104579")</f>
        <v>MGI:104579</v>
      </c>
      <c r="J2144" s="4" t="s">
        <v>12</v>
      </c>
    </row>
    <row r="2145" spans="1:10" x14ac:dyDescent="0.25">
      <c r="A2145" s="2">
        <v>2707.1144305878902</v>
      </c>
      <c r="B2145" s="3">
        <v>0.60540925906218102</v>
      </c>
      <c r="C2145" s="5">
        <v>4.3578147961143202E-12</v>
      </c>
      <c r="D2145" s="6">
        <v>2.8074520672778299E-11</v>
      </c>
      <c r="E2145" s="3" t="s">
        <v>6139</v>
      </c>
      <c r="F2145" s="3" t="s">
        <v>6140</v>
      </c>
      <c r="G2145" s="3">
        <v>13014</v>
      </c>
      <c r="H2145" s="7" t="str">
        <f>HYPERLINK("http://www.ensembl.org/Mus_musculus/Gene/Summary?db=core;g=ENSMUSG00000005054","ENSMUSG00000005054")</f>
        <v>ENSMUSG00000005054</v>
      </c>
      <c r="I2145" s="7" t="str">
        <f>HYPERLINK("http://www.informatics.jax.org/marker/MGI:109514","MGI:109514")</f>
        <v>MGI:109514</v>
      </c>
      <c r="J2145" s="4" t="s">
        <v>12</v>
      </c>
    </row>
    <row r="2146" spans="1:10" x14ac:dyDescent="0.25">
      <c r="A2146" s="2">
        <v>117.946072988542</v>
      </c>
      <c r="B2146" s="3">
        <v>0.60528809464178601</v>
      </c>
      <c r="C2146" s="5">
        <v>4.2361143444978702E-7</v>
      </c>
      <c r="D2146" s="6">
        <v>1.8203568287970801E-6</v>
      </c>
      <c r="E2146" s="3" t="s">
        <v>9193</v>
      </c>
      <c r="F2146" s="3" t="s">
        <v>9194</v>
      </c>
      <c r="G2146" s="3">
        <v>12293</v>
      </c>
      <c r="H2146" s="7" t="str">
        <f>HYPERLINK("http://www.ensembl.org/Mus_musculus/Gene/Summary?db=core;g=ENSMUSG00000040118","ENSMUSG00000040118")</f>
        <v>ENSMUSG00000040118</v>
      </c>
      <c r="I2146" s="7" t="str">
        <f>HYPERLINK("http://www.informatics.jax.org/marker/MGI:88295","MGI:88295")</f>
        <v>MGI:88295</v>
      </c>
      <c r="J2146" s="4" t="s">
        <v>12</v>
      </c>
    </row>
    <row r="2147" spans="1:10" x14ac:dyDescent="0.25">
      <c r="A2147" s="2">
        <v>1402.00370975755</v>
      </c>
      <c r="B2147" s="3">
        <v>0.60502635558594897</v>
      </c>
      <c r="C2147" s="5">
        <v>4.5163605558539197E-26</v>
      </c>
      <c r="D2147" s="6">
        <v>5.7533998812299302E-25</v>
      </c>
      <c r="E2147" s="3" t="s">
        <v>3114</v>
      </c>
      <c r="F2147" s="3" t="s">
        <v>3115</v>
      </c>
      <c r="G2147" s="3">
        <v>80889</v>
      </c>
      <c r="H2147" s="7" t="str">
        <f>HYPERLINK("http://www.ensembl.org/Mus_musculus/Gene/Summary?db=core;g=ENSMUSG00000070462","ENSMUSG00000070462")</f>
        <v>ENSMUSG00000070462</v>
      </c>
      <c r="I2147" s="7" t="str">
        <f>HYPERLINK("http://www.informatics.jax.org/marker/MGI:1891420","MGI:1891420")</f>
        <v>MGI:1891420</v>
      </c>
      <c r="J2147" s="4" t="s">
        <v>12</v>
      </c>
    </row>
    <row r="2148" spans="1:10" x14ac:dyDescent="0.25">
      <c r="A2148" s="2">
        <v>689.77451961394604</v>
      </c>
      <c r="B2148" s="3">
        <v>0.60499317125006002</v>
      </c>
      <c r="C2148" s="5">
        <v>2.25371976016E-14</v>
      </c>
      <c r="D2148" s="6">
        <v>1.6758428985805101E-13</v>
      </c>
      <c r="E2148" s="3" t="s">
        <v>5321</v>
      </c>
      <c r="F2148" s="3" t="s">
        <v>5322</v>
      </c>
      <c r="G2148" s="3">
        <v>229731</v>
      </c>
      <c r="H2148" s="7" t="str">
        <f>HYPERLINK("http://www.ensembl.org/Mus_musculus/Gene/Summary?db=core;g=ENSMUSG00000040322","ENSMUSG00000040322")</f>
        <v>ENSMUSG00000040322</v>
      </c>
      <c r="I2148" s="7" t="str">
        <f>HYPERLINK("http://www.informatics.jax.org/marker/MGI:1917160","MGI:1917160")</f>
        <v>MGI:1917160</v>
      </c>
      <c r="J2148" s="4" t="s">
        <v>12</v>
      </c>
    </row>
    <row r="2149" spans="1:10" x14ac:dyDescent="0.25">
      <c r="A2149" s="2">
        <v>2305.1449202357599</v>
      </c>
      <c r="B2149" s="3">
        <v>0.60430806965144002</v>
      </c>
      <c r="C2149" s="5">
        <v>1.3639851462927701E-15</v>
      </c>
      <c r="D2149" s="6">
        <v>1.0811007670777101E-14</v>
      </c>
      <c r="E2149" s="3" t="s">
        <v>4993</v>
      </c>
      <c r="F2149" s="3" t="s">
        <v>4994</v>
      </c>
      <c r="G2149" s="3">
        <v>243780</v>
      </c>
      <c r="H2149" s="7" t="str">
        <f>HYPERLINK("http://www.ensembl.org/Mus_musculus/Gene/Summary?db=core;g=ENSMUSG00000037172","ENSMUSG00000037172")</f>
        <v>ENSMUSG00000037172</v>
      </c>
      <c r="I2149" s="7" t="str">
        <f>HYPERLINK("http://www.informatics.jax.org/marker/MGI:2444256","MGI:2444256")</f>
        <v>MGI:2444256</v>
      </c>
      <c r="J2149" s="4" t="s">
        <v>12</v>
      </c>
    </row>
    <row r="2150" spans="1:10" x14ac:dyDescent="0.25">
      <c r="A2150" s="2">
        <v>1812.4230145696299</v>
      </c>
      <c r="B2150" s="3">
        <v>0.60392305375524602</v>
      </c>
      <c r="C2150" s="5">
        <v>3.2106551998662402E-25</v>
      </c>
      <c r="D2150" s="6">
        <v>3.9423487261122199E-24</v>
      </c>
      <c r="E2150" s="3" t="s">
        <v>3232</v>
      </c>
      <c r="F2150" s="3" t="s">
        <v>3233</v>
      </c>
      <c r="G2150" s="3">
        <v>14270</v>
      </c>
      <c r="H2150" s="7" t="str">
        <f>HYPERLINK("http://www.ensembl.org/Mus_musculus/Gene/Summary?db=core;g=ENSMUSG00000026425","ENSMUSG00000026425")</f>
        <v>ENSMUSG00000026425</v>
      </c>
      <c r="I2150" s="7" t="str">
        <f>HYPERLINK("http://www.informatics.jax.org/marker/MGI:109605","MGI:109605")</f>
        <v>MGI:109605</v>
      </c>
      <c r="J2150" s="4" t="s">
        <v>12</v>
      </c>
    </row>
    <row r="2151" spans="1:10" x14ac:dyDescent="0.25">
      <c r="A2151" s="2">
        <v>73.9466091985623</v>
      </c>
      <c r="B2151" s="3">
        <v>0.60358954059058201</v>
      </c>
      <c r="C2151" s="3">
        <v>3.9428630091094198E-4</v>
      </c>
      <c r="D2151" s="4">
        <v>1.2294949168190699E-3</v>
      </c>
      <c r="E2151" s="3" t="s">
        <v>12661</v>
      </c>
      <c r="F2151" s="3" t="s">
        <v>12662</v>
      </c>
      <c r="G2151" s="3">
        <v>11858</v>
      </c>
      <c r="H2151" s="7" t="str">
        <f>HYPERLINK("http://www.ensembl.org/Mus_musculus/Gene/Summary?db=core;g=ENSMUSG00000001313","ENSMUSG00000001313")</f>
        <v>ENSMUSG00000001313</v>
      </c>
      <c r="I2151" s="7" t="str">
        <f>HYPERLINK("http://www.informatics.jax.org/marker/MGI:1338755","MGI:1338755")</f>
        <v>MGI:1338755</v>
      </c>
      <c r="J2151" s="4" t="s">
        <v>12</v>
      </c>
    </row>
    <row r="2152" spans="1:10" x14ac:dyDescent="0.25">
      <c r="A2152" s="2">
        <v>880.88292879676396</v>
      </c>
      <c r="B2152" s="3">
        <v>0.60140419799468303</v>
      </c>
      <c r="C2152" s="5">
        <v>1.7424924534533601E-22</v>
      </c>
      <c r="D2152" s="6">
        <v>1.9326181767210499E-21</v>
      </c>
      <c r="E2152" s="3" t="s">
        <v>3574</v>
      </c>
      <c r="F2152" s="3" t="s">
        <v>3575</v>
      </c>
      <c r="G2152" s="3">
        <v>108841</v>
      </c>
      <c r="H2152" s="7" t="str">
        <f>HYPERLINK("http://www.ensembl.org/Mus_musculus/Gene/Summary?db=core;g=ENSMUSG00000008435","ENSMUSG00000008435")</f>
        <v>ENSMUSG00000008435</v>
      </c>
      <c r="I2152" s="7" t="str">
        <f>HYPERLINK("http://www.informatics.jax.org/marker/MGI:1918732","MGI:1918732")</f>
        <v>MGI:1918732</v>
      </c>
      <c r="J2152" s="4" t="s">
        <v>12</v>
      </c>
    </row>
    <row r="2153" spans="1:10" x14ac:dyDescent="0.25">
      <c r="A2153" s="2">
        <v>1810.9573136367201</v>
      </c>
      <c r="B2153" s="3">
        <v>0.60125290923028596</v>
      </c>
      <c r="C2153" s="5">
        <v>4.3778059594421398E-48</v>
      </c>
      <c r="D2153" s="6">
        <v>1.1255584552829101E-46</v>
      </c>
      <c r="E2153" s="3" t="s">
        <v>1550</v>
      </c>
      <c r="F2153" s="3" t="s">
        <v>1551</v>
      </c>
      <c r="G2153" s="3">
        <v>235442</v>
      </c>
      <c r="H2153" s="7" t="str">
        <f>HYPERLINK("http://www.ensembl.org/Mus_musculus/Gene/Summary?db=core;g=ENSMUSG00000036943","ENSMUSG00000036943")</f>
        <v>ENSMUSG00000036943</v>
      </c>
      <c r="I2153" s="7" t="str">
        <f>HYPERLINK("http://www.informatics.jax.org/marker/MGI:2442982","MGI:2442982")</f>
        <v>MGI:2442982</v>
      </c>
      <c r="J2153" s="4" t="s">
        <v>12</v>
      </c>
    </row>
    <row r="2154" spans="1:10" x14ac:dyDescent="0.25">
      <c r="A2154" s="2">
        <v>384.14451665726398</v>
      </c>
      <c r="B2154" s="3">
        <v>0.60124026818728604</v>
      </c>
      <c r="C2154" s="5">
        <v>2.5474006645423001E-11</v>
      </c>
      <c r="D2154" s="6">
        <v>1.54949849181907E-10</v>
      </c>
      <c r="E2154" s="3" t="s">
        <v>6501</v>
      </c>
      <c r="F2154" s="3" t="s">
        <v>6502</v>
      </c>
      <c r="G2154" s="3">
        <v>69085</v>
      </c>
      <c r="H2154" s="7" t="str">
        <f>HYPERLINK("http://www.ensembl.org/Mus_musculus/Gene/Summary?db=core;g=ENSMUSG00000021621","ENSMUSG00000021621")</f>
        <v>ENSMUSG00000021621</v>
      </c>
      <c r="I2154" s="7" t="str">
        <f>HYPERLINK("http://www.informatics.jax.org/marker/MGI:1916335","MGI:1916335")</f>
        <v>MGI:1916335</v>
      </c>
      <c r="J2154" s="4" t="s">
        <v>12</v>
      </c>
    </row>
    <row r="2155" spans="1:10" x14ac:dyDescent="0.25">
      <c r="A2155" s="2">
        <v>445.23299628804801</v>
      </c>
      <c r="B2155" s="3">
        <v>0.59985557606283801</v>
      </c>
      <c r="C2155" s="5">
        <v>5.3108833368804203E-20</v>
      </c>
      <c r="D2155" s="6">
        <v>5.2575612150241904E-19</v>
      </c>
      <c r="E2155" s="3" t="s">
        <v>4002</v>
      </c>
      <c r="F2155" s="3" t="s">
        <v>4003</v>
      </c>
      <c r="G2155" s="3">
        <v>207615</v>
      </c>
      <c r="H2155" s="7" t="str">
        <f>HYPERLINK("http://www.ensembl.org/Mus_musculus/Gene/Summary?db=core;g=ENSMUSG00000021147","ENSMUSG00000021147")</f>
        <v>ENSMUSG00000021147</v>
      </c>
      <c r="I2155" s="7" t="str">
        <f>HYPERLINK("http://www.informatics.jax.org/marker/MGI:1920393","MGI:1920393")</f>
        <v>MGI:1920393</v>
      </c>
      <c r="J2155" s="4" t="s">
        <v>12</v>
      </c>
    </row>
    <row r="2156" spans="1:10" x14ac:dyDescent="0.25">
      <c r="A2156" s="2">
        <v>383.97256731063499</v>
      </c>
      <c r="B2156" s="3">
        <v>0.59977297982681399</v>
      </c>
      <c r="C2156" s="5">
        <v>2.8190759499703599E-11</v>
      </c>
      <c r="D2156" s="6">
        <v>1.7089510523644499E-10</v>
      </c>
      <c r="E2156" s="3" t="s">
        <v>6523</v>
      </c>
      <c r="F2156" s="3" t="s">
        <v>6524</v>
      </c>
      <c r="G2156" s="3">
        <v>66254</v>
      </c>
      <c r="H2156" s="7" t="str">
        <f>HYPERLINK("http://www.ensembl.org/Mus_musculus/Gene/Summary?db=core;g=ENSMUSG00000021692","ENSMUSG00000021692")</f>
        <v>ENSMUSG00000021692</v>
      </c>
      <c r="I2156" s="7" t="str">
        <f>HYPERLINK("http://www.informatics.jax.org/marker/MGI:1913504","MGI:1913504")</f>
        <v>MGI:1913504</v>
      </c>
      <c r="J2156" s="4" t="s">
        <v>12</v>
      </c>
    </row>
    <row r="2157" spans="1:10" x14ac:dyDescent="0.25">
      <c r="A2157" s="2">
        <v>1728.39964266162</v>
      </c>
      <c r="B2157" s="3">
        <v>0.59935490113870504</v>
      </c>
      <c r="C2157" s="5">
        <v>4.3040930160380302E-38</v>
      </c>
      <c r="D2157" s="6">
        <v>8.2324650122473405E-37</v>
      </c>
      <c r="E2157" s="3" t="s">
        <v>2079</v>
      </c>
      <c r="F2157" s="3" t="s">
        <v>2080</v>
      </c>
      <c r="G2157" s="3">
        <v>14701</v>
      </c>
      <c r="H2157" s="7" t="str">
        <f>HYPERLINK("http://www.ensembl.org/Mus_musculus/Gene/Summary?db=core;g=ENSMUSG00000036402","ENSMUSG00000036402")</f>
        <v>ENSMUSG00000036402</v>
      </c>
      <c r="I2157" s="7" t="str">
        <f>HYPERLINK("http://www.informatics.jax.org/marker/MGI:1336171","MGI:1336171")</f>
        <v>MGI:1336171</v>
      </c>
      <c r="J2157" s="4" t="s">
        <v>12</v>
      </c>
    </row>
    <row r="2158" spans="1:10" x14ac:dyDescent="0.25">
      <c r="A2158" s="2">
        <v>796.93700423112796</v>
      </c>
      <c r="B2158" s="3">
        <v>0.59843620735766001</v>
      </c>
      <c r="C2158" s="5">
        <v>9.5763701040709193E-16</v>
      </c>
      <c r="D2158" s="6">
        <v>7.6116895788907106E-15</v>
      </c>
      <c r="E2158" s="3" t="s">
        <v>4979</v>
      </c>
      <c r="F2158" s="3" t="s">
        <v>4980</v>
      </c>
      <c r="G2158" s="3">
        <v>21428</v>
      </c>
      <c r="H2158" s="7" t="str">
        <f>HYPERLINK("http://www.ensembl.org/Mus_musculus/Gene/Summary?db=core;g=ENSMUSG00000017801","ENSMUSG00000017801")</f>
        <v>ENSMUSG00000017801</v>
      </c>
      <c r="I2158" s="7" t="str">
        <f>HYPERLINK("http://www.informatics.jax.org/marker/MGI:108398","MGI:108398")</f>
        <v>MGI:108398</v>
      </c>
      <c r="J2158" s="4" t="s">
        <v>12</v>
      </c>
    </row>
    <row r="2159" spans="1:10" x14ac:dyDescent="0.25">
      <c r="A2159" s="2">
        <v>742.94750183810595</v>
      </c>
      <c r="B2159" s="3">
        <v>0.59764632944248197</v>
      </c>
      <c r="C2159" s="5">
        <v>1.85414185141017E-11</v>
      </c>
      <c r="D2159" s="6">
        <v>1.13905536790681E-10</v>
      </c>
      <c r="E2159" s="3" t="s">
        <v>6437</v>
      </c>
      <c r="F2159" s="3" t="s">
        <v>6438</v>
      </c>
      <c r="G2159" s="3">
        <v>214150</v>
      </c>
      <c r="H2159" s="7" t="str">
        <f>HYPERLINK("http://www.ensembl.org/Mus_musculus/Gene/Summary?db=core;g=ENSMUSG00000028842","ENSMUSG00000028842")</f>
        <v>ENSMUSG00000028842</v>
      </c>
      <c r="I2159" s="7" t="str">
        <f>HYPERLINK("http://www.informatics.jax.org/marker/MGI:2446634","MGI:2446634")</f>
        <v>MGI:2446634</v>
      </c>
      <c r="J2159" s="4" t="s">
        <v>12</v>
      </c>
    </row>
    <row r="2160" spans="1:10" x14ac:dyDescent="0.25">
      <c r="A2160" s="2">
        <v>385.76037602536297</v>
      </c>
      <c r="B2160" s="3">
        <v>0.59730566247638095</v>
      </c>
      <c r="C2160" s="5">
        <v>2.1543172788620399E-13</v>
      </c>
      <c r="D2160" s="6">
        <v>1.50917004401987E-12</v>
      </c>
      <c r="E2160" s="3" t="s">
        <v>5647</v>
      </c>
      <c r="F2160" s="3" t="s">
        <v>5648</v>
      </c>
      <c r="G2160" s="3">
        <v>69126</v>
      </c>
      <c r="H2160" s="7" t="str">
        <f>HYPERLINK("http://www.ensembl.org/Mus_musculus/Gene/Summary?db=core;g=ENSMUSG00000078784","ENSMUSG00000078784")</f>
        <v>ENSMUSG00000078784</v>
      </c>
      <c r="I2160" s="7" t="str">
        <f>HYPERLINK("http://www.informatics.jax.org/marker/MGI:1916376","MGI:1916376")</f>
        <v>MGI:1916376</v>
      </c>
      <c r="J2160" s="4" t="s">
        <v>12</v>
      </c>
    </row>
    <row r="2161" spans="1:10" x14ac:dyDescent="0.25">
      <c r="A2161" s="2">
        <v>63.695935743570203</v>
      </c>
      <c r="B2161" s="3">
        <v>0.59724089959431903</v>
      </c>
      <c r="C2161" s="3">
        <v>1.20733546131095E-4</v>
      </c>
      <c r="D2161" s="4">
        <v>4.0285372753049098E-4</v>
      </c>
      <c r="E2161" s="3" t="s">
        <v>11831</v>
      </c>
      <c r="F2161" s="3" t="s">
        <v>11832</v>
      </c>
      <c r="G2161" s="3" t="s">
        <v>83</v>
      </c>
      <c r="H2161" s="7" t="str">
        <f>HYPERLINK("http://www.ensembl.org/Mus_musculus/Gene/Summary?db=core;g=ENSMUSG00000098265","ENSMUSG00000098265")</f>
        <v>ENSMUSG00000098265</v>
      </c>
      <c r="I2161" s="7" t="str">
        <f>HYPERLINK("http://www.informatics.jax.org/marker/MGI:5530899","MGI:5530899")</f>
        <v>MGI:5530899</v>
      </c>
      <c r="J2161" s="4" t="s">
        <v>9951</v>
      </c>
    </row>
    <row r="2162" spans="1:10" x14ac:dyDescent="0.25">
      <c r="A2162" s="2">
        <v>2344.4929367612899</v>
      </c>
      <c r="B2162" s="3">
        <v>0.59687006641155704</v>
      </c>
      <c r="C2162" s="5">
        <v>1.9238775929621999E-20</v>
      </c>
      <c r="D2162" s="6">
        <v>1.9475803969822699E-19</v>
      </c>
      <c r="E2162" s="3" t="s">
        <v>3914</v>
      </c>
      <c r="F2162" s="3" t="s">
        <v>3915</v>
      </c>
      <c r="G2162" s="3">
        <v>14248</v>
      </c>
      <c r="H2162" s="7" t="str">
        <f>HYPERLINK("http://www.ensembl.org/Mus_musculus/Gene/Summary?db=core;g=ENSMUSG00000002812","ENSMUSG00000002812")</f>
        <v>ENSMUSG00000002812</v>
      </c>
      <c r="I2162" s="7" t="str">
        <f>HYPERLINK("http://www.informatics.jax.org/marker/MGI:1342286","MGI:1342286")</f>
        <v>MGI:1342286</v>
      </c>
      <c r="J2162" s="4" t="s">
        <v>12</v>
      </c>
    </row>
    <row r="2163" spans="1:10" x14ac:dyDescent="0.25">
      <c r="A2163" s="2">
        <v>1551.29168552596</v>
      </c>
      <c r="B2163" s="3">
        <v>0.59676766663286596</v>
      </c>
      <c r="C2163" s="5">
        <v>2.77994249468703E-15</v>
      </c>
      <c r="D2163" s="6">
        <v>2.1659607267968499E-14</v>
      </c>
      <c r="E2163" s="3" t="s">
        <v>5079</v>
      </c>
      <c r="F2163" s="3" t="s">
        <v>5080</v>
      </c>
      <c r="G2163" s="3">
        <v>56205</v>
      </c>
      <c r="H2163" s="7" t="str">
        <f>HYPERLINK("http://www.ensembl.org/Mus_musculus/Gene/Summary?db=core;g=ENSMUSG00000038619","ENSMUSG00000038619")</f>
        <v>ENSMUSG00000038619</v>
      </c>
      <c r="I2163" s="7" t="str">
        <f>HYPERLINK("http://www.informatics.jax.org/marker/MGI:1891189","MGI:1891189")</f>
        <v>MGI:1891189</v>
      </c>
      <c r="J2163" s="4" t="s">
        <v>12</v>
      </c>
    </row>
    <row r="2164" spans="1:10" x14ac:dyDescent="0.25">
      <c r="A2164" s="2">
        <v>1121.75789391434</v>
      </c>
      <c r="B2164" s="3">
        <v>0.59559080650431895</v>
      </c>
      <c r="C2164" s="5">
        <v>2.7418356143965498E-16</v>
      </c>
      <c r="D2164" s="6">
        <v>2.2425963631646599E-15</v>
      </c>
      <c r="E2164" s="3" t="s">
        <v>4839</v>
      </c>
      <c r="F2164" s="3" t="s">
        <v>4840</v>
      </c>
      <c r="G2164" s="3">
        <v>212391</v>
      </c>
      <c r="H2164" s="7" t="str">
        <f>HYPERLINK("http://www.ensembl.org/Mus_musculus/Gene/Summary?db=core;g=ENSMUSG00000025019","ENSMUSG00000025019")</f>
        <v>ENSMUSG00000025019</v>
      </c>
      <c r="I2164" s="7" t="str">
        <f>HYPERLINK("http://www.informatics.jax.org/marker/MGI:2443930","MGI:2443930")</f>
        <v>MGI:2443930</v>
      </c>
      <c r="J2164" s="4" t="s">
        <v>12</v>
      </c>
    </row>
    <row r="2165" spans="1:10" x14ac:dyDescent="0.25">
      <c r="A2165" s="2">
        <v>4258.5608250176801</v>
      </c>
      <c r="B2165" s="3">
        <v>0.595285203239734</v>
      </c>
      <c r="C2165" s="5">
        <v>7.3279984968787703E-21</v>
      </c>
      <c r="D2165" s="6">
        <v>7.5303871995023105E-20</v>
      </c>
      <c r="E2165" s="3" t="s">
        <v>3856</v>
      </c>
      <c r="F2165" s="3" t="s">
        <v>3857</v>
      </c>
      <c r="G2165" s="3">
        <v>329679</v>
      </c>
      <c r="H2165" s="7" t="str">
        <f>HYPERLINK("http://www.ensembl.org/Mus_musculus/Gene/Summary?db=core;g=ENSMUSG00000061175","ENSMUSG00000061175")</f>
        <v>ENSMUSG00000061175</v>
      </c>
      <c r="I2165" s="7" t="str">
        <f>HYPERLINK("http://www.informatics.jax.org/marker/MGI:2683054","MGI:2683054")</f>
        <v>MGI:2683054</v>
      </c>
      <c r="J2165" s="4" t="s">
        <v>12</v>
      </c>
    </row>
    <row r="2166" spans="1:10" x14ac:dyDescent="0.25">
      <c r="A2166" s="2">
        <v>6304.2844633412396</v>
      </c>
      <c r="B2166" s="3">
        <v>0.59521078052177101</v>
      </c>
      <c r="C2166" s="5">
        <v>8.0848858100830399E-74</v>
      </c>
      <c r="D2166" s="6">
        <v>3.9858487043709399E-72</v>
      </c>
      <c r="E2166" s="3" t="s">
        <v>812</v>
      </c>
      <c r="F2166" s="3" t="s">
        <v>813</v>
      </c>
      <c r="G2166" s="3">
        <v>109934</v>
      </c>
      <c r="H2166" s="7" t="str">
        <f>HYPERLINK("http://www.ensembl.org/Mus_musculus/Gene/Summary?db=core;g=ENSMUSG00000017631","ENSMUSG00000017631")</f>
        <v>ENSMUSG00000017631</v>
      </c>
      <c r="I2166" s="7" t="str">
        <f>HYPERLINK("http://www.informatics.jax.org/marker/MGI:107771","MGI:107771")</f>
        <v>MGI:107771</v>
      </c>
      <c r="J2166" s="4" t="s">
        <v>12</v>
      </c>
    </row>
    <row r="2167" spans="1:10" x14ac:dyDescent="0.25">
      <c r="A2167" s="2">
        <v>3059.0201782187801</v>
      </c>
      <c r="B2167" s="3">
        <v>0.59479719611232595</v>
      </c>
      <c r="C2167" s="5">
        <v>1.5268566300466701E-21</v>
      </c>
      <c r="D2167" s="6">
        <v>1.6161896266516601E-20</v>
      </c>
      <c r="E2167" s="3" t="s">
        <v>3744</v>
      </c>
      <c r="F2167" s="3" t="s">
        <v>3745</v>
      </c>
      <c r="G2167" s="3">
        <v>26443</v>
      </c>
      <c r="H2167" s="7" t="str">
        <f>HYPERLINK("http://www.ensembl.org/Mus_musculus/Gene/Summary?db=core;g=ENSMUSG00000021024","ENSMUSG00000021024")</f>
        <v>ENSMUSG00000021024</v>
      </c>
      <c r="I2167" s="7" t="str">
        <f>HYPERLINK("http://www.informatics.jax.org/marker/MGI:1347006","MGI:1347006")</f>
        <v>MGI:1347006</v>
      </c>
      <c r="J2167" s="4" t="s">
        <v>12</v>
      </c>
    </row>
    <row r="2168" spans="1:10" x14ac:dyDescent="0.25">
      <c r="A2168" s="2">
        <v>701.28133988754405</v>
      </c>
      <c r="B2168" s="3">
        <v>0.59456302331315003</v>
      </c>
      <c r="C2168" s="5">
        <v>1.7701796008695699E-23</v>
      </c>
      <c r="D2168" s="6">
        <v>2.0378249695941601E-22</v>
      </c>
      <c r="E2168" s="3" t="s">
        <v>3444</v>
      </c>
      <c r="F2168" s="3" t="s">
        <v>3445</v>
      </c>
      <c r="G2168" s="3">
        <v>110599566</v>
      </c>
      <c r="H2168" s="7" t="str">
        <f>HYPERLINK("http://www.ensembl.org/Mus_musculus/Gene/Summary?db=core;g=ENSMUSG00000115219","ENSMUSG00000115219")</f>
        <v>ENSMUSG00000115219</v>
      </c>
      <c r="I2168" s="7" t="str">
        <f>HYPERLINK("http://www.informatics.jax.org/marker/MGI:5903914","MGI:5903914")</f>
        <v>MGI:5903914</v>
      </c>
      <c r="J2168" s="4" t="s">
        <v>12</v>
      </c>
    </row>
    <row r="2169" spans="1:10" x14ac:dyDescent="0.25">
      <c r="A2169" s="2">
        <v>1659.87439827717</v>
      </c>
      <c r="B2169" s="3">
        <v>0.59405432766959299</v>
      </c>
      <c r="C2169" s="5">
        <v>4.3630105793398303E-17</v>
      </c>
      <c r="D2169" s="6">
        <v>3.73918160037294E-16</v>
      </c>
      <c r="E2169" s="3" t="s">
        <v>4619</v>
      </c>
      <c r="F2169" s="3" t="s">
        <v>4620</v>
      </c>
      <c r="G2169" s="3">
        <v>52392</v>
      </c>
      <c r="H2169" s="7" t="str">
        <f>HYPERLINK("http://www.ensembl.org/Mus_musculus/Gene/Summary?db=core;g=ENSMUSG00000044768","ENSMUSG00000044768")</f>
        <v>ENSMUSG00000044768</v>
      </c>
      <c r="I2169" s="7" t="str">
        <f>HYPERLINK("http://www.informatics.jax.org/marker/MGI:1277184","MGI:1277184")</f>
        <v>MGI:1277184</v>
      </c>
      <c r="J2169" s="4" t="s">
        <v>12</v>
      </c>
    </row>
    <row r="2170" spans="1:10" x14ac:dyDescent="0.25">
      <c r="A2170" s="2">
        <v>3099.56066807348</v>
      </c>
      <c r="B2170" s="3">
        <v>0.59400651072850397</v>
      </c>
      <c r="C2170" s="5">
        <v>5.9753530399347601E-37</v>
      </c>
      <c r="D2170" s="6">
        <v>1.1105934208059701E-35</v>
      </c>
      <c r="E2170" s="3" t="s">
        <v>2139</v>
      </c>
      <c r="F2170" s="3" t="s">
        <v>2140</v>
      </c>
      <c r="G2170" s="3">
        <v>52874</v>
      </c>
      <c r="H2170" s="7" t="str">
        <f>HYPERLINK("http://www.ensembl.org/Mus_musculus/Gene/Summary?db=core;g=ENSMUSG00000041360","ENSMUSG00000041360")</f>
        <v>ENSMUSG00000041360</v>
      </c>
      <c r="I2170" s="7" t="str">
        <f>HYPERLINK("http://www.informatics.jax.org/marker/MGI:106253","MGI:106253")</f>
        <v>MGI:106253</v>
      </c>
      <c r="J2170" s="4" t="s">
        <v>12</v>
      </c>
    </row>
    <row r="2171" spans="1:10" x14ac:dyDescent="0.25">
      <c r="A2171" s="2">
        <v>109.29845236480899</v>
      </c>
      <c r="B2171" s="3">
        <v>0.59363555863739703</v>
      </c>
      <c r="C2171" s="5">
        <v>1.35457649540094E-6</v>
      </c>
      <c r="D2171" s="6">
        <v>5.52362458422386E-6</v>
      </c>
      <c r="E2171" s="3" t="s">
        <v>9687</v>
      </c>
      <c r="F2171" s="3" t="s">
        <v>9688</v>
      </c>
      <c r="G2171" s="3" t="s">
        <v>83</v>
      </c>
      <c r="H2171" s="7" t="str">
        <f>HYPERLINK("http://www.ensembl.org/Mus_musculus/Gene/Summary?db=core;g=ENSMUSG00000084350","ENSMUSG00000084350")</f>
        <v>ENSMUSG00000084350</v>
      </c>
      <c r="I2171" s="7" t="str">
        <f>HYPERLINK("http://www.informatics.jax.org/marker/MGI:1917255","MGI:1917255")</f>
        <v>MGI:1917255</v>
      </c>
      <c r="J2171" s="4" t="s">
        <v>2683</v>
      </c>
    </row>
    <row r="2172" spans="1:10" x14ac:dyDescent="0.25">
      <c r="A2172" s="2">
        <v>926.01401877293097</v>
      </c>
      <c r="B2172" s="3">
        <v>0.593498810999745</v>
      </c>
      <c r="C2172" s="5">
        <v>3.2697454159662799E-25</v>
      </c>
      <c r="D2172" s="6">
        <v>4.0099116668442198E-24</v>
      </c>
      <c r="E2172" s="3" t="s">
        <v>3236</v>
      </c>
      <c r="F2172" s="3" t="s">
        <v>3237</v>
      </c>
      <c r="G2172" s="3">
        <v>78244</v>
      </c>
      <c r="H2172" s="7" t="str">
        <f>HYPERLINK("http://www.ensembl.org/Mus_musculus/Gene/Summary?db=core;g=ENSMUSG00000044224","ENSMUSG00000044224")</f>
        <v>ENSMUSG00000044224</v>
      </c>
      <c r="I2172" s="7" t="str">
        <f>HYPERLINK("http://www.informatics.jax.org/marker/MGI:1925371","MGI:1925371")</f>
        <v>MGI:1925371</v>
      </c>
      <c r="J2172" s="4" t="s">
        <v>12</v>
      </c>
    </row>
    <row r="2173" spans="1:10" x14ac:dyDescent="0.25">
      <c r="A2173" s="2">
        <v>985.24175467022405</v>
      </c>
      <c r="B2173" s="3">
        <v>0.59345340635225097</v>
      </c>
      <c r="C2173" s="5">
        <v>1.8226352815895E-22</v>
      </c>
      <c r="D2173" s="6">
        <v>2.01696788737065E-21</v>
      </c>
      <c r="E2173" s="3" t="s">
        <v>3582</v>
      </c>
      <c r="F2173" s="3" t="s">
        <v>3583</v>
      </c>
      <c r="G2173" s="3">
        <v>140499</v>
      </c>
      <c r="H2173" s="7" t="str">
        <f>HYPERLINK("http://www.ensembl.org/Mus_musculus/Gene/Summary?db=core;g=ENSMUSG00000023286","ENSMUSG00000023286")</f>
        <v>ENSMUSG00000023286</v>
      </c>
      <c r="I2173" s="7" t="str">
        <f>HYPERLINK("http://www.informatics.jax.org/marker/MGI:2153608","MGI:2153608")</f>
        <v>MGI:2153608</v>
      </c>
      <c r="J2173" s="4" t="s">
        <v>12</v>
      </c>
    </row>
    <row r="2174" spans="1:10" x14ac:dyDescent="0.25">
      <c r="A2174" s="2">
        <v>3039.9677797985701</v>
      </c>
      <c r="B2174" s="3">
        <v>0.59320175673262598</v>
      </c>
      <c r="C2174" s="5">
        <v>2.4901093040847001E-25</v>
      </c>
      <c r="D2174" s="6">
        <v>3.07097907920889E-24</v>
      </c>
      <c r="E2174" s="3" t="s">
        <v>3218</v>
      </c>
      <c r="F2174" s="3" t="s">
        <v>3219</v>
      </c>
      <c r="G2174" s="3">
        <v>16573</v>
      </c>
      <c r="H2174" s="7" t="str">
        <f>HYPERLINK("http://www.ensembl.org/Mus_musculus/Gene/Summary?db=core;g=ENSMUSG00000006740","ENSMUSG00000006740")</f>
        <v>ENSMUSG00000006740</v>
      </c>
      <c r="I2174" s="7" t="str">
        <f>HYPERLINK("http://www.informatics.jax.org/marker/MGI:1098268","MGI:1098268")</f>
        <v>MGI:1098268</v>
      </c>
      <c r="J2174" s="4" t="s">
        <v>12</v>
      </c>
    </row>
    <row r="2175" spans="1:10" x14ac:dyDescent="0.25">
      <c r="A2175" s="2">
        <v>774.62878010108102</v>
      </c>
      <c r="B2175" s="3">
        <v>0.59249030771996503</v>
      </c>
      <c r="C2175" s="5">
        <v>2.3127806969379599E-14</v>
      </c>
      <c r="D2175" s="6">
        <v>1.7178167737708699E-13</v>
      </c>
      <c r="E2175" s="3" t="s">
        <v>5327</v>
      </c>
      <c r="F2175" s="3" t="s">
        <v>5328</v>
      </c>
      <c r="G2175" s="3">
        <v>68050</v>
      </c>
      <c r="H2175" s="7" t="str">
        <f>HYPERLINK("http://www.ensembl.org/Mus_musculus/Gene/Summary?db=core;g=ENSMUSG00000023075","ENSMUSG00000023075")</f>
        <v>ENSMUSG00000023075</v>
      </c>
      <c r="I2175" s="7" t="str">
        <f>HYPERLINK("http://www.informatics.jax.org/marker/MGI:1915300","MGI:1915300")</f>
        <v>MGI:1915300</v>
      </c>
      <c r="J2175" s="4" t="s">
        <v>12</v>
      </c>
    </row>
    <row r="2176" spans="1:10" x14ac:dyDescent="0.25">
      <c r="A2176" s="2">
        <v>7127.0906332064096</v>
      </c>
      <c r="B2176" s="3">
        <v>0.592194843487022</v>
      </c>
      <c r="C2176" s="5">
        <v>6.5933040966963498E-12</v>
      </c>
      <c r="D2176" s="6">
        <v>4.1833962930132602E-11</v>
      </c>
      <c r="E2176" s="3" t="s">
        <v>6233</v>
      </c>
      <c r="F2176" s="3" t="s">
        <v>6234</v>
      </c>
      <c r="G2176" s="3">
        <v>17886</v>
      </c>
      <c r="H2176" s="7" t="str">
        <f>HYPERLINK("http://www.ensembl.org/Mus_musculus/Gene/Summary?db=core;g=ENSMUSG00000022443","ENSMUSG00000022443")</f>
        <v>ENSMUSG00000022443</v>
      </c>
      <c r="I2176" s="7" t="str">
        <f>HYPERLINK("http://www.informatics.jax.org/marker/MGI:107717","MGI:107717")</f>
        <v>MGI:107717</v>
      </c>
      <c r="J2176" s="4" t="s">
        <v>12</v>
      </c>
    </row>
    <row r="2177" spans="1:10" x14ac:dyDescent="0.25">
      <c r="A2177" s="2">
        <v>22.259664778998399</v>
      </c>
      <c r="B2177" s="3">
        <v>0.59198947341439001</v>
      </c>
      <c r="C2177" s="3">
        <v>1.6810280540780299E-2</v>
      </c>
      <c r="D2177" s="4">
        <v>3.9901147359676002E-2</v>
      </c>
      <c r="E2177" s="3" t="s">
        <v>16620</v>
      </c>
      <c r="F2177" s="3" t="s">
        <v>16621</v>
      </c>
      <c r="G2177" s="3" t="s">
        <v>83</v>
      </c>
      <c r="H2177" s="7" t="str">
        <f>HYPERLINK("http://www.ensembl.org/Mus_musculus/Gene/Summary?db=core;g=ENSMUSG00000087368","ENSMUSG00000087368")</f>
        <v>ENSMUSG00000087368</v>
      </c>
      <c r="I2177" s="7" t="str">
        <f>HYPERLINK("http://www.informatics.jax.org/marker/MGI:3584520","MGI:3584520")</f>
        <v>MGI:3584520</v>
      </c>
      <c r="J2177" s="4" t="s">
        <v>331</v>
      </c>
    </row>
    <row r="2178" spans="1:10" x14ac:dyDescent="0.25">
      <c r="A2178" s="2">
        <v>24.754659105263698</v>
      </c>
      <c r="B2178" s="3">
        <v>0.59145693610204397</v>
      </c>
      <c r="C2178" s="3">
        <v>2.05912510468663E-2</v>
      </c>
      <c r="D2178" s="4">
        <v>4.78956676862708E-2</v>
      </c>
      <c r="E2178" s="3" t="s">
        <v>16960</v>
      </c>
      <c r="F2178" s="3" t="s">
        <v>16961</v>
      </c>
      <c r="G2178" s="3">
        <v>93838</v>
      </c>
      <c r="H2178" s="7" t="str">
        <f>HYPERLINK("http://www.ensembl.org/Mus_musculus/Gene/Summary?db=core;g=ENSMUSG00000009145","ENSMUSG00000009145")</f>
        <v>ENSMUSG00000009145</v>
      </c>
      <c r="I2178" s="7" t="str">
        <f>HYPERLINK("http://www.informatics.jax.org/marker/MGI:2136388","MGI:2136388")</f>
        <v>MGI:2136388</v>
      </c>
      <c r="J2178" s="4" t="s">
        <v>12</v>
      </c>
    </row>
    <row r="2179" spans="1:10" x14ac:dyDescent="0.25">
      <c r="A2179" s="2">
        <v>431.96903122253002</v>
      </c>
      <c r="B2179" s="3">
        <v>0.59140211194541403</v>
      </c>
      <c r="C2179" s="5">
        <v>1.2037693574085901E-9</v>
      </c>
      <c r="D2179" s="6">
        <v>6.4209715250466096E-9</v>
      </c>
      <c r="E2179" s="3" t="s">
        <v>7412</v>
      </c>
      <c r="F2179" s="3" t="s">
        <v>7413</v>
      </c>
      <c r="G2179" s="3">
        <v>19300</v>
      </c>
      <c r="H2179" s="7" t="str">
        <f>HYPERLINK("http://www.ensembl.org/Mus_musculus/Gene/Summary?db=core;g=ENSMUSG00000021240","ENSMUSG00000021240")</f>
        <v>ENSMUSG00000021240</v>
      </c>
      <c r="I2179" s="7" t="str">
        <f>HYPERLINK("http://www.informatics.jax.org/marker/MGI:1349217","MGI:1349217")</f>
        <v>MGI:1349217</v>
      </c>
      <c r="J2179" s="4" t="s">
        <v>12</v>
      </c>
    </row>
    <row r="2180" spans="1:10" x14ac:dyDescent="0.25">
      <c r="A2180" s="2">
        <v>635.34504893925896</v>
      </c>
      <c r="B2180" s="3">
        <v>0.59050561616875896</v>
      </c>
      <c r="C2180" s="5">
        <v>2.29698855495151E-15</v>
      </c>
      <c r="D2180" s="6">
        <v>1.7967716899501701E-14</v>
      </c>
      <c r="E2180" s="3" t="s">
        <v>5059</v>
      </c>
      <c r="F2180" s="3" t="s">
        <v>5060</v>
      </c>
      <c r="G2180" s="3">
        <v>20524</v>
      </c>
      <c r="H2180" s="7" t="str">
        <f>HYPERLINK("http://www.ensembl.org/Mus_musculus/Gene/Summary?db=core;g=ENSMUSG00000022404","ENSMUSG00000022404")</f>
        <v>ENSMUSG00000022404</v>
      </c>
      <c r="I2180" s="7" t="str">
        <f>HYPERLINK("http://www.informatics.jax.org/marker/MGI:1342248","MGI:1342248")</f>
        <v>MGI:1342248</v>
      </c>
      <c r="J2180" s="4" t="s">
        <v>12</v>
      </c>
    </row>
    <row r="2181" spans="1:10" x14ac:dyDescent="0.25">
      <c r="A2181" s="2">
        <v>152.60978864839799</v>
      </c>
      <c r="B2181" s="3">
        <v>0.58996907564170997</v>
      </c>
      <c r="C2181" s="3">
        <v>2.0313396905960601E-4</v>
      </c>
      <c r="D2181" s="4">
        <v>6.5906578970968005E-4</v>
      </c>
      <c r="E2181" s="3" t="s">
        <v>12167</v>
      </c>
      <c r="F2181" s="3" t="s">
        <v>12168</v>
      </c>
      <c r="G2181" s="3">
        <v>24074</v>
      </c>
      <c r="H2181" s="7" t="str">
        <f>HYPERLINK("http://www.ensembl.org/Mus_musculus/Gene/Summary?db=core;g=ENSMUSG00000051316","ENSMUSG00000051316")</f>
        <v>ENSMUSG00000051316</v>
      </c>
      <c r="I2181" s="7" t="str">
        <f>HYPERLINK("http://www.informatics.jax.org/marker/MGI:1346348","MGI:1346348")</f>
        <v>MGI:1346348</v>
      </c>
      <c r="J2181" s="4" t="s">
        <v>12</v>
      </c>
    </row>
    <row r="2182" spans="1:10" x14ac:dyDescent="0.25">
      <c r="A2182" s="2">
        <v>479.587144855975</v>
      </c>
      <c r="B2182" s="3">
        <v>0.58980550423244604</v>
      </c>
      <c r="C2182" s="5">
        <v>2.16718901850111E-11</v>
      </c>
      <c r="D2182" s="6">
        <v>1.32641115595413E-10</v>
      </c>
      <c r="E2182" s="3" t="s">
        <v>6461</v>
      </c>
      <c r="F2182" s="3" t="s">
        <v>6462</v>
      </c>
      <c r="G2182" s="3">
        <v>226751</v>
      </c>
      <c r="H2182" s="7" t="str">
        <f>HYPERLINK("http://www.ensembl.org/Mus_musculus/Gene/Summary?db=core;g=ENSMUSG00000026490","ENSMUSG00000026490")</f>
        <v>ENSMUSG00000026490</v>
      </c>
      <c r="I2182" s="7" t="str">
        <f>HYPERLINK("http://www.informatics.jax.org/marker/MGI:2441841","MGI:2441841")</f>
        <v>MGI:2441841</v>
      </c>
      <c r="J2182" s="4" t="s">
        <v>12</v>
      </c>
    </row>
    <row r="2183" spans="1:10" x14ac:dyDescent="0.25">
      <c r="A2183" s="2">
        <v>113.809392496912</v>
      </c>
      <c r="B2183" s="3">
        <v>0.58955504384564095</v>
      </c>
      <c r="C2183" s="5">
        <v>5.1307074130403098E-6</v>
      </c>
      <c r="D2183" s="6">
        <v>1.9780557220949101E-5</v>
      </c>
      <c r="E2183" s="3" t="s">
        <v>10244</v>
      </c>
      <c r="F2183" s="3" t="s">
        <v>10245</v>
      </c>
      <c r="G2183" s="3">
        <v>268527</v>
      </c>
      <c r="H2183" s="7" t="str">
        <f>HYPERLINK("http://www.ensembl.org/Mus_musculus/Gene/Summary?db=core;g=ENSMUSG00000036523","ENSMUSG00000036523")</f>
        <v>ENSMUSG00000036523</v>
      </c>
      <c r="I2183" s="7" t="str">
        <f>HYPERLINK("http://www.informatics.jax.org/marker/MGI:2149712","MGI:2149712")</f>
        <v>MGI:2149712</v>
      </c>
      <c r="J2183" s="4" t="s">
        <v>12</v>
      </c>
    </row>
    <row r="2184" spans="1:10" x14ac:dyDescent="0.25">
      <c r="A2184" s="2">
        <v>1797.1344239970399</v>
      </c>
      <c r="B2184" s="3">
        <v>0.589282865234801</v>
      </c>
      <c r="C2184" s="5">
        <v>5.2131653678263599E-44</v>
      </c>
      <c r="D2184" s="6">
        <v>1.18573957385854E-42</v>
      </c>
      <c r="E2184" s="3" t="s">
        <v>1750</v>
      </c>
      <c r="F2184" s="3" t="s">
        <v>1751</v>
      </c>
      <c r="G2184" s="3">
        <v>75624</v>
      </c>
      <c r="H2184" s="7" t="str">
        <f>HYPERLINK("http://www.ensembl.org/Mus_musculus/Gene/Summary?db=core;g=ENSMUSG00000005813","ENSMUSG00000005813")</f>
        <v>ENSMUSG00000005813</v>
      </c>
      <c r="I2184" s="7" t="str">
        <f>HYPERLINK("http://www.informatics.jax.org/marker/MGI:1922874","MGI:1922874")</f>
        <v>MGI:1922874</v>
      </c>
      <c r="J2184" s="4" t="s">
        <v>12</v>
      </c>
    </row>
    <row r="2185" spans="1:10" x14ac:dyDescent="0.25">
      <c r="A2185" s="2">
        <v>28.8789014712831</v>
      </c>
      <c r="B2185" s="3">
        <v>0.58920843191119898</v>
      </c>
      <c r="C2185" s="3">
        <v>1.09635107311408E-2</v>
      </c>
      <c r="D2185" s="4">
        <v>2.70318119052383E-2</v>
      </c>
      <c r="E2185" s="3" t="s">
        <v>16001</v>
      </c>
      <c r="F2185" s="3" t="s">
        <v>16002</v>
      </c>
      <c r="G2185" s="3" t="s">
        <v>83</v>
      </c>
      <c r="H2185" s="7" t="str">
        <f>HYPERLINK("http://www.ensembl.org/Mus_musculus/Gene/Summary?db=core;g=ENSMUSG00000095334","ENSMUSG00000095334")</f>
        <v>ENSMUSG00000095334</v>
      </c>
      <c r="I2185" s="7" t="str">
        <f>HYPERLINK("http://www.informatics.jax.org/marker/MGI:5439453","MGI:5439453")</f>
        <v>MGI:5439453</v>
      </c>
      <c r="J2185" s="4" t="s">
        <v>331</v>
      </c>
    </row>
    <row r="2186" spans="1:10" x14ac:dyDescent="0.25">
      <c r="A2186" s="2">
        <v>733.04382781258698</v>
      </c>
      <c r="B2186" s="3">
        <v>0.58876631024855097</v>
      </c>
      <c r="C2186" s="5">
        <v>1.5234298973965E-5</v>
      </c>
      <c r="D2186" s="6">
        <v>5.6111388824540401E-5</v>
      </c>
      <c r="E2186" s="3" t="s">
        <v>10720</v>
      </c>
      <c r="F2186" s="3" t="s">
        <v>10721</v>
      </c>
      <c r="G2186" s="3">
        <v>241452</v>
      </c>
      <c r="H2186" s="7" t="str">
        <f>HYPERLINK("http://www.ensembl.org/Mus_musculus/Gene/Summary?db=core;g=ENSMUSG00000027068","ENSMUSG00000027068")</f>
        <v>ENSMUSG00000027068</v>
      </c>
      <c r="I2186" s="7" t="str">
        <f>HYPERLINK("http://www.informatics.jax.org/marker/MGI:2442798","MGI:2442798")</f>
        <v>MGI:2442798</v>
      </c>
      <c r="J2186" s="4" t="s">
        <v>12</v>
      </c>
    </row>
    <row r="2187" spans="1:10" x14ac:dyDescent="0.25">
      <c r="A2187" s="2">
        <v>155.51524310059199</v>
      </c>
      <c r="B2187" s="3">
        <v>0.58838589460565605</v>
      </c>
      <c r="C2187" s="5">
        <v>2.7738574809387202E-6</v>
      </c>
      <c r="D2187" s="6">
        <v>1.09906508989575E-5</v>
      </c>
      <c r="E2187" s="3" t="s">
        <v>9970</v>
      </c>
      <c r="F2187" s="3" t="s">
        <v>9971</v>
      </c>
      <c r="G2187" s="3">
        <v>224132</v>
      </c>
      <c r="H2187" s="7" t="str">
        <f>HYPERLINK("http://www.ensembl.org/Mus_musculus/Gene/Summary?db=core;g=ENSMUSG00000022848","ENSMUSG00000022848")</f>
        <v>ENSMUSG00000022848</v>
      </c>
      <c r="I2187" s="7" t="str">
        <f>HYPERLINK("http://www.informatics.jax.org/marker/MGI:2387188","MGI:2387188")</f>
        <v>MGI:2387188</v>
      </c>
      <c r="J2187" s="4" t="s">
        <v>12</v>
      </c>
    </row>
    <row r="2188" spans="1:10" x14ac:dyDescent="0.25">
      <c r="A2188" s="2">
        <v>31.948495475792701</v>
      </c>
      <c r="B2188" s="3">
        <v>0.58761424883619895</v>
      </c>
      <c r="C2188" s="3">
        <v>1.4420630090713499E-2</v>
      </c>
      <c r="D2188" s="4">
        <v>3.4713723802352402E-2</v>
      </c>
      <c r="E2188" s="3" t="s">
        <v>16389</v>
      </c>
      <c r="F2188" s="3" t="s">
        <v>16390</v>
      </c>
      <c r="G2188" s="3" t="s">
        <v>83</v>
      </c>
      <c r="H2188" s="7" t="str">
        <f>HYPERLINK("http://www.ensembl.org/Mus_musculus/Gene/Summary?db=core;g=ENSMUSG00000097207","ENSMUSG00000097207")</f>
        <v>ENSMUSG00000097207</v>
      </c>
      <c r="I2188" s="7" t="str">
        <f>HYPERLINK("http://www.informatics.jax.org/marker/MGI:2444595","MGI:2444595")</f>
        <v>MGI:2444595</v>
      </c>
      <c r="J2188" s="4" t="s">
        <v>939</v>
      </c>
    </row>
    <row r="2189" spans="1:10" x14ac:dyDescent="0.25">
      <c r="A2189" s="2">
        <v>1358.43227100893</v>
      </c>
      <c r="B2189" s="3">
        <v>0.58743779912864602</v>
      </c>
      <c r="C2189" s="5">
        <v>4.7721446892420101E-11</v>
      </c>
      <c r="D2189" s="6">
        <v>2.8456816834548698E-10</v>
      </c>
      <c r="E2189" s="3" t="s">
        <v>6631</v>
      </c>
      <c r="F2189" s="3" t="s">
        <v>6632</v>
      </c>
      <c r="G2189" s="3">
        <v>229227</v>
      </c>
      <c r="H2189" s="7" t="str">
        <f>HYPERLINK("http://www.ensembl.org/Mus_musculus/Gene/Summary?db=core;g=ENSMUSG00000037270","ENSMUSG00000037270")</f>
        <v>ENSMUSG00000037270</v>
      </c>
      <c r="I2189" s="7" t="str">
        <f>HYPERLINK("http://www.informatics.jax.org/marker/MGI:2444631","MGI:2444631")</f>
        <v>MGI:2444631</v>
      </c>
      <c r="J2189" s="4" t="s">
        <v>12</v>
      </c>
    </row>
    <row r="2190" spans="1:10" x14ac:dyDescent="0.25">
      <c r="A2190" s="2">
        <v>1133.35106473685</v>
      </c>
      <c r="B2190" s="3">
        <v>0.58701086238890599</v>
      </c>
      <c r="C2190" s="5">
        <v>3.12827192634661E-20</v>
      </c>
      <c r="D2190" s="6">
        <v>3.1410143781850899E-19</v>
      </c>
      <c r="E2190" s="3" t="s">
        <v>3946</v>
      </c>
      <c r="F2190" s="3" t="s">
        <v>3947</v>
      </c>
      <c r="G2190" s="3">
        <v>20908</v>
      </c>
      <c r="H2190" s="7" t="str">
        <f>HYPERLINK("http://www.ensembl.org/Mus_musculus/Gene/Summary?db=core;g=ENSMUSG00000041488","ENSMUSG00000041488")</f>
        <v>ENSMUSG00000041488</v>
      </c>
      <c r="I2190" s="7" t="str">
        <f>HYPERLINK("http://www.informatics.jax.org/marker/MGI:103077","MGI:103077")</f>
        <v>MGI:103077</v>
      </c>
      <c r="J2190" s="4" t="s">
        <v>12</v>
      </c>
    </row>
    <row r="2191" spans="1:10" x14ac:dyDescent="0.25">
      <c r="A2191" s="2">
        <v>1835.3312044418201</v>
      </c>
      <c r="B2191" s="3">
        <v>0.58633344394192</v>
      </c>
      <c r="C2191" s="5">
        <v>5.1115410463258997E-19</v>
      </c>
      <c r="D2191" s="6">
        <v>4.8648450498816003E-18</v>
      </c>
      <c r="E2191" s="3" t="s">
        <v>4161</v>
      </c>
      <c r="F2191" s="3" t="s">
        <v>4162</v>
      </c>
      <c r="G2191" s="3">
        <v>22368</v>
      </c>
      <c r="H2191" s="7" t="str">
        <f>HYPERLINK("http://www.ensembl.org/Mus_musculus/Gene/Summary?db=core;g=ENSMUSG00000018507","ENSMUSG00000018507")</f>
        <v>ENSMUSG00000018507</v>
      </c>
      <c r="I2191" s="7" t="str">
        <f>HYPERLINK("http://www.informatics.jax.org/marker/MGI:1341836","MGI:1341836")</f>
        <v>MGI:1341836</v>
      </c>
      <c r="J2191" s="4" t="s">
        <v>12</v>
      </c>
    </row>
    <row r="2192" spans="1:10" x14ac:dyDescent="0.25">
      <c r="A2192" s="2">
        <v>1350.2677822359301</v>
      </c>
      <c r="B2192" s="3">
        <v>0.586229546142647</v>
      </c>
      <c r="C2192" s="5">
        <v>1.3521034905887999E-38</v>
      </c>
      <c r="D2192" s="6">
        <v>2.6192024395295902E-37</v>
      </c>
      <c r="E2192" s="3" t="s">
        <v>2053</v>
      </c>
      <c r="F2192" s="3" t="s">
        <v>2054</v>
      </c>
      <c r="G2192" s="3">
        <v>66498</v>
      </c>
      <c r="H2192" s="7" t="str">
        <f>HYPERLINK("http://www.ensembl.org/Mus_musculus/Gene/Summary?db=core;g=ENSMUSG00000074247","ENSMUSG00000074247")</f>
        <v>ENSMUSG00000074247</v>
      </c>
      <c r="I2192" s="7" t="str">
        <f>HYPERLINK("http://www.informatics.jax.org/marker/MGI:1913748","MGI:1913748")</f>
        <v>MGI:1913748</v>
      </c>
      <c r="J2192" s="4" t="s">
        <v>12</v>
      </c>
    </row>
    <row r="2193" spans="1:10" x14ac:dyDescent="0.25">
      <c r="A2193" s="2">
        <v>529.73092726301695</v>
      </c>
      <c r="B2193" s="3">
        <v>0.58583059676207705</v>
      </c>
      <c r="C2193" s="5">
        <v>2.02746730638643E-26</v>
      </c>
      <c r="D2193" s="6">
        <v>2.6200298349895498E-25</v>
      </c>
      <c r="E2193" s="3" t="s">
        <v>3070</v>
      </c>
      <c r="F2193" s="3" t="s">
        <v>3071</v>
      </c>
      <c r="G2193" s="3">
        <v>22642</v>
      </c>
      <c r="H2193" s="7" t="str">
        <f>HYPERLINK("http://www.ensembl.org/Mus_musculus/Gene/Summary?db=core;g=ENSMUSG00000006215","ENSMUSG00000006215")</f>
        <v>ENSMUSG00000006215</v>
      </c>
      <c r="I2193" s="7" t="str">
        <f>HYPERLINK("http://www.informatics.jax.org/marker/MGI:107410","MGI:107410")</f>
        <v>MGI:107410</v>
      </c>
      <c r="J2193" s="4" t="s">
        <v>12</v>
      </c>
    </row>
    <row r="2194" spans="1:10" x14ac:dyDescent="0.25">
      <c r="A2194" s="2">
        <v>1302.8428619163701</v>
      </c>
      <c r="B2194" s="3">
        <v>0.58541739072191401</v>
      </c>
      <c r="C2194" s="5">
        <v>7.0782208377655997E-22</v>
      </c>
      <c r="D2194" s="6">
        <v>7.6149762640882494E-21</v>
      </c>
      <c r="E2194" s="3" t="s">
        <v>3684</v>
      </c>
      <c r="F2194" s="3" t="s">
        <v>3685</v>
      </c>
      <c r="G2194" s="3">
        <v>50527</v>
      </c>
      <c r="H2194" s="7" t="str">
        <f>HYPERLINK("http://www.ensembl.org/Mus_musculus/Gene/Summary?db=core;g=ENSMUSG00000021831","ENSMUSG00000021831")</f>
        <v>ENSMUSG00000021831</v>
      </c>
      <c r="I2194" s="7" t="str">
        <f>HYPERLINK("http://www.informatics.jax.org/marker/MGI:1354385","MGI:1354385")</f>
        <v>MGI:1354385</v>
      </c>
      <c r="J2194" s="4" t="s">
        <v>12</v>
      </c>
    </row>
    <row r="2195" spans="1:10" x14ac:dyDescent="0.25">
      <c r="A2195" s="2">
        <v>2899.5102112575901</v>
      </c>
      <c r="B2195" s="3">
        <v>0.58493084726240197</v>
      </c>
      <c r="C2195" s="5">
        <v>2.5498512734143299E-58</v>
      </c>
      <c r="D2195" s="6">
        <v>8.6397022528746898E-57</v>
      </c>
      <c r="E2195" s="3" t="s">
        <v>1180</v>
      </c>
      <c r="F2195" s="3" t="s">
        <v>1181</v>
      </c>
      <c r="G2195" s="3">
        <v>30930</v>
      </c>
      <c r="H2195" s="7" t="str">
        <f>HYPERLINK("http://www.ensembl.org/Mus_musculus/Gene/Summary?db=core;g=ENSMUSG00000020078","ENSMUSG00000020078")</f>
        <v>ENSMUSG00000020078</v>
      </c>
      <c r="I2195" s="7" t="str">
        <f>HYPERLINK("http://www.informatics.jax.org/marker/MGI:1353654","MGI:1353654")</f>
        <v>MGI:1353654</v>
      </c>
      <c r="J2195" s="4" t="s">
        <v>12</v>
      </c>
    </row>
    <row r="2196" spans="1:10" x14ac:dyDescent="0.25">
      <c r="A2196" s="2">
        <v>80.878506316506702</v>
      </c>
      <c r="B2196" s="3">
        <v>0.58478802026284904</v>
      </c>
      <c r="C2196" s="3">
        <v>4.5162618422039198E-4</v>
      </c>
      <c r="D2196" s="4">
        <v>1.3970303298550799E-3</v>
      </c>
      <c r="E2196" s="3" t="s">
        <v>12759</v>
      </c>
      <c r="F2196" s="3" t="s">
        <v>12760</v>
      </c>
      <c r="G2196" s="3">
        <v>26942</v>
      </c>
      <c r="H2196" s="7" t="str">
        <f>HYPERLINK("http://www.ensembl.org/Mus_musculus/Gene/Summary?db=core;g=ENSMUSG00000037617","ENSMUSG00000037617")</f>
        <v>ENSMUSG00000037617</v>
      </c>
      <c r="I2196" s="7" t="str">
        <f>HYPERLINK("http://www.informatics.jax.org/marker/MGI:1349387","MGI:1349387")</f>
        <v>MGI:1349387</v>
      </c>
      <c r="J2196" s="4" t="s">
        <v>12</v>
      </c>
    </row>
    <row r="2197" spans="1:10" x14ac:dyDescent="0.25">
      <c r="A2197" s="2">
        <v>33.8724957129822</v>
      </c>
      <c r="B2197" s="3">
        <v>0.58426950678381995</v>
      </c>
      <c r="C2197" s="3">
        <v>8.2978564739661399E-3</v>
      </c>
      <c r="D2197" s="4">
        <v>2.09464579706365E-2</v>
      </c>
      <c r="E2197" s="3" t="s">
        <v>15629</v>
      </c>
      <c r="F2197" s="3" t="s">
        <v>15630</v>
      </c>
      <c r="G2197" s="3">
        <v>73316</v>
      </c>
      <c r="H2197" s="7" t="str">
        <f>HYPERLINK("http://www.ensembl.org/Mus_musculus/Gene/Summary?db=core;g=ENSMUSG00000019732","ENSMUSG00000019732")</f>
        <v>ENSMUSG00000019732</v>
      </c>
      <c r="I2197" s="7" t="str">
        <f>HYPERLINK("http://www.informatics.jax.org/marker/MGI:1920566","MGI:1920566")</f>
        <v>MGI:1920566</v>
      </c>
      <c r="J2197" s="4" t="s">
        <v>12</v>
      </c>
    </row>
    <row r="2198" spans="1:10" x14ac:dyDescent="0.25">
      <c r="A2198" s="2">
        <v>535.359478887416</v>
      </c>
      <c r="B2198" s="3">
        <v>0.58391315316020298</v>
      </c>
      <c r="C2198" s="5">
        <v>2.2960145741384501E-9</v>
      </c>
      <c r="D2198" s="6">
        <v>1.1971667122187999E-8</v>
      </c>
      <c r="E2198" s="3" t="s">
        <v>7584</v>
      </c>
      <c r="F2198" s="3" t="s">
        <v>7585</v>
      </c>
      <c r="G2198" s="3">
        <v>17948</v>
      </c>
      <c r="H2198" s="7" t="str">
        <f>HYPERLINK("http://www.ensembl.org/Mus_musculus/Gene/Summary?db=core;g=ENSMUSG00000078945","ENSMUSG00000078945")</f>
        <v>ENSMUSG00000078945</v>
      </c>
      <c r="I2198" s="7" t="str">
        <f>HYPERLINK("http://www.informatics.jax.org/marker/MGI:1298226","MGI:1298226")</f>
        <v>MGI:1298226</v>
      </c>
      <c r="J2198" s="4" t="s">
        <v>12</v>
      </c>
    </row>
    <row r="2199" spans="1:10" x14ac:dyDescent="0.25">
      <c r="A2199" s="2">
        <v>1988.24850322919</v>
      </c>
      <c r="B2199" s="3">
        <v>0.58370991188507704</v>
      </c>
      <c r="C2199" s="5">
        <v>6.89747098710254E-17</v>
      </c>
      <c r="D2199" s="6">
        <v>5.8251874888934496E-16</v>
      </c>
      <c r="E2199" s="3" t="s">
        <v>4687</v>
      </c>
      <c r="F2199" s="3" t="s">
        <v>4688</v>
      </c>
      <c r="G2199" s="3">
        <v>239273</v>
      </c>
      <c r="H2199" s="7" t="str">
        <f>HYPERLINK("http://www.ensembl.org/Mus_musculus/Gene/Summary?db=core;g=ENSMUSG00000032849","ENSMUSG00000032849")</f>
        <v>ENSMUSG00000032849</v>
      </c>
      <c r="I2199" s="7" t="str">
        <f>HYPERLINK("http://www.informatics.jax.org/marker/MGI:2443111","MGI:2443111")</f>
        <v>MGI:2443111</v>
      </c>
      <c r="J2199" s="4" t="s">
        <v>12</v>
      </c>
    </row>
    <row r="2200" spans="1:10" x14ac:dyDescent="0.25">
      <c r="A2200" s="2">
        <v>1631.41403734766</v>
      </c>
      <c r="B2200" s="3">
        <v>0.58345935262840698</v>
      </c>
      <c r="C2200" s="5">
        <v>8.5936511479527397E-34</v>
      </c>
      <c r="D2200" s="6">
        <v>1.4252884830750899E-32</v>
      </c>
      <c r="E2200" s="3" t="s">
        <v>2395</v>
      </c>
      <c r="F2200" s="3" t="s">
        <v>2396</v>
      </c>
      <c r="G2200" s="3">
        <v>19346</v>
      </c>
      <c r="H2200" s="7" t="str">
        <f>HYPERLINK("http://www.ensembl.org/Mus_musculus/Gene/Summary?db=core;g=ENSMUSG00000030704","ENSMUSG00000030704")</f>
        <v>ENSMUSG00000030704</v>
      </c>
      <c r="I2200" s="7" t="str">
        <f>HYPERLINK("http://www.informatics.jax.org/marker/MGI:894313","MGI:894313")</f>
        <v>MGI:894313</v>
      </c>
      <c r="J2200" s="4" t="s">
        <v>12</v>
      </c>
    </row>
    <row r="2201" spans="1:10" x14ac:dyDescent="0.25">
      <c r="A2201" s="2">
        <v>1236.40759566616</v>
      </c>
      <c r="B2201" s="3">
        <v>0.58323192979724503</v>
      </c>
      <c r="C2201" s="5">
        <v>4.6285889810040498E-31</v>
      </c>
      <c r="D2201" s="6">
        <v>7.0374537166846496E-30</v>
      </c>
      <c r="E2201" s="3" t="s">
        <v>2611</v>
      </c>
      <c r="F2201" s="3" t="s">
        <v>2612</v>
      </c>
      <c r="G2201" s="3">
        <v>106894</v>
      </c>
      <c r="H2201" s="7" t="str">
        <f>HYPERLINK("http://www.ensembl.org/Mus_musculus/Gene/Summary?db=core;g=ENSMUSG00000024622","ENSMUSG00000024622")</f>
        <v>ENSMUSG00000024622</v>
      </c>
      <c r="I2201" s="7" t="str">
        <f>HYPERLINK("http://www.informatics.jax.org/marker/MGI:2441817","MGI:2441817")</f>
        <v>MGI:2441817</v>
      </c>
      <c r="J2201" s="4" t="s">
        <v>12</v>
      </c>
    </row>
    <row r="2202" spans="1:10" x14ac:dyDescent="0.25">
      <c r="A2202" s="2">
        <v>1812.98123116075</v>
      </c>
      <c r="B2202" s="3">
        <v>0.58320693509866295</v>
      </c>
      <c r="C2202" s="5">
        <v>1.80195601145586E-25</v>
      </c>
      <c r="D2202" s="6">
        <v>2.2405152929325E-24</v>
      </c>
      <c r="E2202" s="3" t="s">
        <v>3192</v>
      </c>
      <c r="F2202" s="3" t="s">
        <v>3193</v>
      </c>
      <c r="G2202" s="3">
        <v>381801</v>
      </c>
      <c r="H2202" s="7" t="str">
        <f>HYPERLINK("http://www.ensembl.org/Mus_musculus/Gene/Summary?db=core;g=ENSMUSG00000056952","ENSMUSG00000056952")</f>
        <v>ENSMUSG00000056952</v>
      </c>
      <c r="I2202" s="7" t="str">
        <f>HYPERLINK("http://www.informatics.jax.org/marker/MGI:3576210","MGI:3576210")</f>
        <v>MGI:3576210</v>
      </c>
      <c r="J2202" s="4" t="s">
        <v>12</v>
      </c>
    </row>
    <row r="2203" spans="1:10" x14ac:dyDescent="0.25">
      <c r="A2203" s="2">
        <v>966.80176675616894</v>
      </c>
      <c r="B2203" s="3">
        <v>0.58284701927375304</v>
      </c>
      <c r="C2203" s="5">
        <v>4.3742549167847302E-17</v>
      </c>
      <c r="D2203" s="6">
        <v>3.74718970282341E-16</v>
      </c>
      <c r="E2203" s="3" t="s">
        <v>4621</v>
      </c>
      <c r="F2203" s="3" t="s">
        <v>4622</v>
      </c>
      <c r="G2203" s="3">
        <v>338523</v>
      </c>
      <c r="H2203" s="7" t="str">
        <f>HYPERLINK("http://www.ensembl.org/Mus_musculus/Gene/Summary?db=core;g=ENSMUSG00000042599","ENSMUSG00000042599")</f>
        <v>ENSMUSG00000042599</v>
      </c>
      <c r="I2203" s="7" t="str">
        <f>HYPERLINK("http://www.informatics.jax.org/marker/MGI:2443388","MGI:2443388")</f>
        <v>MGI:2443388</v>
      </c>
      <c r="J2203" s="4" t="s">
        <v>12</v>
      </c>
    </row>
    <row r="2204" spans="1:10" x14ac:dyDescent="0.25">
      <c r="A2204" s="2">
        <v>28.173918506595001</v>
      </c>
      <c r="B2204" s="3">
        <v>0.58269107393613095</v>
      </c>
      <c r="C2204" s="3">
        <v>1.8687477267621301E-2</v>
      </c>
      <c r="D2204" s="4">
        <v>4.3876300954576897E-2</v>
      </c>
      <c r="E2204" s="3" t="s">
        <v>16802</v>
      </c>
      <c r="F2204" s="3" t="s">
        <v>16803</v>
      </c>
      <c r="G2204" s="3">
        <v>12803</v>
      </c>
      <c r="H2204" s="7" t="str">
        <f>HYPERLINK("http://www.ensembl.org/Mus_musculus/Gene/Summary?db=core;g=ENSMUSG00000079415","ENSMUSG00000079415")</f>
        <v>ENSMUSG00000079415</v>
      </c>
      <c r="I2204" s="7" t="str">
        <f>HYPERLINK("http://www.informatics.jax.org/marker/MGI:88439","MGI:88439")</f>
        <v>MGI:88439</v>
      </c>
      <c r="J2204" s="4" t="s">
        <v>12</v>
      </c>
    </row>
    <row r="2205" spans="1:10" x14ac:dyDescent="0.25">
      <c r="A2205" s="2">
        <v>2358.5313334677398</v>
      </c>
      <c r="B2205" s="3">
        <v>0.58252874336444405</v>
      </c>
      <c r="C2205" s="5">
        <v>6.47169565889213E-14</v>
      </c>
      <c r="D2205" s="6">
        <v>4.6662463763565897E-13</v>
      </c>
      <c r="E2205" s="3" t="s">
        <v>5487</v>
      </c>
      <c r="F2205" s="3" t="s">
        <v>5488</v>
      </c>
      <c r="G2205" s="3">
        <v>12035</v>
      </c>
      <c r="H2205" s="7" t="str">
        <f>HYPERLINK("http://www.ensembl.org/Mus_musculus/Gene/Summary?db=core;g=ENSMUSG00000030268","ENSMUSG00000030268")</f>
        <v>ENSMUSG00000030268</v>
      </c>
      <c r="I2205" s="7" t="str">
        <f>HYPERLINK("http://www.informatics.jax.org/marker/MGI:104861","MGI:104861")</f>
        <v>MGI:104861</v>
      </c>
      <c r="J2205" s="4" t="s">
        <v>12</v>
      </c>
    </row>
    <row r="2206" spans="1:10" x14ac:dyDescent="0.25">
      <c r="A2206" s="2">
        <v>805.32313551669597</v>
      </c>
      <c r="B2206" s="3">
        <v>0.58223908922848</v>
      </c>
      <c r="C2206" s="5">
        <v>2.8366876065860701E-14</v>
      </c>
      <c r="D2206" s="6">
        <v>2.0943272033649301E-13</v>
      </c>
      <c r="E2206" s="3" t="s">
        <v>5359</v>
      </c>
      <c r="F2206" s="3" t="s">
        <v>5360</v>
      </c>
      <c r="G2206" s="3">
        <v>218820</v>
      </c>
      <c r="H2206" s="7" t="str">
        <f>HYPERLINK("http://www.ensembl.org/Mus_musculus/Gene/Summary?db=core;g=ENSMUSG00000039081","ENSMUSG00000039081")</f>
        <v>ENSMUSG00000039081</v>
      </c>
      <c r="I2206" s="7" t="str">
        <f>HYPERLINK("http://www.informatics.jax.org/marker/MGI:1353644","MGI:1353644")</f>
        <v>MGI:1353644</v>
      </c>
      <c r="J2206" s="4" t="s">
        <v>12</v>
      </c>
    </row>
    <row r="2207" spans="1:10" x14ac:dyDescent="0.25">
      <c r="A2207" s="2">
        <v>1257.5178587219</v>
      </c>
      <c r="B2207" s="3">
        <v>0.581881977597272</v>
      </c>
      <c r="C2207" s="5">
        <v>4.1315394382781402E-32</v>
      </c>
      <c r="D2207" s="6">
        <v>6.4457245033896302E-31</v>
      </c>
      <c r="E2207" s="3" t="s">
        <v>2545</v>
      </c>
      <c r="F2207" s="3" t="s">
        <v>2546</v>
      </c>
      <c r="G2207" s="3">
        <v>68112</v>
      </c>
      <c r="H2207" s="7" t="str">
        <f>HYPERLINK("http://www.ensembl.org/Mus_musculus/Gene/Summary?db=core;g=ENSMUSG00000026927","ENSMUSG00000026927")</f>
        <v>ENSMUSG00000026927</v>
      </c>
      <c r="I2207" s="7" t="str">
        <f>HYPERLINK("http://www.informatics.jax.org/marker/MGI:1915362","MGI:1915362")</f>
        <v>MGI:1915362</v>
      </c>
      <c r="J2207" s="4" t="s">
        <v>12</v>
      </c>
    </row>
    <row r="2208" spans="1:10" x14ac:dyDescent="0.25">
      <c r="A2208" s="2">
        <v>3726.52726149809</v>
      </c>
      <c r="B2208" s="3">
        <v>0.58079239346802902</v>
      </c>
      <c r="C2208" s="5">
        <v>5.0116582632734498E-20</v>
      </c>
      <c r="D2208" s="6">
        <v>4.9638322929056997E-19</v>
      </c>
      <c r="E2208" s="3" t="s">
        <v>4000</v>
      </c>
      <c r="F2208" s="3" t="s">
        <v>4001</v>
      </c>
      <c r="G2208" s="3">
        <v>76178</v>
      </c>
      <c r="H2208" s="7" t="str">
        <f>HYPERLINK("http://www.ensembl.org/Mus_musculus/Gene/Summary?db=core;g=ENSMUSG00000026112","ENSMUSG00000026112")</f>
        <v>ENSMUSG00000026112</v>
      </c>
      <c r="I2208" s="7" t="str">
        <f>HYPERLINK("http://www.informatics.jax.org/marker/MGI:1923428","MGI:1923428")</f>
        <v>MGI:1923428</v>
      </c>
      <c r="J2208" s="4" t="s">
        <v>12</v>
      </c>
    </row>
    <row r="2209" spans="1:10" x14ac:dyDescent="0.25">
      <c r="A2209" s="2">
        <v>2882.6779363024202</v>
      </c>
      <c r="B2209" s="3">
        <v>0.58014887898020195</v>
      </c>
      <c r="C2209" s="5">
        <v>3.74239685465426E-48</v>
      </c>
      <c r="D2209" s="6">
        <v>9.6470674475532103E-47</v>
      </c>
      <c r="E2209" s="3" t="s">
        <v>1546</v>
      </c>
      <c r="F2209" s="3" t="s">
        <v>1547</v>
      </c>
      <c r="G2209" s="3">
        <v>70599</v>
      </c>
      <c r="H2209" s="7" t="str">
        <f>HYPERLINK("http://www.ensembl.org/Mus_musculus/Gene/Summary?db=core;g=ENSMUSG00000027007","ENSMUSG00000027007")</f>
        <v>ENSMUSG00000027007</v>
      </c>
      <c r="I2209" s="7" t="str">
        <f>HYPERLINK("http://www.informatics.jax.org/marker/MGI:1917849","MGI:1917849")</f>
        <v>MGI:1917849</v>
      </c>
      <c r="J2209" s="4" t="s">
        <v>12</v>
      </c>
    </row>
    <row r="2210" spans="1:10" x14ac:dyDescent="0.25">
      <c r="A2210" s="2">
        <v>18493.514092038498</v>
      </c>
      <c r="B2210" s="3">
        <v>0.58009796200196995</v>
      </c>
      <c r="C2210" s="5">
        <v>1.3880351309399301E-39</v>
      </c>
      <c r="D2210" s="6">
        <v>2.7902194477202298E-38</v>
      </c>
      <c r="E2210" s="3" t="s">
        <v>1979</v>
      </c>
      <c r="F2210" s="3" t="s">
        <v>1980</v>
      </c>
      <c r="G2210" s="3">
        <v>13681</v>
      </c>
      <c r="H2210" s="7" t="str">
        <f>HYPERLINK("http://www.ensembl.org/Mus_musculus/Gene/Summary?db=core;g=ENSMUSG00000059796","ENSMUSG00000059796")</f>
        <v>ENSMUSG00000059796</v>
      </c>
      <c r="I2210" s="7" t="str">
        <f>HYPERLINK("http://www.informatics.jax.org/marker/MGI:95303","MGI:95303")</f>
        <v>MGI:95303</v>
      </c>
      <c r="J2210" s="4" t="s">
        <v>12</v>
      </c>
    </row>
    <row r="2211" spans="1:10" x14ac:dyDescent="0.25">
      <c r="A2211" s="2">
        <v>3682.5527318067402</v>
      </c>
      <c r="B2211" s="3">
        <v>0.57867393102887899</v>
      </c>
      <c r="C2211" s="5">
        <v>2.3901588979721299E-16</v>
      </c>
      <c r="D2211" s="6">
        <v>1.9639138945004299E-15</v>
      </c>
      <c r="E2211" s="3" t="s">
        <v>4817</v>
      </c>
      <c r="F2211" s="3" t="s">
        <v>4818</v>
      </c>
      <c r="G2211" s="3">
        <v>67204</v>
      </c>
      <c r="H2211" s="7" t="str">
        <f>HYPERLINK("http://www.ensembl.org/Mus_musculus/Gene/Summary?db=core;g=ENSMUSG00000074656","ENSMUSG00000074656")</f>
        <v>ENSMUSG00000074656</v>
      </c>
      <c r="I2211" s="7" t="str">
        <f>HYPERLINK("http://www.informatics.jax.org/marker/MGI:1914454","MGI:1914454")</f>
        <v>MGI:1914454</v>
      </c>
      <c r="J2211" s="4" t="s">
        <v>12</v>
      </c>
    </row>
    <row r="2212" spans="1:10" x14ac:dyDescent="0.25">
      <c r="A2212" s="2">
        <v>2077.0575317371099</v>
      </c>
      <c r="B2212" s="3">
        <v>0.57866296607521805</v>
      </c>
      <c r="C2212" s="5">
        <v>9.1490692313795806E-28</v>
      </c>
      <c r="D2212" s="6">
        <v>1.23999756180622E-26</v>
      </c>
      <c r="E2212" s="3" t="s">
        <v>2928</v>
      </c>
      <c r="F2212" s="3" t="s">
        <v>2929</v>
      </c>
      <c r="G2212" s="3">
        <v>52014</v>
      </c>
      <c r="H2212" s="7" t="str">
        <f>HYPERLINK("http://www.ensembl.org/Mus_musculus/Gene/Summary?db=core;g=ENSMUSG00000023068","ENSMUSG00000023068")</f>
        <v>ENSMUSG00000023068</v>
      </c>
      <c r="I2212" s="7" t="str">
        <f>HYPERLINK("http://www.informatics.jax.org/marker/MGI:1196365","MGI:1196365")</f>
        <v>MGI:1196365</v>
      </c>
      <c r="J2212" s="4" t="s">
        <v>12</v>
      </c>
    </row>
    <row r="2213" spans="1:10" x14ac:dyDescent="0.25">
      <c r="A2213" s="2">
        <v>36.6465434846927</v>
      </c>
      <c r="B2213" s="3">
        <v>0.57787723326504203</v>
      </c>
      <c r="C2213" s="3">
        <v>8.4145320751008498E-3</v>
      </c>
      <c r="D2213" s="4">
        <v>2.1213829266298799E-2</v>
      </c>
      <c r="E2213" s="3" t="s">
        <v>15649</v>
      </c>
      <c r="F2213" s="3" t="s">
        <v>15650</v>
      </c>
      <c r="G2213" s="3" t="s">
        <v>83</v>
      </c>
      <c r="H2213" s="7" t="str">
        <f>HYPERLINK("http://www.ensembl.org/Mus_musculus/Gene/Summary?db=core;g=ENSMUSG00000083044","ENSMUSG00000083044")</f>
        <v>ENSMUSG00000083044</v>
      </c>
      <c r="I2213" s="7" t="str">
        <f>HYPERLINK("http://www.informatics.jax.org/marker/MGI:3650588","MGI:3650588")</f>
        <v>MGI:3650588</v>
      </c>
      <c r="J2213" s="4" t="s">
        <v>1043</v>
      </c>
    </row>
    <row r="2214" spans="1:10" x14ac:dyDescent="0.25">
      <c r="A2214" s="2">
        <v>6969.8537582649897</v>
      </c>
      <c r="B2214" s="3">
        <v>0.57770166036696302</v>
      </c>
      <c r="C2214" s="5">
        <v>1.25761085459467E-34</v>
      </c>
      <c r="D2214" s="6">
        <v>2.1453361637203199E-33</v>
      </c>
      <c r="E2214" s="3" t="s">
        <v>2329</v>
      </c>
      <c r="F2214" s="3" t="s">
        <v>2330</v>
      </c>
      <c r="G2214" s="3">
        <v>14852</v>
      </c>
      <c r="H2214" s="7" t="str">
        <f>HYPERLINK("http://www.ensembl.org/Mus_musculus/Gene/Summary?db=core;g=ENSMUSG00000062203","ENSMUSG00000062203")</f>
        <v>ENSMUSG00000062203</v>
      </c>
      <c r="I2214" s="7" t="str">
        <f>HYPERLINK("http://www.informatics.jax.org/marker/MGI:1316728","MGI:1316728")</f>
        <v>MGI:1316728</v>
      </c>
      <c r="J2214" s="4" t="s">
        <v>12</v>
      </c>
    </row>
    <row r="2215" spans="1:10" x14ac:dyDescent="0.25">
      <c r="A2215" s="2">
        <v>755.31196227207602</v>
      </c>
      <c r="B2215" s="3">
        <v>0.57742607268721802</v>
      </c>
      <c r="C2215" s="5">
        <v>2.9062729544767398E-10</v>
      </c>
      <c r="D2215" s="6">
        <v>1.6284810333110301E-9</v>
      </c>
      <c r="E2215" s="3" t="s">
        <v>7058</v>
      </c>
      <c r="F2215" s="3" t="s">
        <v>7059</v>
      </c>
      <c r="G2215" s="3">
        <v>16330</v>
      </c>
      <c r="H2215" s="7" t="str">
        <f>HYPERLINK("http://www.ensembl.org/Mus_musculus/Gene/Summary?db=core;g=ENSMUSG00000028894","ENSMUSG00000028894")</f>
        <v>ENSMUSG00000028894</v>
      </c>
      <c r="I2215" s="7" t="str">
        <f>HYPERLINK("http://www.informatics.jax.org/marker/MGI:103257","MGI:103257")</f>
        <v>MGI:103257</v>
      </c>
      <c r="J2215" s="4" t="s">
        <v>12</v>
      </c>
    </row>
    <row r="2216" spans="1:10" x14ac:dyDescent="0.25">
      <c r="A2216" s="2">
        <v>779.83515476374805</v>
      </c>
      <c r="B2216" s="3">
        <v>0.57701073586037099</v>
      </c>
      <c r="C2216" s="5">
        <v>9.0891962098142901E-22</v>
      </c>
      <c r="D2216" s="6">
        <v>9.7253906271046003E-21</v>
      </c>
      <c r="E2216" s="3" t="s">
        <v>3704</v>
      </c>
      <c r="F2216" s="3" t="s">
        <v>3705</v>
      </c>
      <c r="G2216" s="3">
        <v>72425</v>
      </c>
      <c r="H2216" s="7" t="str">
        <f>HYPERLINK("http://www.ensembl.org/Mus_musculus/Gene/Summary?db=core;g=ENSMUSG00000027132","ENSMUSG00000027132")</f>
        <v>ENSMUSG00000027132</v>
      </c>
      <c r="I2216" s="7" t="str">
        <f>HYPERLINK("http://www.informatics.jax.org/marker/MGI:1919675","MGI:1919675")</f>
        <v>MGI:1919675</v>
      </c>
      <c r="J2216" s="4" t="s">
        <v>12</v>
      </c>
    </row>
    <row r="2217" spans="1:10" x14ac:dyDescent="0.25">
      <c r="A2217" s="2">
        <v>1890.62294266751</v>
      </c>
      <c r="B2217" s="3">
        <v>0.57684065147896901</v>
      </c>
      <c r="C2217" s="5">
        <v>2.56180865607508E-6</v>
      </c>
      <c r="D2217" s="6">
        <v>1.01819771679429E-5</v>
      </c>
      <c r="E2217" s="3" t="s">
        <v>9939</v>
      </c>
      <c r="F2217" s="3" t="s">
        <v>9940</v>
      </c>
      <c r="G2217" s="3">
        <v>16408</v>
      </c>
      <c r="H2217" s="7" t="str">
        <f>HYPERLINK("http://www.ensembl.org/Mus_musculus/Gene/Summary?db=core;g=ENSMUSG00000030830","ENSMUSG00000030830")</f>
        <v>ENSMUSG00000030830</v>
      </c>
      <c r="I2217" s="7" t="str">
        <f>HYPERLINK("http://www.informatics.jax.org/marker/MGI:96606","MGI:96606")</f>
        <v>MGI:96606</v>
      </c>
      <c r="J2217" s="4" t="s">
        <v>12</v>
      </c>
    </row>
    <row r="2218" spans="1:10" x14ac:dyDescent="0.25">
      <c r="A2218" s="2">
        <v>33.482557193568198</v>
      </c>
      <c r="B2218" s="3">
        <v>0.57645957753968402</v>
      </c>
      <c r="C2218" s="3">
        <v>1.02296591977502E-2</v>
      </c>
      <c r="D2218" s="4">
        <v>2.5409860105760702E-2</v>
      </c>
      <c r="E2218" s="3" t="s">
        <v>15883</v>
      </c>
      <c r="F2218" s="3" t="s">
        <v>15884</v>
      </c>
      <c r="G2218" s="3" t="s">
        <v>83</v>
      </c>
      <c r="H2218" s="7" t="str">
        <f>HYPERLINK("http://www.ensembl.org/Mus_musculus/Gene/Summary?db=core;g=ENSMUSG00000085105","ENSMUSG00000085105")</f>
        <v>ENSMUSG00000085105</v>
      </c>
      <c r="I2218" s="7" t="str">
        <f>HYPERLINK("http://www.informatics.jax.org/marker/MGI:3702543","MGI:3702543")</f>
        <v>MGI:3702543</v>
      </c>
      <c r="J2218" s="4" t="s">
        <v>932</v>
      </c>
    </row>
    <row r="2219" spans="1:10" x14ac:dyDescent="0.25">
      <c r="A2219" s="2">
        <v>678.10467355081801</v>
      </c>
      <c r="B2219" s="3">
        <v>0.57641503537302496</v>
      </c>
      <c r="C2219" s="5">
        <v>1.1986878428954001E-19</v>
      </c>
      <c r="D2219" s="6">
        <v>1.17020417138105E-18</v>
      </c>
      <c r="E2219" s="3" t="s">
        <v>4057</v>
      </c>
      <c r="F2219" s="3" t="s">
        <v>4058</v>
      </c>
      <c r="G2219" s="3">
        <v>72065</v>
      </c>
      <c r="H2219" s="7" t="str">
        <f>HYPERLINK("http://www.ensembl.org/Mus_musculus/Gene/Summary?db=core;g=ENSMUSG00000050029","ENSMUSG00000050029")</f>
        <v>ENSMUSG00000050029</v>
      </c>
      <c r="I2219" s="7" t="str">
        <f>HYPERLINK("http://www.informatics.jax.org/marker/MGI:1919315","MGI:1919315")</f>
        <v>MGI:1919315</v>
      </c>
      <c r="J2219" s="4" t="s">
        <v>12</v>
      </c>
    </row>
    <row r="2220" spans="1:10" x14ac:dyDescent="0.25">
      <c r="A2220" s="2">
        <v>287.316640409603</v>
      </c>
      <c r="B2220" s="3">
        <v>0.57590518366390697</v>
      </c>
      <c r="C2220" s="5">
        <v>6.2518571722853301E-11</v>
      </c>
      <c r="D2220" s="6">
        <v>3.6890072841851203E-10</v>
      </c>
      <c r="E2220" s="3" t="s">
        <v>6701</v>
      </c>
      <c r="F2220" s="3" t="s">
        <v>6702</v>
      </c>
      <c r="G2220" s="3">
        <v>67225</v>
      </c>
      <c r="H2220" s="7" t="str">
        <f>HYPERLINK("http://www.ensembl.org/Mus_musculus/Gene/Summary?db=core;g=ENSMUSG00000027981","ENSMUSG00000027981")</f>
        <v>ENSMUSG00000027981</v>
      </c>
      <c r="I2220" s="7" t="str">
        <f>HYPERLINK("http://www.informatics.jax.org/marker/MGI:1914475","MGI:1914475")</f>
        <v>MGI:1914475</v>
      </c>
      <c r="J2220" s="4" t="s">
        <v>12</v>
      </c>
    </row>
    <row r="2221" spans="1:10" x14ac:dyDescent="0.25">
      <c r="A2221" s="2">
        <v>899.47495342277898</v>
      </c>
      <c r="B2221" s="3">
        <v>0.575229846649288</v>
      </c>
      <c r="C2221" s="5">
        <v>4.4872878958390301E-16</v>
      </c>
      <c r="D2221" s="6">
        <v>3.6355512451086998E-15</v>
      </c>
      <c r="E2221" s="3" t="s">
        <v>4885</v>
      </c>
      <c r="F2221" s="3" t="s">
        <v>4886</v>
      </c>
      <c r="G2221" s="3">
        <v>56613</v>
      </c>
      <c r="H2221" s="7" t="str">
        <f>HYPERLINK("http://www.ensembl.org/Mus_musculus/Gene/Summary?db=core;g=ENSMUSG00000024952","ENSMUSG00000024952")</f>
        <v>ENSMUSG00000024952</v>
      </c>
      <c r="I2221" s="7" t="str">
        <f>HYPERLINK("http://www.informatics.jax.org/marker/MGI:1930076","MGI:1930076")</f>
        <v>MGI:1930076</v>
      </c>
      <c r="J2221" s="4" t="s">
        <v>12</v>
      </c>
    </row>
    <row r="2222" spans="1:10" x14ac:dyDescent="0.25">
      <c r="A2222" s="2">
        <v>404.032603998382</v>
      </c>
      <c r="B2222" s="3">
        <v>0.574949772936726</v>
      </c>
      <c r="C2222" s="5">
        <v>1.0090331623681099E-14</v>
      </c>
      <c r="D2222" s="6">
        <v>7.6413724892085902E-14</v>
      </c>
      <c r="E2222" s="3" t="s">
        <v>5225</v>
      </c>
      <c r="F2222" s="3" t="s">
        <v>5226</v>
      </c>
      <c r="G2222" s="3" t="s">
        <v>83</v>
      </c>
      <c r="H2222" s="7" t="str">
        <f>HYPERLINK("http://www.ensembl.org/Mus_musculus/Gene/Summary?db=core;g=ENSMUSG00000074876","ENSMUSG00000074876")</f>
        <v>ENSMUSG00000074876</v>
      </c>
      <c r="I2222" s="7" t="str">
        <f>HYPERLINK("http://www.informatics.jax.org/marker/MGI:3036261","MGI:3036261")</f>
        <v>MGI:3036261</v>
      </c>
      <c r="J2222" s="4" t="s">
        <v>331</v>
      </c>
    </row>
    <row r="2223" spans="1:10" x14ac:dyDescent="0.25">
      <c r="A2223" s="2">
        <v>2752.3653788870101</v>
      </c>
      <c r="B2223" s="3">
        <v>0.57467512240033303</v>
      </c>
      <c r="C2223" s="5">
        <v>2.0659486737961999E-38</v>
      </c>
      <c r="D2223" s="6">
        <v>3.9785652194590904E-37</v>
      </c>
      <c r="E2223" s="3" t="s">
        <v>2065</v>
      </c>
      <c r="F2223" s="3" t="s">
        <v>2066</v>
      </c>
      <c r="G2223" s="3">
        <v>218975</v>
      </c>
      <c r="H2223" s="7" t="str">
        <f>HYPERLINK("http://www.ensembl.org/Mus_musculus/Gene/Summary?db=core;g=ENSMUSG00000021840","ENSMUSG00000021840")</f>
        <v>ENSMUSG00000021840</v>
      </c>
      <c r="I2223" s="7" t="str">
        <f>HYPERLINK("http://www.informatics.jax.org/marker/MGI:2444022","MGI:2444022")</f>
        <v>MGI:2444022</v>
      </c>
      <c r="J2223" s="4" t="s">
        <v>12</v>
      </c>
    </row>
    <row r="2224" spans="1:10" x14ac:dyDescent="0.25">
      <c r="A2224" s="2">
        <v>62.910026359145803</v>
      </c>
      <c r="B2224" s="3">
        <v>0.57282944378073697</v>
      </c>
      <c r="C2224" s="3">
        <v>2.30857571070374E-3</v>
      </c>
      <c r="D2224" s="4">
        <v>6.4538011078930802E-3</v>
      </c>
      <c r="E2224" s="3" t="s">
        <v>14115</v>
      </c>
      <c r="F2224" s="3" t="s">
        <v>14116</v>
      </c>
      <c r="G2224" s="3">
        <v>245305</v>
      </c>
      <c r="H2224" s="7" t="str">
        <f>HYPERLINK("http://www.ensembl.org/Mus_musculus/Gene/Summary?db=core;g=ENSMUSG00000080717","ENSMUSG00000080717")</f>
        <v>ENSMUSG00000080717</v>
      </c>
      <c r="I2224" s="7" t="str">
        <f>HYPERLINK("http://www.informatics.jax.org/marker/MGI:3643396","MGI:3643396")</f>
        <v>MGI:3643396</v>
      </c>
      <c r="J2224" s="4" t="s">
        <v>12</v>
      </c>
    </row>
    <row r="2225" spans="1:10" x14ac:dyDescent="0.25">
      <c r="A2225" s="2">
        <v>1522.87711828139</v>
      </c>
      <c r="B2225" s="3">
        <v>0.57277656840012703</v>
      </c>
      <c r="C2225" s="5">
        <v>9.5509535403766397E-16</v>
      </c>
      <c r="D2225" s="6">
        <v>7.5976120942407108E-15</v>
      </c>
      <c r="E2225" s="3" t="s">
        <v>4975</v>
      </c>
      <c r="F2225" s="3" t="s">
        <v>4976</v>
      </c>
      <c r="G2225" s="3">
        <v>107895</v>
      </c>
      <c r="H2225" s="7" t="str">
        <f>HYPERLINK("http://www.ensembl.org/Mus_musculus/Gene/Summary?db=core;g=ENSMUSG00000036155","ENSMUSG00000036155")</f>
        <v>ENSMUSG00000036155</v>
      </c>
      <c r="I2225" s="7" t="str">
        <f>HYPERLINK("http://www.informatics.jax.org/marker/MGI:894701","MGI:894701")</f>
        <v>MGI:894701</v>
      </c>
      <c r="J2225" s="4" t="s">
        <v>12</v>
      </c>
    </row>
    <row r="2226" spans="1:10" x14ac:dyDescent="0.25">
      <c r="A2226" s="2">
        <v>438.337942376564</v>
      </c>
      <c r="B2226" s="3">
        <v>0.57199307418512002</v>
      </c>
      <c r="C2226" s="5">
        <v>1.0476686093654699E-9</v>
      </c>
      <c r="D2226" s="6">
        <v>5.6156632173653498E-9</v>
      </c>
      <c r="E2226" s="3" t="s">
        <v>7376</v>
      </c>
      <c r="F2226" s="3" t="s">
        <v>7377</v>
      </c>
      <c r="G2226" s="3">
        <v>208449</v>
      </c>
      <c r="H2226" s="7" t="str">
        <f>HYPERLINK("http://www.ensembl.org/Mus_musculus/Gene/Summary?db=core;g=ENSMUSG00000040451","ENSMUSG00000040451")</f>
        <v>ENSMUSG00000040451</v>
      </c>
      <c r="I2226" s="7" t="str">
        <f>HYPERLINK("http://www.informatics.jax.org/marker/MGI:2444110","MGI:2444110")</f>
        <v>MGI:2444110</v>
      </c>
      <c r="J2226" s="4" t="s">
        <v>12</v>
      </c>
    </row>
    <row r="2227" spans="1:10" x14ac:dyDescent="0.25">
      <c r="A2227" s="2">
        <v>502.89797108320403</v>
      </c>
      <c r="B2227" s="3">
        <v>0.57183517657164895</v>
      </c>
      <c r="C2227" s="5">
        <v>6.1591663105109203E-18</v>
      </c>
      <c r="D2227" s="6">
        <v>5.54353079156893E-17</v>
      </c>
      <c r="E2227" s="3" t="s">
        <v>4399</v>
      </c>
      <c r="F2227" s="3" t="s">
        <v>4400</v>
      </c>
      <c r="G2227" s="3">
        <v>29819</v>
      </c>
      <c r="H2227" s="7" t="str">
        <f>HYPERLINK("http://www.ensembl.org/Mus_musculus/Gene/Summary?db=core;g=ENSMUSG00000025920","ENSMUSG00000025920")</f>
        <v>ENSMUSG00000025920</v>
      </c>
      <c r="I2227" s="7" t="str">
        <f>HYPERLINK("http://www.informatics.jax.org/marker/MGI:1352508","MGI:1352508")</f>
        <v>MGI:1352508</v>
      </c>
      <c r="J2227" s="4" t="s">
        <v>12</v>
      </c>
    </row>
    <row r="2228" spans="1:10" x14ac:dyDescent="0.25">
      <c r="A2228" s="2">
        <v>1922.3659154438301</v>
      </c>
      <c r="B2228" s="3">
        <v>0.57171850178621197</v>
      </c>
      <c r="C2228" s="5">
        <v>8.8501201176059999E-29</v>
      </c>
      <c r="D2228" s="6">
        <v>1.2519682117589E-27</v>
      </c>
      <c r="E2228" s="3" t="s">
        <v>2806</v>
      </c>
      <c r="F2228" s="3" t="s">
        <v>2807</v>
      </c>
      <c r="G2228" s="3">
        <v>215632</v>
      </c>
      <c r="H2228" s="7" t="str">
        <f>HYPERLINK("http://www.ensembl.org/Mus_musculus/Gene/Summary?db=core;g=ENSMUSG00000026979","ENSMUSG00000026979")</f>
        <v>ENSMUSG00000026979</v>
      </c>
      <c r="I2228" s="7" t="str">
        <f>HYPERLINK("http://www.informatics.jax.org/marker/MGI:2674093","MGI:2674093")</f>
        <v>MGI:2674093</v>
      </c>
      <c r="J2228" s="4" t="s">
        <v>12</v>
      </c>
    </row>
    <row r="2229" spans="1:10" x14ac:dyDescent="0.25">
      <c r="A2229" s="2">
        <v>637.44421777382604</v>
      </c>
      <c r="B2229" s="3">
        <v>0.57155029457915396</v>
      </c>
      <c r="C2229" s="5">
        <v>3.5701571159033799E-18</v>
      </c>
      <c r="D2229" s="6">
        <v>3.2503923511364098E-17</v>
      </c>
      <c r="E2229" s="3" t="s">
        <v>4349</v>
      </c>
      <c r="F2229" s="3" t="s">
        <v>4350</v>
      </c>
      <c r="G2229" s="3">
        <v>20334</v>
      </c>
      <c r="H2229" s="7" t="str">
        <f>HYPERLINK("http://www.ensembl.org/Mus_musculus/Gene/Summary?db=core;g=ENSMUSG00000020986","ENSMUSG00000020986")</f>
        <v>ENSMUSG00000020986</v>
      </c>
      <c r="I2229" s="7" t="str">
        <f>HYPERLINK("http://www.informatics.jax.org/marker/MGI:1349635","MGI:1349635")</f>
        <v>MGI:1349635</v>
      </c>
      <c r="J2229" s="4" t="s">
        <v>12</v>
      </c>
    </row>
    <row r="2230" spans="1:10" x14ac:dyDescent="0.25">
      <c r="A2230" s="2">
        <v>310.73541824418299</v>
      </c>
      <c r="B2230" s="3">
        <v>0.57125329759711296</v>
      </c>
      <c r="C2230" s="5">
        <v>1.26123703746933E-13</v>
      </c>
      <c r="D2230" s="6">
        <v>8.9410431875362898E-13</v>
      </c>
      <c r="E2230" s="3" t="s">
        <v>5581</v>
      </c>
      <c r="F2230" s="3" t="s">
        <v>5582</v>
      </c>
      <c r="G2230" s="3">
        <v>67657</v>
      </c>
      <c r="H2230" s="7" t="str">
        <f>HYPERLINK("http://www.ensembl.org/Mus_musculus/Gene/Summary?db=core;g=ENSMUSG00000022827","ENSMUSG00000022827")</f>
        <v>ENSMUSG00000022827</v>
      </c>
      <c r="I2230" s="7" t="str">
        <f>HYPERLINK("http://www.informatics.jax.org/marker/MGI:1914907","MGI:1914907")</f>
        <v>MGI:1914907</v>
      </c>
      <c r="J2230" s="4" t="s">
        <v>12</v>
      </c>
    </row>
    <row r="2231" spans="1:10" x14ac:dyDescent="0.25">
      <c r="A2231" s="2">
        <v>28.402752018304401</v>
      </c>
      <c r="B2231" s="3">
        <v>0.57118165691583</v>
      </c>
      <c r="C2231" s="3">
        <v>2.0436110253801799E-2</v>
      </c>
      <c r="D2231" s="4">
        <v>4.7574087381061399E-2</v>
      </c>
      <c r="E2231" s="3" t="s">
        <v>16946</v>
      </c>
      <c r="F2231" s="3" t="s">
        <v>16947</v>
      </c>
      <c r="G2231" s="3" t="s">
        <v>83</v>
      </c>
      <c r="H2231" s="7" t="str">
        <f>HYPERLINK("http://www.ensembl.org/Mus_musculus/Gene/Summary?db=core;g=ENSMUSG00000104649","ENSMUSG00000104649")</f>
        <v>ENSMUSG00000104649</v>
      </c>
      <c r="I2231" s="7" t="str">
        <f>HYPERLINK("http://www.informatics.jax.org/marker/MGI:5663849","MGI:5663849")</f>
        <v>MGI:5663849</v>
      </c>
      <c r="J2231" s="4" t="s">
        <v>2683</v>
      </c>
    </row>
    <row r="2232" spans="1:10" x14ac:dyDescent="0.25">
      <c r="A2232" s="2">
        <v>1278.8274139954201</v>
      </c>
      <c r="B2232" s="3">
        <v>0.57116274747654605</v>
      </c>
      <c r="C2232" s="5">
        <v>3.3651345853932004E-27</v>
      </c>
      <c r="D2232" s="6">
        <v>4.4627070628079302E-26</v>
      </c>
      <c r="E2232" s="3" t="s">
        <v>2992</v>
      </c>
      <c r="F2232" s="3" t="s">
        <v>2993</v>
      </c>
      <c r="G2232" s="3">
        <v>11798</v>
      </c>
      <c r="H2232" s="7" t="str">
        <f>HYPERLINK("http://www.ensembl.org/Mus_musculus/Gene/Summary?db=core;g=ENSMUSG00000025860","ENSMUSG00000025860")</f>
        <v>ENSMUSG00000025860</v>
      </c>
      <c r="I2232" s="7" t="str">
        <f>HYPERLINK("http://www.informatics.jax.org/marker/MGI:107572","MGI:107572")</f>
        <v>MGI:107572</v>
      </c>
      <c r="J2232" s="4" t="s">
        <v>12</v>
      </c>
    </row>
    <row r="2233" spans="1:10" x14ac:dyDescent="0.25">
      <c r="A2233" s="2">
        <v>1107.87520230837</v>
      </c>
      <c r="B2233" s="3">
        <v>0.57085068850919396</v>
      </c>
      <c r="C2233" s="5">
        <v>2.5733345226699502E-19</v>
      </c>
      <c r="D2233" s="6">
        <v>2.4778396868677501E-18</v>
      </c>
      <c r="E2233" s="3" t="s">
        <v>4113</v>
      </c>
      <c r="F2233" s="3" t="s">
        <v>4114</v>
      </c>
      <c r="G2233" s="3">
        <v>17423</v>
      </c>
      <c r="H2233" s="7" t="str">
        <f>HYPERLINK("http://www.ensembl.org/Mus_musculus/Gene/Summary?db=core;g=ENSMUSG00000039308","ENSMUSG00000039308")</f>
        <v>ENSMUSG00000039308</v>
      </c>
      <c r="I2233" s="7" t="str">
        <f>HYPERLINK("http://www.informatics.jax.org/marker/MGI:97040","MGI:97040")</f>
        <v>MGI:97040</v>
      </c>
      <c r="J2233" s="4" t="s">
        <v>12</v>
      </c>
    </row>
    <row r="2234" spans="1:10" x14ac:dyDescent="0.25">
      <c r="A2234" s="2">
        <v>188.62857672400301</v>
      </c>
      <c r="B2234" s="3">
        <v>0.57016328741228295</v>
      </c>
      <c r="C2234" s="5">
        <v>7.1924952636378697E-9</v>
      </c>
      <c r="D2234" s="6">
        <v>3.6081405901536199E-8</v>
      </c>
      <c r="E2234" s="3" t="s">
        <v>7878</v>
      </c>
      <c r="F2234" s="3" t="s">
        <v>7879</v>
      </c>
      <c r="G2234" s="3">
        <v>21899</v>
      </c>
      <c r="H2234" s="7" t="str">
        <f>HYPERLINK("http://www.ensembl.org/Mus_musculus/Gene/Summary?db=core;g=ENSMUSG00000051498","ENSMUSG00000051498")</f>
        <v>ENSMUSG00000051498</v>
      </c>
      <c r="I2234" s="7" t="str">
        <f>HYPERLINK("http://www.informatics.jax.org/marker/MGI:1341296","MGI:1341296")</f>
        <v>MGI:1341296</v>
      </c>
      <c r="J2234" s="4" t="s">
        <v>12</v>
      </c>
    </row>
    <row r="2235" spans="1:10" x14ac:dyDescent="0.25">
      <c r="A2235" s="2">
        <v>13013.8112919174</v>
      </c>
      <c r="B2235" s="3">
        <v>0.57006945989403701</v>
      </c>
      <c r="C2235" s="5">
        <v>2.8488654860544803E-17</v>
      </c>
      <c r="D2235" s="6">
        <v>2.4661820625546299E-16</v>
      </c>
      <c r="E2235" s="3" t="s">
        <v>4573</v>
      </c>
      <c r="F2235" s="3" t="s">
        <v>4574</v>
      </c>
      <c r="G2235" s="3">
        <v>22628</v>
      </c>
      <c r="H2235" s="7" t="str">
        <f>HYPERLINK("http://www.ensembl.org/Mus_musculus/Gene/Summary?db=core;g=ENSMUSG00000051391","ENSMUSG00000051391")</f>
        <v>ENSMUSG00000051391</v>
      </c>
      <c r="I2235" s="7" t="str">
        <f>HYPERLINK("http://www.informatics.jax.org/marker/MGI:108109","MGI:108109")</f>
        <v>MGI:108109</v>
      </c>
      <c r="J2235" s="4" t="s">
        <v>12</v>
      </c>
    </row>
    <row r="2236" spans="1:10" x14ac:dyDescent="0.25">
      <c r="A2236" s="2">
        <v>1067.8964840512999</v>
      </c>
      <c r="B2236" s="3">
        <v>0.56935346616180105</v>
      </c>
      <c r="C2236" s="5">
        <v>6.7217767308860797E-19</v>
      </c>
      <c r="D2236" s="6">
        <v>6.3574789991881802E-18</v>
      </c>
      <c r="E2236" s="3" t="s">
        <v>4187</v>
      </c>
      <c r="F2236" s="3" t="s">
        <v>4188</v>
      </c>
      <c r="G2236" s="3">
        <v>228836</v>
      </c>
      <c r="H2236" s="7" t="str">
        <f>HYPERLINK("http://www.ensembl.org/Mus_musculus/Gene/Summary?db=core;g=ENSMUSG00000061689","ENSMUSG00000061689")</f>
        <v>ENSMUSG00000061689</v>
      </c>
      <c r="I2236" s="7" t="str">
        <f>HYPERLINK("http://www.informatics.jax.org/marker/MGI:2138865","MGI:2138865")</f>
        <v>MGI:2138865</v>
      </c>
      <c r="J2236" s="4" t="s">
        <v>12</v>
      </c>
    </row>
    <row r="2237" spans="1:10" x14ac:dyDescent="0.25">
      <c r="A2237" s="2">
        <v>3276.3887178540899</v>
      </c>
      <c r="B2237" s="3">
        <v>0.56887895342817196</v>
      </c>
      <c r="C2237" s="5">
        <v>3.3604988309513701E-28</v>
      </c>
      <c r="D2237" s="6">
        <v>4.6341983878574099E-27</v>
      </c>
      <c r="E2237" s="3" t="s">
        <v>2878</v>
      </c>
      <c r="F2237" s="3" t="s">
        <v>2879</v>
      </c>
      <c r="G2237" s="3">
        <v>72349</v>
      </c>
      <c r="H2237" s="7" t="str">
        <f>HYPERLINK("http://www.ensembl.org/Mus_musculus/Gene/Summary?db=core;g=ENSMUSG00000003518","ENSMUSG00000003518")</f>
        <v>ENSMUSG00000003518</v>
      </c>
      <c r="I2237" s="7" t="str">
        <f>HYPERLINK("http://www.informatics.jax.org/marker/MGI:1919599","MGI:1919599")</f>
        <v>MGI:1919599</v>
      </c>
      <c r="J2237" s="4" t="s">
        <v>12</v>
      </c>
    </row>
    <row r="2238" spans="1:10" x14ac:dyDescent="0.25">
      <c r="A2238" s="2">
        <v>424.71852607953298</v>
      </c>
      <c r="B2238" s="3">
        <v>0.56814608383425802</v>
      </c>
      <c r="C2238" s="5">
        <v>1.3347834578438701E-6</v>
      </c>
      <c r="D2238" s="6">
        <v>5.4508034352207802E-6</v>
      </c>
      <c r="E2238" s="3" t="s">
        <v>9673</v>
      </c>
      <c r="F2238" s="3" t="s">
        <v>9674</v>
      </c>
      <c r="G2238" s="3">
        <v>625098</v>
      </c>
      <c r="H2238" s="7" t="str">
        <f>HYPERLINK("http://www.ensembl.org/Mus_musculus/Gene/Summary?db=core;g=ENSMUSG00000044712","ENSMUSG00000044712")</f>
        <v>ENSMUSG00000044712</v>
      </c>
      <c r="I2238" s="7" t="str">
        <f>HYPERLINK("http://www.informatics.jax.org/marker/MGI:3648156","MGI:3648156")</f>
        <v>MGI:3648156</v>
      </c>
      <c r="J2238" s="4" t="s">
        <v>12</v>
      </c>
    </row>
    <row r="2239" spans="1:10" x14ac:dyDescent="0.25">
      <c r="A2239" s="2">
        <v>188.62858791776</v>
      </c>
      <c r="B2239" s="3">
        <v>0.56793530930349101</v>
      </c>
      <c r="C2239" s="3">
        <v>7.8714659241391205E-4</v>
      </c>
      <c r="D2239" s="4">
        <v>2.3568980872156601E-3</v>
      </c>
      <c r="E2239" s="3" t="s">
        <v>13181</v>
      </c>
      <c r="F2239" s="3" t="s">
        <v>13182</v>
      </c>
      <c r="G2239" s="3">
        <v>383295</v>
      </c>
      <c r="H2239" s="7" t="str">
        <f>HYPERLINK("http://www.ensembl.org/Mus_musculus/Gene/Summary?db=core;g=ENSMUSG00000039770","ENSMUSG00000039770")</f>
        <v>ENSMUSG00000039770</v>
      </c>
      <c r="I2239" s="7" t="str">
        <f>HYPERLINK("http://www.informatics.jax.org/marker/MGI:1916937","MGI:1916937")</f>
        <v>MGI:1916937</v>
      </c>
      <c r="J2239" s="4" t="s">
        <v>12</v>
      </c>
    </row>
    <row r="2240" spans="1:10" x14ac:dyDescent="0.25">
      <c r="A2240" s="2">
        <v>1370.7339879500701</v>
      </c>
      <c r="B2240" s="3">
        <v>0.56780217936885602</v>
      </c>
      <c r="C2240" s="5">
        <v>4.40028251184195E-17</v>
      </c>
      <c r="D2240" s="6">
        <v>3.7662140248924998E-16</v>
      </c>
      <c r="E2240" s="3" t="s">
        <v>4625</v>
      </c>
      <c r="F2240" s="3" t="s">
        <v>4626</v>
      </c>
      <c r="G2240" s="3">
        <v>21937</v>
      </c>
      <c r="H2240" s="7" t="str">
        <f>HYPERLINK("http://www.ensembl.org/Mus_musculus/Gene/Summary?db=core;g=ENSMUSG00000030341","ENSMUSG00000030341")</f>
        <v>ENSMUSG00000030341</v>
      </c>
      <c r="I2240" s="7" t="str">
        <f>HYPERLINK("http://www.informatics.jax.org/marker/MGI:1314884","MGI:1314884")</f>
        <v>MGI:1314884</v>
      </c>
      <c r="J2240" s="4" t="s">
        <v>12</v>
      </c>
    </row>
    <row r="2241" spans="1:10" x14ac:dyDescent="0.25">
      <c r="A2241" s="2">
        <v>1804.3684016156501</v>
      </c>
      <c r="B2241" s="3">
        <v>0.56778438826139499</v>
      </c>
      <c r="C2241" s="5">
        <v>8.1463761519336102E-24</v>
      </c>
      <c r="D2241" s="6">
        <v>9.5000909353122896E-23</v>
      </c>
      <c r="E2241" s="3" t="s">
        <v>3400</v>
      </c>
      <c r="F2241" s="3" t="s">
        <v>3401</v>
      </c>
      <c r="G2241" s="3">
        <v>224273</v>
      </c>
      <c r="H2241" s="7" t="str">
        <f>HYPERLINK("http://www.ensembl.org/Mus_musculus/Gene/Summary?db=core;g=ENSMUSG00000022723","ENSMUSG00000022723")</f>
        <v>ENSMUSG00000022723</v>
      </c>
      <c r="I2241" s="7" t="str">
        <f>HYPERLINK("http://www.informatics.jax.org/marker/MGI:2676311","MGI:2676311")</f>
        <v>MGI:2676311</v>
      </c>
      <c r="J2241" s="4" t="s">
        <v>12</v>
      </c>
    </row>
    <row r="2242" spans="1:10" x14ac:dyDescent="0.25">
      <c r="A2242" s="2">
        <v>716.34476324130605</v>
      </c>
      <c r="B2242" s="3">
        <v>0.56686313503396701</v>
      </c>
      <c r="C2242" s="5">
        <v>1.5786065647880201E-11</v>
      </c>
      <c r="D2242" s="6">
        <v>9.7251238543017102E-11</v>
      </c>
      <c r="E2242" s="3" t="s">
        <v>6419</v>
      </c>
      <c r="F2242" s="3" t="s">
        <v>6420</v>
      </c>
      <c r="G2242" s="3">
        <v>22320</v>
      </c>
      <c r="H2242" s="7" t="str">
        <f>HYPERLINK("http://www.ensembl.org/Mus_musculus/Gene/Summary?db=core;g=ENSMUSG00000050732","ENSMUSG00000050732")</f>
        <v>ENSMUSG00000050732</v>
      </c>
      <c r="I2242" s="7" t="str">
        <f>HYPERLINK("http://www.informatics.jax.org/marker/MGI:1336882","MGI:1336882")</f>
        <v>MGI:1336882</v>
      </c>
      <c r="J2242" s="4" t="s">
        <v>12</v>
      </c>
    </row>
    <row r="2243" spans="1:10" x14ac:dyDescent="0.25">
      <c r="A2243" s="2">
        <v>1272.69691126308</v>
      </c>
      <c r="B2243" s="3">
        <v>0.56625993935815999</v>
      </c>
      <c r="C2243" s="5">
        <v>1.5512636964738801E-8</v>
      </c>
      <c r="D2243" s="6">
        <v>7.5570454778816699E-8</v>
      </c>
      <c r="E2243" s="3" t="s">
        <v>8113</v>
      </c>
      <c r="F2243" s="3" t="s">
        <v>8114</v>
      </c>
      <c r="G2243" s="3">
        <v>80291</v>
      </c>
      <c r="H2243" s="7" t="str">
        <f>HYPERLINK("http://www.ensembl.org/Mus_musculus/Gene/Summary?db=core;g=ENSMUSG00000029401","ENSMUSG00000029401")</f>
        <v>ENSMUSG00000029401</v>
      </c>
      <c r="I2243" s="7" t="str">
        <f>HYPERLINK("http://www.informatics.jax.org/marker/MGI:1933112","MGI:1933112")</f>
        <v>MGI:1933112</v>
      </c>
      <c r="J2243" s="4" t="s">
        <v>12</v>
      </c>
    </row>
    <row r="2244" spans="1:10" x14ac:dyDescent="0.25">
      <c r="A2244" s="2">
        <v>5119.1254719563303</v>
      </c>
      <c r="B2244" s="3">
        <v>0.56489293389463902</v>
      </c>
      <c r="C2244" s="5">
        <v>8.59456097139753E-23</v>
      </c>
      <c r="D2244" s="6">
        <v>9.6462573907774204E-22</v>
      </c>
      <c r="E2244" s="3" t="s">
        <v>3532</v>
      </c>
      <c r="F2244" s="3" t="s">
        <v>3533</v>
      </c>
      <c r="G2244" s="3">
        <v>21453</v>
      </c>
      <c r="H2244" s="7" t="str">
        <f>HYPERLINK("http://www.ensembl.org/Mus_musculus/Gene/Summary?db=core;g=ENSMUSG00000024613","ENSMUSG00000024613")</f>
        <v>ENSMUSG00000024613</v>
      </c>
      <c r="I2244" s="7" t="str">
        <f>HYPERLINK("http://www.informatics.jax.org/marker/MGI:892003","MGI:892003")</f>
        <v>MGI:892003</v>
      </c>
      <c r="J2244" s="4" t="s">
        <v>12</v>
      </c>
    </row>
    <row r="2245" spans="1:10" x14ac:dyDescent="0.25">
      <c r="A2245" s="2">
        <v>312.62124845919601</v>
      </c>
      <c r="B2245" s="3">
        <v>0.56442404859971695</v>
      </c>
      <c r="C2245" s="5">
        <v>5.8409204829699503E-5</v>
      </c>
      <c r="D2245" s="4">
        <v>2.0200447548959601E-4</v>
      </c>
      <c r="E2245" s="3" t="s">
        <v>11415</v>
      </c>
      <c r="F2245" s="3" t="s">
        <v>11416</v>
      </c>
      <c r="G2245" s="3">
        <v>56490</v>
      </c>
      <c r="H2245" s="7" t="str">
        <f>HYPERLINK("http://www.ensembl.org/Mus_musculus/Gene/Summary?db=core;g=ENSMUSG00000022708","ENSMUSG00000022708")</f>
        <v>ENSMUSG00000022708</v>
      </c>
      <c r="I2245" s="7" t="str">
        <f>HYPERLINK("http://www.informatics.jax.org/marker/MGI:1929213","MGI:1929213")</f>
        <v>MGI:1929213</v>
      </c>
      <c r="J2245" s="4" t="s">
        <v>12</v>
      </c>
    </row>
    <row r="2246" spans="1:10" x14ac:dyDescent="0.25">
      <c r="A2246" s="2">
        <v>1950.03915928378</v>
      </c>
      <c r="B2246" s="3">
        <v>0.56439276693954199</v>
      </c>
      <c r="C2246" s="5">
        <v>1.62242091302673E-40</v>
      </c>
      <c r="D2246" s="6">
        <v>3.3607290341268002E-39</v>
      </c>
      <c r="E2246" s="3" t="s">
        <v>1921</v>
      </c>
      <c r="F2246" s="3" t="s">
        <v>1922</v>
      </c>
      <c r="G2246" s="3">
        <v>21927</v>
      </c>
      <c r="H2246" s="7" t="str">
        <f>HYPERLINK("http://www.ensembl.org/Mus_musculus/Gene/Summary?db=core;g=ENSMUSG00000017615","ENSMUSG00000017615")</f>
        <v>ENSMUSG00000017615</v>
      </c>
      <c r="I2246" s="7" t="str">
        <f>HYPERLINK("http://www.informatics.jax.org/marker/MGI:104961","MGI:104961")</f>
        <v>MGI:104961</v>
      </c>
      <c r="J2246" s="4" t="s">
        <v>12</v>
      </c>
    </row>
    <row r="2247" spans="1:10" x14ac:dyDescent="0.25">
      <c r="A2247" s="2">
        <v>150.54524166927001</v>
      </c>
      <c r="B2247" s="3">
        <v>0.564072776854878</v>
      </c>
      <c r="C2247" s="5">
        <v>2.95463454941265E-7</v>
      </c>
      <c r="D2247" s="6">
        <v>1.2901991433662E-6</v>
      </c>
      <c r="E2247" s="3" t="s">
        <v>9047</v>
      </c>
      <c r="F2247" s="3" t="s">
        <v>9048</v>
      </c>
      <c r="G2247" s="3">
        <v>269870</v>
      </c>
      <c r="H2247" s="7" t="str">
        <f>HYPERLINK("http://www.ensembl.org/Mus_musculus/Gene/Summary?db=core;g=ENSMUSG00000033961","ENSMUSG00000033961")</f>
        <v>ENSMUSG00000033961</v>
      </c>
      <c r="I2247" s="7" t="str">
        <f>HYPERLINK("http://www.informatics.jax.org/marker/MGI:2442185","MGI:2442185")</f>
        <v>MGI:2442185</v>
      </c>
      <c r="J2247" s="4" t="s">
        <v>12</v>
      </c>
    </row>
    <row r="2248" spans="1:10" x14ac:dyDescent="0.25">
      <c r="A2248" s="2">
        <v>1043.4965290678199</v>
      </c>
      <c r="B2248" s="3">
        <v>0.56382055107195495</v>
      </c>
      <c r="C2248" s="5">
        <v>8.1050819102424003E-12</v>
      </c>
      <c r="D2248" s="6">
        <v>5.1015708672192802E-11</v>
      </c>
      <c r="E2248" s="3" t="s">
        <v>6283</v>
      </c>
      <c r="F2248" s="3" t="s">
        <v>6284</v>
      </c>
      <c r="G2248" s="3">
        <v>245944</v>
      </c>
      <c r="H2248" s="7" t="str">
        <f>HYPERLINK("http://www.ensembl.org/Mus_musculus/Gene/Summary?db=core;g=ENSMUSG00000020128","ENSMUSG00000020128")</f>
        <v>ENSMUSG00000020128</v>
      </c>
      <c r="I2248" s="7" t="str">
        <f>HYPERLINK("http://www.informatics.jax.org/marker/MGI:2178798","MGI:2178798")</f>
        <v>MGI:2178798</v>
      </c>
      <c r="J2248" s="4" t="s">
        <v>12</v>
      </c>
    </row>
    <row r="2249" spans="1:10" x14ac:dyDescent="0.25">
      <c r="A2249" s="2">
        <v>613.72870579413302</v>
      </c>
      <c r="B2249" s="3">
        <v>0.56377765034424998</v>
      </c>
      <c r="C2249" s="5">
        <v>5.1327834747326202E-6</v>
      </c>
      <c r="D2249" s="6">
        <v>1.97846931434182E-5</v>
      </c>
      <c r="E2249" s="3" t="s">
        <v>10246</v>
      </c>
      <c r="F2249" s="3" t="s">
        <v>10247</v>
      </c>
      <c r="G2249" s="3">
        <v>207728</v>
      </c>
      <c r="H2249" s="7" t="str">
        <f>HYPERLINK("http://www.ensembl.org/Mus_musculus/Gene/Summary?db=core;g=ENSMUSG00000110195","ENSMUSG00000110195")</f>
        <v>ENSMUSG00000110195</v>
      </c>
      <c r="I2249" s="7" t="str">
        <f>HYPERLINK("http://www.informatics.jax.org/marker/MGI:2446107","MGI:2446107")</f>
        <v>MGI:2446107</v>
      </c>
      <c r="J2249" s="4" t="s">
        <v>12</v>
      </c>
    </row>
    <row r="2250" spans="1:10" x14ac:dyDescent="0.25">
      <c r="A2250" s="2">
        <v>2304.7064822908001</v>
      </c>
      <c r="B2250" s="3">
        <v>0.56318647593787496</v>
      </c>
      <c r="C2250" s="5">
        <v>9.481908046512221E-16</v>
      </c>
      <c r="D2250" s="6">
        <v>7.5457315043269101E-15</v>
      </c>
      <c r="E2250" s="3" t="s">
        <v>4973</v>
      </c>
      <c r="F2250" s="3" t="s">
        <v>4974</v>
      </c>
      <c r="G2250" s="3">
        <v>67268</v>
      </c>
      <c r="H2250" s="7" t="str">
        <f>HYPERLINK("http://www.ensembl.org/Mus_musculus/Gene/Summary?db=core;g=ENSMUSG00000024048","ENSMUSG00000024048")</f>
        <v>ENSMUSG00000024048</v>
      </c>
      <c r="I2250" s="7" t="str">
        <f>HYPERLINK("http://www.informatics.jax.org/marker/MGI:1914518","MGI:1914518")</f>
        <v>MGI:1914518</v>
      </c>
      <c r="J2250" s="4" t="s">
        <v>12</v>
      </c>
    </row>
    <row r="2251" spans="1:10" x14ac:dyDescent="0.25">
      <c r="A2251" s="2">
        <v>935.04135364774697</v>
      </c>
      <c r="B2251" s="3">
        <v>0.56301962049000398</v>
      </c>
      <c r="C2251" s="5">
        <v>4.5639527717351203E-20</v>
      </c>
      <c r="D2251" s="6">
        <v>4.5363482186802696E-19</v>
      </c>
      <c r="E2251" s="3" t="s">
        <v>3986</v>
      </c>
      <c r="F2251" s="3" t="s">
        <v>3987</v>
      </c>
      <c r="G2251" s="3">
        <v>67588</v>
      </c>
      <c r="H2251" s="7" t="str">
        <f>HYPERLINK("http://www.ensembl.org/Mus_musculus/Gene/Summary?db=core;g=ENSMUSG00000025373","ENSMUSG00000025373")</f>
        <v>ENSMUSG00000025373</v>
      </c>
      <c r="I2251" s="7" t="str">
        <f>HYPERLINK("http://www.informatics.jax.org/marker/MGI:1914838","MGI:1914838")</f>
        <v>MGI:1914838</v>
      </c>
      <c r="J2251" s="4" t="s">
        <v>12</v>
      </c>
    </row>
    <row r="2252" spans="1:10" x14ac:dyDescent="0.25">
      <c r="A2252" s="2">
        <v>840.29976415802003</v>
      </c>
      <c r="B2252" s="3">
        <v>0.56287110121232098</v>
      </c>
      <c r="C2252" s="5">
        <v>6.8714567569885998E-12</v>
      </c>
      <c r="D2252" s="6">
        <v>4.3500843418239197E-11</v>
      </c>
      <c r="E2252" s="3" t="s">
        <v>6247</v>
      </c>
      <c r="F2252" s="3" t="s">
        <v>6248</v>
      </c>
      <c r="G2252" s="3">
        <v>69146</v>
      </c>
      <c r="H2252" s="7" t="str">
        <f>HYPERLINK("http://www.ensembl.org/Mus_musculus/Gene/Summary?db=core;g=ENSMUSG00000022575","ENSMUSG00000022575")</f>
        <v>ENSMUSG00000022575</v>
      </c>
      <c r="I2252" s="7" t="str">
        <f>HYPERLINK("http://www.informatics.jax.org/marker/MGI:1916396","MGI:1916396")</f>
        <v>MGI:1916396</v>
      </c>
      <c r="J2252" s="4" t="s">
        <v>12</v>
      </c>
    </row>
    <row r="2253" spans="1:10" x14ac:dyDescent="0.25">
      <c r="A2253" s="2">
        <v>996.87485518475899</v>
      </c>
      <c r="B2253" s="3">
        <v>0.56243294716679904</v>
      </c>
      <c r="C2253" s="5">
        <v>2.3881866607600701E-20</v>
      </c>
      <c r="D2253" s="6">
        <v>2.4064916172809701E-19</v>
      </c>
      <c r="E2253" s="3" t="s">
        <v>3932</v>
      </c>
      <c r="F2253" s="3" t="s">
        <v>3933</v>
      </c>
      <c r="G2253" s="3">
        <v>67010</v>
      </c>
      <c r="H2253" s="7" t="str">
        <f>HYPERLINK("http://www.ensembl.org/Mus_musculus/Gene/Summary?db=core;g=ENSMUSG00000042396","ENSMUSG00000042396")</f>
        <v>ENSMUSG00000042396</v>
      </c>
      <c r="I2253" s="7" t="str">
        <f>HYPERLINK("http://www.informatics.jax.org/marker/MGI:1914260","MGI:1914260")</f>
        <v>MGI:1914260</v>
      </c>
      <c r="J2253" s="4" t="s">
        <v>12</v>
      </c>
    </row>
    <row r="2254" spans="1:10" x14ac:dyDescent="0.25">
      <c r="A2254" s="2">
        <v>268.79693427857097</v>
      </c>
      <c r="B2254" s="3">
        <v>0.56197427017797297</v>
      </c>
      <c r="C2254" s="5">
        <v>7.7595170147064198E-12</v>
      </c>
      <c r="D2254" s="6">
        <v>4.8903060252480199E-11</v>
      </c>
      <c r="E2254" s="3" t="s">
        <v>6275</v>
      </c>
      <c r="F2254" s="3" t="s">
        <v>6276</v>
      </c>
      <c r="G2254" s="3">
        <v>19338</v>
      </c>
      <c r="H2254" s="7" t="str">
        <f>HYPERLINK("http://www.ensembl.org/Mus_musculus/Gene/Summary?db=core;g=ENSMUSG00000027739","ENSMUSG00000027739")</f>
        <v>ENSMUSG00000027739</v>
      </c>
      <c r="I2254" s="7" t="str">
        <f>HYPERLINK("http://www.informatics.jax.org/marker/MGI:1330805","MGI:1330805")</f>
        <v>MGI:1330805</v>
      </c>
      <c r="J2254" s="4" t="s">
        <v>12</v>
      </c>
    </row>
    <row r="2255" spans="1:10" x14ac:dyDescent="0.25">
      <c r="A2255" s="2">
        <v>39.500191911817602</v>
      </c>
      <c r="B2255" s="3">
        <v>0.56185827454378801</v>
      </c>
      <c r="C2255" s="3">
        <v>3.1818670271764999E-3</v>
      </c>
      <c r="D2255" s="4">
        <v>8.6896497967490598E-3</v>
      </c>
      <c r="E2255" s="3" t="s">
        <v>14443</v>
      </c>
      <c r="F2255" s="3" t="s">
        <v>14444</v>
      </c>
      <c r="G2255" s="3" t="s">
        <v>83</v>
      </c>
      <c r="H2255" s="7" t="str">
        <f>HYPERLINK("http://www.ensembl.org/Mus_musculus/Gene/Summary?db=core;g=ENSMUSG00000043024","ENSMUSG00000043024")</f>
        <v>ENSMUSG00000043024</v>
      </c>
      <c r="I2255" s="7" t="str">
        <f>HYPERLINK("http://www.informatics.jax.org/marker/MGI:3645626","MGI:3645626")</f>
        <v>MGI:3645626</v>
      </c>
      <c r="J2255" s="4" t="s">
        <v>1043</v>
      </c>
    </row>
    <row r="2256" spans="1:10" x14ac:dyDescent="0.25">
      <c r="A2256" s="2">
        <v>836.01725708187701</v>
      </c>
      <c r="B2256" s="3">
        <v>0.56180872560388395</v>
      </c>
      <c r="C2256" s="5">
        <v>1.96023552731749E-21</v>
      </c>
      <c r="D2256" s="6">
        <v>2.06605262419567E-20</v>
      </c>
      <c r="E2256" s="3" t="s">
        <v>3760</v>
      </c>
      <c r="F2256" s="3" t="s">
        <v>3761</v>
      </c>
      <c r="G2256" s="3">
        <v>72611</v>
      </c>
      <c r="H2256" s="7" t="str">
        <f>HYPERLINK("http://www.ensembl.org/Mus_musculus/Gene/Summary?db=core;g=ENSMUSG00000007812","ENSMUSG00000007812")</f>
        <v>ENSMUSG00000007812</v>
      </c>
      <c r="I2256" s="7" t="str">
        <f>HYPERLINK("http://www.informatics.jax.org/marker/MGI:1919861","MGI:1919861")</f>
        <v>MGI:1919861</v>
      </c>
      <c r="J2256" s="4" t="s">
        <v>12</v>
      </c>
    </row>
    <row r="2257" spans="1:10" x14ac:dyDescent="0.25">
      <c r="A2257" s="2">
        <v>255.05151515077</v>
      </c>
      <c r="B2257" s="3">
        <v>0.561778465879744</v>
      </c>
      <c r="C2257" s="3">
        <v>1.3862232378391101E-4</v>
      </c>
      <c r="D2257" s="4">
        <v>4.5920245674764402E-4</v>
      </c>
      <c r="E2257" s="3" t="s">
        <v>11917</v>
      </c>
      <c r="F2257" s="3" t="s">
        <v>11918</v>
      </c>
      <c r="G2257" s="3" t="s">
        <v>83</v>
      </c>
      <c r="H2257" s="7" t="str">
        <f>HYPERLINK("http://www.ensembl.org/Mus_musculus/Gene/Summary?db=core;g=ENSMUSG00000100157","ENSMUSG00000100157")</f>
        <v>ENSMUSG00000100157</v>
      </c>
      <c r="I2257" s="7" t="str">
        <f>HYPERLINK("http://www.informatics.jax.org/marker/MGI:1916821","MGI:1916821")</f>
        <v>MGI:1916821</v>
      </c>
      <c r="J2257" s="4" t="s">
        <v>939</v>
      </c>
    </row>
    <row r="2258" spans="1:10" x14ac:dyDescent="0.25">
      <c r="A2258" s="2">
        <v>606.63531336243602</v>
      </c>
      <c r="B2258" s="3">
        <v>0.56119999521946295</v>
      </c>
      <c r="C2258" s="5">
        <v>6.8115244221741199E-10</v>
      </c>
      <c r="D2258" s="6">
        <v>3.6942591200570302E-9</v>
      </c>
      <c r="E2258" s="3" t="s">
        <v>7290</v>
      </c>
      <c r="F2258" s="3" t="s">
        <v>7291</v>
      </c>
      <c r="G2258" s="3">
        <v>109676</v>
      </c>
      <c r="H2258" s="7" t="str">
        <f>HYPERLINK("http://www.ensembl.org/Mus_musculus/Gene/Summary?db=core;g=ENSMUSG00000032826","ENSMUSG00000032826")</f>
        <v>ENSMUSG00000032826</v>
      </c>
      <c r="I2258" s="7" t="str">
        <f>HYPERLINK("http://www.informatics.jax.org/marker/MGI:88025","MGI:88025")</f>
        <v>MGI:88025</v>
      </c>
      <c r="J2258" s="4" t="s">
        <v>12</v>
      </c>
    </row>
    <row r="2259" spans="1:10" x14ac:dyDescent="0.25">
      <c r="A2259" s="2">
        <v>1929.45539683693</v>
      </c>
      <c r="B2259" s="3">
        <v>0.56114012668388502</v>
      </c>
      <c r="C2259" s="5">
        <v>4.5352327380452898E-34</v>
      </c>
      <c r="D2259" s="6">
        <v>7.6049991151575806E-33</v>
      </c>
      <c r="E2259" s="3" t="s">
        <v>2369</v>
      </c>
      <c r="F2259" s="3" t="s">
        <v>2370</v>
      </c>
      <c r="G2259" s="3">
        <v>74522</v>
      </c>
      <c r="H2259" s="7" t="str">
        <f>HYPERLINK("http://www.ensembl.org/Mus_musculus/Gene/Summary?db=core;g=ENSMUSG00000034543","ENSMUSG00000034543")</f>
        <v>ENSMUSG00000034543</v>
      </c>
      <c r="I2259" s="7" t="str">
        <f>HYPERLINK("http://www.informatics.jax.org/marker/MGI:1921772","MGI:1921772")</f>
        <v>MGI:1921772</v>
      </c>
      <c r="J2259" s="4" t="s">
        <v>12</v>
      </c>
    </row>
    <row r="2260" spans="1:10" x14ac:dyDescent="0.25">
      <c r="A2260" s="2">
        <v>93.441970544851401</v>
      </c>
      <c r="B2260" s="3">
        <v>0.56044564166283495</v>
      </c>
      <c r="C2260" s="5">
        <v>5.7029519822260104E-6</v>
      </c>
      <c r="D2260" s="6">
        <v>2.1896848342970601E-5</v>
      </c>
      <c r="E2260" s="3" t="s">
        <v>10286</v>
      </c>
      <c r="F2260" s="3" t="s">
        <v>10287</v>
      </c>
      <c r="G2260" s="3">
        <v>381110</v>
      </c>
      <c r="H2260" s="7" t="str">
        <f>HYPERLINK("http://www.ensembl.org/Mus_musculus/Gene/Summary?db=core;g=ENSMUSG00000036368","ENSMUSG00000036368")</f>
        <v>ENSMUSG00000036368</v>
      </c>
      <c r="I2260" s="7" t="str">
        <f>HYPERLINK("http://www.informatics.jax.org/marker/MGI:2147043","MGI:2147043")</f>
        <v>MGI:2147043</v>
      </c>
      <c r="J2260" s="4" t="s">
        <v>12</v>
      </c>
    </row>
    <row r="2261" spans="1:10" x14ac:dyDescent="0.25">
      <c r="A2261" s="2">
        <v>7324.4182609216296</v>
      </c>
      <c r="B2261" s="3">
        <v>0.56030228028951301</v>
      </c>
      <c r="C2261" s="5">
        <v>2.61484471010794E-8</v>
      </c>
      <c r="D2261" s="6">
        <v>1.2488432473559801E-7</v>
      </c>
      <c r="E2261" s="3" t="s">
        <v>8275</v>
      </c>
      <c r="F2261" s="3" t="s">
        <v>8276</v>
      </c>
      <c r="G2261" s="3">
        <v>70223</v>
      </c>
      <c r="H2261" s="7" t="str">
        <f>HYPERLINK("http://www.ensembl.org/Mus_musculus/Gene/Summary?db=core;g=ENSMUSG00000024587","ENSMUSG00000024587")</f>
        <v>ENSMUSG00000024587</v>
      </c>
      <c r="I2261" s="7" t="str">
        <f>HYPERLINK("http://www.informatics.jax.org/marker/MGI:1917473","MGI:1917473")</f>
        <v>MGI:1917473</v>
      </c>
      <c r="J2261" s="4" t="s">
        <v>12</v>
      </c>
    </row>
    <row r="2262" spans="1:10" x14ac:dyDescent="0.25">
      <c r="A2262" s="2">
        <v>1043.6995693189499</v>
      </c>
      <c r="B2262" s="3">
        <v>0.55997185894870605</v>
      </c>
      <c r="C2262" s="3">
        <v>1.2745578987343199E-4</v>
      </c>
      <c r="D2262" s="4">
        <v>4.24207287139928E-4</v>
      </c>
      <c r="E2262" s="3" t="s">
        <v>11861</v>
      </c>
      <c r="F2262" s="3" t="s">
        <v>11862</v>
      </c>
      <c r="G2262" s="3">
        <v>14129</v>
      </c>
      <c r="H2262" s="7" t="str">
        <f>HYPERLINK("http://www.ensembl.org/Mus_musculus/Gene/Summary?db=core;g=ENSMUSG00000015947","ENSMUSG00000015947")</f>
        <v>ENSMUSG00000015947</v>
      </c>
      <c r="I2262" s="7" t="str">
        <f>HYPERLINK("http://www.informatics.jax.org/marker/MGI:95498","MGI:95498")</f>
        <v>MGI:95498</v>
      </c>
      <c r="J2262" s="4" t="s">
        <v>12</v>
      </c>
    </row>
    <row r="2263" spans="1:10" x14ac:dyDescent="0.25">
      <c r="A2263" s="2">
        <v>325.44954069438899</v>
      </c>
      <c r="B2263" s="3">
        <v>0.55976005811683505</v>
      </c>
      <c r="C2263" s="5">
        <v>3.80540767475987E-14</v>
      </c>
      <c r="D2263" s="6">
        <v>2.77832800245333E-13</v>
      </c>
      <c r="E2263" s="3" t="s">
        <v>5419</v>
      </c>
      <c r="F2263" s="3" t="s">
        <v>5420</v>
      </c>
      <c r="G2263" s="3">
        <v>110599584</v>
      </c>
      <c r="H2263" s="7" t="str">
        <f>HYPERLINK("http://www.ensembl.org/Mus_musculus/Gene/Summary?db=core;g=ENSMUSG00000115293","ENSMUSG00000115293")</f>
        <v>ENSMUSG00000115293</v>
      </c>
      <c r="I2263" s="7" t="str">
        <f>HYPERLINK("http://www.informatics.jax.org/marker/MGI:6121518","MGI:6121518")</f>
        <v>MGI:6121518</v>
      </c>
      <c r="J2263" s="4" t="s">
        <v>12</v>
      </c>
    </row>
    <row r="2264" spans="1:10" x14ac:dyDescent="0.25">
      <c r="A2264" s="2">
        <v>1045.22915643888</v>
      </c>
      <c r="B2264" s="3">
        <v>0.55938691496934501</v>
      </c>
      <c r="C2264" s="5">
        <v>1.2334522712017299E-20</v>
      </c>
      <c r="D2264" s="6">
        <v>1.26029423772529E-19</v>
      </c>
      <c r="E2264" s="3" t="s">
        <v>3878</v>
      </c>
      <c r="F2264" s="3" t="s">
        <v>3879</v>
      </c>
      <c r="G2264" s="3">
        <v>217026</v>
      </c>
      <c r="H2264" s="7" t="str">
        <f>HYPERLINK("http://www.ensembl.org/Mus_musculus/Gene/Summary?db=core;g=ENSMUSG00000000976","ENSMUSG00000000976")</f>
        <v>ENSMUSG00000000976</v>
      </c>
      <c r="I2264" s="7" t="str">
        <f>HYPERLINK("http://www.informatics.jax.org/marker/MGI:1919790","MGI:1919790")</f>
        <v>MGI:1919790</v>
      </c>
      <c r="J2264" s="4" t="s">
        <v>12</v>
      </c>
    </row>
    <row r="2265" spans="1:10" x14ac:dyDescent="0.25">
      <c r="A2265" s="2">
        <v>125.090366581662</v>
      </c>
      <c r="B2265" s="3">
        <v>0.55931685911056095</v>
      </c>
      <c r="C2265" s="3">
        <v>3.9479504125334297E-3</v>
      </c>
      <c r="D2265" s="4">
        <v>1.06415503191852E-2</v>
      </c>
      <c r="E2265" s="3" t="s">
        <v>14635</v>
      </c>
      <c r="F2265" s="3" t="s">
        <v>14636</v>
      </c>
      <c r="G2265" s="3">
        <v>15586</v>
      </c>
      <c r="H2265" s="7" t="str">
        <f>HYPERLINK("http://www.ensembl.org/Mus_musculus/Gene/Summary?db=core;g=ENSMUSG00000010051","ENSMUSG00000010051")</f>
        <v>ENSMUSG00000010051</v>
      </c>
      <c r="I2265" s="7" t="str">
        <f>HYPERLINK("http://www.informatics.jax.org/marker/MGI:96298","MGI:96298")</f>
        <v>MGI:96298</v>
      </c>
      <c r="J2265" s="4" t="s">
        <v>12</v>
      </c>
    </row>
    <row r="2266" spans="1:10" x14ac:dyDescent="0.25">
      <c r="A2266" s="2">
        <v>73.953257520700504</v>
      </c>
      <c r="B2266" s="3">
        <v>0.55901504349312803</v>
      </c>
      <c r="C2266" s="3">
        <v>3.1790877688226099E-4</v>
      </c>
      <c r="D2266" s="4">
        <v>1.00402964127453E-3</v>
      </c>
      <c r="E2266" s="3" t="s">
        <v>12501</v>
      </c>
      <c r="F2266" s="3" t="s">
        <v>12502</v>
      </c>
      <c r="G2266" s="3">
        <v>68044</v>
      </c>
      <c r="H2266" s="7" t="str">
        <f>HYPERLINK("http://www.ensembl.org/Mus_musculus/Gene/Summary?db=core;g=ENSMUSG00000020309","ENSMUSG00000020309")</f>
        <v>ENSMUSG00000020309</v>
      </c>
      <c r="I2266" s="7" t="str">
        <f>HYPERLINK("http://www.informatics.jax.org/marker/MGI:1915294","MGI:1915294")</f>
        <v>MGI:1915294</v>
      </c>
      <c r="J2266" s="4" t="s">
        <v>12</v>
      </c>
    </row>
    <row r="2267" spans="1:10" x14ac:dyDescent="0.25">
      <c r="A2267" s="2">
        <v>1203.23714234248</v>
      </c>
      <c r="B2267" s="3">
        <v>0.55883802148190298</v>
      </c>
      <c r="C2267" s="5">
        <v>2.15274965869341E-32</v>
      </c>
      <c r="D2267" s="6">
        <v>3.3880465498351302E-31</v>
      </c>
      <c r="E2267" s="3" t="s">
        <v>2523</v>
      </c>
      <c r="F2267" s="3" t="s">
        <v>2524</v>
      </c>
      <c r="G2267" s="3">
        <v>217011</v>
      </c>
      <c r="H2267" s="7" t="str">
        <f>HYPERLINK("http://www.ensembl.org/Mus_musculus/Gene/Summary?db=core;g=ENSMUSG00000020692","ENSMUSG00000020692")</f>
        <v>ENSMUSG00000020692</v>
      </c>
      <c r="I2267" s="7" t="str">
        <f>HYPERLINK("http://www.informatics.jax.org/marker/MGI:2429770","MGI:2429770")</f>
        <v>MGI:2429770</v>
      </c>
      <c r="J2267" s="4" t="s">
        <v>12</v>
      </c>
    </row>
    <row r="2268" spans="1:10" x14ac:dyDescent="0.25">
      <c r="A2268" s="2">
        <v>76.880847101315098</v>
      </c>
      <c r="B2268" s="3">
        <v>0.55881914563839896</v>
      </c>
      <c r="C2268" s="5">
        <v>3.7382400032894297E-5</v>
      </c>
      <c r="D2268" s="4">
        <v>1.32040288133383E-4</v>
      </c>
      <c r="E2268" s="3" t="s">
        <v>11177</v>
      </c>
      <c r="F2268" s="3" t="s">
        <v>11178</v>
      </c>
      <c r="G2268" s="3" t="s">
        <v>83</v>
      </c>
      <c r="H2268" s="7" t="str">
        <f>HYPERLINK("http://www.ensembl.org/Mus_musculus/Gene/Summary?db=core;g=ENSMUSG00000112825","ENSMUSG00000112825")</f>
        <v>ENSMUSG00000112825</v>
      </c>
      <c r="I2268" s="7" t="str">
        <f>HYPERLINK("http://www.informatics.jax.org/marker/MGI:3648185","MGI:3648185")</f>
        <v>MGI:3648185</v>
      </c>
      <c r="J2268" s="4" t="s">
        <v>1043</v>
      </c>
    </row>
    <row r="2269" spans="1:10" x14ac:dyDescent="0.25">
      <c r="A2269" s="2">
        <v>373.07060174936498</v>
      </c>
      <c r="B2269" s="3">
        <v>0.55872065034984097</v>
      </c>
      <c r="C2269" s="5">
        <v>5.7972211613470999E-6</v>
      </c>
      <c r="D2269" s="6">
        <v>2.2245806830465999E-5</v>
      </c>
      <c r="E2269" s="3" t="s">
        <v>10292</v>
      </c>
      <c r="F2269" s="3" t="s">
        <v>10293</v>
      </c>
      <c r="G2269" s="3">
        <v>14187</v>
      </c>
      <c r="H2269" s="7" t="str">
        <f>HYPERLINK("http://www.ensembl.org/Mus_musculus/Gene/Summary?db=core;g=ENSMUSG00000029762","ENSMUSG00000029762")</f>
        <v>ENSMUSG00000029762</v>
      </c>
      <c r="I2269" s="7" t="str">
        <f>HYPERLINK("http://www.informatics.jax.org/marker/MGI:107673","MGI:107673")</f>
        <v>MGI:107673</v>
      </c>
      <c r="J2269" s="4" t="s">
        <v>12</v>
      </c>
    </row>
    <row r="2270" spans="1:10" x14ac:dyDescent="0.25">
      <c r="A2270" s="2">
        <v>984.87762407914602</v>
      </c>
      <c r="B2270" s="3">
        <v>0.55780929851129302</v>
      </c>
      <c r="C2270" s="5">
        <v>1.83718792718312E-23</v>
      </c>
      <c r="D2270" s="6">
        <v>2.11126724499133E-22</v>
      </c>
      <c r="E2270" s="3" t="s">
        <v>3450</v>
      </c>
      <c r="F2270" s="3" t="s">
        <v>3451</v>
      </c>
      <c r="G2270" s="3">
        <v>228410</v>
      </c>
      <c r="H2270" s="7" t="str">
        <f>HYPERLINK("http://www.ensembl.org/Mus_musculus/Gene/Summary?db=core;g=ENSMUSG00000027176","ENSMUSG00000027176")</f>
        <v>ENSMUSG00000027176</v>
      </c>
      <c r="I2270" s="7" t="str">
        <f>HYPERLINK("http://www.informatics.jax.org/marker/MGI:1351825","MGI:1351825")</f>
        <v>MGI:1351825</v>
      </c>
      <c r="J2270" s="4" t="s">
        <v>12</v>
      </c>
    </row>
    <row r="2271" spans="1:10" x14ac:dyDescent="0.25">
      <c r="A2271" s="2">
        <v>2201.7470272933101</v>
      </c>
      <c r="B2271" s="3">
        <v>0.55668305942219598</v>
      </c>
      <c r="C2271" s="5">
        <v>7.7333629941745194E-8</v>
      </c>
      <c r="D2271" s="6">
        <v>3.5358664095785198E-7</v>
      </c>
      <c r="E2271" s="3" t="s">
        <v>8643</v>
      </c>
      <c r="F2271" s="3" t="s">
        <v>8644</v>
      </c>
      <c r="G2271" s="3">
        <v>73130</v>
      </c>
      <c r="H2271" s="7" t="str">
        <f>HYPERLINK("http://www.ensembl.org/Mus_musculus/Gene/Summary?db=core;g=ENSMUSG00000063406","ENSMUSG00000063406")</f>
        <v>ENSMUSG00000063406</v>
      </c>
      <c r="I2271" s="7" t="str">
        <f>HYPERLINK("http://www.informatics.jax.org/marker/MGI:1921586","MGI:1921586")</f>
        <v>MGI:1921586</v>
      </c>
      <c r="J2271" s="4" t="s">
        <v>12</v>
      </c>
    </row>
    <row r="2272" spans="1:10" x14ac:dyDescent="0.25">
      <c r="A2272" s="2">
        <v>454.44464112325699</v>
      </c>
      <c r="B2272" s="3">
        <v>0.55641327171463095</v>
      </c>
      <c r="C2272" s="5">
        <v>1.45384363270775E-8</v>
      </c>
      <c r="D2272" s="6">
        <v>7.1035174521795797E-8</v>
      </c>
      <c r="E2272" s="3" t="s">
        <v>8089</v>
      </c>
      <c r="F2272" s="3" t="s">
        <v>8090</v>
      </c>
      <c r="G2272" s="3">
        <v>12909</v>
      </c>
      <c r="H2272" s="7" t="str">
        <f>HYPERLINK("http://www.ensembl.org/Mus_musculus/Gene/Summary?db=core;g=ENSMUSG00000025532","ENSMUSG00000025532")</f>
        <v>ENSMUSG00000025532</v>
      </c>
      <c r="I2272" s="7" t="str">
        <f>HYPERLINK("http://www.informatics.jax.org/marker/MGI:1100818","MGI:1100818")</f>
        <v>MGI:1100818</v>
      </c>
      <c r="J2272" s="4" t="s">
        <v>12</v>
      </c>
    </row>
    <row r="2273" spans="1:10" x14ac:dyDescent="0.25">
      <c r="A2273" s="2">
        <v>1026.64434874688</v>
      </c>
      <c r="B2273" s="3">
        <v>0.55619867678839197</v>
      </c>
      <c r="C2273" s="5">
        <v>1.6801315124685099E-15</v>
      </c>
      <c r="D2273" s="6">
        <v>1.32422835435168E-14</v>
      </c>
      <c r="E2273" s="3" t="s">
        <v>5021</v>
      </c>
      <c r="F2273" s="3" t="s">
        <v>5022</v>
      </c>
      <c r="G2273" s="3">
        <v>230654</v>
      </c>
      <c r="H2273" s="7" t="str">
        <f>HYPERLINK("http://www.ensembl.org/Mus_musculus/Gene/Summary?db=core;g=ENSMUSG00000028703","ENSMUSG00000028703")</f>
        <v>ENSMUSG00000028703</v>
      </c>
      <c r="I2273" s="7" t="str">
        <f>HYPERLINK("http://www.informatics.jax.org/marker/MGI:2441984","MGI:2441984")</f>
        <v>MGI:2441984</v>
      </c>
      <c r="J2273" s="4" t="s">
        <v>12</v>
      </c>
    </row>
    <row r="2274" spans="1:10" x14ac:dyDescent="0.25">
      <c r="A2274" s="2">
        <v>874.27385899747503</v>
      </c>
      <c r="B2274" s="3">
        <v>0.55594762926420105</v>
      </c>
      <c r="C2274" s="5">
        <v>2.7817356622620299E-13</v>
      </c>
      <c r="D2274" s="6">
        <v>1.93018392891651E-12</v>
      </c>
      <c r="E2274" s="3" t="s">
        <v>5701</v>
      </c>
      <c r="F2274" s="3" t="s">
        <v>5702</v>
      </c>
      <c r="G2274" s="3">
        <v>109880</v>
      </c>
      <c r="H2274" s="7" t="str">
        <f>HYPERLINK("http://www.ensembl.org/Mus_musculus/Gene/Summary?db=core;g=ENSMUSG00000002413","ENSMUSG00000002413")</f>
        <v>ENSMUSG00000002413</v>
      </c>
      <c r="I2274" s="7" t="str">
        <f>HYPERLINK("http://www.informatics.jax.org/marker/MGI:88190","MGI:88190")</f>
        <v>MGI:88190</v>
      </c>
      <c r="J2274" s="4" t="s">
        <v>12</v>
      </c>
    </row>
    <row r="2275" spans="1:10" x14ac:dyDescent="0.25">
      <c r="A2275" s="2">
        <v>633.48001721522701</v>
      </c>
      <c r="B2275" s="3">
        <v>0.55589454954103101</v>
      </c>
      <c r="C2275" s="5">
        <v>8.2630514031540606E-11</v>
      </c>
      <c r="D2275" s="6">
        <v>4.8195023268322405E-10</v>
      </c>
      <c r="E2275" s="3" t="s">
        <v>6780</v>
      </c>
      <c r="F2275" s="3" t="s">
        <v>6781</v>
      </c>
      <c r="G2275" s="3">
        <v>12042</v>
      </c>
      <c r="H2275" s="7" t="str">
        <f>HYPERLINK("http://www.ensembl.org/Mus_musculus/Gene/Summary?db=core;g=ENSMUSG00000028191","ENSMUSG00000028191")</f>
        <v>ENSMUSG00000028191</v>
      </c>
      <c r="I2275" s="7" t="str">
        <f>HYPERLINK("http://www.informatics.jax.org/marker/MGI:1337994","MGI:1337994")</f>
        <v>MGI:1337994</v>
      </c>
      <c r="J2275" s="4" t="s">
        <v>12</v>
      </c>
    </row>
    <row r="2276" spans="1:10" x14ac:dyDescent="0.25">
      <c r="A2276" s="2">
        <v>1264.5923777217699</v>
      </c>
      <c r="B2276" s="3">
        <v>0.55565315718584496</v>
      </c>
      <c r="C2276" s="5">
        <v>1.55697372360596E-18</v>
      </c>
      <c r="D2276" s="6">
        <v>1.44283467243936E-17</v>
      </c>
      <c r="E2276" s="3" t="s">
        <v>4273</v>
      </c>
      <c r="F2276" s="3" t="s">
        <v>4274</v>
      </c>
      <c r="G2276" s="3">
        <v>21873</v>
      </c>
      <c r="H2276" s="7" t="str">
        <f>HYPERLINK("http://www.ensembl.org/Mus_musculus/Gene/Summary?db=core;g=ENSMUSG00000024812","ENSMUSG00000024812")</f>
        <v>ENSMUSG00000024812</v>
      </c>
      <c r="I2276" s="7" t="str">
        <f>HYPERLINK("http://www.informatics.jax.org/marker/MGI:1341872","MGI:1341872")</f>
        <v>MGI:1341872</v>
      </c>
      <c r="J2276" s="4" t="s">
        <v>12</v>
      </c>
    </row>
    <row r="2277" spans="1:10" x14ac:dyDescent="0.25">
      <c r="A2277" s="2">
        <v>73.5399430060003</v>
      </c>
      <c r="B2277" s="3">
        <v>0.55553982548616998</v>
      </c>
      <c r="C2277" s="3">
        <v>3.1808808119343003E-4</v>
      </c>
      <c r="D2277" s="4">
        <v>1.0044350618309799E-3</v>
      </c>
      <c r="E2277" s="3" t="s">
        <v>12503</v>
      </c>
      <c r="F2277" s="3" t="s">
        <v>12504</v>
      </c>
      <c r="G2277" s="3">
        <v>68255</v>
      </c>
      <c r="H2277" s="7" t="str">
        <f>HYPERLINK("http://www.ensembl.org/Mus_musculus/Gene/Summary?db=core;g=ENSMUSG00000045282","ENSMUSG00000045282")</f>
        <v>ENSMUSG00000045282</v>
      </c>
      <c r="I2277" s="7" t="str">
        <f>HYPERLINK("http://www.informatics.jax.org/marker/MGI:1915505","MGI:1915505")</f>
        <v>MGI:1915505</v>
      </c>
      <c r="J2277" s="4" t="s">
        <v>12</v>
      </c>
    </row>
    <row r="2278" spans="1:10" x14ac:dyDescent="0.25">
      <c r="A2278" s="2">
        <v>3413.3499848117599</v>
      </c>
      <c r="B2278" s="3">
        <v>0.55539251594275796</v>
      </c>
      <c r="C2278" s="5">
        <v>1.11531053430207E-9</v>
      </c>
      <c r="D2278" s="6">
        <v>5.9636452647605201E-9</v>
      </c>
      <c r="E2278" s="3" t="s">
        <v>7394</v>
      </c>
      <c r="F2278" s="3" t="s">
        <v>7395</v>
      </c>
      <c r="G2278" s="3">
        <v>72145</v>
      </c>
      <c r="H2278" s="7" t="str">
        <f>HYPERLINK("http://www.ensembl.org/Mus_musculus/Gene/Summary?db=core;g=ENSMUSG00000043940","ENSMUSG00000043940")</f>
        <v>ENSMUSG00000043940</v>
      </c>
      <c r="I2278" s="7" t="str">
        <f>HYPERLINK("http://www.informatics.jax.org/marker/MGI:1096875","MGI:1096875")</f>
        <v>MGI:1096875</v>
      </c>
      <c r="J2278" s="4" t="s">
        <v>12</v>
      </c>
    </row>
    <row r="2279" spans="1:10" x14ac:dyDescent="0.25">
      <c r="A2279" s="2">
        <v>1373.2042220134799</v>
      </c>
      <c r="B2279" s="3">
        <v>0.55511351517816199</v>
      </c>
      <c r="C2279" s="5">
        <v>4.0127833074116898E-26</v>
      </c>
      <c r="D2279" s="6">
        <v>5.1317825435900398E-25</v>
      </c>
      <c r="E2279" s="3" t="s">
        <v>3102</v>
      </c>
      <c r="F2279" s="3" t="s">
        <v>3103</v>
      </c>
      <c r="G2279" s="3">
        <v>216161</v>
      </c>
      <c r="H2279" s="7" t="str">
        <f>HYPERLINK("http://www.ensembl.org/Mus_musculus/Gene/Summary?db=core;g=ENSMUSG00000035673","ENSMUSG00000035673")</f>
        <v>ENSMUSG00000035673</v>
      </c>
      <c r="I2279" s="7" t="str">
        <f>HYPERLINK("http://www.informatics.jax.org/marker/MGI:2448490","MGI:2448490")</f>
        <v>MGI:2448490</v>
      </c>
      <c r="J2279" s="4" t="s">
        <v>12</v>
      </c>
    </row>
    <row r="2280" spans="1:10" x14ac:dyDescent="0.25">
      <c r="A2280" s="2">
        <v>388.209074730179</v>
      </c>
      <c r="B2280" s="3">
        <v>0.55509423240094902</v>
      </c>
      <c r="C2280" s="5">
        <v>1.1019327248311299E-8</v>
      </c>
      <c r="D2280" s="6">
        <v>5.4502416186781903E-8</v>
      </c>
      <c r="E2280" s="3" t="s">
        <v>7991</v>
      </c>
      <c r="F2280" s="3" t="s">
        <v>7992</v>
      </c>
      <c r="G2280" s="3">
        <v>110521</v>
      </c>
      <c r="H2280" s="7" t="str">
        <f>HYPERLINK("http://www.ensembl.org/Mus_musculus/Gene/Summary?db=core;g=ENSMUSG00000021366","ENSMUSG00000021366")</f>
        <v>ENSMUSG00000021366</v>
      </c>
      <c r="I2280" s="7" t="str">
        <f>HYPERLINK("http://www.informatics.jax.org/marker/MGI:96100","MGI:96100")</f>
        <v>MGI:96100</v>
      </c>
      <c r="J2280" s="4" t="s">
        <v>12</v>
      </c>
    </row>
    <row r="2281" spans="1:10" x14ac:dyDescent="0.25">
      <c r="A2281" s="2">
        <v>2638.28097632556</v>
      </c>
      <c r="B2281" s="3">
        <v>0.55485904109413897</v>
      </c>
      <c r="C2281" s="5">
        <v>2.3024530396000001E-39</v>
      </c>
      <c r="D2281" s="6">
        <v>4.5909377088889803E-38</v>
      </c>
      <c r="E2281" s="3" t="s">
        <v>1995</v>
      </c>
      <c r="F2281" s="3" t="s">
        <v>1996</v>
      </c>
      <c r="G2281" s="3">
        <v>73826</v>
      </c>
      <c r="H2281" s="7" t="str">
        <f>HYPERLINK("http://www.ensembl.org/Mus_musculus/Gene/Summary?db=core;g=ENSMUSG00000041815","ENSMUSG00000041815")</f>
        <v>ENSMUSG00000041815</v>
      </c>
      <c r="I2281" s="7" t="str">
        <f>HYPERLINK("http://www.informatics.jax.org/marker/MGI:1921076","MGI:1921076")</f>
        <v>MGI:1921076</v>
      </c>
      <c r="J2281" s="4" t="s">
        <v>12</v>
      </c>
    </row>
    <row r="2282" spans="1:10" x14ac:dyDescent="0.25">
      <c r="A2282" s="2">
        <v>1104.82378252127</v>
      </c>
      <c r="B2282" s="3">
        <v>0.55408481483407901</v>
      </c>
      <c r="C2282" s="5">
        <v>1.13641433297883E-21</v>
      </c>
      <c r="D2282" s="6">
        <v>1.21266724276745E-20</v>
      </c>
      <c r="E2282" s="3" t="s">
        <v>3714</v>
      </c>
      <c r="F2282" s="3" t="s">
        <v>3715</v>
      </c>
      <c r="G2282" s="3">
        <v>215194</v>
      </c>
      <c r="H2282" s="7" t="str">
        <f>HYPERLINK("http://www.ensembl.org/Mus_musculus/Gene/Summary?db=core;g=ENSMUSG00000035047","ENSMUSG00000035047")</f>
        <v>ENSMUSG00000035047</v>
      </c>
      <c r="I2282" s="7" t="str">
        <f>HYPERLINK("http://www.informatics.jax.org/marker/MGI:2384899","MGI:2384899")</f>
        <v>MGI:2384899</v>
      </c>
      <c r="J2282" s="4" t="s">
        <v>12</v>
      </c>
    </row>
    <row r="2283" spans="1:10" x14ac:dyDescent="0.25">
      <c r="A2283" s="2">
        <v>461.591726971284</v>
      </c>
      <c r="B2283" s="3">
        <v>0.55391387820306004</v>
      </c>
      <c r="C2283" s="5">
        <v>1.7355862694379701E-12</v>
      </c>
      <c r="D2283" s="6">
        <v>1.14736041680579E-11</v>
      </c>
      <c r="E2283" s="3" t="s">
        <v>5983</v>
      </c>
      <c r="F2283" s="3" t="s">
        <v>5984</v>
      </c>
      <c r="G2283" s="3" t="s">
        <v>83</v>
      </c>
      <c r="H2283" s="7" t="str">
        <f>HYPERLINK("http://www.ensembl.org/Mus_musculus/Gene/Summary?db=core;g=ENSMUSG00000101188","ENSMUSG00000101188")</f>
        <v>ENSMUSG00000101188</v>
      </c>
      <c r="I2283" s="7" t="str">
        <f>HYPERLINK("http://www.informatics.jax.org/marker/MGI:1195958","MGI:1195958")</f>
        <v>MGI:1195958</v>
      </c>
      <c r="J2283" s="4" t="s">
        <v>1043</v>
      </c>
    </row>
    <row r="2284" spans="1:10" x14ac:dyDescent="0.25">
      <c r="A2284" s="2">
        <v>534.49409547001801</v>
      </c>
      <c r="B2284" s="3">
        <v>0.55343710525732903</v>
      </c>
      <c r="C2284" s="5">
        <v>1.63595083129121E-8</v>
      </c>
      <c r="D2284" s="6">
        <v>7.95977063732114E-8</v>
      </c>
      <c r="E2284" s="3" t="s">
        <v>8123</v>
      </c>
      <c r="F2284" s="3" t="s">
        <v>8124</v>
      </c>
      <c r="G2284" s="3">
        <v>13171</v>
      </c>
      <c r="H2284" s="7" t="str">
        <f>HYPERLINK("http://www.ensembl.org/Mus_musculus/Gene/Summary?db=core;g=ENSMUSG00000000340","ENSMUSG00000000340")</f>
        <v>ENSMUSG00000000340</v>
      </c>
      <c r="I2284" s="7" t="str">
        <f>HYPERLINK("http://www.informatics.jax.org/marker/MGI:105386","MGI:105386")</f>
        <v>MGI:105386</v>
      </c>
      <c r="J2284" s="4" t="s">
        <v>12</v>
      </c>
    </row>
    <row r="2285" spans="1:10" x14ac:dyDescent="0.25">
      <c r="A2285" s="2">
        <v>211.514522704271</v>
      </c>
      <c r="B2285" s="3">
        <v>0.55318036640841495</v>
      </c>
      <c r="C2285" s="5">
        <v>4.6328636654720702E-7</v>
      </c>
      <c r="D2285" s="6">
        <v>1.9822102730116998E-6</v>
      </c>
      <c r="E2285" s="3" t="s">
        <v>9233</v>
      </c>
      <c r="F2285" s="3" t="s">
        <v>9234</v>
      </c>
      <c r="G2285" s="3">
        <v>79201</v>
      </c>
      <c r="H2285" s="7" t="str">
        <f>HYPERLINK("http://www.ensembl.org/Mus_musculus/Gene/Summary?db=core;g=ENSMUSG00000037613","ENSMUSG00000037613")</f>
        <v>ENSMUSG00000037613</v>
      </c>
      <c r="I2285" s="7" t="str">
        <f>HYPERLINK("http://www.informatics.jax.org/marker/MGI:1930269","MGI:1930269")</f>
        <v>MGI:1930269</v>
      </c>
      <c r="J2285" s="4" t="s">
        <v>12</v>
      </c>
    </row>
    <row r="2286" spans="1:10" x14ac:dyDescent="0.25">
      <c r="A2286" s="2">
        <v>289.25284843733999</v>
      </c>
      <c r="B2286" s="3">
        <v>0.55290197584626999</v>
      </c>
      <c r="C2286" s="5">
        <v>4.9530642474537198E-11</v>
      </c>
      <c r="D2286" s="6">
        <v>2.9482169320793101E-10</v>
      </c>
      <c r="E2286" s="3" t="s">
        <v>6643</v>
      </c>
      <c r="F2286" s="3" t="s">
        <v>6644</v>
      </c>
      <c r="G2286" s="3">
        <v>107999</v>
      </c>
      <c r="H2286" s="7" t="str">
        <f>HYPERLINK("http://www.ensembl.org/Mus_musculus/Gene/Summary?db=core;g=ENSMUSG00000033434","ENSMUSG00000033434")</f>
        <v>ENSMUSG00000033434</v>
      </c>
      <c r="I2286" s="7" t="str">
        <f>HYPERLINK("http://www.informatics.jax.org/marker/MGI:1306825","MGI:1306825")</f>
        <v>MGI:1306825</v>
      </c>
      <c r="J2286" s="4" t="s">
        <v>12</v>
      </c>
    </row>
    <row r="2287" spans="1:10" x14ac:dyDescent="0.25">
      <c r="A2287" s="2">
        <v>56.648988528002697</v>
      </c>
      <c r="B2287" s="3">
        <v>0.55274647166820001</v>
      </c>
      <c r="C2287" s="3">
        <v>1.76702118612949E-3</v>
      </c>
      <c r="D2287" s="4">
        <v>5.0311374228231998E-3</v>
      </c>
      <c r="E2287" s="3" t="s">
        <v>13859</v>
      </c>
      <c r="F2287" s="3" t="s">
        <v>13860</v>
      </c>
      <c r="G2287" s="3">
        <v>231630</v>
      </c>
      <c r="H2287" s="7" t="str">
        <f>HYPERLINK("http://www.ensembl.org/Mus_musculus/Gene/Summary?db=core;g=ENSMUSG00000053334","ENSMUSG00000053334")</f>
        <v>ENSMUSG00000053334</v>
      </c>
      <c r="I2287" s="7" t="str">
        <f>HYPERLINK("http://www.informatics.jax.org/marker/MGI:1098550","MGI:1098550")</f>
        <v>MGI:1098550</v>
      </c>
      <c r="J2287" s="4" t="s">
        <v>12</v>
      </c>
    </row>
    <row r="2288" spans="1:10" x14ac:dyDescent="0.25">
      <c r="A2288" s="2">
        <v>1345.9210110951301</v>
      </c>
      <c r="B2288" s="3">
        <v>0.55256735427198</v>
      </c>
      <c r="C2288" s="5">
        <v>2.17182972817748E-20</v>
      </c>
      <c r="D2288" s="6">
        <v>2.1940820819497902E-19</v>
      </c>
      <c r="E2288" s="3" t="s">
        <v>3922</v>
      </c>
      <c r="F2288" s="3" t="s">
        <v>3923</v>
      </c>
      <c r="G2288" s="3">
        <v>433667</v>
      </c>
      <c r="H2288" s="7" t="str">
        <f>HYPERLINK("http://www.ensembl.org/Mus_musculus/Gene/Summary?db=core;g=ENSMUSG00000039988","ENSMUSG00000039988")</f>
        <v>ENSMUSG00000039988</v>
      </c>
      <c r="I2288" s="7" t="str">
        <f>HYPERLINK("http://www.informatics.jax.org/marker/MGI:2139746","MGI:2139746")</f>
        <v>MGI:2139746</v>
      </c>
      <c r="J2288" s="4" t="s">
        <v>12</v>
      </c>
    </row>
    <row r="2289" spans="1:10" x14ac:dyDescent="0.25">
      <c r="A2289" s="2">
        <v>929.90288852370395</v>
      </c>
      <c r="B2289" s="3">
        <v>0.55252366095295802</v>
      </c>
      <c r="C2289" s="5">
        <v>3.5832247411706402E-21</v>
      </c>
      <c r="D2289" s="6">
        <v>3.7268561126521602E-20</v>
      </c>
      <c r="E2289" s="3" t="s">
        <v>3810</v>
      </c>
      <c r="F2289" s="3" t="s">
        <v>3811</v>
      </c>
      <c r="G2289" s="3">
        <v>76630</v>
      </c>
      <c r="H2289" s="7" t="str">
        <f>HYPERLINK("http://www.ensembl.org/Mus_musculus/Gene/Summary?db=core;g=ENSMUSG00000024776","ENSMUSG00000024776")</f>
        <v>ENSMUSG00000024776</v>
      </c>
      <c r="I2289" s="7" t="str">
        <f>HYPERLINK("http://www.informatics.jax.org/marker/MGI:1923880","MGI:1923880")</f>
        <v>MGI:1923880</v>
      </c>
      <c r="J2289" s="4" t="s">
        <v>12</v>
      </c>
    </row>
    <row r="2290" spans="1:10" x14ac:dyDescent="0.25">
      <c r="A2290" s="2">
        <v>83.6110444243903</v>
      </c>
      <c r="B2290" s="3">
        <v>0.55236815489139901</v>
      </c>
      <c r="C2290" s="3">
        <v>1.45934584908907E-4</v>
      </c>
      <c r="D2290" s="4">
        <v>4.8180646482565799E-4</v>
      </c>
      <c r="E2290" s="3" t="s">
        <v>11957</v>
      </c>
      <c r="F2290" s="3" t="s">
        <v>11958</v>
      </c>
      <c r="G2290" s="3" t="s">
        <v>83</v>
      </c>
      <c r="H2290" s="7" t="str">
        <f>HYPERLINK("http://www.ensembl.org/Mus_musculus/Gene/Summary?db=core;g=ENSMUSG00000083327","ENSMUSG00000083327")</f>
        <v>ENSMUSG00000083327</v>
      </c>
      <c r="I2290" s="7" t="str">
        <f>HYPERLINK("http://www.informatics.jax.org/marker/MGI:894298","MGI:894298")</f>
        <v>MGI:894298</v>
      </c>
      <c r="J2290" s="4" t="s">
        <v>1043</v>
      </c>
    </row>
    <row r="2291" spans="1:10" x14ac:dyDescent="0.25">
      <c r="A2291" s="2">
        <v>3200.7670889629899</v>
      </c>
      <c r="B2291" s="3">
        <v>0.55220927135263398</v>
      </c>
      <c r="C2291" s="5">
        <v>1.88305638800862E-38</v>
      </c>
      <c r="D2291" s="6">
        <v>3.6298995084584501E-37</v>
      </c>
      <c r="E2291" s="3" t="s">
        <v>2063</v>
      </c>
      <c r="F2291" s="3" t="s">
        <v>2064</v>
      </c>
      <c r="G2291" s="3">
        <v>22324</v>
      </c>
      <c r="H2291" s="7" t="str">
        <f>HYPERLINK("http://www.ensembl.org/Mus_musculus/Gene/Summary?db=core;g=ENSMUSG00000034116","ENSMUSG00000034116")</f>
        <v>ENSMUSG00000034116</v>
      </c>
      <c r="I2291" s="7" t="str">
        <f>HYPERLINK("http://www.informatics.jax.org/marker/MGI:98923","MGI:98923")</f>
        <v>MGI:98923</v>
      </c>
      <c r="J2291" s="4" t="s">
        <v>12</v>
      </c>
    </row>
    <row r="2292" spans="1:10" x14ac:dyDescent="0.25">
      <c r="A2292" s="2">
        <v>746.33887113417802</v>
      </c>
      <c r="B2292" s="3">
        <v>0.55198523483670103</v>
      </c>
      <c r="C2292" s="5">
        <v>2.9164428050059601E-21</v>
      </c>
      <c r="D2292" s="6">
        <v>3.0494301227315799E-20</v>
      </c>
      <c r="E2292" s="3" t="s">
        <v>3790</v>
      </c>
      <c r="F2292" s="3" t="s">
        <v>3791</v>
      </c>
      <c r="G2292" s="3">
        <v>66827</v>
      </c>
      <c r="H2292" s="7" t="str">
        <f>HYPERLINK("http://www.ensembl.org/Mus_musculus/Gene/Summary?db=core;g=ENSMUSG00000041278","ENSMUSG00000041278")</f>
        <v>ENSMUSG00000041278</v>
      </c>
      <c r="I2292" s="7" t="str">
        <f>HYPERLINK("http://www.informatics.jax.org/marker/MGI:1914077","MGI:1914077")</f>
        <v>MGI:1914077</v>
      </c>
      <c r="J2292" s="4" t="s">
        <v>12</v>
      </c>
    </row>
    <row r="2293" spans="1:10" x14ac:dyDescent="0.25">
      <c r="A2293" s="2">
        <v>46.601252615390699</v>
      </c>
      <c r="B2293" s="3">
        <v>0.55195249024752702</v>
      </c>
      <c r="C2293" s="3">
        <v>7.2449631248727702E-3</v>
      </c>
      <c r="D2293" s="4">
        <v>1.8532970920027401E-2</v>
      </c>
      <c r="E2293" s="3" t="s">
        <v>15423</v>
      </c>
      <c r="F2293" s="3" t="s">
        <v>15424</v>
      </c>
      <c r="G2293" s="3">
        <v>68235</v>
      </c>
      <c r="H2293" s="7" t="str">
        <f>HYPERLINK("http://www.ensembl.org/Mus_musculus/Gene/Summary?db=core;g=ENSMUSG00000038065","ENSMUSG00000038065")</f>
        <v>ENSMUSG00000038065</v>
      </c>
      <c r="I2293" s="7" t="str">
        <f>HYPERLINK("http://www.informatics.jax.org/marker/MGI:1915485","MGI:1915485")</f>
        <v>MGI:1915485</v>
      </c>
      <c r="J2293" s="4" t="s">
        <v>12</v>
      </c>
    </row>
    <row r="2294" spans="1:10" x14ac:dyDescent="0.25">
      <c r="A2294" s="2">
        <v>52.019192955366499</v>
      </c>
      <c r="B2294" s="3">
        <v>0.55191113371711997</v>
      </c>
      <c r="C2294" s="3">
        <v>2.3957649010390701E-3</v>
      </c>
      <c r="D2294" s="4">
        <v>6.6823880973819602E-3</v>
      </c>
      <c r="E2294" s="3" t="s">
        <v>14145</v>
      </c>
      <c r="F2294" s="3" t="s">
        <v>14146</v>
      </c>
      <c r="G2294" s="3" t="s">
        <v>83</v>
      </c>
      <c r="H2294" s="7" t="str">
        <f>HYPERLINK("http://www.ensembl.org/Mus_musculus/Gene/Summary?db=core;g=ENSMUSG00000097042","ENSMUSG00000097042")</f>
        <v>ENSMUSG00000097042</v>
      </c>
      <c r="I2294" s="7" t="str">
        <f>HYPERLINK("http://www.informatics.jax.org/marker/MGI:4937125","MGI:4937125")</f>
        <v>MGI:4937125</v>
      </c>
      <c r="J2294" s="4" t="s">
        <v>4024</v>
      </c>
    </row>
    <row r="2295" spans="1:10" x14ac:dyDescent="0.25">
      <c r="A2295" s="2">
        <v>29.000195011280901</v>
      </c>
      <c r="B2295" s="3">
        <v>0.55067318353691097</v>
      </c>
      <c r="C2295" s="3">
        <v>1.1462306672999399E-2</v>
      </c>
      <c r="D2295" s="4">
        <v>2.8149027097328399E-2</v>
      </c>
      <c r="E2295" s="3" t="s">
        <v>16065</v>
      </c>
      <c r="F2295" s="3" t="s">
        <v>16066</v>
      </c>
      <c r="G2295" s="3">
        <v>11642</v>
      </c>
      <c r="H2295" s="7" t="str">
        <f>HYPERLINK("http://www.ensembl.org/Mus_musculus/Gene/Summary?db=core;g=ENSMUSG00000030344","ENSMUSG00000030344")</f>
        <v>ENSMUSG00000030344</v>
      </c>
      <c r="I2295" s="7" t="str">
        <f>HYPERLINK("http://www.informatics.jax.org/marker/MGI:1341149","MGI:1341149")</f>
        <v>MGI:1341149</v>
      </c>
      <c r="J2295" s="4" t="s">
        <v>12</v>
      </c>
    </row>
    <row r="2296" spans="1:10" x14ac:dyDescent="0.25">
      <c r="A2296" s="2">
        <v>1771.5159445701499</v>
      </c>
      <c r="B2296" s="3">
        <v>0.550586812670535</v>
      </c>
      <c r="C2296" s="5">
        <v>2.3893149946608201E-17</v>
      </c>
      <c r="D2296" s="6">
        <v>2.07748199712131E-16</v>
      </c>
      <c r="E2296" s="3" t="s">
        <v>4553</v>
      </c>
      <c r="F2296" s="3" t="s">
        <v>4554</v>
      </c>
      <c r="G2296" s="3">
        <v>231386</v>
      </c>
      <c r="H2296" s="7" t="str">
        <f>HYPERLINK("http://www.ensembl.org/Mus_musculus/Gene/Summary?db=core;g=ENSMUSG00000035851","ENSMUSG00000035851")</f>
        <v>ENSMUSG00000035851</v>
      </c>
      <c r="I2296" s="7" t="str">
        <f>HYPERLINK("http://www.informatics.jax.org/marker/MGI:2443713","MGI:2443713")</f>
        <v>MGI:2443713</v>
      </c>
      <c r="J2296" s="4" t="s">
        <v>12</v>
      </c>
    </row>
    <row r="2297" spans="1:10" x14ac:dyDescent="0.25">
      <c r="A2297" s="2">
        <v>4005.4949995074298</v>
      </c>
      <c r="B2297" s="3">
        <v>0.550560732841332</v>
      </c>
      <c r="C2297" s="5">
        <v>4.5328615861784699E-46</v>
      </c>
      <c r="D2297" s="6">
        <v>1.0994837697348001E-44</v>
      </c>
      <c r="E2297" s="3" t="s">
        <v>1642</v>
      </c>
      <c r="F2297" s="3" t="s">
        <v>1643</v>
      </c>
      <c r="G2297" s="3">
        <v>11736</v>
      </c>
      <c r="H2297" s="7" t="str">
        <f>HYPERLINK("http://www.ensembl.org/Mus_musculus/Gene/Summary?db=core;g=ENSMUSG00000020790","ENSMUSG00000020790")</f>
        <v>ENSMUSG00000020790</v>
      </c>
      <c r="I2297" s="7" t="str">
        <f>HYPERLINK("http://www.informatics.jax.org/marker/MGI:1337008","MGI:1337008")</f>
        <v>MGI:1337008</v>
      </c>
      <c r="J2297" s="4" t="s">
        <v>12</v>
      </c>
    </row>
    <row r="2298" spans="1:10" x14ac:dyDescent="0.25">
      <c r="A2298" s="2">
        <v>86.774594401040204</v>
      </c>
      <c r="B2298" s="3">
        <v>0.55023893356368203</v>
      </c>
      <c r="C2298" s="5">
        <v>3.9962379764489903E-5</v>
      </c>
      <c r="D2298" s="4">
        <v>1.40674425018876E-4</v>
      </c>
      <c r="E2298" s="3" t="s">
        <v>11215</v>
      </c>
      <c r="F2298" s="3" t="s">
        <v>11216</v>
      </c>
      <c r="G2298" s="3">
        <v>67118</v>
      </c>
      <c r="H2298" s="7" t="str">
        <f>HYPERLINK("http://www.ensembl.org/Mus_musculus/Gene/Summary?db=core;g=ENSMUSG00000079737","ENSMUSG00000079737")</f>
        <v>ENSMUSG00000079737</v>
      </c>
      <c r="I2298" s="7" t="str">
        <f>HYPERLINK("http://www.informatics.jax.org/marker/MGI:1913848","MGI:1913848")</f>
        <v>MGI:1913848</v>
      </c>
      <c r="J2298" s="4" t="s">
        <v>12</v>
      </c>
    </row>
    <row r="2299" spans="1:10" x14ac:dyDescent="0.25">
      <c r="A2299" s="2">
        <v>3035.89684362772</v>
      </c>
      <c r="B2299" s="3">
        <v>0.55023641264631995</v>
      </c>
      <c r="C2299" s="5">
        <v>1.88842834526868E-48</v>
      </c>
      <c r="D2299" s="6">
        <v>4.9193932587448398E-47</v>
      </c>
      <c r="E2299" s="3" t="s">
        <v>1530</v>
      </c>
      <c r="F2299" s="3" t="s">
        <v>1531</v>
      </c>
      <c r="G2299" s="3">
        <v>16451</v>
      </c>
      <c r="H2299" s="7" t="str">
        <f>HYPERLINK("http://www.ensembl.org/Mus_musculus/Gene/Summary?db=core;g=ENSMUSG00000028530","ENSMUSG00000028530")</f>
        <v>ENSMUSG00000028530</v>
      </c>
      <c r="I2299" s="7" t="str">
        <f>HYPERLINK("http://www.informatics.jax.org/marker/MGI:96628","MGI:96628")</f>
        <v>MGI:96628</v>
      </c>
      <c r="J2299" s="4" t="s">
        <v>12</v>
      </c>
    </row>
    <row r="2300" spans="1:10" x14ac:dyDescent="0.25">
      <c r="A2300" s="2">
        <v>881.11400888933497</v>
      </c>
      <c r="B2300" s="3">
        <v>0.55002366654923096</v>
      </c>
      <c r="C2300" s="5">
        <v>2.7354010898342998E-21</v>
      </c>
      <c r="D2300" s="6">
        <v>2.8631692936057599E-20</v>
      </c>
      <c r="E2300" s="3" t="s">
        <v>3786</v>
      </c>
      <c r="F2300" s="3" t="s">
        <v>3787</v>
      </c>
      <c r="G2300" s="3">
        <v>73736</v>
      </c>
      <c r="H2300" s="7" t="str">
        <f>HYPERLINK("http://www.ensembl.org/Mus_musculus/Gene/Summary?db=core;g=ENSMUSG00000021243","ENSMUSG00000021243")</f>
        <v>ENSMUSG00000021243</v>
      </c>
      <c r="I2300" s="7" t="str">
        <f>HYPERLINK("http://www.informatics.jax.org/marker/MGI:1920986","MGI:1920986")</f>
        <v>MGI:1920986</v>
      </c>
      <c r="J2300" s="4" t="s">
        <v>12</v>
      </c>
    </row>
    <row r="2301" spans="1:10" x14ac:dyDescent="0.25">
      <c r="A2301" s="2">
        <v>3964.8691153469999</v>
      </c>
      <c r="B2301" s="3">
        <v>0.54994587391314698</v>
      </c>
      <c r="C2301" s="5">
        <v>3.4960834084883702E-20</v>
      </c>
      <c r="D2301" s="6">
        <v>3.4996327317457202E-19</v>
      </c>
      <c r="E2301" s="3" t="s">
        <v>3958</v>
      </c>
      <c r="F2301" s="3" t="s">
        <v>3959</v>
      </c>
      <c r="G2301" s="3">
        <v>50772</v>
      </c>
      <c r="H2301" s="7" t="str">
        <f>HYPERLINK("http://www.ensembl.org/Mus_musculus/Gene/Summary?db=core;g=ENSMUSG00000042688","ENSMUSG00000042688")</f>
        <v>ENSMUSG00000042688</v>
      </c>
      <c r="I2301" s="7" t="str">
        <f>HYPERLINK("http://www.informatics.jax.org/marker/MGI:1354946","MGI:1354946")</f>
        <v>MGI:1354946</v>
      </c>
      <c r="J2301" s="4" t="s">
        <v>12</v>
      </c>
    </row>
    <row r="2302" spans="1:10" x14ac:dyDescent="0.25">
      <c r="A2302" s="2">
        <v>36088.2922474019</v>
      </c>
      <c r="B2302" s="3">
        <v>0.54907339832645696</v>
      </c>
      <c r="C2302" s="5">
        <v>1.1258145006897499E-11</v>
      </c>
      <c r="D2302" s="6">
        <v>6.9990737558643704E-11</v>
      </c>
      <c r="E2302" s="3" t="s">
        <v>6361</v>
      </c>
      <c r="F2302" s="3" t="s">
        <v>6362</v>
      </c>
      <c r="G2302" s="3">
        <v>64138</v>
      </c>
      <c r="H2302" s="7" t="str">
        <f>HYPERLINK("http://www.ensembl.org/Mus_musculus/Gene/Summary?db=core;g=ENSMUSG00000016256","ENSMUSG00000016256")</f>
        <v>ENSMUSG00000016256</v>
      </c>
      <c r="I2302" s="7" t="str">
        <f>HYPERLINK("http://www.informatics.jax.org/marker/MGI:1891190","MGI:1891190")</f>
        <v>MGI:1891190</v>
      </c>
      <c r="J2302" s="4" t="s">
        <v>12</v>
      </c>
    </row>
    <row r="2303" spans="1:10" x14ac:dyDescent="0.25">
      <c r="A2303" s="2">
        <v>3176.0260493574201</v>
      </c>
      <c r="B2303" s="3">
        <v>0.54874695156561404</v>
      </c>
      <c r="C2303" s="5">
        <v>1.5159308523252801E-41</v>
      </c>
      <c r="D2303" s="6">
        <v>3.21442542019941E-40</v>
      </c>
      <c r="E2303" s="3" t="s">
        <v>1877</v>
      </c>
      <c r="F2303" s="3" t="s">
        <v>1878</v>
      </c>
      <c r="G2303" s="3">
        <v>19359</v>
      </c>
      <c r="H2303" s="7" t="str">
        <f>HYPERLINK("http://www.ensembl.org/Mus_musculus/Gene/Summary?db=core;g=ENSMUSG00000028426","ENSMUSG00000028426")</f>
        <v>ENSMUSG00000028426</v>
      </c>
      <c r="I2303" s="7" t="str">
        <f>HYPERLINK("http://www.informatics.jax.org/marker/MGI:105128","MGI:105128")</f>
        <v>MGI:105128</v>
      </c>
      <c r="J2303" s="4" t="s">
        <v>12</v>
      </c>
    </row>
    <row r="2304" spans="1:10" x14ac:dyDescent="0.25">
      <c r="A2304" s="2">
        <v>1179.48006867709</v>
      </c>
      <c r="B2304" s="3">
        <v>0.54814056179637205</v>
      </c>
      <c r="C2304" s="5">
        <v>1.5502934498321099E-16</v>
      </c>
      <c r="D2304" s="6">
        <v>1.28723312971323E-15</v>
      </c>
      <c r="E2304" s="3" t="s">
        <v>4767</v>
      </c>
      <c r="F2304" s="3" t="s">
        <v>4768</v>
      </c>
      <c r="G2304" s="3">
        <v>103710</v>
      </c>
      <c r="H2304" s="7" t="str">
        <f>HYPERLINK("http://www.ensembl.org/Mus_musculus/Gene/Summary?db=core;g=ENSMUSG00000048807","ENSMUSG00000048807")</f>
        <v>ENSMUSG00000048807</v>
      </c>
      <c r="I2304" s="7" t="str">
        <f>HYPERLINK("http://www.informatics.jax.org/marker/MGI:2144150","MGI:2144150")</f>
        <v>MGI:2144150</v>
      </c>
      <c r="J2304" s="4" t="s">
        <v>12</v>
      </c>
    </row>
    <row r="2305" spans="1:10" x14ac:dyDescent="0.25">
      <c r="A2305" s="2">
        <v>910.70050799706098</v>
      </c>
      <c r="B2305" s="3">
        <v>0.54813803310021203</v>
      </c>
      <c r="C2305" s="5">
        <v>2.7410225935729898E-13</v>
      </c>
      <c r="D2305" s="6">
        <v>1.9026035038810002E-12</v>
      </c>
      <c r="E2305" s="3" t="s">
        <v>5699</v>
      </c>
      <c r="F2305" s="3" t="s">
        <v>5700</v>
      </c>
      <c r="G2305" s="3">
        <v>23917</v>
      </c>
      <c r="H2305" s="7" t="str">
        <f>HYPERLINK("http://www.ensembl.org/Mus_musculus/Gene/Summary?db=core;g=ENSMUSG00000003500","ENSMUSG00000003500")</f>
        <v>ENSMUSG00000003500</v>
      </c>
      <c r="I2305" s="7" t="str">
        <f>HYPERLINK("http://www.informatics.jax.org/marker/MGI:96567","MGI:96567")</f>
        <v>MGI:96567</v>
      </c>
      <c r="J2305" s="4" t="s">
        <v>12</v>
      </c>
    </row>
    <row r="2306" spans="1:10" x14ac:dyDescent="0.25">
      <c r="A2306" s="2">
        <v>2728.3607460142798</v>
      </c>
      <c r="B2306" s="3">
        <v>0.54770166424743305</v>
      </c>
      <c r="C2306" s="5">
        <v>5.4150839092876299E-29</v>
      </c>
      <c r="D2306" s="6">
        <v>7.7045782605448803E-28</v>
      </c>
      <c r="E2306" s="3" t="s">
        <v>2790</v>
      </c>
      <c r="F2306" s="3" t="s">
        <v>2791</v>
      </c>
      <c r="G2306" s="3">
        <v>22629</v>
      </c>
      <c r="H2306" s="7" t="str">
        <f>HYPERLINK("http://www.ensembl.org/Mus_musculus/Gene/Summary?db=core;g=ENSMUSG00000018965","ENSMUSG00000018965")</f>
        <v>ENSMUSG00000018965</v>
      </c>
      <c r="I2306" s="7" t="str">
        <f>HYPERLINK("http://www.informatics.jax.org/marker/MGI:109194","MGI:109194")</f>
        <v>MGI:109194</v>
      </c>
      <c r="J2306" s="4" t="s">
        <v>12</v>
      </c>
    </row>
    <row r="2307" spans="1:10" x14ac:dyDescent="0.25">
      <c r="A2307" s="2">
        <v>85.966686053085596</v>
      </c>
      <c r="B2307" s="3">
        <v>0.54740321414288895</v>
      </c>
      <c r="C2307" s="3">
        <v>9.4153800366769298E-3</v>
      </c>
      <c r="D2307" s="4">
        <v>2.3544419772161901E-2</v>
      </c>
      <c r="E2307" s="3" t="s">
        <v>15777</v>
      </c>
      <c r="F2307" s="3" t="s">
        <v>15778</v>
      </c>
      <c r="G2307" s="3" t="s">
        <v>83</v>
      </c>
      <c r="H2307" s="7" t="str">
        <f>HYPERLINK("http://www.ensembl.org/Mus_musculus/Gene/Summary?db=core;g=ENSMUSG00000103593","ENSMUSG00000103593")</f>
        <v>ENSMUSG00000103593</v>
      </c>
      <c r="I2307" s="7" t="str">
        <f>HYPERLINK("http://www.informatics.jax.org/marker/MGI:5610580","MGI:5610580")</f>
        <v>MGI:5610580</v>
      </c>
      <c r="J2307" s="4" t="s">
        <v>1828</v>
      </c>
    </row>
    <row r="2308" spans="1:10" x14ac:dyDescent="0.25">
      <c r="A2308" s="2">
        <v>128.520367989503</v>
      </c>
      <c r="B2308" s="3">
        <v>0.54670591400894797</v>
      </c>
      <c r="C2308" s="5">
        <v>8.9835459604472005E-7</v>
      </c>
      <c r="D2308" s="6">
        <v>3.73273338263841E-6</v>
      </c>
      <c r="E2308" s="3" t="s">
        <v>9507</v>
      </c>
      <c r="F2308" s="3" t="s">
        <v>9508</v>
      </c>
      <c r="G2308" s="3">
        <v>69757</v>
      </c>
      <c r="H2308" s="7" t="str">
        <f>HYPERLINK("http://www.ensembl.org/Mus_musculus/Gene/Summary?db=core;g=ENSMUSG00000078813","ENSMUSG00000078813")</f>
        <v>ENSMUSG00000078813</v>
      </c>
      <c r="I2308" s="7" t="str">
        <f>HYPERLINK("http://www.informatics.jax.org/marker/MGI:1917007","MGI:1917007")</f>
        <v>MGI:1917007</v>
      </c>
      <c r="J2308" s="4" t="s">
        <v>12</v>
      </c>
    </row>
    <row r="2309" spans="1:10" x14ac:dyDescent="0.25">
      <c r="A2309" s="2">
        <v>1630.01085266729</v>
      </c>
      <c r="B2309" s="3">
        <v>0.54609235944909595</v>
      </c>
      <c r="C2309" s="5">
        <v>9.55787774371998E-29</v>
      </c>
      <c r="D2309" s="6">
        <v>1.3482213813029901E-27</v>
      </c>
      <c r="E2309" s="3" t="s">
        <v>2814</v>
      </c>
      <c r="F2309" s="3" t="s">
        <v>2815</v>
      </c>
      <c r="G2309" s="3">
        <v>234663</v>
      </c>
      <c r="H2309" s="7" t="str">
        <f>HYPERLINK("http://www.ensembl.org/Mus_musculus/Gene/Summary?db=core;g=ENSMUSG00000035770","ENSMUSG00000035770")</f>
        <v>ENSMUSG00000035770</v>
      </c>
      <c r="I2309" s="7" t="str">
        <f>HYPERLINK("http://www.informatics.jax.org/marker/MGI:107738","MGI:107738")</f>
        <v>MGI:107738</v>
      </c>
      <c r="J2309" s="4" t="s">
        <v>12</v>
      </c>
    </row>
    <row r="2310" spans="1:10" x14ac:dyDescent="0.25">
      <c r="A2310" s="2">
        <v>44.9803240178001</v>
      </c>
      <c r="B2310" s="3">
        <v>0.545829754551999</v>
      </c>
      <c r="C2310" s="3">
        <v>2.3548088231477001E-3</v>
      </c>
      <c r="D2310" s="4">
        <v>6.5727997158489199E-3</v>
      </c>
      <c r="E2310" s="3" t="s">
        <v>14137</v>
      </c>
      <c r="F2310" s="3" t="s">
        <v>14138</v>
      </c>
      <c r="G2310" s="3">
        <v>94242</v>
      </c>
      <c r="H2310" s="7" t="str">
        <f>HYPERLINK("http://www.ensembl.org/Mus_musculus/Gene/Summary?db=core;g=ENSMUSG00000028776","ENSMUSG00000028776")</f>
        <v>ENSMUSG00000028776</v>
      </c>
      <c r="I2310" s="7" t="str">
        <f>HYPERLINK("http://www.informatics.jax.org/marker/MGI:2137617","MGI:2137617")</f>
        <v>MGI:2137617</v>
      </c>
      <c r="J2310" s="4" t="s">
        <v>12</v>
      </c>
    </row>
    <row r="2311" spans="1:10" x14ac:dyDescent="0.25">
      <c r="A2311" s="2">
        <v>3847.5925076134299</v>
      </c>
      <c r="B2311" s="3">
        <v>0.54567023696934003</v>
      </c>
      <c r="C2311" s="5">
        <v>4.8437995139758402E-17</v>
      </c>
      <c r="D2311" s="6">
        <v>4.1261220913867602E-16</v>
      </c>
      <c r="E2311" s="3" t="s">
        <v>4647</v>
      </c>
      <c r="F2311" s="3" t="s">
        <v>4648</v>
      </c>
      <c r="G2311" s="3">
        <v>71602</v>
      </c>
      <c r="H2311" s="7" t="str">
        <f>HYPERLINK("http://www.ensembl.org/Mus_musculus/Gene/Summary?db=core;g=ENSMUSG00000032220","ENSMUSG00000032220")</f>
        <v>ENSMUSG00000032220</v>
      </c>
      <c r="I2311" s="7" t="str">
        <f>HYPERLINK("http://www.informatics.jax.org/marker/MGI:106621","MGI:106621")</f>
        <v>MGI:106621</v>
      </c>
      <c r="J2311" s="4" t="s">
        <v>12</v>
      </c>
    </row>
    <row r="2312" spans="1:10" x14ac:dyDescent="0.25">
      <c r="A2312" s="2">
        <v>936.04284256107996</v>
      </c>
      <c r="B2312" s="3">
        <v>0.54525977851267804</v>
      </c>
      <c r="C2312" s="5">
        <v>6.1026283013816205E-16</v>
      </c>
      <c r="D2312" s="6">
        <v>4.9079865458093604E-15</v>
      </c>
      <c r="E2312" s="3" t="s">
        <v>4921</v>
      </c>
      <c r="F2312" s="3" t="s">
        <v>4922</v>
      </c>
      <c r="G2312" s="3">
        <v>20544</v>
      </c>
      <c r="H2312" s="7" t="str">
        <f>HYPERLINK("http://www.ensembl.org/Mus_musculus/Gene/Summary?db=core;g=ENSMUSG00000028854","ENSMUSG00000028854")</f>
        <v>ENSMUSG00000028854</v>
      </c>
      <c r="I2312" s="7" t="str">
        <f>HYPERLINK("http://www.informatics.jax.org/marker/MGI:102462","MGI:102462")</f>
        <v>MGI:102462</v>
      </c>
      <c r="J2312" s="4" t="s">
        <v>12</v>
      </c>
    </row>
    <row r="2313" spans="1:10" x14ac:dyDescent="0.25">
      <c r="A2313" s="2">
        <v>777.70792411111597</v>
      </c>
      <c r="B2313" s="3">
        <v>0.54512900949535603</v>
      </c>
      <c r="C2313" s="5">
        <v>6.8633649680578902E-15</v>
      </c>
      <c r="D2313" s="6">
        <v>5.2459518282985103E-14</v>
      </c>
      <c r="E2313" s="3" t="s">
        <v>5177</v>
      </c>
      <c r="F2313" s="3" t="s">
        <v>5178</v>
      </c>
      <c r="G2313" s="3">
        <v>13418</v>
      </c>
      <c r="H2313" s="7" t="str">
        <f>HYPERLINK("http://www.ensembl.org/Mus_musculus/Gene/Summary?db=core;g=ENSMUSG00000026740","ENSMUSG00000026740")</f>
        <v>ENSMUSG00000026740</v>
      </c>
      <c r="I2313" s="7" t="str">
        <f>HYPERLINK("http://www.informatics.jax.org/marker/MGI:103268","MGI:103268")</f>
        <v>MGI:103268</v>
      </c>
      <c r="J2313" s="4" t="s">
        <v>12</v>
      </c>
    </row>
    <row r="2314" spans="1:10" x14ac:dyDescent="0.25">
      <c r="A2314" s="2">
        <v>2531.08729511314</v>
      </c>
      <c r="B2314" s="3">
        <v>0.54505050556604095</v>
      </c>
      <c r="C2314" s="5">
        <v>1.5817142037660301E-9</v>
      </c>
      <c r="D2314" s="6">
        <v>8.3466427878689005E-9</v>
      </c>
      <c r="E2314" s="3" t="s">
        <v>7492</v>
      </c>
      <c r="F2314" s="3" t="s">
        <v>7493</v>
      </c>
      <c r="G2314" s="3">
        <v>72318</v>
      </c>
      <c r="H2314" s="7" t="str">
        <f>HYPERLINK("http://www.ensembl.org/Mus_musculus/Gene/Summary?db=core;g=ENSMUSG00000018008","ENSMUSG00000018008")</f>
        <v>ENSMUSG00000018008</v>
      </c>
      <c r="I2314" s="7" t="str">
        <f>HYPERLINK("http://www.informatics.jax.org/marker/MGI:2441702","MGI:2441702")</f>
        <v>MGI:2441702</v>
      </c>
      <c r="J2314" s="4" t="s">
        <v>12</v>
      </c>
    </row>
    <row r="2315" spans="1:10" x14ac:dyDescent="0.25">
      <c r="A2315" s="2">
        <v>1177.08871034601</v>
      </c>
      <c r="B2315" s="3">
        <v>0.54435745849420403</v>
      </c>
      <c r="C2315" s="5">
        <v>7.8282510566461301E-13</v>
      </c>
      <c r="D2315" s="6">
        <v>5.2831317877160102E-12</v>
      </c>
      <c r="E2315" s="3" t="s">
        <v>5861</v>
      </c>
      <c r="F2315" s="3" t="s">
        <v>5862</v>
      </c>
      <c r="G2315" s="3">
        <v>109129</v>
      </c>
      <c r="H2315" s="7" t="str">
        <f>HYPERLINK("http://www.ensembl.org/Mus_musculus/Gene/Summary?db=core;g=ENSMUSG00000026766","ENSMUSG00000026766")</f>
        <v>ENSMUSG00000026766</v>
      </c>
      <c r="I2315" s="7" t="str">
        <f>HYPERLINK("http://www.informatics.jax.org/marker/MGI:1923786","MGI:1923786")</f>
        <v>MGI:1923786</v>
      </c>
      <c r="J2315" s="4" t="s">
        <v>12</v>
      </c>
    </row>
    <row r="2316" spans="1:10" x14ac:dyDescent="0.25">
      <c r="A2316" s="2">
        <v>4002.5283203621202</v>
      </c>
      <c r="B2316" s="3">
        <v>0.544121944753306</v>
      </c>
      <c r="C2316" s="5">
        <v>3.1566399914374101E-42</v>
      </c>
      <c r="D2316" s="6">
        <v>6.8480682762536598E-41</v>
      </c>
      <c r="E2316" s="3" t="s">
        <v>1835</v>
      </c>
      <c r="F2316" s="3" t="s">
        <v>1836</v>
      </c>
      <c r="G2316" s="3">
        <v>12388</v>
      </c>
      <c r="H2316" s="7" t="str">
        <f>HYPERLINK("http://www.ensembl.org/Mus_musculus/Gene/Summary?db=core;g=ENSMUSG00000034101","ENSMUSG00000034101")</f>
        <v>ENSMUSG00000034101</v>
      </c>
      <c r="I2316" s="7" t="str">
        <f>HYPERLINK("http://www.informatics.jax.org/marker/MGI:105100","MGI:105100")</f>
        <v>MGI:105100</v>
      </c>
      <c r="J2316" s="4" t="s">
        <v>12</v>
      </c>
    </row>
    <row r="2317" spans="1:10" x14ac:dyDescent="0.25">
      <c r="A2317" s="2">
        <v>682.67971835054402</v>
      </c>
      <c r="B2317" s="3">
        <v>0.54354382091763698</v>
      </c>
      <c r="C2317" s="5">
        <v>2.5596641647098E-5</v>
      </c>
      <c r="D2317" s="6">
        <v>9.2060144680060598E-5</v>
      </c>
      <c r="E2317" s="3" t="s">
        <v>10978</v>
      </c>
      <c r="F2317" s="3" t="s">
        <v>10979</v>
      </c>
      <c r="G2317" s="3">
        <v>209630</v>
      </c>
      <c r="H2317" s="7" t="str">
        <f>HYPERLINK("http://www.ensembl.org/Mus_musculus/Gene/Summary?db=core;g=ENSMUSG00000026657","ENSMUSG00000026657")</f>
        <v>ENSMUSG00000026657</v>
      </c>
      <c r="I2317" s="7" t="str">
        <f>HYPERLINK("http://www.informatics.jax.org/marker/MGI:1919850","MGI:1919850")</f>
        <v>MGI:1919850</v>
      </c>
      <c r="J2317" s="4" t="s">
        <v>12</v>
      </c>
    </row>
    <row r="2318" spans="1:10" x14ac:dyDescent="0.25">
      <c r="A2318" s="2">
        <v>11259.5521053022</v>
      </c>
      <c r="B2318" s="3">
        <v>0.54308681898564304</v>
      </c>
      <c r="C2318" s="5">
        <v>9.8445179571333195E-33</v>
      </c>
      <c r="D2318" s="6">
        <v>1.5643343603115999E-31</v>
      </c>
      <c r="E2318" s="3" t="s">
        <v>2499</v>
      </c>
      <c r="F2318" s="3" t="s">
        <v>2500</v>
      </c>
      <c r="G2318" s="3">
        <v>73158</v>
      </c>
      <c r="H2318" s="7" t="str">
        <f>HYPERLINK("http://www.ensembl.org/Mus_musculus/Gene/Summary?db=core;g=ENSMUSG00000037331","ENSMUSG00000037331")</f>
        <v>ENSMUSG00000037331</v>
      </c>
      <c r="I2318" s="7" t="str">
        <f>HYPERLINK("http://www.informatics.jax.org/marker/MGI:1890165","MGI:1890165")</f>
        <v>MGI:1890165</v>
      </c>
      <c r="J2318" s="4" t="s">
        <v>12</v>
      </c>
    </row>
    <row r="2319" spans="1:10" x14ac:dyDescent="0.25">
      <c r="A2319" s="2">
        <v>2463.1058318993601</v>
      </c>
      <c r="B2319" s="3">
        <v>0.54302364326396102</v>
      </c>
      <c r="C2319" s="5">
        <v>3.5663809915672502E-22</v>
      </c>
      <c r="D2319" s="6">
        <v>3.9028320285075603E-21</v>
      </c>
      <c r="E2319" s="3" t="s">
        <v>3622</v>
      </c>
      <c r="F2319" s="3" t="s">
        <v>3623</v>
      </c>
      <c r="G2319" s="3">
        <v>68420</v>
      </c>
      <c r="H2319" s="7" t="str">
        <f>HYPERLINK("http://www.ensembl.org/Mus_musculus/Gene/Summary?db=core;g=ENSMUSG00000041870","ENSMUSG00000041870")</f>
        <v>ENSMUSG00000041870</v>
      </c>
      <c r="I2319" s="7" t="str">
        <f>HYPERLINK("http://www.informatics.jax.org/marker/MGI:1915670","MGI:1915670")</f>
        <v>MGI:1915670</v>
      </c>
      <c r="J2319" s="4" t="s">
        <v>12</v>
      </c>
    </row>
    <row r="2320" spans="1:10" x14ac:dyDescent="0.25">
      <c r="A2320" s="2">
        <v>2921.8003284096399</v>
      </c>
      <c r="B2320" s="3">
        <v>0.54292277366348596</v>
      </c>
      <c r="C2320" s="5">
        <v>1.5742041552313099E-19</v>
      </c>
      <c r="D2320" s="6">
        <v>1.5330027625264899E-18</v>
      </c>
      <c r="E2320" s="3" t="s">
        <v>4067</v>
      </c>
      <c r="F2320" s="3" t="s">
        <v>4068</v>
      </c>
      <c r="G2320" s="3">
        <v>107182</v>
      </c>
      <c r="H2320" s="7" t="str">
        <f>HYPERLINK("http://www.ensembl.org/Mus_musculus/Gene/Summary?db=core;g=ENSMUSG00000040565","ENSMUSG00000040565")</f>
        <v>ENSMUSG00000040565</v>
      </c>
      <c r="I2320" s="7" t="str">
        <f>HYPERLINK("http://www.informatics.jax.org/marker/MGI:2147538","MGI:2147538")</f>
        <v>MGI:2147538</v>
      </c>
      <c r="J2320" s="4" t="s">
        <v>12</v>
      </c>
    </row>
    <row r="2321" spans="1:10" x14ac:dyDescent="0.25">
      <c r="A2321" s="2">
        <v>662.61955482556903</v>
      </c>
      <c r="B2321" s="3">
        <v>0.54275360517377502</v>
      </c>
      <c r="C2321" s="5">
        <v>3.0910593072875898E-7</v>
      </c>
      <c r="D2321" s="6">
        <v>1.3476827225229099E-6</v>
      </c>
      <c r="E2321" s="3" t="s">
        <v>9061</v>
      </c>
      <c r="F2321" s="3" t="s">
        <v>9062</v>
      </c>
      <c r="G2321" s="3">
        <v>18484</v>
      </c>
      <c r="H2321" s="7" t="str">
        <f>HYPERLINK("http://www.ensembl.org/Mus_musculus/Gene/Summary?db=core;g=ENSMUSG00000026335","ENSMUSG00000026335")</f>
        <v>ENSMUSG00000026335</v>
      </c>
      <c r="I2321" s="7" t="str">
        <f>HYPERLINK("http://www.informatics.jax.org/marker/MGI:97475","MGI:97475")</f>
        <v>MGI:97475</v>
      </c>
      <c r="J2321" s="4" t="s">
        <v>12</v>
      </c>
    </row>
    <row r="2322" spans="1:10" x14ac:dyDescent="0.25">
      <c r="A2322" s="2">
        <v>1632.9780267818401</v>
      </c>
      <c r="B2322" s="3">
        <v>0.54163156486553998</v>
      </c>
      <c r="C2322" s="5">
        <v>5.8824162863555599E-8</v>
      </c>
      <c r="D2322" s="6">
        <v>2.7172932575997098E-7</v>
      </c>
      <c r="E2322" s="3" t="s">
        <v>8555</v>
      </c>
      <c r="F2322" s="3" t="s">
        <v>8556</v>
      </c>
      <c r="G2322" s="3">
        <v>71323</v>
      </c>
      <c r="H2322" s="7" t="str">
        <f>HYPERLINK("http://www.ensembl.org/Mus_musculus/Gene/Summary?db=core;g=ENSMUSG00000030259","ENSMUSG00000030259")</f>
        <v>ENSMUSG00000030259</v>
      </c>
      <c r="I2322" s="7" t="str">
        <f>HYPERLINK("http://www.informatics.jax.org/marker/MGI:1918573","MGI:1918573")</f>
        <v>MGI:1918573</v>
      </c>
      <c r="J2322" s="4" t="s">
        <v>12</v>
      </c>
    </row>
    <row r="2323" spans="1:10" x14ac:dyDescent="0.25">
      <c r="A2323" s="2">
        <v>474.83639075564997</v>
      </c>
      <c r="B2323" s="3">
        <v>0.54156793030820105</v>
      </c>
      <c r="C2323" s="5">
        <v>9.3329422716399E-12</v>
      </c>
      <c r="D2323" s="6">
        <v>5.8464301650806505E-11</v>
      </c>
      <c r="E2323" s="3" t="s">
        <v>6313</v>
      </c>
      <c r="F2323" s="3" t="s">
        <v>6314</v>
      </c>
      <c r="G2323" s="3">
        <v>54369</v>
      </c>
      <c r="H2323" s="7" t="str">
        <f>HYPERLINK("http://www.ensembl.org/Mus_musculus/Gene/Summary?db=core;g=ENSMUSG00000032478","ENSMUSG00000032478")</f>
        <v>ENSMUSG00000032478</v>
      </c>
      <c r="I2323" s="7" t="str">
        <f>HYPERLINK("http://www.informatics.jax.org/marker/MGI:1861676","MGI:1861676")</f>
        <v>MGI:1861676</v>
      </c>
      <c r="J2323" s="4" t="s">
        <v>12</v>
      </c>
    </row>
    <row r="2324" spans="1:10" x14ac:dyDescent="0.25">
      <c r="A2324" s="2">
        <v>1453.0927570808699</v>
      </c>
      <c r="B2324" s="3">
        <v>0.54146061393989797</v>
      </c>
      <c r="C2324" s="5">
        <v>1.66868542250033E-20</v>
      </c>
      <c r="D2324" s="6">
        <v>1.6953362458375299E-19</v>
      </c>
      <c r="E2324" s="3" t="s">
        <v>3900</v>
      </c>
      <c r="F2324" s="3" t="s">
        <v>3901</v>
      </c>
      <c r="G2324" s="3">
        <v>53414</v>
      </c>
      <c r="H2324" s="7" t="str">
        <f>HYPERLINK("http://www.ensembl.org/Mus_musculus/Gene/Summary?db=core;g=ENSMUSG00000023988","ENSMUSG00000023988")</f>
        <v>ENSMUSG00000023988</v>
      </c>
      <c r="I2324" s="7" t="str">
        <f>HYPERLINK("http://www.informatics.jax.org/marker/MGI:1858419","MGI:1858419")</f>
        <v>MGI:1858419</v>
      </c>
      <c r="J2324" s="4" t="s">
        <v>12</v>
      </c>
    </row>
    <row r="2325" spans="1:10" x14ac:dyDescent="0.25">
      <c r="A2325" s="2">
        <v>912.42459483013204</v>
      </c>
      <c r="B2325" s="3">
        <v>0.54143012513342104</v>
      </c>
      <c r="C2325" s="5">
        <v>9.4838181351222106E-20</v>
      </c>
      <c r="D2325" s="6">
        <v>9.2906554209940399E-19</v>
      </c>
      <c r="E2325" s="3" t="s">
        <v>4043</v>
      </c>
      <c r="F2325" s="3" t="s">
        <v>4044</v>
      </c>
      <c r="G2325" s="3">
        <v>328162</v>
      </c>
      <c r="H2325" s="7" t="str">
        <f>HYPERLINK("http://www.ensembl.org/Mus_musculus/Gene/Summary?db=core;g=ENSMUSG00000060950","ENSMUSG00000060950")</f>
        <v>ENSMUSG00000060950</v>
      </c>
      <c r="I2325" s="7" t="str">
        <f>HYPERLINK("http://www.informatics.jax.org/marker/MGI:2443487","MGI:2443487")</f>
        <v>MGI:2443487</v>
      </c>
      <c r="J2325" s="4" t="s">
        <v>12</v>
      </c>
    </row>
    <row r="2326" spans="1:10" x14ac:dyDescent="0.25">
      <c r="A2326" s="2">
        <v>837.37043655013395</v>
      </c>
      <c r="B2326" s="3">
        <v>0.54130057091256401</v>
      </c>
      <c r="C2326" s="5">
        <v>9.2907606112554597E-16</v>
      </c>
      <c r="D2326" s="6">
        <v>7.3966006965667198E-15</v>
      </c>
      <c r="E2326" s="3" t="s">
        <v>4971</v>
      </c>
      <c r="F2326" s="3" t="s">
        <v>4972</v>
      </c>
      <c r="G2326" s="3">
        <v>101489</v>
      </c>
      <c r="H2326" s="7" t="str">
        <f>HYPERLINK("http://www.ensembl.org/Mus_musculus/Gene/Summary?db=core;g=ENSMUSG00000025485","ENSMUSG00000025485")</f>
        <v>ENSMUSG00000025485</v>
      </c>
      <c r="I2326" s="7" t="str">
        <f>HYPERLINK("http://www.informatics.jax.org/marker/MGI:2141866","MGI:2141866")</f>
        <v>MGI:2141866</v>
      </c>
      <c r="J2326" s="4" t="s">
        <v>12</v>
      </c>
    </row>
    <row r="2327" spans="1:10" x14ac:dyDescent="0.25">
      <c r="A2327" s="2">
        <v>1295.9400128904699</v>
      </c>
      <c r="B2327" s="3">
        <v>0.540476342863075</v>
      </c>
      <c r="C2327" s="5">
        <v>1.02436644573189E-20</v>
      </c>
      <c r="D2327" s="6">
        <v>1.04937695116015E-19</v>
      </c>
      <c r="E2327" s="3" t="s">
        <v>3868</v>
      </c>
      <c r="F2327" s="3" t="s">
        <v>3869</v>
      </c>
      <c r="G2327" s="3">
        <v>432940</v>
      </c>
      <c r="H2327" s="7" t="str">
        <f>HYPERLINK("http://www.ensembl.org/Mus_musculus/Gene/Summary?db=core;g=ENSMUSG00000046034","ENSMUSG00000046034")</f>
        <v>ENSMUSG00000046034</v>
      </c>
      <c r="I2327" s="7" t="str">
        <f>HYPERLINK("http://www.informatics.jax.org/marker/MGI:3577015","MGI:3577015")</f>
        <v>MGI:3577015</v>
      </c>
      <c r="J2327" s="4" t="s">
        <v>12</v>
      </c>
    </row>
    <row r="2328" spans="1:10" x14ac:dyDescent="0.25">
      <c r="A2328" s="2">
        <v>1012.67230657629</v>
      </c>
      <c r="B2328" s="3">
        <v>0.54022288645880701</v>
      </c>
      <c r="C2328" s="5">
        <v>1.3183709063820901E-8</v>
      </c>
      <c r="D2328" s="6">
        <v>6.46723240643153E-8</v>
      </c>
      <c r="E2328" s="3" t="s">
        <v>8057</v>
      </c>
      <c r="F2328" s="3" t="s">
        <v>8058</v>
      </c>
      <c r="G2328" s="3">
        <v>74126</v>
      </c>
      <c r="H2328" s="7" t="str">
        <f>HYPERLINK("http://www.ensembl.org/Mus_musculus/Gene/Summary?db=core;g=ENSMUSG00000024807","ENSMUSG00000024807")</f>
        <v>ENSMUSG00000024807</v>
      </c>
      <c r="I2328" s="7" t="str">
        <f>HYPERLINK("http://www.informatics.jax.org/marker/MGI:1921376","MGI:1921376")</f>
        <v>MGI:1921376</v>
      </c>
      <c r="J2328" s="4" t="s">
        <v>12</v>
      </c>
    </row>
    <row r="2329" spans="1:10" x14ac:dyDescent="0.25">
      <c r="A2329" s="2">
        <v>69.664401493299096</v>
      </c>
      <c r="B2329" s="3">
        <v>0.53979177842363901</v>
      </c>
      <c r="C2329" s="3">
        <v>2.9443554188476702E-3</v>
      </c>
      <c r="D2329" s="4">
        <v>8.0766015940570493E-3</v>
      </c>
      <c r="E2329" s="3" t="s">
        <v>14383</v>
      </c>
      <c r="F2329" s="3" t="s">
        <v>14384</v>
      </c>
      <c r="G2329" s="3" t="s">
        <v>83</v>
      </c>
      <c r="H2329" s="7" t="str">
        <f>HYPERLINK("http://www.ensembl.org/Mus_musculus/Gene/Summary?db=core;g=ENSMUSG00000097979","ENSMUSG00000097979")</f>
        <v>ENSMUSG00000097979</v>
      </c>
      <c r="I2329" s="7" t="str">
        <f>HYPERLINK("http://www.informatics.jax.org/marker/MGI:3782871","MGI:3782871")</f>
        <v>MGI:3782871</v>
      </c>
      <c r="J2329" s="4" t="s">
        <v>5705</v>
      </c>
    </row>
    <row r="2330" spans="1:10" x14ac:dyDescent="0.25">
      <c r="A2330" s="2">
        <v>7979.1465683972301</v>
      </c>
      <c r="B2330" s="3">
        <v>0.53967024083614601</v>
      </c>
      <c r="C2330" s="5">
        <v>3.3141142126425298E-22</v>
      </c>
      <c r="D2330" s="6">
        <v>3.6368576668508999E-21</v>
      </c>
      <c r="E2330" s="3" t="s">
        <v>3612</v>
      </c>
      <c r="F2330" s="3" t="s">
        <v>3613</v>
      </c>
      <c r="G2330" s="3">
        <v>56200</v>
      </c>
      <c r="H2330" s="7" t="str">
        <f>HYPERLINK("http://www.ensembl.org/Mus_musculus/Gene/Summary?db=core;g=ENSMUSG00000020075","ENSMUSG00000020075")</f>
        <v>ENSMUSG00000020075</v>
      </c>
      <c r="I2330" s="7" t="str">
        <f>HYPERLINK("http://www.informatics.jax.org/marker/MGI:1860494","MGI:1860494")</f>
        <v>MGI:1860494</v>
      </c>
      <c r="J2330" s="4" t="s">
        <v>12</v>
      </c>
    </row>
    <row r="2331" spans="1:10" x14ac:dyDescent="0.25">
      <c r="A2331" s="2">
        <v>1862.2144882207699</v>
      </c>
      <c r="B2331" s="3">
        <v>0.53939175340321199</v>
      </c>
      <c r="C2331" s="5">
        <v>3.3968330893720302E-26</v>
      </c>
      <c r="D2331" s="6">
        <v>4.3525372659139997E-25</v>
      </c>
      <c r="E2331" s="3" t="s">
        <v>3096</v>
      </c>
      <c r="F2331" s="3" t="s">
        <v>3097</v>
      </c>
      <c r="G2331" s="3">
        <v>233033</v>
      </c>
      <c r="H2331" s="7" t="str">
        <f>HYPERLINK("http://www.ensembl.org/Mus_musculus/Gene/Summary?db=core;g=ENSMUSG00000109336","ENSMUSG00000109336")</f>
        <v>ENSMUSG00000109336</v>
      </c>
      <c r="I2331" s="7" t="str">
        <f>HYPERLINK("http://www.informatics.jax.org/marker/MGI:2448542","MGI:2448542")</f>
        <v>MGI:2448542</v>
      </c>
      <c r="J2331" s="4" t="s">
        <v>12</v>
      </c>
    </row>
    <row r="2332" spans="1:10" x14ac:dyDescent="0.25">
      <c r="A2332" s="2">
        <v>1278.31045889911</v>
      </c>
      <c r="B2332" s="3">
        <v>0.53839955103555104</v>
      </c>
      <c r="C2332" s="5">
        <v>6.77754466143734E-11</v>
      </c>
      <c r="D2332" s="6">
        <v>3.9825143243010801E-10</v>
      </c>
      <c r="E2332" s="3" t="s">
        <v>6730</v>
      </c>
      <c r="F2332" s="3" t="s">
        <v>6731</v>
      </c>
      <c r="G2332" s="3">
        <v>74123</v>
      </c>
      <c r="H2332" s="7" t="str">
        <f>HYPERLINK("http://www.ensembl.org/Mus_musculus/Gene/Summary?db=core;g=ENSMUSG00000023991","ENSMUSG00000023991")</f>
        <v>ENSMUSG00000023991</v>
      </c>
      <c r="I2332" s="7" t="str">
        <f>HYPERLINK("http://www.informatics.jax.org/marker/MGI:1921373","MGI:1921373")</f>
        <v>MGI:1921373</v>
      </c>
      <c r="J2332" s="4" t="s">
        <v>12</v>
      </c>
    </row>
    <row r="2333" spans="1:10" x14ac:dyDescent="0.25">
      <c r="A2333" s="2">
        <v>3997.1761081837199</v>
      </c>
      <c r="B2333" s="3">
        <v>0.53815448320299597</v>
      </c>
      <c r="C2333" s="5">
        <v>8.1243452435583801E-10</v>
      </c>
      <c r="D2333" s="6">
        <v>4.3857675390903702E-9</v>
      </c>
      <c r="E2333" s="3" t="s">
        <v>7324</v>
      </c>
      <c r="F2333" s="3" t="s">
        <v>7325</v>
      </c>
      <c r="G2333" s="3">
        <v>67771</v>
      </c>
      <c r="H2333" s="7" t="str">
        <f>HYPERLINK("http://www.ensembl.org/Mus_musculus/Gene/Summary?db=core;g=ENSMUSG00000008475","ENSMUSG00000008475")</f>
        <v>ENSMUSG00000008475</v>
      </c>
      <c r="I2333" s="7" t="str">
        <f>HYPERLINK("http://www.informatics.jax.org/marker/MGI:1915021","MGI:1915021")</f>
        <v>MGI:1915021</v>
      </c>
      <c r="J2333" s="4" t="s">
        <v>12</v>
      </c>
    </row>
    <row r="2334" spans="1:10" x14ac:dyDescent="0.25">
      <c r="A2334" s="2">
        <v>2770.5416975487101</v>
      </c>
      <c r="B2334" s="3">
        <v>0.53743004775524705</v>
      </c>
      <c r="C2334" s="5">
        <v>3.9630387205476799E-12</v>
      </c>
      <c r="D2334" s="6">
        <v>2.56317230466383E-11</v>
      </c>
      <c r="E2334" s="3" t="s">
        <v>6115</v>
      </c>
      <c r="F2334" s="3" t="s">
        <v>6116</v>
      </c>
      <c r="G2334" s="3">
        <v>11745</v>
      </c>
      <c r="H2334" s="7" t="str">
        <f>HYPERLINK("http://www.ensembl.org/Mus_musculus/Gene/Summary?db=core;g=ENSMUSG00000029484","ENSMUSG00000029484")</f>
        <v>ENSMUSG00000029484</v>
      </c>
      <c r="I2334" s="7" t="str">
        <f>HYPERLINK("http://www.informatics.jax.org/marker/MGI:1201378","MGI:1201378")</f>
        <v>MGI:1201378</v>
      </c>
      <c r="J2334" s="4" t="s">
        <v>12</v>
      </c>
    </row>
    <row r="2335" spans="1:10" x14ac:dyDescent="0.25">
      <c r="A2335" s="2">
        <v>2922.47026007574</v>
      </c>
      <c r="B2335" s="3">
        <v>0.536742632515401</v>
      </c>
      <c r="C2335" s="5">
        <v>7.0964367228490605E-27</v>
      </c>
      <c r="D2335" s="6">
        <v>9.3108271573242395E-26</v>
      </c>
      <c r="E2335" s="3" t="s">
        <v>3024</v>
      </c>
      <c r="F2335" s="3" t="s">
        <v>3025</v>
      </c>
      <c r="G2335" s="3">
        <v>13684</v>
      </c>
      <c r="H2335" s="7" t="str">
        <f>HYPERLINK("http://www.ensembl.org/Mus_musculus/Gene/Summary?db=core;g=ENSMUSG00000028156","ENSMUSG00000028156")</f>
        <v>ENSMUSG00000028156</v>
      </c>
      <c r="I2335" s="7" t="str">
        <f>HYPERLINK("http://www.informatics.jax.org/marker/MGI:95305","MGI:95305")</f>
        <v>MGI:95305</v>
      </c>
      <c r="J2335" s="4" t="s">
        <v>12</v>
      </c>
    </row>
    <row r="2336" spans="1:10" x14ac:dyDescent="0.25">
      <c r="A2336" s="2">
        <v>1859.7649786894499</v>
      </c>
      <c r="B2336" s="3">
        <v>0.536425360555424</v>
      </c>
      <c r="C2336" s="5">
        <v>1.2092892813467101E-18</v>
      </c>
      <c r="D2336" s="6">
        <v>1.1285936880339301E-17</v>
      </c>
      <c r="E2336" s="3" t="s">
        <v>4243</v>
      </c>
      <c r="F2336" s="3" t="s">
        <v>4244</v>
      </c>
      <c r="G2336" s="3">
        <v>97112</v>
      </c>
      <c r="H2336" s="7" t="str">
        <f>HYPERLINK("http://www.ensembl.org/Mus_musculus/Gene/Summary?db=core;g=ENSMUSG00000027787","ENSMUSG00000027787")</f>
        <v>ENSMUSG00000027787</v>
      </c>
      <c r="I2336" s="7" t="str">
        <f>HYPERLINK("http://www.informatics.jax.org/marker/MGI:2140103","MGI:2140103")</f>
        <v>MGI:2140103</v>
      </c>
      <c r="J2336" s="4" t="s">
        <v>12</v>
      </c>
    </row>
    <row r="2337" spans="1:10" x14ac:dyDescent="0.25">
      <c r="A2337" s="2">
        <v>25246.870773855</v>
      </c>
      <c r="B2337" s="3">
        <v>0.53567056832486504</v>
      </c>
      <c r="C2337" s="5">
        <v>1.4926747668896501E-51</v>
      </c>
      <c r="D2337" s="6">
        <v>4.1693408502923501E-50</v>
      </c>
      <c r="E2337" s="3" t="s">
        <v>1428</v>
      </c>
      <c r="F2337" s="3" t="s">
        <v>1429</v>
      </c>
      <c r="G2337" s="3">
        <v>15519</v>
      </c>
      <c r="H2337" s="7" t="str">
        <f>HYPERLINK("http://www.ensembl.org/Mus_musculus/Gene/Summary?db=core;g=ENSMUSG00000021270","ENSMUSG00000021270")</f>
        <v>ENSMUSG00000021270</v>
      </c>
      <c r="I2337" s="7" t="str">
        <f>HYPERLINK("http://www.informatics.jax.org/marker/MGI:96250","MGI:96250")</f>
        <v>MGI:96250</v>
      </c>
      <c r="J2337" s="4" t="s">
        <v>12</v>
      </c>
    </row>
    <row r="2338" spans="1:10" x14ac:dyDescent="0.25">
      <c r="A2338" s="2">
        <v>2778.61552093725</v>
      </c>
      <c r="B2338" s="3">
        <v>0.53533011348939397</v>
      </c>
      <c r="C2338" s="5">
        <v>2.1572895039735E-15</v>
      </c>
      <c r="D2338" s="6">
        <v>1.6921936761478701E-14</v>
      </c>
      <c r="E2338" s="3" t="s">
        <v>5045</v>
      </c>
      <c r="F2338" s="3" t="s">
        <v>5046</v>
      </c>
      <c r="G2338" s="3">
        <v>243819</v>
      </c>
      <c r="H2338" s="7" t="str">
        <f>HYPERLINK("http://www.ensembl.org/Mus_musculus/Gene/Summary?db=core;g=ENSMUSG00000052296","ENSMUSG00000052296")</f>
        <v>ENSMUSG00000052296</v>
      </c>
      <c r="I2338" s="7" t="str">
        <f>HYPERLINK("http://www.informatics.jax.org/marker/MGI:2442163","MGI:2442163")</f>
        <v>MGI:2442163</v>
      </c>
      <c r="J2338" s="4" t="s">
        <v>12</v>
      </c>
    </row>
    <row r="2339" spans="1:10" x14ac:dyDescent="0.25">
      <c r="A2339" s="2">
        <v>43.4908075273569</v>
      </c>
      <c r="B2339" s="3">
        <v>0.53500166614664102</v>
      </c>
      <c r="C2339" s="3">
        <v>1.4699164372706901E-2</v>
      </c>
      <c r="D2339" s="4">
        <v>3.53343905352419E-2</v>
      </c>
      <c r="E2339" s="3" t="s">
        <v>16413</v>
      </c>
      <c r="F2339" s="3" t="s">
        <v>16414</v>
      </c>
      <c r="G2339" s="3">
        <v>69635</v>
      </c>
      <c r="H2339" s="7" t="str">
        <f>HYPERLINK("http://www.ensembl.org/Mus_musculus/Gene/Summary?db=core;g=ENSMUSG00000021559","ENSMUSG00000021559")</f>
        <v>ENSMUSG00000021559</v>
      </c>
      <c r="I2339" s="7" t="str">
        <f>HYPERLINK("http://www.informatics.jax.org/marker/MGI:1916885","MGI:1916885")</f>
        <v>MGI:1916885</v>
      </c>
      <c r="J2339" s="4" t="s">
        <v>12</v>
      </c>
    </row>
    <row r="2340" spans="1:10" x14ac:dyDescent="0.25">
      <c r="A2340" s="2">
        <v>1955.1120171170401</v>
      </c>
      <c r="B2340" s="3">
        <v>0.53494355322433595</v>
      </c>
      <c r="C2340" s="5">
        <v>3.9152358035478902E-35</v>
      </c>
      <c r="D2340" s="6">
        <v>6.8085052950585898E-34</v>
      </c>
      <c r="E2340" s="3" t="s">
        <v>2285</v>
      </c>
      <c r="F2340" s="3" t="s">
        <v>2286</v>
      </c>
      <c r="G2340" s="3">
        <v>17758</v>
      </c>
      <c r="H2340" s="7" t="str">
        <f>HYPERLINK("http://www.ensembl.org/Mus_musculus/Gene/Summary?db=core;g=ENSMUSG00000032479","ENSMUSG00000032479")</f>
        <v>ENSMUSG00000032479</v>
      </c>
      <c r="I2340" s="7" t="str">
        <f>HYPERLINK("http://www.informatics.jax.org/marker/MGI:97178","MGI:97178")</f>
        <v>MGI:97178</v>
      </c>
      <c r="J2340" s="4" t="s">
        <v>12</v>
      </c>
    </row>
    <row r="2341" spans="1:10" x14ac:dyDescent="0.25">
      <c r="A2341" s="2">
        <v>222.97473042624</v>
      </c>
      <c r="B2341" s="3">
        <v>0.53424068804511804</v>
      </c>
      <c r="C2341" s="3">
        <v>3.8533058665464898E-4</v>
      </c>
      <c r="D2341" s="4">
        <v>1.2030904320503E-3</v>
      </c>
      <c r="E2341" s="3" t="s">
        <v>12645</v>
      </c>
      <c r="F2341" s="3" t="s">
        <v>12646</v>
      </c>
      <c r="G2341" s="3">
        <v>70785</v>
      </c>
      <c r="H2341" s="7" t="str">
        <f>HYPERLINK("http://www.ensembl.org/Mus_musculus/Gene/Summary?db=core;g=ENSMUSG00000002668","ENSMUSG00000002668")</f>
        <v>ENSMUSG00000002668</v>
      </c>
      <c r="I2341" s="7" t="str">
        <f>HYPERLINK("http://www.informatics.jax.org/marker/MGI:1918035","MGI:1918035")</f>
        <v>MGI:1918035</v>
      </c>
      <c r="J2341" s="4" t="s">
        <v>12</v>
      </c>
    </row>
    <row r="2342" spans="1:10" x14ac:dyDescent="0.25">
      <c r="A2342" s="2">
        <v>218.33062263363499</v>
      </c>
      <c r="B2342" s="3">
        <v>0.53389204025749404</v>
      </c>
      <c r="C2342" s="3">
        <v>8.9030823609100799E-4</v>
      </c>
      <c r="D2342" s="4">
        <v>2.6445064641835601E-3</v>
      </c>
      <c r="E2342" s="3" t="s">
        <v>13284</v>
      </c>
      <c r="F2342" s="3" t="s">
        <v>13285</v>
      </c>
      <c r="G2342" s="3">
        <v>27362</v>
      </c>
      <c r="H2342" s="7" t="str">
        <f>HYPERLINK("http://www.ensembl.org/Mus_musculus/Gene/Summary?db=core;g=ENSMUSG00000014905","ENSMUSG00000014905")</f>
        <v>ENSMUSG00000014905</v>
      </c>
      <c r="I2342" s="7" t="str">
        <f>HYPERLINK("http://www.informatics.jax.org/marker/MGI:1351618","MGI:1351618")</f>
        <v>MGI:1351618</v>
      </c>
      <c r="J2342" s="4" t="s">
        <v>12</v>
      </c>
    </row>
    <row r="2343" spans="1:10" x14ac:dyDescent="0.25">
      <c r="A2343" s="2">
        <v>89.326531480968896</v>
      </c>
      <c r="B2343" s="3">
        <v>0.53340217678041701</v>
      </c>
      <c r="C2343" s="5">
        <v>1.44275967707601E-5</v>
      </c>
      <c r="D2343" s="6">
        <v>5.3259492384760202E-5</v>
      </c>
      <c r="E2343" s="3" t="s">
        <v>10696</v>
      </c>
      <c r="F2343" s="3" t="s">
        <v>10697</v>
      </c>
      <c r="G2343" s="3" t="s">
        <v>83</v>
      </c>
      <c r="H2343" s="7" t="str">
        <f>HYPERLINK("http://www.ensembl.org/Mus_musculus/Gene/Summary?db=core;g=ENSMUSG00000048949","ENSMUSG00000048949")</f>
        <v>ENSMUSG00000048949</v>
      </c>
      <c r="I2343" s="7" t="str">
        <f>HYPERLINK("http://www.informatics.jax.org/marker/MGI:3644890","MGI:3644890")</f>
        <v>MGI:3644890</v>
      </c>
      <c r="J2343" s="4" t="s">
        <v>1043</v>
      </c>
    </row>
    <row r="2344" spans="1:10" x14ac:dyDescent="0.25">
      <c r="A2344" s="2">
        <v>3322.8499064459302</v>
      </c>
      <c r="B2344" s="3">
        <v>0.53321243382032302</v>
      </c>
      <c r="C2344" s="5">
        <v>6.1025401627132402E-17</v>
      </c>
      <c r="D2344" s="6">
        <v>5.1671142983557398E-16</v>
      </c>
      <c r="E2344" s="3" t="s">
        <v>4675</v>
      </c>
      <c r="F2344" s="3" t="s">
        <v>4676</v>
      </c>
      <c r="G2344" s="3">
        <v>107746</v>
      </c>
      <c r="H2344" s="7" t="str">
        <f>HYPERLINK("http://www.ensembl.org/Mus_musculus/Gene/Summary?db=core;g=ENSMUSG00000039844","ENSMUSG00000039844")</f>
        <v>ENSMUSG00000039844</v>
      </c>
      <c r="I2344" s="7" t="str">
        <f>HYPERLINK("http://www.informatics.jax.org/marker/MGI:104580","MGI:104580")</f>
        <v>MGI:104580</v>
      </c>
      <c r="J2344" s="4" t="s">
        <v>12</v>
      </c>
    </row>
    <row r="2345" spans="1:10" x14ac:dyDescent="0.25">
      <c r="A2345" s="2">
        <v>295.21309087773602</v>
      </c>
      <c r="B2345" s="3">
        <v>0.533161210154665</v>
      </c>
      <c r="C2345" s="5">
        <v>1.8893073778499E-11</v>
      </c>
      <c r="D2345" s="6">
        <v>1.15957489857454E-10</v>
      </c>
      <c r="E2345" s="3" t="s">
        <v>6443</v>
      </c>
      <c r="F2345" s="3" t="s">
        <v>6444</v>
      </c>
      <c r="G2345" s="3" t="s">
        <v>83</v>
      </c>
      <c r="H2345" s="7" t="str">
        <f>HYPERLINK("http://www.ensembl.org/Mus_musculus/Gene/Summary?db=core;g=ENSMUSG00000105704","ENSMUSG00000105704")</f>
        <v>ENSMUSG00000105704</v>
      </c>
      <c r="I2345" s="7" t="str">
        <f>HYPERLINK("http://www.informatics.jax.org/marker/MGI:5663192","MGI:5663192")</f>
        <v>MGI:5663192</v>
      </c>
      <c r="J2345" s="4" t="s">
        <v>939</v>
      </c>
    </row>
    <row r="2346" spans="1:10" x14ac:dyDescent="0.25">
      <c r="A2346" s="2">
        <v>576.99113365954304</v>
      </c>
      <c r="B2346" s="3">
        <v>0.53285439922273203</v>
      </c>
      <c r="C2346" s="5">
        <v>3.9208942278099698E-19</v>
      </c>
      <c r="D2346" s="6">
        <v>3.7424992339018703E-18</v>
      </c>
      <c r="E2346" s="3" t="s">
        <v>4149</v>
      </c>
      <c r="F2346" s="3" t="s">
        <v>4150</v>
      </c>
      <c r="G2346" s="3">
        <v>12380</v>
      </c>
      <c r="H2346" s="7" t="str">
        <f>HYPERLINK("http://www.ensembl.org/Mus_musculus/Gene/Summary?db=core;g=ENSMUSG00000021585","ENSMUSG00000021585")</f>
        <v>ENSMUSG00000021585</v>
      </c>
      <c r="I2346" s="7" t="str">
        <f>HYPERLINK("http://www.informatics.jax.org/marker/MGI:1098236","MGI:1098236")</f>
        <v>MGI:1098236</v>
      </c>
      <c r="J2346" s="4" t="s">
        <v>12</v>
      </c>
    </row>
    <row r="2347" spans="1:10" x14ac:dyDescent="0.25">
      <c r="A2347" s="2">
        <v>3810.3542794515201</v>
      </c>
      <c r="B2347" s="3">
        <v>0.53282112234440404</v>
      </c>
      <c r="C2347" s="5">
        <v>7.16930798253033E-40</v>
      </c>
      <c r="D2347" s="6">
        <v>1.4530190484635001E-38</v>
      </c>
      <c r="E2347" s="3" t="s">
        <v>1963</v>
      </c>
      <c r="F2347" s="3" t="s">
        <v>1964</v>
      </c>
      <c r="G2347" s="3">
        <v>59025</v>
      </c>
      <c r="H2347" s="7" t="str">
        <f>HYPERLINK("http://www.ensembl.org/Mus_musculus/Gene/Summary?db=core;g=ENSMUSG00000047879","ENSMUSG00000047879")</f>
        <v>ENSMUSG00000047879</v>
      </c>
      <c r="I2347" s="7" t="str">
        <f>HYPERLINK("http://www.informatics.jax.org/marker/MGI:1928898","MGI:1928898")</f>
        <v>MGI:1928898</v>
      </c>
      <c r="J2347" s="4" t="s">
        <v>12</v>
      </c>
    </row>
    <row r="2348" spans="1:10" x14ac:dyDescent="0.25">
      <c r="A2348" s="2">
        <v>62.581024716258099</v>
      </c>
      <c r="B2348" s="3">
        <v>0.53252843665711502</v>
      </c>
      <c r="C2348" s="3">
        <v>4.19824037670188E-4</v>
      </c>
      <c r="D2348" s="4">
        <v>1.3054131224938699E-3</v>
      </c>
      <c r="E2348" s="3" t="s">
        <v>12697</v>
      </c>
      <c r="F2348" s="3" t="s">
        <v>12698</v>
      </c>
      <c r="G2348" s="3" t="s">
        <v>83</v>
      </c>
      <c r="H2348" s="7" t="str">
        <f>HYPERLINK("http://www.ensembl.org/Mus_musculus/Gene/Summary?db=core;g=ENSMUSG00000097656","ENSMUSG00000097656")</f>
        <v>ENSMUSG00000097656</v>
      </c>
      <c r="I2348" s="7" t="str">
        <f>HYPERLINK("http://www.informatics.jax.org/marker/MGI:5477206","MGI:5477206")</f>
        <v>MGI:5477206</v>
      </c>
      <c r="J2348" s="4" t="s">
        <v>320</v>
      </c>
    </row>
    <row r="2349" spans="1:10" x14ac:dyDescent="0.25">
      <c r="A2349" s="2">
        <v>1454.71647482546</v>
      </c>
      <c r="B2349" s="3">
        <v>0.53231358084861402</v>
      </c>
      <c r="C2349" s="5">
        <v>3.1342342224585598E-22</v>
      </c>
      <c r="D2349" s="6">
        <v>3.4413752153052802E-21</v>
      </c>
      <c r="E2349" s="3" t="s">
        <v>3610</v>
      </c>
      <c r="F2349" s="3" t="s">
        <v>3611</v>
      </c>
      <c r="G2349" s="3">
        <v>230737</v>
      </c>
      <c r="H2349" s="7" t="str">
        <f>HYPERLINK("http://www.ensembl.org/Mus_musculus/Gene/Summary?db=core;g=ENSMUSG00000028869","ENSMUSG00000028869")</f>
        <v>ENSMUSG00000028869</v>
      </c>
      <c r="I2349" s="7" t="str">
        <f>HYPERLINK("http://www.informatics.jax.org/marker/MGI:2385207","MGI:2385207")</f>
        <v>MGI:2385207</v>
      </c>
      <c r="J2349" s="4" t="s">
        <v>12</v>
      </c>
    </row>
    <row r="2350" spans="1:10" x14ac:dyDescent="0.25">
      <c r="A2350" s="2">
        <v>26.9581798728546</v>
      </c>
      <c r="B2350" s="3">
        <v>0.53202597849463595</v>
      </c>
      <c r="C2350" s="3">
        <v>1.8773609880692599E-2</v>
      </c>
      <c r="D2350" s="4">
        <v>4.40627930072909E-2</v>
      </c>
      <c r="E2350" s="3" t="s">
        <v>16808</v>
      </c>
      <c r="F2350" s="3" t="s">
        <v>16809</v>
      </c>
      <c r="G2350" s="3" t="s">
        <v>83</v>
      </c>
      <c r="H2350" s="7" t="str">
        <f>HYPERLINK("http://www.ensembl.org/Mus_musculus/Gene/Summary?db=core;g=ENSMUSG00000103928","ENSMUSG00000103928")</f>
        <v>ENSMUSG00000103928</v>
      </c>
      <c r="I2350" s="7" t="str">
        <f>HYPERLINK("http://www.informatics.jax.org/marker/MGI:5611121","MGI:5611121")</f>
        <v>MGI:5611121</v>
      </c>
      <c r="J2350" s="4" t="s">
        <v>1828</v>
      </c>
    </row>
    <row r="2351" spans="1:10" x14ac:dyDescent="0.25">
      <c r="A2351" s="2">
        <v>582.76646312952903</v>
      </c>
      <c r="B2351" s="3">
        <v>0.53190234867582398</v>
      </c>
      <c r="C2351" s="5">
        <v>1.19949937384218E-19</v>
      </c>
      <c r="D2351" s="6">
        <v>1.1704170040657001E-18</v>
      </c>
      <c r="E2351" s="3" t="s">
        <v>4059</v>
      </c>
      <c r="F2351" s="3" t="s">
        <v>4060</v>
      </c>
      <c r="G2351" s="3">
        <v>56044</v>
      </c>
      <c r="H2351" s="7" t="str">
        <f>HYPERLINK("http://www.ensembl.org/Mus_musculus/Gene/Summary?db=core;g=ENSMUSG00000008859","ENSMUSG00000008859")</f>
        <v>ENSMUSG00000008859</v>
      </c>
      <c r="I2351" s="7" t="str">
        <f>HYPERLINK("http://www.informatics.jax.org/marker/MGI:1927243","MGI:1927243")</f>
        <v>MGI:1927243</v>
      </c>
      <c r="J2351" s="4" t="s">
        <v>12</v>
      </c>
    </row>
    <row r="2352" spans="1:10" x14ac:dyDescent="0.25">
      <c r="A2352" s="2">
        <v>823.85784287579702</v>
      </c>
      <c r="B2352" s="3">
        <v>0.53190222353310701</v>
      </c>
      <c r="C2352" s="5">
        <v>1.4324022987108E-14</v>
      </c>
      <c r="D2352" s="6">
        <v>1.0752559318834E-13</v>
      </c>
      <c r="E2352" s="3" t="s">
        <v>5271</v>
      </c>
      <c r="F2352" s="3" t="s">
        <v>5272</v>
      </c>
      <c r="G2352" s="3">
        <v>68441</v>
      </c>
      <c r="H2352" s="7" t="str">
        <f>HYPERLINK("http://www.ensembl.org/Mus_musculus/Gene/Summary?db=core;g=ENSMUSG00000070934","ENSMUSG00000070934")</f>
        <v>ENSMUSG00000070934</v>
      </c>
      <c r="I2352" s="7" t="str">
        <f>HYPERLINK("http://www.informatics.jax.org/marker/MGI:1915691","MGI:1915691")</f>
        <v>MGI:1915691</v>
      </c>
      <c r="J2352" s="4" t="s">
        <v>12</v>
      </c>
    </row>
    <row r="2353" spans="1:10" x14ac:dyDescent="0.25">
      <c r="A2353" s="2">
        <v>1739.3753436326799</v>
      </c>
      <c r="B2353" s="3">
        <v>0.53186490511273499</v>
      </c>
      <c r="C2353" s="5">
        <v>5.5743781214868696E-21</v>
      </c>
      <c r="D2353" s="6">
        <v>5.7463009177062796E-20</v>
      </c>
      <c r="E2353" s="3" t="s">
        <v>3844</v>
      </c>
      <c r="F2353" s="3" t="s">
        <v>3845</v>
      </c>
      <c r="G2353" s="3">
        <v>19303</v>
      </c>
      <c r="H2353" s="7" t="str">
        <f>HYPERLINK("http://www.ensembl.org/Mus_musculus/Gene/Summary?db=core;g=ENSMUSG00000029528","ENSMUSG00000029528")</f>
        <v>ENSMUSG00000029528</v>
      </c>
      <c r="I2353" s="7" t="str">
        <f>HYPERLINK("http://www.informatics.jax.org/marker/MGI:108295","MGI:108295")</f>
        <v>MGI:108295</v>
      </c>
      <c r="J2353" s="4" t="s">
        <v>12</v>
      </c>
    </row>
    <row r="2354" spans="1:10" x14ac:dyDescent="0.25">
      <c r="A2354" s="2">
        <v>1583.4978257896501</v>
      </c>
      <c r="B2354" s="3">
        <v>0.53185011946307803</v>
      </c>
      <c r="C2354" s="5">
        <v>5.2851538405395498E-18</v>
      </c>
      <c r="D2354" s="6">
        <v>4.7721260867875398E-17</v>
      </c>
      <c r="E2354" s="3" t="s">
        <v>4385</v>
      </c>
      <c r="F2354" s="3" t="s">
        <v>4386</v>
      </c>
      <c r="G2354" s="3" t="s">
        <v>83</v>
      </c>
      <c r="H2354" s="7" t="str">
        <f>HYPERLINK("http://www.ensembl.org/Mus_musculus/Gene/Summary?db=core;g=ENSMUSG00000115232","ENSMUSG00000115232")</f>
        <v>ENSMUSG00000115232</v>
      </c>
      <c r="I2354" s="7" t="str">
        <f>HYPERLINK("http://www.informatics.jax.org/marker/MGI:6121598","MGI:6121598")</f>
        <v>MGI:6121598</v>
      </c>
      <c r="J2354" s="4" t="s">
        <v>12</v>
      </c>
    </row>
    <row r="2355" spans="1:10" x14ac:dyDescent="0.25">
      <c r="A2355" s="2">
        <v>164.546047743218</v>
      </c>
      <c r="B2355" s="3">
        <v>0.53164879092008499</v>
      </c>
      <c r="C2355" s="5">
        <v>3.7747981650316402E-7</v>
      </c>
      <c r="D2355" s="6">
        <v>1.62957574024571E-6</v>
      </c>
      <c r="E2355" s="3" t="s">
        <v>9151</v>
      </c>
      <c r="F2355" s="3" t="s">
        <v>9152</v>
      </c>
      <c r="G2355" s="3">
        <v>69478</v>
      </c>
      <c r="H2355" s="7" t="str">
        <f>HYPERLINK("http://www.ensembl.org/Mus_musculus/Gene/Summary?db=core;g=ENSMUSG00000032403","ENSMUSG00000032403")</f>
        <v>ENSMUSG00000032403</v>
      </c>
      <c r="I2355" s="7" t="str">
        <f>HYPERLINK("http://www.informatics.jax.org/marker/MGI:1916728","MGI:1916728")</f>
        <v>MGI:1916728</v>
      </c>
      <c r="J2355" s="4" t="s">
        <v>12</v>
      </c>
    </row>
    <row r="2356" spans="1:10" x14ac:dyDescent="0.25">
      <c r="A2356" s="2">
        <v>47.043284955179097</v>
      </c>
      <c r="B2356" s="3">
        <v>0.53125576094722704</v>
      </c>
      <c r="C2356" s="3">
        <v>4.1791273137280101E-3</v>
      </c>
      <c r="D2356" s="4">
        <v>1.12125701532947E-2</v>
      </c>
      <c r="E2356" s="3" t="s">
        <v>14702</v>
      </c>
      <c r="F2356" s="3" t="s">
        <v>14703</v>
      </c>
      <c r="G2356" s="3" t="s">
        <v>83</v>
      </c>
      <c r="H2356" s="7" t="str">
        <f>HYPERLINK("http://www.ensembl.org/Mus_musculus/Gene/Summary?db=core;g=ENSMUSG00000106797","ENSMUSG00000106797")</f>
        <v>ENSMUSG00000106797</v>
      </c>
      <c r="I2356" s="7" t="str">
        <f>HYPERLINK("http://www.informatics.jax.org/marker/MGI:5663073","MGI:5663073")</f>
        <v>MGI:5663073</v>
      </c>
      <c r="J2356" s="4" t="s">
        <v>331</v>
      </c>
    </row>
    <row r="2357" spans="1:10" x14ac:dyDescent="0.25">
      <c r="A2357" s="2">
        <v>236.83947563288501</v>
      </c>
      <c r="B2357" s="3">
        <v>0.53102837722805296</v>
      </c>
      <c r="C2357" s="5">
        <v>3.5808511928861501E-6</v>
      </c>
      <c r="D2357" s="6">
        <v>1.40219192858846E-5</v>
      </c>
      <c r="E2357" s="3" t="s">
        <v>10088</v>
      </c>
      <c r="F2357" s="3" t="s">
        <v>10089</v>
      </c>
      <c r="G2357" s="3">
        <v>72469</v>
      </c>
      <c r="H2357" s="7" t="str">
        <f>HYPERLINK("http://www.ensembl.org/Mus_musculus/Gene/Summary?db=core;g=ENSMUSG00000020937","ENSMUSG00000020937")</f>
        <v>ENSMUSG00000020937</v>
      </c>
      <c r="I2357" s="7" t="str">
        <f>HYPERLINK("http://www.informatics.jax.org/marker/MGI:107451","MGI:107451")</f>
        <v>MGI:107451</v>
      </c>
      <c r="J2357" s="4" t="s">
        <v>12</v>
      </c>
    </row>
    <row r="2358" spans="1:10" x14ac:dyDescent="0.25">
      <c r="A2358" s="2">
        <v>380.854011983205</v>
      </c>
      <c r="B2358" s="3">
        <v>0.53026327575909504</v>
      </c>
      <c r="C2358" s="5">
        <v>2.2680434039462901E-11</v>
      </c>
      <c r="D2358" s="6">
        <v>1.38470018346195E-10</v>
      </c>
      <c r="E2358" s="3" t="s">
        <v>6477</v>
      </c>
      <c r="F2358" s="3" t="s">
        <v>6478</v>
      </c>
      <c r="G2358" s="3">
        <v>71801</v>
      </c>
      <c r="H2358" s="7" t="str">
        <f>HYPERLINK("http://www.ensembl.org/Mus_musculus/Gene/Summary?db=core;g=ENSMUSG00000049969","ENSMUSG00000049969")</f>
        <v>ENSMUSG00000049969</v>
      </c>
      <c r="I2358" s="7" t="str">
        <f>HYPERLINK("http://www.informatics.jax.org/marker/MGI:1919051","MGI:1919051")</f>
        <v>MGI:1919051</v>
      </c>
      <c r="J2358" s="4" t="s">
        <v>12</v>
      </c>
    </row>
    <row r="2359" spans="1:10" x14ac:dyDescent="0.25">
      <c r="A2359" s="2">
        <v>847.11147973514005</v>
      </c>
      <c r="B2359" s="3">
        <v>0.530060488120636</v>
      </c>
      <c r="C2359" s="5">
        <v>4.94423632827618E-19</v>
      </c>
      <c r="D2359" s="6">
        <v>4.7078870301113596E-18</v>
      </c>
      <c r="E2359" s="3" t="s">
        <v>4159</v>
      </c>
      <c r="F2359" s="3" t="s">
        <v>4160</v>
      </c>
      <c r="G2359" s="3">
        <v>68040</v>
      </c>
      <c r="H2359" s="7" t="str">
        <f>HYPERLINK("http://www.ensembl.org/Mus_musculus/Gene/Summary?db=core;g=ENSMUSG00000028840","ENSMUSG00000028840")</f>
        <v>ENSMUSG00000028840</v>
      </c>
      <c r="I2359" s="7" t="str">
        <f>HYPERLINK("http://www.informatics.jax.org/marker/MGI:1915290","MGI:1915290")</f>
        <v>MGI:1915290</v>
      </c>
      <c r="J2359" s="4" t="s">
        <v>12</v>
      </c>
    </row>
    <row r="2360" spans="1:10" x14ac:dyDescent="0.25">
      <c r="A2360" s="2">
        <v>1960.78469876026</v>
      </c>
      <c r="B2360" s="3">
        <v>0.529525175689469</v>
      </c>
      <c r="C2360" s="5">
        <v>5.8038567002836295E-20</v>
      </c>
      <c r="D2360" s="6">
        <v>5.7311995057382698E-19</v>
      </c>
      <c r="E2360" s="3" t="s">
        <v>4012</v>
      </c>
      <c r="F2360" s="3" t="s">
        <v>4013</v>
      </c>
      <c r="G2360" s="3">
        <v>66942</v>
      </c>
      <c r="H2360" s="7" t="str">
        <f>HYPERLINK("http://www.ensembl.org/Mus_musculus/Gene/Summary?db=core;g=ENSMUSG00000001674","ENSMUSG00000001674")</f>
        <v>ENSMUSG00000001674</v>
      </c>
      <c r="I2360" s="7" t="str">
        <f>HYPERLINK("http://www.informatics.jax.org/marker/MGI:1914192","MGI:1914192")</f>
        <v>MGI:1914192</v>
      </c>
      <c r="J2360" s="4" t="s">
        <v>12</v>
      </c>
    </row>
    <row r="2361" spans="1:10" x14ac:dyDescent="0.25">
      <c r="A2361" s="2">
        <v>392.83690155457498</v>
      </c>
      <c r="B2361" s="3">
        <v>0.52945031818177701</v>
      </c>
      <c r="C2361" s="5">
        <v>3.9765293193615801E-12</v>
      </c>
      <c r="D2361" s="6">
        <v>2.5702116741334099E-11</v>
      </c>
      <c r="E2361" s="3" t="s">
        <v>6119</v>
      </c>
      <c r="F2361" s="3" t="s">
        <v>6120</v>
      </c>
      <c r="G2361" s="3">
        <v>17168</v>
      </c>
      <c r="H2361" s="7" t="str">
        <f>HYPERLINK("http://www.ensembl.org/Mus_musculus/Gene/Summary?db=core;g=ENSMUSG00000020289","ENSMUSG00000020289")</f>
        <v>ENSMUSG00000020289</v>
      </c>
      <c r="I2361" s="7" t="str">
        <f>HYPERLINK("http://www.informatics.jax.org/marker/MGI:109258","MGI:109258")</f>
        <v>MGI:109258</v>
      </c>
      <c r="J2361" s="4" t="s">
        <v>12</v>
      </c>
    </row>
    <row r="2362" spans="1:10" x14ac:dyDescent="0.25">
      <c r="A2362" s="2">
        <v>341.55781046631802</v>
      </c>
      <c r="B2362" s="3">
        <v>0.52896696091752904</v>
      </c>
      <c r="C2362" s="5">
        <v>2.3001941907318898E-11</v>
      </c>
      <c r="D2362" s="6">
        <v>1.4030259647767599E-10</v>
      </c>
      <c r="E2362" s="3" t="s">
        <v>6483</v>
      </c>
      <c r="F2362" s="3" t="s">
        <v>6484</v>
      </c>
      <c r="G2362" s="3">
        <v>66225</v>
      </c>
      <c r="H2362" s="7" t="str">
        <f>HYPERLINK("http://www.ensembl.org/Mus_musculus/Gene/Summary?db=core;g=ENSMUSG00000020224","ENSMUSG00000020224")</f>
        <v>ENSMUSG00000020224</v>
      </c>
      <c r="I2362" s="7" t="str">
        <f>HYPERLINK("http://www.informatics.jax.org/marker/MGI:1913475","MGI:1913475")</f>
        <v>MGI:1913475</v>
      </c>
      <c r="J2362" s="4" t="s">
        <v>12</v>
      </c>
    </row>
    <row r="2363" spans="1:10" x14ac:dyDescent="0.25">
      <c r="A2363" s="2">
        <v>448.89310021277402</v>
      </c>
      <c r="B2363" s="3">
        <v>0.52873973818986897</v>
      </c>
      <c r="C2363" s="5">
        <v>4.9834775725725596E-12</v>
      </c>
      <c r="D2363" s="6">
        <v>3.1917563407317602E-11</v>
      </c>
      <c r="E2363" s="3" t="s">
        <v>6175</v>
      </c>
      <c r="F2363" s="3" t="s">
        <v>6176</v>
      </c>
      <c r="G2363" s="3">
        <v>67028</v>
      </c>
      <c r="H2363" s="7" t="str">
        <f>HYPERLINK("http://www.ensembl.org/Mus_musculus/Gene/Summary?db=core;g=ENSMUSG00000031242","ENSMUSG00000031242")</f>
        <v>ENSMUSG00000031242</v>
      </c>
      <c r="I2363" s="7" t="str">
        <f>HYPERLINK("http://www.informatics.jax.org/marker/MGI:1914278","MGI:1914278")</f>
        <v>MGI:1914278</v>
      </c>
      <c r="J2363" s="4" t="s">
        <v>12</v>
      </c>
    </row>
    <row r="2364" spans="1:10" x14ac:dyDescent="0.25">
      <c r="A2364" s="2">
        <v>983.61135376639004</v>
      </c>
      <c r="B2364" s="3">
        <v>0.52842316399148104</v>
      </c>
      <c r="C2364" s="5">
        <v>2.2600163076341302E-16</v>
      </c>
      <c r="D2364" s="6">
        <v>1.8585288401394999E-15</v>
      </c>
      <c r="E2364" s="3" t="s">
        <v>4813</v>
      </c>
      <c r="F2364" s="3" t="s">
        <v>4814</v>
      </c>
      <c r="G2364" s="3">
        <v>106064</v>
      </c>
      <c r="H2364" s="7" t="str">
        <f>HYPERLINK("http://www.ensembl.org/Mus_musculus/Gene/Summary?db=core;g=ENSMUSG00000041935","ENSMUSG00000041935")</f>
        <v>ENSMUSG00000041935</v>
      </c>
      <c r="I2364" s="7" t="str">
        <f>HYPERLINK("http://www.informatics.jax.org/marker/MGI:2146232","MGI:2146232")</f>
        <v>MGI:2146232</v>
      </c>
      <c r="J2364" s="4" t="s">
        <v>12</v>
      </c>
    </row>
    <row r="2365" spans="1:10" x14ac:dyDescent="0.25">
      <c r="A2365" s="2">
        <v>314.80274159784398</v>
      </c>
      <c r="B2365" s="3">
        <v>0.52803648988604002</v>
      </c>
      <c r="C2365" s="5">
        <v>1.5389263576036999E-8</v>
      </c>
      <c r="D2365" s="6">
        <v>7.4989851397605406E-8</v>
      </c>
      <c r="E2365" s="3" t="s">
        <v>8109</v>
      </c>
      <c r="F2365" s="3" t="s">
        <v>8110</v>
      </c>
      <c r="G2365" s="3">
        <v>226418</v>
      </c>
      <c r="H2365" s="7" t="str">
        <f>HYPERLINK("http://www.ensembl.org/Mus_musculus/Gene/Summary?db=core;g=ENSMUSG00000046404","ENSMUSG00000046404")</f>
        <v>ENSMUSG00000046404</v>
      </c>
      <c r="I2365" s="7" t="str">
        <f>HYPERLINK("http://www.informatics.jax.org/marker/MGI:2442596","MGI:2442596")</f>
        <v>MGI:2442596</v>
      </c>
      <c r="J2365" s="4" t="s">
        <v>12</v>
      </c>
    </row>
    <row r="2366" spans="1:10" x14ac:dyDescent="0.25">
      <c r="A2366" s="2">
        <v>268.53255573505299</v>
      </c>
      <c r="B2366" s="3">
        <v>0.52780956949476898</v>
      </c>
      <c r="C2366" s="5">
        <v>9.4162007313239807E-9</v>
      </c>
      <c r="D2366" s="6">
        <v>4.6796239521600001E-8</v>
      </c>
      <c r="E2366" s="3" t="s">
        <v>7953</v>
      </c>
      <c r="F2366" s="3" t="s">
        <v>7954</v>
      </c>
      <c r="G2366" s="3">
        <v>66875</v>
      </c>
      <c r="H2366" s="7" t="str">
        <f>HYPERLINK("http://www.ensembl.org/Mus_musculus/Gene/Summary?db=core;g=ENSMUSG00000052748","ENSMUSG00000052748")</f>
        <v>ENSMUSG00000052748</v>
      </c>
      <c r="I2366" s="7" t="str">
        <f>HYPERLINK("http://www.informatics.jax.org/marker/MGI:1914125","MGI:1914125")</f>
        <v>MGI:1914125</v>
      </c>
      <c r="J2366" s="4" t="s">
        <v>12</v>
      </c>
    </row>
    <row r="2367" spans="1:10" x14ac:dyDescent="0.25">
      <c r="A2367" s="2">
        <v>322.73592412445498</v>
      </c>
      <c r="B2367" s="3">
        <v>0.52759638124935104</v>
      </c>
      <c r="C2367" s="5">
        <v>3.7732361742468498E-10</v>
      </c>
      <c r="D2367" s="6">
        <v>2.0907057419541399E-9</v>
      </c>
      <c r="E2367" s="3" t="s">
        <v>7136</v>
      </c>
      <c r="F2367" s="3" t="s">
        <v>7137</v>
      </c>
      <c r="G2367" s="3">
        <v>328417</v>
      </c>
      <c r="H2367" s="7" t="str">
        <f>HYPERLINK("http://www.ensembl.org/Mus_musculus/Gene/Summary?db=core;g=ENSMUSG00000054509","ENSMUSG00000054509")</f>
        <v>ENSMUSG00000054509</v>
      </c>
      <c r="I2367" s="7" t="str">
        <f>HYPERLINK("http://www.informatics.jax.org/marker/MGI:2685589","MGI:2685589")</f>
        <v>MGI:2685589</v>
      </c>
      <c r="J2367" s="4" t="s">
        <v>12</v>
      </c>
    </row>
    <row r="2368" spans="1:10" x14ac:dyDescent="0.25">
      <c r="A2368" s="2">
        <v>918.63444519131804</v>
      </c>
      <c r="B2368" s="3">
        <v>0.52635710143117598</v>
      </c>
      <c r="C2368" s="5">
        <v>3.7461011049644E-15</v>
      </c>
      <c r="D2368" s="6">
        <v>2.90039708637212E-14</v>
      </c>
      <c r="E2368" s="3" t="s">
        <v>5111</v>
      </c>
      <c r="F2368" s="3" t="s">
        <v>5112</v>
      </c>
      <c r="G2368" s="3">
        <v>101476</v>
      </c>
      <c r="H2368" s="7" t="str">
        <f>HYPERLINK("http://www.ensembl.org/Mus_musculus/Gene/Summary?db=core;g=ENSMUSG00000040268","ENSMUSG00000040268")</f>
        <v>ENSMUSG00000040268</v>
      </c>
      <c r="I2368" s="7" t="str">
        <f>HYPERLINK("http://www.informatics.jax.org/marker/MGI:2442213","MGI:2442213")</f>
        <v>MGI:2442213</v>
      </c>
      <c r="J2368" s="4" t="s">
        <v>12</v>
      </c>
    </row>
    <row r="2369" spans="1:10" x14ac:dyDescent="0.25">
      <c r="A2369" s="2">
        <v>7451.2924130615402</v>
      </c>
      <c r="B2369" s="3">
        <v>0.52584741425594095</v>
      </c>
      <c r="C2369" s="5">
        <v>2.0628177826570599E-6</v>
      </c>
      <c r="D2369" s="6">
        <v>8.2848811963334303E-6</v>
      </c>
      <c r="E2369" s="3" t="s">
        <v>9835</v>
      </c>
      <c r="F2369" s="3" t="s">
        <v>9836</v>
      </c>
      <c r="G2369" s="3">
        <v>234734</v>
      </c>
      <c r="H2369" s="7" t="str">
        <f>HYPERLINK("http://www.ensembl.org/Mus_musculus/Gene/Summary?db=core;g=ENSMUSG00000031960","ENSMUSG00000031960")</f>
        <v>ENSMUSG00000031960</v>
      </c>
      <c r="I2369" s="7" t="str">
        <f>HYPERLINK("http://www.informatics.jax.org/marker/MGI:2384560","MGI:2384560")</f>
        <v>MGI:2384560</v>
      </c>
      <c r="J2369" s="4" t="s">
        <v>12</v>
      </c>
    </row>
    <row r="2370" spans="1:10" x14ac:dyDescent="0.25">
      <c r="A2370" s="2">
        <v>827.10823126281298</v>
      </c>
      <c r="B2370" s="3">
        <v>0.52582491355083205</v>
      </c>
      <c r="C2370" s="5">
        <v>2.0609982842948899E-24</v>
      </c>
      <c r="D2370" s="6">
        <v>2.4632052221997101E-23</v>
      </c>
      <c r="E2370" s="3" t="s">
        <v>3320</v>
      </c>
      <c r="F2370" s="3" t="s">
        <v>3321</v>
      </c>
      <c r="G2370" s="3">
        <v>71999</v>
      </c>
      <c r="H2370" s="7" t="str">
        <f>HYPERLINK("http://www.ensembl.org/Mus_musculus/Gene/Summary?db=core;g=ENSMUSG00000032309","ENSMUSG00000032309")</f>
        <v>ENSMUSG00000032309</v>
      </c>
      <c r="I2370" s="7" t="str">
        <f>HYPERLINK("http://www.informatics.jax.org/marker/MGI:1926014","MGI:1926014")</f>
        <v>MGI:1926014</v>
      </c>
      <c r="J2370" s="4" t="s">
        <v>12</v>
      </c>
    </row>
    <row r="2371" spans="1:10" x14ac:dyDescent="0.25">
      <c r="A2371" s="2">
        <v>1774.55260053751</v>
      </c>
      <c r="B2371" s="3">
        <v>0.52543907387042499</v>
      </c>
      <c r="C2371" s="5">
        <v>8.1484445111247202E-10</v>
      </c>
      <c r="D2371" s="6">
        <v>4.3975732282260399E-9</v>
      </c>
      <c r="E2371" s="3" t="s">
        <v>7326</v>
      </c>
      <c r="F2371" s="3" t="s">
        <v>7327</v>
      </c>
      <c r="G2371" s="3">
        <v>65107</v>
      </c>
      <c r="H2371" s="7" t="str">
        <f>HYPERLINK("http://www.ensembl.org/Mus_musculus/Gene/Summary?db=core;g=ENSMUSG00000022175","ENSMUSG00000022175")</f>
        <v>ENSMUSG00000022175</v>
      </c>
      <c r="I2371" s="7" t="str">
        <f>HYPERLINK("http://www.informatics.jax.org/marker/MGI:1929480","MGI:1929480")</f>
        <v>MGI:1929480</v>
      </c>
      <c r="J2371" s="4" t="s">
        <v>12</v>
      </c>
    </row>
    <row r="2372" spans="1:10" x14ac:dyDescent="0.25">
      <c r="A2372" s="2">
        <v>3276.9541962752</v>
      </c>
      <c r="B2372" s="3">
        <v>0.52492414274121701</v>
      </c>
      <c r="C2372" s="5">
        <v>4.5457425121454499E-38</v>
      </c>
      <c r="D2372" s="6">
        <v>8.6778356572612093E-37</v>
      </c>
      <c r="E2372" s="3" t="s">
        <v>2083</v>
      </c>
      <c r="F2372" s="3" t="s">
        <v>2084</v>
      </c>
      <c r="G2372" s="3">
        <v>71770</v>
      </c>
      <c r="H2372" s="7" t="str">
        <f>HYPERLINK("http://www.ensembl.org/Mus_musculus/Gene/Summary?db=core;g=ENSMUSG00000035152","ENSMUSG00000035152")</f>
        <v>ENSMUSG00000035152</v>
      </c>
      <c r="I2372" s="7" t="str">
        <f>HYPERLINK("http://www.informatics.jax.org/marker/MGI:1919020","MGI:1919020")</f>
        <v>MGI:1919020</v>
      </c>
      <c r="J2372" s="4" t="s">
        <v>12</v>
      </c>
    </row>
    <row r="2373" spans="1:10" x14ac:dyDescent="0.25">
      <c r="A2373" s="2">
        <v>4183.0474743910399</v>
      </c>
      <c r="B2373" s="3">
        <v>0.52482917880275803</v>
      </c>
      <c r="C2373" s="5">
        <v>2.7683095561636399E-15</v>
      </c>
      <c r="D2373" s="6">
        <v>2.1577495829069999E-14</v>
      </c>
      <c r="E2373" s="3" t="s">
        <v>5077</v>
      </c>
      <c r="F2373" s="3" t="s">
        <v>5078</v>
      </c>
      <c r="G2373" s="3">
        <v>114143</v>
      </c>
      <c r="H2373" s="7" t="str">
        <f>HYPERLINK("http://www.ensembl.org/Mus_musculus/Gene/Summary?db=core;g=ENSMUSG00000033379","ENSMUSG00000033379")</f>
        <v>ENSMUSG00000033379</v>
      </c>
      <c r="I2373" s="7" t="str">
        <f>HYPERLINK("http://www.informatics.jax.org/marker/MGI:1890510","MGI:1890510")</f>
        <v>MGI:1890510</v>
      </c>
      <c r="J2373" s="4" t="s">
        <v>12</v>
      </c>
    </row>
    <row r="2374" spans="1:10" x14ac:dyDescent="0.25">
      <c r="A2374" s="2">
        <v>290.93695339670001</v>
      </c>
      <c r="B2374" s="3">
        <v>0.52452372005502401</v>
      </c>
      <c r="C2374" s="5">
        <v>6.77740401281202E-8</v>
      </c>
      <c r="D2374" s="6">
        <v>3.1139423842649798E-7</v>
      </c>
      <c r="E2374" s="3" t="s">
        <v>8601</v>
      </c>
      <c r="F2374" s="3" t="s">
        <v>8602</v>
      </c>
      <c r="G2374" s="3">
        <v>66922</v>
      </c>
      <c r="H2374" s="7" t="str">
        <f>HYPERLINK("http://www.ensembl.org/Mus_musculus/Gene/Summary?db=core;g=ENSMUSG00000055723","ENSMUSG00000055723")</f>
        <v>ENSMUSG00000055723</v>
      </c>
      <c r="I2374" s="7" t="str">
        <f>HYPERLINK("http://www.informatics.jax.org/marker/MGI:1914172","MGI:1914172")</f>
        <v>MGI:1914172</v>
      </c>
      <c r="J2374" s="4" t="s">
        <v>12</v>
      </c>
    </row>
    <row r="2375" spans="1:10" x14ac:dyDescent="0.25">
      <c r="A2375" s="2">
        <v>259.98234075334801</v>
      </c>
      <c r="B2375" s="3">
        <v>0.524353852982963</v>
      </c>
      <c r="C2375" s="5">
        <v>1.3566264751204201E-5</v>
      </c>
      <c r="D2375" s="6">
        <v>5.0183219075923198E-5</v>
      </c>
      <c r="E2375" s="3" t="s">
        <v>10674</v>
      </c>
      <c r="F2375" s="3" t="s">
        <v>10675</v>
      </c>
      <c r="G2375" s="3">
        <v>208638</v>
      </c>
      <c r="H2375" s="7" t="str">
        <f>HYPERLINK("http://www.ensembl.org/Mus_musculus/Gene/Summary?db=core;g=ENSMUSG00000032519","ENSMUSG00000032519")</f>
        <v>ENSMUSG00000032519</v>
      </c>
      <c r="I2375" s="7" t="str">
        <f>HYPERLINK("http://www.informatics.jax.org/marker/MGI:2384782","MGI:2384782")</f>
        <v>MGI:2384782</v>
      </c>
      <c r="J2375" s="4" t="s">
        <v>12</v>
      </c>
    </row>
    <row r="2376" spans="1:10" x14ac:dyDescent="0.25">
      <c r="A2376" s="2">
        <v>577.606112356023</v>
      </c>
      <c r="B2376" s="3">
        <v>0.52406079780603898</v>
      </c>
      <c r="C2376" s="5">
        <v>4.8380957887201198E-12</v>
      </c>
      <c r="D2376" s="6">
        <v>3.1057047185403903E-11</v>
      </c>
      <c r="E2376" s="3" t="s">
        <v>6161</v>
      </c>
      <c r="F2376" s="3" t="s">
        <v>6162</v>
      </c>
      <c r="G2376" s="3">
        <v>99712</v>
      </c>
      <c r="H2376" s="7" t="str">
        <f>HYPERLINK("http://www.ensembl.org/Mus_musculus/Gene/Summary?db=core;g=ENSMUSG00000040774","ENSMUSG00000040774")</f>
        <v>ENSMUSG00000040774</v>
      </c>
      <c r="I2376" s="7" t="str">
        <f>HYPERLINK("http://www.informatics.jax.org/marker/MGI:2139793","MGI:2139793")</f>
        <v>MGI:2139793</v>
      </c>
      <c r="J2376" s="4" t="s">
        <v>12</v>
      </c>
    </row>
    <row r="2377" spans="1:10" x14ac:dyDescent="0.25">
      <c r="A2377" s="2">
        <v>3693.56987543371</v>
      </c>
      <c r="B2377" s="3">
        <v>0.52355649733145604</v>
      </c>
      <c r="C2377" s="5">
        <v>1.3726606313226301E-42</v>
      </c>
      <c r="D2377" s="6">
        <v>3.0109975138689901E-41</v>
      </c>
      <c r="E2377" s="3" t="s">
        <v>1814</v>
      </c>
      <c r="F2377" s="3" t="s">
        <v>1815</v>
      </c>
      <c r="G2377" s="3">
        <v>55944</v>
      </c>
      <c r="H2377" s="7" t="str">
        <f>HYPERLINK("http://www.ensembl.org/Mus_musculus/Gene/Summary?db=core;g=ENSMUSG00000016554","ENSMUSG00000016554")</f>
        <v>ENSMUSG00000016554</v>
      </c>
      <c r="I2377" s="7" t="str">
        <f>HYPERLINK("http://www.informatics.jax.org/marker/MGI:1933181","MGI:1933181")</f>
        <v>MGI:1933181</v>
      </c>
      <c r="J2377" s="4" t="s">
        <v>12</v>
      </c>
    </row>
    <row r="2378" spans="1:10" x14ac:dyDescent="0.25">
      <c r="A2378" s="2">
        <v>3615.45669841368</v>
      </c>
      <c r="B2378" s="3">
        <v>0.52334007488652801</v>
      </c>
      <c r="C2378" s="5">
        <v>2.3157608417519301E-14</v>
      </c>
      <c r="D2378" s="6">
        <v>1.7193826731682301E-13</v>
      </c>
      <c r="E2378" s="3" t="s">
        <v>5329</v>
      </c>
      <c r="F2378" s="3" t="s">
        <v>5330</v>
      </c>
      <c r="G2378" s="3">
        <v>80879</v>
      </c>
      <c r="H2378" s="7" t="str">
        <f>HYPERLINK("http://www.ensembl.org/Mus_musculus/Gene/Summary?db=core;g=ENSMUSG00000025161","ENSMUSG00000025161")</f>
        <v>ENSMUSG00000025161</v>
      </c>
      <c r="I2378" s="7" t="str">
        <f>HYPERLINK("http://www.informatics.jax.org/marker/MGI:1933438","MGI:1933438")</f>
        <v>MGI:1933438</v>
      </c>
      <c r="J2378" s="4" t="s">
        <v>12</v>
      </c>
    </row>
    <row r="2379" spans="1:10" x14ac:dyDescent="0.25">
      <c r="A2379" s="2">
        <v>633.82695294262396</v>
      </c>
      <c r="B2379" s="3">
        <v>0.52331229266437496</v>
      </c>
      <c r="C2379" s="5">
        <v>5.8467876646273798E-10</v>
      </c>
      <c r="D2379" s="6">
        <v>3.18680632245583E-9</v>
      </c>
      <c r="E2379" s="3" t="s">
        <v>7254</v>
      </c>
      <c r="F2379" s="3" t="s">
        <v>7255</v>
      </c>
      <c r="G2379" s="3">
        <v>242691</v>
      </c>
      <c r="H2379" s="7" t="str">
        <f>HYPERLINK("http://www.ensembl.org/Mus_musculus/Gene/Summary?db=core;g=ENSMUSG00000028850","ENSMUSG00000028850")</f>
        <v>ENSMUSG00000028850</v>
      </c>
      <c r="I2379" s="7" t="str">
        <f>HYPERLINK("http://www.informatics.jax.org/marker/MGI:2442492","MGI:2442492")</f>
        <v>MGI:2442492</v>
      </c>
      <c r="J2379" s="4" t="s">
        <v>12</v>
      </c>
    </row>
    <row r="2380" spans="1:10" x14ac:dyDescent="0.25">
      <c r="A2380" s="2">
        <v>711.83708171219496</v>
      </c>
      <c r="B2380" s="3">
        <v>0.52201065231802102</v>
      </c>
      <c r="C2380" s="5">
        <v>3.0000825481342201E-7</v>
      </c>
      <c r="D2380" s="6">
        <v>1.3097548782202101E-6</v>
      </c>
      <c r="E2380" s="3" t="s">
        <v>9049</v>
      </c>
      <c r="F2380" s="3" t="s">
        <v>9050</v>
      </c>
      <c r="G2380" s="3">
        <v>272589</v>
      </c>
      <c r="H2380" s="7" t="str">
        <f>HYPERLINK("http://www.ensembl.org/Mus_musculus/Gene/Summary?db=core;g=ENSMUSG00000037287","ENSMUSG00000037287")</f>
        <v>ENSMUSG00000037287</v>
      </c>
      <c r="I2380" s="7" t="str">
        <f>HYPERLINK("http://www.informatics.jax.org/marker/MGI:1925543","MGI:1925543")</f>
        <v>MGI:1925543</v>
      </c>
      <c r="J2380" s="4" t="s">
        <v>12</v>
      </c>
    </row>
    <row r="2381" spans="1:10" x14ac:dyDescent="0.25">
      <c r="A2381" s="2">
        <v>4982.4328442470096</v>
      </c>
      <c r="B2381" s="3">
        <v>0.521738706014653</v>
      </c>
      <c r="C2381" s="5">
        <v>9.3085387259909504E-29</v>
      </c>
      <c r="D2381" s="6">
        <v>1.31398986167889E-27</v>
      </c>
      <c r="E2381" s="3" t="s">
        <v>2812</v>
      </c>
      <c r="F2381" s="3" t="s">
        <v>2813</v>
      </c>
      <c r="G2381" s="3">
        <v>21894</v>
      </c>
      <c r="H2381" s="7" t="str">
        <f>HYPERLINK("http://www.ensembl.org/Mus_musculus/Gene/Summary?db=core;g=ENSMUSG00000028465","ENSMUSG00000028465")</f>
        <v>ENSMUSG00000028465</v>
      </c>
      <c r="I2381" s="7" t="str">
        <f>HYPERLINK("http://www.informatics.jax.org/marker/MGI:1099832","MGI:1099832")</f>
        <v>MGI:1099832</v>
      </c>
      <c r="J2381" s="4" t="s">
        <v>12</v>
      </c>
    </row>
    <row r="2382" spans="1:10" x14ac:dyDescent="0.25">
      <c r="A2382" s="2">
        <v>3687.0352188072702</v>
      </c>
      <c r="B2382" s="3">
        <v>0.52138495665197704</v>
      </c>
      <c r="C2382" s="5">
        <v>6.7560134226302005E-8</v>
      </c>
      <c r="D2382" s="6">
        <v>3.1055614147847899E-7</v>
      </c>
      <c r="E2382" s="3" t="s">
        <v>8597</v>
      </c>
      <c r="F2382" s="3" t="s">
        <v>8598</v>
      </c>
      <c r="G2382" s="3">
        <v>20226</v>
      </c>
      <c r="H2382" s="7" t="str">
        <f>HYPERLINK("http://www.ensembl.org/Mus_musculus/Gene/Summary?db=core;g=ENSMUSG00000068739","ENSMUSG00000068739")</f>
        <v>ENSMUSG00000068739</v>
      </c>
      <c r="I2382" s="7" t="str">
        <f>HYPERLINK("http://www.informatics.jax.org/marker/MGI:102809","MGI:102809")</f>
        <v>MGI:102809</v>
      </c>
      <c r="J2382" s="4" t="s">
        <v>12</v>
      </c>
    </row>
    <row r="2383" spans="1:10" x14ac:dyDescent="0.25">
      <c r="A2383" s="2">
        <v>3428.6413431553201</v>
      </c>
      <c r="B2383" s="3">
        <v>0.52135721679107005</v>
      </c>
      <c r="C2383" s="5">
        <v>1.9315957588520501E-26</v>
      </c>
      <c r="D2383" s="6">
        <v>2.5010550469180802E-25</v>
      </c>
      <c r="E2383" s="3" t="s">
        <v>3064</v>
      </c>
      <c r="F2383" s="3" t="s">
        <v>3065</v>
      </c>
      <c r="G2383" s="3">
        <v>22146</v>
      </c>
      <c r="H2383" s="7" t="str">
        <f>HYPERLINK("http://www.ensembl.org/Mus_musculus/Gene/Summary?db=core;g=ENSMUSG00000043091","ENSMUSG00000043091")</f>
        <v>ENSMUSG00000043091</v>
      </c>
      <c r="I2383" s="7" t="str">
        <f>HYPERLINK("http://www.informatics.jax.org/marker/MGI:1095409","MGI:1095409")</f>
        <v>MGI:1095409</v>
      </c>
      <c r="J2383" s="4" t="s">
        <v>12</v>
      </c>
    </row>
    <row r="2384" spans="1:10" x14ac:dyDescent="0.25">
      <c r="A2384" s="2">
        <v>2033.85379091235</v>
      </c>
      <c r="B2384" s="3">
        <v>0.52058136360298801</v>
      </c>
      <c r="C2384" s="5">
        <v>1.5163620651708601E-10</v>
      </c>
      <c r="D2384" s="6">
        <v>8.6976904959771404E-10</v>
      </c>
      <c r="E2384" s="3" t="s">
        <v>6894</v>
      </c>
      <c r="F2384" s="3" t="s">
        <v>6895</v>
      </c>
      <c r="G2384" s="3">
        <v>22778</v>
      </c>
      <c r="H2384" s="7" t="str">
        <f>HYPERLINK("http://www.ensembl.org/Mus_musculus/Gene/Summary?db=core;g=ENSMUSG00000018654","ENSMUSG00000018654")</f>
        <v>ENSMUSG00000018654</v>
      </c>
      <c r="I2384" s="7" t="str">
        <f>HYPERLINK("http://www.informatics.jax.org/marker/MGI:1342540","MGI:1342540")</f>
        <v>MGI:1342540</v>
      </c>
      <c r="J2384" s="4" t="s">
        <v>12</v>
      </c>
    </row>
    <row r="2385" spans="1:10" x14ac:dyDescent="0.25">
      <c r="A2385" s="2">
        <v>71.080854208408894</v>
      </c>
      <c r="B2385" s="3">
        <v>0.52050218140857596</v>
      </c>
      <c r="C2385" s="3">
        <v>1.07466834931545E-3</v>
      </c>
      <c r="D2385" s="4">
        <v>3.1541092198988999E-3</v>
      </c>
      <c r="E2385" s="3" t="s">
        <v>13447</v>
      </c>
      <c r="F2385" s="3" t="s">
        <v>13448</v>
      </c>
      <c r="G2385" s="3">
        <v>66226</v>
      </c>
      <c r="H2385" s="7" t="str">
        <f>HYPERLINK("http://www.ensembl.org/Mus_musculus/Gene/Summary?db=core;g=ENSMUSG00000079317","ENSMUSG00000079317")</f>
        <v>ENSMUSG00000079317</v>
      </c>
      <c r="I2385" s="7" t="str">
        <f>HYPERLINK("http://www.informatics.jax.org/marker/MGI:1913476","MGI:1913476")</f>
        <v>MGI:1913476</v>
      </c>
      <c r="J2385" s="4" t="s">
        <v>12</v>
      </c>
    </row>
    <row r="2386" spans="1:10" x14ac:dyDescent="0.25">
      <c r="A2386" s="2">
        <v>267.25438607642599</v>
      </c>
      <c r="B2386" s="3">
        <v>0.519838725278709</v>
      </c>
      <c r="C2386" s="5">
        <v>5.9556907927943598E-7</v>
      </c>
      <c r="D2386" s="6">
        <v>2.5230122971837802E-6</v>
      </c>
      <c r="E2386" s="3" t="s">
        <v>9325</v>
      </c>
      <c r="F2386" s="3" t="s">
        <v>9326</v>
      </c>
      <c r="G2386" s="3">
        <v>67912</v>
      </c>
      <c r="H2386" s="7" t="str">
        <f>HYPERLINK("http://www.ensembl.org/Mus_musculus/Gene/Summary?db=core;g=ENSMUSG00000050088","ENSMUSG00000050088")</f>
        <v>ENSMUSG00000050088</v>
      </c>
      <c r="I2386" s="7" t="str">
        <f>HYPERLINK("http://www.informatics.jax.org/marker/MGI:1915162","MGI:1915162")</f>
        <v>MGI:1915162</v>
      </c>
      <c r="J2386" s="4" t="s">
        <v>12</v>
      </c>
    </row>
    <row r="2387" spans="1:10" x14ac:dyDescent="0.25">
      <c r="A2387" s="2">
        <v>1849.4656453938801</v>
      </c>
      <c r="B2387" s="3">
        <v>0.51966584962483098</v>
      </c>
      <c r="C2387" s="5">
        <v>1.9729398207536799E-9</v>
      </c>
      <c r="D2387" s="6">
        <v>1.0336443481738199E-8</v>
      </c>
      <c r="E2387" s="3" t="s">
        <v>7546</v>
      </c>
      <c r="F2387" s="3" t="s">
        <v>7547</v>
      </c>
      <c r="G2387" s="3">
        <v>16155</v>
      </c>
      <c r="H2387" s="7" t="str">
        <f>HYPERLINK("http://www.ensembl.org/Mus_musculus/Gene/Summary?db=core;g=ENSMUSG00000022969","ENSMUSG00000022969")</f>
        <v>ENSMUSG00000022969</v>
      </c>
      <c r="I2387" s="7" t="str">
        <f>HYPERLINK("http://www.informatics.jax.org/marker/MGI:109380","MGI:109380")</f>
        <v>MGI:109380</v>
      </c>
      <c r="J2387" s="4" t="s">
        <v>12</v>
      </c>
    </row>
    <row r="2388" spans="1:10" x14ac:dyDescent="0.25">
      <c r="A2388" s="2">
        <v>1156.6023641024501</v>
      </c>
      <c r="B2388" s="3">
        <v>0.51933213053284599</v>
      </c>
      <c r="C2388" s="5">
        <v>4.8600686952883903E-28</v>
      </c>
      <c r="D2388" s="6">
        <v>6.6371575256985506E-27</v>
      </c>
      <c r="E2388" s="3" t="s">
        <v>2906</v>
      </c>
      <c r="F2388" s="3" t="s">
        <v>2907</v>
      </c>
      <c r="G2388" s="3">
        <v>74287</v>
      </c>
      <c r="H2388" s="7" t="str">
        <f>HYPERLINK("http://www.ensembl.org/Mus_musculus/Gene/Summary?db=core;g=ENSMUSG00000055239","ENSMUSG00000055239")</f>
        <v>ENSMUSG00000055239</v>
      </c>
      <c r="I2388" s="7" t="str">
        <f>HYPERLINK("http://www.informatics.jax.org/marker/MGI:1921537","MGI:1921537")</f>
        <v>MGI:1921537</v>
      </c>
      <c r="J2388" s="4" t="s">
        <v>12</v>
      </c>
    </row>
    <row r="2389" spans="1:10" x14ac:dyDescent="0.25">
      <c r="A2389" s="2">
        <v>3409.3576888709899</v>
      </c>
      <c r="B2389" s="3">
        <v>0.51919768974449998</v>
      </c>
      <c r="C2389" s="5">
        <v>7.2676269864995101E-7</v>
      </c>
      <c r="D2389" s="6">
        <v>3.0480136999951101E-6</v>
      </c>
      <c r="E2389" s="3" t="s">
        <v>9419</v>
      </c>
      <c r="F2389" s="3" t="s">
        <v>9420</v>
      </c>
      <c r="G2389" s="3">
        <v>269523</v>
      </c>
      <c r="H2389" s="7" t="str">
        <f>HYPERLINK("http://www.ensembl.org/Mus_musculus/Gene/Summary?db=core;g=ENSMUSG00000028452","ENSMUSG00000028452")</f>
        <v>ENSMUSG00000028452</v>
      </c>
      <c r="I2389" s="7" t="str">
        <f>HYPERLINK("http://www.informatics.jax.org/marker/MGI:99919","MGI:99919")</f>
        <v>MGI:99919</v>
      </c>
      <c r="J2389" s="4" t="s">
        <v>12</v>
      </c>
    </row>
    <row r="2390" spans="1:10" x14ac:dyDescent="0.25">
      <c r="A2390" s="2">
        <v>503.031150673186</v>
      </c>
      <c r="B2390" s="3">
        <v>0.51902339680293097</v>
      </c>
      <c r="C2390" s="5">
        <v>5.7527334421750198E-6</v>
      </c>
      <c r="D2390" s="6">
        <v>2.2079389544509801E-5</v>
      </c>
      <c r="E2390" s="3" t="s">
        <v>10290</v>
      </c>
      <c r="F2390" s="3" t="s">
        <v>10291</v>
      </c>
      <c r="G2390" s="3">
        <v>16170</v>
      </c>
      <c r="H2390" s="7" t="str">
        <f>HYPERLINK("http://www.ensembl.org/Mus_musculus/Gene/Summary?db=core;g=ENSMUSG00000001741","ENSMUSG00000001741")</f>
        <v>ENSMUSG00000001741</v>
      </c>
      <c r="I2390" s="7" t="str">
        <f>HYPERLINK("http://www.informatics.jax.org/marker/MGI:1270855","MGI:1270855")</f>
        <v>MGI:1270855</v>
      </c>
      <c r="J2390" s="4" t="s">
        <v>12</v>
      </c>
    </row>
    <row r="2391" spans="1:10" x14ac:dyDescent="0.25">
      <c r="A2391" s="2">
        <v>5824.6531037263203</v>
      </c>
      <c r="B2391" s="3">
        <v>0.51890273602361603</v>
      </c>
      <c r="C2391" s="5">
        <v>2.9849269330434102E-32</v>
      </c>
      <c r="D2391" s="6">
        <v>4.6753581508829301E-31</v>
      </c>
      <c r="E2391" s="3" t="s">
        <v>2535</v>
      </c>
      <c r="F2391" s="3" t="s">
        <v>2536</v>
      </c>
      <c r="G2391" s="3">
        <v>67134</v>
      </c>
      <c r="H2391" s="7" t="str">
        <f>HYPERLINK("http://www.ensembl.org/Mus_musculus/Gene/Summary?db=core;g=ENSMUSG00000027405","ENSMUSG00000027405")</f>
        <v>ENSMUSG00000027405</v>
      </c>
      <c r="I2391" s="7" t="str">
        <f>HYPERLINK("http://www.informatics.jax.org/marker/MGI:1914384","MGI:1914384")</f>
        <v>MGI:1914384</v>
      </c>
      <c r="J2391" s="4" t="s">
        <v>12</v>
      </c>
    </row>
    <row r="2392" spans="1:10" x14ac:dyDescent="0.25">
      <c r="A2392" s="2">
        <v>441.02015629241703</v>
      </c>
      <c r="B2392" s="3">
        <v>0.51884649236374403</v>
      </c>
      <c r="C2392" s="5">
        <v>5.1132855787809099E-9</v>
      </c>
      <c r="D2392" s="6">
        <v>2.5948016369933001E-8</v>
      </c>
      <c r="E2392" s="3" t="s">
        <v>7788</v>
      </c>
      <c r="F2392" s="3" t="s">
        <v>7789</v>
      </c>
      <c r="G2392" s="3">
        <v>68212</v>
      </c>
      <c r="H2392" s="7" t="str">
        <f>HYPERLINK("http://www.ensembl.org/Mus_musculus/Gene/Summary?db=core;g=ENSMUSG00000020225","ENSMUSG00000020225")</f>
        <v>ENSMUSG00000020225</v>
      </c>
      <c r="I2392" s="7" t="str">
        <f>HYPERLINK("http://www.informatics.jax.org/marker/MGI:1915462","MGI:1915462")</f>
        <v>MGI:1915462</v>
      </c>
      <c r="J2392" s="4" t="s">
        <v>12</v>
      </c>
    </row>
    <row r="2393" spans="1:10" x14ac:dyDescent="0.25">
      <c r="A2393" s="2">
        <v>36.5467193250335</v>
      </c>
      <c r="B2393" s="3">
        <v>0.51867807642344299</v>
      </c>
      <c r="C2393" s="3">
        <v>1.62522730518985E-2</v>
      </c>
      <c r="D2393" s="4">
        <v>3.8693085184527097E-2</v>
      </c>
      <c r="E2393" s="3" t="s">
        <v>16570</v>
      </c>
      <c r="F2393" s="3" t="s">
        <v>16571</v>
      </c>
      <c r="G2393" s="3" t="s">
        <v>83</v>
      </c>
      <c r="H2393" s="7" t="str">
        <f>HYPERLINK("http://www.ensembl.org/Mus_musculus/Gene/Summary?db=core;g=ENSMUSG00000109274","ENSMUSG00000109274")</f>
        <v>ENSMUSG00000109274</v>
      </c>
      <c r="I2393" s="7" t="str">
        <f>HYPERLINK("http://www.informatics.jax.org/marker/MGI:5753709","MGI:5753709")</f>
        <v>MGI:5753709</v>
      </c>
      <c r="J2393" s="4" t="s">
        <v>1828</v>
      </c>
    </row>
    <row r="2394" spans="1:10" x14ac:dyDescent="0.25">
      <c r="A2394" s="2">
        <v>216.63344368418399</v>
      </c>
      <c r="B2394" s="3">
        <v>0.51867602840981597</v>
      </c>
      <c r="C2394" s="5">
        <v>1.5217051621895E-6</v>
      </c>
      <c r="D2394" s="6">
        <v>6.1719510074819103E-6</v>
      </c>
      <c r="E2394" s="3" t="s">
        <v>9739</v>
      </c>
      <c r="F2394" s="3" t="s">
        <v>9740</v>
      </c>
      <c r="G2394" s="3">
        <v>93692</v>
      </c>
      <c r="H2394" s="7" t="str">
        <f>HYPERLINK("http://www.ensembl.org/Mus_musculus/Gene/Summary?db=core;g=ENSMUSG00000021591","ENSMUSG00000021591")</f>
        <v>ENSMUSG00000021591</v>
      </c>
      <c r="I2394" s="7" t="str">
        <f>HYPERLINK("http://www.informatics.jax.org/marker/MGI:2135625","MGI:2135625")</f>
        <v>MGI:2135625</v>
      </c>
      <c r="J2394" s="4" t="s">
        <v>12</v>
      </c>
    </row>
    <row r="2395" spans="1:10" x14ac:dyDescent="0.25">
      <c r="A2395" s="2">
        <v>367.924051132133</v>
      </c>
      <c r="B2395" s="3">
        <v>0.51863009398093396</v>
      </c>
      <c r="C2395" s="5">
        <v>4.6607945711841298E-11</v>
      </c>
      <c r="D2395" s="6">
        <v>2.78180596076728E-10</v>
      </c>
      <c r="E2395" s="3" t="s">
        <v>6625</v>
      </c>
      <c r="F2395" s="3" t="s">
        <v>6626</v>
      </c>
      <c r="G2395" s="3">
        <v>58220</v>
      </c>
      <c r="H2395" s="7" t="str">
        <f>HYPERLINK("http://www.ensembl.org/Mus_musculus/Gene/Summary?db=core;g=ENSMUSG00000044641","ENSMUSG00000044641")</f>
        <v>ENSMUSG00000044641</v>
      </c>
      <c r="I2395" s="7" t="str">
        <f>HYPERLINK("http://www.informatics.jax.org/marker/MGI:2135605","MGI:2135605")</f>
        <v>MGI:2135605</v>
      </c>
      <c r="J2395" s="4" t="s">
        <v>12</v>
      </c>
    </row>
    <row r="2396" spans="1:10" x14ac:dyDescent="0.25">
      <c r="A2396" s="2">
        <v>6700.0269167456599</v>
      </c>
      <c r="B2396" s="3">
        <v>0.51770881241417299</v>
      </c>
      <c r="C2396" s="5">
        <v>1.81419815079852E-29</v>
      </c>
      <c r="D2396" s="6">
        <v>2.6267244885276698E-28</v>
      </c>
      <c r="E2396" s="3" t="s">
        <v>2740</v>
      </c>
      <c r="F2396" s="3" t="s">
        <v>2741</v>
      </c>
      <c r="G2396" s="3">
        <v>229663</v>
      </c>
      <c r="H2396" s="7" t="str">
        <f>HYPERLINK("http://www.ensembl.org/Mus_musculus/Gene/Summary?db=core;g=ENSMUSG00000068823","ENSMUSG00000068823")</f>
        <v>ENSMUSG00000068823</v>
      </c>
      <c r="I2396" s="7" t="str">
        <f>HYPERLINK("http://www.informatics.jax.org/marker/MGI:92356","MGI:92356")</f>
        <v>MGI:92356</v>
      </c>
      <c r="J2396" s="4" t="s">
        <v>12</v>
      </c>
    </row>
    <row r="2397" spans="1:10" x14ac:dyDescent="0.25">
      <c r="A2397" s="2">
        <v>970.47469013893499</v>
      </c>
      <c r="B2397" s="3">
        <v>0.51719910166424299</v>
      </c>
      <c r="C2397" s="5">
        <v>1.60515132557297E-12</v>
      </c>
      <c r="D2397" s="6">
        <v>1.06220081007715E-11</v>
      </c>
      <c r="E2397" s="3" t="s">
        <v>5977</v>
      </c>
      <c r="F2397" s="3" t="s">
        <v>5978</v>
      </c>
      <c r="G2397" s="3">
        <v>14389</v>
      </c>
      <c r="H2397" s="7" t="str">
        <f>HYPERLINK("http://www.ensembl.org/Mus_musculus/Gene/Summary?db=core;g=ENSMUSG00000004508","ENSMUSG00000004508")</f>
        <v>ENSMUSG00000004508</v>
      </c>
      <c r="I2397" s="7" t="str">
        <f>HYPERLINK("http://www.informatics.jax.org/marker/MGI:1333854","MGI:1333854")</f>
        <v>MGI:1333854</v>
      </c>
      <c r="J2397" s="4" t="s">
        <v>12</v>
      </c>
    </row>
    <row r="2398" spans="1:10" x14ac:dyDescent="0.25">
      <c r="A2398" s="2">
        <v>1009.2175876872</v>
      </c>
      <c r="B2398" s="3">
        <v>0.51675702487049002</v>
      </c>
      <c r="C2398" s="5">
        <v>1.38319047747741E-6</v>
      </c>
      <c r="D2398" s="6">
        <v>5.6344796975530798E-6</v>
      </c>
      <c r="E2398" s="3" t="s">
        <v>9697</v>
      </c>
      <c r="F2398" s="3" t="s">
        <v>9698</v>
      </c>
      <c r="G2398" s="3">
        <v>69538</v>
      </c>
      <c r="H2398" s="7" t="str">
        <f>HYPERLINK("http://www.ensembl.org/Mus_musculus/Gene/Summary?db=core;g=ENSMUSG00000033420","ENSMUSG00000033420")</f>
        <v>ENSMUSG00000033420</v>
      </c>
      <c r="I2398" s="7" t="str">
        <f>HYPERLINK("http://www.informatics.jax.org/marker/MGI:1916788","MGI:1916788")</f>
        <v>MGI:1916788</v>
      </c>
      <c r="J2398" s="4" t="s">
        <v>12</v>
      </c>
    </row>
    <row r="2399" spans="1:10" x14ac:dyDescent="0.25">
      <c r="A2399" s="2">
        <v>784.21629057174403</v>
      </c>
      <c r="B2399" s="3">
        <v>0.51587380238616698</v>
      </c>
      <c r="C2399" s="5">
        <v>6.81680034507855E-18</v>
      </c>
      <c r="D2399" s="6">
        <v>6.1158918473589205E-17</v>
      </c>
      <c r="E2399" s="3" t="s">
        <v>4411</v>
      </c>
      <c r="F2399" s="3" t="s">
        <v>4412</v>
      </c>
      <c r="G2399" s="3">
        <v>213326</v>
      </c>
      <c r="H2399" s="7" t="str">
        <f>HYPERLINK("http://www.ensembl.org/Mus_musculus/Gene/Summary?db=core;g=ENSMUSG00000069539","ENSMUSG00000069539")</f>
        <v>ENSMUSG00000069539</v>
      </c>
      <c r="I2399" s="7" t="str">
        <f>HYPERLINK("http://www.informatics.jax.org/marker/MGI:1289172","MGI:1289172")</f>
        <v>MGI:1289172</v>
      </c>
      <c r="J2399" s="4" t="s">
        <v>12</v>
      </c>
    </row>
    <row r="2400" spans="1:10" x14ac:dyDescent="0.25">
      <c r="A2400" s="2">
        <v>1683.6479318844899</v>
      </c>
      <c r="B2400" s="3">
        <v>0.515594842082858</v>
      </c>
      <c r="C2400" s="5">
        <v>4.3546200294072899E-5</v>
      </c>
      <c r="D2400" s="4">
        <v>1.52581924271343E-4</v>
      </c>
      <c r="E2400" s="3" t="s">
        <v>11267</v>
      </c>
      <c r="F2400" s="3" t="s">
        <v>11268</v>
      </c>
      <c r="G2400" s="3">
        <v>13821</v>
      </c>
      <c r="H2400" s="7" t="str">
        <f>HYPERLINK("http://www.ensembl.org/Mus_musculus/Gene/Summary?db=core;g=ENSMUSG00000027624","ENSMUSG00000027624")</f>
        <v>ENSMUSG00000027624</v>
      </c>
      <c r="I2400" s="7" t="str">
        <f>HYPERLINK("http://www.informatics.jax.org/marker/MGI:103010","MGI:103010")</f>
        <v>MGI:103010</v>
      </c>
      <c r="J2400" s="4" t="s">
        <v>12</v>
      </c>
    </row>
    <row r="2401" spans="1:10" x14ac:dyDescent="0.25">
      <c r="A2401" s="2">
        <v>1124.5583524875899</v>
      </c>
      <c r="B2401" s="3">
        <v>0.51510504381147904</v>
      </c>
      <c r="C2401" s="5">
        <v>1.0439015140558701E-27</v>
      </c>
      <c r="D2401" s="6">
        <v>1.4099820450124501E-26</v>
      </c>
      <c r="E2401" s="3" t="s">
        <v>2938</v>
      </c>
      <c r="F2401" s="3" t="s">
        <v>2939</v>
      </c>
      <c r="G2401" s="3">
        <v>19708</v>
      </c>
      <c r="H2401" s="7" t="str">
        <f>HYPERLINK("http://www.ensembl.org/Mus_musculus/Gene/Summary?db=core;g=ENSMUSG00000024826","ENSMUSG00000024826")</f>
        <v>ENSMUSG00000024826</v>
      </c>
      <c r="I2401" s="7" t="str">
        <f>HYPERLINK("http://www.informatics.jax.org/marker/MGI:109529","MGI:109529")</f>
        <v>MGI:109529</v>
      </c>
      <c r="J2401" s="4" t="s">
        <v>12</v>
      </c>
    </row>
    <row r="2402" spans="1:10" x14ac:dyDescent="0.25">
      <c r="A2402" s="2">
        <v>1529.7100417075101</v>
      </c>
      <c r="B2402" s="3">
        <v>0.51489609729687402</v>
      </c>
      <c r="C2402" s="5">
        <v>1.38979360106604E-8</v>
      </c>
      <c r="D2402" s="6">
        <v>6.8006773729583907E-8</v>
      </c>
      <c r="E2402" s="3" t="s">
        <v>8077</v>
      </c>
      <c r="F2402" s="3" t="s">
        <v>8078</v>
      </c>
      <c r="G2402" s="3">
        <v>17101</v>
      </c>
      <c r="H2402" s="7" t="str">
        <f>HYPERLINK("http://www.ensembl.org/Mus_musculus/Gene/Summary?db=core;g=ENSMUSG00000019726","ENSMUSG00000019726")</f>
        <v>ENSMUSG00000019726</v>
      </c>
      <c r="I2402" s="7" t="str">
        <f>HYPERLINK("http://www.informatics.jax.org/marker/MGI:107448","MGI:107448")</f>
        <v>MGI:107448</v>
      </c>
      <c r="J2402" s="4" t="s">
        <v>12</v>
      </c>
    </row>
    <row r="2403" spans="1:10" x14ac:dyDescent="0.25">
      <c r="A2403" s="2">
        <v>164.512491461406</v>
      </c>
      <c r="B2403" s="3">
        <v>0.51356475969888504</v>
      </c>
      <c r="C2403" s="3">
        <v>1.19040327536068E-4</v>
      </c>
      <c r="D2403" s="4">
        <v>3.9754026401545597E-4</v>
      </c>
      <c r="E2403" s="3" t="s">
        <v>11821</v>
      </c>
      <c r="F2403" s="3" t="s">
        <v>11822</v>
      </c>
      <c r="G2403" s="3">
        <v>21384</v>
      </c>
      <c r="H2403" s="7" t="str">
        <f>HYPERLINK("http://www.ensembl.org/Mus_musculus/Gene/Summary?db=core;g=ENSMUSG00000027868","ENSMUSG00000027868")</f>
        <v>ENSMUSG00000027868</v>
      </c>
      <c r="I2403" s="7" t="str">
        <f>HYPERLINK("http://www.informatics.jax.org/marker/MGI:1277234","MGI:1277234")</f>
        <v>MGI:1277234</v>
      </c>
      <c r="J2403" s="4" t="s">
        <v>12</v>
      </c>
    </row>
    <row r="2404" spans="1:10" x14ac:dyDescent="0.25">
      <c r="A2404" s="2">
        <v>221.64983442361901</v>
      </c>
      <c r="B2404" s="3">
        <v>0.51312056015392704</v>
      </c>
      <c r="C2404" s="5">
        <v>8.1411406863400806E-6</v>
      </c>
      <c r="D2404" s="6">
        <v>3.0832205556870799E-5</v>
      </c>
      <c r="E2404" s="3" t="s">
        <v>10428</v>
      </c>
      <c r="F2404" s="3" t="s">
        <v>10429</v>
      </c>
      <c r="G2404" s="3" t="s">
        <v>83</v>
      </c>
      <c r="H2404" s="7" t="str">
        <f>HYPERLINK("http://www.ensembl.org/Mus_musculus/Gene/Summary?db=core;g=ENSMUSG00000100801","ENSMUSG00000100801")</f>
        <v>ENSMUSG00000100801</v>
      </c>
      <c r="I2404" s="7" t="str">
        <f>HYPERLINK("http://www.informatics.jax.org/marker/MGI:3705702","MGI:3705702")</f>
        <v>MGI:3705702</v>
      </c>
      <c r="J2404" s="4" t="s">
        <v>1043</v>
      </c>
    </row>
    <row r="2405" spans="1:10" x14ac:dyDescent="0.25">
      <c r="A2405" s="2">
        <v>902.73111980262104</v>
      </c>
      <c r="B2405" s="3">
        <v>0.51275802130482495</v>
      </c>
      <c r="C2405" s="5">
        <v>4.3861965270351097E-17</v>
      </c>
      <c r="D2405" s="6">
        <v>3.7557879076479602E-16</v>
      </c>
      <c r="E2405" s="3" t="s">
        <v>4623</v>
      </c>
      <c r="F2405" s="3" t="s">
        <v>4624</v>
      </c>
      <c r="G2405" s="3">
        <v>214290</v>
      </c>
      <c r="H2405" s="7" t="str">
        <f>HYPERLINK("http://www.ensembl.org/Mus_musculus/Gene/Summary?db=core;g=ENSMUSG00000035248","ENSMUSG00000035248")</f>
        <v>ENSMUSG00000035248</v>
      </c>
      <c r="I2405" s="7" t="str">
        <f>HYPERLINK("http://www.informatics.jax.org/marker/MGI:2387179","MGI:2387179")</f>
        <v>MGI:2387179</v>
      </c>
      <c r="J2405" s="4" t="s">
        <v>12</v>
      </c>
    </row>
    <row r="2406" spans="1:10" x14ac:dyDescent="0.25">
      <c r="A2406" s="2">
        <v>199.71223560376899</v>
      </c>
      <c r="B2406" s="3">
        <v>0.512365125929367</v>
      </c>
      <c r="C2406" s="3">
        <v>7.69980397890514E-3</v>
      </c>
      <c r="D2406" s="4">
        <v>1.9577118935535001E-2</v>
      </c>
      <c r="E2406" s="3" t="s">
        <v>15515</v>
      </c>
      <c r="F2406" s="3" t="s">
        <v>15516</v>
      </c>
      <c r="G2406" s="3">
        <v>64945</v>
      </c>
      <c r="H2406" s="7" t="str">
        <f>HYPERLINK("http://www.ensembl.org/Mus_musculus/Gene/Summary?db=core;g=ENSMUSG00000046798","ENSMUSG00000046798")</f>
        <v>ENSMUSG00000046798</v>
      </c>
      <c r="I2406" s="7" t="str">
        <f>HYPERLINK("http://www.informatics.jax.org/marker/MGI:1929288","MGI:1929288")</f>
        <v>MGI:1929288</v>
      </c>
      <c r="J2406" s="4" t="s">
        <v>12</v>
      </c>
    </row>
    <row r="2407" spans="1:10" x14ac:dyDescent="0.25">
      <c r="A2407" s="2">
        <v>3107.7266387429099</v>
      </c>
      <c r="B2407" s="3">
        <v>0.51222518769456205</v>
      </c>
      <c r="C2407" s="5">
        <v>1.3946126393981899E-6</v>
      </c>
      <c r="D2407" s="6">
        <v>5.6774899357828802E-6</v>
      </c>
      <c r="E2407" s="3" t="s">
        <v>9701</v>
      </c>
      <c r="F2407" s="3" t="s">
        <v>9702</v>
      </c>
      <c r="G2407" s="3">
        <v>67739</v>
      </c>
      <c r="H2407" s="7" t="str">
        <f>HYPERLINK("http://www.ensembl.org/Mus_musculus/Gene/Summary?db=core;g=ENSMUSG00000081534","ENSMUSG00000081534")</f>
        <v>ENSMUSG00000081534</v>
      </c>
      <c r="I2407" s="7" t="str">
        <f>HYPERLINK("http://www.informatics.jax.org/marker/MGI:1914989","MGI:1914989")</f>
        <v>MGI:1914989</v>
      </c>
      <c r="J2407" s="4" t="s">
        <v>12</v>
      </c>
    </row>
    <row r="2408" spans="1:10" x14ac:dyDescent="0.25">
      <c r="A2408" s="2">
        <v>89.249125808473096</v>
      </c>
      <c r="B2408" s="3">
        <v>0.51205268614517296</v>
      </c>
      <c r="C2408" s="3">
        <v>8.8472718722093101E-4</v>
      </c>
      <c r="D2408" s="4">
        <v>2.6299095767254701E-3</v>
      </c>
      <c r="E2408" s="3" t="s">
        <v>13277</v>
      </c>
      <c r="F2408" s="3" t="s">
        <v>8624</v>
      </c>
      <c r="G2408" s="3" t="s">
        <v>83</v>
      </c>
      <c r="H2408" s="7" t="str">
        <f>HYPERLINK("http://www.ensembl.org/Mus_musculus/Gene/Summary?db=core;g=ENSMUSG00000116563","ENSMUSG00000116563")</f>
        <v>ENSMUSG00000116563</v>
      </c>
      <c r="I2408" s="3" t="s">
        <v>83</v>
      </c>
      <c r="J2408" s="4" t="s">
        <v>12</v>
      </c>
    </row>
    <row r="2409" spans="1:10" x14ac:dyDescent="0.25">
      <c r="A2409" s="2">
        <v>998.13312312914695</v>
      </c>
      <c r="B2409" s="3">
        <v>0.51086071827085799</v>
      </c>
      <c r="C2409" s="5">
        <v>4.2935157195849197E-23</v>
      </c>
      <c r="D2409" s="6">
        <v>4.8687826331348203E-22</v>
      </c>
      <c r="E2409" s="3" t="s">
        <v>3496</v>
      </c>
      <c r="F2409" s="3" t="s">
        <v>3497</v>
      </c>
      <c r="G2409" s="3">
        <v>68705</v>
      </c>
      <c r="H2409" s="7" t="str">
        <f>HYPERLINK("http://www.ensembl.org/Mus_musculus/Gene/Summary?db=core;g=ENSMUSG00000067995","ENSMUSG00000067995")</f>
        <v>ENSMUSG00000067995</v>
      </c>
      <c r="I2409" s="7" t="str">
        <f>HYPERLINK("http://www.informatics.jax.org/marker/MGI:1915955","MGI:1915955")</f>
        <v>MGI:1915955</v>
      </c>
      <c r="J2409" s="4" t="s">
        <v>12</v>
      </c>
    </row>
    <row r="2410" spans="1:10" x14ac:dyDescent="0.25">
      <c r="A2410" s="2">
        <v>1997.22201707774</v>
      </c>
      <c r="B2410" s="3">
        <v>0.510319347506209</v>
      </c>
      <c r="C2410" s="5">
        <v>1.1701189098585201E-18</v>
      </c>
      <c r="D2410" s="6">
        <v>1.09307176231218E-17</v>
      </c>
      <c r="E2410" s="3" t="s">
        <v>4239</v>
      </c>
      <c r="F2410" s="3" t="s">
        <v>4240</v>
      </c>
      <c r="G2410" s="3">
        <v>66249</v>
      </c>
      <c r="H2410" s="7" t="str">
        <f>HYPERLINK("http://www.ensembl.org/Mus_musculus/Gene/Summary?db=core;g=ENSMUSG00000020116","ENSMUSG00000020116")</f>
        <v>ENSMUSG00000020116</v>
      </c>
      <c r="I2410" s="7" t="str">
        <f>HYPERLINK("http://www.informatics.jax.org/marker/MGI:1913499","MGI:1913499")</f>
        <v>MGI:1913499</v>
      </c>
      <c r="J2410" s="4" t="s">
        <v>12</v>
      </c>
    </row>
    <row r="2411" spans="1:10" x14ac:dyDescent="0.25">
      <c r="A2411" s="2">
        <v>238.36235375939799</v>
      </c>
      <c r="B2411" s="3">
        <v>0.510273970468478</v>
      </c>
      <c r="C2411" s="5">
        <v>1.03000217160152E-7</v>
      </c>
      <c r="D2411" s="6">
        <v>4.6693431779268901E-7</v>
      </c>
      <c r="E2411" s="3" t="s">
        <v>8717</v>
      </c>
      <c r="F2411" s="3" t="s">
        <v>8718</v>
      </c>
      <c r="G2411" s="3">
        <v>59048</v>
      </c>
      <c r="H2411" s="7" t="str">
        <f>HYPERLINK("http://www.ensembl.org/Mus_musculus/Gene/Summary?db=core;g=ENSMUSG00000048970","ENSMUSG00000048970")</f>
        <v>ENSMUSG00000048970</v>
      </c>
      <c r="I2411" s="7" t="str">
        <f>HYPERLINK("http://www.informatics.jax.org/marker/MGI:1913493","MGI:1913493")</f>
        <v>MGI:1913493</v>
      </c>
      <c r="J2411" s="4" t="s">
        <v>12</v>
      </c>
    </row>
    <row r="2412" spans="1:10" x14ac:dyDescent="0.25">
      <c r="A2412" s="2">
        <v>1046.0187620735801</v>
      </c>
      <c r="B2412" s="3">
        <v>0.51016705725922695</v>
      </c>
      <c r="C2412" s="5">
        <v>1.66149501325857E-16</v>
      </c>
      <c r="D2412" s="6">
        <v>1.3766685435839401E-15</v>
      </c>
      <c r="E2412" s="3" t="s">
        <v>4775</v>
      </c>
      <c r="F2412" s="3" t="s">
        <v>4776</v>
      </c>
      <c r="G2412" s="3">
        <v>16709</v>
      </c>
      <c r="H2412" s="7" t="str">
        <f>HYPERLINK("http://www.ensembl.org/Mus_musculus/Gene/Summary?db=core;g=ENSMUSG00000021843","ENSMUSG00000021843")</f>
        <v>ENSMUSG00000021843</v>
      </c>
      <c r="I2412" s="7" t="str">
        <f>HYPERLINK("http://www.informatics.jax.org/marker/MGI:109153","MGI:109153")</f>
        <v>MGI:109153</v>
      </c>
      <c r="J2412" s="4" t="s">
        <v>12</v>
      </c>
    </row>
    <row r="2413" spans="1:10" x14ac:dyDescent="0.25">
      <c r="A2413" s="2">
        <v>521.54183517049796</v>
      </c>
      <c r="B2413" s="3">
        <v>0.50863876940591701</v>
      </c>
      <c r="C2413" s="5">
        <v>2.4836468969206399E-10</v>
      </c>
      <c r="D2413" s="6">
        <v>1.3993576230650001E-9</v>
      </c>
      <c r="E2413" s="3" t="s">
        <v>7018</v>
      </c>
      <c r="F2413" s="3" t="s">
        <v>7019</v>
      </c>
      <c r="G2413" s="3">
        <v>67704</v>
      </c>
      <c r="H2413" s="7" t="str">
        <f>HYPERLINK("http://www.ensembl.org/Mus_musculus/Gene/Summary?db=core;g=ENSMUSG00000054091","ENSMUSG00000054091")</f>
        <v>ENSMUSG00000054091</v>
      </c>
      <c r="I2413" s="7" t="str">
        <f>HYPERLINK("http://www.informatics.jax.org/marker/MGI:1914954","MGI:1914954")</f>
        <v>MGI:1914954</v>
      </c>
      <c r="J2413" s="4" t="s">
        <v>12</v>
      </c>
    </row>
    <row r="2414" spans="1:10" x14ac:dyDescent="0.25">
      <c r="A2414" s="2">
        <v>1501.8665248776199</v>
      </c>
      <c r="B2414" s="3">
        <v>0.50793606423831805</v>
      </c>
      <c r="C2414" s="5">
        <v>1.38882020854131E-18</v>
      </c>
      <c r="D2414" s="6">
        <v>1.2906472437528101E-17</v>
      </c>
      <c r="E2414" s="3" t="s">
        <v>4261</v>
      </c>
      <c r="F2414" s="3" t="s">
        <v>4262</v>
      </c>
      <c r="G2414" s="3">
        <v>69902</v>
      </c>
      <c r="H2414" s="7" t="str">
        <f>HYPERLINK("http://www.ensembl.org/Mus_musculus/Gene/Summary?db=core;g=ENSMUSG00000028741","ENSMUSG00000028741")</f>
        <v>ENSMUSG00000028741</v>
      </c>
      <c r="I2414" s="7" t="str">
        <f>HYPERLINK("http://www.informatics.jax.org/marker/MGI:1917152","MGI:1917152")</f>
        <v>MGI:1917152</v>
      </c>
      <c r="J2414" s="4" t="s">
        <v>12</v>
      </c>
    </row>
    <row r="2415" spans="1:10" x14ac:dyDescent="0.25">
      <c r="A2415" s="2">
        <v>500.36326839035002</v>
      </c>
      <c r="B2415" s="3">
        <v>0.50758473608440502</v>
      </c>
      <c r="C2415" s="5">
        <v>2.1399379235041102E-9</v>
      </c>
      <c r="D2415" s="6">
        <v>1.1175735130164499E-8</v>
      </c>
      <c r="E2415" s="3" t="s">
        <v>7570</v>
      </c>
      <c r="F2415" s="3" t="s">
        <v>7571</v>
      </c>
      <c r="G2415" s="3">
        <v>242864</v>
      </c>
      <c r="H2415" s="7" t="str">
        <f>HYPERLINK("http://www.ensembl.org/Mus_musculus/Gene/Summary?db=core;g=ENSMUSG00000044968","ENSMUSG00000044968")</f>
        <v>ENSMUSG00000044968</v>
      </c>
      <c r="I2415" s="7" t="str">
        <f>HYPERLINK("http://www.informatics.jax.org/marker/MGI:2140885","MGI:2140885")</f>
        <v>MGI:2140885</v>
      </c>
      <c r="J2415" s="4" t="s">
        <v>12</v>
      </c>
    </row>
    <row r="2416" spans="1:10" x14ac:dyDescent="0.25">
      <c r="A2416" s="2">
        <v>407.90192667256298</v>
      </c>
      <c r="B2416" s="3">
        <v>0.50748700190524998</v>
      </c>
      <c r="C2416" s="5">
        <v>1.0566989351961601E-14</v>
      </c>
      <c r="D2416" s="6">
        <v>7.9992717858227305E-14</v>
      </c>
      <c r="E2416" s="3" t="s">
        <v>5227</v>
      </c>
      <c r="F2416" s="3" t="s">
        <v>5228</v>
      </c>
      <c r="G2416" s="3">
        <v>66352</v>
      </c>
      <c r="H2416" s="7" t="str">
        <f>HYPERLINK("http://www.ensembl.org/Mus_musculus/Gene/Summary?db=core;g=ENSMUSG00000026577","ENSMUSG00000026577")</f>
        <v>ENSMUSG00000026577</v>
      </c>
      <c r="I2416" s="7" t="str">
        <f>HYPERLINK("http://www.informatics.jax.org/marker/MGI:1201607","MGI:1201607")</f>
        <v>MGI:1201607</v>
      </c>
      <c r="J2416" s="4" t="s">
        <v>12</v>
      </c>
    </row>
    <row r="2417" spans="1:10" x14ac:dyDescent="0.25">
      <c r="A2417" s="2">
        <v>3440.7711512127398</v>
      </c>
      <c r="B2417" s="3">
        <v>0.50727422698966995</v>
      </c>
      <c r="C2417" s="5">
        <v>2.03028400458199E-36</v>
      </c>
      <c r="D2417" s="6">
        <v>3.7037188316703801E-35</v>
      </c>
      <c r="E2417" s="3" t="s">
        <v>2179</v>
      </c>
      <c r="F2417" s="3" t="s">
        <v>2180</v>
      </c>
      <c r="G2417" s="3" t="s">
        <v>83</v>
      </c>
      <c r="H2417" s="7" t="str">
        <f>HYPERLINK("http://www.ensembl.org/Mus_musculus/Gene/Summary?db=core;g=ENSMUSG00000101645","ENSMUSG00000101645")</f>
        <v>ENSMUSG00000101645</v>
      </c>
      <c r="I2417" s="7" t="str">
        <f>HYPERLINK("http://www.informatics.jax.org/marker/MGI:5579341","MGI:5579341")</f>
        <v>MGI:5579341</v>
      </c>
      <c r="J2417" s="4" t="s">
        <v>12</v>
      </c>
    </row>
    <row r="2418" spans="1:10" x14ac:dyDescent="0.25">
      <c r="A2418" s="2">
        <v>332.16205088200098</v>
      </c>
      <c r="B2418" s="3">
        <v>0.50690770744402402</v>
      </c>
      <c r="C2418" s="5">
        <v>9.0886348229385502E-12</v>
      </c>
      <c r="D2418" s="6">
        <v>5.6970082234058503E-11</v>
      </c>
      <c r="E2418" s="3" t="s">
        <v>6309</v>
      </c>
      <c r="F2418" s="3" t="s">
        <v>6310</v>
      </c>
      <c r="G2418" s="3">
        <v>66869</v>
      </c>
      <c r="H2418" s="7" t="str">
        <f>HYPERLINK("http://www.ensembl.org/Mus_musculus/Gene/Summary?db=core;g=ENSMUSG00000054648","ENSMUSG00000054648")</f>
        <v>ENSMUSG00000054648</v>
      </c>
      <c r="I2418" s="7" t="str">
        <f>HYPERLINK("http://www.informatics.jax.org/marker/MGI:1914119","MGI:1914119")</f>
        <v>MGI:1914119</v>
      </c>
      <c r="J2418" s="4" t="s">
        <v>12</v>
      </c>
    </row>
    <row r="2419" spans="1:10" x14ac:dyDescent="0.25">
      <c r="A2419" s="2">
        <v>3788.8545436678301</v>
      </c>
      <c r="B2419" s="3">
        <v>0.50687731475267706</v>
      </c>
      <c r="C2419" s="5">
        <v>4.83599651535107E-28</v>
      </c>
      <c r="D2419" s="6">
        <v>6.6134432234898199E-27</v>
      </c>
      <c r="E2419" s="3" t="s">
        <v>2902</v>
      </c>
      <c r="F2419" s="3" t="s">
        <v>2903</v>
      </c>
      <c r="G2419" s="3">
        <v>110109</v>
      </c>
      <c r="H2419" s="7" t="str">
        <f>HYPERLINK("http://www.ensembl.org/Mus_musculus/Gene/Summary?db=core;g=ENSMUSG00000038279","ENSMUSG00000038279")</f>
        <v>ENSMUSG00000038279</v>
      </c>
      <c r="I2419" s="7" t="str">
        <f>HYPERLINK("http://www.informatics.jax.org/marker/MGI:107891","MGI:107891")</f>
        <v>MGI:107891</v>
      </c>
      <c r="J2419" s="4" t="s">
        <v>12</v>
      </c>
    </row>
    <row r="2420" spans="1:10" x14ac:dyDescent="0.25">
      <c r="A2420" s="2">
        <v>170.47731429684401</v>
      </c>
      <c r="B2420" s="3">
        <v>0.50635146570325495</v>
      </c>
      <c r="C2420" s="5">
        <v>1.42834622102344E-5</v>
      </c>
      <c r="D2420" s="6">
        <v>5.2757047159734502E-5</v>
      </c>
      <c r="E2420" s="3" t="s">
        <v>10690</v>
      </c>
      <c r="F2420" s="3" t="s">
        <v>10691</v>
      </c>
      <c r="G2420" s="3">
        <v>319601</v>
      </c>
      <c r="H2420" s="7" t="str">
        <f>HYPERLINK("http://www.ensembl.org/Mus_musculus/Gene/Summary?db=core;g=ENSMUSG00000038895","ENSMUSG00000038895")</f>
        <v>ENSMUSG00000038895</v>
      </c>
      <c r="I2420" s="7" t="str">
        <f>HYPERLINK("http://www.informatics.jax.org/marker/MGI:2442362","MGI:2442362")</f>
        <v>MGI:2442362</v>
      </c>
      <c r="J2420" s="4" t="s">
        <v>12</v>
      </c>
    </row>
    <row r="2421" spans="1:10" x14ac:dyDescent="0.25">
      <c r="A2421" s="2">
        <v>23271.201841108901</v>
      </c>
      <c r="B2421" s="3">
        <v>0.50580891802996897</v>
      </c>
      <c r="C2421" s="5">
        <v>4.0987294257139499E-18</v>
      </c>
      <c r="D2421" s="6">
        <v>3.7144735420532697E-17</v>
      </c>
      <c r="E2421" s="3" t="s">
        <v>4369</v>
      </c>
      <c r="F2421" s="3" t="s">
        <v>4370</v>
      </c>
      <c r="G2421" s="3">
        <v>18148</v>
      </c>
      <c r="H2421" s="7" t="str">
        <f>HYPERLINK("http://www.ensembl.org/Mus_musculus/Gene/Summary?db=core;g=ENSMUSG00000057113","ENSMUSG00000057113")</f>
        <v>ENSMUSG00000057113</v>
      </c>
      <c r="I2421" s="7" t="str">
        <f>HYPERLINK("http://www.informatics.jax.org/marker/MGI:106184","MGI:106184")</f>
        <v>MGI:106184</v>
      </c>
      <c r="J2421" s="4" t="s">
        <v>12</v>
      </c>
    </row>
    <row r="2422" spans="1:10" x14ac:dyDescent="0.25">
      <c r="A2422" s="2">
        <v>1777.1311040185001</v>
      </c>
      <c r="B2422" s="3">
        <v>0.50540986872763405</v>
      </c>
      <c r="C2422" s="5">
        <v>3.8386364888391099E-13</v>
      </c>
      <c r="D2422" s="6">
        <v>2.6430835041867E-12</v>
      </c>
      <c r="E2422" s="3" t="s">
        <v>5745</v>
      </c>
      <c r="F2422" s="3" t="s">
        <v>5746</v>
      </c>
      <c r="G2422" s="3">
        <v>56258</v>
      </c>
      <c r="H2422" s="7" t="str">
        <f>HYPERLINK("http://www.ensembl.org/Mus_musculus/Gene/Summary?db=core;g=ENSMUSG00000045427","ENSMUSG00000045427")</f>
        <v>ENSMUSG00000045427</v>
      </c>
      <c r="I2422" s="7" t="str">
        <f>HYPERLINK("http://www.informatics.jax.org/marker/MGI:1201779","MGI:1201779")</f>
        <v>MGI:1201779</v>
      </c>
      <c r="J2422" s="4" t="s">
        <v>12</v>
      </c>
    </row>
    <row r="2423" spans="1:10" x14ac:dyDescent="0.25">
      <c r="A2423" s="2">
        <v>6228.4548915492596</v>
      </c>
      <c r="B2423" s="3">
        <v>0.50520785061790496</v>
      </c>
      <c r="C2423" s="5">
        <v>2.6728658283045102E-25</v>
      </c>
      <c r="D2423" s="6">
        <v>3.2901943903973099E-24</v>
      </c>
      <c r="E2423" s="3" t="s">
        <v>3224</v>
      </c>
      <c r="F2423" s="3" t="s">
        <v>3225</v>
      </c>
      <c r="G2423" s="3">
        <v>67154</v>
      </c>
      <c r="H2423" s="7" t="str">
        <f>HYPERLINK("http://www.ensembl.org/Mus_musculus/Gene/Summary?db=core;g=ENSMUSG00000022255","ENSMUSG00000022255")</f>
        <v>ENSMUSG00000022255</v>
      </c>
      <c r="I2423" s="7" t="str">
        <f>HYPERLINK("http://www.informatics.jax.org/marker/MGI:1914404","MGI:1914404")</f>
        <v>MGI:1914404</v>
      </c>
      <c r="J2423" s="4" t="s">
        <v>12</v>
      </c>
    </row>
    <row r="2424" spans="1:10" x14ac:dyDescent="0.25">
      <c r="A2424" s="2">
        <v>1556.4749619071799</v>
      </c>
      <c r="B2424" s="3">
        <v>0.50471966190694295</v>
      </c>
      <c r="C2424" s="5">
        <v>1.13929255602012E-23</v>
      </c>
      <c r="D2424" s="6">
        <v>1.3223572221728501E-22</v>
      </c>
      <c r="E2424" s="3" t="s">
        <v>3416</v>
      </c>
      <c r="F2424" s="3" t="s">
        <v>3417</v>
      </c>
      <c r="G2424" s="3">
        <v>21854</v>
      </c>
      <c r="H2424" s="7" t="str">
        <f>HYPERLINK("http://www.ensembl.org/Mus_musculus/Gene/Summary?db=core;g=ENSMUSG00000062580","ENSMUSG00000062580")</f>
        <v>ENSMUSG00000062580</v>
      </c>
      <c r="I2424" s="7" t="str">
        <f>HYPERLINK("http://www.informatics.jax.org/marker/MGI:1343131","MGI:1343131")</f>
        <v>MGI:1343131</v>
      </c>
      <c r="J2424" s="4" t="s">
        <v>12</v>
      </c>
    </row>
    <row r="2425" spans="1:10" x14ac:dyDescent="0.25">
      <c r="A2425" s="2">
        <v>7513.8488403408701</v>
      </c>
      <c r="B2425" s="3">
        <v>0.50468277739188105</v>
      </c>
      <c r="C2425" s="5">
        <v>3.1813384377995198E-21</v>
      </c>
      <c r="D2425" s="6">
        <v>3.3158559193132402E-20</v>
      </c>
      <c r="E2425" s="3" t="s">
        <v>3802</v>
      </c>
      <c r="F2425" s="3" t="s">
        <v>3803</v>
      </c>
      <c r="G2425" s="3">
        <v>12540</v>
      </c>
      <c r="H2425" s="7" t="str">
        <f>HYPERLINK("http://www.ensembl.org/Mus_musculus/Gene/Summary?db=core;g=ENSMUSG00000006699","ENSMUSG00000006699")</f>
        <v>ENSMUSG00000006699</v>
      </c>
      <c r="I2425" s="7" t="str">
        <f>HYPERLINK("http://www.informatics.jax.org/marker/MGI:106211","MGI:106211")</f>
        <v>MGI:106211</v>
      </c>
      <c r="J2425" s="4" t="s">
        <v>12</v>
      </c>
    </row>
    <row r="2426" spans="1:10" x14ac:dyDescent="0.25">
      <c r="A2426" s="2">
        <v>83.963604984391793</v>
      </c>
      <c r="B2426" s="3">
        <v>0.50415079273042596</v>
      </c>
      <c r="C2426" s="3">
        <v>3.0438362151586701E-4</v>
      </c>
      <c r="D2426" s="4">
        <v>9.6301059141551198E-4</v>
      </c>
      <c r="E2426" s="3" t="s">
        <v>12479</v>
      </c>
      <c r="F2426" s="3" t="s">
        <v>12480</v>
      </c>
      <c r="G2426" s="3">
        <v>100042807</v>
      </c>
      <c r="H2426" s="7" t="str">
        <f>HYPERLINK("http://www.ensembl.org/Mus_musculus/Gene/Summary?db=core;g=ENSMUSG00000043424","ENSMUSG00000043424")</f>
        <v>ENSMUSG00000043424</v>
      </c>
      <c r="I2426" s="7" t="str">
        <f>HYPERLINK("http://www.informatics.jax.org/marker/MGI:3704486","MGI:3704486")</f>
        <v>MGI:3704486</v>
      </c>
      <c r="J2426" s="4" t="s">
        <v>12</v>
      </c>
    </row>
    <row r="2427" spans="1:10" x14ac:dyDescent="0.25">
      <c r="A2427" s="2">
        <v>26.5259051680857</v>
      </c>
      <c r="B2427" s="3">
        <v>0.50385234412785995</v>
      </c>
      <c r="C2427" s="3">
        <v>2.1234180587098299E-2</v>
      </c>
      <c r="D2427" s="4">
        <v>4.9280692147531897E-2</v>
      </c>
      <c r="E2427" s="3" t="s">
        <v>16998</v>
      </c>
      <c r="F2427" s="3" t="s">
        <v>16999</v>
      </c>
      <c r="G2427" s="3">
        <v>68195</v>
      </c>
      <c r="H2427" s="7" t="str">
        <f>HYPERLINK("http://www.ensembl.org/Mus_musculus/Gene/Summary?db=core;g=ENSMUSG00000094724","ENSMUSG00000094724")</f>
        <v>ENSMUSG00000094724</v>
      </c>
      <c r="I2427" s="7" t="str">
        <f>HYPERLINK("http://www.informatics.jax.org/marker/MGI:3702087","MGI:3702087")</f>
        <v>MGI:3702087</v>
      </c>
      <c r="J2427" s="4" t="s">
        <v>12</v>
      </c>
    </row>
    <row r="2428" spans="1:10" x14ac:dyDescent="0.25">
      <c r="A2428" s="2">
        <v>221.31423446975199</v>
      </c>
      <c r="B2428" s="3">
        <v>0.50358117446121098</v>
      </c>
      <c r="C2428" s="3">
        <v>1.5117425351300301E-3</v>
      </c>
      <c r="D2428" s="4">
        <v>4.3463424395340702E-3</v>
      </c>
      <c r="E2428" s="3" t="s">
        <v>13727</v>
      </c>
      <c r="F2428" s="3" t="s">
        <v>13728</v>
      </c>
      <c r="G2428" s="3">
        <v>652925</v>
      </c>
      <c r="H2428" s="7" t="str">
        <f>HYPERLINK("http://www.ensembl.org/Mus_musculus/Gene/Summary?db=core;g=ENSMUSG00000079659","ENSMUSG00000079659")</f>
        <v>ENSMUSG00000079659</v>
      </c>
      <c r="I2428" s="7" t="str">
        <f>HYPERLINK("http://www.informatics.jax.org/marker/MGI:3606159","MGI:3606159")</f>
        <v>MGI:3606159</v>
      </c>
      <c r="J2428" s="4" t="s">
        <v>12</v>
      </c>
    </row>
    <row r="2429" spans="1:10" x14ac:dyDescent="0.25">
      <c r="A2429" s="2">
        <v>171.45284208283999</v>
      </c>
      <c r="B2429" s="3">
        <v>0.50308930696613996</v>
      </c>
      <c r="C2429" s="5">
        <v>2.2879998088886E-5</v>
      </c>
      <c r="D2429" s="6">
        <v>8.2757439895970596E-5</v>
      </c>
      <c r="E2429" s="3" t="s">
        <v>10916</v>
      </c>
      <c r="F2429" s="3" t="s">
        <v>10917</v>
      </c>
      <c r="G2429" s="3" t="s">
        <v>83</v>
      </c>
      <c r="H2429" s="7" t="str">
        <f>HYPERLINK("http://www.ensembl.org/Mus_musculus/Gene/Summary?db=core;g=ENSMUSG00000083899","ENSMUSG00000083899")</f>
        <v>ENSMUSG00000083899</v>
      </c>
      <c r="I2429" s="7" t="str">
        <f>HYPERLINK("http://www.informatics.jax.org/marker/MGI:3649810","MGI:3649810")</f>
        <v>MGI:3649810</v>
      </c>
      <c r="J2429" s="4" t="s">
        <v>5705</v>
      </c>
    </row>
    <row r="2430" spans="1:10" x14ac:dyDescent="0.25">
      <c r="A2430" s="2">
        <v>305.081232274032</v>
      </c>
      <c r="B2430" s="3">
        <v>0.50306663475007796</v>
      </c>
      <c r="C2430" s="5">
        <v>1.11329165380929E-7</v>
      </c>
      <c r="D2430" s="6">
        <v>5.0307313045644302E-7</v>
      </c>
      <c r="E2430" s="3" t="s">
        <v>8745</v>
      </c>
      <c r="F2430" s="3" t="s">
        <v>8746</v>
      </c>
      <c r="G2430" s="3">
        <v>232201</v>
      </c>
      <c r="H2430" s="7" t="str">
        <f>HYPERLINK("http://www.ensembl.org/Mus_musculus/Gene/Summary?db=core;g=ENSMUSG00000030047","ENSMUSG00000030047")</f>
        <v>ENSMUSG00000030047</v>
      </c>
      <c r="I2430" s="7" t="str">
        <f>HYPERLINK("http://www.informatics.jax.org/marker/MGI:2443687","MGI:2443687")</f>
        <v>MGI:2443687</v>
      </c>
      <c r="J2430" s="4" t="s">
        <v>12</v>
      </c>
    </row>
    <row r="2431" spans="1:10" x14ac:dyDescent="0.25">
      <c r="A2431" s="2">
        <v>1701.23830401904</v>
      </c>
      <c r="B2431" s="3">
        <v>0.50255560095449003</v>
      </c>
      <c r="C2431" s="5">
        <v>9.8197620571509399E-37</v>
      </c>
      <c r="D2431" s="6">
        <v>1.8063965276773901E-35</v>
      </c>
      <c r="E2431" s="3" t="s">
        <v>2161</v>
      </c>
      <c r="F2431" s="3" t="s">
        <v>2162</v>
      </c>
      <c r="G2431" s="3">
        <v>71955</v>
      </c>
      <c r="H2431" s="7" t="str">
        <f>HYPERLINK("http://www.ensembl.org/Mus_musculus/Gene/Summary?db=core;g=ENSMUSG00000031729","ENSMUSG00000031729")</f>
        <v>ENSMUSG00000031729</v>
      </c>
      <c r="I2431" s="7" t="str">
        <f>HYPERLINK("http://www.informatics.jax.org/marker/MGI:1919205","MGI:1919205")</f>
        <v>MGI:1919205</v>
      </c>
      <c r="J2431" s="4" t="s">
        <v>12</v>
      </c>
    </row>
    <row r="2432" spans="1:10" x14ac:dyDescent="0.25">
      <c r="A2432" s="2">
        <v>37.962162844644702</v>
      </c>
      <c r="B2432" s="3">
        <v>0.50228276716393805</v>
      </c>
      <c r="C2432" s="3">
        <v>1.6780249472016898E-2</v>
      </c>
      <c r="D2432" s="4">
        <v>3.9849051010136402E-2</v>
      </c>
      <c r="E2432" s="3" t="s">
        <v>16612</v>
      </c>
      <c r="F2432" s="3" t="s">
        <v>16613</v>
      </c>
      <c r="G2432" s="3">
        <v>66060</v>
      </c>
      <c r="H2432" s="7" t="str">
        <f>HYPERLINK("http://www.ensembl.org/Mus_musculus/Gene/Summary?db=core;g=ENSMUSG00000046727","ENSMUSG00000046727")</f>
        <v>ENSMUSG00000046727</v>
      </c>
      <c r="I2432" s="7" t="str">
        <f>HYPERLINK("http://www.informatics.jax.org/marker/MGI:1913310","MGI:1913310")</f>
        <v>MGI:1913310</v>
      </c>
      <c r="J2432" s="4" t="s">
        <v>12</v>
      </c>
    </row>
    <row r="2433" spans="1:10" x14ac:dyDescent="0.25">
      <c r="A2433" s="2">
        <v>2209.7047673617399</v>
      </c>
      <c r="B2433" s="3">
        <v>0.50090670261945103</v>
      </c>
      <c r="C2433" s="5">
        <v>6.0695923210336597E-18</v>
      </c>
      <c r="D2433" s="6">
        <v>5.4679013508809403E-17</v>
      </c>
      <c r="E2433" s="3" t="s">
        <v>4395</v>
      </c>
      <c r="F2433" s="3" t="s">
        <v>4396</v>
      </c>
      <c r="G2433" s="3">
        <v>67812</v>
      </c>
      <c r="H2433" s="7" t="str">
        <f>HYPERLINK("http://www.ensembl.org/Mus_musculus/Gene/Summary?db=core;g=ENSMUSG00000026353","ENSMUSG00000026353")</f>
        <v>ENSMUSG00000026353</v>
      </c>
      <c r="I2433" s="7" t="str">
        <f>HYPERLINK("http://www.informatics.jax.org/marker/MGI:1915062","MGI:1915062")</f>
        <v>MGI:1915062</v>
      </c>
      <c r="J2433" s="4" t="s">
        <v>12</v>
      </c>
    </row>
    <row r="2434" spans="1:10" x14ac:dyDescent="0.25">
      <c r="A2434" s="2">
        <v>77.213192131009507</v>
      </c>
      <c r="B2434" s="3">
        <v>0.50039117552404699</v>
      </c>
      <c r="C2434" s="3">
        <v>4.3270207334043901E-4</v>
      </c>
      <c r="D2434" s="4">
        <v>1.34228171877827E-3</v>
      </c>
      <c r="E2434" s="3" t="s">
        <v>12725</v>
      </c>
      <c r="F2434" s="3" t="s">
        <v>12726</v>
      </c>
      <c r="G2434" s="3">
        <v>73242</v>
      </c>
      <c r="H2434" s="7" t="str">
        <f>HYPERLINK("http://www.ensembl.org/Mus_musculus/Gene/Summary?db=core;g=ENSMUSG00000024426","ENSMUSG00000024426")</f>
        <v>ENSMUSG00000024426</v>
      </c>
      <c r="I2434" s="7" t="str">
        <f>HYPERLINK("http://www.informatics.jax.org/marker/MGI:1913869","MGI:1913869")</f>
        <v>MGI:1913869</v>
      </c>
      <c r="J2434" s="4" t="s">
        <v>12</v>
      </c>
    </row>
    <row r="2435" spans="1:10" x14ac:dyDescent="0.25">
      <c r="A2435" s="2">
        <v>471.99330403664101</v>
      </c>
      <c r="B2435" s="3">
        <v>0.50024200734580204</v>
      </c>
      <c r="C2435" s="5">
        <v>1.03253494144579E-10</v>
      </c>
      <c r="D2435" s="6">
        <v>5.9922275000915097E-10</v>
      </c>
      <c r="E2435" s="3" t="s">
        <v>6814</v>
      </c>
      <c r="F2435" s="3" t="s">
        <v>6815</v>
      </c>
      <c r="G2435" s="3" t="s">
        <v>83</v>
      </c>
      <c r="H2435" s="7" t="str">
        <f>HYPERLINK("http://www.ensembl.org/Mus_musculus/Gene/Summary?db=core;g=ENSMUSG00000071456","ENSMUSG00000071456")</f>
        <v>ENSMUSG00000071456</v>
      </c>
      <c r="I2435" s="7" t="str">
        <f>HYPERLINK("http://www.informatics.jax.org/marker/MGI:1915821","MGI:1915821")</f>
        <v>MGI:1915821</v>
      </c>
      <c r="J2435" s="4" t="s">
        <v>932</v>
      </c>
    </row>
    <row r="2436" spans="1:10" x14ac:dyDescent="0.25">
      <c r="A2436" s="2">
        <v>5279.9316267839704</v>
      </c>
      <c r="B2436" s="3">
        <v>0.50015240826033902</v>
      </c>
      <c r="C2436" s="5">
        <v>1.3921425358951901E-12</v>
      </c>
      <c r="D2436" s="6">
        <v>9.25903905829783E-12</v>
      </c>
      <c r="E2436" s="3" t="s">
        <v>5947</v>
      </c>
      <c r="F2436" s="3" t="s">
        <v>5948</v>
      </c>
      <c r="G2436" s="3">
        <v>317750</v>
      </c>
      <c r="H2436" s="7" t="str">
        <f>HYPERLINK("http://www.ensembl.org/Mus_musculus/Gene/Summary?db=core;g=ENSMUSG00000035183","ENSMUSG00000035183")</f>
        <v>ENSMUSG00000035183</v>
      </c>
      <c r="I2436" s="7" t="str">
        <f>HYPERLINK("http://www.informatics.jax.org/marker/MGI:2677271","MGI:2677271")</f>
        <v>MGI:2677271</v>
      </c>
      <c r="J2436" s="4" t="s">
        <v>12</v>
      </c>
    </row>
    <row r="2437" spans="1:10" x14ac:dyDescent="0.25">
      <c r="A2437" s="2">
        <v>956.13368719740595</v>
      </c>
      <c r="B2437" s="3">
        <v>0.49974256153858898</v>
      </c>
      <c r="C2437" s="5">
        <v>1.98205333221052E-12</v>
      </c>
      <c r="D2437" s="6">
        <v>1.30679009398835E-11</v>
      </c>
      <c r="E2437" s="3" t="s">
        <v>5999</v>
      </c>
      <c r="F2437" s="3" t="s">
        <v>6000</v>
      </c>
      <c r="G2437" s="3">
        <v>66999</v>
      </c>
      <c r="H2437" s="7" t="str">
        <f>HYPERLINK("http://www.ensembl.org/Mus_musculus/Gene/Summary?db=core;g=ENSMUSG00000015804","ENSMUSG00000015804")</f>
        <v>ENSMUSG00000015804</v>
      </c>
      <c r="I2437" s="7" t="str">
        <f>HYPERLINK("http://www.informatics.jax.org/marker/MGI:1914249","MGI:1914249")</f>
        <v>MGI:1914249</v>
      </c>
      <c r="J2437" s="4" t="s">
        <v>12</v>
      </c>
    </row>
    <row r="2438" spans="1:10" x14ac:dyDescent="0.25">
      <c r="A2438" s="2">
        <v>3373.1619928211499</v>
      </c>
      <c r="B2438" s="3">
        <v>0.49946591747310498</v>
      </c>
      <c r="C2438" s="5">
        <v>1.02395326987696E-32</v>
      </c>
      <c r="D2438" s="6">
        <v>1.62579375861301E-31</v>
      </c>
      <c r="E2438" s="3" t="s">
        <v>2501</v>
      </c>
      <c r="F2438" s="3" t="s">
        <v>2502</v>
      </c>
      <c r="G2438" s="3">
        <v>14884</v>
      </c>
      <c r="H2438" s="7" t="str">
        <f>HYPERLINK("http://www.ensembl.org/Mus_musculus/Gene/Summary?db=core;g=ENSMUSG00000006599","ENSMUSG00000006599")</f>
        <v>ENSMUSG00000006599</v>
      </c>
      <c r="I2438" s="7" t="str">
        <f>HYPERLINK("http://www.informatics.jax.org/marker/MGI:1277216","MGI:1277216")</f>
        <v>MGI:1277216</v>
      </c>
      <c r="J2438" s="4" t="s">
        <v>12</v>
      </c>
    </row>
    <row r="2439" spans="1:10" x14ac:dyDescent="0.25">
      <c r="A2439" s="2">
        <v>1374.4799328962999</v>
      </c>
      <c r="B2439" s="3">
        <v>0.49920762771636501</v>
      </c>
      <c r="C2439" s="5">
        <v>2.67428332676798E-7</v>
      </c>
      <c r="D2439" s="6">
        <v>1.1716700111945E-6</v>
      </c>
      <c r="E2439" s="3" t="s">
        <v>9017</v>
      </c>
      <c r="F2439" s="3" t="s">
        <v>9018</v>
      </c>
      <c r="G2439" s="3">
        <v>17904</v>
      </c>
      <c r="H2439" s="7" t="str">
        <f>HYPERLINK("http://www.ensembl.org/Mus_musculus/Gene/Summary?db=core;g=ENSMUSG00000090841","ENSMUSG00000090841")</f>
        <v>ENSMUSG00000090841</v>
      </c>
      <c r="I2439" s="7" t="str">
        <f>HYPERLINK("http://www.informatics.jax.org/marker/MGI:109318","MGI:109318")</f>
        <v>MGI:109318</v>
      </c>
      <c r="J2439" s="4" t="s">
        <v>12</v>
      </c>
    </row>
    <row r="2440" spans="1:10" x14ac:dyDescent="0.25">
      <c r="A2440" s="2">
        <v>2386.2083452267002</v>
      </c>
      <c r="B2440" s="3">
        <v>0.49901487246159498</v>
      </c>
      <c r="C2440" s="5">
        <v>4.95862995094007E-21</v>
      </c>
      <c r="D2440" s="6">
        <v>5.1249571610345E-20</v>
      </c>
      <c r="E2440" s="3" t="s">
        <v>3834</v>
      </c>
      <c r="F2440" s="3" t="s">
        <v>3835</v>
      </c>
      <c r="G2440" s="3">
        <v>19184</v>
      </c>
      <c r="H2440" s="7" t="str">
        <f>HYPERLINK("http://www.ensembl.org/Mus_musculus/Gene/Summary?db=core;g=ENSMUSG00000020708","ENSMUSG00000020708")</f>
        <v>ENSMUSG00000020708</v>
      </c>
      <c r="I2440" s="7" t="str">
        <f>HYPERLINK("http://www.informatics.jax.org/marker/MGI:105047","MGI:105047")</f>
        <v>MGI:105047</v>
      </c>
      <c r="J2440" s="4" t="s">
        <v>12</v>
      </c>
    </row>
    <row r="2441" spans="1:10" x14ac:dyDescent="0.25">
      <c r="A2441" s="2">
        <v>1526.7876184783299</v>
      </c>
      <c r="B2441" s="3">
        <v>0.498163016930947</v>
      </c>
      <c r="C2441" s="5">
        <v>1.0327413495926E-28</v>
      </c>
      <c r="D2441" s="6">
        <v>1.45468995814043E-27</v>
      </c>
      <c r="E2441" s="3" t="s">
        <v>2818</v>
      </c>
      <c r="F2441" s="3" t="s">
        <v>2819</v>
      </c>
      <c r="G2441" s="3">
        <v>54473</v>
      </c>
      <c r="H2441" s="7" t="str">
        <f>HYPERLINK("http://www.ensembl.org/Mus_musculus/Gene/Summary?db=core;g=ENSMUSG00000025139","ENSMUSG00000025139")</f>
        <v>ENSMUSG00000025139</v>
      </c>
      <c r="I2441" s="7" t="str">
        <f>HYPERLINK("http://www.informatics.jax.org/marker/MGI:1891808","MGI:1891808")</f>
        <v>MGI:1891808</v>
      </c>
      <c r="J2441" s="4" t="s">
        <v>12</v>
      </c>
    </row>
    <row r="2442" spans="1:10" x14ac:dyDescent="0.25">
      <c r="A2442" s="2">
        <v>277.79836029730598</v>
      </c>
      <c r="B2442" s="3">
        <v>0.49814192871540403</v>
      </c>
      <c r="C2442" s="5">
        <v>1.4176197202786699E-8</v>
      </c>
      <c r="D2442" s="6">
        <v>6.9282430939022204E-8</v>
      </c>
      <c r="E2442" s="3" t="s">
        <v>8087</v>
      </c>
      <c r="F2442" s="3" t="s">
        <v>8088</v>
      </c>
      <c r="G2442" s="3">
        <v>30945</v>
      </c>
      <c r="H2442" s="7" t="str">
        <f>HYPERLINK("http://www.ensembl.org/Mus_musculus/Gene/Summary?db=core;g=ENSMUSG00000022280","ENSMUSG00000022280")</f>
        <v>ENSMUSG00000022280</v>
      </c>
      <c r="I2442" s="7" t="str">
        <f>HYPERLINK("http://www.informatics.jax.org/marker/MGI:1353623","MGI:1353623")</f>
        <v>MGI:1353623</v>
      </c>
      <c r="J2442" s="4" t="s">
        <v>12</v>
      </c>
    </row>
    <row r="2443" spans="1:10" x14ac:dyDescent="0.25">
      <c r="A2443" s="2">
        <v>1190.56085465413</v>
      </c>
      <c r="B2443" s="3">
        <v>0.498130861938682</v>
      </c>
      <c r="C2443" s="5">
        <v>1.13321010412992E-14</v>
      </c>
      <c r="D2443" s="6">
        <v>8.5751739268772405E-14</v>
      </c>
      <c r="E2443" s="3" t="s">
        <v>5229</v>
      </c>
      <c r="F2443" s="3" t="s">
        <v>5230</v>
      </c>
      <c r="G2443" s="3">
        <v>76577</v>
      </c>
      <c r="H2443" s="7" t="str">
        <f>HYPERLINK("http://www.ensembl.org/Mus_musculus/Gene/Summary?db=core;g=ENSMUSG00000025873","ENSMUSG00000025873")</f>
        <v>ENSMUSG00000025873</v>
      </c>
      <c r="I2443" s="7" t="str">
        <f>HYPERLINK("http://www.informatics.jax.org/marker/MGI:1923827","MGI:1923827")</f>
        <v>MGI:1923827</v>
      </c>
      <c r="J2443" s="4" t="s">
        <v>12</v>
      </c>
    </row>
    <row r="2444" spans="1:10" x14ac:dyDescent="0.25">
      <c r="A2444" s="2">
        <v>173.89209784475401</v>
      </c>
      <c r="B2444" s="3">
        <v>0.49809202242131501</v>
      </c>
      <c r="C2444" s="5">
        <v>2.9918933552207002E-6</v>
      </c>
      <c r="D2444" s="6">
        <v>1.1809474972968799E-5</v>
      </c>
      <c r="E2444" s="3" t="s">
        <v>10008</v>
      </c>
      <c r="F2444" s="3" t="s">
        <v>10009</v>
      </c>
      <c r="G2444" s="3">
        <v>232821</v>
      </c>
      <c r="H2444" s="7" t="str">
        <f>HYPERLINK("http://www.ensembl.org/Mus_musculus/Gene/Summary?db=core;g=ENSMUSG00000035228","ENSMUSG00000035228")</f>
        <v>ENSMUSG00000035228</v>
      </c>
      <c r="I2444" s="7" t="str">
        <f>HYPERLINK("http://www.informatics.jax.org/marker/MGI:2385900","MGI:2385900")</f>
        <v>MGI:2385900</v>
      </c>
      <c r="J2444" s="4" t="s">
        <v>12</v>
      </c>
    </row>
    <row r="2445" spans="1:10" x14ac:dyDescent="0.25">
      <c r="A2445" s="2">
        <v>1328.2765940716599</v>
      </c>
      <c r="B2445" s="3">
        <v>0.49804166349679901</v>
      </c>
      <c r="C2445" s="5">
        <v>7.5666184542101098E-22</v>
      </c>
      <c r="D2445" s="6">
        <v>8.1271087100775299E-21</v>
      </c>
      <c r="E2445" s="3" t="s">
        <v>3690</v>
      </c>
      <c r="F2445" s="3" t="s">
        <v>3691</v>
      </c>
      <c r="G2445" s="3">
        <v>320213</v>
      </c>
      <c r="H2445" s="7" t="str">
        <f>HYPERLINK("http://www.ensembl.org/Mus_musculus/Gene/Summary?db=core;g=ENSMUSG00000022772","ENSMUSG00000022772")</f>
        <v>ENSMUSG00000022772</v>
      </c>
      <c r="I2445" s="7" t="str">
        <f>HYPERLINK("http://www.informatics.jax.org/marker/MGI:2443596","MGI:2443596")</f>
        <v>MGI:2443596</v>
      </c>
      <c r="J2445" s="4" t="s">
        <v>12</v>
      </c>
    </row>
    <row r="2446" spans="1:10" x14ac:dyDescent="0.25">
      <c r="A2446" s="2">
        <v>1143.62677136567</v>
      </c>
      <c r="B2446" s="3">
        <v>0.49793706427731199</v>
      </c>
      <c r="C2446" s="5">
        <v>2.0977261924859499E-23</v>
      </c>
      <c r="D2446" s="6">
        <v>2.4064665803270999E-22</v>
      </c>
      <c r="E2446" s="3" t="s">
        <v>3456</v>
      </c>
      <c r="F2446" s="3" t="s">
        <v>3457</v>
      </c>
      <c r="G2446" s="3">
        <v>54351</v>
      </c>
      <c r="H2446" s="7" t="str">
        <f>HYPERLINK("http://www.ensembl.org/Mus_musculus/Gene/Summary?db=core;g=ENSMUSG00000018565","ENSMUSG00000018565")</f>
        <v>ENSMUSG00000018565</v>
      </c>
      <c r="I2446" s="7" t="str">
        <f>HYPERLINK("http://www.informatics.jax.org/marker/MGI:1859017","MGI:1859017")</f>
        <v>MGI:1859017</v>
      </c>
      <c r="J2446" s="4" t="s">
        <v>12</v>
      </c>
    </row>
    <row r="2447" spans="1:10" x14ac:dyDescent="0.25">
      <c r="A2447" s="2">
        <v>178.01063846818599</v>
      </c>
      <c r="B2447" s="3">
        <v>0.49785717001889301</v>
      </c>
      <c r="C2447" s="5">
        <v>2.3569730118526699E-7</v>
      </c>
      <c r="D2447" s="6">
        <v>1.03818422590428E-6</v>
      </c>
      <c r="E2447" s="3" t="s">
        <v>8971</v>
      </c>
      <c r="F2447" s="3" t="s">
        <v>8972</v>
      </c>
      <c r="G2447" s="3">
        <v>76539</v>
      </c>
      <c r="H2447" s="7" t="str">
        <f>HYPERLINK("http://www.ensembl.org/Mus_musculus/Gene/Summary?db=core;g=ENSMUSG00000057858","ENSMUSG00000057858")</f>
        <v>ENSMUSG00000057858</v>
      </c>
      <c r="I2447" s="7" t="str">
        <f>HYPERLINK("http://www.informatics.jax.org/marker/MGI:1289174","MGI:1289174")</f>
        <v>MGI:1289174</v>
      </c>
      <c r="J2447" s="4" t="s">
        <v>12</v>
      </c>
    </row>
    <row r="2448" spans="1:10" x14ac:dyDescent="0.25">
      <c r="A2448" s="2">
        <v>6151.1457814743899</v>
      </c>
      <c r="B2448" s="3">
        <v>0.49769977637364898</v>
      </c>
      <c r="C2448" s="5">
        <v>1.02068840921623E-26</v>
      </c>
      <c r="D2448" s="6">
        <v>1.3320963222861701E-25</v>
      </c>
      <c r="E2448" s="3" t="s">
        <v>3040</v>
      </c>
      <c r="F2448" s="3" t="s">
        <v>3041</v>
      </c>
      <c r="G2448" s="3">
        <v>14897</v>
      </c>
      <c r="H2448" s="7" t="str">
        <f>HYPERLINK("http://www.ensembl.org/Mus_musculus/Gene/Summary?db=core;g=ENSMUSG00000026219","ENSMUSG00000026219")</f>
        <v>ENSMUSG00000026219</v>
      </c>
      <c r="I2448" s="7" t="str">
        <f>HYPERLINK("http://www.informatics.jax.org/marker/MGI:1309481","MGI:1309481")</f>
        <v>MGI:1309481</v>
      </c>
      <c r="J2448" s="4" t="s">
        <v>12</v>
      </c>
    </row>
    <row r="2449" spans="1:10" x14ac:dyDescent="0.25">
      <c r="A2449" s="2">
        <v>636.93588372592603</v>
      </c>
      <c r="B2449" s="3">
        <v>0.49734599860669498</v>
      </c>
      <c r="C2449" s="5">
        <v>4.6433358632562904E-6</v>
      </c>
      <c r="D2449" s="6">
        <v>1.79753795098967E-5</v>
      </c>
      <c r="E2449" s="3" t="s">
        <v>10202</v>
      </c>
      <c r="F2449" s="3" t="s">
        <v>10203</v>
      </c>
      <c r="G2449" s="3">
        <v>20345</v>
      </c>
      <c r="H2449" s="7" t="str">
        <f>HYPERLINK("http://www.ensembl.org/Mus_musculus/Gene/Summary?db=core;g=ENSMUSG00000048163","ENSMUSG00000048163")</f>
        <v>ENSMUSG00000048163</v>
      </c>
      <c r="I2449" s="7" t="str">
        <f>HYPERLINK("http://www.informatics.jax.org/marker/MGI:106689","MGI:106689")</f>
        <v>MGI:106689</v>
      </c>
      <c r="J2449" s="4" t="s">
        <v>12</v>
      </c>
    </row>
    <row r="2450" spans="1:10" x14ac:dyDescent="0.25">
      <c r="A2450" s="2">
        <v>1331.9082317294401</v>
      </c>
      <c r="B2450" s="3">
        <v>0.49683031257240501</v>
      </c>
      <c r="C2450" s="5">
        <v>5.5397875832867699E-16</v>
      </c>
      <c r="D2450" s="6">
        <v>4.4644303695306496E-15</v>
      </c>
      <c r="E2450" s="3" t="s">
        <v>4911</v>
      </c>
      <c r="F2450" s="3" t="s">
        <v>4912</v>
      </c>
      <c r="G2450" s="3">
        <v>67845</v>
      </c>
      <c r="H2450" s="7" t="str">
        <f>HYPERLINK("http://www.ensembl.org/Mus_musculus/Gene/Summary?db=core;g=ENSMUSG00000028098","ENSMUSG00000028098")</f>
        <v>ENSMUSG00000028098</v>
      </c>
      <c r="I2450" s="7" t="str">
        <f>HYPERLINK("http://www.informatics.jax.org/marker/MGI:1915095","MGI:1915095")</f>
        <v>MGI:1915095</v>
      </c>
      <c r="J2450" s="4" t="s">
        <v>12</v>
      </c>
    </row>
    <row r="2451" spans="1:10" x14ac:dyDescent="0.25">
      <c r="A2451" s="2">
        <v>1009.09954663835</v>
      </c>
      <c r="B2451" s="3">
        <v>0.49675150769716703</v>
      </c>
      <c r="C2451" s="5">
        <v>8.94715241930582E-16</v>
      </c>
      <c r="D2451" s="6">
        <v>7.1345671536073899E-15</v>
      </c>
      <c r="E2451" s="3" t="s">
        <v>4963</v>
      </c>
      <c r="F2451" s="3" t="s">
        <v>4964</v>
      </c>
      <c r="G2451" s="3">
        <v>74167</v>
      </c>
      <c r="H2451" s="7" t="str">
        <f>HYPERLINK("http://www.ensembl.org/Mus_musculus/Gene/Summary?db=core;g=ENSMUSG00000029310","ENSMUSG00000029310")</f>
        <v>ENSMUSG00000029310</v>
      </c>
      <c r="I2451" s="7" t="str">
        <f>HYPERLINK("http://www.informatics.jax.org/marker/MGI:1921417","MGI:1921417")</f>
        <v>MGI:1921417</v>
      </c>
      <c r="J2451" s="4" t="s">
        <v>12</v>
      </c>
    </row>
    <row r="2452" spans="1:10" x14ac:dyDescent="0.25">
      <c r="A2452" s="2">
        <v>6189.5143444447804</v>
      </c>
      <c r="B2452" s="3">
        <v>0.49646416673389099</v>
      </c>
      <c r="C2452" s="5">
        <v>5.7963922534710501E-7</v>
      </c>
      <c r="D2452" s="6">
        <v>2.45975586912953E-6</v>
      </c>
      <c r="E2452" s="3" t="s">
        <v>9309</v>
      </c>
      <c r="F2452" s="3" t="s">
        <v>9310</v>
      </c>
      <c r="G2452" s="3">
        <v>21346</v>
      </c>
      <c r="H2452" s="7" t="str">
        <f>HYPERLINK("http://www.ensembl.org/Mus_musculus/Gene/Summary?db=core;g=ENSMUSG00000026547","ENSMUSG00000026547")</f>
        <v>ENSMUSG00000026547</v>
      </c>
      <c r="I2452" s="7" t="str">
        <f>HYPERLINK("http://www.informatics.jax.org/marker/MGI:1312985","MGI:1312985")</f>
        <v>MGI:1312985</v>
      </c>
      <c r="J2452" s="4" t="s">
        <v>12</v>
      </c>
    </row>
    <row r="2453" spans="1:10" x14ac:dyDescent="0.25">
      <c r="A2453" s="2">
        <v>2554.0329780612701</v>
      </c>
      <c r="B2453" s="3">
        <v>0.49642215721735899</v>
      </c>
      <c r="C2453" s="5">
        <v>1.41835126659681E-11</v>
      </c>
      <c r="D2453" s="6">
        <v>8.7759644016332103E-11</v>
      </c>
      <c r="E2453" s="3" t="s">
        <v>6393</v>
      </c>
      <c r="F2453" s="3" t="s">
        <v>6394</v>
      </c>
      <c r="G2453" s="3">
        <v>19166</v>
      </c>
      <c r="H2453" s="7" t="str">
        <f>HYPERLINK("http://www.ensembl.org/Mus_musculus/Gene/Summary?db=core;g=ENSMUSG00000015671","ENSMUSG00000015671")</f>
        <v>ENSMUSG00000015671</v>
      </c>
      <c r="I2453" s="7" t="str">
        <f>HYPERLINK("http://www.informatics.jax.org/marker/MGI:104885","MGI:104885")</f>
        <v>MGI:104885</v>
      </c>
      <c r="J2453" s="4" t="s">
        <v>12</v>
      </c>
    </row>
    <row r="2454" spans="1:10" x14ac:dyDescent="0.25">
      <c r="A2454" s="2">
        <v>73.447902029012198</v>
      </c>
      <c r="B2454" s="3">
        <v>0.49634937329524498</v>
      </c>
      <c r="C2454" s="3">
        <v>9.9795674430820896E-4</v>
      </c>
      <c r="D2454" s="4">
        <v>2.9412205944937802E-3</v>
      </c>
      <c r="E2454" s="3" t="s">
        <v>13391</v>
      </c>
      <c r="F2454" s="3" t="s">
        <v>13392</v>
      </c>
      <c r="G2454" s="3" t="s">
        <v>83</v>
      </c>
      <c r="H2454" s="7" t="str">
        <f>HYPERLINK("http://www.ensembl.org/Mus_musculus/Gene/Summary?db=core;g=ENSMUSG00000095134","ENSMUSG00000095134")</f>
        <v>ENSMUSG00000095134</v>
      </c>
      <c r="I2454" s="7" t="str">
        <f>HYPERLINK("http://www.informatics.jax.org/marker/MGI:5780070","MGI:5780070")</f>
        <v>MGI:5780070</v>
      </c>
      <c r="J2454" s="4" t="s">
        <v>2683</v>
      </c>
    </row>
    <row r="2455" spans="1:10" x14ac:dyDescent="0.25">
      <c r="A2455" s="2">
        <v>3127.4829509903702</v>
      </c>
      <c r="B2455" s="3">
        <v>0.49633540191159198</v>
      </c>
      <c r="C2455" s="5">
        <v>5.1442514824516101E-14</v>
      </c>
      <c r="D2455" s="6">
        <v>3.7254733468213598E-13</v>
      </c>
      <c r="E2455" s="3" t="s">
        <v>5463</v>
      </c>
      <c r="F2455" s="3" t="s">
        <v>5464</v>
      </c>
      <c r="G2455" s="3">
        <v>212999</v>
      </c>
      <c r="H2455" s="7" t="str">
        <f>HYPERLINK("http://www.ensembl.org/Mus_musculus/Gene/Summary?db=core;g=ENSMUSG00000031691","ENSMUSG00000031691")</f>
        <v>ENSMUSG00000031691</v>
      </c>
      <c r="I2455" s="7" t="str">
        <f>HYPERLINK("http://www.informatics.jax.org/marker/MGI:2384849","MGI:2384849")</f>
        <v>MGI:2384849</v>
      </c>
      <c r="J2455" s="4" t="s">
        <v>12</v>
      </c>
    </row>
    <row r="2456" spans="1:10" x14ac:dyDescent="0.25">
      <c r="A2456" s="2">
        <v>966.62293620980699</v>
      </c>
      <c r="B2456" s="3">
        <v>0.49616690938942698</v>
      </c>
      <c r="C2456" s="5">
        <v>1.4246403758887001E-6</v>
      </c>
      <c r="D2456" s="6">
        <v>5.7961436378223996E-6</v>
      </c>
      <c r="E2456" s="3" t="s">
        <v>9709</v>
      </c>
      <c r="F2456" s="3" t="s">
        <v>9710</v>
      </c>
      <c r="G2456" s="3">
        <v>75316</v>
      </c>
      <c r="H2456" s="7" t="str">
        <f>HYPERLINK("http://www.ensembl.org/Mus_musculus/Gene/Summary?db=core;g=ENSMUSG00000031939","ENSMUSG00000031939")</f>
        <v>ENSMUSG00000031939</v>
      </c>
      <c r="I2456" s="7" t="str">
        <f>HYPERLINK("http://www.informatics.jax.org/marker/MGI:1922566","MGI:1922566")</f>
        <v>MGI:1922566</v>
      </c>
      <c r="J2456" s="4" t="s">
        <v>12</v>
      </c>
    </row>
    <row r="2457" spans="1:10" x14ac:dyDescent="0.25">
      <c r="A2457" s="2">
        <v>679.286384075765</v>
      </c>
      <c r="B2457" s="3">
        <v>0.49606446656882502</v>
      </c>
      <c r="C2457" s="5">
        <v>7.7767590876009603E-16</v>
      </c>
      <c r="D2457" s="6">
        <v>6.2214072700807698E-15</v>
      </c>
      <c r="E2457" s="3" t="s">
        <v>4947</v>
      </c>
      <c r="F2457" s="3" t="s">
        <v>4948</v>
      </c>
      <c r="G2457" s="3">
        <v>26374</v>
      </c>
      <c r="H2457" s="7" t="str">
        <f>HYPERLINK("http://www.ensembl.org/Mus_musculus/Gene/Summary?db=core;g=ENSMUSG00000040782","ENSMUSG00000040782")</f>
        <v>ENSMUSG00000040782</v>
      </c>
      <c r="I2457" s="7" t="str">
        <f>HYPERLINK("http://www.informatics.jax.org/marker/MGI:1347046","MGI:1347046")</f>
        <v>MGI:1347046</v>
      </c>
      <c r="J2457" s="4" t="s">
        <v>12</v>
      </c>
    </row>
    <row r="2458" spans="1:10" x14ac:dyDescent="0.25">
      <c r="A2458" s="2">
        <v>89.752201358081294</v>
      </c>
      <c r="B2458" s="3">
        <v>0.49543634044434598</v>
      </c>
      <c r="C2458" s="3">
        <v>9.3587439001006402E-4</v>
      </c>
      <c r="D2458" s="4">
        <v>2.7694242153359001E-3</v>
      </c>
      <c r="E2458" s="3" t="s">
        <v>13336</v>
      </c>
      <c r="F2458" s="3" t="s">
        <v>13337</v>
      </c>
      <c r="G2458" s="3" t="s">
        <v>83</v>
      </c>
      <c r="H2458" s="7" t="str">
        <f>HYPERLINK("http://www.ensembl.org/Mus_musculus/Gene/Summary?db=core;g=ENSMUSG00000040078","ENSMUSG00000040078")</f>
        <v>ENSMUSG00000040078</v>
      </c>
      <c r="I2458" s="7" t="str">
        <f>HYPERLINK("http://www.informatics.jax.org/marker/MGI:3704271","MGI:3704271")</f>
        <v>MGI:3704271</v>
      </c>
      <c r="J2458" s="4" t="s">
        <v>1043</v>
      </c>
    </row>
    <row r="2459" spans="1:10" x14ac:dyDescent="0.25">
      <c r="A2459" s="2">
        <v>2961.6364847170398</v>
      </c>
      <c r="B2459" s="3">
        <v>0.49501077574261299</v>
      </c>
      <c r="C2459" s="5">
        <v>4.9916236811630298E-33</v>
      </c>
      <c r="D2459" s="6">
        <v>8.0354954279620496E-32</v>
      </c>
      <c r="E2459" s="3" t="s">
        <v>2467</v>
      </c>
      <c r="F2459" s="3" t="s">
        <v>2468</v>
      </c>
      <c r="G2459" s="3">
        <v>64340</v>
      </c>
      <c r="H2459" s="7" t="str">
        <f>HYPERLINK("http://www.ensembl.org/Mus_musculus/Gene/Summary?db=core;g=ENSMUSG00000037993","ENSMUSG00000037993")</f>
        <v>ENSMUSG00000037993</v>
      </c>
      <c r="I2459" s="7" t="str">
        <f>HYPERLINK("http://www.informatics.jax.org/marker/MGI:1927617","MGI:1927617")</f>
        <v>MGI:1927617</v>
      </c>
      <c r="J2459" s="4" t="s">
        <v>12</v>
      </c>
    </row>
    <row r="2460" spans="1:10" x14ac:dyDescent="0.25">
      <c r="A2460" s="2">
        <v>3344.8776807116701</v>
      </c>
      <c r="B2460" s="3">
        <v>0.49469966839963098</v>
      </c>
      <c r="C2460" s="5">
        <v>1.4827946013374E-24</v>
      </c>
      <c r="D2460" s="6">
        <v>1.78297009380326E-23</v>
      </c>
      <c r="E2460" s="3" t="s">
        <v>3300</v>
      </c>
      <c r="F2460" s="3" t="s">
        <v>3301</v>
      </c>
      <c r="G2460" s="3">
        <v>233489</v>
      </c>
      <c r="H2460" s="7" t="str">
        <f>HYPERLINK("http://www.ensembl.org/Mus_musculus/Gene/Summary?db=core;g=ENSMUSG00000039361","ENSMUSG00000039361")</f>
        <v>ENSMUSG00000039361</v>
      </c>
      <c r="I2460" s="7" t="str">
        <f>HYPERLINK("http://www.informatics.jax.org/marker/MGI:2385902","MGI:2385902")</f>
        <v>MGI:2385902</v>
      </c>
      <c r="J2460" s="4" t="s">
        <v>12</v>
      </c>
    </row>
    <row r="2461" spans="1:10" x14ac:dyDescent="0.25">
      <c r="A2461" s="2">
        <v>322.27969945276402</v>
      </c>
      <c r="B2461" s="3">
        <v>0.49461294951141699</v>
      </c>
      <c r="C2461" s="5">
        <v>1.14977113332568E-9</v>
      </c>
      <c r="D2461" s="6">
        <v>6.1395848224160502E-9</v>
      </c>
      <c r="E2461" s="3" t="s">
        <v>7404</v>
      </c>
      <c r="F2461" s="3" t="s">
        <v>7405</v>
      </c>
      <c r="G2461" s="3">
        <v>235040</v>
      </c>
      <c r="H2461" s="7" t="str">
        <f>HYPERLINK("http://www.ensembl.org/Mus_musculus/Gene/Summary?db=core;g=ENSMUSG00000002820","ENSMUSG00000002820")</f>
        <v>ENSMUSG00000002820</v>
      </c>
      <c r="I2461" s="7" t="str">
        <f>HYPERLINK("http://www.informatics.jax.org/marker/MGI:2444308","MGI:2444308")</f>
        <v>MGI:2444308</v>
      </c>
      <c r="J2461" s="4" t="s">
        <v>12</v>
      </c>
    </row>
    <row r="2462" spans="1:10" x14ac:dyDescent="0.25">
      <c r="A2462" s="2">
        <v>1082.3931042541899</v>
      </c>
      <c r="B2462" s="3">
        <v>0.49457768009483399</v>
      </c>
      <c r="C2462" s="5">
        <v>3.5157812110516997E-14</v>
      </c>
      <c r="D2462" s="6">
        <v>2.57354140615959E-13</v>
      </c>
      <c r="E2462" s="3" t="s">
        <v>5405</v>
      </c>
      <c r="F2462" s="3" t="s">
        <v>5406</v>
      </c>
      <c r="G2462" s="3">
        <v>13732</v>
      </c>
      <c r="H2462" s="7" t="str">
        <f>HYPERLINK("http://www.ensembl.org/Mus_musculus/Gene/Summary?db=core;g=ENSMUSG00000040212","ENSMUSG00000040212")</f>
        <v>ENSMUSG00000040212</v>
      </c>
      <c r="I2462" s="7" t="str">
        <f>HYPERLINK("http://www.informatics.jax.org/marker/MGI:1098729","MGI:1098729")</f>
        <v>MGI:1098729</v>
      </c>
      <c r="J2462" s="4" t="s">
        <v>12</v>
      </c>
    </row>
    <row r="2463" spans="1:10" x14ac:dyDescent="0.25">
      <c r="A2463" s="2">
        <v>6800.8276001404802</v>
      </c>
      <c r="B2463" s="3">
        <v>0.49400476852703301</v>
      </c>
      <c r="C2463" s="5">
        <v>8.2919761794122006E-6</v>
      </c>
      <c r="D2463" s="6">
        <v>3.1355277134805102E-5</v>
      </c>
      <c r="E2463" s="3" t="s">
        <v>10444</v>
      </c>
      <c r="F2463" s="3" t="s">
        <v>10445</v>
      </c>
      <c r="G2463" s="3">
        <v>11987</v>
      </c>
      <c r="H2463" s="7" t="str">
        <f>HYPERLINK("http://www.ensembl.org/Mus_musculus/Gene/Summary?db=core;g=ENSMUSG00000041313","ENSMUSG00000041313")</f>
        <v>ENSMUSG00000041313</v>
      </c>
      <c r="I2463" s="7" t="str">
        <f>HYPERLINK("http://www.informatics.jax.org/marker/MGI:88117","MGI:88117")</f>
        <v>MGI:88117</v>
      </c>
      <c r="J2463" s="4" t="s">
        <v>12</v>
      </c>
    </row>
    <row r="2464" spans="1:10" x14ac:dyDescent="0.25">
      <c r="A2464" s="2">
        <v>76.988458699485903</v>
      </c>
      <c r="B2464" s="3">
        <v>0.49390729787248799</v>
      </c>
      <c r="C2464" s="3">
        <v>3.0150011644108698E-4</v>
      </c>
      <c r="D2464" s="4">
        <v>9.5542058431917704E-4</v>
      </c>
      <c r="E2464" s="3" t="s">
        <v>12459</v>
      </c>
      <c r="F2464" s="3" t="s">
        <v>12460</v>
      </c>
      <c r="G2464" s="3">
        <v>380855</v>
      </c>
      <c r="H2464" s="7" t="str">
        <f>HYPERLINK("http://www.ensembl.org/Mus_musculus/Gene/Summary?db=core;g=ENSMUSG00000058900","ENSMUSG00000058900")</f>
        <v>ENSMUSG00000058900</v>
      </c>
      <c r="I2464" s="7" t="str">
        <f>HYPERLINK("http://www.informatics.jax.org/marker/MGI:3044162","MGI:3044162")</f>
        <v>MGI:3044162</v>
      </c>
      <c r="J2464" s="4" t="s">
        <v>12</v>
      </c>
    </row>
    <row r="2465" spans="1:10" x14ac:dyDescent="0.25">
      <c r="A2465" s="2">
        <v>550.53520787334901</v>
      </c>
      <c r="B2465" s="3">
        <v>0.493675546890809</v>
      </c>
      <c r="C2465" s="5">
        <v>1.0519299880677201E-6</v>
      </c>
      <c r="D2465" s="6">
        <v>4.33925306802578E-6</v>
      </c>
      <c r="E2465" s="3" t="s">
        <v>9577</v>
      </c>
      <c r="F2465" s="3" t="s">
        <v>9578</v>
      </c>
      <c r="G2465" s="3">
        <v>100978</v>
      </c>
      <c r="H2465" s="7" t="str">
        <f>HYPERLINK("http://www.ensembl.org/Mus_musculus/Gene/Summary?db=core;g=ENSMUSG00000072889","ENSMUSG00000072889")</f>
        <v>ENSMUSG00000072889</v>
      </c>
      <c r="I2465" s="7" t="str">
        <f>HYPERLINK("http://www.informatics.jax.org/marker/MGI:1923646","MGI:1923646")</f>
        <v>MGI:1923646</v>
      </c>
      <c r="J2465" s="4" t="s">
        <v>12</v>
      </c>
    </row>
    <row r="2466" spans="1:10" x14ac:dyDescent="0.25">
      <c r="A2466" s="2">
        <v>37.8950964892515</v>
      </c>
      <c r="B2466" s="3">
        <v>0.49342243831883298</v>
      </c>
      <c r="C2466" s="3">
        <v>1.09420336812973E-2</v>
      </c>
      <c r="D2466" s="4">
        <v>2.6992357292367101E-2</v>
      </c>
      <c r="E2466" s="3" t="s">
        <v>15993</v>
      </c>
      <c r="F2466" s="3" t="s">
        <v>15994</v>
      </c>
      <c r="G2466" s="3" t="s">
        <v>83</v>
      </c>
      <c r="H2466" s="7" t="str">
        <f>HYPERLINK("http://www.ensembl.org/Mus_musculus/Gene/Summary?db=core;g=ENSMUSG00000078838","ENSMUSG00000078838")</f>
        <v>ENSMUSG00000078838</v>
      </c>
      <c r="I2466" s="7" t="str">
        <f>HYPERLINK("http://www.informatics.jax.org/marker/MGI:4937016","MGI:4937016")</f>
        <v>MGI:4937016</v>
      </c>
      <c r="J2466" s="4" t="s">
        <v>939</v>
      </c>
    </row>
    <row r="2467" spans="1:10" x14ac:dyDescent="0.25">
      <c r="A2467" s="2">
        <v>2803.8939542425101</v>
      </c>
      <c r="B2467" s="3">
        <v>0.49317203863943199</v>
      </c>
      <c r="C2467" s="5">
        <v>4.7888699503806401E-14</v>
      </c>
      <c r="D2467" s="6">
        <v>3.47661706737353E-13</v>
      </c>
      <c r="E2467" s="3" t="s">
        <v>5449</v>
      </c>
      <c r="F2467" s="3" t="s">
        <v>5450</v>
      </c>
      <c r="G2467" s="3">
        <v>12402</v>
      </c>
      <c r="H2467" s="7" t="str">
        <f>HYPERLINK("http://www.ensembl.org/Mus_musculus/Gene/Summary?db=core;g=ENSMUSG00000034342","ENSMUSG00000034342")</f>
        <v>ENSMUSG00000034342</v>
      </c>
      <c r="I2467" s="7" t="str">
        <f>HYPERLINK("http://www.informatics.jax.org/marker/MGI:88279","MGI:88279")</f>
        <v>MGI:88279</v>
      </c>
      <c r="J2467" s="4" t="s">
        <v>12</v>
      </c>
    </row>
    <row r="2468" spans="1:10" x14ac:dyDescent="0.25">
      <c r="A2468" s="2">
        <v>269.80192787766902</v>
      </c>
      <c r="B2468" s="3">
        <v>0.493064721464611</v>
      </c>
      <c r="C2468" s="5">
        <v>3.0126873784500698E-8</v>
      </c>
      <c r="D2468" s="6">
        <v>1.42984825759411E-7</v>
      </c>
      <c r="E2468" s="3" t="s">
        <v>8327</v>
      </c>
      <c r="F2468" s="3" t="s">
        <v>8328</v>
      </c>
      <c r="G2468" s="3">
        <v>229780</v>
      </c>
      <c r="H2468" s="7" t="str">
        <f>HYPERLINK("http://www.ensembl.org/Mus_musculus/Gene/Summary?db=core;g=ENSMUSG00000033439","ENSMUSG00000033439")</f>
        <v>ENSMUSG00000033439</v>
      </c>
      <c r="I2468" s="7" t="str">
        <f>HYPERLINK("http://www.informatics.jax.org/marker/MGI:1925219","MGI:1925219")</f>
        <v>MGI:1925219</v>
      </c>
      <c r="J2468" s="4" t="s">
        <v>12</v>
      </c>
    </row>
    <row r="2469" spans="1:10" x14ac:dyDescent="0.25">
      <c r="A2469" s="2">
        <v>58.399679992659202</v>
      </c>
      <c r="B2469" s="3">
        <v>0.49305952345986298</v>
      </c>
      <c r="C2469" s="3">
        <v>2.6004218660113198E-3</v>
      </c>
      <c r="D2469" s="4">
        <v>7.2083664882967797E-3</v>
      </c>
      <c r="E2469" s="3" t="s">
        <v>14235</v>
      </c>
      <c r="F2469" s="3" t="s">
        <v>14236</v>
      </c>
      <c r="G2469" s="3" t="s">
        <v>83</v>
      </c>
      <c r="H2469" s="7" t="str">
        <f>HYPERLINK("http://www.ensembl.org/Mus_musculus/Gene/Summary?db=core;g=ENSMUSG00000093594","ENSMUSG00000093594")</f>
        <v>ENSMUSG00000093594</v>
      </c>
      <c r="I2469" s="7" t="str">
        <f>HYPERLINK("http://www.informatics.jax.org/marker/MGI:5313154","MGI:5313154")</f>
        <v>MGI:5313154</v>
      </c>
      <c r="J2469" s="4" t="s">
        <v>939</v>
      </c>
    </row>
    <row r="2470" spans="1:10" x14ac:dyDescent="0.25">
      <c r="A2470" s="2">
        <v>530.21956280604002</v>
      </c>
      <c r="B2470" s="3">
        <v>0.492852793242187</v>
      </c>
      <c r="C2470" s="5">
        <v>2.7877222338753501E-12</v>
      </c>
      <c r="D2470" s="6">
        <v>1.82334601830919E-11</v>
      </c>
      <c r="E2470" s="3" t="s">
        <v>6047</v>
      </c>
      <c r="F2470" s="3" t="s">
        <v>6048</v>
      </c>
      <c r="G2470" s="3">
        <v>13144</v>
      </c>
      <c r="H2470" s="7" t="str">
        <f>HYPERLINK("http://www.ensembl.org/Mus_musculus/Gene/Summary?db=core;g=ENSMUSG00000034974","ENSMUSG00000034974")</f>
        <v>ENSMUSG00000034974</v>
      </c>
      <c r="I2470" s="7" t="str">
        <f>HYPERLINK("http://www.informatics.jax.org/marker/MGI:1203520","MGI:1203520")</f>
        <v>MGI:1203520</v>
      </c>
      <c r="J2470" s="4" t="s">
        <v>12</v>
      </c>
    </row>
    <row r="2471" spans="1:10" x14ac:dyDescent="0.25">
      <c r="A2471" s="2">
        <v>1068.0853875299899</v>
      </c>
      <c r="B2471" s="3">
        <v>0.492756638859223</v>
      </c>
      <c r="C2471" s="5">
        <v>3.3995038810435001E-7</v>
      </c>
      <c r="D2471" s="6">
        <v>1.4749882625781699E-6</v>
      </c>
      <c r="E2471" s="3" t="s">
        <v>9105</v>
      </c>
      <c r="F2471" s="3" t="s">
        <v>9106</v>
      </c>
      <c r="G2471" s="3">
        <v>73389</v>
      </c>
      <c r="H2471" s="7" t="str">
        <f>HYPERLINK("http://www.ensembl.org/Mus_musculus/Gene/Summary?db=core;g=ENSMUSG00000002996","ENSMUSG00000002996")</f>
        <v>ENSMUSG00000002996</v>
      </c>
      <c r="I2471" s="7" t="str">
        <f>HYPERLINK("http://www.informatics.jax.org/marker/MGI:894659","MGI:894659")</f>
        <v>MGI:894659</v>
      </c>
      <c r="J2471" s="4" t="s">
        <v>12</v>
      </c>
    </row>
    <row r="2472" spans="1:10" x14ac:dyDescent="0.25">
      <c r="A2472" s="2">
        <v>2375.04961886825</v>
      </c>
      <c r="B2472" s="3">
        <v>0.49257363595016801</v>
      </c>
      <c r="C2472" s="5">
        <v>3.3984695487339301E-12</v>
      </c>
      <c r="D2472" s="6">
        <v>2.2110794952501898E-11</v>
      </c>
      <c r="E2472" s="3" t="s">
        <v>6079</v>
      </c>
      <c r="F2472" s="3" t="s">
        <v>6080</v>
      </c>
      <c r="G2472" s="3">
        <v>78830</v>
      </c>
      <c r="H2472" s="7" t="str">
        <f>HYPERLINK("http://www.ensembl.org/Mus_musculus/Gene/Summary?db=core;g=ENSMUSG00000027010","ENSMUSG00000027010")</f>
        <v>ENSMUSG00000027010</v>
      </c>
      <c r="I2472" s="7" t="str">
        <f>HYPERLINK("http://www.informatics.jax.org/marker/MGI:1926080","MGI:1926080")</f>
        <v>MGI:1926080</v>
      </c>
      <c r="J2472" s="4" t="s">
        <v>12</v>
      </c>
    </row>
    <row r="2473" spans="1:10" x14ac:dyDescent="0.25">
      <c r="A2473" s="2">
        <v>3071.4331439484999</v>
      </c>
      <c r="B2473" s="3">
        <v>0.49237970095040601</v>
      </c>
      <c r="C2473" s="5">
        <v>8.7871367090503606E-15</v>
      </c>
      <c r="D2473" s="6">
        <v>6.6801969581062001E-14</v>
      </c>
      <c r="E2473" s="3" t="s">
        <v>5205</v>
      </c>
      <c r="F2473" s="3" t="s">
        <v>5206</v>
      </c>
      <c r="G2473" s="3">
        <v>14127</v>
      </c>
      <c r="H2473" s="7" t="str">
        <f>HYPERLINK("http://www.ensembl.org/Mus_musculus/Gene/Summary?db=core;g=ENSMUSG00000058715","ENSMUSG00000058715")</f>
        <v>ENSMUSG00000058715</v>
      </c>
      <c r="I2473" s="7" t="str">
        <f>HYPERLINK("http://www.informatics.jax.org/marker/MGI:95496","MGI:95496")</f>
        <v>MGI:95496</v>
      </c>
      <c r="J2473" s="4" t="s">
        <v>12</v>
      </c>
    </row>
    <row r="2474" spans="1:10" x14ac:dyDescent="0.25">
      <c r="A2474" s="2">
        <v>1231.7437854217101</v>
      </c>
      <c r="B2474" s="3">
        <v>0.492254372897586</v>
      </c>
      <c r="C2474" s="5">
        <v>2.9018443400085E-9</v>
      </c>
      <c r="D2474" s="6">
        <v>1.49919754741859E-8</v>
      </c>
      <c r="E2474" s="3" t="s">
        <v>7650</v>
      </c>
      <c r="F2474" s="3" t="s">
        <v>7651</v>
      </c>
      <c r="G2474" s="3">
        <v>56036</v>
      </c>
      <c r="H2474" s="7" t="str">
        <f>HYPERLINK("http://www.ensembl.org/Mus_musculus/Gene/Summary?db=core;g=ENSMUSG00000029068","ENSMUSG00000029068")</f>
        <v>ENSMUSG00000029068</v>
      </c>
      <c r="I2474" s="7" t="str">
        <f>HYPERLINK("http://www.informatics.jax.org/marker/MGI:1927119","MGI:1927119")</f>
        <v>MGI:1927119</v>
      </c>
      <c r="J2474" s="4" t="s">
        <v>12</v>
      </c>
    </row>
    <row r="2475" spans="1:10" x14ac:dyDescent="0.25">
      <c r="A2475" s="2">
        <v>2071.7450958202098</v>
      </c>
      <c r="B2475" s="3">
        <v>0.49222807864316998</v>
      </c>
      <c r="C2475" s="5">
        <v>1.5706756880367101E-24</v>
      </c>
      <c r="D2475" s="6">
        <v>1.88404650657445E-23</v>
      </c>
      <c r="E2475" s="3" t="s">
        <v>3308</v>
      </c>
      <c r="F2475" s="3" t="s">
        <v>3309</v>
      </c>
      <c r="G2475" s="3">
        <v>59287</v>
      </c>
      <c r="H2475" s="7" t="str">
        <f>HYPERLINK("http://www.ensembl.org/Mus_musculus/Gene/Summary?db=core;g=ENSMUSG00000003458","ENSMUSG00000003458")</f>
        <v>ENSMUSG00000003458</v>
      </c>
      <c r="I2475" s="7" t="str">
        <f>HYPERLINK("http://www.informatics.jax.org/marker/MGI:1891700","MGI:1891700")</f>
        <v>MGI:1891700</v>
      </c>
      <c r="J2475" s="4" t="s">
        <v>12</v>
      </c>
    </row>
    <row r="2476" spans="1:10" x14ac:dyDescent="0.25">
      <c r="A2476" s="2">
        <v>187.48972443362999</v>
      </c>
      <c r="B2476" s="3">
        <v>0.49207267839304702</v>
      </c>
      <c r="C2476" s="5">
        <v>3.6047414016794402E-5</v>
      </c>
      <c r="D2476" s="4">
        <v>1.2750762410963001E-4</v>
      </c>
      <c r="E2476" s="3" t="s">
        <v>11161</v>
      </c>
      <c r="F2476" s="3" t="s">
        <v>11162</v>
      </c>
      <c r="G2476" s="3">
        <v>227522</v>
      </c>
      <c r="H2476" s="7" t="str">
        <f>HYPERLINK("http://www.ensembl.org/Mus_musculus/Gene/Summary?db=core;g=ENSMUSG00000049950","ENSMUSG00000049950")</f>
        <v>ENSMUSG00000049950</v>
      </c>
      <c r="I2476" s="7" t="str">
        <f>HYPERLINK("http://www.informatics.jax.org/marker/MGI:2443607","MGI:2443607")</f>
        <v>MGI:2443607</v>
      </c>
      <c r="J2476" s="4" t="s">
        <v>12</v>
      </c>
    </row>
    <row r="2477" spans="1:10" x14ac:dyDescent="0.25">
      <c r="A2477" s="2">
        <v>80.296439982637807</v>
      </c>
      <c r="B2477" s="3">
        <v>0.49187427484264801</v>
      </c>
      <c r="C2477" s="3">
        <v>3.3084534398353498E-4</v>
      </c>
      <c r="D2477" s="4">
        <v>1.0423821989703299E-3</v>
      </c>
      <c r="E2477" s="3" t="s">
        <v>12531</v>
      </c>
      <c r="F2477" s="3" t="s">
        <v>12532</v>
      </c>
      <c r="G2477" s="3" t="s">
        <v>83</v>
      </c>
      <c r="H2477" s="7" t="str">
        <f>HYPERLINK("http://www.ensembl.org/Mus_musculus/Gene/Summary?db=core;g=ENSMUSG00000098702","ENSMUSG00000098702")</f>
        <v>ENSMUSG00000098702</v>
      </c>
      <c r="I2477" s="7" t="str">
        <f>HYPERLINK("http://www.informatics.jax.org/marker/MGI:1916232","MGI:1916232")</f>
        <v>MGI:1916232</v>
      </c>
      <c r="J2477" s="4" t="s">
        <v>932</v>
      </c>
    </row>
    <row r="2478" spans="1:10" x14ac:dyDescent="0.25">
      <c r="A2478" s="2">
        <v>181.47965044876801</v>
      </c>
      <c r="B2478" s="3">
        <v>0.491784439577238</v>
      </c>
      <c r="C2478" s="3">
        <v>8.1144680645123799E-4</v>
      </c>
      <c r="D2478" s="4">
        <v>2.4252396215850899E-3</v>
      </c>
      <c r="E2478" s="3" t="s">
        <v>13205</v>
      </c>
      <c r="F2478" s="3" t="s">
        <v>13206</v>
      </c>
      <c r="G2478" s="3">
        <v>12040</v>
      </c>
      <c r="H2478" s="7" t="str">
        <f>HYPERLINK("http://www.ensembl.org/Mus_musculus/Gene/Summary?db=core;g=ENSMUSG00000032263","ENSMUSG00000032263")</f>
        <v>ENSMUSG00000032263</v>
      </c>
      <c r="I2478" s="7" t="str">
        <f>HYPERLINK("http://www.informatics.jax.org/marker/MGI:88137","MGI:88137")</f>
        <v>MGI:88137</v>
      </c>
      <c r="J2478" s="4" t="s">
        <v>12</v>
      </c>
    </row>
    <row r="2479" spans="1:10" x14ac:dyDescent="0.25">
      <c r="A2479" s="2">
        <v>66.168606430480096</v>
      </c>
      <c r="B2479" s="3">
        <v>0.49126727929522601</v>
      </c>
      <c r="C2479" s="3">
        <v>3.5982521293264802E-3</v>
      </c>
      <c r="D2479" s="4">
        <v>9.7522721262119708E-3</v>
      </c>
      <c r="E2479" s="3" t="s">
        <v>14555</v>
      </c>
      <c r="F2479" s="3" t="s">
        <v>14556</v>
      </c>
      <c r="G2479" s="3">
        <v>170752</v>
      </c>
      <c r="H2479" s="7" t="str">
        <f>HYPERLINK("http://www.ensembl.org/Mus_musculus/Gene/Summary?db=core;g=ENSMUSG00000032066","ENSMUSG00000032066")</f>
        <v>ENSMUSG00000032066</v>
      </c>
      <c r="I2479" s="7" t="str">
        <f>HYPERLINK("http://www.informatics.jax.org/marker/MGI:2177469","MGI:2177469")</f>
        <v>MGI:2177469</v>
      </c>
      <c r="J2479" s="4" t="s">
        <v>12</v>
      </c>
    </row>
    <row r="2480" spans="1:10" x14ac:dyDescent="0.25">
      <c r="A2480" s="2">
        <v>542.34690353724102</v>
      </c>
      <c r="B2480" s="3">
        <v>0.490898903267597</v>
      </c>
      <c r="C2480" s="3">
        <v>2.86965143010939E-4</v>
      </c>
      <c r="D2480" s="4">
        <v>9.1185185629644302E-4</v>
      </c>
      <c r="E2480" s="3" t="s">
        <v>12425</v>
      </c>
      <c r="F2480" s="3" t="s">
        <v>12426</v>
      </c>
      <c r="G2480" s="3">
        <v>15490</v>
      </c>
      <c r="H2480" s="7" t="str">
        <f>HYPERLINK("http://www.ensembl.org/Mus_musculus/Gene/Summary?db=core;g=ENSMUSG00000026675","ENSMUSG00000026675")</f>
        <v>ENSMUSG00000026675</v>
      </c>
      <c r="I2480" s="7" t="str">
        <f>HYPERLINK("http://www.informatics.jax.org/marker/MGI:1330808","MGI:1330808")</f>
        <v>MGI:1330808</v>
      </c>
      <c r="J2480" s="4" t="s">
        <v>12</v>
      </c>
    </row>
    <row r="2481" spans="1:10" x14ac:dyDescent="0.25">
      <c r="A2481" s="2">
        <v>78.584732937008994</v>
      </c>
      <c r="B2481" s="3">
        <v>0.49054635849519501</v>
      </c>
      <c r="C2481" s="3">
        <v>5.6010240531029697E-4</v>
      </c>
      <c r="D2481" s="4">
        <v>1.71403156932325E-3</v>
      </c>
      <c r="E2481" s="3" t="s">
        <v>12897</v>
      </c>
      <c r="F2481" s="3" t="s">
        <v>12898</v>
      </c>
      <c r="G2481" s="3" t="s">
        <v>83</v>
      </c>
      <c r="H2481" s="7" t="str">
        <f>HYPERLINK("http://www.ensembl.org/Mus_musculus/Gene/Summary?db=core;g=ENSMUSG00000083097","ENSMUSG00000083097")</f>
        <v>ENSMUSG00000083097</v>
      </c>
      <c r="I2481" s="7" t="str">
        <f>HYPERLINK("http://www.informatics.jax.org/marker/MGI:3704210","MGI:3704210")</f>
        <v>MGI:3704210</v>
      </c>
      <c r="J2481" s="4" t="s">
        <v>1043</v>
      </c>
    </row>
    <row r="2482" spans="1:10" x14ac:dyDescent="0.25">
      <c r="A2482" s="2">
        <v>4563.4490933306897</v>
      </c>
      <c r="B2482" s="3">
        <v>0.490402328275162</v>
      </c>
      <c r="C2482" s="5">
        <v>6.2123579136368197E-10</v>
      </c>
      <c r="D2482" s="6">
        <v>3.3823218679436201E-9</v>
      </c>
      <c r="E2482" s="3" t="s">
        <v>7262</v>
      </c>
      <c r="F2482" s="3" t="s">
        <v>7263</v>
      </c>
      <c r="G2482" s="3">
        <v>19179</v>
      </c>
      <c r="H2482" s="7" t="str">
        <f>HYPERLINK("http://www.ensembl.org/Mus_musculus/Gene/Summary?db=core;g=ENSMUSG00000021178","ENSMUSG00000021178")</f>
        <v>ENSMUSG00000021178</v>
      </c>
      <c r="I2482" s="7" t="str">
        <f>HYPERLINK("http://www.informatics.jax.org/marker/MGI:106054","MGI:106054")</f>
        <v>MGI:106054</v>
      </c>
      <c r="J2482" s="4" t="s">
        <v>12</v>
      </c>
    </row>
    <row r="2483" spans="1:10" x14ac:dyDescent="0.25">
      <c r="A2483" s="2">
        <v>1279.95344484253</v>
      </c>
      <c r="B2483" s="3">
        <v>0.49031986143798101</v>
      </c>
      <c r="C2483" s="5">
        <v>5.2585020828335197E-27</v>
      </c>
      <c r="D2483" s="6">
        <v>6.9224072812734999E-26</v>
      </c>
      <c r="E2483" s="3" t="s">
        <v>3014</v>
      </c>
      <c r="F2483" s="3" t="s">
        <v>3015</v>
      </c>
      <c r="G2483" s="3">
        <v>67920</v>
      </c>
      <c r="H2483" s="7" t="str">
        <f>HYPERLINK("http://www.ensembl.org/Mus_musculus/Gene/Summary?db=core;g=ENSMUSG00000031578","ENSMUSG00000031578")</f>
        <v>ENSMUSG00000031578</v>
      </c>
      <c r="I2483" s="7" t="str">
        <f>HYPERLINK("http://www.informatics.jax.org/marker/MGI:1915170","MGI:1915170")</f>
        <v>MGI:1915170</v>
      </c>
      <c r="J2483" s="4" t="s">
        <v>12</v>
      </c>
    </row>
    <row r="2484" spans="1:10" x14ac:dyDescent="0.25">
      <c r="A2484" s="2">
        <v>1207.30290112436</v>
      </c>
      <c r="B2484" s="3">
        <v>0.49022565451853201</v>
      </c>
      <c r="C2484" s="5">
        <v>1.0693550878838701E-13</v>
      </c>
      <c r="D2484" s="6">
        <v>7.61838234576223E-13</v>
      </c>
      <c r="E2484" s="3" t="s">
        <v>5553</v>
      </c>
      <c r="F2484" s="3" t="s">
        <v>5554</v>
      </c>
      <c r="G2484" s="3">
        <v>54394</v>
      </c>
      <c r="H2484" s="7" t="str">
        <f>HYPERLINK("http://www.ensembl.org/Mus_musculus/Gene/Summary?db=core;g=ENSMUSG00000017561","ENSMUSG00000017561")</f>
        <v>ENSMUSG00000017561</v>
      </c>
      <c r="I2484" s="7" t="str">
        <f>HYPERLINK("http://www.informatics.jax.org/marker/MGI:1860086","MGI:1860086")</f>
        <v>MGI:1860086</v>
      </c>
      <c r="J2484" s="4" t="s">
        <v>12</v>
      </c>
    </row>
    <row r="2485" spans="1:10" x14ac:dyDescent="0.25">
      <c r="A2485" s="2">
        <v>2706.2240267734701</v>
      </c>
      <c r="B2485" s="3">
        <v>0.48998378336072801</v>
      </c>
      <c r="C2485" s="5">
        <v>4.3951563049950901E-29</v>
      </c>
      <c r="D2485" s="6">
        <v>6.2760667874368704E-28</v>
      </c>
      <c r="E2485" s="3" t="s">
        <v>2780</v>
      </c>
      <c r="F2485" s="3" t="s">
        <v>2781</v>
      </c>
      <c r="G2485" s="3">
        <v>54189</v>
      </c>
      <c r="H2485" s="7" t="str">
        <f>HYPERLINK("http://www.ensembl.org/Mus_musculus/Gene/Summary?db=core;g=ENSMUSG00000020817","ENSMUSG00000020817")</f>
        <v>ENSMUSG00000020817</v>
      </c>
      <c r="I2485" s="7" t="str">
        <f>HYPERLINK("http://www.informatics.jax.org/marker/MGI:1860236","MGI:1860236")</f>
        <v>MGI:1860236</v>
      </c>
      <c r="J2485" s="4" t="s">
        <v>12</v>
      </c>
    </row>
    <row r="2486" spans="1:10" x14ac:dyDescent="0.25">
      <c r="A2486" s="2">
        <v>1180.54674821201</v>
      </c>
      <c r="B2486" s="3">
        <v>0.48997267721773302</v>
      </c>
      <c r="C2486" s="5">
        <v>3.0164467006967899E-7</v>
      </c>
      <c r="D2486" s="6">
        <v>1.3166075462094E-6</v>
      </c>
      <c r="E2486" s="3" t="s">
        <v>9051</v>
      </c>
      <c r="F2486" s="3" t="s">
        <v>9052</v>
      </c>
      <c r="G2486" s="3">
        <v>101240</v>
      </c>
      <c r="H2486" s="7" t="str">
        <f>HYPERLINK("http://www.ensembl.org/Mus_musculus/Gene/Summary?db=core;g=ENSMUSG00000058486","ENSMUSG00000058486")</f>
        <v>ENSMUSG00000058486</v>
      </c>
      <c r="I2486" s="7" t="str">
        <f>HYPERLINK("http://www.informatics.jax.org/marker/MGI:2141558","MGI:2141558")</f>
        <v>MGI:2141558</v>
      </c>
      <c r="J2486" s="4" t="s">
        <v>12</v>
      </c>
    </row>
    <row r="2487" spans="1:10" x14ac:dyDescent="0.25">
      <c r="A2487" s="2">
        <v>386.66593105224803</v>
      </c>
      <c r="B2487" s="3">
        <v>0.48965966070116601</v>
      </c>
      <c r="C2487" s="5">
        <v>5.3181749695880403E-8</v>
      </c>
      <c r="D2487" s="6">
        <v>2.46647249295099E-7</v>
      </c>
      <c r="E2487" s="3" t="s">
        <v>8521</v>
      </c>
      <c r="F2487" s="3" t="s">
        <v>8522</v>
      </c>
      <c r="G2487" s="3">
        <v>76959</v>
      </c>
      <c r="H2487" s="7" t="str">
        <f>HYPERLINK("http://www.ensembl.org/Mus_musculus/Gene/Summary?db=core;g=ENSMUSG00000028419","ENSMUSG00000028419")</f>
        <v>ENSMUSG00000028419</v>
      </c>
      <c r="I2487" s="7" t="str">
        <f>HYPERLINK("http://www.informatics.jax.org/marker/MGI:1924209","MGI:1924209")</f>
        <v>MGI:1924209</v>
      </c>
      <c r="J2487" s="4" t="s">
        <v>12</v>
      </c>
    </row>
    <row r="2488" spans="1:10" x14ac:dyDescent="0.25">
      <c r="A2488" s="2">
        <v>1368.0449034517901</v>
      </c>
      <c r="B2488" s="3">
        <v>0.48956057188472601</v>
      </c>
      <c r="C2488" s="5">
        <v>1.2629720052633299E-21</v>
      </c>
      <c r="D2488" s="6">
        <v>1.3429056447590099E-20</v>
      </c>
      <c r="E2488" s="3" t="s">
        <v>3728</v>
      </c>
      <c r="F2488" s="3" t="s">
        <v>3729</v>
      </c>
      <c r="G2488" s="3">
        <v>207352</v>
      </c>
      <c r="H2488" s="7" t="str">
        <f>HYPERLINK("http://www.ensembl.org/Mus_musculus/Gene/Summary?db=core;g=ENSMUSG00000055319","ENSMUSG00000055319")</f>
        <v>ENSMUSG00000055319</v>
      </c>
      <c r="I2488" s="7" t="str">
        <f>HYPERLINK("http://www.informatics.jax.org/marker/MGI:2450915","MGI:2450915")</f>
        <v>MGI:2450915</v>
      </c>
      <c r="J2488" s="4" t="s">
        <v>12</v>
      </c>
    </row>
    <row r="2489" spans="1:10" x14ac:dyDescent="0.25">
      <c r="A2489" s="2">
        <v>204.273821219078</v>
      </c>
      <c r="B2489" s="3">
        <v>0.48946752357718099</v>
      </c>
      <c r="C2489" s="5">
        <v>9.1485649244852198E-8</v>
      </c>
      <c r="D2489" s="6">
        <v>4.16266036711695E-7</v>
      </c>
      <c r="E2489" s="3" t="s">
        <v>8685</v>
      </c>
      <c r="F2489" s="3" t="s">
        <v>8686</v>
      </c>
      <c r="G2489" s="3">
        <v>76500</v>
      </c>
      <c r="H2489" s="7" t="str">
        <f>HYPERLINK("http://www.ensembl.org/Mus_musculus/Gene/Summary?db=core;g=ENSMUSG00000032599","ENSMUSG00000032599")</f>
        <v>ENSMUSG00000032599</v>
      </c>
      <c r="I2489" s="7" t="str">
        <f>HYPERLINK("http://www.informatics.jax.org/marker/MGI:1923750","MGI:1923750")</f>
        <v>MGI:1923750</v>
      </c>
      <c r="J2489" s="4" t="s">
        <v>12</v>
      </c>
    </row>
    <row r="2490" spans="1:10" x14ac:dyDescent="0.25">
      <c r="A2490" s="2">
        <v>258.65944681933701</v>
      </c>
      <c r="B2490" s="3">
        <v>0.48945488242983498</v>
      </c>
      <c r="C2490" s="5">
        <v>4.62963288041851E-6</v>
      </c>
      <c r="D2490" s="6">
        <v>1.7925851247173199E-5</v>
      </c>
      <c r="E2490" s="3" t="s">
        <v>10200</v>
      </c>
      <c r="F2490" s="3" t="s">
        <v>10201</v>
      </c>
      <c r="G2490" s="3">
        <v>170829</v>
      </c>
      <c r="H2490" s="7" t="str">
        <f>HYPERLINK("http://www.ensembl.org/Mus_musculus/Gene/Summary?db=core;g=ENSMUSG00000041779","ENSMUSG00000041779")</f>
        <v>ENSMUSG00000041779</v>
      </c>
      <c r="I2490" s="7" t="str">
        <f>HYPERLINK("http://www.informatics.jax.org/marker/MGI:1924817","MGI:1924817")</f>
        <v>MGI:1924817</v>
      </c>
      <c r="J2490" s="4" t="s">
        <v>12</v>
      </c>
    </row>
    <row r="2491" spans="1:10" x14ac:dyDescent="0.25">
      <c r="A2491" s="2">
        <v>249.31227934326401</v>
      </c>
      <c r="B2491" s="3">
        <v>0.48910615515859901</v>
      </c>
      <c r="C2491" s="5">
        <v>2.16095494986963E-8</v>
      </c>
      <c r="D2491" s="6">
        <v>1.039366624669E-7</v>
      </c>
      <c r="E2491" s="3" t="s">
        <v>8217</v>
      </c>
      <c r="F2491" s="3" t="s">
        <v>8218</v>
      </c>
      <c r="G2491" s="3">
        <v>76355</v>
      </c>
      <c r="H2491" s="7" t="str">
        <f>HYPERLINK("http://www.ensembl.org/Mus_musculus/Gene/Summary?db=core;g=ENSMUSG00000022130","ENSMUSG00000022130")</f>
        <v>ENSMUSG00000022130</v>
      </c>
      <c r="I2491" s="7" t="str">
        <f>HYPERLINK("http://www.informatics.jax.org/marker/MGI:1923605","MGI:1923605")</f>
        <v>MGI:1923605</v>
      </c>
      <c r="J2491" s="4" t="s">
        <v>12</v>
      </c>
    </row>
    <row r="2492" spans="1:10" x14ac:dyDescent="0.25">
      <c r="A2492" s="2">
        <v>3840.9872876617201</v>
      </c>
      <c r="B2492" s="3">
        <v>0.48906429611757302</v>
      </c>
      <c r="C2492" s="5">
        <v>1.35136839873202E-25</v>
      </c>
      <c r="D2492" s="6">
        <v>1.6898531910586801E-24</v>
      </c>
      <c r="E2492" s="3" t="s">
        <v>3173</v>
      </c>
      <c r="F2492" s="3" t="s">
        <v>3174</v>
      </c>
      <c r="G2492" s="3">
        <v>51886</v>
      </c>
      <c r="H2492" s="7" t="str">
        <f>HYPERLINK("http://www.ensembl.org/Mus_musculus/Gene/Summary?db=core;g=ENSMUSG00000028034","ENSMUSG00000028034")</f>
        <v>ENSMUSG00000028034</v>
      </c>
      <c r="I2492" s="7" t="str">
        <f>HYPERLINK("http://www.informatics.jax.org/marker/MGI:1196294","MGI:1196294")</f>
        <v>MGI:1196294</v>
      </c>
      <c r="J2492" s="4" t="s">
        <v>12</v>
      </c>
    </row>
    <row r="2493" spans="1:10" x14ac:dyDescent="0.25">
      <c r="A2493" s="2">
        <v>590.85536824757401</v>
      </c>
      <c r="B2493" s="3">
        <v>0.48904326255720598</v>
      </c>
      <c r="C2493" s="5">
        <v>5.1603030210412902E-13</v>
      </c>
      <c r="D2493" s="6">
        <v>3.5199299749198999E-12</v>
      </c>
      <c r="E2493" s="3" t="s">
        <v>5799</v>
      </c>
      <c r="F2493" s="3" t="s">
        <v>5800</v>
      </c>
      <c r="G2493" s="3">
        <v>76763</v>
      </c>
      <c r="H2493" s="7" t="str">
        <f>HYPERLINK("http://www.ensembl.org/Mus_musculus/Gene/Summary?db=core;g=ENSMUSG00000061778","ENSMUSG00000061778")</f>
        <v>ENSMUSG00000061778</v>
      </c>
      <c r="I2493" s="7" t="str">
        <f>HYPERLINK("http://www.informatics.jax.org/marker/MGI:1924013","MGI:1924013")</f>
        <v>MGI:1924013</v>
      </c>
      <c r="J2493" s="4" t="s">
        <v>12</v>
      </c>
    </row>
    <row r="2494" spans="1:10" x14ac:dyDescent="0.25">
      <c r="A2494" s="2">
        <v>783.67635782978004</v>
      </c>
      <c r="B2494" s="3">
        <v>0.48842822666198699</v>
      </c>
      <c r="C2494" s="5">
        <v>3.5360557977331697E-11</v>
      </c>
      <c r="D2494" s="6">
        <v>2.1278919844766E-10</v>
      </c>
      <c r="E2494" s="3" t="s">
        <v>6571</v>
      </c>
      <c r="F2494" s="3" t="s">
        <v>6572</v>
      </c>
      <c r="G2494" s="3">
        <v>69259</v>
      </c>
      <c r="H2494" s="7" t="str">
        <f>HYPERLINK("http://www.ensembl.org/Mus_musculus/Gene/Summary?db=core;g=ENSMUSG00000016946","ENSMUSG00000016946")</f>
        <v>ENSMUSG00000016946</v>
      </c>
      <c r="I2494" s="7" t="str">
        <f>HYPERLINK("http://www.informatics.jax.org/marker/MGI:1916509","MGI:1916509")</f>
        <v>MGI:1916509</v>
      </c>
      <c r="J2494" s="4" t="s">
        <v>12</v>
      </c>
    </row>
    <row r="2495" spans="1:10" x14ac:dyDescent="0.25">
      <c r="A2495" s="2">
        <v>523.89162417198497</v>
      </c>
      <c r="B2495" s="3">
        <v>0.48830750585389998</v>
      </c>
      <c r="C2495" s="5">
        <v>4.4744858133276101E-7</v>
      </c>
      <c r="D2495" s="6">
        <v>1.91694243403912E-6</v>
      </c>
      <c r="E2495" s="3" t="s">
        <v>9221</v>
      </c>
      <c r="F2495" s="3" t="s">
        <v>9222</v>
      </c>
      <c r="G2495" s="3">
        <v>57896</v>
      </c>
      <c r="H2495" s="7" t="str">
        <f>HYPERLINK("http://www.ensembl.org/Mus_musculus/Gene/Summary?db=core;g=ENSMUSG00000053012","ENSMUSG00000053012")</f>
        <v>ENSMUSG00000053012</v>
      </c>
      <c r="I2495" s="7" t="str">
        <f>HYPERLINK("http://www.informatics.jax.org/marker/MGI:1889377","MGI:1889377")</f>
        <v>MGI:1889377</v>
      </c>
      <c r="J2495" s="4" t="s">
        <v>12</v>
      </c>
    </row>
    <row r="2496" spans="1:10" x14ac:dyDescent="0.25">
      <c r="A2496" s="2">
        <v>54.187376512659398</v>
      </c>
      <c r="B2496" s="3">
        <v>0.48740463577911403</v>
      </c>
      <c r="C2496" s="3">
        <v>1.75470985360986E-3</v>
      </c>
      <c r="D2496" s="4">
        <v>4.99897115186166E-3</v>
      </c>
      <c r="E2496" s="3" t="s">
        <v>13851</v>
      </c>
      <c r="F2496" s="3" t="s">
        <v>13852</v>
      </c>
      <c r="G2496" s="3">
        <v>171530</v>
      </c>
      <c r="H2496" s="7" t="str">
        <f>HYPERLINK("http://www.ensembl.org/Mus_musculus/Gene/Summary?db=core;g=ENSMUSG00000049699","ENSMUSG00000049699")</f>
        <v>ENSMUSG00000049699</v>
      </c>
      <c r="I2496" s="7" t="str">
        <f>HYPERLINK("http://www.informatics.jax.org/marker/MGI:2176375","MGI:2176375")</f>
        <v>MGI:2176375</v>
      </c>
      <c r="J2496" s="4" t="s">
        <v>12</v>
      </c>
    </row>
    <row r="2497" spans="1:10" x14ac:dyDescent="0.25">
      <c r="A2497" s="2">
        <v>1858.1163171748101</v>
      </c>
      <c r="B2497" s="3">
        <v>0.48721375855734</v>
      </c>
      <c r="C2497" s="5">
        <v>7.0954310893555505E-8</v>
      </c>
      <c r="D2497" s="6">
        <v>3.2524849159017101E-7</v>
      </c>
      <c r="E2497" s="3" t="s">
        <v>8621</v>
      </c>
      <c r="F2497" s="3" t="s">
        <v>8622</v>
      </c>
      <c r="G2497" s="3">
        <v>67803</v>
      </c>
      <c r="H2497" s="7" t="str">
        <f>HYPERLINK("http://www.ensembl.org/Mus_musculus/Gene/Summary?db=core;g=ENSMUSG00000040699","ENSMUSG00000040699")</f>
        <v>ENSMUSG00000040699</v>
      </c>
      <c r="I2497" s="7" t="str">
        <f>HYPERLINK("http://www.informatics.jax.org/marker/MGI:1915053","MGI:1915053")</f>
        <v>MGI:1915053</v>
      </c>
      <c r="J2497" s="4" t="s">
        <v>12</v>
      </c>
    </row>
    <row r="2498" spans="1:10" x14ac:dyDescent="0.25">
      <c r="A2498" s="2">
        <v>1921.1120493644401</v>
      </c>
      <c r="B2498" s="3">
        <v>0.48721273016998901</v>
      </c>
      <c r="C2498" s="5">
        <v>1.0703522455790401E-7</v>
      </c>
      <c r="D2498" s="6">
        <v>4.8422450752049997E-7</v>
      </c>
      <c r="E2498" s="3" t="s">
        <v>8735</v>
      </c>
      <c r="F2498" s="3" t="s">
        <v>8736</v>
      </c>
      <c r="G2498" s="3">
        <v>27056</v>
      </c>
      <c r="H2498" s="7" t="str">
        <f>HYPERLINK("http://www.ensembl.org/Mus_musculus/Gene/Summary?db=core;g=ENSMUSG00000029771","ENSMUSG00000029771")</f>
        <v>ENSMUSG00000029771</v>
      </c>
      <c r="I2498" s="7" t="str">
        <f>HYPERLINK("http://www.informatics.jax.org/marker/MGI:1350924","MGI:1350924")</f>
        <v>MGI:1350924</v>
      </c>
      <c r="J2498" s="4" t="s">
        <v>12</v>
      </c>
    </row>
    <row r="2499" spans="1:10" x14ac:dyDescent="0.25">
      <c r="A2499" s="2">
        <v>1451.4013930456499</v>
      </c>
      <c r="B2499" s="3">
        <v>0.487141352581695</v>
      </c>
      <c r="C2499" s="5">
        <v>1.2065454557496401E-21</v>
      </c>
      <c r="D2499" s="6">
        <v>1.2858011304671E-20</v>
      </c>
      <c r="E2499" s="3" t="s">
        <v>3720</v>
      </c>
      <c r="F2499" s="3" t="s">
        <v>3721</v>
      </c>
      <c r="G2499" s="3">
        <v>217039</v>
      </c>
      <c r="H2499" s="7" t="str">
        <f>HYPERLINK("http://www.ensembl.org/Mus_musculus/Gene/Summary?db=core;g=ENSMUSG00000020530","ENSMUSG00000020530")</f>
        <v>ENSMUSG00000020530</v>
      </c>
      <c r="I2499" s="7" t="str">
        <f>HYPERLINK("http://www.informatics.jax.org/marker/MGI:2387356","MGI:2387356")</f>
        <v>MGI:2387356</v>
      </c>
      <c r="J2499" s="4" t="s">
        <v>12</v>
      </c>
    </row>
    <row r="2500" spans="1:10" x14ac:dyDescent="0.25">
      <c r="A2500" s="2">
        <v>1558.26281313355</v>
      </c>
      <c r="B2500" s="3">
        <v>0.48693620235556001</v>
      </c>
      <c r="C2500" s="5">
        <v>1.8493090609792001E-10</v>
      </c>
      <c r="D2500" s="6">
        <v>1.053086187771E-9</v>
      </c>
      <c r="E2500" s="3" t="s">
        <v>6944</v>
      </c>
      <c r="F2500" s="3" t="s">
        <v>6945</v>
      </c>
      <c r="G2500" s="3" t="s">
        <v>83</v>
      </c>
      <c r="H2500" s="7" t="str">
        <f>HYPERLINK("http://www.ensembl.org/Mus_musculus/Gene/Summary?db=core;g=ENSMUSG00000083161","ENSMUSG00000083161")</f>
        <v>ENSMUSG00000083161</v>
      </c>
      <c r="I2500" s="7" t="str">
        <f>HYPERLINK("http://www.informatics.jax.org/marker/MGI:3651774","MGI:3651774")</f>
        <v>MGI:3651774</v>
      </c>
      <c r="J2500" s="4" t="s">
        <v>320</v>
      </c>
    </row>
    <row r="2501" spans="1:10" x14ac:dyDescent="0.25">
      <c r="A2501" s="2">
        <v>290.16514461752098</v>
      </c>
      <c r="B2501" s="3">
        <v>0.48674537119058597</v>
      </c>
      <c r="C2501" s="5">
        <v>1.3417032808058799E-10</v>
      </c>
      <c r="D2501" s="6">
        <v>7.7318494148135402E-10</v>
      </c>
      <c r="E2501" s="3" t="s">
        <v>6862</v>
      </c>
      <c r="F2501" s="3" t="s">
        <v>6863</v>
      </c>
      <c r="G2501" s="3">
        <v>270802</v>
      </c>
      <c r="H2501" s="7" t="str">
        <f>HYPERLINK("http://www.ensembl.org/Mus_musculus/Gene/Summary?db=core;g=ENSMUSG00000053684","ENSMUSG00000053684")</f>
        <v>ENSMUSG00000053684</v>
      </c>
      <c r="I2501" s="7" t="str">
        <f>HYPERLINK("http://www.informatics.jax.org/marker/MGI:2670984","MGI:2670984")</f>
        <v>MGI:2670984</v>
      </c>
      <c r="J2501" s="4" t="s">
        <v>12</v>
      </c>
    </row>
    <row r="2502" spans="1:10" x14ac:dyDescent="0.25">
      <c r="A2502" s="2">
        <v>5406.75716144337</v>
      </c>
      <c r="B2502" s="3">
        <v>0.48651344407597402</v>
      </c>
      <c r="C2502" s="5">
        <v>2.4098168087414899E-67</v>
      </c>
      <c r="D2502" s="6">
        <v>1.0490416659686999E-65</v>
      </c>
      <c r="E2502" s="3" t="s">
        <v>918</v>
      </c>
      <c r="F2502" s="3" t="s">
        <v>919</v>
      </c>
      <c r="G2502" s="3">
        <v>14688</v>
      </c>
      <c r="H2502" s="7" t="str">
        <f>HYPERLINK("http://www.ensembl.org/Mus_musculus/Gene/Summary?db=core;g=ENSMUSG00000029064","ENSMUSG00000029064")</f>
        <v>ENSMUSG00000029064</v>
      </c>
      <c r="I2502" s="7" t="str">
        <f>HYPERLINK("http://www.informatics.jax.org/marker/MGI:95781","MGI:95781")</f>
        <v>MGI:95781</v>
      </c>
      <c r="J2502" s="4" t="s">
        <v>12</v>
      </c>
    </row>
    <row r="2503" spans="1:10" x14ac:dyDescent="0.25">
      <c r="A2503" s="2">
        <v>547.84358928185998</v>
      </c>
      <c r="B2503" s="3">
        <v>0.48614834527516598</v>
      </c>
      <c r="C2503" s="5">
        <v>1.8398695664154299E-5</v>
      </c>
      <c r="D2503" s="6">
        <v>6.7152004163820503E-5</v>
      </c>
      <c r="E2503" s="3" t="s">
        <v>10818</v>
      </c>
      <c r="F2503" s="3" t="s">
        <v>10819</v>
      </c>
      <c r="G2503" s="3">
        <v>52855</v>
      </c>
      <c r="H2503" s="7" t="str">
        <f>HYPERLINK("http://www.ensembl.org/Mus_musculus/Gene/Summary?db=core;g=ENSMUSG00000055541","ENSMUSG00000055541")</f>
        <v>ENSMUSG00000055541</v>
      </c>
      <c r="I2503" s="7" t="str">
        <f>HYPERLINK("http://www.informatics.jax.org/marker/MGI:105492","MGI:105492")</f>
        <v>MGI:105492</v>
      </c>
      <c r="J2503" s="4" t="s">
        <v>12</v>
      </c>
    </row>
    <row r="2504" spans="1:10" x14ac:dyDescent="0.25">
      <c r="A2504" s="2">
        <v>800.76274404014896</v>
      </c>
      <c r="B2504" s="3">
        <v>0.48609934049493297</v>
      </c>
      <c r="C2504" s="5">
        <v>1.1628561775267E-10</v>
      </c>
      <c r="D2504" s="6">
        <v>6.7326846214992602E-10</v>
      </c>
      <c r="E2504" s="3" t="s">
        <v>6830</v>
      </c>
      <c r="F2504" s="3" t="s">
        <v>6831</v>
      </c>
      <c r="G2504" s="3">
        <v>246177</v>
      </c>
      <c r="H2504" s="7" t="str">
        <f>HYPERLINK("http://www.ensembl.org/Mus_musculus/Gene/Summary?db=core;g=ENSMUSG00000020437","ENSMUSG00000020437")</f>
        <v>ENSMUSG00000020437</v>
      </c>
      <c r="I2504" s="7" t="str">
        <f>HYPERLINK("http://www.informatics.jax.org/marker/MGI:1927091","MGI:1927091")</f>
        <v>MGI:1927091</v>
      </c>
      <c r="J2504" s="4" t="s">
        <v>12</v>
      </c>
    </row>
    <row r="2505" spans="1:10" x14ac:dyDescent="0.25">
      <c r="A2505" s="2">
        <v>329.670689405627</v>
      </c>
      <c r="B2505" s="3">
        <v>0.486095136764643</v>
      </c>
      <c r="C2505" s="5">
        <v>6.4070796738713498E-10</v>
      </c>
      <c r="D2505" s="6">
        <v>3.4796918526230499E-9</v>
      </c>
      <c r="E2505" s="3" t="s">
        <v>7280</v>
      </c>
      <c r="F2505" s="3" t="s">
        <v>7281</v>
      </c>
      <c r="G2505" s="3">
        <v>212712</v>
      </c>
      <c r="H2505" s="7" t="str">
        <f>HYPERLINK("http://www.ensembl.org/Mus_musculus/Gene/Summary?db=core;g=ENSMUSG00000038331","ENSMUSG00000038331")</f>
        <v>ENSMUSG00000038331</v>
      </c>
      <c r="I2505" s="7" t="str">
        <f>HYPERLINK("http://www.informatics.jax.org/marker/MGI:2679336","MGI:2679336")</f>
        <v>MGI:2679336</v>
      </c>
      <c r="J2505" s="4" t="s">
        <v>12</v>
      </c>
    </row>
    <row r="2506" spans="1:10" x14ac:dyDescent="0.25">
      <c r="A2506" s="2">
        <v>502.52504786871799</v>
      </c>
      <c r="B2506" s="3">
        <v>0.48582566674073402</v>
      </c>
      <c r="C2506" s="5">
        <v>5.9732271785795397E-9</v>
      </c>
      <c r="D2506" s="6">
        <v>3.0148973627230202E-8</v>
      </c>
      <c r="E2506" s="3" t="s">
        <v>7830</v>
      </c>
      <c r="F2506" s="3" t="s">
        <v>7831</v>
      </c>
      <c r="G2506" s="3">
        <v>73167</v>
      </c>
      <c r="H2506" s="7" t="str">
        <f>HYPERLINK("http://www.ensembl.org/Mus_musculus/Gene/Summary?db=core;g=ENSMUSG00000078954","ENSMUSG00000078954")</f>
        <v>ENSMUSG00000078954</v>
      </c>
      <c r="I2506" s="7" t="str">
        <f>HYPERLINK("http://www.informatics.jax.org/marker/MGI:1920417","MGI:1920417")</f>
        <v>MGI:1920417</v>
      </c>
      <c r="J2506" s="4" t="s">
        <v>12</v>
      </c>
    </row>
    <row r="2507" spans="1:10" x14ac:dyDescent="0.25">
      <c r="A2507" s="2">
        <v>1201.6918981177801</v>
      </c>
      <c r="B2507" s="3">
        <v>0.48582445204977998</v>
      </c>
      <c r="C2507" s="5">
        <v>6.7681458154654301E-18</v>
      </c>
      <c r="D2507" s="6">
        <v>6.0805392018668901E-17</v>
      </c>
      <c r="E2507" s="3" t="s">
        <v>4407</v>
      </c>
      <c r="F2507" s="3" t="s">
        <v>4408</v>
      </c>
      <c r="G2507" s="3">
        <v>13486</v>
      </c>
      <c r="H2507" s="7" t="str">
        <f>HYPERLINK("http://www.ensembl.org/Mus_musculus/Gene/Summary?db=core;g=ENSMUSG00000029265","ENSMUSG00000029265")</f>
        <v>ENSMUSG00000029265</v>
      </c>
      <c r="I2507" s="7" t="str">
        <f>HYPERLINK("http://www.informatics.jax.org/marker/MGI:1100515","MGI:1100515")</f>
        <v>MGI:1100515</v>
      </c>
      <c r="J2507" s="4" t="s">
        <v>12</v>
      </c>
    </row>
    <row r="2508" spans="1:10" x14ac:dyDescent="0.25">
      <c r="A2508" s="2">
        <v>3338.2833836147802</v>
      </c>
      <c r="B2508" s="3">
        <v>0.48561149953654398</v>
      </c>
      <c r="C2508" s="5">
        <v>7.1883575442778605E-7</v>
      </c>
      <c r="D2508" s="6">
        <v>3.0173352654993499E-6</v>
      </c>
      <c r="E2508" s="3" t="s">
        <v>9411</v>
      </c>
      <c r="F2508" s="3" t="s">
        <v>9412</v>
      </c>
      <c r="G2508" s="3">
        <v>13244</v>
      </c>
      <c r="H2508" s="7" t="str">
        <f>HYPERLINK("http://www.ensembl.org/Mus_musculus/Gene/Summary?db=core;g=ENSMUSG00000038633","ENSMUSG00000038633")</f>
        <v>ENSMUSG00000038633</v>
      </c>
      <c r="I2508" s="7" t="str">
        <f>HYPERLINK("http://www.informatics.jax.org/marker/MGI:1097711","MGI:1097711")</f>
        <v>MGI:1097711</v>
      </c>
      <c r="J2508" s="4" t="s">
        <v>12</v>
      </c>
    </row>
    <row r="2509" spans="1:10" x14ac:dyDescent="0.25">
      <c r="A2509" s="2">
        <v>769.05734259913504</v>
      </c>
      <c r="B2509" s="3">
        <v>0.48555161501767902</v>
      </c>
      <c r="C2509" s="5">
        <v>4.17352395781109E-9</v>
      </c>
      <c r="D2509" s="6">
        <v>2.1338317979786E-8</v>
      </c>
      <c r="E2509" s="3" t="s">
        <v>7730</v>
      </c>
      <c r="F2509" s="3" t="s">
        <v>7731</v>
      </c>
      <c r="G2509" s="3">
        <v>50771</v>
      </c>
      <c r="H2509" s="7" t="str">
        <f>HYPERLINK("http://www.ensembl.org/Mus_musculus/Gene/Summary?db=core;g=ENSMUSG00000024566","ENSMUSG00000024566")</f>
        <v>ENSMUSG00000024566</v>
      </c>
      <c r="I2509" s="7" t="str">
        <f>HYPERLINK("http://www.informatics.jax.org/marker/MGI:1354757","MGI:1354757")</f>
        <v>MGI:1354757</v>
      </c>
      <c r="J2509" s="4" t="s">
        <v>12</v>
      </c>
    </row>
    <row r="2510" spans="1:10" x14ac:dyDescent="0.25">
      <c r="A2510" s="2">
        <v>1525.8351264442499</v>
      </c>
      <c r="B2510" s="3">
        <v>0.48538005576287702</v>
      </c>
      <c r="C2510" s="5">
        <v>6.8553472131205804E-19</v>
      </c>
      <c r="D2510" s="6">
        <v>6.47139526293623E-18</v>
      </c>
      <c r="E2510" s="3" t="s">
        <v>4195</v>
      </c>
      <c r="F2510" s="3" t="s">
        <v>4196</v>
      </c>
      <c r="G2510" s="3">
        <v>71653</v>
      </c>
      <c r="H2510" s="7" t="str">
        <f>HYPERLINK("http://www.ensembl.org/Mus_musculus/Gene/Summary?db=core;g=ENSMUSG00000041362","ENSMUSG00000041362")</f>
        <v>ENSMUSG00000041362</v>
      </c>
      <c r="I2510" s="7" t="str">
        <f>HYPERLINK("http://www.informatics.jax.org/marker/MGI:1918903","MGI:1918903")</f>
        <v>MGI:1918903</v>
      </c>
      <c r="J2510" s="4" t="s">
        <v>12</v>
      </c>
    </row>
    <row r="2511" spans="1:10" x14ac:dyDescent="0.25">
      <c r="A2511" s="2">
        <v>321.13537693580099</v>
      </c>
      <c r="B2511" s="3">
        <v>0.48522088259157498</v>
      </c>
      <c r="C2511" s="5">
        <v>7.5412477240702997E-9</v>
      </c>
      <c r="D2511" s="6">
        <v>3.7763688450651703E-8</v>
      </c>
      <c r="E2511" s="3" t="s">
        <v>7892</v>
      </c>
      <c r="F2511" s="3" t="s">
        <v>7893</v>
      </c>
      <c r="G2511" s="3">
        <v>72400</v>
      </c>
      <c r="H2511" s="7" t="str">
        <f>HYPERLINK("http://www.ensembl.org/Mus_musculus/Gene/Summary?db=core;g=ENSMUSG00000021958","ENSMUSG00000021958")</f>
        <v>ENSMUSG00000021958</v>
      </c>
      <c r="I2511" s="7" t="str">
        <f>HYPERLINK("http://www.informatics.jax.org/marker/MGI:1919650","MGI:1919650")</f>
        <v>MGI:1919650</v>
      </c>
      <c r="J2511" s="4" t="s">
        <v>12</v>
      </c>
    </row>
    <row r="2512" spans="1:10" x14ac:dyDescent="0.25">
      <c r="A2512" s="2">
        <v>174.28712482609899</v>
      </c>
      <c r="B2512" s="3">
        <v>0.48404685817271798</v>
      </c>
      <c r="C2512" s="3">
        <v>9.0937649180315998E-4</v>
      </c>
      <c r="D2512" s="4">
        <v>2.6983003939750698E-3</v>
      </c>
      <c r="E2512" s="3" t="s">
        <v>13300</v>
      </c>
      <c r="F2512" s="3" t="s">
        <v>13301</v>
      </c>
      <c r="G2512" s="3">
        <v>545205</v>
      </c>
      <c r="H2512" s="7" t="str">
        <f>HYPERLINK("http://www.ensembl.org/Mus_musculus/Gene/Summary?db=core;g=ENSMUSG00000090675","ENSMUSG00000090675")</f>
        <v>ENSMUSG00000090675</v>
      </c>
      <c r="I2512" s="7" t="str">
        <f>HYPERLINK("http://www.informatics.jax.org/marker/MGI:2177494","MGI:2177494")</f>
        <v>MGI:2177494</v>
      </c>
      <c r="J2512" s="4" t="s">
        <v>12</v>
      </c>
    </row>
    <row r="2513" spans="1:10" x14ac:dyDescent="0.25">
      <c r="A2513" s="2">
        <v>917.91413976382296</v>
      </c>
      <c r="B2513" s="3">
        <v>0.48394750205863502</v>
      </c>
      <c r="C2513" s="5">
        <v>2.0580067550044902E-6</v>
      </c>
      <c r="D2513" s="6">
        <v>8.2672424544079508E-6</v>
      </c>
      <c r="E2513" s="3" t="s">
        <v>9833</v>
      </c>
      <c r="F2513" s="3" t="s">
        <v>9834</v>
      </c>
      <c r="G2513" s="3">
        <v>228413</v>
      </c>
      <c r="H2513" s="7" t="str">
        <f>HYPERLINK("http://www.ensembl.org/Mus_musculus/Gene/Summary?db=core;g=ENSMUSG00000027171","ENSMUSG00000027171")</f>
        <v>ENSMUSG00000027171</v>
      </c>
      <c r="I2513" s="7" t="str">
        <f>HYPERLINK("http://www.informatics.jax.org/marker/MGI:2442211","MGI:2442211")</f>
        <v>MGI:2442211</v>
      </c>
      <c r="J2513" s="4" t="s">
        <v>12</v>
      </c>
    </row>
    <row r="2514" spans="1:10" x14ac:dyDescent="0.25">
      <c r="A2514" s="2">
        <v>594.51742342386797</v>
      </c>
      <c r="B2514" s="3">
        <v>0.48378605709851003</v>
      </c>
      <c r="C2514" s="5">
        <v>6.5488786306526301E-10</v>
      </c>
      <c r="D2514" s="6">
        <v>3.5537668298423199E-9</v>
      </c>
      <c r="E2514" s="3" t="s">
        <v>7286</v>
      </c>
      <c r="F2514" s="3" t="s">
        <v>7287</v>
      </c>
      <c r="G2514" s="3">
        <v>67526</v>
      </c>
      <c r="H2514" s="7" t="str">
        <f>HYPERLINK("http://www.ensembl.org/Mus_musculus/Gene/Summary?db=core;g=ENSMUSG00000032905","ENSMUSG00000032905")</f>
        <v>ENSMUSG00000032905</v>
      </c>
      <c r="I2514" s="7" t="str">
        <f>HYPERLINK("http://www.informatics.jax.org/marker/MGI:1914776","MGI:1914776")</f>
        <v>MGI:1914776</v>
      </c>
      <c r="J2514" s="4" t="s">
        <v>12</v>
      </c>
    </row>
    <row r="2515" spans="1:10" x14ac:dyDescent="0.25">
      <c r="A2515" s="2">
        <v>4424.0231336424704</v>
      </c>
      <c r="B2515" s="3">
        <v>0.48377975192234501</v>
      </c>
      <c r="C2515" s="5">
        <v>5.2818604974253496E-16</v>
      </c>
      <c r="D2515" s="6">
        <v>4.2617957859749602E-15</v>
      </c>
      <c r="E2515" s="3" t="s">
        <v>4905</v>
      </c>
      <c r="F2515" s="3" t="s">
        <v>4906</v>
      </c>
      <c r="G2515" s="3">
        <v>22059</v>
      </c>
      <c r="H2515" s="7" t="str">
        <f>HYPERLINK("http://www.ensembl.org/Mus_musculus/Gene/Summary?db=core;g=ENSMUSG00000059552","ENSMUSG00000059552")</f>
        <v>ENSMUSG00000059552</v>
      </c>
      <c r="I2515" s="7" t="str">
        <f>HYPERLINK("http://www.informatics.jax.org/marker/MGI:98834","MGI:98834")</f>
        <v>MGI:98834</v>
      </c>
      <c r="J2515" s="4" t="s">
        <v>12</v>
      </c>
    </row>
    <row r="2516" spans="1:10" x14ac:dyDescent="0.25">
      <c r="A2516" s="2">
        <v>405.14445119823</v>
      </c>
      <c r="B2516" s="3">
        <v>0.48377928757423799</v>
      </c>
      <c r="C2516" s="5">
        <v>1.8873532268526902E-8</v>
      </c>
      <c r="D2516" s="6">
        <v>9.1222072631213403E-8</v>
      </c>
      <c r="E2516" s="3" t="s">
        <v>8177</v>
      </c>
      <c r="F2516" s="3" t="s">
        <v>8178</v>
      </c>
      <c r="G2516" s="3">
        <v>70122</v>
      </c>
      <c r="H2516" s="7" t="str">
        <f>HYPERLINK("http://www.ensembl.org/Mus_musculus/Gene/Summary?db=core;g=ENSMUSG00000028496","ENSMUSG00000028496")</f>
        <v>ENSMUSG00000028496</v>
      </c>
      <c r="I2516" s="7" t="str">
        <f>HYPERLINK("http://www.informatics.jax.org/marker/MGI:1917372","MGI:1917372")</f>
        <v>MGI:1917372</v>
      </c>
      <c r="J2516" s="4" t="s">
        <v>12</v>
      </c>
    </row>
    <row r="2517" spans="1:10" x14ac:dyDescent="0.25">
      <c r="A2517" s="2">
        <v>2394.1866671951002</v>
      </c>
      <c r="B2517" s="3">
        <v>0.48361187964830699</v>
      </c>
      <c r="C2517" s="5">
        <v>5.0896544265500603E-39</v>
      </c>
      <c r="D2517" s="6">
        <v>1.00167649991584E-37</v>
      </c>
      <c r="E2517" s="3" t="s">
        <v>2021</v>
      </c>
      <c r="F2517" s="3" t="s">
        <v>2022</v>
      </c>
      <c r="G2517" s="3">
        <v>18176</v>
      </c>
      <c r="H2517" s="7" t="str">
        <f>HYPERLINK("http://www.ensembl.org/Mus_musculus/Gene/Summary?db=core;g=ENSMUSG00000027852","ENSMUSG00000027852")</f>
        <v>ENSMUSG00000027852</v>
      </c>
      <c r="I2517" s="7" t="str">
        <f>HYPERLINK("http://www.informatics.jax.org/marker/MGI:97376","MGI:97376")</f>
        <v>MGI:97376</v>
      </c>
      <c r="J2517" s="4" t="s">
        <v>12</v>
      </c>
    </row>
    <row r="2518" spans="1:10" x14ac:dyDescent="0.25">
      <c r="A2518" s="2">
        <v>834.11267116607803</v>
      </c>
      <c r="B2518" s="3">
        <v>0.483571862016478</v>
      </c>
      <c r="C2518" s="5">
        <v>2.1732229741976701E-8</v>
      </c>
      <c r="D2518" s="6">
        <v>1.04475760729347E-7</v>
      </c>
      <c r="E2518" s="3" t="s">
        <v>8221</v>
      </c>
      <c r="F2518" s="3" t="s">
        <v>8222</v>
      </c>
      <c r="G2518" s="3">
        <v>29810</v>
      </c>
      <c r="H2518" s="7" t="str">
        <f>HYPERLINK("http://www.ensembl.org/Mus_musculus/Gene/Summary?db=core;g=ENSMUSG00000030847","ENSMUSG00000030847")</f>
        <v>ENSMUSG00000030847</v>
      </c>
      <c r="I2518" s="7" t="str">
        <f>HYPERLINK("http://www.informatics.jax.org/marker/MGI:1352493","MGI:1352493")</f>
        <v>MGI:1352493</v>
      </c>
      <c r="J2518" s="4" t="s">
        <v>12</v>
      </c>
    </row>
    <row r="2519" spans="1:10" x14ac:dyDescent="0.25">
      <c r="A2519" s="2">
        <v>958.79889331112497</v>
      </c>
      <c r="B2519" s="3">
        <v>0.48338904018857898</v>
      </c>
      <c r="C2519" s="5">
        <v>1.49240790841317E-8</v>
      </c>
      <c r="D2519" s="6">
        <v>7.2847237509672301E-8</v>
      </c>
      <c r="E2519" s="3" t="s">
        <v>8097</v>
      </c>
      <c r="F2519" s="3" t="s">
        <v>8098</v>
      </c>
      <c r="G2519" s="3">
        <v>22213</v>
      </c>
      <c r="H2519" s="7" t="str">
        <f>HYPERLINK("http://www.ensembl.org/Mus_musculus/Gene/Summary?db=core;g=ENSMUSG00000009293","ENSMUSG00000009293")</f>
        <v>ENSMUSG00000009293</v>
      </c>
      <c r="I2519" s="7" t="str">
        <f>HYPERLINK("http://www.informatics.jax.org/marker/MGI:1343188","MGI:1343188")</f>
        <v>MGI:1343188</v>
      </c>
      <c r="J2519" s="4" t="s">
        <v>12</v>
      </c>
    </row>
    <row r="2520" spans="1:10" x14ac:dyDescent="0.25">
      <c r="A2520" s="2">
        <v>841.28964380625405</v>
      </c>
      <c r="B2520" s="3">
        <v>0.48318976524618401</v>
      </c>
      <c r="C2520" s="5">
        <v>2.19709383350661E-16</v>
      </c>
      <c r="D2520" s="6">
        <v>1.8090476157307101E-15</v>
      </c>
      <c r="E2520" s="3" t="s">
        <v>4807</v>
      </c>
      <c r="F2520" s="3" t="s">
        <v>4808</v>
      </c>
      <c r="G2520" s="3">
        <v>56632</v>
      </c>
      <c r="H2520" s="7" t="str">
        <f>HYPERLINK("http://www.ensembl.org/Mus_musculus/Gene/Summary?db=core;g=ENSMUSG00000057342","ENSMUSG00000057342")</f>
        <v>ENSMUSG00000057342</v>
      </c>
      <c r="I2520" s="7" t="str">
        <f>HYPERLINK("http://www.informatics.jax.org/marker/MGI:1861380","MGI:1861380")</f>
        <v>MGI:1861380</v>
      </c>
      <c r="J2520" s="4" t="s">
        <v>12</v>
      </c>
    </row>
    <row r="2521" spans="1:10" x14ac:dyDescent="0.25">
      <c r="A2521" s="2">
        <v>71.799889284545799</v>
      </c>
      <c r="B2521" s="3">
        <v>0.48303308313183402</v>
      </c>
      <c r="C2521" s="3">
        <v>2.0101747676279799E-2</v>
      </c>
      <c r="D2521" s="4">
        <v>4.6887752920797103E-2</v>
      </c>
      <c r="E2521" s="3" t="s">
        <v>16912</v>
      </c>
      <c r="F2521" s="3" t="s">
        <v>16913</v>
      </c>
      <c r="G2521" s="3">
        <v>21652</v>
      </c>
      <c r="H2521" s="7" t="str">
        <f>HYPERLINK("http://www.ensembl.org/Mus_musculus/Gene/Summary?db=core;g=ENSMUSG00000024193","ENSMUSG00000024193")</f>
        <v>ENSMUSG00000024193</v>
      </c>
      <c r="I2521" s="7" t="str">
        <f>HYPERLINK("http://www.informatics.jax.org/marker/MGI:98647","MGI:98647")</f>
        <v>MGI:98647</v>
      </c>
      <c r="J2521" s="4" t="s">
        <v>12</v>
      </c>
    </row>
    <row r="2522" spans="1:10" x14ac:dyDescent="0.25">
      <c r="A2522" s="2">
        <v>1262.27475126318</v>
      </c>
      <c r="B2522" s="3">
        <v>0.482070127244631</v>
      </c>
      <c r="C2522" s="5">
        <v>3.0638185424613698E-19</v>
      </c>
      <c r="D2522" s="6">
        <v>2.93721447045884E-18</v>
      </c>
      <c r="E2522" s="3" t="s">
        <v>4131</v>
      </c>
      <c r="F2522" s="3" t="s">
        <v>4132</v>
      </c>
      <c r="G2522" s="3">
        <v>208768</v>
      </c>
      <c r="H2522" s="7" t="str">
        <f>HYPERLINK("http://www.ensembl.org/Mus_musculus/Gene/Summary?db=core;g=ENSMUSG00000038806","ENSMUSG00000038806")</f>
        <v>ENSMUSG00000038806</v>
      </c>
      <c r="I2522" s="7" t="str">
        <f>HYPERLINK("http://www.informatics.jax.org/marker/MGI:2384788","MGI:2384788")</f>
        <v>MGI:2384788</v>
      </c>
      <c r="J2522" s="4" t="s">
        <v>12</v>
      </c>
    </row>
    <row r="2523" spans="1:10" x14ac:dyDescent="0.25">
      <c r="A2523" s="2">
        <v>31.358724737943501</v>
      </c>
      <c r="B2523" s="3">
        <v>0.48193784890749702</v>
      </c>
      <c r="C2523" s="3">
        <v>1.43610068098886E-2</v>
      </c>
      <c r="D2523" s="4">
        <v>3.4587085282242601E-2</v>
      </c>
      <c r="E2523" s="3" t="s">
        <v>16381</v>
      </c>
      <c r="F2523" s="3" t="s">
        <v>16382</v>
      </c>
      <c r="G2523" s="3" t="s">
        <v>83</v>
      </c>
      <c r="H2523" s="7" t="str">
        <f>HYPERLINK("http://www.ensembl.org/Mus_musculus/Gene/Summary?db=core;g=ENSMUSG00000090602","ENSMUSG00000090602")</f>
        <v>ENSMUSG00000090602</v>
      </c>
      <c r="I2523" s="7" t="str">
        <f>HYPERLINK("http://www.informatics.jax.org/marker/MGI:3647121","MGI:3647121")</f>
        <v>MGI:3647121</v>
      </c>
      <c r="J2523" s="4" t="s">
        <v>1043</v>
      </c>
    </row>
    <row r="2524" spans="1:10" x14ac:dyDescent="0.25">
      <c r="A2524" s="2">
        <v>717.62098184969705</v>
      </c>
      <c r="B2524" s="3">
        <v>0.48124826999583697</v>
      </c>
      <c r="C2524" s="5">
        <v>5.4123691625021804E-13</v>
      </c>
      <c r="D2524" s="6">
        <v>3.6842222949445297E-12</v>
      </c>
      <c r="E2524" s="3" t="s">
        <v>5811</v>
      </c>
      <c r="F2524" s="3" t="s">
        <v>5812</v>
      </c>
      <c r="G2524" s="3">
        <v>67149</v>
      </c>
      <c r="H2524" s="7" t="str">
        <f>HYPERLINK("http://www.ensembl.org/Mus_musculus/Gene/Summary?db=core;g=ENSMUSG00000078532","ENSMUSG00000078532")</f>
        <v>ENSMUSG00000078532</v>
      </c>
      <c r="I2524" s="7" t="str">
        <f>HYPERLINK("http://www.informatics.jax.org/marker/MGI:1914399","MGI:1914399")</f>
        <v>MGI:1914399</v>
      </c>
      <c r="J2524" s="4" t="s">
        <v>12</v>
      </c>
    </row>
    <row r="2525" spans="1:10" x14ac:dyDescent="0.25">
      <c r="A2525" s="2">
        <v>950.17960677890801</v>
      </c>
      <c r="B2525" s="3">
        <v>0.48009067068814298</v>
      </c>
      <c r="C2525" s="5">
        <v>3.2317547652180401E-17</v>
      </c>
      <c r="D2525" s="6">
        <v>2.79395896405523E-16</v>
      </c>
      <c r="E2525" s="3" t="s">
        <v>4579</v>
      </c>
      <c r="F2525" s="3" t="s">
        <v>4580</v>
      </c>
      <c r="G2525" s="3">
        <v>19330</v>
      </c>
      <c r="H2525" s="7" t="str">
        <f>HYPERLINK("http://www.ensembl.org/Mus_musculus/Gene/Summary?db=core;g=ENSMUSG00000073639","ENSMUSG00000073639")</f>
        <v>ENSMUSG00000073639</v>
      </c>
      <c r="I2525" s="7" t="str">
        <f>HYPERLINK("http://www.informatics.jax.org/marker/MGI:102790","MGI:102790")</f>
        <v>MGI:102790</v>
      </c>
      <c r="J2525" s="4" t="s">
        <v>12</v>
      </c>
    </row>
    <row r="2526" spans="1:10" x14ac:dyDescent="0.25">
      <c r="A2526" s="2">
        <v>1607.8098896864401</v>
      </c>
      <c r="B2526" s="3">
        <v>0.47968905660342698</v>
      </c>
      <c r="C2526" s="5">
        <v>1.26323020843203E-21</v>
      </c>
      <c r="D2526" s="6">
        <v>1.3429056447590099E-20</v>
      </c>
      <c r="E2526" s="3" t="s">
        <v>3726</v>
      </c>
      <c r="F2526" s="3" t="s">
        <v>3727</v>
      </c>
      <c r="G2526" s="3" t="s">
        <v>83</v>
      </c>
      <c r="H2526" s="7" t="str">
        <f>HYPERLINK("http://www.ensembl.org/Mus_musculus/Gene/Summary?db=core;g=ENSMUSG00000056579","ENSMUSG00000056579")</f>
        <v>ENSMUSG00000056579</v>
      </c>
      <c r="I2526" s="7" t="str">
        <f>HYPERLINK("http://www.informatics.jax.org/marker/MGI:2144114","MGI:2144114")</f>
        <v>MGI:2144114</v>
      </c>
      <c r="J2526" s="4" t="s">
        <v>12</v>
      </c>
    </row>
    <row r="2527" spans="1:10" x14ac:dyDescent="0.25">
      <c r="A2527" s="2">
        <v>264.89195298388199</v>
      </c>
      <c r="B2527" s="3">
        <v>0.47862389687113399</v>
      </c>
      <c r="C2527" s="5">
        <v>1.02665339758613E-8</v>
      </c>
      <c r="D2527" s="6">
        <v>5.0893929111107197E-8</v>
      </c>
      <c r="E2527" s="3" t="s">
        <v>7973</v>
      </c>
      <c r="F2527" s="3" t="s">
        <v>7974</v>
      </c>
      <c r="G2527" s="3">
        <v>66459</v>
      </c>
      <c r="H2527" s="7" t="str">
        <f>HYPERLINK("http://www.ensembl.org/Mus_musculus/Gene/Summary?db=core;g=ENSMUSG00000043162","ENSMUSG00000043162")</f>
        <v>ENSMUSG00000043162</v>
      </c>
      <c r="I2527" s="7" t="str">
        <f>HYPERLINK("http://www.informatics.jax.org/marker/MGI:1913709","MGI:1913709")</f>
        <v>MGI:1913709</v>
      </c>
      <c r="J2527" s="4" t="s">
        <v>12</v>
      </c>
    </row>
    <row r="2528" spans="1:10" x14ac:dyDescent="0.25">
      <c r="A2528" s="2">
        <v>532.66671105677995</v>
      </c>
      <c r="B2528" s="3">
        <v>0.47856764725312601</v>
      </c>
      <c r="C2528" s="5">
        <v>2.44254278300352E-14</v>
      </c>
      <c r="D2528" s="6">
        <v>1.8107873564221601E-13</v>
      </c>
      <c r="E2528" s="3" t="s">
        <v>5337</v>
      </c>
      <c r="F2528" s="3" t="s">
        <v>5338</v>
      </c>
      <c r="G2528" s="3">
        <v>57370</v>
      </c>
      <c r="H2528" s="7" t="str">
        <f>HYPERLINK("http://www.ensembl.org/Mus_musculus/Gene/Summary?db=core;g=ENSMUSG00000052423","ENSMUSG00000052423")</f>
        <v>ENSMUSG00000052423</v>
      </c>
      <c r="I2528" s="7" t="str">
        <f>HYPERLINK("http://www.informatics.jax.org/marker/MGI:1928767","MGI:1928767")</f>
        <v>MGI:1928767</v>
      </c>
      <c r="J2528" s="4" t="s">
        <v>12</v>
      </c>
    </row>
    <row r="2529" spans="1:10" x14ac:dyDescent="0.25">
      <c r="A2529" s="2">
        <v>828.087325549056</v>
      </c>
      <c r="B2529" s="3">
        <v>0.478038342422478</v>
      </c>
      <c r="C2529" s="5">
        <v>9.4485852716147202E-8</v>
      </c>
      <c r="D2529" s="6">
        <v>4.2922391512610498E-7</v>
      </c>
      <c r="E2529" s="3" t="s">
        <v>8699</v>
      </c>
      <c r="F2529" s="3" t="s">
        <v>8700</v>
      </c>
      <c r="G2529" s="3">
        <v>214763</v>
      </c>
      <c r="H2529" s="7" t="str">
        <f>HYPERLINK("http://www.ensembl.org/Mus_musculus/Gene/Summary?db=core;g=ENSMUSG00000032344","ENSMUSG00000032344")</f>
        <v>ENSMUSG00000032344</v>
      </c>
      <c r="I2529" s="7" t="str">
        <f>HYPERLINK("http://www.informatics.jax.org/marker/MGI:2442261","MGI:2442261")</f>
        <v>MGI:2442261</v>
      </c>
      <c r="J2529" s="4" t="s">
        <v>12</v>
      </c>
    </row>
    <row r="2530" spans="1:10" x14ac:dyDescent="0.25">
      <c r="A2530" s="2">
        <v>393.13870829526502</v>
      </c>
      <c r="B2530" s="3">
        <v>0.476729939593106</v>
      </c>
      <c r="C2530" s="5">
        <v>4.8706930312713E-9</v>
      </c>
      <c r="D2530" s="6">
        <v>2.4761553641832999E-8</v>
      </c>
      <c r="E2530" s="3" t="s">
        <v>7774</v>
      </c>
      <c r="F2530" s="3" t="s">
        <v>7775</v>
      </c>
      <c r="G2530" s="3">
        <v>74125</v>
      </c>
      <c r="H2530" s="7" t="str">
        <f>HYPERLINK("http://www.ensembl.org/Mus_musculus/Gene/Summary?db=core;g=ENSMUSG00000032468","ENSMUSG00000032468")</f>
        <v>ENSMUSG00000032468</v>
      </c>
      <c r="I2530" s="7" t="str">
        <f>HYPERLINK("http://www.informatics.jax.org/marker/MGI:1921375","MGI:1921375")</f>
        <v>MGI:1921375</v>
      </c>
      <c r="J2530" s="4" t="s">
        <v>12</v>
      </c>
    </row>
    <row r="2531" spans="1:10" x14ac:dyDescent="0.25">
      <c r="A2531" s="2">
        <v>860.23925201111899</v>
      </c>
      <c r="B2531" s="3">
        <v>0.47629889638310502</v>
      </c>
      <c r="C2531" s="5">
        <v>3.10399742337939E-16</v>
      </c>
      <c r="D2531" s="6">
        <v>2.5293731069851899E-15</v>
      </c>
      <c r="E2531" s="3" t="s">
        <v>4857</v>
      </c>
      <c r="F2531" s="3" t="s">
        <v>4858</v>
      </c>
      <c r="G2531" s="3">
        <v>66849</v>
      </c>
      <c r="H2531" s="7" t="str">
        <f>HYPERLINK("http://www.ensembl.org/Mus_musculus/Gene/Summary?db=core;g=ENSMUSG00000047714","ENSMUSG00000047714")</f>
        <v>ENSMUSG00000047714</v>
      </c>
      <c r="I2531" s="7" t="str">
        <f>HYPERLINK("http://www.informatics.jax.org/marker/MGI:1914099","MGI:1914099")</f>
        <v>MGI:1914099</v>
      </c>
      <c r="J2531" s="4" t="s">
        <v>12</v>
      </c>
    </row>
    <row r="2532" spans="1:10" x14ac:dyDescent="0.25">
      <c r="A2532" s="2">
        <v>1573.1877062358001</v>
      </c>
      <c r="B2532" s="3">
        <v>0.47612664143666</v>
      </c>
      <c r="C2532" s="5">
        <v>8.9447452402808105E-22</v>
      </c>
      <c r="D2532" s="6">
        <v>9.5760247632104996E-21</v>
      </c>
      <c r="E2532" s="3" t="s">
        <v>3702</v>
      </c>
      <c r="F2532" s="3" t="s">
        <v>3703</v>
      </c>
      <c r="G2532" s="3">
        <v>56212</v>
      </c>
      <c r="H2532" s="7" t="str">
        <f>HYPERLINK("http://www.ensembl.org/Mus_musculus/Gene/Summary?db=core;g=ENSMUSG00000073982","ENSMUSG00000073982")</f>
        <v>ENSMUSG00000073982</v>
      </c>
      <c r="I2532" s="7" t="str">
        <f>HYPERLINK("http://www.informatics.jax.org/marker/MGI:1928370","MGI:1928370")</f>
        <v>MGI:1928370</v>
      </c>
      <c r="J2532" s="4" t="s">
        <v>12</v>
      </c>
    </row>
    <row r="2533" spans="1:10" x14ac:dyDescent="0.25">
      <c r="A2533" s="2">
        <v>541.91696861539594</v>
      </c>
      <c r="B2533" s="3">
        <v>0.47606423815954901</v>
      </c>
      <c r="C2533" s="5">
        <v>6.7212485485272103E-7</v>
      </c>
      <c r="D2533" s="6">
        <v>2.8309060524766498E-6</v>
      </c>
      <c r="E2533" s="3" t="s">
        <v>9379</v>
      </c>
      <c r="F2533" s="3" t="s">
        <v>9380</v>
      </c>
      <c r="G2533" s="3">
        <v>230596</v>
      </c>
      <c r="H2533" s="7" t="str">
        <f>HYPERLINK("http://www.ensembl.org/Mus_musculus/Gene/Summary?db=core;g=ENSMUSG00000063800","ENSMUSG00000063800")</f>
        <v>ENSMUSG00000063800</v>
      </c>
      <c r="I2533" s="7" t="str">
        <f>HYPERLINK("http://www.informatics.jax.org/marker/MGI:1916962","MGI:1916962")</f>
        <v>MGI:1916962</v>
      </c>
      <c r="J2533" s="4" t="s">
        <v>12</v>
      </c>
    </row>
    <row r="2534" spans="1:10" x14ac:dyDescent="0.25">
      <c r="A2534" s="2">
        <v>712.35023025514795</v>
      </c>
      <c r="B2534" s="3">
        <v>0.475429541796063</v>
      </c>
      <c r="C2534" s="5">
        <v>2.2126138793324898E-19</v>
      </c>
      <c r="D2534" s="6">
        <v>2.1378121362291399E-18</v>
      </c>
      <c r="E2534" s="3" t="s">
        <v>4099</v>
      </c>
      <c r="F2534" s="3" t="s">
        <v>4100</v>
      </c>
      <c r="G2534" s="3">
        <v>23950</v>
      </c>
      <c r="H2534" s="7" t="str">
        <f>HYPERLINK("http://www.ensembl.org/Mus_musculus/Gene/Summary?db=core;g=ENSMUSG00000029131","ENSMUSG00000029131")</f>
        <v>ENSMUSG00000029131</v>
      </c>
      <c r="I2534" s="7" t="str">
        <f>HYPERLINK("http://www.informatics.jax.org/marker/MGI:1344381","MGI:1344381")</f>
        <v>MGI:1344381</v>
      </c>
      <c r="J2534" s="4" t="s">
        <v>12</v>
      </c>
    </row>
    <row r="2535" spans="1:10" x14ac:dyDescent="0.25">
      <c r="A2535" s="2">
        <v>162.659020159367</v>
      </c>
      <c r="B2535" s="3">
        <v>0.47541187821132302</v>
      </c>
      <c r="C2535" s="3">
        <v>5.1215990104096802E-3</v>
      </c>
      <c r="D2535" s="4">
        <v>1.35295287990996E-2</v>
      </c>
      <c r="E2535" s="3" t="s">
        <v>14934</v>
      </c>
      <c r="F2535" s="3" t="s">
        <v>14935</v>
      </c>
      <c r="G2535" s="3">
        <v>12287</v>
      </c>
      <c r="H2535" s="7" t="str">
        <f>HYPERLINK("http://www.ensembl.org/Mus_musculus/Gene/Summary?db=core;g=ENSMUSG00000004113","ENSMUSG00000004113")</f>
        <v>ENSMUSG00000004113</v>
      </c>
      <c r="I2535" s="7" t="str">
        <f>HYPERLINK("http://www.informatics.jax.org/marker/MGI:88296","MGI:88296")</f>
        <v>MGI:88296</v>
      </c>
      <c r="J2535" s="4" t="s">
        <v>12</v>
      </c>
    </row>
    <row r="2536" spans="1:10" x14ac:dyDescent="0.25">
      <c r="A2536" s="2">
        <v>507.28669957566399</v>
      </c>
      <c r="B2536" s="3">
        <v>0.47540641735619199</v>
      </c>
      <c r="C2536" s="3">
        <v>1.02183482170292E-4</v>
      </c>
      <c r="D2536" s="4">
        <v>3.4457220731842699E-4</v>
      </c>
      <c r="E2536" s="3" t="s">
        <v>11707</v>
      </c>
      <c r="F2536" s="3" t="s">
        <v>11708</v>
      </c>
      <c r="G2536" s="3">
        <v>233979</v>
      </c>
      <c r="H2536" s="7" t="str">
        <f>HYPERLINK("http://www.ensembl.org/Mus_musculus/Gene/Summary?db=core;g=ENSMUSG00000048677","ENSMUSG00000048677")</f>
        <v>ENSMUSG00000048677</v>
      </c>
      <c r="I2536" s="7" t="str">
        <f>HYPERLINK("http://www.informatics.jax.org/marker/MGI:2385297","MGI:2385297")</f>
        <v>MGI:2385297</v>
      </c>
      <c r="J2536" s="4" t="s">
        <v>12</v>
      </c>
    </row>
    <row r="2537" spans="1:10" x14ac:dyDescent="0.25">
      <c r="A2537" s="2">
        <v>2102.9189670005298</v>
      </c>
      <c r="B2537" s="3">
        <v>0.475364193969051</v>
      </c>
      <c r="C2537" s="5">
        <v>5.2034540011290796E-12</v>
      </c>
      <c r="D2537" s="6">
        <v>3.3240075446150201E-11</v>
      </c>
      <c r="E2537" s="3" t="s">
        <v>6191</v>
      </c>
      <c r="F2537" s="3" t="s">
        <v>6192</v>
      </c>
      <c r="G2537" s="3">
        <v>26441</v>
      </c>
      <c r="H2537" s="7" t="str">
        <f>HYPERLINK("http://www.ensembl.org/Mus_musculus/Gene/Summary?db=core;g=ENSMUSG00000032301","ENSMUSG00000032301")</f>
        <v>ENSMUSG00000032301</v>
      </c>
      <c r="I2537" s="7" t="str">
        <f>HYPERLINK("http://www.informatics.jax.org/marker/MGI:1347060","MGI:1347060")</f>
        <v>MGI:1347060</v>
      </c>
      <c r="J2537" s="4" t="s">
        <v>12</v>
      </c>
    </row>
    <row r="2538" spans="1:10" x14ac:dyDescent="0.25">
      <c r="A2538" s="2">
        <v>1201.42102134467</v>
      </c>
      <c r="B2538" s="3">
        <v>0.475286455824103</v>
      </c>
      <c r="C2538" s="5">
        <v>7.2772079423959103E-10</v>
      </c>
      <c r="D2538" s="6">
        <v>3.9414045763264799E-9</v>
      </c>
      <c r="E2538" s="3" t="s">
        <v>7300</v>
      </c>
      <c r="F2538" s="3" t="s">
        <v>7301</v>
      </c>
      <c r="G2538" s="3">
        <v>13063</v>
      </c>
      <c r="H2538" s="7" t="str">
        <f>HYPERLINK("http://www.ensembl.org/Mus_musculus/Gene/Summary?db=core;g=ENSMUSG00000063694","ENSMUSG00000063694")</f>
        <v>ENSMUSG00000063694</v>
      </c>
      <c r="I2538" s="7" t="str">
        <f>HYPERLINK("http://www.informatics.jax.org/marker/MGI:88578","MGI:88578")</f>
        <v>MGI:88578</v>
      </c>
      <c r="J2538" s="4" t="s">
        <v>12</v>
      </c>
    </row>
    <row r="2539" spans="1:10" x14ac:dyDescent="0.25">
      <c r="A2539" s="2">
        <v>37.285580490639198</v>
      </c>
      <c r="B2539" s="3">
        <v>0.47519345959426701</v>
      </c>
      <c r="C2539" s="3">
        <v>1.17935511781598E-2</v>
      </c>
      <c r="D2539" s="4">
        <v>2.8915681864144002E-2</v>
      </c>
      <c r="E2539" s="3" t="s">
        <v>16091</v>
      </c>
      <c r="F2539" s="3" t="s">
        <v>16092</v>
      </c>
      <c r="G2539" s="3" t="s">
        <v>83</v>
      </c>
      <c r="H2539" s="7" t="str">
        <f>HYPERLINK("http://www.ensembl.org/Mus_musculus/Gene/Summary?db=core;g=ENSMUSG00000042165","ENSMUSG00000042165")</f>
        <v>ENSMUSG00000042165</v>
      </c>
      <c r="I2539" s="7" t="str">
        <f>HYPERLINK("http://www.informatics.jax.org/marker/MGI:3642386","MGI:3642386")</f>
        <v>MGI:3642386</v>
      </c>
      <c r="J2539" s="4" t="s">
        <v>12</v>
      </c>
    </row>
    <row r="2540" spans="1:10" x14ac:dyDescent="0.25">
      <c r="A2540" s="2">
        <v>384.96381823682401</v>
      </c>
      <c r="B2540" s="3">
        <v>0.47505383817544999</v>
      </c>
      <c r="C2540" s="5">
        <v>2.56201677014871E-6</v>
      </c>
      <c r="D2540" s="6">
        <v>1.01819771679429E-5</v>
      </c>
      <c r="E2540" s="3" t="s">
        <v>9937</v>
      </c>
      <c r="F2540" s="3" t="s">
        <v>9938</v>
      </c>
      <c r="G2540" s="3">
        <v>57267</v>
      </c>
      <c r="H2540" s="7" t="str">
        <f>HYPERLINK("http://www.ensembl.org/Mus_musculus/Gene/Summary?db=core;g=ENSMUSG00000004931","ENSMUSG00000004931")</f>
        <v>ENSMUSG00000004931</v>
      </c>
      <c r="I2540" s="7" t="str">
        <f>HYPERLINK("http://www.informatics.jax.org/marker/MGI:1888527","MGI:1888527")</f>
        <v>MGI:1888527</v>
      </c>
      <c r="J2540" s="4" t="s">
        <v>12</v>
      </c>
    </row>
    <row r="2541" spans="1:10" x14ac:dyDescent="0.25">
      <c r="A2541" s="2">
        <v>76.886672638060404</v>
      </c>
      <c r="B2541" s="3">
        <v>0.474939542500879</v>
      </c>
      <c r="C2541" s="3">
        <v>5.7641685483243905E-4</v>
      </c>
      <c r="D2541" s="4">
        <v>1.7617700522776999E-3</v>
      </c>
      <c r="E2541" s="3" t="s">
        <v>12913</v>
      </c>
      <c r="F2541" s="3" t="s">
        <v>12914</v>
      </c>
      <c r="G2541" s="3">
        <v>75284</v>
      </c>
      <c r="H2541" s="7" t="str">
        <f>HYPERLINK("http://www.ensembl.org/Mus_musculus/Gene/Summary?db=core;g=ENSMUSG00000037525","ENSMUSG00000037525")</f>
        <v>ENSMUSG00000037525</v>
      </c>
      <c r="I2541" s="7" t="str">
        <f>HYPERLINK("http://www.informatics.jax.org/marker/MGI:1922534","MGI:1922534")</f>
        <v>MGI:1922534</v>
      </c>
      <c r="J2541" s="4" t="s">
        <v>12</v>
      </c>
    </row>
    <row r="2542" spans="1:10" x14ac:dyDescent="0.25">
      <c r="A2542" s="2">
        <v>173.76982693158899</v>
      </c>
      <c r="B2542" s="3">
        <v>0.474928459389382</v>
      </c>
      <c r="C2542" s="5">
        <v>2.0848587739647899E-5</v>
      </c>
      <c r="D2542" s="6">
        <v>7.5673504551050495E-5</v>
      </c>
      <c r="E2542" s="3" t="s">
        <v>10878</v>
      </c>
      <c r="F2542" s="3" t="s">
        <v>10879</v>
      </c>
      <c r="G2542" s="3">
        <v>56306</v>
      </c>
      <c r="H2542" s="7" t="str">
        <f>HYPERLINK("http://www.ensembl.org/Mus_musculus/Gene/Summary?db=core;g=ENSMUSG00000039985","ENSMUSG00000039985")</f>
        <v>ENSMUSG00000039985</v>
      </c>
      <c r="I2542" s="7" t="str">
        <f>HYPERLINK("http://www.informatics.jax.org/marker/MGI:1929091","MGI:1929091")</f>
        <v>MGI:1929091</v>
      </c>
      <c r="J2542" s="4" t="s">
        <v>12</v>
      </c>
    </row>
    <row r="2543" spans="1:10" x14ac:dyDescent="0.25">
      <c r="A2543" s="2">
        <v>245.05135497719999</v>
      </c>
      <c r="B2543" s="3">
        <v>0.474901501822105</v>
      </c>
      <c r="C2543" s="5">
        <v>1.48729147411025E-7</v>
      </c>
      <c r="D2543" s="6">
        <v>6.6356081152611103E-7</v>
      </c>
      <c r="E2543" s="3" t="s">
        <v>8857</v>
      </c>
      <c r="F2543" s="3" t="s">
        <v>8858</v>
      </c>
      <c r="G2543" s="3">
        <v>67049</v>
      </c>
      <c r="H2543" s="7" t="str">
        <f>HYPERLINK("http://www.ensembl.org/Mus_musculus/Gene/Summary?db=core;g=ENSMUSG00000032103","ENSMUSG00000032103")</f>
        <v>ENSMUSG00000032103</v>
      </c>
      <c r="I2543" s="7" t="str">
        <f>HYPERLINK("http://www.informatics.jax.org/marker/MGI:1914299","MGI:1914299")</f>
        <v>MGI:1914299</v>
      </c>
      <c r="J2543" s="4" t="s">
        <v>12</v>
      </c>
    </row>
    <row r="2544" spans="1:10" x14ac:dyDescent="0.25">
      <c r="A2544" s="2">
        <v>1262.25305854513</v>
      </c>
      <c r="B2544" s="3">
        <v>0.47455564815794099</v>
      </c>
      <c r="C2544" s="5">
        <v>1.2003225763840399E-19</v>
      </c>
      <c r="D2544" s="6">
        <v>1.1706410092133201E-18</v>
      </c>
      <c r="E2544" s="3" t="s">
        <v>4061</v>
      </c>
      <c r="F2544" s="3" t="s">
        <v>4062</v>
      </c>
      <c r="G2544" s="3">
        <v>213499</v>
      </c>
      <c r="H2544" s="7" t="str">
        <f>HYPERLINK("http://www.ensembl.org/Mus_musculus/Gene/Summary?db=core;g=ENSMUSG00000028920","ENSMUSG00000028920")</f>
        <v>ENSMUSG00000028920</v>
      </c>
      <c r="I2544" s="7" t="str">
        <f>HYPERLINK("http://www.informatics.jax.org/marker/MGI:1924992","MGI:1924992")</f>
        <v>MGI:1924992</v>
      </c>
      <c r="J2544" s="4" t="s">
        <v>12</v>
      </c>
    </row>
    <row r="2545" spans="1:10" x14ac:dyDescent="0.25">
      <c r="A2545" s="2">
        <v>2486.6829529533102</v>
      </c>
      <c r="B2545" s="3">
        <v>0.47453982744721701</v>
      </c>
      <c r="C2545" s="5">
        <v>1.3276262571680399E-16</v>
      </c>
      <c r="D2545" s="6">
        <v>1.10654225660836E-15</v>
      </c>
      <c r="E2545" s="3" t="s">
        <v>4749</v>
      </c>
      <c r="F2545" s="3" t="s">
        <v>4750</v>
      </c>
      <c r="G2545" s="3">
        <v>19247</v>
      </c>
      <c r="H2545" s="7" t="str">
        <f>HYPERLINK("http://www.ensembl.org/Mus_musculus/Gene/Summary?db=core;g=ENSMUSG00000043733","ENSMUSG00000043733")</f>
        <v>ENSMUSG00000043733</v>
      </c>
      <c r="I2545" s="7" t="str">
        <f>HYPERLINK("http://www.informatics.jax.org/marker/MGI:99511","MGI:99511")</f>
        <v>MGI:99511</v>
      </c>
      <c r="J2545" s="4" t="s">
        <v>12</v>
      </c>
    </row>
    <row r="2546" spans="1:10" x14ac:dyDescent="0.25">
      <c r="A2546" s="2">
        <v>2170.7088900632398</v>
      </c>
      <c r="B2546" s="3">
        <v>0.47426936505273698</v>
      </c>
      <c r="C2546" s="5">
        <v>7.4965501877620102E-26</v>
      </c>
      <c r="D2546" s="6">
        <v>9.4946672898308906E-25</v>
      </c>
      <c r="E2546" s="3" t="s">
        <v>3132</v>
      </c>
      <c r="F2546" s="3" t="s">
        <v>3133</v>
      </c>
      <c r="G2546" s="3">
        <v>27224</v>
      </c>
      <c r="H2546" s="7" t="str">
        <f>HYPERLINK("http://www.ensembl.org/Mus_musculus/Gene/Summary?db=core;g=ENSMUSG00000028668","ENSMUSG00000028668")</f>
        <v>ENSMUSG00000028668</v>
      </c>
      <c r="I2546" s="7" t="str">
        <f>HYPERLINK("http://www.informatics.jax.org/marker/MGI:1351315","MGI:1351315")</f>
        <v>MGI:1351315</v>
      </c>
      <c r="J2546" s="4" t="s">
        <v>12</v>
      </c>
    </row>
    <row r="2547" spans="1:10" x14ac:dyDescent="0.25">
      <c r="A2547" s="2">
        <v>1375.62159560329</v>
      </c>
      <c r="B2547" s="3">
        <v>0.47425873116147599</v>
      </c>
      <c r="C2547" s="5">
        <v>3.3190550425868797E-14</v>
      </c>
      <c r="D2547" s="6">
        <v>2.4376821392854098E-13</v>
      </c>
      <c r="E2547" s="3" t="s">
        <v>5387</v>
      </c>
      <c r="F2547" s="3" t="s">
        <v>5388</v>
      </c>
      <c r="G2547" s="3">
        <v>70675</v>
      </c>
      <c r="H2547" s="7" t="str">
        <f>HYPERLINK("http://www.ensembl.org/Mus_musculus/Gene/Summary?db=core;g=ENSMUSG00000045210","ENSMUSG00000045210")</f>
        <v>ENSMUSG00000045210</v>
      </c>
      <c r="I2547" s="7" t="str">
        <f>HYPERLINK("http://www.informatics.jax.org/marker/MGI:1917925","MGI:1917925")</f>
        <v>MGI:1917925</v>
      </c>
      <c r="J2547" s="4" t="s">
        <v>12</v>
      </c>
    </row>
    <row r="2548" spans="1:10" x14ac:dyDescent="0.25">
      <c r="A2548" s="2">
        <v>2209.5419622530699</v>
      </c>
      <c r="B2548" s="3">
        <v>0.473765276814888</v>
      </c>
      <c r="C2548" s="5">
        <v>1.0420556433865101E-17</v>
      </c>
      <c r="D2548" s="6">
        <v>9.2564582376495402E-17</v>
      </c>
      <c r="E2548" s="3" t="s">
        <v>4457</v>
      </c>
      <c r="F2548" s="3" t="s">
        <v>4458</v>
      </c>
      <c r="G2548" s="3">
        <v>67398</v>
      </c>
      <c r="H2548" s="7" t="str">
        <f>HYPERLINK("http://www.ensembl.org/Mus_musculus/Gene/Summary?db=core;g=ENSMUSG00000032042","ENSMUSG00000032042")</f>
        <v>ENSMUSG00000032042</v>
      </c>
      <c r="I2548" s="7" t="str">
        <f>HYPERLINK("http://www.informatics.jax.org/marker/MGI:1914648","MGI:1914648")</f>
        <v>MGI:1914648</v>
      </c>
      <c r="J2548" s="4" t="s">
        <v>12</v>
      </c>
    </row>
    <row r="2549" spans="1:10" x14ac:dyDescent="0.25">
      <c r="A2549" s="2">
        <v>702.320138452072</v>
      </c>
      <c r="B2549" s="3">
        <v>0.47371159968250098</v>
      </c>
      <c r="C2549" s="5">
        <v>1.32285098640556E-16</v>
      </c>
      <c r="D2549" s="6">
        <v>1.10302839120159E-15</v>
      </c>
      <c r="E2549" s="3" t="s">
        <v>4745</v>
      </c>
      <c r="F2549" s="3" t="s">
        <v>4746</v>
      </c>
      <c r="G2549" s="3">
        <v>68991</v>
      </c>
      <c r="H2549" s="7" t="str">
        <f>HYPERLINK("http://www.ensembl.org/Mus_musculus/Gene/Summary?db=core;g=ENSMUSG00000029038","ENSMUSG00000029038")</f>
        <v>ENSMUSG00000029038</v>
      </c>
      <c r="I2549" s="7" t="str">
        <f>HYPERLINK("http://www.informatics.jax.org/marker/MGI:1916241","MGI:1916241")</f>
        <v>MGI:1916241</v>
      </c>
      <c r="J2549" s="4" t="s">
        <v>12</v>
      </c>
    </row>
    <row r="2550" spans="1:10" x14ac:dyDescent="0.25">
      <c r="A2550" s="2">
        <v>107.302022258129</v>
      </c>
      <c r="B2550" s="3">
        <v>0.47355778289642197</v>
      </c>
      <c r="C2550" s="3">
        <v>7.0648470942638196E-4</v>
      </c>
      <c r="D2550" s="4">
        <v>2.1257062053537199E-3</v>
      </c>
      <c r="E2550" s="3" t="s">
        <v>13117</v>
      </c>
      <c r="F2550" s="3" t="s">
        <v>13118</v>
      </c>
      <c r="G2550" s="3" t="s">
        <v>83</v>
      </c>
      <c r="H2550" s="7" t="str">
        <f>HYPERLINK("http://www.ensembl.org/Mus_musculus/Gene/Summary?db=core;g=ENSMUSG00000081603","ENSMUSG00000081603")</f>
        <v>ENSMUSG00000081603</v>
      </c>
      <c r="I2550" s="7" t="str">
        <f>HYPERLINK("http://www.informatics.jax.org/marker/MGI:3705734","MGI:3705734")</f>
        <v>MGI:3705734</v>
      </c>
      <c r="J2550" s="4" t="s">
        <v>1043</v>
      </c>
    </row>
    <row r="2551" spans="1:10" x14ac:dyDescent="0.25">
      <c r="A2551" s="2">
        <v>639.62560046392105</v>
      </c>
      <c r="B2551" s="3">
        <v>0.47327015787577098</v>
      </c>
      <c r="C2551" s="5">
        <v>2.9596832847378702E-11</v>
      </c>
      <c r="D2551" s="6">
        <v>1.79033602377395E-10</v>
      </c>
      <c r="E2551" s="3" t="s">
        <v>6537</v>
      </c>
      <c r="F2551" s="3" t="s">
        <v>6538</v>
      </c>
      <c r="G2551" s="3">
        <v>407819</v>
      </c>
      <c r="H2551" s="7" t="str">
        <f>HYPERLINK("http://www.ensembl.org/Mus_musculus/Gene/Summary?db=core;g=ENSMUSG00000036299","ENSMUSG00000036299")</f>
        <v>ENSMUSG00000036299</v>
      </c>
      <c r="I2551" s="7" t="str">
        <f>HYPERLINK("http://www.informatics.jax.org/marker/MGI:3039614","MGI:3039614")</f>
        <v>MGI:3039614</v>
      </c>
      <c r="J2551" s="4" t="s">
        <v>12</v>
      </c>
    </row>
    <row r="2552" spans="1:10" x14ac:dyDescent="0.25">
      <c r="A2552" s="2">
        <v>170.26449086894499</v>
      </c>
      <c r="B2552" s="3">
        <v>0.473239449218751</v>
      </c>
      <c r="C2552" s="5">
        <v>6.9231121835334102E-7</v>
      </c>
      <c r="D2552" s="6">
        <v>2.9134394421527701E-6</v>
      </c>
      <c r="E2552" s="3" t="s">
        <v>9387</v>
      </c>
      <c r="F2552" s="3" t="s">
        <v>9388</v>
      </c>
      <c r="G2552" s="3">
        <v>68736</v>
      </c>
      <c r="H2552" s="7" t="str">
        <f>HYPERLINK("http://www.ensembl.org/Mus_musculus/Gene/Summary?db=core;g=ENSMUSG00000048495","ENSMUSG00000048495")</f>
        <v>ENSMUSG00000048495</v>
      </c>
      <c r="I2552" s="7" t="str">
        <f>HYPERLINK("http://www.informatics.jax.org/marker/MGI:1915986","MGI:1915986")</f>
        <v>MGI:1915986</v>
      </c>
      <c r="J2552" s="4" t="s">
        <v>12</v>
      </c>
    </row>
    <row r="2553" spans="1:10" x14ac:dyDescent="0.25">
      <c r="A2553" s="2">
        <v>3625.1456502190499</v>
      </c>
      <c r="B2553" s="3">
        <v>0.47212267119992701</v>
      </c>
      <c r="C2553" s="5">
        <v>2.58183793748093E-22</v>
      </c>
      <c r="D2553" s="6">
        <v>2.84753043216576E-21</v>
      </c>
      <c r="E2553" s="3" t="s">
        <v>3594</v>
      </c>
      <c r="F2553" s="3" t="s">
        <v>3595</v>
      </c>
      <c r="G2553" s="3">
        <v>17463</v>
      </c>
      <c r="H2553" s="7" t="str">
        <f>HYPERLINK("http://www.ensembl.org/Mus_musculus/Gene/Summary?db=core;g=ENSMUSG00000039067","ENSMUSG00000039067")</f>
        <v>ENSMUSG00000039067</v>
      </c>
      <c r="I2553" s="7" t="str">
        <f>HYPERLINK("http://www.informatics.jax.org/marker/MGI:1351511","MGI:1351511")</f>
        <v>MGI:1351511</v>
      </c>
      <c r="J2553" s="4" t="s">
        <v>12</v>
      </c>
    </row>
    <row r="2554" spans="1:10" x14ac:dyDescent="0.25">
      <c r="A2554" s="2">
        <v>1041.5681704091</v>
      </c>
      <c r="B2554" s="3">
        <v>0.4717313875877</v>
      </c>
      <c r="C2554" s="5">
        <v>1.0798803322556499E-11</v>
      </c>
      <c r="D2554" s="6">
        <v>6.7262287277578902E-11</v>
      </c>
      <c r="E2554" s="3" t="s">
        <v>6349</v>
      </c>
      <c r="F2554" s="3" t="s">
        <v>6350</v>
      </c>
      <c r="G2554" s="3">
        <v>18518</v>
      </c>
      <c r="H2554" s="7" t="str">
        <f>HYPERLINK("http://www.ensembl.org/Mus_musculus/Gene/Summary?db=core;g=ENSMUSG00000031221","ENSMUSG00000031221")</f>
        <v>ENSMUSG00000031221</v>
      </c>
      <c r="I2554" s="7" t="str">
        <f>HYPERLINK("http://www.informatics.jax.org/marker/MGI:1346500","MGI:1346500")</f>
        <v>MGI:1346500</v>
      </c>
      <c r="J2554" s="4" t="s">
        <v>12</v>
      </c>
    </row>
    <row r="2555" spans="1:10" x14ac:dyDescent="0.25">
      <c r="A2555" s="2">
        <v>946.69993439039501</v>
      </c>
      <c r="B2555" s="3">
        <v>0.47160728521323197</v>
      </c>
      <c r="C2555" s="5">
        <v>3.73753255871547E-11</v>
      </c>
      <c r="D2555" s="6">
        <v>2.24570816751582E-10</v>
      </c>
      <c r="E2555" s="3" t="s">
        <v>6581</v>
      </c>
      <c r="F2555" s="3" t="s">
        <v>6582</v>
      </c>
      <c r="G2555" s="3">
        <v>268566</v>
      </c>
      <c r="H2555" s="7" t="str">
        <f>HYPERLINK("http://www.ensembl.org/Mus_musculus/Gene/Summary?db=core;g=ENSMUSG00000047454","ENSMUSG00000047454")</f>
        <v>ENSMUSG00000047454</v>
      </c>
      <c r="I2555" s="7" t="str">
        <f>HYPERLINK("http://www.informatics.jax.org/marker/MGI:109602","MGI:109602")</f>
        <v>MGI:109602</v>
      </c>
      <c r="J2555" s="4" t="s">
        <v>12</v>
      </c>
    </row>
    <row r="2556" spans="1:10" x14ac:dyDescent="0.25">
      <c r="A2556" s="2">
        <v>2176.7767994106298</v>
      </c>
      <c r="B2556" s="3">
        <v>0.47143413411511997</v>
      </c>
      <c r="C2556" s="5">
        <v>2.5043105788815701E-17</v>
      </c>
      <c r="D2556" s="6">
        <v>2.1765096789574501E-16</v>
      </c>
      <c r="E2556" s="3" t="s">
        <v>4555</v>
      </c>
      <c r="F2556" s="3" t="s">
        <v>4556</v>
      </c>
      <c r="G2556" s="3">
        <v>55979</v>
      </c>
      <c r="H2556" s="7" t="str">
        <f>HYPERLINK("http://www.ensembl.org/Mus_musculus/Gene/Summary?db=core;g=ENSMUSG00000034254","ENSMUSG00000034254")</f>
        <v>ENSMUSG00000034254</v>
      </c>
      <c r="I2556" s="7" t="str">
        <f>HYPERLINK("http://www.informatics.jax.org/marker/MGI:1932075","MGI:1932075")</f>
        <v>MGI:1932075</v>
      </c>
      <c r="J2556" s="4" t="s">
        <v>12</v>
      </c>
    </row>
    <row r="2557" spans="1:10" x14ac:dyDescent="0.25">
      <c r="A2557" s="2">
        <v>997.05207340531501</v>
      </c>
      <c r="B2557" s="3">
        <v>0.47135305218819201</v>
      </c>
      <c r="C2557" s="5">
        <v>4.3563983990627901E-24</v>
      </c>
      <c r="D2557" s="6">
        <v>5.1380488295166397E-23</v>
      </c>
      <c r="E2557" s="3" t="s">
        <v>3364</v>
      </c>
      <c r="F2557" s="3" t="s">
        <v>3365</v>
      </c>
      <c r="G2557" s="3">
        <v>17190</v>
      </c>
      <c r="H2557" s="7" t="str">
        <f>HYPERLINK("http://www.ensembl.org/Mus_musculus/Gene/Summary?db=core;g=ENSMUSG00000024561","ENSMUSG00000024561")</f>
        <v>ENSMUSG00000024561</v>
      </c>
      <c r="I2557" s="7" t="str">
        <f>HYPERLINK("http://www.informatics.jax.org/marker/MGI:1333811","MGI:1333811")</f>
        <v>MGI:1333811</v>
      </c>
      <c r="J2557" s="4" t="s">
        <v>12</v>
      </c>
    </row>
    <row r="2558" spans="1:10" x14ac:dyDescent="0.25">
      <c r="A2558" s="2">
        <v>2020.9472470359799</v>
      </c>
      <c r="B2558" s="3">
        <v>0.470913011639636</v>
      </c>
      <c r="C2558" s="5">
        <v>3.02524649500125E-21</v>
      </c>
      <c r="D2558" s="6">
        <v>3.1581715659833097E-20</v>
      </c>
      <c r="E2558" s="3" t="s">
        <v>3796</v>
      </c>
      <c r="F2558" s="3" t="s">
        <v>3797</v>
      </c>
      <c r="G2558" s="3">
        <v>23879</v>
      </c>
      <c r="H2558" s="7" t="str">
        <f>HYPERLINK("http://www.ensembl.org/Mus_musculus/Gene/Summary?db=core;g=ENSMUSG00000018765","ENSMUSG00000018765")</f>
        <v>ENSMUSG00000018765</v>
      </c>
      <c r="I2558" s="7" t="str">
        <f>HYPERLINK("http://www.informatics.jax.org/marker/MGI:1346074","MGI:1346074")</f>
        <v>MGI:1346074</v>
      </c>
      <c r="J2558" s="4" t="s">
        <v>12</v>
      </c>
    </row>
    <row r="2559" spans="1:10" x14ac:dyDescent="0.25">
      <c r="A2559" s="2">
        <v>974.54431989146804</v>
      </c>
      <c r="B2559" s="3">
        <v>0.47088398365116801</v>
      </c>
      <c r="C2559" s="5">
        <v>1.7493177221065199E-5</v>
      </c>
      <c r="D2559" s="6">
        <v>6.3989140196513795E-5</v>
      </c>
      <c r="E2559" s="3" t="s">
        <v>10794</v>
      </c>
      <c r="F2559" s="3" t="s">
        <v>10795</v>
      </c>
      <c r="G2559" s="3">
        <v>74322</v>
      </c>
      <c r="H2559" s="7" t="str">
        <f>HYPERLINK("http://www.ensembl.org/Mus_musculus/Gene/Summary?db=core;g=ENSMUSG00000024560","ENSMUSG00000024560")</f>
        <v>ENSMUSG00000024560</v>
      </c>
      <c r="I2559" s="7" t="str">
        <f>HYPERLINK("http://www.informatics.jax.org/marker/MGI:1921572","MGI:1921572")</f>
        <v>MGI:1921572</v>
      </c>
      <c r="J2559" s="4" t="s">
        <v>12</v>
      </c>
    </row>
    <row r="2560" spans="1:10" x14ac:dyDescent="0.25">
      <c r="A2560" s="2">
        <v>1068.19549227633</v>
      </c>
      <c r="B2560" s="3">
        <v>0.470631151638219</v>
      </c>
      <c r="C2560" s="5">
        <v>7.2574505320254701E-15</v>
      </c>
      <c r="D2560" s="6">
        <v>5.5428708168683998E-14</v>
      </c>
      <c r="E2560" s="3" t="s">
        <v>5181</v>
      </c>
      <c r="F2560" s="3" t="s">
        <v>5182</v>
      </c>
      <c r="G2560" s="3">
        <v>11977</v>
      </c>
      <c r="H2560" s="7" t="str">
        <f>HYPERLINK("http://www.ensembl.org/Mus_musculus/Gene/Summary?db=core;g=ENSMUSG00000033792","ENSMUSG00000033792")</f>
        <v>ENSMUSG00000033792</v>
      </c>
      <c r="I2560" s="7" t="str">
        <f>HYPERLINK("http://www.informatics.jax.org/marker/MGI:99400","MGI:99400")</f>
        <v>MGI:99400</v>
      </c>
      <c r="J2560" s="4" t="s">
        <v>12</v>
      </c>
    </row>
    <row r="2561" spans="1:10" x14ac:dyDescent="0.25">
      <c r="A2561" s="2">
        <v>1686.6638375847201</v>
      </c>
      <c r="B2561" s="3">
        <v>0.47041420187949201</v>
      </c>
      <c r="C2561" s="5">
        <v>9.2440660308726897E-7</v>
      </c>
      <c r="D2561" s="6">
        <v>3.8361317788049103E-6</v>
      </c>
      <c r="E2561" s="3" t="s">
        <v>9519</v>
      </c>
      <c r="F2561" s="3" t="s">
        <v>9520</v>
      </c>
      <c r="G2561" s="3">
        <v>71772</v>
      </c>
      <c r="H2561" s="7" t="str">
        <f>HYPERLINK("http://www.ensembl.org/Mus_musculus/Gene/Summary?db=core;g=ENSMUSG00000029598","ENSMUSG00000029598")</f>
        <v>ENSMUSG00000029598</v>
      </c>
      <c r="I2561" s="7" t="str">
        <f>HYPERLINK("http://www.informatics.jax.org/marker/MGI:1919022","MGI:1919022")</f>
        <v>MGI:1919022</v>
      </c>
      <c r="J2561" s="4" t="s">
        <v>12</v>
      </c>
    </row>
    <row r="2562" spans="1:10" x14ac:dyDescent="0.25">
      <c r="A2562" s="2">
        <v>3223.5542504336699</v>
      </c>
      <c r="B2562" s="3">
        <v>0.47013276361856199</v>
      </c>
      <c r="C2562" s="5">
        <v>1.5854911502305301E-9</v>
      </c>
      <c r="D2562" s="6">
        <v>8.3643353350845305E-9</v>
      </c>
      <c r="E2562" s="3" t="s">
        <v>7494</v>
      </c>
      <c r="F2562" s="3" t="s">
        <v>7495</v>
      </c>
      <c r="G2562" s="3">
        <v>22166</v>
      </c>
      <c r="H2562" s="7" t="str">
        <f>HYPERLINK("http://www.ensembl.org/Mus_musculus/Gene/Summary?db=core;g=ENSMUSG00000028367","ENSMUSG00000028367")</f>
        <v>ENSMUSG00000028367</v>
      </c>
      <c r="I2562" s="7" t="str">
        <f>HYPERLINK("http://www.informatics.jax.org/marker/MGI:98874","MGI:98874")</f>
        <v>MGI:98874</v>
      </c>
      <c r="J2562" s="4" t="s">
        <v>12</v>
      </c>
    </row>
    <row r="2563" spans="1:10" x14ac:dyDescent="0.25">
      <c r="A2563" s="2">
        <v>1631.16701005345</v>
      </c>
      <c r="B2563" s="3">
        <v>0.46990806634511501</v>
      </c>
      <c r="C2563" s="5">
        <v>3.6075853958957599E-17</v>
      </c>
      <c r="D2563" s="6">
        <v>3.1066193889547699E-16</v>
      </c>
      <c r="E2563" s="3" t="s">
        <v>4597</v>
      </c>
      <c r="F2563" s="3" t="s">
        <v>4598</v>
      </c>
      <c r="G2563" s="3">
        <v>98053</v>
      </c>
      <c r="H2563" s="7" t="str">
        <f>HYPERLINK("http://www.ensembl.org/Mus_musculus/Gene/Summary?db=core;g=ENSMUSG00000002658","ENSMUSG00000002658")</f>
        <v>ENSMUSG00000002658</v>
      </c>
      <c r="I2563" s="7" t="str">
        <f>HYPERLINK("http://www.informatics.jax.org/marker/MGI:1923848","MGI:1923848")</f>
        <v>MGI:1923848</v>
      </c>
      <c r="J2563" s="4" t="s">
        <v>12</v>
      </c>
    </row>
    <row r="2564" spans="1:10" x14ac:dyDescent="0.25">
      <c r="A2564" s="2">
        <v>10570.9854484362</v>
      </c>
      <c r="B2564" s="3">
        <v>0.46966769303260703</v>
      </c>
      <c r="C2564" s="5">
        <v>1.0372074071315601E-30</v>
      </c>
      <c r="D2564" s="6">
        <v>1.5625462237306601E-29</v>
      </c>
      <c r="E2564" s="3" t="s">
        <v>2635</v>
      </c>
      <c r="F2564" s="3" t="s">
        <v>2636</v>
      </c>
      <c r="G2564" s="3">
        <v>66713</v>
      </c>
      <c r="H2564" s="7" t="str">
        <f>HYPERLINK("http://www.ensembl.org/Mus_musculus/Gene/Summary?db=core;g=ENSMUSG00000020152","ENSMUSG00000020152")</f>
        <v>ENSMUSG00000020152</v>
      </c>
      <c r="I2564" s="7" t="str">
        <f>HYPERLINK("http://www.informatics.jax.org/marker/MGI:1913963","MGI:1913963")</f>
        <v>MGI:1913963</v>
      </c>
      <c r="J2564" s="4" t="s">
        <v>12</v>
      </c>
    </row>
    <row r="2565" spans="1:10" x14ac:dyDescent="0.25">
      <c r="A2565" s="2">
        <v>2531.6519422014799</v>
      </c>
      <c r="B2565" s="3">
        <v>0.46947063180781201</v>
      </c>
      <c r="C2565" s="3">
        <v>4.9886311354325596E-4</v>
      </c>
      <c r="D2565" s="4">
        <v>1.53664176805264E-3</v>
      </c>
      <c r="E2565" s="3" t="s">
        <v>12813</v>
      </c>
      <c r="F2565" s="3" t="s">
        <v>12814</v>
      </c>
      <c r="G2565" s="3">
        <v>26433</v>
      </c>
      <c r="H2565" s="7" t="str">
        <f>HYPERLINK("http://www.ensembl.org/Mus_musculus/Gene/Summary?db=core;g=ENSMUSG00000004846","ENSMUSG00000004846")</f>
        <v>ENSMUSG00000004846</v>
      </c>
      <c r="I2565" s="7" t="str">
        <f>HYPERLINK("http://www.informatics.jax.org/marker/MGI:1347008","MGI:1347008")</f>
        <v>MGI:1347008</v>
      </c>
      <c r="J2565" s="4" t="s">
        <v>12</v>
      </c>
    </row>
    <row r="2566" spans="1:10" x14ac:dyDescent="0.25">
      <c r="A2566" s="2">
        <v>821.733777772287</v>
      </c>
      <c r="B2566" s="3">
        <v>0.46727647392782301</v>
      </c>
      <c r="C2566" s="5">
        <v>2.10544188468297E-13</v>
      </c>
      <c r="D2566" s="6">
        <v>1.47703002369079E-12</v>
      </c>
      <c r="E2566" s="3" t="s">
        <v>5639</v>
      </c>
      <c r="F2566" s="3" t="s">
        <v>5640</v>
      </c>
      <c r="G2566" s="3">
        <v>329003</v>
      </c>
      <c r="H2566" s="7" t="str">
        <f>HYPERLINK("http://www.ensembl.org/Mus_musculus/Gene/Summary?db=core;g=ENSMUSG00000058881","ENSMUSG00000058881")</f>
        <v>ENSMUSG00000058881</v>
      </c>
      <c r="I2566" s="7" t="str">
        <f>HYPERLINK("http://www.informatics.jax.org/marker/MGI:2443957","MGI:2443957")</f>
        <v>MGI:2443957</v>
      </c>
      <c r="J2566" s="4" t="s">
        <v>12</v>
      </c>
    </row>
    <row r="2567" spans="1:10" x14ac:dyDescent="0.25">
      <c r="A2567" s="2">
        <v>203.04966934717299</v>
      </c>
      <c r="B2567" s="3">
        <v>0.46626039986449802</v>
      </c>
      <c r="C2567" s="5">
        <v>2.5803545382939901E-7</v>
      </c>
      <c r="D2567" s="6">
        <v>1.13202650712252E-6</v>
      </c>
      <c r="E2567" s="3" t="s">
        <v>9007</v>
      </c>
      <c r="F2567" s="3" t="s">
        <v>9008</v>
      </c>
      <c r="G2567" s="3">
        <v>74375</v>
      </c>
      <c r="H2567" s="7" t="str">
        <f>HYPERLINK("http://www.ensembl.org/Mus_musculus/Gene/Summary?db=core;g=ENSMUSG00000029708","ENSMUSG00000029708")</f>
        <v>ENSMUSG00000029708</v>
      </c>
      <c r="I2567" s="7" t="str">
        <f>HYPERLINK("http://www.informatics.jax.org/marker/MGI:1921625","MGI:1921625")</f>
        <v>MGI:1921625</v>
      </c>
      <c r="J2567" s="4" t="s">
        <v>12</v>
      </c>
    </row>
    <row r="2568" spans="1:10" x14ac:dyDescent="0.25">
      <c r="A2568" s="2">
        <v>143.99613569901999</v>
      </c>
      <c r="B2568" s="3">
        <v>0.466040489520684</v>
      </c>
      <c r="C2568" s="3">
        <v>3.6921681937682503E-4</v>
      </c>
      <c r="D2568" s="4">
        <v>1.15619239467613E-3</v>
      </c>
      <c r="E2568" s="3" t="s">
        <v>12607</v>
      </c>
      <c r="F2568" s="3" t="s">
        <v>12608</v>
      </c>
      <c r="G2568" s="3">
        <v>71910</v>
      </c>
      <c r="H2568" s="7" t="str">
        <f>HYPERLINK("http://www.ensembl.org/Mus_musculus/Gene/Summary?db=core;g=ENSMUSG00000031570","ENSMUSG00000031570")</f>
        <v>ENSMUSG00000031570</v>
      </c>
      <c r="I2568" s="7" t="str">
        <f>HYPERLINK("http://www.informatics.jax.org/marker/MGI:1919160","MGI:1919160")</f>
        <v>MGI:1919160</v>
      </c>
      <c r="J2568" s="4" t="s">
        <v>12</v>
      </c>
    </row>
    <row r="2569" spans="1:10" x14ac:dyDescent="0.25">
      <c r="A2569" s="2">
        <v>376.886360826236</v>
      </c>
      <c r="B2569" s="3">
        <v>0.46595894750249001</v>
      </c>
      <c r="C2569" s="5">
        <v>4.3663893345947002E-7</v>
      </c>
      <c r="D2569" s="6">
        <v>1.87348123755891E-6</v>
      </c>
      <c r="E2569" s="3" t="s">
        <v>9207</v>
      </c>
      <c r="F2569" s="3" t="s">
        <v>9208</v>
      </c>
      <c r="G2569" s="3">
        <v>72962</v>
      </c>
      <c r="H2569" s="7" t="str">
        <f>HYPERLINK("http://www.ensembl.org/Mus_musculus/Gene/Summary?db=core;g=ENSMUSG00000022615","ENSMUSG00000022615")</f>
        <v>ENSMUSG00000022615</v>
      </c>
      <c r="I2569" s="7" t="str">
        <f>HYPERLINK("http://www.informatics.jax.org/marker/MGI:1920212","MGI:1920212")</f>
        <v>MGI:1920212</v>
      </c>
      <c r="J2569" s="4" t="s">
        <v>12</v>
      </c>
    </row>
    <row r="2570" spans="1:10" x14ac:dyDescent="0.25">
      <c r="A2570" s="2">
        <v>862.96411223088501</v>
      </c>
      <c r="B2570" s="3">
        <v>0.46577331822687801</v>
      </c>
      <c r="C2570" s="5">
        <v>5.69246372985379E-20</v>
      </c>
      <c r="D2570" s="6">
        <v>5.6268363284569799E-19</v>
      </c>
      <c r="E2570" s="3" t="s">
        <v>4008</v>
      </c>
      <c r="F2570" s="3" t="s">
        <v>4009</v>
      </c>
      <c r="G2570" s="3">
        <v>17000</v>
      </c>
      <c r="H2570" s="7" t="str">
        <f>HYPERLINK("http://www.ensembl.org/Mus_musculus/Gene/Summary?db=core;g=ENSMUSG00000030339","ENSMUSG00000030339")</f>
        <v>ENSMUSG00000030339</v>
      </c>
      <c r="I2570" s="7" t="str">
        <f>HYPERLINK("http://www.informatics.jax.org/marker/MGI:104875","MGI:104875")</f>
        <v>MGI:104875</v>
      </c>
      <c r="J2570" s="4" t="s">
        <v>12</v>
      </c>
    </row>
    <row r="2571" spans="1:10" x14ac:dyDescent="0.25">
      <c r="A2571" s="2">
        <v>15876.91061915</v>
      </c>
      <c r="B2571" s="3">
        <v>0.46567011459801899</v>
      </c>
      <c r="C2571" s="5">
        <v>2.2644358249724999E-33</v>
      </c>
      <c r="D2571" s="6">
        <v>3.6965790122895503E-32</v>
      </c>
      <c r="E2571" s="3" t="s">
        <v>2433</v>
      </c>
      <c r="F2571" s="3" t="s">
        <v>2434</v>
      </c>
      <c r="G2571" s="3">
        <v>18432</v>
      </c>
      <c r="H2571" s="7" t="str">
        <f>HYPERLINK("http://www.ensembl.org/Mus_musculus/Gene/Summary?db=core;g=ENSMUSG00000040463","ENSMUSG00000040463")</f>
        <v>ENSMUSG00000040463</v>
      </c>
      <c r="I2571" s="7" t="str">
        <f>HYPERLINK("http://www.informatics.jax.org/marker/MGI:106181","MGI:106181")</f>
        <v>MGI:106181</v>
      </c>
      <c r="J2571" s="4" t="s">
        <v>12</v>
      </c>
    </row>
    <row r="2572" spans="1:10" x14ac:dyDescent="0.25">
      <c r="A2572" s="2">
        <v>1225.2211606088099</v>
      </c>
      <c r="B2572" s="3">
        <v>0.46545318315698703</v>
      </c>
      <c r="C2572" s="5">
        <v>2.5034157432346599E-16</v>
      </c>
      <c r="D2572" s="6">
        <v>2.0535506845502301E-15</v>
      </c>
      <c r="E2572" s="3" t="s">
        <v>4825</v>
      </c>
      <c r="F2572" s="3" t="s">
        <v>4826</v>
      </c>
      <c r="G2572" s="3">
        <v>11908</v>
      </c>
      <c r="H2572" s="7" t="str">
        <f>HYPERLINK("http://www.ensembl.org/Mus_musculus/Gene/Summary?db=core;g=ENSMUSG00000023027","ENSMUSG00000023027")</f>
        <v>ENSMUSG00000023027</v>
      </c>
      <c r="I2572" s="7" t="str">
        <f>HYPERLINK("http://www.informatics.jax.org/marker/MGI:1298366","MGI:1298366")</f>
        <v>MGI:1298366</v>
      </c>
      <c r="J2572" s="4" t="s">
        <v>12</v>
      </c>
    </row>
    <row r="2573" spans="1:10" x14ac:dyDescent="0.25">
      <c r="A2573" s="2">
        <v>1162.4043413335601</v>
      </c>
      <c r="B2573" s="3">
        <v>0.46542762430940599</v>
      </c>
      <c r="C2573" s="5">
        <v>1.1381975620476701E-12</v>
      </c>
      <c r="D2573" s="6">
        <v>7.6085613300271102E-12</v>
      </c>
      <c r="E2573" s="3" t="s">
        <v>5917</v>
      </c>
      <c r="F2573" s="3" t="s">
        <v>5918</v>
      </c>
      <c r="G2573" s="3">
        <v>16798</v>
      </c>
      <c r="H2573" s="7" t="str">
        <f>HYPERLINK("http://www.ensembl.org/Mus_musculus/Gene/Summary?db=core;g=ENSMUSG00000040021","ENSMUSG00000040021")</f>
        <v>ENSMUSG00000040021</v>
      </c>
      <c r="I2573" s="7" t="str">
        <f>HYPERLINK("http://www.informatics.jax.org/marker/MGI:1333883","MGI:1333883")</f>
        <v>MGI:1333883</v>
      </c>
      <c r="J2573" s="4" t="s">
        <v>12</v>
      </c>
    </row>
    <row r="2574" spans="1:10" x14ac:dyDescent="0.25">
      <c r="A2574" s="2">
        <v>12637.8776952484</v>
      </c>
      <c r="B2574" s="3">
        <v>0.46537450809967201</v>
      </c>
      <c r="C2574" s="5">
        <v>9.8780365694642494E-18</v>
      </c>
      <c r="D2574" s="6">
        <v>8.7824563187482006E-17</v>
      </c>
      <c r="E2574" s="3" t="s">
        <v>4453</v>
      </c>
      <c r="F2574" s="3" t="s">
        <v>4454</v>
      </c>
      <c r="G2574" s="3">
        <v>12313</v>
      </c>
      <c r="H2574" s="7" t="str">
        <f>HYPERLINK("http://www.ensembl.org/Mus_musculus/Gene/Summary?db=core;g=ENSMUSG00000001175","ENSMUSG00000001175")</f>
        <v>ENSMUSG00000001175</v>
      </c>
      <c r="I2574" s="7" t="str">
        <f>HYPERLINK("http://www.informatics.jax.org/marker/MGI:88251","MGI:88251")</f>
        <v>MGI:88251</v>
      </c>
      <c r="J2574" s="4" t="s">
        <v>12</v>
      </c>
    </row>
    <row r="2575" spans="1:10" x14ac:dyDescent="0.25">
      <c r="A2575" s="2">
        <v>741.959919149195</v>
      </c>
      <c r="B2575" s="3">
        <v>0.465292026201507</v>
      </c>
      <c r="C2575" s="5">
        <v>6.0197307229348999E-7</v>
      </c>
      <c r="D2575" s="6">
        <v>2.5484991381768201E-6</v>
      </c>
      <c r="E2575" s="3" t="s">
        <v>9331</v>
      </c>
      <c r="F2575" s="3" t="s">
        <v>9332</v>
      </c>
      <c r="G2575" s="3">
        <v>67797</v>
      </c>
      <c r="H2575" s="7" t="str">
        <f>HYPERLINK("http://www.ensembl.org/Mus_musculus/Gene/Summary?db=core;g=ENSMUSG00000021431","ENSMUSG00000021431")</f>
        <v>ENSMUSG00000021431</v>
      </c>
      <c r="I2575" s="7" t="str">
        <f>HYPERLINK("http://www.informatics.jax.org/marker/MGI:1915047","MGI:1915047")</f>
        <v>MGI:1915047</v>
      </c>
      <c r="J2575" s="4" t="s">
        <v>12</v>
      </c>
    </row>
    <row r="2576" spans="1:10" x14ac:dyDescent="0.25">
      <c r="A2576" s="2">
        <v>1815.4253539726601</v>
      </c>
      <c r="B2576" s="3">
        <v>0.46484363533272299</v>
      </c>
      <c r="C2576" s="5">
        <v>2.00617430480964E-15</v>
      </c>
      <c r="D2576" s="6">
        <v>1.5755379247648801E-14</v>
      </c>
      <c r="E2576" s="3" t="s">
        <v>5039</v>
      </c>
      <c r="F2576" s="3" t="s">
        <v>5040</v>
      </c>
      <c r="G2576" s="3">
        <v>74111</v>
      </c>
      <c r="H2576" s="7" t="str">
        <f>HYPERLINK("http://www.ensembl.org/Mus_musculus/Gene/Summary?db=core;g=ENSMUSG00000029594","ENSMUSG00000029594")</f>
        <v>ENSMUSG00000029594</v>
      </c>
      <c r="I2576" s="7" t="str">
        <f>HYPERLINK("http://www.informatics.jax.org/marker/MGI:1921361","MGI:1921361")</f>
        <v>MGI:1921361</v>
      </c>
      <c r="J2576" s="4" t="s">
        <v>12</v>
      </c>
    </row>
    <row r="2577" spans="1:10" x14ac:dyDescent="0.25">
      <c r="A2577" s="2">
        <v>56.908878018375297</v>
      </c>
      <c r="B2577" s="3">
        <v>0.464553281599908</v>
      </c>
      <c r="C2577" s="3">
        <v>4.5095980208366901E-3</v>
      </c>
      <c r="D2577" s="4">
        <v>1.2014222233301701E-2</v>
      </c>
      <c r="E2577" s="3" t="s">
        <v>14808</v>
      </c>
      <c r="F2577" s="3" t="s">
        <v>14809</v>
      </c>
      <c r="G2577" s="3" t="s">
        <v>83</v>
      </c>
      <c r="H2577" s="7" t="str">
        <f>HYPERLINK("http://www.ensembl.org/Mus_musculus/Gene/Summary?db=core;g=ENSMUSG00000055228","ENSMUSG00000055228")</f>
        <v>ENSMUSG00000055228</v>
      </c>
      <c r="I2577" s="7" t="str">
        <f>HYPERLINK("http://www.informatics.jax.org/marker/MGI:1918758","MGI:1918758")</f>
        <v>MGI:1918758</v>
      </c>
      <c r="J2577" s="4" t="s">
        <v>12</v>
      </c>
    </row>
    <row r="2578" spans="1:10" x14ac:dyDescent="0.25">
      <c r="A2578" s="2">
        <v>353.55303974282702</v>
      </c>
      <c r="B2578" s="3">
        <v>0.46443440546632703</v>
      </c>
      <c r="C2578" s="5">
        <v>1.8566875048299201E-6</v>
      </c>
      <c r="D2578" s="6">
        <v>7.4813807918361201E-6</v>
      </c>
      <c r="E2578" s="3" t="s">
        <v>9803</v>
      </c>
      <c r="F2578" s="3" t="s">
        <v>9804</v>
      </c>
      <c r="G2578" s="3">
        <v>210148</v>
      </c>
      <c r="H2578" s="7" t="str">
        <f>HYPERLINK("http://www.ensembl.org/Mus_musculus/Gene/Summary?db=core;g=ENSMUSG00000024069","ENSMUSG00000024069")</f>
        <v>ENSMUSG00000024069</v>
      </c>
      <c r="I2578" s="7" t="str">
        <f>HYPERLINK("http://www.informatics.jax.org/marker/MGI:2386741","MGI:2386741")</f>
        <v>MGI:2386741</v>
      </c>
      <c r="J2578" s="4" t="s">
        <v>12</v>
      </c>
    </row>
    <row r="2579" spans="1:10" x14ac:dyDescent="0.25">
      <c r="A2579" s="2">
        <v>4738.2386530355398</v>
      </c>
      <c r="B2579" s="3">
        <v>0.46436395578573197</v>
      </c>
      <c r="C2579" s="5">
        <v>1.3522127199536901E-16</v>
      </c>
      <c r="D2579" s="6">
        <v>1.1265582947818699E-15</v>
      </c>
      <c r="E2579" s="3" t="s">
        <v>4751</v>
      </c>
      <c r="F2579" s="3" t="s">
        <v>4752</v>
      </c>
      <c r="G2579" s="3">
        <v>26921</v>
      </c>
      <c r="H2579" s="7" t="str">
        <f>HYPERLINK("http://www.ensembl.org/Mus_musculus/Gene/Summary?db=core;g=ENSMUSG00000026074","ENSMUSG00000026074")</f>
        <v>ENSMUSG00000026074</v>
      </c>
      <c r="I2579" s="7" t="str">
        <f>HYPERLINK("http://www.informatics.jax.org/marker/MGI:1349394","MGI:1349394")</f>
        <v>MGI:1349394</v>
      </c>
      <c r="J2579" s="4" t="s">
        <v>12</v>
      </c>
    </row>
    <row r="2580" spans="1:10" x14ac:dyDescent="0.25">
      <c r="A2580" s="2">
        <v>64.972832975056804</v>
      </c>
      <c r="B2580" s="3">
        <v>0.46372567961955402</v>
      </c>
      <c r="C2580" s="3">
        <v>6.5067216081675398E-3</v>
      </c>
      <c r="D2580" s="4">
        <v>1.67948364022335E-2</v>
      </c>
      <c r="E2580" s="3" t="s">
        <v>15285</v>
      </c>
      <c r="F2580" s="3" t="s">
        <v>15286</v>
      </c>
      <c r="G2580" s="3" t="s">
        <v>83</v>
      </c>
      <c r="H2580" s="7" t="str">
        <f>HYPERLINK("http://www.ensembl.org/Mus_musculus/Gene/Summary?db=core;g=ENSMUSG00000065353","ENSMUSG00000065353")</f>
        <v>ENSMUSG00000065353</v>
      </c>
      <c r="I2580" s="7" t="str">
        <f>HYPERLINK("http://www.informatics.jax.org/marker/MGI:4360049","MGI:4360049")</f>
        <v>MGI:4360049</v>
      </c>
      <c r="J2580" s="4" t="s">
        <v>11100</v>
      </c>
    </row>
    <row r="2581" spans="1:10" x14ac:dyDescent="0.25">
      <c r="A2581" s="2">
        <v>401.96733340778599</v>
      </c>
      <c r="B2581" s="3">
        <v>0.46354901906239399</v>
      </c>
      <c r="C2581" s="3">
        <v>1.50328791654269E-4</v>
      </c>
      <c r="D2581" s="4">
        <v>4.9565018749744003E-4</v>
      </c>
      <c r="E2581" s="3" t="s">
        <v>11973</v>
      </c>
      <c r="F2581" s="3" t="s">
        <v>11974</v>
      </c>
      <c r="G2581" s="3">
        <v>216831</v>
      </c>
      <c r="H2581" s="7" t="str">
        <f>HYPERLINK("http://www.ensembl.org/Mus_musculus/Gene/Summary?db=core;g=ENSMUSG00000033389","ENSMUSG00000033389")</f>
        <v>ENSMUSG00000033389</v>
      </c>
      <c r="I2581" s="7" t="str">
        <f>HYPERLINK("http://www.informatics.jax.org/marker/MGI:2144423","MGI:2144423")</f>
        <v>MGI:2144423</v>
      </c>
      <c r="J2581" s="4" t="s">
        <v>12</v>
      </c>
    </row>
    <row r="2582" spans="1:10" x14ac:dyDescent="0.25">
      <c r="A2582" s="2">
        <v>286.17247605268398</v>
      </c>
      <c r="B2582" s="3">
        <v>0.46316460084632799</v>
      </c>
      <c r="C2582" s="5">
        <v>7.2251999581138704E-8</v>
      </c>
      <c r="D2582" s="6">
        <v>3.31043083582727E-7</v>
      </c>
      <c r="E2582" s="3" t="s">
        <v>8625</v>
      </c>
      <c r="F2582" s="3" t="s">
        <v>8626</v>
      </c>
      <c r="G2582" s="3">
        <v>66680</v>
      </c>
      <c r="H2582" s="7" t="str">
        <f>HYPERLINK("http://www.ensembl.org/Mus_musculus/Gene/Summary?db=core;g=ENSMUSG00000035399","ENSMUSG00000035399")</f>
        <v>ENSMUSG00000035399</v>
      </c>
      <c r="I2582" s="7" t="str">
        <f>HYPERLINK("http://www.informatics.jax.org/marker/MGI:1913930","MGI:1913930")</f>
        <v>MGI:1913930</v>
      </c>
      <c r="J2582" s="4" t="s">
        <v>12</v>
      </c>
    </row>
    <row r="2583" spans="1:10" x14ac:dyDescent="0.25">
      <c r="A2583" s="2">
        <v>27625.299617091499</v>
      </c>
      <c r="B2583" s="3">
        <v>0.462860367166814</v>
      </c>
      <c r="C2583" s="5">
        <v>1.2370188304680299E-13</v>
      </c>
      <c r="D2583" s="6">
        <v>8.7779817692801595E-13</v>
      </c>
      <c r="E2583" s="3" t="s">
        <v>5575</v>
      </c>
      <c r="F2583" s="3" t="s">
        <v>5576</v>
      </c>
      <c r="G2583" s="3">
        <v>15481</v>
      </c>
      <c r="H2583" s="7" t="str">
        <f>HYPERLINK("http://www.ensembl.org/Mus_musculus/Gene/Summary?db=core;g=ENSMUSG00000015656","ENSMUSG00000015656")</f>
        <v>ENSMUSG00000015656</v>
      </c>
      <c r="I2583" s="7" t="str">
        <f>HYPERLINK("http://www.informatics.jax.org/marker/MGI:105384","MGI:105384")</f>
        <v>MGI:105384</v>
      </c>
      <c r="J2583" s="4" t="s">
        <v>12</v>
      </c>
    </row>
    <row r="2584" spans="1:10" x14ac:dyDescent="0.25">
      <c r="A2584" s="2">
        <v>1809.90351199714</v>
      </c>
      <c r="B2584" s="3">
        <v>0.46271386683340598</v>
      </c>
      <c r="C2584" s="5">
        <v>4.3885487807432003E-9</v>
      </c>
      <c r="D2584" s="6">
        <v>2.2397045019735001E-8</v>
      </c>
      <c r="E2584" s="3" t="s">
        <v>7744</v>
      </c>
      <c r="F2584" s="3" t="s">
        <v>7745</v>
      </c>
      <c r="G2584" s="3">
        <v>19167</v>
      </c>
      <c r="H2584" s="7" t="str">
        <f>HYPERLINK("http://www.ensembl.org/Mus_musculus/Gene/Summary?db=core;g=ENSMUSG00000060073","ENSMUSG00000060073")</f>
        <v>ENSMUSG00000060073</v>
      </c>
      <c r="I2584" s="7" t="str">
        <f>HYPERLINK("http://www.informatics.jax.org/marker/MGI:104883","MGI:104883")</f>
        <v>MGI:104883</v>
      </c>
      <c r="J2584" s="4" t="s">
        <v>12</v>
      </c>
    </row>
    <row r="2585" spans="1:10" x14ac:dyDescent="0.25">
      <c r="A2585" s="2">
        <v>2033.92112045558</v>
      </c>
      <c r="B2585" s="3">
        <v>0.46225921916969998</v>
      </c>
      <c r="C2585" s="5">
        <v>6.92678902216255E-5</v>
      </c>
      <c r="D2585" s="4">
        <v>2.3751743960536499E-4</v>
      </c>
      <c r="E2585" s="3" t="s">
        <v>11513</v>
      </c>
      <c r="F2585" s="3" t="s">
        <v>11514</v>
      </c>
      <c r="G2585" s="3">
        <v>66168</v>
      </c>
      <c r="H2585" s="7" t="str">
        <f>HYPERLINK("http://www.ensembl.org/Mus_musculus/Gene/Summary?db=core;g=ENSMUSG00000022564","ENSMUSG00000022564")</f>
        <v>ENSMUSG00000022564</v>
      </c>
      <c r="I2585" s="7" t="str">
        <f>HYPERLINK("http://www.informatics.jax.org/marker/MGI:1913418","MGI:1913418")</f>
        <v>MGI:1913418</v>
      </c>
      <c r="J2585" s="4" t="s">
        <v>12</v>
      </c>
    </row>
    <row r="2586" spans="1:10" x14ac:dyDescent="0.25">
      <c r="A2586" s="2">
        <v>285.38907484899602</v>
      </c>
      <c r="B2586" s="3">
        <v>0.46212771179332202</v>
      </c>
      <c r="C2586" s="3">
        <v>5.3659083648217301E-4</v>
      </c>
      <c r="D2586" s="4">
        <v>1.6454006057267101E-3</v>
      </c>
      <c r="E2586" s="3" t="s">
        <v>12871</v>
      </c>
      <c r="F2586" s="3" t="s">
        <v>12872</v>
      </c>
      <c r="G2586" s="3">
        <v>66251</v>
      </c>
      <c r="H2586" s="7" t="str">
        <f>HYPERLINK("http://www.ensembl.org/Mus_musculus/Gene/Summary?db=core;g=ENSMUSG00000054277","ENSMUSG00000054277")</f>
        <v>ENSMUSG00000054277</v>
      </c>
      <c r="I2586" s="7" t="str">
        <f>HYPERLINK("http://www.informatics.jax.org/marker/MGI:1913501","MGI:1913501")</f>
        <v>MGI:1913501</v>
      </c>
      <c r="J2586" s="4" t="s">
        <v>12</v>
      </c>
    </row>
    <row r="2587" spans="1:10" x14ac:dyDescent="0.25">
      <c r="A2587" s="2">
        <v>394.51414738494202</v>
      </c>
      <c r="B2587" s="3">
        <v>0.462109522482129</v>
      </c>
      <c r="C2587" s="5">
        <v>7.2150330423824794E-8</v>
      </c>
      <c r="D2587" s="6">
        <v>3.3065408225838401E-7</v>
      </c>
      <c r="E2587" s="3" t="s">
        <v>8623</v>
      </c>
      <c r="F2587" s="3" t="s">
        <v>8624</v>
      </c>
      <c r="G2587" s="3" t="s">
        <v>83</v>
      </c>
      <c r="H2587" s="7" t="str">
        <f>HYPERLINK("http://www.ensembl.org/Mus_musculus/Gene/Summary?db=core;g=ENSMUSG00000115423","ENSMUSG00000115423")</f>
        <v>ENSMUSG00000115423</v>
      </c>
      <c r="I2587" s="3" t="s">
        <v>83</v>
      </c>
      <c r="J2587" s="4" t="s">
        <v>12</v>
      </c>
    </row>
    <row r="2588" spans="1:10" x14ac:dyDescent="0.25">
      <c r="A2588" s="2">
        <v>1376.7441173556999</v>
      </c>
      <c r="B2588" s="3">
        <v>0.461472223817811</v>
      </c>
      <c r="C2588" s="5">
        <v>1.6787659686493999E-20</v>
      </c>
      <c r="D2588" s="6">
        <v>1.70469953150186E-19</v>
      </c>
      <c r="E2588" s="3" t="s">
        <v>3902</v>
      </c>
      <c r="F2588" s="3" t="s">
        <v>3903</v>
      </c>
      <c r="G2588" s="3">
        <v>224092</v>
      </c>
      <c r="H2588" s="7" t="str">
        <f>HYPERLINK("http://www.ensembl.org/Mus_musculus/Gene/Summary?db=core;g=ENSMUSG00000022538","ENSMUSG00000022538")</f>
        <v>ENSMUSG00000022538</v>
      </c>
      <c r="I2588" s="7" t="str">
        <f>HYPERLINK("http://www.informatics.jax.org/marker/MGI:107236","MGI:107236")</f>
        <v>MGI:107236</v>
      </c>
      <c r="J2588" s="4" t="s">
        <v>12</v>
      </c>
    </row>
    <row r="2589" spans="1:10" x14ac:dyDescent="0.25">
      <c r="A2589" s="2">
        <v>2326.8966182229701</v>
      </c>
      <c r="B2589" s="3">
        <v>0.46140812741838699</v>
      </c>
      <c r="C2589" s="5">
        <v>3.7116915345929301E-10</v>
      </c>
      <c r="D2589" s="6">
        <v>2.0594979477257301E-9</v>
      </c>
      <c r="E2589" s="3" t="s">
        <v>7126</v>
      </c>
      <c r="F2589" s="3" t="s">
        <v>7127</v>
      </c>
      <c r="G2589" s="3">
        <v>226652</v>
      </c>
      <c r="H2589" s="7" t="str">
        <f>HYPERLINK("http://www.ensembl.org/Mus_musculus/Gene/Summary?db=core;g=ENSMUSG00000048865","ENSMUSG00000048865")</f>
        <v>ENSMUSG00000048865</v>
      </c>
      <c r="I2589" s="7" t="str">
        <f>HYPERLINK("http://www.informatics.jax.org/marker/MGI:2684948","MGI:2684948")</f>
        <v>MGI:2684948</v>
      </c>
      <c r="J2589" s="4" t="s">
        <v>12</v>
      </c>
    </row>
    <row r="2590" spans="1:10" x14ac:dyDescent="0.25">
      <c r="A2590" s="2">
        <v>5716.3524396472903</v>
      </c>
      <c r="B2590" s="3">
        <v>0.46134441849927399</v>
      </c>
      <c r="C2590" s="5">
        <v>9.1450805138087103E-23</v>
      </c>
      <c r="D2590" s="6">
        <v>1.0252472298596201E-21</v>
      </c>
      <c r="E2590" s="3" t="s">
        <v>3536</v>
      </c>
      <c r="F2590" s="3" t="s">
        <v>3537</v>
      </c>
      <c r="G2590" s="3">
        <v>66865</v>
      </c>
      <c r="H2590" s="7" t="str">
        <f>HYPERLINK("http://www.ensembl.org/Mus_musculus/Gene/Summary?db=core;g=ENSMUSG00000026926","ENSMUSG00000026926")</f>
        <v>ENSMUSG00000026926</v>
      </c>
      <c r="I2590" s="7" t="str">
        <f>HYPERLINK("http://www.informatics.jax.org/marker/MGI:1918568","MGI:1918568")</f>
        <v>MGI:1918568</v>
      </c>
      <c r="J2590" s="4" t="s">
        <v>12</v>
      </c>
    </row>
    <row r="2591" spans="1:10" x14ac:dyDescent="0.25">
      <c r="A2591" s="2">
        <v>1486.4206768714</v>
      </c>
      <c r="B2591" s="3">
        <v>0.46127259764507</v>
      </c>
      <c r="C2591" s="5">
        <v>1.4674849532726601E-14</v>
      </c>
      <c r="D2591" s="6">
        <v>1.1011721186657899E-13</v>
      </c>
      <c r="E2591" s="3" t="s">
        <v>5273</v>
      </c>
      <c r="F2591" s="3" t="s">
        <v>5274</v>
      </c>
      <c r="G2591" s="3">
        <v>15975</v>
      </c>
      <c r="H2591" s="7" t="str">
        <f>HYPERLINK("http://www.ensembl.org/Mus_musculus/Gene/Summary?db=core;g=ENSMUSG00000022967","ENSMUSG00000022967")</f>
        <v>ENSMUSG00000022967</v>
      </c>
      <c r="I2591" s="7" t="str">
        <f>HYPERLINK("http://www.informatics.jax.org/marker/MGI:107658","MGI:107658")</f>
        <v>MGI:107658</v>
      </c>
      <c r="J2591" s="4" t="s">
        <v>12</v>
      </c>
    </row>
    <row r="2592" spans="1:10" x14ac:dyDescent="0.25">
      <c r="A2592" s="2">
        <v>1933.6025132337099</v>
      </c>
      <c r="B2592" s="3">
        <v>0.46122766140132299</v>
      </c>
      <c r="C2592" s="5">
        <v>2.13593362716932E-9</v>
      </c>
      <c r="D2592" s="6">
        <v>1.1157777782193099E-8</v>
      </c>
      <c r="E2592" s="3" t="s">
        <v>7568</v>
      </c>
      <c r="F2592" s="3" t="s">
        <v>7569</v>
      </c>
      <c r="G2592" s="3">
        <v>19185</v>
      </c>
      <c r="H2592" s="7" t="str">
        <f>HYPERLINK("http://www.ensembl.org/Mus_musculus/Gene/Summary?db=core;g=ENSMUSG00000005625","ENSMUSG00000005625")</f>
        <v>ENSMUSG00000005625</v>
      </c>
      <c r="I2592" s="7" t="str">
        <f>HYPERLINK("http://www.informatics.jax.org/marker/MGI:1201670","MGI:1201670")</f>
        <v>MGI:1201670</v>
      </c>
      <c r="J2592" s="4" t="s">
        <v>12</v>
      </c>
    </row>
    <row r="2593" spans="1:10" x14ac:dyDescent="0.25">
      <c r="A2593" s="2">
        <v>5344.9135043570004</v>
      </c>
      <c r="B2593" s="3">
        <v>0.46122380700311699</v>
      </c>
      <c r="C2593" s="5">
        <v>8.1517420096205398E-30</v>
      </c>
      <c r="D2593" s="6">
        <v>1.1934101887878E-28</v>
      </c>
      <c r="E2593" s="3" t="s">
        <v>2712</v>
      </c>
      <c r="F2593" s="3" t="s">
        <v>2713</v>
      </c>
      <c r="G2593" s="3">
        <v>268396</v>
      </c>
      <c r="H2593" s="7" t="str">
        <f>HYPERLINK("http://www.ensembl.org/Mus_musculus/Gene/Summary?db=core;g=ENSMUSG00000040711","ENSMUSG00000040711")</f>
        <v>ENSMUSG00000040711</v>
      </c>
      <c r="I2593" s="7" t="str">
        <f>HYPERLINK("http://www.informatics.jax.org/marker/MGI:2442062","MGI:2442062")</f>
        <v>MGI:2442062</v>
      </c>
      <c r="J2593" s="4" t="s">
        <v>12</v>
      </c>
    </row>
    <row r="2594" spans="1:10" x14ac:dyDescent="0.25">
      <c r="A2594" s="2">
        <v>1912.7242476123199</v>
      </c>
      <c r="B2594" s="3">
        <v>0.46097959700733798</v>
      </c>
      <c r="C2594" s="5">
        <v>2.8775650889962298E-9</v>
      </c>
      <c r="D2594" s="6">
        <v>1.4874333828310799E-8</v>
      </c>
      <c r="E2594" s="3" t="s">
        <v>7646</v>
      </c>
      <c r="F2594" s="3" t="s">
        <v>7647</v>
      </c>
      <c r="G2594" s="3">
        <v>66860</v>
      </c>
      <c r="H2594" s="7" t="str">
        <f>HYPERLINK("http://www.ensembl.org/Mus_musculus/Gene/Summary?db=core;g=ENSMUSG00000035168","ENSMUSG00000035168")</f>
        <v>ENSMUSG00000035168</v>
      </c>
      <c r="I2594" s="7" t="str">
        <f>HYPERLINK("http://www.informatics.jax.org/marker/MGI:1914110","MGI:1914110")</f>
        <v>MGI:1914110</v>
      </c>
      <c r="J2594" s="4" t="s">
        <v>12</v>
      </c>
    </row>
    <row r="2595" spans="1:10" x14ac:dyDescent="0.25">
      <c r="A2595" s="2">
        <v>4970.1377192027603</v>
      </c>
      <c r="B2595" s="3">
        <v>0.46066658975881702</v>
      </c>
      <c r="C2595" s="5">
        <v>1.50096604254136E-10</v>
      </c>
      <c r="D2595" s="6">
        <v>8.6143918390324905E-10</v>
      </c>
      <c r="E2595" s="3" t="s">
        <v>6890</v>
      </c>
      <c r="F2595" s="3" t="s">
        <v>6891</v>
      </c>
      <c r="G2595" s="3">
        <v>21969</v>
      </c>
      <c r="H2595" s="7" t="str">
        <f>HYPERLINK("http://www.ensembl.org/Mus_musculus/Gene/Summary?db=core;g=ENSMUSG00000070544","ENSMUSG00000070544")</f>
        <v>ENSMUSG00000070544</v>
      </c>
      <c r="I2595" s="7" t="str">
        <f>HYPERLINK("http://www.informatics.jax.org/marker/MGI:98788","MGI:98788")</f>
        <v>MGI:98788</v>
      </c>
      <c r="J2595" s="4" t="s">
        <v>12</v>
      </c>
    </row>
    <row r="2596" spans="1:10" x14ac:dyDescent="0.25">
      <c r="A2596" s="2">
        <v>3774.2198628609699</v>
      </c>
      <c r="B2596" s="3">
        <v>0.459607871183001</v>
      </c>
      <c r="C2596" s="5">
        <v>3.5172459428800298E-15</v>
      </c>
      <c r="D2596" s="6">
        <v>2.7285637290949701E-14</v>
      </c>
      <c r="E2596" s="3" t="s">
        <v>5101</v>
      </c>
      <c r="F2596" s="3" t="s">
        <v>5102</v>
      </c>
      <c r="G2596" s="3">
        <v>21803</v>
      </c>
      <c r="H2596" s="7" t="str">
        <f>HYPERLINK("http://www.ensembl.org/Mus_musculus/Gene/Summary?db=core;g=ENSMUSG00000002603","ENSMUSG00000002603")</f>
        <v>ENSMUSG00000002603</v>
      </c>
      <c r="I2596" s="7" t="str">
        <f>HYPERLINK("http://www.informatics.jax.org/marker/MGI:98725","MGI:98725")</f>
        <v>MGI:98725</v>
      </c>
      <c r="J2596" s="4" t="s">
        <v>12</v>
      </c>
    </row>
    <row r="2597" spans="1:10" x14ac:dyDescent="0.25">
      <c r="A2597" s="2">
        <v>296.32915711158398</v>
      </c>
      <c r="B2597" s="3">
        <v>0.45950459527500198</v>
      </c>
      <c r="C2597" s="5">
        <v>3.9084599177948397E-6</v>
      </c>
      <c r="D2597" s="6">
        <v>1.52472462075003E-5</v>
      </c>
      <c r="E2597" s="3" t="s">
        <v>10126</v>
      </c>
      <c r="F2597" s="3" t="s">
        <v>10127</v>
      </c>
      <c r="G2597" s="3">
        <v>109241</v>
      </c>
      <c r="H2597" s="7" t="str">
        <f>HYPERLINK("http://www.ensembl.org/Mus_musculus/Gene/Summary?db=core;g=ENSMUSG00000036792","ENSMUSG00000036792")</f>
        <v>ENSMUSG00000036792</v>
      </c>
      <c r="I2597" s="7" t="str">
        <f>HYPERLINK("http://www.informatics.jax.org/marker/MGI:2138934","MGI:2138934")</f>
        <v>MGI:2138934</v>
      </c>
      <c r="J2597" s="4" t="s">
        <v>12</v>
      </c>
    </row>
    <row r="2598" spans="1:10" x14ac:dyDescent="0.25">
      <c r="A2598" s="2">
        <v>161.10148143768299</v>
      </c>
      <c r="B2598" s="3">
        <v>0.459351096401791</v>
      </c>
      <c r="C2598" s="5">
        <v>1.13190122477049E-5</v>
      </c>
      <c r="D2598" s="6">
        <v>4.2194881195603197E-5</v>
      </c>
      <c r="E2598" s="3" t="s">
        <v>10593</v>
      </c>
      <c r="F2598" s="3" t="s">
        <v>10594</v>
      </c>
      <c r="G2598" s="3">
        <v>58180</v>
      </c>
      <c r="H2598" s="7" t="str">
        <f>HYPERLINK("http://www.ensembl.org/Mus_musculus/Gene/Summary?db=core;g=ENSMUSG00000050240","ENSMUSG00000050240")</f>
        <v>ENSMUSG00000050240</v>
      </c>
      <c r="I2598" s="7" t="str">
        <f>HYPERLINK("http://www.informatics.jax.org/marker/MGI:1929869","MGI:1929869")</f>
        <v>MGI:1929869</v>
      </c>
      <c r="J2598" s="4" t="s">
        <v>12</v>
      </c>
    </row>
    <row r="2599" spans="1:10" x14ac:dyDescent="0.25">
      <c r="A2599" s="2">
        <v>207.883998843331</v>
      </c>
      <c r="B2599" s="3">
        <v>0.45932570159093999</v>
      </c>
      <c r="C2599" s="3">
        <v>3.54031249299987E-4</v>
      </c>
      <c r="D2599" s="4">
        <v>1.1118802733231E-3</v>
      </c>
      <c r="E2599" s="3" t="s">
        <v>12571</v>
      </c>
      <c r="F2599" s="3" t="s">
        <v>12572</v>
      </c>
      <c r="G2599" s="3">
        <v>244421</v>
      </c>
      <c r="H2599" s="7" t="str">
        <f>HYPERLINK("http://www.ensembl.org/Mus_musculus/Gene/Summary?db=core;g=ENSMUSG00000039633","ENSMUSG00000039633")</f>
        <v>ENSMUSG00000039633</v>
      </c>
      <c r="I2599" s="7" t="str">
        <f>HYPERLINK("http://www.informatics.jax.org/marker/MGI:3609241","MGI:3609241")</f>
        <v>MGI:3609241</v>
      </c>
      <c r="J2599" s="4" t="s">
        <v>12</v>
      </c>
    </row>
    <row r="2600" spans="1:10" x14ac:dyDescent="0.25">
      <c r="A2600" s="2">
        <v>239.17252123224901</v>
      </c>
      <c r="B2600" s="3">
        <v>0.45931761228641499</v>
      </c>
      <c r="C2600" s="5">
        <v>4.73067284925255E-6</v>
      </c>
      <c r="D2600" s="6">
        <v>1.8299111139125201E-5</v>
      </c>
      <c r="E2600" s="3" t="s">
        <v>10210</v>
      </c>
      <c r="F2600" s="3" t="s">
        <v>10211</v>
      </c>
      <c r="G2600" s="3">
        <v>66061</v>
      </c>
      <c r="H2600" s="7" t="str">
        <f>HYPERLINK("http://www.ensembl.org/Mus_musculus/Gene/Summary?db=core;g=ENSMUSG00000014075","ENSMUSG00000014075")</f>
        <v>ENSMUSG00000014075</v>
      </c>
      <c r="I2600" s="7" t="str">
        <f>HYPERLINK("http://www.informatics.jax.org/marker/MGI:1913311","MGI:1913311")</f>
        <v>MGI:1913311</v>
      </c>
      <c r="J2600" s="4" t="s">
        <v>12</v>
      </c>
    </row>
    <row r="2601" spans="1:10" x14ac:dyDescent="0.25">
      <c r="A2601" s="2">
        <v>785.726003362813</v>
      </c>
      <c r="B2601" s="3">
        <v>0.45927009010712799</v>
      </c>
      <c r="C2601" s="5">
        <v>2.71866288821891E-11</v>
      </c>
      <c r="D2601" s="6">
        <v>1.6516337694293599E-10</v>
      </c>
      <c r="E2601" s="3" t="s">
        <v>6509</v>
      </c>
      <c r="F2601" s="3" t="s">
        <v>6510</v>
      </c>
      <c r="G2601" s="3">
        <v>66632</v>
      </c>
      <c r="H2601" s="7" t="str">
        <f>HYPERLINK("http://www.ensembl.org/Mus_musculus/Gene/Summary?db=core;g=ENSMUSG00000057147","ENSMUSG00000057147")</f>
        <v>ENSMUSG00000057147</v>
      </c>
      <c r="I2601" s="7" t="str">
        <f>HYPERLINK("http://www.informatics.jax.org/marker/MGI:1913882","MGI:1913882")</f>
        <v>MGI:1913882</v>
      </c>
      <c r="J2601" s="4" t="s">
        <v>12</v>
      </c>
    </row>
    <row r="2602" spans="1:10" x14ac:dyDescent="0.25">
      <c r="A2602" s="2">
        <v>585.85028853962604</v>
      </c>
      <c r="B2602" s="3">
        <v>0.45921292977842199</v>
      </c>
      <c r="C2602" s="5">
        <v>9.3209203061665196E-11</v>
      </c>
      <c r="D2602" s="6">
        <v>5.4220810748555704E-10</v>
      </c>
      <c r="E2602" s="3" t="s">
        <v>6798</v>
      </c>
      <c r="F2602" s="3" t="s">
        <v>6799</v>
      </c>
      <c r="G2602" s="3">
        <v>56335</v>
      </c>
      <c r="H2602" s="7" t="str">
        <f>HYPERLINK("http://www.ensembl.org/Mus_musculus/Gene/Summary?db=core;g=ENSMUSG00000022160","ENSMUSG00000022160")</f>
        <v>ENSMUSG00000022160</v>
      </c>
      <c r="I2602" s="7" t="str">
        <f>HYPERLINK("http://www.informatics.jax.org/marker/MGI:1927165","MGI:1927165")</f>
        <v>MGI:1927165</v>
      </c>
      <c r="J2602" s="4" t="s">
        <v>12</v>
      </c>
    </row>
    <row r="2603" spans="1:10" x14ac:dyDescent="0.25">
      <c r="A2603" s="2">
        <v>523.48459531938204</v>
      </c>
      <c r="B2603" s="3">
        <v>0.45895019577570301</v>
      </c>
      <c r="C2603" s="5">
        <v>3.7727217851691601E-10</v>
      </c>
      <c r="D2603" s="6">
        <v>2.0907057419541399E-9</v>
      </c>
      <c r="E2603" s="3" t="s">
        <v>7134</v>
      </c>
      <c r="F2603" s="3" t="s">
        <v>7135</v>
      </c>
      <c r="G2603" s="3">
        <v>227738</v>
      </c>
      <c r="H2603" s="7" t="str">
        <f>HYPERLINK("http://www.ensembl.org/Mus_musculus/Gene/Summary?db=core;g=ENSMUSG00000026792","ENSMUSG00000026792")</f>
        <v>ENSMUSG00000026792</v>
      </c>
      <c r="I2603" s="7" t="str">
        <f>HYPERLINK("http://www.informatics.jax.org/marker/MGI:2684789","MGI:2684789")</f>
        <v>MGI:2684789</v>
      </c>
      <c r="J2603" s="4" t="s">
        <v>12</v>
      </c>
    </row>
    <row r="2604" spans="1:10" x14ac:dyDescent="0.25">
      <c r="A2604" s="2">
        <v>3195.0045703634801</v>
      </c>
      <c r="B2604" s="3">
        <v>0.45815603605222099</v>
      </c>
      <c r="C2604" s="5">
        <v>9.0366376119663208E-6</v>
      </c>
      <c r="D2604" s="6">
        <v>3.4008109486254898E-5</v>
      </c>
      <c r="E2604" s="3" t="s">
        <v>10494</v>
      </c>
      <c r="F2604" s="3" t="s">
        <v>10495</v>
      </c>
      <c r="G2604" s="3">
        <v>239217</v>
      </c>
      <c r="H2604" s="7" t="str">
        <f>HYPERLINK("http://www.ensembl.org/Mus_musculus/Gene/Summary?db=core;g=ENSMUSG00000098557","ENSMUSG00000098557")</f>
        <v>ENSMUSG00000098557</v>
      </c>
      <c r="I2604" s="7" t="str">
        <f>HYPERLINK("http://www.informatics.jax.org/marker/MGI:2145823","MGI:2145823")</f>
        <v>MGI:2145823</v>
      </c>
      <c r="J2604" s="4" t="s">
        <v>12</v>
      </c>
    </row>
    <row r="2605" spans="1:10" x14ac:dyDescent="0.25">
      <c r="A2605" s="2">
        <v>650.32919014599304</v>
      </c>
      <c r="B2605" s="3">
        <v>0.45797731334374903</v>
      </c>
      <c r="C2605" s="5">
        <v>4.4880723813157899E-10</v>
      </c>
      <c r="D2605" s="6">
        <v>2.4701308222033899E-9</v>
      </c>
      <c r="E2605" s="3" t="s">
        <v>7184</v>
      </c>
      <c r="F2605" s="3" t="s">
        <v>7185</v>
      </c>
      <c r="G2605" s="3">
        <v>54644</v>
      </c>
      <c r="H2605" s="7" t="str">
        <f>HYPERLINK("http://www.ensembl.org/Mus_musculus/Gene/Summary?db=core;g=ENSMUSG00000031154","ENSMUSG00000031154")</f>
        <v>ENSMUSG00000031154</v>
      </c>
      <c r="I2605" s="7" t="str">
        <f>HYPERLINK("http://www.informatics.jax.org/marker/MGI:1859615","MGI:1859615")</f>
        <v>MGI:1859615</v>
      </c>
      <c r="J2605" s="4" t="s">
        <v>12</v>
      </c>
    </row>
    <row r="2606" spans="1:10" x14ac:dyDescent="0.25">
      <c r="A2606" s="2">
        <v>551.99479662809495</v>
      </c>
      <c r="B2606" s="3">
        <v>0.45743270842225298</v>
      </c>
      <c r="C2606" s="5">
        <v>1.07638596465085E-12</v>
      </c>
      <c r="D2606" s="6">
        <v>7.2051361924353997E-12</v>
      </c>
      <c r="E2606" s="3" t="s">
        <v>5909</v>
      </c>
      <c r="F2606" s="3" t="s">
        <v>5910</v>
      </c>
      <c r="G2606" s="3">
        <v>14391</v>
      </c>
      <c r="H2606" s="7" t="str">
        <f>HYPERLINK("http://www.ensembl.org/Mus_musculus/Gene/Summary?db=core;g=ENSMUSG00000027361","ENSMUSG00000027361")</f>
        <v>ENSMUSG00000027361</v>
      </c>
      <c r="I2606" s="7" t="str">
        <f>HYPERLINK("http://www.informatics.jax.org/marker/MGI:95611","MGI:95611")</f>
        <v>MGI:95611</v>
      </c>
      <c r="J2606" s="4" t="s">
        <v>12</v>
      </c>
    </row>
    <row r="2607" spans="1:10" x14ac:dyDescent="0.25">
      <c r="A2607" s="2">
        <v>799.55145365763201</v>
      </c>
      <c r="B2607" s="3">
        <v>0.45743077794861497</v>
      </c>
      <c r="C2607" s="5">
        <v>1.8179119099195001E-6</v>
      </c>
      <c r="D2607" s="6">
        <v>7.3296305180152297E-6</v>
      </c>
      <c r="E2607" s="3" t="s">
        <v>9797</v>
      </c>
      <c r="F2607" s="3" t="s">
        <v>9798</v>
      </c>
      <c r="G2607" s="3" t="s">
        <v>83</v>
      </c>
      <c r="H2607" s="7" t="str">
        <f>HYPERLINK("http://www.ensembl.org/Mus_musculus/Gene/Summary?db=core;g=ENSMUSG00000113902","ENSMUSG00000113902")</f>
        <v>ENSMUSG00000113902</v>
      </c>
      <c r="I2607" s="7" t="str">
        <f>HYPERLINK("http://www.informatics.jax.org/marker/MGI:3780865","MGI:3780865")</f>
        <v>MGI:3780865</v>
      </c>
      <c r="J2607" s="4" t="s">
        <v>12</v>
      </c>
    </row>
    <row r="2608" spans="1:10" x14ac:dyDescent="0.25">
      <c r="A2608" s="2">
        <v>396.88714301074702</v>
      </c>
      <c r="B2608" s="3">
        <v>0.45705462329144902</v>
      </c>
      <c r="C2608" s="3">
        <v>2.4635770294896802E-4</v>
      </c>
      <c r="D2608" s="4">
        <v>7.9058973183948795E-4</v>
      </c>
      <c r="E2608" s="3" t="s">
        <v>12301</v>
      </c>
      <c r="F2608" s="3" t="s">
        <v>12302</v>
      </c>
      <c r="G2608" s="3">
        <v>72121</v>
      </c>
      <c r="H2608" s="7" t="str">
        <f>HYPERLINK("http://www.ensembl.org/Mus_musculus/Gene/Summary?db=core;g=ENSMUSG00000027901","ENSMUSG00000027901")</f>
        <v>ENSMUSG00000027901</v>
      </c>
      <c r="I2608" s="7" t="str">
        <f>HYPERLINK("http://www.informatics.jax.org/marker/MGI:2181193","MGI:2181193")</f>
        <v>MGI:2181193</v>
      </c>
      <c r="J2608" s="4" t="s">
        <v>12</v>
      </c>
    </row>
    <row r="2609" spans="1:10" x14ac:dyDescent="0.25">
      <c r="A2609" s="2">
        <v>4635.9748573096804</v>
      </c>
      <c r="B2609" s="3">
        <v>0.45702976453934002</v>
      </c>
      <c r="C2609" s="5">
        <v>6.0485366121732497E-22</v>
      </c>
      <c r="D2609" s="6">
        <v>6.5250077676179697E-21</v>
      </c>
      <c r="E2609" s="3" t="s">
        <v>3674</v>
      </c>
      <c r="F2609" s="3" t="s">
        <v>3675</v>
      </c>
      <c r="G2609" s="3">
        <v>55989</v>
      </c>
      <c r="H2609" s="7" t="str">
        <f>HYPERLINK("http://www.ensembl.org/Mus_musculus/Gene/Summary?db=core;g=ENSMUSG00000026020","ENSMUSG00000026020")</f>
        <v>ENSMUSG00000026020</v>
      </c>
      <c r="I2609" s="7" t="str">
        <f>HYPERLINK("http://www.informatics.jax.org/marker/MGI:1933184","MGI:1933184")</f>
        <v>MGI:1933184</v>
      </c>
      <c r="J2609" s="4" t="s">
        <v>12</v>
      </c>
    </row>
    <row r="2610" spans="1:10" x14ac:dyDescent="0.25">
      <c r="A2610" s="2">
        <v>726.70720394552302</v>
      </c>
      <c r="B2610" s="3">
        <v>0.45663303954616902</v>
      </c>
      <c r="C2610" s="5">
        <v>6.5033008877524998E-12</v>
      </c>
      <c r="D2610" s="6">
        <v>4.1276180723038099E-11</v>
      </c>
      <c r="E2610" s="3" t="s">
        <v>6231</v>
      </c>
      <c r="F2610" s="3" t="s">
        <v>6232</v>
      </c>
      <c r="G2610" s="3">
        <v>68770</v>
      </c>
      <c r="H2610" s="7" t="str">
        <f>HYPERLINK("http://www.ensembl.org/Mus_musculus/Gene/Summary?db=core;g=ENSMUSG00000039987","ENSMUSG00000039987")</f>
        <v>ENSMUSG00000039987</v>
      </c>
      <c r="I2610" s="7" t="str">
        <f>HYPERLINK("http://www.informatics.jax.org/marker/MGI:1916020","MGI:1916020")</f>
        <v>MGI:1916020</v>
      </c>
      <c r="J2610" s="4" t="s">
        <v>12</v>
      </c>
    </row>
    <row r="2611" spans="1:10" x14ac:dyDescent="0.25">
      <c r="A2611" s="2">
        <v>551.08072002236497</v>
      </c>
      <c r="B2611" s="3">
        <v>0.45640985576127302</v>
      </c>
      <c r="C2611" s="5">
        <v>1.6581850044904299E-11</v>
      </c>
      <c r="D2611" s="6">
        <v>1.02121824761247E-10</v>
      </c>
      <c r="E2611" s="3" t="s">
        <v>6421</v>
      </c>
      <c r="F2611" s="3" t="s">
        <v>6422</v>
      </c>
      <c r="G2611" s="3">
        <v>67213</v>
      </c>
      <c r="H2611" s="7" t="str">
        <f>HYPERLINK("http://www.ensembl.org/Mus_musculus/Gene/Summary?db=core;g=ENSMUSG00000032434","ENSMUSG00000032434")</f>
        <v>ENSMUSG00000032434</v>
      </c>
      <c r="I2611" s="7" t="str">
        <f>HYPERLINK("http://www.informatics.jax.org/marker/MGI:2447165","MGI:2447165")</f>
        <v>MGI:2447165</v>
      </c>
      <c r="J2611" s="4" t="s">
        <v>12</v>
      </c>
    </row>
    <row r="2612" spans="1:10" x14ac:dyDescent="0.25">
      <c r="A2612" s="2">
        <v>1913.05181497891</v>
      </c>
      <c r="B2612" s="3">
        <v>0.45636466658397101</v>
      </c>
      <c r="C2612" s="5">
        <v>9.4251145416671597E-23</v>
      </c>
      <c r="D2612" s="6">
        <v>1.0560412429640701E-21</v>
      </c>
      <c r="E2612" s="3" t="s">
        <v>3538</v>
      </c>
      <c r="F2612" s="3" t="s">
        <v>3539</v>
      </c>
      <c r="G2612" s="3">
        <v>68095</v>
      </c>
      <c r="H2612" s="7" t="str">
        <f>HYPERLINK("http://www.ensembl.org/Mus_musculus/Gene/Summary?db=core;g=ENSMUSG00000029152","ENSMUSG00000029152")</f>
        <v>ENSMUSG00000029152</v>
      </c>
      <c r="I2612" s="7" t="str">
        <f>HYPERLINK("http://www.informatics.jax.org/marker/MGI:1915345","MGI:1915345")</f>
        <v>MGI:1915345</v>
      </c>
      <c r="J2612" s="4" t="s">
        <v>12</v>
      </c>
    </row>
    <row r="2613" spans="1:10" x14ac:dyDescent="0.25">
      <c r="A2613" s="2">
        <v>1899.78480055817</v>
      </c>
      <c r="B2613" s="3">
        <v>0.45618368100557899</v>
      </c>
      <c r="C2613" s="5">
        <v>2.23726423407406E-26</v>
      </c>
      <c r="D2613" s="6">
        <v>2.8873593387395602E-25</v>
      </c>
      <c r="E2613" s="3" t="s">
        <v>3074</v>
      </c>
      <c r="F2613" s="3" t="s">
        <v>3075</v>
      </c>
      <c r="G2613" s="3">
        <v>231672</v>
      </c>
      <c r="H2613" s="7" t="str">
        <f>HYPERLINK("http://www.ensembl.org/Mus_musculus/Gene/Summary?db=core;g=ENSMUSG00000032867","ENSMUSG00000032867")</f>
        <v>ENSMUSG00000032867</v>
      </c>
      <c r="I2613" s="7" t="str">
        <f>HYPERLINK("http://www.informatics.jax.org/marker/MGI:1923041","MGI:1923041")</f>
        <v>MGI:1923041</v>
      </c>
      <c r="J2613" s="4" t="s">
        <v>12</v>
      </c>
    </row>
    <row r="2614" spans="1:10" x14ac:dyDescent="0.25">
      <c r="A2614" s="2">
        <v>4449.1132213933297</v>
      </c>
      <c r="B2614" s="3">
        <v>0.45613709834736599</v>
      </c>
      <c r="C2614" s="5">
        <v>1.9147061929808001E-18</v>
      </c>
      <c r="D2614" s="6">
        <v>1.7676969159916401E-17</v>
      </c>
      <c r="E2614" s="3" t="s">
        <v>4289</v>
      </c>
      <c r="F2614" s="3" t="s">
        <v>4290</v>
      </c>
      <c r="G2614" s="3">
        <v>321022</v>
      </c>
      <c r="H2614" s="7" t="str">
        <f>HYPERLINK("http://www.ensembl.org/Mus_musculus/Gene/Summary?db=core;g=ENSMUSG00000032803","ENSMUSG00000032803")</f>
        <v>ENSMUSG00000032803</v>
      </c>
      <c r="I2614" s="7" t="str">
        <f>HYPERLINK("http://www.informatics.jax.org/marker/MGI:2448759","MGI:2448759")</f>
        <v>MGI:2448759</v>
      </c>
      <c r="J2614" s="4" t="s">
        <v>12</v>
      </c>
    </row>
    <row r="2615" spans="1:10" x14ac:dyDescent="0.25">
      <c r="A2615" s="2">
        <v>1628.80966976782</v>
      </c>
      <c r="B2615" s="3">
        <v>0.45611946141557902</v>
      </c>
      <c r="C2615" s="5">
        <v>3.5108492572907101E-27</v>
      </c>
      <c r="D2615" s="6">
        <v>4.64657364790421E-26</v>
      </c>
      <c r="E2615" s="3" t="s">
        <v>2998</v>
      </c>
      <c r="F2615" s="3" t="s">
        <v>2999</v>
      </c>
      <c r="G2615" s="3">
        <v>170750</v>
      </c>
      <c r="H2615" s="7" t="str">
        <f>HYPERLINK("http://www.ensembl.org/Mus_musculus/Gene/Summary?db=core;g=ENSMUSG00000025027","ENSMUSG00000025027")</f>
        <v>ENSMUSG00000025027</v>
      </c>
      <c r="I2615" s="7" t="str">
        <f>HYPERLINK("http://www.informatics.jax.org/marker/MGI:2180003","MGI:2180003")</f>
        <v>MGI:2180003</v>
      </c>
      <c r="J2615" s="4" t="s">
        <v>12</v>
      </c>
    </row>
    <row r="2616" spans="1:10" x14ac:dyDescent="0.25">
      <c r="A2616" s="2">
        <v>986.03450661765203</v>
      </c>
      <c r="B2616" s="3">
        <v>0.45609059595263401</v>
      </c>
      <c r="C2616" s="5">
        <v>3.5302232240093498E-10</v>
      </c>
      <c r="D2616" s="6">
        <v>1.9632262260988301E-9</v>
      </c>
      <c r="E2616" s="3" t="s">
        <v>7110</v>
      </c>
      <c r="F2616" s="3" t="s">
        <v>7111</v>
      </c>
      <c r="G2616" s="3">
        <v>320790</v>
      </c>
      <c r="H2616" s="7" t="str">
        <f>HYPERLINK("http://www.ensembl.org/Mus_musculus/Gene/Summary?db=core;g=ENSMUSG00000041235","ENSMUSG00000041235")</f>
        <v>ENSMUSG00000041235</v>
      </c>
      <c r="I2616" s="7" t="str">
        <f>HYPERLINK("http://www.informatics.jax.org/marker/MGI:2444748","MGI:2444748")</f>
        <v>MGI:2444748</v>
      </c>
      <c r="J2616" s="4" t="s">
        <v>12</v>
      </c>
    </row>
    <row r="2617" spans="1:10" x14ac:dyDescent="0.25">
      <c r="A2617" s="2">
        <v>217.39626344803</v>
      </c>
      <c r="B2617" s="3">
        <v>0.456062289614387</v>
      </c>
      <c r="C2617" s="3">
        <v>1.030993257105E-2</v>
      </c>
      <c r="D2617" s="4">
        <v>2.5593135737802902E-2</v>
      </c>
      <c r="E2617" s="3" t="s">
        <v>15893</v>
      </c>
      <c r="F2617" s="3" t="s">
        <v>15894</v>
      </c>
      <c r="G2617" s="3">
        <v>53945</v>
      </c>
      <c r="H2617" s="7" t="str">
        <f>HYPERLINK("http://www.ensembl.org/Mus_musculus/Gene/Summary?db=core;g=ENSMUSG00000025993","ENSMUSG00000025993")</f>
        <v>ENSMUSG00000025993</v>
      </c>
      <c r="I2617" s="7" t="str">
        <f>HYPERLINK("http://www.informatics.jax.org/marker/MGI:1315204","MGI:1315204")</f>
        <v>MGI:1315204</v>
      </c>
      <c r="J2617" s="4" t="s">
        <v>12</v>
      </c>
    </row>
    <row r="2618" spans="1:10" x14ac:dyDescent="0.25">
      <c r="A2618" s="2">
        <v>55.751800669460799</v>
      </c>
      <c r="B2618" s="3">
        <v>0.455736964576686</v>
      </c>
      <c r="C2618" s="3">
        <v>1.3276346569462401E-3</v>
      </c>
      <c r="D2618" s="4">
        <v>3.8450514664385301E-3</v>
      </c>
      <c r="E2618" s="3" t="s">
        <v>13627</v>
      </c>
      <c r="F2618" s="3" t="s">
        <v>13628</v>
      </c>
      <c r="G2618" s="3">
        <v>108899</v>
      </c>
      <c r="H2618" s="7" t="str">
        <f>HYPERLINK("http://www.ensembl.org/Mus_musculus/Gene/Summary?db=core;g=ENSMUSG00000053080","ENSMUSG00000053080")</f>
        <v>ENSMUSG00000053080</v>
      </c>
      <c r="I2618" s="7" t="str">
        <f>HYPERLINK("http://www.informatics.jax.org/marker/MGI:1919667","MGI:1919667")</f>
        <v>MGI:1919667</v>
      </c>
      <c r="J2618" s="4" t="s">
        <v>12</v>
      </c>
    </row>
    <row r="2619" spans="1:10" x14ac:dyDescent="0.25">
      <c r="A2619" s="2">
        <v>404.30314771637501</v>
      </c>
      <c r="B2619" s="3">
        <v>0.45563923759025299</v>
      </c>
      <c r="C2619" s="5">
        <v>1.57156375249176E-13</v>
      </c>
      <c r="D2619" s="6">
        <v>1.10762105786768E-12</v>
      </c>
      <c r="E2619" s="3" t="s">
        <v>5611</v>
      </c>
      <c r="F2619" s="3" t="s">
        <v>5612</v>
      </c>
      <c r="G2619" s="3">
        <v>66801</v>
      </c>
      <c r="H2619" s="7" t="str">
        <f>HYPERLINK("http://www.ensembl.org/Mus_musculus/Gene/Summary?db=core;g=ENSMUSG00000039737","ENSMUSG00000039737")</f>
        <v>ENSMUSG00000039737</v>
      </c>
      <c r="I2619" s="7" t="str">
        <f>HYPERLINK("http://www.informatics.jax.org/marker/MGI:1914051","MGI:1914051")</f>
        <v>MGI:1914051</v>
      </c>
      <c r="J2619" s="4" t="s">
        <v>12</v>
      </c>
    </row>
    <row r="2620" spans="1:10" x14ac:dyDescent="0.25">
      <c r="A2620" s="2">
        <v>10390.112227449899</v>
      </c>
      <c r="B2620" s="3">
        <v>0.45545825062838202</v>
      </c>
      <c r="C2620" s="5">
        <v>5.6982046535042898E-36</v>
      </c>
      <c r="D2620" s="6">
        <v>1.02153268879186E-34</v>
      </c>
      <c r="E2620" s="3" t="s">
        <v>2217</v>
      </c>
      <c r="F2620" s="3" t="s">
        <v>2218</v>
      </c>
      <c r="G2620" s="3">
        <v>13207</v>
      </c>
      <c r="H2620" s="7" t="str">
        <f>HYPERLINK("http://www.ensembl.org/Mus_musculus/Gene/Summary?db=core;g=ENSMUSG00000020719","ENSMUSG00000020719")</f>
        <v>ENSMUSG00000020719</v>
      </c>
      <c r="I2620" s="7" t="str">
        <f>HYPERLINK("http://www.informatics.jax.org/marker/MGI:105037","MGI:105037")</f>
        <v>MGI:105037</v>
      </c>
      <c r="J2620" s="4" t="s">
        <v>12</v>
      </c>
    </row>
    <row r="2621" spans="1:10" x14ac:dyDescent="0.25">
      <c r="A2621" s="2">
        <v>2342.8518851939102</v>
      </c>
      <c r="B2621" s="3">
        <v>0.45544547045063499</v>
      </c>
      <c r="C2621" s="5">
        <v>5.4807990498666701E-9</v>
      </c>
      <c r="D2621" s="6">
        <v>2.7734502761963301E-8</v>
      </c>
      <c r="E2621" s="3" t="s">
        <v>7810</v>
      </c>
      <c r="F2621" s="3" t="s">
        <v>7811</v>
      </c>
      <c r="G2621" s="3">
        <v>66854</v>
      </c>
      <c r="H2621" s="7" t="str">
        <f>HYPERLINK("http://www.ensembl.org/Mus_musculus/Gene/Summary?db=core;g=ENSMUSG00000022043","ENSMUSG00000022043")</f>
        <v>ENSMUSG00000022043</v>
      </c>
      <c r="I2621" s="7" t="str">
        <f>HYPERLINK("http://www.informatics.jax.org/marker/MGI:1914104","MGI:1914104")</f>
        <v>MGI:1914104</v>
      </c>
      <c r="J2621" s="4" t="s">
        <v>12</v>
      </c>
    </row>
    <row r="2622" spans="1:10" x14ac:dyDescent="0.25">
      <c r="A2622" s="2">
        <v>1649.54667085593</v>
      </c>
      <c r="B2622" s="3">
        <v>0.45532403894616502</v>
      </c>
      <c r="C2622" s="5">
        <v>1.1055711987371501E-12</v>
      </c>
      <c r="D2622" s="6">
        <v>7.3954762683503001E-12</v>
      </c>
      <c r="E2622" s="3" t="s">
        <v>5913</v>
      </c>
      <c r="F2622" s="3" t="s">
        <v>5914</v>
      </c>
      <c r="G2622" s="3">
        <v>70827</v>
      </c>
      <c r="H2622" s="7" t="str">
        <f>HYPERLINK("http://www.ensembl.org/Mus_musculus/Gene/Summary?db=core;g=ENSMUSG00000026028","ENSMUSG00000026028")</f>
        <v>ENSMUSG00000026028</v>
      </c>
      <c r="I2622" s="7" t="str">
        <f>HYPERLINK("http://www.informatics.jax.org/marker/MGI:1918077","MGI:1918077")</f>
        <v>MGI:1918077</v>
      </c>
      <c r="J2622" s="4" t="s">
        <v>12</v>
      </c>
    </row>
    <row r="2623" spans="1:10" x14ac:dyDescent="0.25">
      <c r="A2623" s="2">
        <v>4806.6781347178503</v>
      </c>
      <c r="B2623" s="3">
        <v>0.45512051239312601</v>
      </c>
      <c r="C2623" s="5">
        <v>9.9194956040986898E-28</v>
      </c>
      <c r="D2623" s="6">
        <v>1.3416491996764499E-26</v>
      </c>
      <c r="E2623" s="3" t="s">
        <v>2934</v>
      </c>
      <c r="F2623" s="3" t="s">
        <v>2935</v>
      </c>
      <c r="G2623" s="3">
        <v>224105</v>
      </c>
      <c r="H2623" s="7" t="str">
        <f>HYPERLINK("http://www.ensembl.org/Mus_musculus/Gene/Summary?db=core;g=ENSMUSG00000022781","ENSMUSG00000022781")</f>
        <v>ENSMUSG00000022781</v>
      </c>
      <c r="I2623" s="7" t="str">
        <f>HYPERLINK("http://www.informatics.jax.org/marker/MGI:1339984","MGI:1339984")</f>
        <v>MGI:1339984</v>
      </c>
      <c r="J2623" s="4" t="s">
        <v>12</v>
      </c>
    </row>
    <row r="2624" spans="1:10" x14ac:dyDescent="0.25">
      <c r="A2624" s="2">
        <v>967.74447024073504</v>
      </c>
      <c r="B2624" s="3">
        <v>0.45509691068667601</v>
      </c>
      <c r="C2624" s="5">
        <v>2.36733619362945E-12</v>
      </c>
      <c r="D2624" s="6">
        <v>1.5540569153919E-11</v>
      </c>
      <c r="E2624" s="3" t="s">
        <v>6025</v>
      </c>
      <c r="F2624" s="3" t="s">
        <v>6026</v>
      </c>
      <c r="G2624" s="3">
        <v>74737</v>
      </c>
      <c r="H2624" s="7" t="str">
        <f>HYPERLINK("http://www.ensembl.org/Mus_musculus/Gene/Summary?db=core;g=ENSMUSG00000041328","ENSMUSG00000041328")</f>
        <v>ENSMUSG00000041328</v>
      </c>
      <c r="I2624" s="7" t="str">
        <f>HYPERLINK("http://www.informatics.jax.org/marker/MGI:1919579","MGI:1919579")</f>
        <v>MGI:1919579</v>
      </c>
      <c r="J2624" s="4" t="s">
        <v>12</v>
      </c>
    </row>
    <row r="2625" spans="1:10" x14ac:dyDescent="0.25">
      <c r="A2625" s="2">
        <v>673.38331934874498</v>
      </c>
      <c r="B2625" s="3">
        <v>0.454842192038027</v>
      </c>
      <c r="C2625" s="5">
        <v>5.49456966636582E-12</v>
      </c>
      <c r="D2625" s="6">
        <v>3.5042986358581497E-11</v>
      </c>
      <c r="E2625" s="3" t="s">
        <v>6201</v>
      </c>
      <c r="F2625" s="3" t="s">
        <v>6202</v>
      </c>
      <c r="G2625" s="3">
        <v>54645</v>
      </c>
      <c r="H2625" s="7" t="str">
        <f>HYPERLINK("http://www.ensembl.org/Mus_musculus/Gene/Summary?db=core;g=ENSMUSG00000031153","ENSMUSG00000031153")</f>
        <v>ENSMUSG00000031153</v>
      </c>
      <c r="I2625" s="7" t="str">
        <f>HYPERLINK("http://www.informatics.jax.org/marker/MGI:1859616","MGI:1859616")</f>
        <v>MGI:1859616</v>
      </c>
      <c r="J2625" s="4" t="s">
        <v>12</v>
      </c>
    </row>
    <row r="2626" spans="1:10" x14ac:dyDescent="0.25">
      <c r="A2626" s="2">
        <v>1884.0805924962499</v>
      </c>
      <c r="B2626" s="3">
        <v>0.45476518385122899</v>
      </c>
      <c r="C2626" s="5">
        <v>6.6879430252521296E-28</v>
      </c>
      <c r="D2626" s="6">
        <v>9.0956025143428898E-27</v>
      </c>
      <c r="E2626" s="3" t="s">
        <v>2918</v>
      </c>
      <c r="F2626" s="3" t="s">
        <v>2919</v>
      </c>
      <c r="G2626" s="3">
        <v>76895</v>
      </c>
      <c r="H2626" s="7" t="str">
        <f>HYPERLINK("http://www.ensembl.org/Mus_musculus/Gene/Summary?db=core;g=ENSMUSG00000037933","ENSMUSG00000037933")</f>
        <v>ENSMUSG00000037933</v>
      </c>
      <c r="I2626" s="7" t="str">
        <f>HYPERLINK("http://www.informatics.jax.org/marker/MGI:1924145","MGI:1924145")</f>
        <v>MGI:1924145</v>
      </c>
      <c r="J2626" s="4" t="s">
        <v>12</v>
      </c>
    </row>
    <row r="2627" spans="1:10" x14ac:dyDescent="0.25">
      <c r="A2627" s="2">
        <v>698.66911752740396</v>
      </c>
      <c r="B2627" s="3">
        <v>0.45449762202892902</v>
      </c>
      <c r="C2627" s="5">
        <v>4.5677620277770403E-9</v>
      </c>
      <c r="D2627" s="6">
        <v>2.3275521237148101E-8</v>
      </c>
      <c r="E2627" s="3" t="s">
        <v>7756</v>
      </c>
      <c r="F2627" s="3" t="s">
        <v>7757</v>
      </c>
      <c r="G2627" s="3">
        <v>66432</v>
      </c>
      <c r="H2627" s="7" t="str">
        <f>HYPERLINK("http://www.ensembl.org/Mus_musculus/Gene/Summary?db=core;g=ENSMUSG00000033106","ENSMUSG00000033106")</f>
        <v>ENSMUSG00000033106</v>
      </c>
      <c r="I2627" s="7" t="str">
        <f>HYPERLINK("http://www.informatics.jax.org/marker/MGI:1916951","MGI:1916951")</f>
        <v>MGI:1916951</v>
      </c>
      <c r="J2627" s="4" t="s">
        <v>12</v>
      </c>
    </row>
    <row r="2628" spans="1:10" x14ac:dyDescent="0.25">
      <c r="A2628" s="2">
        <v>2344.82370504144</v>
      </c>
      <c r="B2628" s="3">
        <v>0.45414569146058698</v>
      </c>
      <c r="C2628" s="5">
        <v>4.0845178792567199E-20</v>
      </c>
      <c r="D2628" s="6">
        <v>4.0741877885150402E-19</v>
      </c>
      <c r="E2628" s="3" t="s">
        <v>3972</v>
      </c>
      <c r="F2628" s="3" t="s">
        <v>3973</v>
      </c>
      <c r="G2628" s="3">
        <v>19069</v>
      </c>
      <c r="H2628" s="7" t="str">
        <f>HYPERLINK("http://www.ensembl.org/Mus_musculus/Gene/Summary?db=core;g=ENSMUSG00000040667","ENSMUSG00000040667")</f>
        <v>ENSMUSG00000040667</v>
      </c>
      <c r="I2628" s="7" t="str">
        <f>HYPERLINK("http://www.informatics.jax.org/marker/MGI:104900","MGI:104900")</f>
        <v>MGI:104900</v>
      </c>
      <c r="J2628" s="4" t="s">
        <v>12</v>
      </c>
    </row>
    <row r="2629" spans="1:10" x14ac:dyDescent="0.25">
      <c r="A2629" s="2">
        <v>516.87697893099403</v>
      </c>
      <c r="B2629" s="3">
        <v>0.45379183024063702</v>
      </c>
      <c r="C2629" s="5">
        <v>3.3288266981932699E-14</v>
      </c>
      <c r="D2629" s="6">
        <v>2.4439487151292301E-13</v>
      </c>
      <c r="E2629" s="3" t="s">
        <v>5389</v>
      </c>
      <c r="F2629" s="3" t="s">
        <v>5390</v>
      </c>
      <c r="G2629" s="3">
        <v>52713</v>
      </c>
      <c r="H2629" s="7" t="str">
        <f>HYPERLINK("http://www.ensembl.org/Mus_musculus/Gene/Summary?db=core;g=ENSMUSG00000019897","ENSMUSG00000019897")</f>
        <v>ENSMUSG00000019897</v>
      </c>
      <c r="I2629" s="7" t="str">
        <f>HYPERLINK("http://www.informatics.jax.org/marker/MGI:1289302","MGI:1289302")</f>
        <v>MGI:1289302</v>
      </c>
      <c r="J2629" s="4" t="s">
        <v>12</v>
      </c>
    </row>
    <row r="2630" spans="1:10" x14ac:dyDescent="0.25">
      <c r="A2630" s="2">
        <v>10766.2645914513</v>
      </c>
      <c r="B2630" s="3">
        <v>0.45364294669937799</v>
      </c>
      <c r="C2630" s="5">
        <v>1.8421455190613801E-25</v>
      </c>
      <c r="D2630" s="6">
        <v>2.2890428251978801E-24</v>
      </c>
      <c r="E2630" s="3" t="s">
        <v>3194</v>
      </c>
      <c r="F2630" s="3" t="s">
        <v>3195</v>
      </c>
      <c r="G2630" s="3">
        <v>15387</v>
      </c>
      <c r="H2630" s="7" t="str">
        <f>HYPERLINK("http://www.ensembl.org/Mus_musculus/Gene/Summary?db=core;g=ENSMUSG00000021546","ENSMUSG00000021546")</f>
        <v>ENSMUSG00000021546</v>
      </c>
      <c r="I2630" s="7" t="str">
        <f>HYPERLINK("http://www.informatics.jax.org/marker/MGI:99894","MGI:99894")</f>
        <v>MGI:99894</v>
      </c>
      <c r="J2630" s="4" t="s">
        <v>12</v>
      </c>
    </row>
    <row r="2631" spans="1:10" x14ac:dyDescent="0.25">
      <c r="A2631" s="2">
        <v>925.914104556447</v>
      </c>
      <c r="B2631" s="3">
        <v>0.45349051921245498</v>
      </c>
      <c r="C2631" s="5">
        <v>7.8447508285307895E-9</v>
      </c>
      <c r="D2631" s="6">
        <v>3.9253612367071102E-8</v>
      </c>
      <c r="E2631" s="3" t="s">
        <v>7898</v>
      </c>
      <c r="F2631" s="3" t="s">
        <v>7899</v>
      </c>
      <c r="G2631" s="3">
        <v>380773</v>
      </c>
      <c r="H2631" s="7" t="str">
        <f>HYPERLINK("http://www.ensembl.org/Mus_musculus/Gene/Summary?db=core;g=ENSMUSG00000021040","ENSMUSG00000021040")</f>
        <v>ENSMUSG00000021040</v>
      </c>
      <c r="I2631" s="7" t="str">
        <f>HYPERLINK("http://www.informatics.jax.org/marker/MGI:1916394","MGI:1916394")</f>
        <v>MGI:1916394</v>
      </c>
      <c r="J2631" s="4" t="s">
        <v>12</v>
      </c>
    </row>
    <row r="2632" spans="1:10" x14ac:dyDescent="0.25">
      <c r="A2632" s="2">
        <v>3496.8988273741202</v>
      </c>
      <c r="B2632" s="3">
        <v>0.45334009285632898</v>
      </c>
      <c r="C2632" s="5">
        <v>2.2657696974267001E-36</v>
      </c>
      <c r="D2632" s="6">
        <v>4.1218614790825202E-35</v>
      </c>
      <c r="E2632" s="3" t="s">
        <v>2185</v>
      </c>
      <c r="F2632" s="3" t="s">
        <v>2186</v>
      </c>
      <c r="G2632" s="3">
        <v>234366</v>
      </c>
      <c r="H2632" s="7" t="str">
        <f>HYPERLINK("http://www.ensembl.org/Mus_musculus/Gene/Summary?db=core;g=ENSMUSG00000036180","ENSMUSG00000036180")</f>
        <v>ENSMUSG00000036180</v>
      </c>
      <c r="I2632" s="7" t="str">
        <f>HYPERLINK("http://www.informatics.jax.org/marker/MGI:2384585","MGI:2384585")</f>
        <v>MGI:2384585</v>
      </c>
      <c r="J2632" s="4" t="s">
        <v>12</v>
      </c>
    </row>
    <row r="2633" spans="1:10" x14ac:dyDescent="0.25">
      <c r="A2633" s="2">
        <v>204.24446700180701</v>
      </c>
      <c r="B2633" s="3">
        <v>0.45312986611442402</v>
      </c>
      <c r="C2633" s="3">
        <v>1.27258755526378E-3</v>
      </c>
      <c r="D2633" s="4">
        <v>3.7005069524444802E-3</v>
      </c>
      <c r="E2633" s="3" t="s">
        <v>13573</v>
      </c>
      <c r="F2633" s="3" t="s">
        <v>13574</v>
      </c>
      <c r="G2633" s="3">
        <v>101142</v>
      </c>
      <c r="H2633" s="7" t="str">
        <f>HYPERLINK("http://www.ensembl.org/Mus_musculus/Gene/Summary?db=core;g=ENSMUSG00000001518","ENSMUSG00000001518")</f>
        <v>ENSMUSG00000001518</v>
      </c>
      <c r="I2633" s="7" t="str">
        <f>HYPERLINK("http://www.informatics.jax.org/marker/MGI:1915450","MGI:1915450")</f>
        <v>MGI:1915450</v>
      </c>
      <c r="J2633" s="4" t="s">
        <v>12</v>
      </c>
    </row>
    <row r="2634" spans="1:10" x14ac:dyDescent="0.25">
      <c r="A2634" s="2">
        <v>628.05131077688304</v>
      </c>
      <c r="B2634" s="3">
        <v>0.45310843904884501</v>
      </c>
      <c r="C2634" s="5">
        <v>5.3677085859801701E-11</v>
      </c>
      <c r="D2634" s="6">
        <v>3.1892501752193098E-10</v>
      </c>
      <c r="E2634" s="3" t="s">
        <v>6655</v>
      </c>
      <c r="F2634" s="3" t="s">
        <v>6656</v>
      </c>
      <c r="G2634" s="3">
        <v>12572</v>
      </c>
      <c r="H2634" s="7" t="str">
        <f>HYPERLINK("http://www.ensembl.org/Mus_musculus/Gene/Summary?db=core;g=ENSMUSG00000069089","ENSMUSG00000069089")</f>
        <v>ENSMUSG00000069089</v>
      </c>
      <c r="I2634" s="7" t="str">
        <f>HYPERLINK("http://www.informatics.jax.org/marker/MGI:102956","MGI:102956")</f>
        <v>MGI:102956</v>
      </c>
      <c r="J2634" s="4" t="s">
        <v>12</v>
      </c>
    </row>
    <row r="2635" spans="1:10" x14ac:dyDescent="0.25">
      <c r="A2635" s="2">
        <v>1828.2798910157001</v>
      </c>
      <c r="B2635" s="3">
        <v>0.452705819865657</v>
      </c>
      <c r="C2635" s="5">
        <v>6.7301808842291402E-9</v>
      </c>
      <c r="D2635" s="6">
        <v>3.3839665231259198E-8</v>
      </c>
      <c r="E2635" s="3" t="s">
        <v>7860</v>
      </c>
      <c r="F2635" s="3" t="s">
        <v>7861</v>
      </c>
      <c r="G2635" s="3">
        <v>233833</v>
      </c>
      <c r="H2635" s="7" t="str">
        <f>HYPERLINK("http://www.ensembl.org/Mus_musculus/Gene/Summary?db=core;g=ENSMUSG00000052707","ENSMUSG00000052707")</f>
        <v>ENSMUSG00000052707</v>
      </c>
      <c r="I2635" s="7" t="str">
        <f>HYPERLINK("http://www.informatics.jax.org/marker/MGI:2385292","MGI:2385292")</f>
        <v>MGI:2385292</v>
      </c>
      <c r="J2635" s="4" t="s">
        <v>12</v>
      </c>
    </row>
    <row r="2636" spans="1:10" x14ac:dyDescent="0.25">
      <c r="A2636" s="2">
        <v>3855.6316647768499</v>
      </c>
      <c r="B2636" s="3">
        <v>0.45186497006662801</v>
      </c>
      <c r="C2636" s="5">
        <v>3.4025345198415499E-36</v>
      </c>
      <c r="D2636" s="6">
        <v>6.1557780487408499E-35</v>
      </c>
      <c r="E2636" s="3" t="s">
        <v>2197</v>
      </c>
      <c r="F2636" s="3" t="s">
        <v>2198</v>
      </c>
      <c r="G2636" s="3">
        <v>56085</v>
      </c>
      <c r="H2636" s="7" t="str">
        <f>HYPERLINK("http://www.ensembl.org/Mus_musculus/Gene/Summary?db=core;g=ENSMUSG00000005312","ENSMUSG00000005312")</f>
        <v>ENSMUSG00000005312</v>
      </c>
      <c r="I2636" s="7" t="str">
        <f>HYPERLINK("http://www.informatics.jax.org/marker/MGI:1860276","MGI:1860276")</f>
        <v>MGI:1860276</v>
      </c>
      <c r="J2636" s="4" t="s">
        <v>12</v>
      </c>
    </row>
    <row r="2637" spans="1:10" x14ac:dyDescent="0.25">
      <c r="A2637" s="2">
        <v>4065.7183232074399</v>
      </c>
      <c r="B2637" s="3">
        <v>0.45154435618366201</v>
      </c>
      <c r="C2637" s="5">
        <v>3.0944822393546998E-42</v>
      </c>
      <c r="D2637" s="6">
        <v>6.7206156123430301E-41</v>
      </c>
      <c r="E2637" s="3" t="s">
        <v>1833</v>
      </c>
      <c r="F2637" s="3" t="s">
        <v>1834</v>
      </c>
      <c r="G2637" s="3">
        <v>22631</v>
      </c>
      <c r="H2637" s="7" t="str">
        <f>HYPERLINK("http://www.ensembl.org/Mus_musculus/Gene/Summary?db=core;g=ENSMUSG00000022285","ENSMUSG00000022285")</f>
        <v>ENSMUSG00000022285</v>
      </c>
      <c r="I2637" s="7" t="str">
        <f>HYPERLINK("http://www.informatics.jax.org/marker/MGI:109484","MGI:109484")</f>
        <v>MGI:109484</v>
      </c>
      <c r="J2637" s="4" t="s">
        <v>12</v>
      </c>
    </row>
    <row r="2638" spans="1:10" x14ac:dyDescent="0.25">
      <c r="A2638" s="2">
        <v>48.148484344099899</v>
      </c>
      <c r="B2638" s="3">
        <v>0.45081818405796698</v>
      </c>
      <c r="C2638" s="3">
        <v>1.28157421640742E-2</v>
      </c>
      <c r="D2638" s="4">
        <v>3.1185394308433301E-2</v>
      </c>
      <c r="E2638" s="3" t="s">
        <v>16213</v>
      </c>
      <c r="F2638" s="3" t="s">
        <v>16214</v>
      </c>
      <c r="G2638" s="3">
        <v>77505</v>
      </c>
      <c r="H2638" s="7" t="str">
        <f>HYPERLINK("http://www.ensembl.org/Mus_musculus/Gene/Summary?db=core;g=ENSMUSG00000030882","ENSMUSG00000030882")</f>
        <v>ENSMUSG00000030882</v>
      </c>
      <c r="I2638" s="7" t="str">
        <f>HYPERLINK("http://www.informatics.jax.org/marker/MGI:1924755","MGI:1924755")</f>
        <v>MGI:1924755</v>
      </c>
      <c r="J2638" s="4" t="s">
        <v>12</v>
      </c>
    </row>
    <row r="2639" spans="1:10" x14ac:dyDescent="0.25">
      <c r="A2639" s="2">
        <v>560.42340783458906</v>
      </c>
      <c r="B2639" s="3">
        <v>0.45056792762520698</v>
      </c>
      <c r="C2639" s="5">
        <v>1.72863742106353E-6</v>
      </c>
      <c r="D2639" s="6">
        <v>6.9825337860247596E-6</v>
      </c>
      <c r="E2639" s="3" t="s">
        <v>9779</v>
      </c>
      <c r="F2639" s="3" t="s">
        <v>9780</v>
      </c>
      <c r="G2639" s="3">
        <v>70757</v>
      </c>
      <c r="H2639" s="7" t="str">
        <f>HYPERLINK("http://www.ensembl.org/Mus_musculus/Gene/Summary?db=core;g=ENSMUSG00000035376","ENSMUSG00000035376")</f>
        <v>ENSMUSG00000035376</v>
      </c>
      <c r="I2639" s="7" t="str">
        <f>HYPERLINK("http://www.informatics.jax.org/marker/MGI:1918007","MGI:1918007")</f>
        <v>MGI:1918007</v>
      </c>
      <c r="J2639" s="4" t="s">
        <v>12</v>
      </c>
    </row>
    <row r="2640" spans="1:10" x14ac:dyDescent="0.25">
      <c r="A2640" s="2">
        <v>1714.81757078336</v>
      </c>
      <c r="B2640" s="3">
        <v>0.45027441781854699</v>
      </c>
      <c r="C2640" s="5">
        <v>7.6467483653769895E-14</v>
      </c>
      <c r="D2640" s="6">
        <v>5.4954037086455598E-13</v>
      </c>
      <c r="E2640" s="3" t="s">
        <v>5505</v>
      </c>
      <c r="F2640" s="3" t="s">
        <v>5506</v>
      </c>
      <c r="G2640" s="3">
        <v>66580</v>
      </c>
      <c r="H2640" s="7" t="str">
        <f>HYPERLINK("http://www.ensembl.org/Mus_musculus/Gene/Summary?db=core;g=ENSMUSG00000045624","ENSMUSG00000045624")</f>
        <v>ENSMUSG00000045624</v>
      </c>
      <c r="I2640" s="7" t="str">
        <f>HYPERLINK("http://www.informatics.jax.org/marker/MGI:1913830","MGI:1913830")</f>
        <v>MGI:1913830</v>
      </c>
      <c r="J2640" s="4" t="s">
        <v>12</v>
      </c>
    </row>
    <row r="2641" spans="1:10" x14ac:dyDescent="0.25">
      <c r="A2641" s="2">
        <v>208.66449174742399</v>
      </c>
      <c r="B2641" s="3">
        <v>0.45023098812471002</v>
      </c>
      <c r="C2641" s="5">
        <v>3.8413240666385901E-5</v>
      </c>
      <c r="D2641" s="4">
        <v>1.35559968851312E-4</v>
      </c>
      <c r="E2641" s="3" t="s">
        <v>11187</v>
      </c>
      <c r="F2641" s="3" t="s">
        <v>11188</v>
      </c>
      <c r="G2641" s="3">
        <v>24064</v>
      </c>
      <c r="H2641" s="7" t="str">
        <f>HYPERLINK("http://www.ensembl.org/Mus_musculus/Gene/Summary?db=core;g=ENSMUSG00000022114","ENSMUSG00000022114")</f>
        <v>ENSMUSG00000022114</v>
      </c>
      <c r="I2641" s="7" t="str">
        <f>HYPERLINK("http://www.informatics.jax.org/marker/MGI:1345138","MGI:1345138")</f>
        <v>MGI:1345138</v>
      </c>
      <c r="J2641" s="4" t="s">
        <v>12</v>
      </c>
    </row>
    <row r="2642" spans="1:10" x14ac:dyDescent="0.25">
      <c r="A2642" s="2">
        <v>997.20376258104795</v>
      </c>
      <c r="B2642" s="3">
        <v>0.45015924460138901</v>
      </c>
      <c r="C2642" s="5">
        <v>4.1819113566343599E-10</v>
      </c>
      <c r="D2642" s="6">
        <v>2.30806862448445E-9</v>
      </c>
      <c r="E2642" s="3" t="s">
        <v>7164</v>
      </c>
      <c r="F2642" s="3" t="s">
        <v>7165</v>
      </c>
      <c r="G2642" s="3">
        <v>20909</v>
      </c>
      <c r="H2642" s="7" t="str">
        <f>HYPERLINK("http://www.ensembl.org/Mus_musculus/Gene/Summary?db=core;g=ENSMUSG00000030805","ENSMUSG00000030805")</f>
        <v>ENSMUSG00000030805</v>
      </c>
      <c r="I2642" s="7" t="str">
        <f>HYPERLINK("http://www.informatics.jax.org/marker/MGI:893577","MGI:893577")</f>
        <v>MGI:893577</v>
      </c>
      <c r="J2642" s="4" t="s">
        <v>12</v>
      </c>
    </row>
    <row r="2643" spans="1:10" x14ac:dyDescent="0.25">
      <c r="A2643" s="2">
        <v>4303.81845932136</v>
      </c>
      <c r="B2643" s="3">
        <v>0.44974756989468001</v>
      </c>
      <c r="C2643" s="5">
        <v>7.7994250780162192E-18</v>
      </c>
      <c r="D2643" s="6">
        <v>6.9816006599400803E-17</v>
      </c>
      <c r="E2643" s="3" t="s">
        <v>4423</v>
      </c>
      <c r="F2643" s="3" t="s">
        <v>4424</v>
      </c>
      <c r="G2643" s="3">
        <v>72515</v>
      </c>
      <c r="H2643" s="7" t="str">
        <f>HYPERLINK("http://www.ensembl.org/Mus_musculus/Gene/Summary?db=core;g=ENSMUSG00000041057","ENSMUSG00000041057")</f>
        <v>ENSMUSG00000041057</v>
      </c>
      <c r="I2643" s="7" t="str">
        <f>HYPERLINK("http://www.informatics.jax.org/marker/MGI:1919765","MGI:1919765")</f>
        <v>MGI:1919765</v>
      </c>
      <c r="J2643" s="4" t="s">
        <v>12</v>
      </c>
    </row>
    <row r="2644" spans="1:10" x14ac:dyDescent="0.25">
      <c r="A2644" s="2">
        <v>55617.832198848497</v>
      </c>
      <c r="B2644" s="3">
        <v>0.44946200627190003</v>
      </c>
      <c r="C2644" s="5">
        <v>7.8812638721731006E-37</v>
      </c>
      <c r="D2644" s="6">
        <v>1.45795988329506E-35</v>
      </c>
      <c r="E2644" s="3" t="s">
        <v>2149</v>
      </c>
      <c r="F2644" s="3" t="s">
        <v>2150</v>
      </c>
      <c r="G2644" s="3">
        <v>15516</v>
      </c>
      <c r="H2644" s="7" t="str">
        <f>HYPERLINK("http://www.ensembl.org/Mus_musculus/Gene/Summary?db=core;g=ENSMUSG00000023944","ENSMUSG00000023944")</f>
        <v>ENSMUSG00000023944</v>
      </c>
      <c r="I2644" s="7" t="str">
        <f>HYPERLINK("http://www.informatics.jax.org/marker/MGI:96247","MGI:96247")</f>
        <v>MGI:96247</v>
      </c>
      <c r="J2644" s="4" t="s">
        <v>12</v>
      </c>
    </row>
    <row r="2645" spans="1:10" x14ac:dyDescent="0.25">
      <c r="A2645" s="2">
        <v>85.3673788046531</v>
      </c>
      <c r="B2645" s="3">
        <v>0.44938056347200001</v>
      </c>
      <c r="C2645" s="3">
        <v>2.3690266449394801E-3</v>
      </c>
      <c r="D2645" s="4">
        <v>6.6106134764690296E-3</v>
      </c>
      <c r="E2645" s="3" t="s">
        <v>14141</v>
      </c>
      <c r="F2645" s="3" t="s">
        <v>14142</v>
      </c>
      <c r="G2645" s="3" t="s">
        <v>83</v>
      </c>
      <c r="H2645" s="7" t="str">
        <f>HYPERLINK("http://www.ensembl.org/Mus_musculus/Gene/Summary?db=core;g=ENSMUSG00000070282","ENSMUSG00000070282")</f>
        <v>ENSMUSG00000070282</v>
      </c>
      <c r="I2645" s="7" t="str">
        <f>HYPERLINK("http://www.informatics.jax.org/marker/MGI:3036226","MGI:3036226")</f>
        <v>MGI:3036226</v>
      </c>
      <c r="J2645" s="4" t="s">
        <v>5705</v>
      </c>
    </row>
    <row r="2646" spans="1:10" x14ac:dyDescent="0.25">
      <c r="A2646" s="2">
        <v>118.55223931670101</v>
      </c>
      <c r="B2646" s="3">
        <v>0.44883939940168599</v>
      </c>
      <c r="C2646" s="5">
        <v>1.3183973036175101E-5</v>
      </c>
      <c r="D2646" s="6">
        <v>4.8824027844764999E-5</v>
      </c>
      <c r="E2646" s="3" t="s">
        <v>10662</v>
      </c>
      <c r="F2646" s="3" t="s">
        <v>10663</v>
      </c>
      <c r="G2646" s="3">
        <v>195046</v>
      </c>
      <c r="H2646" s="7" t="str">
        <f>HYPERLINK("http://www.ensembl.org/Mus_musculus/Gene/Summary?db=core;g=ENSMUSG00000069830","ENSMUSG00000069830")</f>
        <v>ENSMUSG00000069830</v>
      </c>
      <c r="I2646" s="7" t="str">
        <f>HYPERLINK("http://www.informatics.jax.org/marker/MGI:2684861","MGI:2684861")</f>
        <v>MGI:2684861</v>
      </c>
      <c r="J2646" s="4" t="s">
        <v>12</v>
      </c>
    </row>
    <row r="2647" spans="1:10" x14ac:dyDescent="0.25">
      <c r="A2647" s="2">
        <v>2151.3080953918802</v>
      </c>
      <c r="B2647" s="3">
        <v>0.44873570741597502</v>
      </c>
      <c r="C2647" s="5">
        <v>9.3336500232119502E-14</v>
      </c>
      <c r="D2647" s="6">
        <v>6.6785042981763304E-13</v>
      </c>
      <c r="E2647" s="3" t="s">
        <v>5529</v>
      </c>
      <c r="F2647" s="3" t="s">
        <v>5530</v>
      </c>
      <c r="G2647" s="3">
        <v>13169</v>
      </c>
      <c r="H2647" s="7" t="str">
        <f>HYPERLINK("http://www.ensembl.org/Mus_musculus/Gene/Summary?db=core;g=ENSMUSG00000020476","ENSMUSG00000020476")</f>
        <v>ENSMUSG00000020476</v>
      </c>
      <c r="I2647" s="7" t="str">
        <f>HYPERLINK("http://www.informatics.jax.org/marker/MGI:700006","MGI:700006")</f>
        <v>MGI:700006</v>
      </c>
      <c r="J2647" s="4" t="s">
        <v>12</v>
      </c>
    </row>
    <row r="2648" spans="1:10" x14ac:dyDescent="0.25">
      <c r="A2648" s="2">
        <v>2056.8878467713398</v>
      </c>
      <c r="B2648" s="3">
        <v>0.44850948136230101</v>
      </c>
      <c r="C2648" s="5">
        <v>3.8438160745390502E-25</v>
      </c>
      <c r="D2648" s="6">
        <v>4.6964097267602302E-24</v>
      </c>
      <c r="E2648" s="3" t="s">
        <v>3248</v>
      </c>
      <c r="F2648" s="3" t="s">
        <v>3249</v>
      </c>
      <c r="G2648" s="3">
        <v>66997</v>
      </c>
      <c r="H2648" s="7" t="str">
        <f>HYPERLINK("http://www.ensembl.org/Mus_musculus/Gene/Summary?db=core;g=ENSMUSG00000020720","ENSMUSG00000020720")</f>
        <v>ENSMUSG00000020720</v>
      </c>
      <c r="I2648" s="7" t="str">
        <f>HYPERLINK("http://www.informatics.jax.org/marker/MGI:1914247","MGI:1914247")</f>
        <v>MGI:1914247</v>
      </c>
      <c r="J2648" s="4" t="s">
        <v>12</v>
      </c>
    </row>
    <row r="2649" spans="1:10" x14ac:dyDescent="0.25">
      <c r="A2649" s="2">
        <v>2326.1294327411701</v>
      </c>
      <c r="B2649" s="3">
        <v>0.44831380433531198</v>
      </c>
      <c r="C2649" s="5">
        <v>5.7957299564109901E-5</v>
      </c>
      <c r="D2649" s="4">
        <v>2.0051192059723601E-4</v>
      </c>
      <c r="E2649" s="3" t="s">
        <v>11411</v>
      </c>
      <c r="F2649" s="3" t="s">
        <v>11412</v>
      </c>
      <c r="G2649" s="3">
        <v>67724</v>
      </c>
      <c r="H2649" s="7" t="str">
        <f>HYPERLINK("http://www.ensembl.org/Mus_musculus/Gene/Summary?db=core;g=ENSMUSG00000022325","ENSMUSG00000022325")</f>
        <v>ENSMUSG00000022325</v>
      </c>
      <c r="I2649" s="7" t="str">
        <f>HYPERLINK("http://www.informatics.jax.org/marker/MGI:1914974","MGI:1914974")</f>
        <v>MGI:1914974</v>
      </c>
      <c r="J2649" s="4" t="s">
        <v>12</v>
      </c>
    </row>
    <row r="2650" spans="1:10" x14ac:dyDescent="0.25">
      <c r="A2650" s="2">
        <v>1160.1087831884599</v>
      </c>
      <c r="B2650" s="3">
        <v>0.44783630580009698</v>
      </c>
      <c r="C2650" s="5">
        <v>4.45585574552454E-9</v>
      </c>
      <c r="D2650" s="6">
        <v>2.2728783057874802E-8</v>
      </c>
      <c r="E2650" s="3" t="s">
        <v>7748</v>
      </c>
      <c r="F2650" s="3" t="s">
        <v>7749</v>
      </c>
      <c r="G2650" s="3">
        <v>231889</v>
      </c>
      <c r="H2650" s="7" t="str">
        <f>HYPERLINK("http://www.ensembl.org/Mus_musculus/Gene/Summary?db=core;g=ENSMUSG00000038722","ENSMUSG00000038722")</f>
        <v>ENSMUSG00000038722</v>
      </c>
      <c r="I2650" s="7" t="str">
        <f>HYPERLINK("http://www.informatics.jax.org/marker/MGI:2141291","MGI:2141291")</f>
        <v>MGI:2141291</v>
      </c>
      <c r="J2650" s="4" t="s">
        <v>12</v>
      </c>
    </row>
    <row r="2651" spans="1:10" x14ac:dyDescent="0.25">
      <c r="A2651" s="2">
        <v>1051.15050629555</v>
      </c>
      <c r="B2651" s="3">
        <v>0.44758351799077301</v>
      </c>
      <c r="C2651" s="5">
        <v>1.3675507102674699E-10</v>
      </c>
      <c r="D2651" s="6">
        <v>7.8715995348728602E-10</v>
      </c>
      <c r="E2651" s="3" t="s">
        <v>6870</v>
      </c>
      <c r="F2651" s="3" t="s">
        <v>6871</v>
      </c>
      <c r="G2651" s="3">
        <v>218832</v>
      </c>
      <c r="H2651" s="7" t="str">
        <f>HYPERLINK("http://www.ensembl.org/Mus_musculus/Gene/Summary?db=core;g=ENSMUSG00000025280","ENSMUSG00000025280")</f>
        <v>ENSMUSG00000025280</v>
      </c>
      <c r="I2651" s="7" t="str">
        <f>HYPERLINK("http://www.informatics.jax.org/marker/MGI:2681836","MGI:2681836")</f>
        <v>MGI:2681836</v>
      </c>
      <c r="J2651" s="4" t="s">
        <v>12</v>
      </c>
    </row>
    <row r="2652" spans="1:10" x14ac:dyDescent="0.25">
      <c r="A2652" s="2">
        <v>635.76646409168097</v>
      </c>
      <c r="B2652" s="3">
        <v>0.44757050859059799</v>
      </c>
      <c r="C2652" s="5">
        <v>2.68215845146463E-8</v>
      </c>
      <c r="D2652" s="6">
        <v>1.27988924292007E-7</v>
      </c>
      <c r="E2652" s="3" t="s">
        <v>8281</v>
      </c>
      <c r="F2652" s="3" t="s">
        <v>8282</v>
      </c>
      <c r="G2652" s="3">
        <v>66979</v>
      </c>
      <c r="H2652" s="7" t="str">
        <f>HYPERLINK("http://www.ensembl.org/Mus_musculus/Gene/Summary?db=core;g=ENSMUSG00000030042","ENSMUSG00000030042")</f>
        <v>ENSMUSG00000030042</v>
      </c>
      <c r="I2652" s="7" t="str">
        <f>HYPERLINK("http://www.informatics.jax.org/marker/MGI:1914229","MGI:1914229")</f>
        <v>MGI:1914229</v>
      </c>
      <c r="J2652" s="4" t="s">
        <v>12</v>
      </c>
    </row>
    <row r="2653" spans="1:10" x14ac:dyDescent="0.25">
      <c r="A2653" s="2">
        <v>447.22965959260102</v>
      </c>
      <c r="B2653" s="3">
        <v>0.44752495310467699</v>
      </c>
      <c r="C2653" s="5">
        <v>5.6220357062535398E-10</v>
      </c>
      <c r="D2653" s="6">
        <v>3.0702449218310701E-9</v>
      </c>
      <c r="E2653" s="3" t="s">
        <v>7240</v>
      </c>
      <c r="F2653" s="3" t="s">
        <v>7241</v>
      </c>
      <c r="G2653" s="3">
        <v>17085</v>
      </c>
      <c r="H2653" s="7" t="str">
        <f>HYPERLINK("http://www.ensembl.org/Mus_musculus/Gene/Summary?db=core;g=ENSMUSG00000004707","ENSMUSG00000004707")</f>
        <v>ENSMUSG00000004707</v>
      </c>
      <c r="I2653" s="7" t="str">
        <f>HYPERLINK("http://www.informatics.jax.org/marker/MGI:96885","MGI:96885")</f>
        <v>MGI:96885</v>
      </c>
      <c r="J2653" s="4" t="s">
        <v>12</v>
      </c>
    </row>
    <row r="2654" spans="1:10" x14ac:dyDescent="0.25">
      <c r="A2654" s="2">
        <v>1305.2122324776999</v>
      </c>
      <c r="B2654" s="3">
        <v>0.447377308386739</v>
      </c>
      <c r="C2654" s="5">
        <v>3.9553665730655502E-17</v>
      </c>
      <c r="D2654" s="6">
        <v>3.3972050880162299E-16</v>
      </c>
      <c r="E2654" s="3" t="s">
        <v>4609</v>
      </c>
      <c r="F2654" s="3" t="s">
        <v>4610</v>
      </c>
      <c r="G2654" s="3">
        <v>229517</v>
      </c>
      <c r="H2654" s="7" t="str">
        <f>HYPERLINK("http://www.ensembl.org/Mus_musculus/Gene/Summary?db=core;g=ENSMUSG00000050144","ENSMUSG00000050144")</f>
        <v>ENSMUSG00000050144</v>
      </c>
      <c r="I2654" s="7" t="str">
        <f>HYPERLINK("http://www.informatics.jax.org/marker/MGI:2444391","MGI:2444391")</f>
        <v>MGI:2444391</v>
      </c>
      <c r="J2654" s="4" t="s">
        <v>12</v>
      </c>
    </row>
    <row r="2655" spans="1:10" x14ac:dyDescent="0.25">
      <c r="A2655" s="2">
        <v>2429.3102906447498</v>
      </c>
      <c r="B2655" s="3">
        <v>0.44722993951253598</v>
      </c>
      <c r="C2655" s="5">
        <v>3.7438920827417397E-18</v>
      </c>
      <c r="D2655" s="6">
        <v>3.4022834963901901E-17</v>
      </c>
      <c r="E2655" s="3" t="s">
        <v>4357</v>
      </c>
      <c r="F2655" s="3" t="s">
        <v>4358</v>
      </c>
      <c r="G2655" s="3">
        <v>54170</v>
      </c>
      <c r="H2655" s="7" t="str">
        <f>HYPERLINK("http://www.ensembl.org/Mus_musculus/Gene/Summary?db=core;g=ENSMUSG00000028646","ENSMUSG00000028646")</f>
        <v>ENSMUSG00000028646</v>
      </c>
      <c r="I2655" s="7" t="str">
        <f>HYPERLINK("http://www.informatics.jax.org/marker/MGI:1858751","MGI:1858751")</f>
        <v>MGI:1858751</v>
      </c>
      <c r="J2655" s="4" t="s">
        <v>12</v>
      </c>
    </row>
    <row r="2656" spans="1:10" x14ac:dyDescent="0.25">
      <c r="A2656" s="2">
        <v>1109.0801450891399</v>
      </c>
      <c r="B2656" s="3">
        <v>0.44686788428122098</v>
      </c>
      <c r="C2656" s="5">
        <v>1.2677882487312001E-16</v>
      </c>
      <c r="D2656" s="6">
        <v>1.058906576238E-15</v>
      </c>
      <c r="E2656" s="3" t="s">
        <v>4739</v>
      </c>
      <c r="F2656" s="3" t="s">
        <v>4740</v>
      </c>
      <c r="G2656" s="3">
        <v>338355</v>
      </c>
      <c r="H2656" s="7" t="str">
        <f>HYPERLINK("http://www.ensembl.org/Mus_musculus/Gene/Summary?db=core;g=ENSMUSG00000066151","ENSMUSG00000066151")</f>
        <v>ENSMUSG00000066151</v>
      </c>
      <c r="I2656" s="7" t="str">
        <f>HYPERLINK("http://www.informatics.jax.org/marker/MGI:2444782","MGI:2444782")</f>
        <v>MGI:2444782</v>
      </c>
      <c r="J2656" s="4" t="s">
        <v>12</v>
      </c>
    </row>
    <row r="2657" spans="1:10" x14ac:dyDescent="0.25">
      <c r="A2657" s="2">
        <v>249.07036723084701</v>
      </c>
      <c r="B2657" s="3">
        <v>0.44663678044550498</v>
      </c>
      <c r="C2657" s="5">
        <v>1.69578583427152E-5</v>
      </c>
      <c r="D2657" s="6">
        <v>6.2065509747279905E-5</v>
      </c>
      <c r="E2657" s="3" t="s">
        <v>10788</v>
      </c>
      <c r="F2657" s="3" t="s">
        <v>10789</v>
      </c>
      <c r="G2657" s="3">
        <v>68865</v>
      </c>
      <c r="H2657" s="7" t="str">
        <f>HYPERLINK("http://www.ensembl.org/Mus_musculus/Gene/Summary?db=core;g=ENSMUSG00000031982","ENSMUSG00000031982")</f>
        <v>ENSMUSG00000031982</v>
      </c>
      <c r="I2657" s="7" t="str">
        <f>HYPERLINK("http://www.informatics.jax.org/marker/MGI:1916115","MGI:1916115")</f>
        <v>MGI:1916115</v>
      </c>
      <c r="J2657" s="4" t="s">
        <v>12</v>
      </c>
    </row>
    <row r="2658" spans="1:10" x14ac:dyDescent="0.25">
      <c r="A2658" s="2">
        <v>163.621168253071</v>
      </c>
      <c r="B2658" s="3">
        <v>0.446608053836694</v>
      </c>
      <c r="C2658" s="5">
        <v>2.8868087255609199E-6</v>
      </c>
      <c r="D2658" s="6">
        <v>1.14244166301548E-5</v>
      </c>
      <c r="E2658" s="3" t="s">
        <v>9982</v>
      </c>
      <c r="F2658" s="3" t="s">
        <v>9983</v>
      </c>
      <c r="G2658" s="3">
        <v>67736</v>
      </c>
      <c r="H2658" s="7" t="str">
        <f>HYPERLINK("http://www.ensembl.org/Mus_musculus/Gene/Summary?db=core;g=ENSMUSG00000004994","ENSMUSG00000004994")</f>
        <v>ENSMUSG00000004994</v>
      </c>
      <c r="I2658" s="7" t="str">
        <f>HYPERLINK("http://www.informatics.jax.org/marker/MGI:1914986","MGI:1914986")</f>
        <v>MGI:1914986</v>
      </c>
      <c r="J2658" s="4" t="s">
        <v>12</v>
      </c>
    </row>
    <row r="2659" spans="1:10" x14ac:dyDescent="0.25">
      <c r="A2659" s="2">
        <v>17370.774059287902</v>
      </c>
      <c r="B2659" s="3">
        <v>0.44599192043414998</v>
      </c>
      <c r="C2659" s="5">
        <v>2.68580457797219E-9</v>
      </c>
      <c r="D2659" s="6">
        <v>1.3904979332531301E-8</v>
      </c>
      <c r="E2659" s="3" t="s">
        <v>7634</v>
      </c>
      <c r="F2659" s="3" t="s">
        <v>7635</v>
      </c>
      <c r="G2659" s="3">
        <v>18826</v>
      </c>
      <c r="H2659" s="7" t="str">
        <f>HYPERLINK("http://www.ensembl.org/Mus_musculus/Gene/Summary?db=core;g=ENSMUSG00000021998","ENSMUSG00000021998")</f>
        <v>ENSMUSG00000021998</v>
      </c>
      <c r="I2659" s="7" t="str">
        <f>HYPERLINK("http://www.informatics.jax.org/marker/MGI:104808","MGI:104808")</f>
        <v>MGI:104808</v>
      </c>
      <c r="J2659" s="4" t="s">
        <v>12</v>
      </c>
    </row>
    <row r="2660" spans="1:10" x14ac:dyDescent="0.25">
      <c r="A2660" s="2">
        <v>2039.24231021533</v>
      </c>
      <c r="B2660" s="3">
        <v>0.44516541907450702</v>
      </c>
      <c r="C2660" s="5">
        <v>8.7907084051747501E-8</v>
      </c>
      <c r="D2660" s="6">
        <v>4.0035281697470199E-7</v>
      </c>
      <c r="E2660" s="3" t="s">
        <v>8677</v>
      </c>
      <c r="F2660" s="3" t="s">
        <v>8678</v>
      </c>
      <c r="G2660" s="3">
        <v>23789</v>
      </c>
      <c r="H2660" s="7" t="str">
        <f>HYPERLINK("http://www.ensembl.org/Mus_musculus/Gene/Summary?db=core;g=ENSMUSG00000024835","ENSMUSG00000024835")</f>
        <v>ENSMUSG00000024835</v>
      </c>
      <c r="I2660" s="7" t="str">
        <f>HYPERLINK("http://www.informatics.jax.org/marker/MGI:1345963","MGI:1345963")</f>
        <v>MGI:1345963</v>
      </c>
      <c r="J2660" s="4" t="s">
        <v>12</v>
      </c>
    </row>
    <row r="2661" spans="1:10" x14ac:dyDescent="0.25">
      <c r="A2661" s="2">
        <v>363.24203445149197</v>
      </c>
      <c r="B2661" s="3">
        <v>0.44512212107448901</v>
      </c>
      <c r="C2661" s="5">
        <v>8.7941809378490796E-12</v>
      </c>
      <c r="D2661" s="6">
        <v>5.5247291524174502E-11</v>
      </c>
      <c r="E2661" s="3" t="s">
        <v>6295</v>
      </c>
      <c r="F2661" s="3" t="s">
        <v>6296</v>
      </c>
      <c r="G2661" s="3">
        <v>100210</v>
      </c>
      <c r="H2661" s="7" t="str">
        <f>HYPERLINK("http://www.ensembl.org/Mus_musculus/Gene/Summary?db=core;g=ENSMUSG00000028848","ENSMUSG00000028848")</f>
        <v>ENSMUSG00000028848</v>
      </c>
      <c r="I2661" s="7" t="str">
        <f>HYPERLINK("http://www.informatics.jax.org/marker/MGI:2140368","MGI:2140368")</f>
        <v>MGI:2140368</v>
      </c>
      <c r="J2661" s="4" t="s">
        <v>12</v>
      </c>
    </row>
    <row r="2662" spans="1:10" x14ac:dyDescent="0.25">
      <c r="A2662" s="2">
        <v>679.70405633149903</v>
      </c>
      <c r="B2662" s="3">
        <v>0.444517584005301</v>
      </c>
      <c r="C2662" s="5">
        <v>8.4848378823246996E-9</v>
      </c>
      <c r="D2662" s="6">
        <v>4.23383104856891E-8</v>
      </c>
      <c r="E2662" s="3" t="s">
        <v>7920</v>
      </c>
      <c r="F2662" s="3" t="s">
        <v>7921</v>
      </c>
      <c r="G2662" s="3">
        <v>54667</v>
      </c>
      <c r="H2662" s="7" t="str">
        <f>HYPERLINK("http://www.ensembl.org/Mus_musculus/Gene/Summary?db=core;g=ENSMUSG00000060671","ENSMUSG00000060671")</f>
        <v>ENSMUSG00000060671</v>
      </c>
      <c r="I2662" s="7" t="str">
        <f>HYPERLINK("http://www.informatics.jax.org/marker/MGI:1859660","MGI:1859660")</f>
        <v>MGI:1859660</v>
      </c>
      <c r="J2662" s="4" t="s">
        <v>12</v>
      </c>
    </row>
    <row r="2663" spans="1:10" x14ac:dyDescent="0.25">
      <c r="A2663" s="2">
        <v>3550.9829579062898</v>
      </c>
      <c r="B2663" s="3">
        <v>0.44430006184830301</v>
      </c>
      <c r="C2663" s="5">
        <v>1.9396605542288599E-14</v>
      </c>
      <c r="D2663" s="6">
        <v>1.44722308472921E-13</v>
      </c>
      <c r="E2663" s="3" t="s">
        <v>5303</v>
      </c>
      <c r="F2663" s="3" t="s">
        <v>5304</v>
      </c>
      <c r="G2663" s="3">
        <v>22123</v>
      </c>
      <c r="H2663" s="7" t="str">
        <f>HYPERLINK("http://www.ensembl.org/Mus_musculus/Gene/Summary?db=core;g=ENSMUSG00000017221","ENSMUSG00000017221")</f>
        <v>ENSMUSG00000017221</v>
      </c>
      <c r="I2663" s="7" t="str">
        <f>HYPERLINK("http://www.informatics.jax.org/marker/MGI:98858","MGI:98858")</f>
        <v>MGI:98858</v>
      </c>
      <c r="J2663" s="4" t="s">
        <v>12</v>
      </c>
    </row>
    <row r="2664" spans="1:10" x14ac:dyDescent="0.25">
      <c r="A2664" s="2">
        <v>657.54548431916601</v>
      </c>
      <c r="B2664" s="3">
        <v>0.444157290682757</v>
      </c>
      <c r="C2664" s="5">
        <v>5.5061951037121302E-12</v>
      </c>
      <c r="D2664" s="6">
        <v>3.5105776736244202E-11</v>
      </c>
      <c r="E2664" s="3" t="s">
        <v>6203</v>
      </c>
      <c r="F2664" s="3" t="s">
        <v>6204</v>
      </c>
      <c r="G2664" s="3">
        <v>67197</v>
      </c>
      <c r="H2664" s="7" t="str">
        <f>HYPERLINK("http://www.ensembl.org/Mus_musculus/Gene/Summary?db=core;g=ENSMUSG00000022635","ENSMUSG00000022635")</f>
        <v>ENSMUSG00000022635</v>
      </c>
      <c r="I2664" s="7" t="str">
        <f>HYPERLINK("http://www.informatics.jax.org/marker/MGI:1914447","MGI:1914447")</f>
        <v>MGI:1914447</v>
      </c>
      <c r="J2664" s="4" t="s">
        <v>12</v>
      </c>
    </row>
    <row r="2665" spans="1:10" x14ac:dyDescent="0.25">
      <c r="A2665" s="2">
        <v>459.74084059304602</v>
      </c>
      <c r="B2665" s="3">
        <v>0.444083473993311</v>
      </c>
      <c r="C2665" s="5">
        <v>4.3171626605874899E-10</v>
      </c>
      <c r="D2665" s="6">
        <v>2.3807172166327E-9</v>
      </c>
      <c r="E2665" s="3" t="s">
        <v>7170</v>
      </c>
      <c r="F2665" s="3" t="s">
        <v>7171</v>
      </c>
      <c r="G2665" s="3">
        <v>14911</v>
      </c>
      <c r="H2665" s="7" t="str">
        <f>HYPERLINK("http://www.ensembl.org/Mus_musculus/Gene/Summary?db=core;g=ENSMUSG00000030264","ENSMUSG00000030264")</f>
        <v>ENSMUSG00000030264</v>
      </c>
      <c r="I2665" s="7" t="str">
        <f>HYPERLINK("http://www.informatics.jax.org/marker/MGI:1277973","MGI:1277973")</f>
        <v>MGI:1277973</v>
      </c>
      <c r="J2665" s="4" t="s">
        <v>12</v>
      </c>
    </row>
    <row r="2666" spans="1:10" x14ac:dyDescent="0.25">
      <c r="A2666" s="2">
        <v>952.25334568308199</v>
      </c>
      <c r="B2666" s="3">
        <v>0.44375182386578899</v>
      </c>
      <c r="C2666" s="5">
        <v>1.5723529658602299E-16</v>
      </c>
      <c r="D2666" s="6">
        <v>1.30500002048669E-15</v>
      </c>
      <c r="E2666" s="3" t="s">
        <v>4769</v>
      </c>
      <c r="F2666" s="3" t="s">
        <v>4770</v>
      </c>
      <c r="G2666" s="3">
        <v>19352</v>
      </c>
      <c r="H2666" s="7" t="str">
        <f>HYPERLINK("http://www.ensembl.org/Mus_musculus/Gene/Summary?db=core;g=ENSMUSG00000038975","ENSMUSG00000038975")</f>
        <v>ENSMUSG00000038975</v>
      </c>
      <c r="I2666" s="7" t="str">
        <f>HYPERLINK("http://www.informatics.jax.org/marker/MGI:99537","MGI:99537")</f>
        <v>MGI:99537</v>
      </c>
      <c r="J2666" s="4" t="s">
        <v>12</v>
      </c>
    </row>
    <row r="2667" spans="1:10" x14ac:dyDescent="0.25">
      <c r="A2667" s="2">
        <v>231.307394454632</v>
      </c>
      <c r="B2667" s="3">
        <v>0.44313765879017503</v>
      </c>
      <c r="C2667" s="5">
        <v>7.5211292521491497E-7</v>
      </c>
      <c r="D2667" s="6">
        <v>3.1516504218525601E-6</v>
      </c>
      <c r="E2667" s="3" t="s">
        <v>9427</v>
      </c>
      <c r="F2667" s="3" t="s">
        <v>9428</v>
      </c>
      <c r="G2667" s="3">
        <v>51813</v>
      </c>
      <c r="H2667" s="7" t="str">
        <f>HYPERLINK("http://www.ensembl.org/Mus_musculus/Gene/Summary?db=core;g=ENSMUSG00000028252","ENSMUSG00000028252")</f>
        <v>ENSMUSG00000028252</v>
      </c>
      <c r="I2667" s="7" t="str">
        <f>HYPERLINK("http://www.informatics.jax.org/marker/MGI:1858199","MGI:1858199")</f>
        <v>MGI:1858199</v>
      </c>
      <c r="J2667" s="4" t="s">
        <v>12</v>
      </c>
    </row>
    <row r="2668" spans="1:10" x14ac:dyDescent="0.25">
      <c r="A2668" s="2">
        <v>411.27496112665102</v>
      </c>
      <c r="B2668" s="3">
        <v>0.44294821866966799</v>
      </c>
      <c r="C2668" s="5">
        <v>9.7577994610525096E-9</v>
      </c>
      <c r="D2668" s="6">
        <v>4.8432873237340898E-8</v>
      </c>
      <c r="E2668" s="3" t="s">
        <v>7963</v>
      </c>
      <c r="F2668" s="3" t="s">
        <v>7964</v>
      </c>
      <c r="G2668" s="3">
        <v>76273</v>
      </c>
      <c r="H2668" s="7" t="str">
        <f>HYPERLINK("http://www.ensembl.org/Mus_musculus/Gene/Summary?db=core;g=ENSMUSG00000053253","ENSMUSG00000053253")</f>
        <v>ENSMUSG00000053253</v>
      </c>
      <c r="I2668" s="7" t="str">
        <f>HYPERLINK("http://www.informatics.jax.org/marker/MGI:1923523","MGI:1923523")</f>
        <v>MGI:1923523</v>
      </c>
      <c r="J2668" s="4" t="s">
        <v>12</v>
      </c>
    </row>
    <row r="2669" spans="1:10" x14ac:dyDescent="0.25">
      <c r="A2669" s="2">
        <v>138.19849553659</v>
      </c>
      <c r="B2669" s="3">
        <v>0.44290355239068302</v>
      </c>
      <c r="C2669" s="5">
        <v>4.7135711994415603E-5</v>
      </c>
      <c r="D2669" s="4">
        <v>1.64574405192967E-4</v>
      </c>
      <c r="E2669" s="3" t="s">
        <v>11307</v>
      </c>
      <c r="F2669" s="3" t="s">
        <v>11308</v>
      </c>
      <c r="G2669" s="3" t="s">
        <v>83</v>
      </c>
      <c r="H2669" s="7" t="str">
        <f>HYPERLINK("http://www.ensembl.org/Mus_musculus/Gene/Summary?db=core;g=ENSMUSG00000058126","ENSMUSG00000058126")</f>
        <v>ENSMUSG00000058126</v>
      </c>
      <c r="I2669" s="7" t="str">
        <f>HYPERLINK("http://www.informatics.jax.org/marker/MGI:99705","MGI:99705")</f>
        <v>MGI:99705</v>
      </c>
      <c r="J2669" s="4" t="s">
        <v>12</v>
      </c>
    </row>
    <row r="2670" spans="1:10" x14ac:dyDescent="0.25">
      <c r="A2670" s="2">
        <v>1465.0669291506699</v>
      </c>
      <c r="B2670" s="3">
        <v>0.44265646768786798</v>
      </c>
      <c r="C2670" s="5">
        <v>1.6636915959983101E-10</v>
      </c>
      <c r="D2670" s="6">
        <v>9.5233666975577999E-10</v>
      </c>
      <c r="E2670" s="3" t="s">
        <v>6908</v>
      </c>
      <c r="F2670" s="3" t="s">
        <v>6909</v>
      </c>
      <c r="G2670" s="3">
        <v>235661</v>
      </c>
      <c r="H2670" s="7" t="str">
        <f>HYPERLINK("http://www.ensembl.org/Mus_musculus/Gene/Summary?db=core;g=ENSMUSG00000032435","ENSMUSG00000032435")</f>
        <v>ENSMUSG00000032435</v>
      </c>
      <c r="I2670" s="7" t="str">
        <f>HYPERLINK("http://www.informatics.jax.org/marker/MGI:2135610","MGI:2135610")</f>
        <v>MGI:2135610</v>
      </c>
      <c r="J2670" s="4" t="s">
        <v>12</v>
      </c>
    </row>
    <row r="2671" spans="1:10" x14ac:dyDescent="0.25">
      <c r="A2671" s="2">
        <v>214.74541615032999</v>
      </c>
      <c r="B2671" s="3">
        <v>0.44264237037972898</v>
      </c>
      <c r="C2671" s="5">
        <v>1.347870157817E-5</v>
      </c>
      <c r="D2671" s="6">
        <v>4.9868667002159902E-5</v>
      </c>
      <c r="E2671" s="3" t="s">
        <v>10672</v>
      </c>
      <c r="F2671" s="3" t="s">
        <v>10673</v>
      </c>
      <c r="G2671" s="3">
        <v>330401</v>
      </c>
      <c r="H2671" s="7" t="str">
        <f>HYPERLINK("http://www.ensembl.org/Mus_musculus/Gene/Summary?db=core;g=ENSMUSG00000030126","ENSMUSG00000030126")</f>
        <v>ENSMUSG00000030126</v>
      </c>
      <c r="I2671" s="7" t="str">
        <f>HYPERLINK("http://www.informatics.jax.org/marker/MGI:2442368","MGI:2442368")</f>
        <v>MGI:2442368</v>
      </c>
      <c r="J2671" s="4" t="s">
        <v>12</v>
      </c>
    </row>
    <row r="2672" spans="1:10" x14ac:dyDescent="0.25">
      <c r="A2672" s="2">
        <v>4599.3517424847396</v>
      </c>
      <c r="B2672" s="3">
        <v>0.44249433662474602</v>
      </c>
      <c r="C2672" s="5">
        <v>7.2353599285365404E-36</v>
      </c>
      <c r="D2672" s="6">
        <v>1.29357477598133E-34</v>
      </c>
      <c r="E2672" s="3" t="s">
        <v>2223</v>
      </c>
      <c r="F2672" s="3" t="s">
        <v>2224</v>
      </c>
      <c r="G2672" s="3">
        <v>19052</v>
      </c>
      <c r="H2672" s="7" t="str">
        <f>HYPERLINK("http://www.ensembl.org/Mus_musculus/Gene/Summary?db=core;g=ENSMUSG00000020349","ENSMUSG00000020349")</f>
        <v>ENSMUSG00000020349</v>
      </c>
      <c r="I2672" s="7" t="str">
        <f>HYPERLINK("http://www.informatics.jax.org/marker/MGI:1321159","MGI:1321159")</f>
        <v>MGI:1321159</v>
      </c>
      <c r="J2672" s="4" t="s">
        <v>12</v>
      </c>
    </row>
    <row r="2673" spans="1:10" x14ac:dyDescent="0.25">
      <c r="A2673" s="2">
        <v>309.55684879120798</v>
      </c>
      <c r="B2673" s="3">
        <v>0.44200865195398797</v>
      </c>
      <c r="C2673" s="5">
        <v>7.5913202726769099E-7</v>
      </c>
      <c r="D2673" s="6">
        <v>3.17744946209525E-6</v>
      </c>
      <c r="E2673" s="3" t="s">
        <v>9437</v>
      </c>
      <c r="F2673" s="3" t="s">
        <v>9438</v>
      </c>
      <c r="G2673" s="3">
        <v>66689</v>
      </c>
      <c r="H2673" s="7" t="str">
        <f>HYPERLINK("http://www.ensembl.org/Mus_musculus/Gene/Summary?db=core;g=ENSMUSG00000020948","ENSMUSG00000020948")</f>
        <v>ENSMUSG00000020948</v>
      </c>
      <c r="I2673" s="7" t="str">
        <f>HYPERLINK("http://www.informatics.jax.org/marker/MGI:1913939","MGI:1913939")</f>
        <v>MGI:1913939</v>
      </c>
      <c r="J2673" s="4" t="s">
        <v>12</v>
      </c>
    </row>
    <row r="2674" spans="1:10" x14ac:dyDescent="0.25">
      <c r="A2674" s="2">
        <v>2226.7999194642398</v>
      </c>
      <c r="B2674" s="3">
        <v>0.44193050764721198</v>
      </c>
      <c r="C2674" s="5">
        <v>1.11599463129195E-19</v>
      </c>
      <c r="D2674" s="6">
        <v>1.09109638716297E-18</v>
      </c>
      <c r="E2674" s="3" t="s">
        <v>4051</v>
      </c>
      <c r="F2674" s="3" t="s">
        <v>4052</v>
      </c>
      <c r="G2674" s="3">
        <v>225876</v>
      </c>
      <c r="H2674" s="7" t="str">
        <f>HYPERLINK("http://www.ensembl.org/Mus_musculus/Gene/Summary?db=core;g=ENSMUSG00000054611","ENSMUSG00000054611")</f>
        <v>ENSMUSG00000054611</v>
      </c>
      <c r="I2674" s="7" t="str">
        <f>HYPERLINK("http://www.informatics.jax.org/marker/MGI:1354736","MGI:1354736")</f>
        <v>MGI:1354736</v>
      </c>
      <c r="J2674" s="4" t="s">
        <v>12</v>
      </c>
    </row>
    <row r="2675" spans="1:10" x14ac:dyDescent="0.25">
      <c r="A2675" s="2">
        <v>1733.14094907147</v>
      </c>
      <c r="B2675" s="3">
        <v>0.441785519003217</v>
      </c>
      <c r="C2675" s="5">
        <v>4.8895157579973602E-19</v>
      </c>
      <c r="D2675" s="6">
        <v>4.65803143708734E-18</v>
      </c>
      <c r="E2675" s="3" t="s">
        <v>4157</v>
      </c>
      <c r="F2675" s="3" t="s">
        <v>4158</v>
      </c>
      <c r="G2675" s="3">
        <v>216742</v>
      </c>
      <c r="H2675" s="7" t="str">
        <f>HYPERLINK("http://www.ensembl.org/Mus_musculus/Gene/Summary?db=core;g=ENSMUSG00000035992","ENSMUSG00000035992")</f>
        <v>ENSMUSG00000035992</v>
      </c>
      <c r="I2675" s="7" t="str">
        <f>HYPERLINK("http://www.informatics.jax.org/marker/MGI:2444668","MGI:2444668")</f>
        <v>MGI:2444668</v>
      </c>
      <c r="J2675" s="4" t="s">
        <v>12</v>
      </c>
    </row>
    <row r="2676" spans="1:10" x14ac:dyDescent="0.25">
      <c r="A2676" s="2">
        <v>1523.27922629465</v>
      </c>
      <c r="B2676" s="3">
        <v>0.44101214049737297</v>
      </c>
      <c r="C2676" s="5">
        <v>1.9521449385934799E-13</v>
      </c>
      <c r="D2676" s="6">
        <v>1.37143919448035E-12</v>
      </c>
      <c r="E2676" s="3" t="s">
        <v>5631</v>
      </c>
      <c r="F2676" s="3" t="s">
        <v>5632</v>
      </c>
      <c r="G2676" s="3">
        <v>117160</v>
      </c>
      <c r="H2676" s="7" t="str">
        <f>HYPERLINK("http://www.ensembl.org/Mus_musculus/Gene/Summary?db=core;g=ENSMUSG00000034714","ENSMUSG00000034714")</f>
        <v>ENSMUSG00000034714</v>
      </c>
      <c r="I2676" s="7" t="str">
        <f>HYPERLINK("http://www.informatics.jax.org/marker/MGI:2157091","MGI:2157091")</f>
        <v>MGI:2157091</v>
      </c>
      <c r="J2676" s="4" t="s">
        <v>12</v>
      </c>
    </row>
    <row r="2677" spans="1:10" x14ac:dyDescent="0.25">
      <c r="A2677" s="2">
        <v>382.93760967885203</v>
      </c>
      <c r="B2677" s="3">
        <v>0.44056779852678102</v>
      </c>
      <c r="C2677" s="5">
        <v>8.0561790915610006E-6</v>
      </c>
      <c r="D2677" s="6">
        <v>3.0522161707124501E-5</v>
      </c>
      <c r="E2677" s="3" t="s">
        <v>10424</v>
      </c>
      <c r="F2677" s="3" t="s">
        <v>10425</v>
      </c>
      <c r="G2677" s="3">
        <v>70430</v>
      </c>
      <c r="H2677" s="7" t="str">
        <f>HYPERLINK("http://www.ensembl.org/Mus_musculus/Gene/Summary?db=core;g=ENSMUSG00000039233","ENSMUSG00000039233")</f>
        <v>ENSMUSG00000039233</v>
      </c>
      <c r="I2677" s="7" t="str">
        <f>HYPERLINK("http://www.informatics.jax.org/marker/MGI:1917680","MGI:1917680")</f>
        <v>MGI:1917680</v>
      </c>
      <c r="J2677" s="4" t="s">
        <v>12</v>
      </c>
    </row>
    <row r="2678" spans="1:10" x14ac:dyDescent="0.25">
      <c r="A2678" s="2">
        <v>4220.2636538411098</v>
      </c>
      <c r="B2678" s="3">
        <v>0.44016119217466998</v>
      </c>
      <c r="C2678" s="5">
        <v>1.18825338344856E-20</v>
      </c>
      <c r="D2678" s="6">
        <v>1.2153711992534E-19</v>
      </c>
      <c r="E2678" s="3" t="s">
        <v>3874</v>
      </c>
      <c r="F2678" s="3" t="s">
        <v>3875</v>
      </c>
      <c r="G2678" s="3">
        <v>21771</v>
      </c>
      <c r="H2678" s="7" t="str">
        <f>HYPERLINK("http://www.ensembl.org/Mus_musculus/Gene/Summary?db=core;g=ENSMUSG00000041438","ENSMUSG00000041438")</f>
        <v>ENSMUSG00000041438</v>
      </c>
      <c r="I2678" s="7" t="str">
        <f>HYPERLINK("http://www.informatics.jax.org/marker/MGI:1096573","MGI:1096573")</f>
        <v>MGI:1096573</v>
      </c>
      <c r="J2678" s="4" t="s">
        <v>12</v>
      </c>
    </row>
    <row r="2679" spans="1:10" x14ac:dyDescent="0.25">
      <c r="A2679" s="2">
        <v>56.268105266057603</v>
      </c>
      <c r="B2679" s="3">
        <v>0.44014593391441298</v>
      </c>
      <c r="C2679" s="3">
        <v>1.94483845096344E-2</v>
      </c>
      <c r="D2679" s="4">
        <v>4.5532724982784101E-2</v>
      </c>
      <c r="E2679" s="3" t="s">
        <v>16850</v>
      </c>
      <c r="F2679" s="3" t="s">
        <v>16851</v>
      </c>
      <c r="G2679" s="3" t="s">
        <v>83</v>
      </c>
      <c r="H2679" s="7" t="str">
        <f>HYPERLINK("http://www.ensembl.org/Mus_musculus/Gene/Summary?db=core;g=ENSMUSG00000085741","ENSMUSG00000085741")</f>
        <v>ENSMUSG00000085741</v>
      </c>
      <c r="I2679" s="7" t="str">
        <f>HYPERLINK("http://www.informatics.jax.org/marker/MGI:1921737","MGI:1921737")</f>
        <v>MGI:1921737</v>
      </c>
      <c r="J2679" s="4" t="s">
        <v>331</v>
      </c>
    </row>
    <row r="2680" spans="1:10" x14ac:dyDescent="0.25">
      <c r="A2680" s="2">
        <v>2160.7275683985099</v>
      </c>
      <c r="B2680" s="3">
        <v>0.440035521527879</v>
      </c>
      <c r="C2680" s="5">
        <v>6.2498923989324401E-20</v>
      </c>
      <c r="D2680" s="6">
        <v>6.1654766436692202E-19</v>
      </c>
      <c r="E2680" s="3" t="s">
        <v>4016</v>
      </c>
      <c r="F2680" s="3" t="s">
        <v>4017</v>
      </c>
      <c r="G2680" s="3">
        <v>213773</v>
      </c>
      <c r="H2680" s="7" t="str">
        <f>HYPERLINK("http://www.ensembl.org/Mus_musculus/Gene/Summary?db=core;g=ENSMUSG00000040688","ENSMUSG00000040688")</f>
        <v>ENSMUSG00000040688</v>
      </c>
      <c r="I2680" s="7" t="str">
        <f>HYPERLINK("http://www.informatics.jax.org/marker/MGI:2384863","MGI:2384863")</f>
        <v>MGI:2384863</v>
      </c>
      <c r="J2680" s="4" t="s">
        <v>12</v>
      </c>
    </row>
    <row r="2681" spans="1:10" x14ac:dyDescent="0.25">
      <c r="A2681" s="2">
        <v>52.115665038761897</v>
      </c>
      <c r="B2681" s="3">
        <v>0.43999208744081703</v>
      </c>
      <c r="C2681" s="3">
        <v>1.9039000437124299E-2</v>
      </c>
      <c r="D2681" s="4">
        <v>4.4638464208642599E-2</v>
      </c>
      <c r="E2681" s="3" t="s">
        <v>16826</v>
      </c>
      <c r="F2681" s="3" t="s">
        <v>16827</v>
      </c>
      <c r="G2681" s="3" t="s">
        <v>83</v>
      </c>
      <c r="H2681" s="7" t="str">
        <f>HYPERLINK("http://www.ensembl.org/Mus_musculus/Gene/Summary?db=core;g=ENSMUSG00000071343","ENSMUSG00000071343")</f>
        <v>ENSMUSG00000071343</v>
      </c>
      <c r="I2681" s="7" t="str">
        <f>HYPERLINK("http://www.informatics.jax.org/marker/MGI:3704356","MGI:3704356")</f>
        <v>MGI:3704356</v>
      </c>
      <c r="J2681" s="4" t="s">
        <v>1043</v>
      </c>
    </row>
    <row r="2682" spans="1:10" x14ac:dyDescent="0.25">
      <c r="A2682" s="2">
        <v>2394.91338805958</v>
      </c>
      <c r="B2682" s="3">
        <v>0.43984907555068697</v>
      </c>
      <c r="C2682" s="5">
        <v>2.4413636461327502E-9</v>
      </c>
      <c r="D2682" s="6">
        <v>1.26860846117886E-8</v>
      </c>
      <c r="E2682" s="3" t="s">
        <v>7608</v>
      </c>
      <c r="F2682" s="3" t="s">
        <v>7609</v>
      </c>
      <c r="G2682" s="3">
        <v>67089</v>
      </c>
      <c r="H2682" s="7" t="str">
        <f>HYPERLINK("http://www.ensembl.org/Mus_musculus/Gene/Summary?db=core;g=ENSMUSG00000021832","ENSMUSG00000021832")</f>
        <v>ENSMUSG00000021832</v>
      </c>
      <c r="I2682" s="7" t="str">
        <f>HYPERLINK("http://www.informatics.jax.org/marker/MGI:1914339","MGI:1914339")</f>
        <v>MGI:1914339</v>
      </c>
      <c r="J2682" s="4" t="s">
        <v>12</v>
      </c>
    </row>
    <row r="2683" spans="1:10" x14ac:dyDescent="0.25">
      <c r="A2683" s="2">
        <v>3997.4033196073501</v>
      </c>
      <c r="B2683" s="3">
        <v>0.43949401175897601</v>
      </c>
      <c r="C2683" s="5">
        <v>3.9012157234938501E-19</v>
      </c>
      <c r="D2683" s="6">
        <v>3.7273243249660199E-18</v>
      </c>
      <c r="E2683" s="3" t="s">
        <v>4145</v>
      </c>
      <c r="F2683" s="3" t="s">
        <v>4146</v>
      </c>
      <c r="G2683" s="3">
        <v>12181</v>
      </c>
      <c r="H2683" s="7" t="str">
        <f>HYPERLINK("http://www.ensembl.org/Mus_musculus/Gene/Summary?db=core;g=ENSMUSG00000022557","ENSMUSG00000022557")</f>
        <v>ENSMUSG00000022557</v>
      </c>
      <c r="I2683" s="7" t="str">
        <f>HYPERLINK("http://www.informatics.jax.org/marker/MGI:1334460","MGI:1334460")</f>
        <v>MGI:1334460</v>
      </c>
      <c r="J2683" s="4" t="s">
        <v>12</v>
      </c>
    </row>
    <row r="2684" spans="1:10" x14ac:dyDescent="0.25">
      <c r="A2684" s="2">
        <v>861.30437719174802</v>
      </c>
      <c r="B2684" s="3">
        <v>0.439230224981214</v>
      </c>
      <c r="C2684" s="5">
        <v>1.6191859982307998E-8</v>
      </c>
      <c r="D2684" s="6">
        <v>7.8820903197016694E-8</v>
      </c>
      <c r="E2684" s="3" t="s">
        <v>8119</v>
      </c>
      <c r="F2684" s="3" t="s">
        <v>8120</v>
      </c>
      <c r="G2684" s="3">
        <v>239719</v>
      </c>
      <c r="H2684" s="7" t="str">
        <f>HYPERLINK("http://www.ensembl.org/Mus_musculus/Gene/Summary?db=core;g=ENSMUSG00000009569","ENSMUSG00000009569")</f>
        <v>ENSMUSG00000009569</v>
      </c>
      <c r="I2684" s="7" t="str">
        <f>HYPERLINK("http://www.informatics.jax.org/marker/MGI:3050795","MGI:3050795")</f>
        <v>MGI:3050795</v>
      </c>
      <c r="J2684" s="4" t="s">
        <v>12</v>
      </c>
    </row>
    <row r="2685" spans="1:10" x14ac:dyDescent="0.25">
      <c r="A2685" s="2">
        <v>49.278280022184497</v>
      </c>
      <c r="B2685" s="3">
        <v>0.43915336805278898</v>
      </c>
      <c r="C2685" s="3">
        <v>2.1518780450320601E-2</v>
      </c>
      <c r="D2685" s="4">
        <v>4.99059567776459E-2</v>
      </c>
      <c r="E2685" s="3" t="s">
        <v>17010</v>
      </c>
      <c r="F2685" s="3" t="s">
        <v>17011</v>
      </c>
      <c r="G2685" s="3" t="s">
        <v>83</v>
      </c>
      <c r="H2685" s="7" t="str">
        <f>HYPERLINK("http://www.ensembl.org/Mus_musculus/Gene/Summary?db=core;g=ENSMUSG00000081721","ENSMUSG00000081721")</f>
        <v>ENSMUSG00000081721</v>
      </c>
      <c r="I2685" s="7" t="str">
        <f>HYPERLINK("http://www.informatics.jax.org/marker/MGI:3650052","MGI:3650052")</f>
        <v>MGI:3650052</v>
      </c>
      <c r="J2685" s="4" t="s">
        <v>1043</v>
      </c>
    </row>
    <row r="2686" spans="1:10" x14ac:dyDescent="0.25">
      <c r="A2686" s="2">
        <v>2245.01988926581</v>
      </c>
      <c r="B2686" s="3">
        <v>0.43908868888029001</v>
      </c>
      <c r="C2686" s="5">
        <v>5.86567805453669E-15</v>
      </c>
      <c r="D2686" s="6">
        <v>4.5008237834810801E-14</v>
      </c>
      <c r="E2686" s="3" t="s">
        <v>5157</v>
      </c>
      <c r="F2686" s="3" t="s">
        <v>5158</v>
      </c>
      <c r="G2686" s="3">
        <v>17089</v>
      </c>
      <c r="H2686" s="7" t="str">
        <f>HYPERLINK("http://www.ensembl.org/Mus_musculus/Gene/Summary?db=core;g=ENSMUSG00000067367","ENSMUSG00000067367")</f>
        <v>ENSMUSG00000067367</v>
      </c>
      <c r="I2686" s="7" t="str">
        <f>HYPERLINK("http://www.informatics.jax.org/marker/MGI:107470","MGI:107470")</f>
        <v>MGI:107470</v>
      </c>
      <c r="J2686" s="4" t="s">
        <v>12</v>
      </c>
    </row>
    <row r="2687" spans="1:10" x14ac:dyDescent="0.25">
      <c r="A2687" s="2">
        <v>125.935267823955</v>
      </c>
      <c r="B2687" s="3">
        <v>0.439002889721889</v>
      </c>
      <c r="C2687" s="3">
        <v>1.37055285388494E-4</v>
      </c>
      <c r="D2687" s="4">
        <v>4.5416404433895201E-4</v>
      </c>
      <c r="E2687" s="3" t="s">
        <v>11913</v>
      </c>
      <c r="F2687" s="3" t="s">
        <v>11914</v>
      </c>
      <c r="G2687" s="3">
        <v>100101806</v>
      </c>
      <c r="H2687" s="7" t="str">
        <f>HYPERLINK("http://www.ensembl.org/Mus_musculus/Gene/Summary?db=core;g=ENSMUSG00000079108","ENSMUSG00000079108")</f>
        <v>ENSMUSG00000079108</v>
      </c>
      <c r="I2687" s="7" t="str">
        <f>HYPERLINK("http://www.informatics.jax.org/marker/MGI:3714359","MGI:3714359")</f>
        <v>MGI:3714359</v>
      </c>
      <c r="J2687" s="4" t="s">
        <v>12</v>
      </c>
    </row>
    <row r="2688" spans="1:10" x14ac:dyDescent="0.25">
      <c r="A2688" s="2">
        <v>9675.0719234704302</v>
      </c>
      <c r="B2688" s="3">
        <v>0.43843044144551002</v>
      </c>
      <c r="C2688" s="5">
        <v>4.3868581475327099E-24</v>
      </c>
      <c r="D2688" s="6">
        <v>5.1708812115567899E-23</v>
      </c>
      <c r="E2688" s="3" t="s">
        <v>3366</v>
      </c>
      <c r="F2688" s="3" t="s">
        <v>3367</v>
      </c>
      <c r="G2688" s="3">
        <v>18789</v>
      </c>
      <c r="H2688" s="7" t="str">
        <f>HYPERLINK("http://www.ensembl.org/Mus_musculus/Gene/Summary?db=core;g=ENSMUSG00000021111","ENSMUSG00000021111")</f>
        <v>ENSMUSG00000021111</v>
      </c>
      <c r="I2688" s="7" t="str">
        <f>HYPERLINK("http://www.informatics.jax.org/marker/MGI:109301","MGI:109301")</f>
        <v>MGI:109301</v>
      </c>
      <c r="J2688" s="4" t="s">
        <v>12</v>
      </c>
    </row>
    <row r="2689" spans="1:10" x14ac:dyDescent="0.25">
      <c r="A2689" s="2">
        <v>2602.6454722456601</v>
      </c>
      <c r="B2689" s="3">
        <v>0.43837878830007099</v>
      </c>
      <c r="C2689" s="5">
        <v>9.25248359157761E-10</v>
      </c>
      <c r="D2689" s="6">
        <v>4.9716342350384301E-9</v>
      </c>
      <c r="E2689" s="3" t="s">
        <v>7358</v>
      </c>
      <c r="F2689" s="3" t="s">
        <v>7359</v>
      </c>
      <c r="G2689" s="3">
        <v>59029</v>
      </c>
      <c r="H2689" s="7" t="str">
        <f>HYPERLINK("http://www.ensembl.org/Mus_musculus/Gene/Summary?db=core;g=ENSMUSG00000026914","ENSMUSG00000026914")</f>
        <v>ENSMUSG00000026914</v>
      </c>
      <c r="I2689" s="7" t="str">
        <f>HYPERLINK("http://www.informatics.jax.org/marker/MGI:1913284","MGI:1913284")</f>
        <v>MGI:1913284</v>
      </c>
      <c r="J2689" s="4" t="s">
        <v>12</v>
      </c>
    </row>
    <row r="2690" spans="1:10" x14ac:dyDescent="0.25">
      <c r="A2690" s="2">
        <v>1538.2790432089801</v>
      </c>
      <c r="B2690" s="3">
        <v>0.43787127955251298</v>
      </c>
      <c r="C2690" s="5">
        <v>1.9206823361727599E-15</v>
      </c>
      <c r="D2690" s="6">
        <v>1.5095996679683898E-14</v>
      </c>
      <c r="E2690" s="3" t="s">
        <v>5035</v>
      </c>
      <c r="F2690" s="3" t="s">
        <v>5036</v>
      </c>
      <c r="G2690" s="3">
        <v>223989</v>
      </c>
      <c r="H2690" s="7" t="str">
        <f>HYPERLINK("http://www.ensembl.org/Mus_musculus/Gene/Summary?db=core;g=ENSMUSG00000060657","ENSMUSG00000060657")</f>
        <v>ENSMUSG00000060657</v>
      </c>
      <c r="I2690" s="7" t="str">
        <f>HYPERLINK("http://www.informatics.jax.org/marker/MGI:2444505","MGI:2444505")</f>
        <v>MGI:2444505</v>
      </c>
      <c r="J2690" s="4" t="s">
        <v>12</v>
      </c>
    </row>
    <row r="2691" spans="1:10" x14ac:dyDescent="0.25">
      <c r="A2691" s="2">
        <v>1138.9953324569799</v>
      </c>
      <c r="B2691" s="3">
        <v>0.43768687175974702</v>
      </c>
      <c r="C2691" s="5">
        <v>2.1802094622005301E-14</v>
      </c>
      <c r="D2691" s="6">
        <v>1.62240492809791E-13</v>
      </c>
      <c r="E2691" s="3" t="s">
        <v>5317</v>
      </c>
      <c r="F2691" s="3" t="s">
        <v>5318</v>
      </c>
      <c r="G2691" s="3">
        <v>14236</v>
      </c>
      <c r="H2691" s="7" t="str">
        <f>HYPERLINK("http://www.ensembl.org/Mus_musculus/Gene/Summary?db=core;g=ENSMUSG00000034998","ENSMUSG00000034998")</f>
        <v>ENSMUSG00000034998</v>
      </c>
      <c r="I2691" s="7" t="str">
        <f>HYPERLINK("http://www.informatics.jax.org/marker/MGI:1347478","MGI:1347478")</f>
        <v>MGI:1347478</v>
      </c>
      <c r="J2691" s="4" t="s">
        <v>12</v>
      </c>
    </row>
    <row r="2692" spans="1:10" x14ac:dyDescent="0.25">
      <c r="A2692" s="2">
        <v>951.81850389571002</v>
      </c>
      <c r="B2692" s="3">
        <v>0.43758964908380499</v>
      </c>
      <c r="C2692" s="5">
        <v>2.8577443668502801E-10</v>
      </c>
      <c r="D2692" s="6">
        <v>1.6018965012588799E-9</v>
      </c>
      <c r="E2692" s="3" t="s">
        <v>7054</v>
      </c>
      <c r="F2692" s="3" t="s">
        <v>7055</v>
      </c>
      <c r="G2692" s="3">
        <v>229541</v>
      </c>
      <c r="H2692" s="7" t="str">
        <f>HYPERLINK("http://www.ensembl.org/Mus_musculus/Gene/Summary?db=core;g=ENSMUSG00000042404","ENSMUSG00000042404")</f>
        <v>ENSMUSG00000042404</v>
      </c>
      <c r="I2692" s="7" t="str">
        <f>HYPERLINK("http://www.informatics.jax.org/marker/MGI:2446201","MGI:2446201")</f>
        <v>MGI:2446201</v>
      </c>
      <c r="J2692" s="4" t="s">
        <v>12</v>
      </c>
    </row>
    <row r="2693" spans="1:10" x14ac:dyDescent="0.25">
      <c r="A2693" s="2">
        <v>2247.2077954292699</v>
      </c>
      <c r="B2693" s="3">
        <v>0.43724292959593503</v>
      </c>
      <c r="C2693" s="5">
        <v>1.8875817875352399E-23</v>
      </c>
      <c r="D2693" s="6">
        <v>2.1679157163770998E-22</v>
      </c>
      <c r="E2693" s="3" t="s">
        <v>3452</v>
      </c>
      <c r="F2693" s="3" t="s">
        <v>3453</v>
      </c>
      <c r="G2693" s="3">
        <v>19820</v>
      </c>
      <c r="H2693" s="7" t="str">
        <f>HYPERLINK("http://www.ensembl.org/Mus_musculus/Gene/Summary?db=core;g=ENSMUSG00000056537","ENSMUSG00000056537")</f>
        <v>ENSMUSG00000056537</v>
      </c>
      <c r="I2693" s="7" t="str">
        <f>HYPERLINK("http://www.informatics.jax.org/marker/MGI:1342291","MGI:1342291")</f>
        <v>MGI:1342291</v>
      </c>
      <c r="J2693" s="4" t="s">
        <v>12</v>
      </c>
    </row>
    <row r="2694" spans="1:10" x14ac:dyDescent="0.25">
      <c r="A2694" s="2">
        <v>902.62811350844299</v>
      </c>
      <c r="B2694" s="3">
        <v>0.43698886884349902</v>
      </c>
      <c r="C2694" s="5">
        <v>6.40397327635087E-8</v>
      </c>
      <c r="D2694" s="6">
        <v>2.9471727656858601E-7</v>
      </c>
      <c r="E2694" s="3" t="s">
        <v>8587</v>
      </c>
      <c r="F2694" s="3" t="s">
        <v>8588</v>
      </c>
      <c r="G2694" s="3">
        <v>212898</v>
      </c>
      <c r="H2694" s="7" t="str">
        <f>HYPERLINK("http://www.ensembl.org/Mus_musculus/Gene/Summary?db=core;g=ENSMUSG00000039497","ENSMUSG00000039497")</f>
        <v>ENSMUSG00000039497</v>
      </c>
      <c r="I2694" s="7" t="str">
        <f>HYPERLINK("http://www.informatics.jax.org/marker/MGI:2443455","MGI:2443455")</f>
        <v>MGI:2443455</v>
      </c>
      <c r="J2694" s="4" t="s">
        <v>12</v>
      </c>
    </row>
    <row r="2695" spans="1:10" x14ac:dyDescent="0.25">
      <c r="A2695" s="2">
        <v>1956.49193690883</v>
      </c>
      <c r="B2695" s="3">
        <v>0.43682158315332298</v>
      </c>
      <c r="C2695" s="5">
        <v>3.00777238251446E-16</v>
      </c>
      <c r="D2695" s="6">
        <v>2.4519748401482098E-15</v>
      </c>
      <c r="E2695" s="3" t="s">
        <v>4855</v>
      </c>
      <c r="F2695" s="3" t="s">
        <v>4856</v>
      </c>
      <c r="G2695" s="3">
        <v>68083</v>
      </c>
      <c r="H2695" s="7" t="str">
        <f>HYPERLINK("http://www.ensembl.org/Mus_musculus/Gene/Summary?db=core;g=ENSMUSG00000038683","ENSMUSG00000038683")</f>
        <v>ENSMUSG00000038683</v>
      </c>
      <c r="I2695" s="7" t="str">
        <f>HYPERLINK("http://www.informatics.jax.org/marker/MGI:1915333","MGI:1915333")</f>
        <v>MGI:1915333</v>
      </c>
      <c r="J2695" s="4" t="s">
        <v>12</v>
      </c>
    </row>
    <row r="2696" spans="1:10" x14ac:dyDescent="0.25">
      <c r="A2696" s="2">
        <v>294.912189770677</v>
      </c>
      <c r="B2696" s="3">
        <v>0.436374739921085</v>
      </c>
      <c r="C2696" s="5">
        <v>3.8020839083783601E-8</v>
      </c>
      <c r="D2696" s="6">
        <v>1.7850438432808901E-7</v>
      </c>
      <c r="E2696" s="3" t="s">
        <v>8417</v>
      </c>
      <c r="F2696" s="3" t="s">
        <v>8418</v>
      </c>
      <c r="G2696" s="3">
        <v>75212</v>
      </c>
      <c r="H2696" s="7" t="str">
        <f>HYPERLINK("http://www.ensembl.org/Mus_musculus/Gene/Summary?db=core;g=ENSMUSG00000070426","ENSMUSG00000070426")</f>
        <v>ENSMUSG00000070426</v>
      </c>
      <c r="I2696" s="7" t="str">
        <f>HYPERLINK("http://www.informatics.jax.org/marker/MGI:1922462","MGI:1922462")</f>
        <v>MGI:1922462</v>
      </c>
      <c r="J2696" s="4" t="s">
        <v>12</v>
      </c>
    </row>
    <row r="2697" spans="1:10" x14ac:dyDescent="0.25">
      <c r="A2697" s="2">
        <v>2478.6585944580102</v>
      </c>
      <c r="B2697" s="3">
        <v>0.436243288715709</v>
      </c>
      <c r="C2697" s="5">
        <v>3.6981447791373202E-7</v>
      </c>
      <c r="D2697" s="6">
        <v>1.5978837652188399E-6</v>
      </c>
      <c r="E2697" s="3" t="s">
        <v>9143</v>
      </c>
      <c r="F2697" s="3" t="s">
        <v>9144</v>
      </c>
      <c r="G2697" s="3">
        <v>19345</v>
      </c>
      <c r="H2697" s="7" t="str">
        <f>HYPERLINK("http://www.ensembl.org/Mus_musculus/Gene/Summary?db=core;g=ENSMUSG00000019173","ENSMUSG00000019173")</f>
        <v>ENSMUSG00000019173</v>
      </c>
      <c r="I2697" s="7" t="str">
        <f>HYPERLINK("http://www.informatics.jax.org/marker/MGI:105306","MGI:105306")</f>
        <v>MGI:105306</v>
      </c>
      <c r="J2697" s="4" t="s">
        <v>12</v>
      </c>
    </row>
    <row r="2698" spans="1:10" x14ac:dyDescent="0.25">
      <c r="A2698" s="2">
        <v>2292.5649303351302</v>
      </c>
      <c r="B2698" s="3">
        <v>0.43609419857007398</v>
      </c>
      <c r="C2698" s="5">
        <v>4.6706179895546496E-10</v>
      </c>
      <c r="D2698" s="6">
        <v>2.56201910303248E-9</v>
      </c>
      <c r="E2698" s="3" t="s">
        <v>7208</v>
      </c>
      <c r="F2698" s="3" t="s">
        <v>7209</v>
      </c>
      <c r="G2698" s="3">
        <v>18129</v>
      </c>
      <c r="H2698" s="7" t="str">
        <f>HYPERLINK("http://www.ensembl.org/Mus_musculus/Gene/Summary?db=core;g=ENSMUSG00000027878","ENSMUSG00000027878")</f>
        <v>ENSMUSG00000027878</v>
      </c>
      <c r="I2698" s="7" t="str">
        <f>HYPERLINK("http://www.informatics.jax.org/marker/MGI:97364","MGI:97364")</f>
        <v>MGI:97364</v>
      </c>
      <c r="J2698" s="4" t="s">
        <v>12</v>
      </c>
    </row>
    <row r="2699" spans="1:10" x14ac:dyDescent="0.25">
      <c r="A2699" s="2">
        <v>248.87714974484601</v>
      </c>
      <c r="B2699" s="3">
        <v>0.435988528731304</v>
      </c>
      <c r="C2699" s="5">
        <v>8.5592572077835604E-6</v>
      </c>
      <c r="D2699" s="6">
        <v>3.2304029117223302E-5</v>
      </c>
      <c r="E2699" s="3" t="s">
        <v>10464</v>
      </c>
      <c r="F2699" s="3" t="s">
        <v>10465</v>
      </c>
      <c r="G2699" s="3" t="s">
        <v>83</v>
      </c>
      <c r="H2699" s="7" t="str">
        <f>HYPERLINK("http://www.ensembl.org/Mus_musculus/Gene/Summary?db=core;g=ENSMUSG00000112743","ENSMUSG00000112743")</f>
        <v>ENSMUSG00000112743</v>
      </c>
      <c r="I2699" s="7" t="str">
        <f>HYPERLINK("http://www.informatics.jax.org/marker/MGI:6121566","MGI:6121566")</f>
        <v>MGI:6121566</v>
      </c>
      <c r="J2699" s="4" t="s">
        <v>12</v>
      </c>
    </row>
    <row r="2700" spans="1:10" x14ac:dyDescent="0.25">
      <c r="A2700" s="2">
        <v>174.57354687656499</v>
      </c>
      <c r="B2700" s="3">
        <v>0.435806102968534</v>
      </c>
      <c r="C2700" s="3">
        <v>1.05919742253507E-4</v>
      </c>
      <c r="D2700" s="4">
        <v>3.56318204919681E-4</v>
      </c>
      <c r="E2700" s="3" t="s">
        <v>11735</v>
      </c>
      <c r="F2700" s="3" t="s">
        <v>11736</v>
      </c>
      <c r="G2700" s="3">
        <v>78506</v>
      </c>
      <c r="H2700" s="7" t="str">
        <f>HYPERLINK("http://www.ensembl.org/Mus_musculus/Gene/Summary?db=core;g=ENSMUSG00000039478","ENSMUSG00000039478")</f>
        <v>ENSMUSG00000039478</v>
      </c>
      <c r="I2700" s="7" t="str">
        <f>HYPERLINK("http://www.informatics.jax.org/marker/MGI:1925756","MGI:1925756")</f>
        <v>MGI:1925756</v>
      </c>
      <c r="J2700" s="4" t="s">
        <v>12</v>
      </c>
    </row>
    <row r="2701" spans="1:10" x14ac:dyDescent="0.25">
      <c r="A2701" s="2">
        <v>1231.98199844037</v>
      </c>
      <c r="B2701" s="3">
        <v>0.43427479689410098</v>
      </c>
      <c r="C2701" s="5">
        <v>3.2729911961599299E-18</v>
      </c>
      <c r="D2701" s="6">
        <v>2.9839753300172798E-17</v>
      </c>
      <c r="E2701" s="3" t="s">
        <v>4343</v>
      </c>
      <c r="F2701" s="3" t="s">
        <v>4344</v>
      </c>
      <c r="G2701" s="3">
        <v>433759</v>
      </c>
      <c r="H2701" s="7" t="str">
        <f>HYPERLINK("http://www.ensembl.org/Mus_musculus/Gene/Summary?db=core;g=ENSMUSG00000028800","ENSMUSG00000028800")</f>
        <v>ENSMUSG00000028800</v>
      </c>
      <c r="I2701" s="7" t="str">
        <f>HYPERLINK("http://www.informatics.jax.org/marker/MGI:108086","MGI:108086")</f>
        <v>MGI:108086</v>
      </c>
      <c r="J2701" s="4" t="s">
        <v>12</v>
      </c>
    </row>
    <row r="2702" spans="1:10" x14ac:dyDescent="0.25">
      <c r="A2702" s="2">
        <v>4959.8655898605202</v>
      </c>
      <c r="B2702" s="3">
        <v>0.43417664314149801</v>
      </c>
      <c r="C2702" s="5">
        <v>1.2658496813488999E-12</v>
      </c>
      <c r="D2702" s="6">
        <v>8.4475653861929895E-12</v>
      </c>
      <c r="E2702" s="3" t="s">
        <v>5927</v>
      </c>
      <c r="F2702" s="3" t="s">
        <v>5928</v>
      </c>
      <c r="G2702" s="3">
        <v>20218</v>
      </c>
      <c r="H2702" s="7" t="str">
        <f>HYPERLINK("http://www.ensembl.org/Mus_musculus/Gene/Summary?db=core;g=ENSMUSG00000028790","ENSMUSG00000028790")</f>
        <v>ENSMUSG00000028790</v>
      </c>
      <c r="I2702" s="7" t="str">
        <f>HYPERLINK("http://www.informatics.jax.org/marker/MGI:893579","MGI:893579")</f>
        <v>MGI:893579</v>
      </c>
      <c r="J2702" s="4" t="s">
        <v>12</v>
      </c>
    </row>
    <row r="2703" spans="1:10" x14ac:dyDescent="0.25">
      <c r="A2703" s="2">
        <v>2423.5103992211598</v>
      </c>
      <c r="B2703" s="3">
        <v>0.43372363880493597</v>
      </c>
      <c r="C2703" s="5">
        <v>2.5892274783721801E-34</v>
      </c>
      <c r="D2703" s="6">
        <v>4.3752841365466399E-33</v>
      </c>
      <c r="E2703" s="3" t="s">
        <v>2351</v>
      </c>
      <c r="F2703" s="3" t="s">
        <v>2352</v>
      </c>
      <c r="G2703" s="3">
        <v>53861</v>
      </c>
      <c r="H2703" s="7" t="str">
        <f>HYPERLINK("http://www.ensembl.org/Mus_musculus/Gene/Summary?db=core;g=ENSMUSG00000028180","ENSMUSG00000028180")</f>
        <v>ENSMUSG00000028180</v>
      </c>
      <c r="I2703" s="7" t="str">
        <f>HYPERLINK("http://www.informatics.jax.org/marker/MGI:1858211","MGI:1858211")</f>
        <v>MGI:1858211</v>
      </c>
      <c r="J2703" s="4" t="s">
        <v>12</v>
      </c>
    </row>
    <row r="2704" spans="1:10" x14ac:dyDescent="0.25">
      <c r="A2704" s="2">
        <v>2331.7119400136698</v>
      </c>
      <c r="B2704" s="3">
        <v>0.43351545260099</v>
      </c>
      <c r="C2704" s="5">
        <v>1.69146543289963E-10</v>
      </c>
      <c r="D2704" s="6">
        <v>9.6655167594264495E-10</v>
      </c>
      <c r="E2704" s="3" t="s">
        <v>6920</v>
      </c>
      <c r="F2704" s="3" t="s">
        <v>6921</v>
      </c>
      <c r="G2704" s="3">
        <v>70439</v>
      </c>
      <c r="H2704" s="7" t="str">
        <f>HYPERLINK("http://www.ensembl.org/Mus_musculus/Gene/Summary?db=core;g=ENSMUSG00000020680","ENSMUSG00000020680")</f>
        <v>ENSMUSG00000020680</v>
      </c>
      <c r="I2704" s="7" t="str">
        <f>HYPERLINK("http://www.informatics.jax.org/marker/MGI:1917689","MGI:1917689")</f>
        <v>MGI:1917689</v>
      </c>
      <c r="J2704" s="4" t="s">
        <v>12</v>
      </c>
    </row>
    <row r="2705" spans="1:10" x14ac:dyDescent="0.25">
      <c r="A2705" s="2">
        <v>808.481124661021</v>
      </c>
      <c r="B2705" s="3">
        <v>0.43304174956107</v>
      </c>
      <c r="C2705" s="5">
        <v>4.3270603203226499E-17</v>
      </c>
      <c r="D2705" s="6">
        <v>3.7099838920331602E-16</v>
      </c>
      <c r="E2705" s="3" t="s">
        <v>4617</v>
      </c>
      <c r="F2705" s="3" t="s">
        <v>4618</v>
      </c>
      <c r="G2705" s="3">
        <v>76983</v>
      </c>
      <c r="H2705" s="7" t="str">
        <f>HYPERLINK("http://www.ensembl.org/Mus_musculus/Gene/Summary?db=core;g=ENSMUSG00000020952","ENSMUSG00000020952")</f>
        <v>ENSMUSG00000020952</v>
      </c>
      <c r="I2705" s="7" t="str">
        <f>HYPERLINK("http://www.informatics.jax.org/marker/MGI:1924233","MGI:1924233")</f>
        <v>MGI:1924233</v>
      </c>
      <c r="J2705" s="4" t="s">
        <v>12</v>
      </c>
    </row>
    <row r="2706" spans="1:10" x14ac:dyDescent="0.25">
      <c r="A2706" s="2">
        <v>2382.2456019717001</v>
      </c>
      <c r="B2706" s="3">
        <v>0.43241779766431998</v>
      </c>
      <c r="C2706" s="5">
        <v>6.9651049517556096E-16</v>
      </c>
      <c r="D2706" s="6">
        <v>5.5856799369101499E-15</v>
      </c>
      <c r="E2706" s="3" t="s">
        <v>4935</v>
      </c>
      <c r="F2706" s="3" t="s">
        <v>4936</v>
      </c>
      <c r="G2706" s="3">
        <v>223601</v>
      </c>
      <c r="H2706" s="7" t="str">
        <f>HYPERLINK("http://www.ensembl.org/Mus_musculus/Gene/Summary?db=core;g=ENSMUSG00000022378","ENSMUSG00000022378")</f>
        <v>ENSMUSG00000022378</v>
      </c>
      <c r="I2706" s="7" t="str">
        <f>HYPERLINK("http://www.informatics.jax.org/marker/MGI:1923520","MGI:1923520")</f>
        <v>MGI:1923520</v>
      </c>
      <c r="J2706" s="4" t="s">
        <v>12</v>
      </c>
    </row>
    <row r="2707" spans="1:10" x14ac:dyDescent="0.25">
      <c r="A2707" s="2">
        <v>373.452150562398</v>
      </c>
      <c r="B2707" s="3">
        <v>0.432328988954716</v>
      </c>
      <c r="C2707" s="5">
        <v>5.8825811403410095E-7</v>
      </c>
      <c r="D2707" s="6">
        <v>2.49525704640836E-6</v>
      </c>
      <c r="E2707" s="3" t="s">
        <v>9313</v>
      </c>
      <c r="F2707" s="3" t="s">
        <v>9314</v>
      </c>
      <c r="G2707" s="3">
        <v>76813</v>
      </c>
      <c r="H2707" s="7" t="str">
        <f>HYPERLINK("http://www.ensembl.org/Mus_musculus/Gene/Summary?db=core;g=ENSMUSG00000002343","ENSMUSG00000002343")</f>
        <v>ENSMUSG00000002343</v>
      </c>
      <c r="I2707" s="7" t="str">
        <f>HYPERLINK("http://www.informatics.jax.org/marker/MGI:1924063","MGI:1924063")</f>
        <v>MGI:1924063</v>
      </c>
      <c r="J2707" s="4" t="s">
        <v>12</v>
      </c>
    </row>
    <row r="2708" spans="1:10" x14ac:dyDescent="0.25">
      <c r="A2708" s="2">
        <v>621.68063624384899</v>
      </c>
      <c r="B2708" s="3">
        <v>0.43209593066170099</v>
      </c>
      <c r="C2708" s="5">
        <v>2.6416818076377598E-11</v>
      </c>
      <c r="D2708" s="6">
        <v>1.60585589539509E-10</v>
      </c>
      <c r="E2708" s="3" t="s">
        <v>6505</v>
      </c>
      <c r="F2708" s="3" t="s">
        <v>6506</v>
      </c>
      <c r="G2708" s="3">
        <v>14593</v>
      </c>
      <c r="H2708" s="7" t="str">
        <f>HYPERLINK("http://www.ensembl.org/Mus_musculus/Gene/Summary?db=core;g=ENSMUSG00000021302","ENSMUSG00000021302")</f>
        <v>ENSMUSG00000021302</v>
      </c>
      <c r="I2708" s="7" t="str">
        <f>HYPERLINK("http://www.informatics.jax.org/marker/MGI:1341724","MGI:1341724")</f>
        <v>MGI:1341724</v>
      </c>
      <c r="J2708" s="4" t="s">
        <v>12</v>
      </c>
    </row>
    <row r="2709" spans="1:10" x14ac:dyDescent="0.25">
      <c r="A2709" s="2">
        <v>948.40655427034005</v>
      </c>
      <c r="B2709" s="3">
        <v>0.43189600544106599</v>
      </c>
      <c r="C2709" s="5">
        <v>1.7659724963862001E-10</v>
      </c>
      <c r="D2709" s="6">
        <v>1.00766717675741E-9</v>
      </c>
      <c r="E2709" s="3" t="s">
        <v>6930</v>
      </c>
      <c r="F2709" s="3" t="s">
        <v>6931</v>
      </c>
      <c r="G2709" s="3">
        <v>76795</v>
      </c>
      <c r="H2709" s="7" t="str">
        <f>HYPERLINK("http://www.ensembl.org/Mus_musculus/Gene/Summary?db=core;g=ENSMUSG00000036644","ENSMUSG00000036644")</f>
        <v>ENSMUSG00000036644</v>
      </c>
      <c r="I2709" s="7" t="str">
        <f>HYPERLINK("http://www.informatics.jax.org/marker/MGI:1924045","MGI:1924045")</f>
        <v>MGI:1924045</v>
      </c>
      <c r="J2709" s="4" t="s">
        <v>12</v>
      </c>
    </row>
    <row r="2710" spans="1:10" x14ac:dyDescent="0.25">
      <c r="A2710" s="2">
        <v>1519.6487280409401</v>
      </c>
      <c r="B2710" s="3">
        <v>0.43184278363955703</v>
      </c>
      <c r="C2710" s="5">
        <v>2.9519263205735801E-16</v>
      </c>
      <c r="D2710" s="6">
        <v>2.4074436328250999E-15</v>
      </c>
      <c r="E2710" s="3" t="s">
        <v>4853</v>
      </c>
      <c r="F2710" s="3" t="s">
        <v>4854</v>
      </c>
      <c r="G2710" s="3">
        <v>386649</v>
      </c>
      <c r="H2710" s="7" t="str">
        <f>HYPERLINK("http://www.ensembl.org/Mus_musculus/Gene/Summary?db=core;g=ENSMUSG00000027455","ENSMUSG00000027455")</f>
        <v>ENSMUSG00000027455</v>
      </c>
      <c r="I2710" s="7" t="str">
        <f>HYPERLINK("http://www.informatics.jax.org/marker/MGI:3042273","MGI:3042273")</f>
        <v>MGI:3042273</v>
      </c>
      <c r="J2710" s="4" t="s">
        <v>12</v>
      </c>
    </row>
    <row r="2711" spans="1:10" x14ac:dyDescent="0.25">
      <c r="A2711" s="2">
        <v>121.38792869389</v>
      </c>
      <c r="B2711" s="3">
        <v>0.43165769613981397</v>
      </c>
      <c r="C2711" s="3">
        <v>2.0228067756667099E-2</v>
      </c>
      <c r="D2711" s="4">
        <v>4.7139860099441697E-2</v>
      </c>
      <c r="E2711" s="3" t="s">
        <v>16928</v>
      </c>
      <c r="F2711" s="3" t="s">
        <v>16929</v>
      </c>
      <c r="G2711" s="3">
        <v>14412</v>
      </c>
      <c r="H2711" s="7" t="str">
        <f>HYPERLINK("http://www.ensembl.org/Mus_musculus/Gene/Summary?db=core;g=ENSMUSG00000030108","ENSMUSG00000030108")</f>
        <v>ENSMUSG00000030108</v>
      </c>
      <c r="I2711" s="7" t="str">
        <f>HYPERLINK("http://www.informatics.jax.org/marker/MGI:95629","MGI:95629")</f>
        <v>MGI:95629</v>
      </c>
      <c r="J2711" s="4" t="s">
        <v>12</v>
      </c>
    </row>
    <row r="2712" spans="1:10" x14ac:dyDescent="0.25">
      <c r="A2712" s="2">
        <v>1577.27029697424</v>
      </c>
      <c r="B2712" s="3">
        <v>0.43124750390703298</v>
      </c>
      <c r="C2712" s="5">
        <v>1.5124270978323699E-15</v>
      </c>
      <c r="D2712" s="6">
        <v>1.19592273796359E-14</v>
      </c>
      <c r="E2712" s="3" t="s">
        <v>5005</v>
      </c>
      <c r="F2712" s="3" t="s">
        <v>5006</v>
      </c>
      <c r="G2712" s="3">
        <v>22258</v>
      </c>
      <c r="H2712" s="7" t="str">
        <f>HYPERLINK("http://www.ensembl.org/Mus_musculus/Gene/Summary?db=core;g=ENSMUSG00000032612","ENSMUSG00000032612")</f>
        <v>ENSMUSG00000032612</v>
      </c>
      <c r="I2712" s="7" t="str">
        <f>HYPERLINK("http://www.informatics.jax.org/marker/MGI:98905","MGI:98905")</f>
        <v>MGI:98905</v>
      </c>
      <c r="J2712" s="4" t="s">
        <v>12</v>
      </c>
    </row>
    <row r="2713" spans="1:10" x14ac:dyDescent="0.25">
      <c r="A2713" s="2">
        <v>47.085004457037499</v>
      </c>
      <c r="B2713" s="3">
        <v>0.43054067880647801</v>
      </c>
      <c r="C2713" s="3">
        <v>2.07441155160786E-2</v>
      </c>
      <c r="D2713" s="4">
        <v>4.8228478893783303E-2</v>
      </c>
      <c r="E2713" s="3" t="s">
        <v>16968</v>
      </c>
      <c r="F2713" s="3" t="s">
        <v>16969</v>
      </c>
      <c r="G2713" s="3">
        <v>100037283</v>
      </c>
      <c r="H2713" s="7" t="str">
        <f>HYPERLINK("http://www.ensembl.org/Mus_musculus/Gene/Summary?db=core;g=ENSMUSG00000095687","ENSMUSG00000095687")</f>
        <v>ENSMUSG00000095687</v>
      </c>
      <c r="I2713" s="7" t="str">
        <f>HYPERLINK("http://www.informatics.jax.org/marker/MGI:1915445","MGI:1915445")</f>
        <v>MGI:1915445</v>
      </c>
      <c r="J2713" s="4" t="s">
        <v>12</v>
      </c>
    </row>
    <row r="2714" spans="1:10" x14ac:dyDescent="0.25">
      <c r="A2714" s="2">
        <v>537.47371904231204</v>
      </c>
      <c r="B2714" s="3">
        <v>0.43045086290112</v>
      </c>
      <c r="C2714" s="5">
        <v>1.41892997394807E-11</v>
      </c>
      <c r="D2714" s="6">
        <v>8.7759644016332103E-11</v>
      </c>
      <c r="E2714" s="3" t="s">
        <v>6391</v>
      </c>
      <c r="F2714" s="3" t="s">
        <v>6392</v>
      </c>
      <c r="G2714" s="3">
        <v>74498</v>
      </c>
      <c r="H2714" s="7" t="str">
        <f>HYPERLINK("http://www.ensembl.org/Mus_musculus/Gene/Summary?db=core;g=ENSMUSG00000032513","ENSMUSG00000032513")</f>
        <v>ENSMUSG00000032513</v>
      </c>
      <c r="I2714" s="7" t="str">
        <f>HYPERLINK("http://www.informatics.jax.org/marker/MGI:1921748","MGI:1921748")</f>
        <v>MGI:1921748</v>
      </c>
      <c r="J2714" s="4" t="s">
        <v>12</v>
      </c>
    </row>
    <row r="2715" spans="1:10" x14ac:dyDescent="0.25">
      <c r="A2715" s="2">
        <v>136.63689822462001</v>
      </c>
      <c r="B2715" s="3">
        <v>0.43016424070825898</v>
      </c>
      <c r="C2715" s="3">
        <v>2.1715144817986E-3</v>
      </c>
      <c r="D2715" s="4">
        <v>6.1009069071190298E-3</v>
      </c>
      <c r="E2715" s="3" t="s">
        <v>14045</v>
      </c>
      <c r="F2715" s="3" t="s">
        <v>14046</v>
      </c>
      <c r="G2715" s="3">
        <v>209815</v>
      </c>
      <c r="H2715" s="7" t="str">
        <f>HYPERLINK("http://www.ensembl.org/Mus_musculus/Gene/Summary?db=core;g=ENSMUSG00000039201","ENSMUSG00000039201")</f>
        <v>ENSMUSG00000039201</v>
      </c>
      <c r="I2715" s="7" t="str">
        <f>HYPERLINK("http://www.informatics.jax.org/marker/MGI:2444862","MGI:2444862")</f>
        <v>MGI:2444862</v>
      </c>
      <c r="J2715" s="4" t="s">
        <v>12</v>
      </c>
    </row>
    <row r="2716" spans="1:10" x14ac:dyDescent="0.25">
      <c r="A2716" s="2">
        <v>102.88836221949499</v>
      </c>
      <c r="B2716" s="3">
        <v>0.42930421950696301</v>
      </c>
      <c r="C2716" s="3">
        <v>5.6994205088325804E-4</v>
      </c>
      <c r="D2716" s="4">
        <v>1.74279070296447E-3</v>
      </c>
      <c r="E2716" s="3" t="s">
        <v>12907</v>
      </c>
      <c r="F2716" s="3" t="s">
        <v>12908</v>
      </c>
      <c r="G2716" s="3">
        <v>232969</v>
      </c>
      <c r="H2716" s="7" t="str">
        <f>HYPERLINK("http://www.ensembl.org/Mus_musculus/Gene/Summary?db=core;g=ENSMUSG00000064264","ENSMUSG00000064264")</f>
        <v>ENSMUSG00000064264</v>
      </c>
      <c r="I2716" s="7" t="str">
        <f>HYPERLINK("http://www.informatics.jax.org/marker/MGI:1916463","MGI:1916463")</f>
        <v>MGI:1916463</v>
      </c>
      <c r="J2716" s="4" t="s">
        <v>12</v>
      </c>
    </row>
    <row r="2717" spans="1:10" x14ac:dyDescent="0.25">
      <c r="A2717" s="2">
        <v>700.58783281012495</v>
      </c>
      <c r="B2717" s="3">
        <v>0.42930139747858098</v>
      </c>
      <c r="C2717" s="5">
        <v>2.62898555536909E-5</v>
      </c>
      <c r="D2717" s="6">
        <v>9.4449982058441204E-5</v>
      </c>
      <c r="E2717" s="3" t="s">
        <v>10990</v>
      </c>
      <c r="F2717" s="3" t="s">
        <v>10991</v>
      </c>
      <c r="G2717" s="3" t="s">
        <v>83</v>
      </c>
      <c r="H2717" s="7" t="str">
        <f>HYPERLINK("http://www.ensembl.org/Mus_musculus/Gene/Summary?db=core;g=ENSMUSG00000093701","ENSMUSG00000093701")</f>
        <v>ENSMUSG00000093701</v>
      </c>
      <c r="I2717" s="7" t="str">
        <f>HYPERLINK("http://www.informatics.jax.org/marker/MGI:5439439","MGI:5439439")</f>
        <v>MGI:5439439</v>
      </c>
      <c r="J2717" s="4" t="s">
        <v>12</v>
      </c>
    </row>
    <row r="2718" spans="1:10" x14ac:dyDescent="0.25">
      <c r="A2718" s="2">
        <v>37925.639384044101</v>
      </c>
      <c r="B2718" s="3">
        <v>0.428975878475233</v>
      </c>
      <c r="C2718" s="5">
        <v>2.72169990881075E-50</v>
      </c>
      <c r="D2718" s="6">
        <v>7.3826577994151405E-49</v>
      </c>
      <c r="E2718" s="3" t="s">
        <v>1470</v>
      </c>
      <c r="F2718" s="3" t="s">
        <v>1471</v>
      </c>
      <c r="G2718" s="3">
        <v>18458</v>
      </c>
      <c r="H2718" s="7" t="str">
        <f>HYPERLINK("http://www.ensembl.org/Mus_musculus/Gene/Summary?db=core;g=ENSMUSG00000022283","ENSMUSG00000022283")</f>
        <v>ENSMUSG00000022283</v>
      </c>
      <c r="I2718" s="7" t="str">
        <f>HYPERLINK("http://www.informatics.jax.org/marker/MGI:1349722","MGI:1349722")</f>
        <v>MGI:1349722</v>
      </c>
      <c r="J2718" s="4" t="s">
        <v>12</v>
      </c>
    </row>
    <row r="2719" spans="1:10" x14ac:dyDescent="0.25">
      <c r="A2719" s="2">
        <v>819.27810669283701</v>
      </c>
      <c r="B2719" s="3">
        <v>0.428899757116945</v>
      </c>
      <c r="C2719" s="5">
        <v>6.2838882930040703E-7</v>
      </c>
      <c r="D2719" s="6">
        <v>2.6569098871792499E-6</v>
      </c>
      <c r="E2719" s="3" t="s">
        <v>9343</v>
      </c>
      <c r="F2719" s="3" t="s">
        <v>9344</v>
      </c>
      <c r="G2719" s="3">
        <v>68273</v>
      </c>
      <c r="H2719" s="7" t="str">
        <f>HYPERLINK("http://www.ensembl.org/Mus_musculus/Gene/Summary?db=core;g=ENSMUSG00000028700","ENSMUSG00000028700")</f>
        <v>ENSMUSG00000028700</v>
      </c>
      <c r="I2719" s="7" t="str">
        <f>HYPERLINK("http://www.informatics.jax.org/marker/MGI:1915523","MGI:1915523")</f>
        <v>MGI:1915523</v>
      </c>
      <c r="J2719" s="4" t="s">
        <v>12</v>
      </c>
    </row>
    <row r="2720" spans="1:10" x14ac:dyDescent="0.25">
      <c r="A2720" s="2">
        <v>500.83999484398402</v>
      </c>
      <c r="B2720" s="3">
        <v>0.42879582976574498</v>
      </c>
      <c r="C2720" s="3">
        <v>3.5418247232388701E-3</v>
      </c>
      <c r="D2720" s="4">
        <v>9.6019773910187706E-3</v>
      </c>
      <c r="E2720" s="3" t="s">
        <v>14551</v>
      </c>
      <c r="F2720" s="3" t="s">
        <v>14552</v>
      </c>
      <c r="G2720" s="3">
        <v>234797</v>
      </c>
      <c r="H2720" s="7" t="str">
        <f>HYPERLINK("http://www.ensembl.org/Mus_musculus/Gene/Summary?db=core;g=ENSMUSG00000031824","ENSMUSG00000031824")</f>
        <v>ENSMUSG00000031824</v>
      </c>
      <c r="I2720" s="7" t="str">
        <f>HYPERLINK("http://www.informatics.jax.org/marker/MGI:2443793","MGI:2443793")</f>
        <v>MGI:2443793</v>
      </c>
      <c r="J2720" s="4" t="s">
        <v>12</v>
      </c>
    </row>
    <row r="2721" spans="1:10" x14ac:dyDescent="0.25">
      <c r="A2721" s="2">
        <v>284.89851374568701</v>
      </c>
      <c r="B2721" s="3">
        <v>0.42810643958307398</v>
      </c>
      <c r="C2721" s="3">
        <v>1.48079637061941E-2</v>
      </c>
      <c r="D2721" s="4">
        <v>3.5567971289421303E-2</v>
      </c>
      <c r="E2721" s="3" t="s">
        <v>16425</v>
      </c>
      <c r="F2721" s="3" t="s">
        <v>16426</v>
      </c>
      <c r="G2721" s="3">
        <v>20439</v>
      </c>
      <c r="H2721" s="7" t="str">
        <f>HYPERLINK("http://www.ensembl.org/Mus_musculus/Gene/Summary?db=core;g=ENSMUSG00000036432","ENSMUSG00000036432")</f>
        <v>ENSMUSG00000036432</v>
      </c>
      <c r="I2721" s="7" t="str">
        <f>HYPERLINK("http://www.informatics.jax.org/marker/MGI:108062","MGI:108062")</f>
        <v>MGI:108062</v>
      </c>
      <c r="J2721" s="4" t="s">
        <v>12</v>
      </c>
    </row>
    <row r="2722" spans="1:10" x14ac:dyDescent="0.25">
      <c r="A2722" s="2">
        <v>566.20826765094</v>
      </c>
      <c r="B2722" s="3">
        <v>0.42762255738228899</v>
      </c>
      <c r="C2722" s="5">
        <v>6.0590296120674299E-6</v>
      </c>
      <c r="D2722" s="6">
        <v>2.3205294999023099E-5</v>
      </c>
      <c r="E2722" s="3" t="s">
        <v>10312</v>
      </c>
      <c r="F2722" s="3" t="s">
        <v>10313</v>
      </c>
      <c r="G2722" s="3">
        <v>243853</v>
      </c>
      <c r="H2722" s="7" t="str">
        <f>HYPERLINK("http://www.ensembl.org/Mus_musculus/Gene/Summary?db=core;g=ENSMUSG00000048920","ENSMUSG00000048920")</f>
        <v>ENSMUSG00000048920</v>
      </c>
      <c r="I2722" s="7" t="str">
        <f>HYPERLINK("http://www.informatics.jax.org/marker/MGI:2447586","MGI:2447586")</f>
        <v>MGI:2447586</v>
      </c>
      <c r="J2722" s="4" t="s">
        <v>12</v>
      </c>
    </row>
    <row r="2723" spans="1:10" x14ac:dyDescent="0.25">
      <c r="A2723" s="2">
        <v>1426.8740446459301</v>
      </c>
      <c r="B2723" s="3">
        <v>0.42759794504665899</v>
      </c>
      <c r="C2723" s="5">
        <v>3.5352464494173098E-13</v>
      </c>
      <c r="D2723" s="6">
        <v>2.43844211201502E-12</v>
      </c>
      <c r="E2723" s="3" t="s">
        <v>5735</v>
      </c>
      <c r="F2723" s="3" t="s">
        <v>5736</v>
      </c>
      <c r="G2723" s="3">
        <v>100226</v>
      </c>
      <c r="H2723" s="7" t="str">
        <f>HYPERLINK("http://www.ensembl.org/Mus_musculus/Gene/Summary?db=core;g=ENSMUSG00000028879","ENSMUSG00000028879")</f>
        <v>ENSMUSG00000028879</v>
      </c>
      <c r="I2723" s="7" t="str">
        <f>HYPERLINK("http://www.informatics.jax.org/marker/MGI:1931027","MGI:1931027")</f>
        <v>MGI:1931027</v>
      </c>
      <c r="J2723" s="4" t="s">
        <v>12</v>
      </c>
    </row>
    <row r="2724" spans="1:10" x14ac:dyDescent="0.25">
      <c r="A2724" s="2">
        <v>1941.7180130916499</v>
      </c>
      <c r="B2724" s="3">
        <v>0.427423375892449</v>
      </c>
      <c r="C2724" s="5">
        <v>5.0904243708170603E-13</v>
      </c>
      <c r="D2724" s="6">
        <v>3.4770754621583798E-12</v>
      </c>
      <c r="E2724" s="3" t="s">
        <v>5791</v>
      </c>
      <c r="F2724" s="3" t="s">
        <v>5792</v>
      </c>
      <c r="G2724" s="3">
        <v>14674</v>
      </c>
      <c r="H2724" s="7" t="str">
        <f>HYPERLINK("http://www.ensembl.org/Mus_musculus/Gene/Summary?db=core;g=ENSMUSG00000020611","ENSMUSG00000020611")</f>
        <v>ENSMUSG00000020611</v>
      </c>
      <c r="I2724" s="7" t="str">
        <f>HYPERLINK("http://www.informatics.jax.org/marker/MGI:95768","MGI:95768")</f>
        <v>MGI:95768</v>
      </c>
      <c r="J2724" s="4" t="s">
        <v>12</v>
      </c>
    </row>
    <row r="2725" spans="1:10" x14ac:dyDescent="0.25">
      <c r="A2725" s="2">
        <v>4431.6625273259597</v>
      </c>
      <c r="B2725" s="3">
        <v>0.42717612184550202</v>
      </c>
      <c r="C2725" s="5">
        <v>5.00112036619221E-27</v>
      </c>
      <c r="D2725" s="6">
        <v>6.5879822058323596E-26</v>
      </c>
      <c r="E2725" s="3" t="s">
        <v>3012</v>
      </c>
      <c r="F2725" s="3" t="s">
        <v>3013</v>
      </c>
      <c r="G2725" s="3">
        <v>13382</v>
      </c>
      <c r="H2725" s="7" t="str">
        <f>HYPERLINK("http://www.ensembl.org/Mus_musculus/Gene/Summary?db=core;g=ENSMUSG00000020664","ENSMUSG00000020664")</f>
        <v>ENSMUSG00000020664</v>
      </c>
      <c r="I2725" s="7" t="str">
        <f>HYPERLINK("http://www.informatics.jax.org/marker/MGI:107450","MGI:107450")</f>
        <v>MGI:107450</v>
      </c>
      <c r="J2725" s="4" t="s">
        <v>12</v>
      </c>
    </row>
    <row r="2726" spans="1:10" x14ac:dyDescent="0.25">
      <c r="A2726" s="2">
        <v>132.54394281627799</v>
      </c>
      <c r="B2726" s="3">
        <v>0.42699694611712902</v>
      </c>
      <c r="C2726" s="3">
        <v>1.12578710561967E-4</v>
      </c>
      <c r="D2726" s="4">
        <v>3.7717502077505701E-4</v>
      </c>
      <c r="E2726" s="3" t="s">
        <v>11783</v>
      </c>
      <c r="F2726" s="3" t="s">
        <v>11784</v>
      </c>
      <c r="G2726" s="3">
        <v>105732</v>
      </c>
      <c r="H2726" s="7" t="str">
        <f>HYPERLINK("http://www.ensembl.org/Mus_musculus/Gene/Summary?db=core;g=ENSMUSG00000046761","ENSMUSG00000046761")</f>
        <v>ENSMUSG00000046761</v>
      </c>
      <c r="I2726" s="7" t="str">
        <f>HYPERLINK("http://www.informatics.jax.org/marker/MGI:2145900","MGI:2145900")</f>
        <v>MGI:2145900</v>
      </c>
      <c r="J2726" s="4" t="s">
        <v>12</v>
      </c>
    </row>
    <row r="2727" spans="1:10" x14ac:dyDescent="0.25">
      <c r="A2727" s="2">
        <v>668.62176149823904</v>
      </c>
      <c r="B2727" s="3">
        <v>0.42656863473850998</v>
      </c>
      <c r="C2727" s="5">
        <v>1.8157459662812E-14</v>
      </c>
      <c r="D2727" s="6">
        <v>1.3557936560039799E-13</v>
      </c>
      <c r="E2727" s="3" t="s">
        <v>5299</v>
      </c>
      <c r="F2727" s="3" t="s">
        <v>5300</v>
      </c>
      <c r="G2727" s="3">
        <v>21665</v>
      </c>
      <c r="H2727" s="7" t="str">
        <f>HYPERLINK("http://www.ensembl.org/Mus_musculus/Gene/Summary?db=core;g=ENSMUSG00000034674","ENSMUSG00000034674")</f>
        <v>ENSMUSG00000034674</v>
      </c>
      <c r="I2727" s="7" t="str">
        <f>HYPERLINK("http://www.informatics.jax.org/marker/MGI:108247","MGI:108247")</f>
        <v>MGI:108247</v>
      </c>
      <c r="J2727" s="4" t="s">
        <v>12</v>
      </c>
    </row>
    <row r="2728" spans="1:10" x14ac:dyDescent="0.25">
      <c r="A2728" s="2">
        <v>2450.3418013825799</v>
      </c>
      <c r="B2728" s="3">
        <v>0.42618328607720501</v>
      </c>
      <c r="C2728" s="5">
        <v>6.5444866953528005E-17</v>
      </c>
      <c r="D2728" s="6">
        <v>5.5318164437358503E-16</v>
      </c>
      <c r="E2728" s="3" t="s">
        <v>4683</v>
      </c>
      <c r="F2728" s="3" t="s">
        <v>4684</v>
      </c>
      <c r="G2728" s="3">
        <v>27377</v>
      </c>
      <c r="H2728" s="7" t="str">
        <f>HYPERLINK("http://www.ensembl.org/Mus_musculus/Gene/Summary?db=core;g=ENSMUSG00000026775","ENSMUSG00000026775")</f>
        <v>ENSMUSG00000026775</v>
      </c>
      <c r="I2728" s="7" t="str">
        <f>HYPERLINK("http://www.informatics.jax.org/marker/MGI:1351651","MGI:1351651")</f>
        <v>MGI:1351651</v>
      </c>
      <c r="J2728" s="4" t="s">
        <v>12</v>
      </c>
    </row>
    <row r="2729" spans="1:10" x14ac:dyDescent="0.25">
      <c r="A2729" s="2">
        <v>4556.0925202844701</v>
      </c>
      <c r="B2729" s="3">
        <v>0.42546652385540101</v>
      </c>
      <c r="C2729" s="5">
        <v>1.2254075046620201E-18</v>
      </c>
      <c r="D2729" s="6">
        <v>1.1425548932357001E-17</v>
      </c>
      <c r="E2729" s="3" t="s">
        <v>4247</v>
      </c>
      <c r="F2729" s="3" t="s">
        <v>4248</v>
      </c>
      <c r="G2729" s="3">
        <v>224088</v>
      </c>
      <c r="H2729" s="7" t="str">
        <f>HYPERLINK("http://www.ensembl.org/Mus_musculus/Gene/Summary?db=core;g=ENSMUSG00000022533","ENSMUSG00000022533")</f>
        <v>ENSMUSG00000022533</v>
      </c>
      <c r="I2729" s="7" t="str">
        <f>HYPERLINK("http://www.informatics.jax.org/marker/MGI:2685387","MGI:2685387")</f>
        <v>MGI:2685387</v>
      </c>
      <c r="J2729" s="4" t="s">
        <v>12</v>
      </c>
    </row>
    <row r="2730" spans="1:10" x14ac:dyDescent="0.25">
      <c r="A2730" s="2">
        <v>57.479182225963903</v>
      </c>
      <c r="B2730" s="3">
        <v>0.42531404840026499</v>
      </c>
      <c r="C2730" s="3">
        <v>1.08515709108007E-2</v>
      </c>
      <c r="D2730" s="4">
        <v>2.6796015321937101E-2</v>
      </c>
      <c r="E2730" s="3" t="s">
        <v>15977</v>
      </c>
      <c r="F2730" s="3" t="s">
        <v>15978</v>
      </c>
      <c r="G2730" s="3">
        <v>319486</v>
      </c>
      <c r="H2730" s="7" t="str">
        <f>HYPERLINK("http://www.ensembl.org/Mus_musculus/Gene/Summary?db=core;g=ENSMUSG00000090564","ENSMUSG00000090564")</f>
        <v>ENSMUSG00000090564</v>
      </c>
      <c r="I2730" s="7" t="str">
        <f>HYPERLINK("http://www.informatics.jax.org/marker/MGI:2442125","MGI:2442125")</f>
        <v>MGI:2442125</v>
      </c>
      <c r="J2730" s="4" t="s">
        <v>932</v>
      </c>
    </row>
    <row r="2731" spans="1:10" x14ac:dyDescent="0.25">
      <c r="A2731" s="2">
        <v>466.22878626915201</v>
      </c>
      <c r="B2731" s="3">
        <v>0.42506353561252003</v>
      </c>
      <c r="C2731" s="5">
        <v>3.3712981302593801E-5</v>
      </c>
      <c r="D2731" s="4">
        <v>1.19636492943522E-4</v>
      </c>
      <c r="E2731" s="3" t="s">
        <v>11127</v>
      </c>
      <c r="F2731" s="3" t="s">
        <v>11128</v>
      </c>
      <c r="G2731" s="3">
        <v>53357</v>
      </c>
      <c r="H2731" s="7" t="str">
        <f>HYPERLINK("http://www.ensembl.org/Mus_musculus/Gene/Summary?db=core;g=ENSMUSG00000042632","ENSMUSG00000042632")</f>
        <v>ENSMUSG00000042632</v>
      </c>
      <c r="I2731" s="7" t="str">
        <f>HYPERLINK("http://www.informatics.jax.org/marker/MGI:1859152","MGI:1859152")</f>
        <v>MGI:1859152</v>
      </c>
      <c r="J2731" s="4" t="s">
        <v>12</v>
      </c>
    </row>
    <row r="2732" spans="1:10" x14ac:dyDescent="0.25">
      <c r="A2732" s="2">
        <v>142.64951153111801</v>
      </c>
      <c r="B2732" s="3">
        <v>0.42497511565708501</v>
      </c>
      <c r="C2732" s="3">
        <v>5.4632589935977903E-3</v>
      </c>
      <c r="D2732" s="4">
        <v>1.4339873200286001E-2</v>
      </c>
      <c r="E2732" s="3" t="s">
        <v>15030</v>
      </c>
      <c r="F2732" s="3" t="s">
        <v>15031</v>
      </c>
      <c r="G2732" s="3">
        <v>241638</v>
      </c>
      <c r="H2732" s="7" t="str">
        <f>HYPERLINK("http://www.ensembl.org/Mus_musculus/Gene/Summary?db=core;g=ENSMUSG00000037703","ENSMUSG00000037703")</f>
        <v>ENSMUSG00000037703</v>
      </c>
      <c r="I2732" s="7" t="str">
        <f>HYPERLINK("http://www.informatics.jax.org/marker/MGI:2656976","MGI:2656976")</f>
        <v>MGI:2656976</v>
      </c>
      <c r="J2732" s="4" t="s">
        <v>12</v>
      </c>
    </row>
    <row r="2733" spans="1:10" x14ac:dyDescent="0.25">
      <c r="A2733" s="2">
        <v>2605.72789625737</v>
      </c>
      <c r="B2733" s="3">
        <v>0.42450167881454798</v>
      </c>
      <c r="C2733" s="5">
        <v>2.6504830946393302E-9</v>
      </c>
      <c r="D2733" s="6">
        <v>1.37329286984465E-8</v>
      </c>
      <c r="E2733" s="3" t="s">
        <v>7630</v>
      </c>
      <c r="F2733" s="3" t="s">
        <v>7631</v>
      </c>
      <c r="G2733" s="3">
        <v>231452</v>
      </c>
      <c r="H2733" s="7" t="str">
        <f>HYPERLINK("http://www.ensembl.org/Mus_musculus/Gene/Summary?db=core;g=ENSMUSG00000029415","ENSMUSG00000029415")</f>
        <v>ENSMUSG00000029415</v>
      </c>
      <c r="I2733" s="7" t="str">
        <f>HYPERLINK("http://www.informatics.jax.org/marker/MGI:2140779","MGI:2140779")</f>
        <v>MGI:2140779</v>
      </c>
      <c r="J2733" s="4" t="s">
        <v>12</v>
      </c>
    </row>
    <row r="2734" spans="1:10" x14ac:dyDescent="0.25">
      <c r="A2734" s="2">
        <v>2421.8470914042</v>
      </c>
      <c r="B2734" s="3">
        <v>0.42438697870393899</v>
      </c>
      <c r="C2734" s="5">
        <v>4.4410216213849401E-24</v>
      </c>
      <c r="D2734" s="6">
        <v>5.2315977523124898E-23</v>
      </c>
      <c r="E2734" s="3" t="s">
        <v>3368</v>
      </c>
      <c r="F2734" s="3" t="s">
        <v>3369</v>
      </c>
      <c r="G2734" s="3">
        <v>52915</v>
      </c>
      <c r="H2734" s="7" t="str">
        <f>HYPERLINK("http://www.ensembl.org/Mus_musculus/Gene/Summary?db=core;g=ENSMUSG00000041164","ENSMUSG00000041164")</f>
        <v>ENSMUSG00000041164</v>
      </c>
      <c r="I2734" s="7" t="str">
        <f>HYPERLINK("http://www.informatics.jax.org/marker/MGI:106374","MGI:106374")</f>
        <v>MGI:106374</v>
      </c>
      <c r="J2734" s="4" t="s">
        <v>12</v>
      </c>
    </row>
    <row r="2735" spans="1:10" x14ac:dyDescent="0.25">
      <c r="A2735" s="2">
        <v>2808.5135955331298</v>
      </c>
      <c r="B2735" s="3">
        <v>0.42399068565883802</v>
      </c>
      <c r="C2735" s="5">
        <v>4.7060189113403201E-11</v>
      </c>
      <c r="D2735" s="6">
        <v>2.8070989997468602E-10</v>
      </c>
      <c r="E2735" s="3" t="s">
        <v>6629</v>
      </c>
      <c r="F2735" s="3" t="s">
        <v>6630</v>
      </c>
      <c r="G2735" s="3">
        <v>77480</v>
      </c>
      <c r="H2735" s="7" t="str">
        <f>HYPERLINK("http://www.ensembl.org/Mus_musculus/Gene/Summary?db=core;g=ENSMUSG00000036333","ENSMUSG00000036333")</f>
        <v>ENSMUSG00000036333</v>
      </c>
      <c r="I2735" s="7" t="str">
        <f>HYPERLINK("http://www.informatics.jax.org/marker/MGI:1924730","MGI:1924730")</f>
        <v>MGI:1924730</v>
      </c>
      <c r="J2735" s="4" t="s">
        <v>12</v>
      </c>
    </row>
    <row r="2736" spans="1:10" x14ac:dyDescent="0.25">
      <c r="A2736" s="2">
        <v>962.53379263071997</v>
      </c>
      <c r="B2736" s="3">
        <v>0.42381981219068898</v>
      </c>
      <c r="C2736" s="5">
        <v>3.8387865977688199E-14</v>
      </c>
      <c r="D2736" s="6">
        <v>2.79855348273572E-13</v>
      </c>
      <c r="E2736" s="3" t="s">
        <v>5427</v>
      </c>
      <c r="F2736" s="3" t="s">
        <v>5428</v>
      </c>
      <c r="G2736" s="3">
        <v>70661</v>
      </c>
      <c r="H2736" s="7" t="str">
        <f>HYPERLINK("http://www.ensembl.org/Mus_musculus/Gene/Summary?db=core;g=ENSMUSG00000034135","ENSMUSG00000034135")</f>
        <v>ENSMUSG00000034135</v>
      </c>
      <c r="I2736" s="7" t="str">
        <f>HYPERLINK("http://www.informatics.jax.org/marker/MGI:2446296","MGI:2446296")</f>
        <v>MGI:2446296</v>
      </c>
      <c r="J2736" s="4" t="s">
        <v>12</v>
      </c>
    </row>
    <row r="2737" spans="1:10" x14ac:dyDescent="0.25">
      <c r="A2737" s="2">
        <v>435.71998925329501</v>
      </c>
      <c r="B2737" s="3">
        <v>0.42369294545828801</v>
      </c>
      <c r="C2737" s="5">
        <v>1.27782624457315E-9</v>
      </c>
      <c r="D2737" s="6">
        <v>6.79944240231583E-9</v>
      </c>
      <c r="E2737" s="3" t="s">
        <v>7430</v>
      </c>
      <c r="F2737" s="3" t="s">
        <v>7431</v>
      </c>
      <c r="G2737" s="3" t="s">
        <v>83</v>
      </c>
      <c r="H2737" s="7" t="str">
        <f>HYPERLINK("http://www.ensembl.org/Mus_musculus/Gene/Summary?db=core;g=ENSMUSG00000116016","ENSMUSG00000116016")</f>
        <v>ENSMUSG00000116016</v>
      </c>
      <c r="I2737" s="7" t="str">
        <f>HYPERLINK("http://www.informatics.jax.org/marker/MGI:6155177","MGI:6155177")</f>
        <v>MGI:6155177</v>
      </c>
      <c r="J2737" s="4" t="s">
        <v>12</v>
      </c>
    </row>
    <row r="2738" spans="1:10" x14ac:dyDescent="0.25">
      <c r="A2738" s="2">
        <v>2713.55460520105</v>
      </c>
      <c r="B2738" s="3">
        <v>0.42338094969623802</v>
      </c>
      <c r="C2738" s="5">
        <v>1.11092746538635E-29</v>
      </c>
      <c r="D2738" s="6">
        <v>1.6203764509925199E-28</v>
      </c>
      <c r="E2738" s="3" t="s">
        <v>2722</v>
      </c>
      <c r="F2738" s="3" t="s">
        <v>2723</v>
      </c>
      <c r="G2738" s="3">
        <v>216705</v>
      </c>
      <c r="H2738" s="7" t="str">
        <f>HYPERLINK("http://www.ensembl.org/Mus_musculus/Gene/Summary?db=core;g=ENSMUSG00000006169","ENSMUSG00000006169")</f>
        <v>ENSMUSG00000006169</v>
      </c>
      <c r="I2738" s="7" t="str">
        <f>HYPERLINK("http://www.informatics.jax.org/marker/MGI:2144243","MGI:2144243")</f>
        <v>MGI:2144243</v>
      </c>
      <c r="J2738" s="4" t="s">
        <v>12</v>
      </c>
    </row>
    <row r="2739" spans="1:10" x14ac:dyDescent="0.25">
      <c r="A2739" s="2">
        <v>1230.5619305298901</v>
      </c>
      <c r="B2739" s="3">
        <v>0.42317366149886398</v>
      </c>
      <c r="C2739" s="5">
        <v>2.7602350571416802E-9</v>
      </c>
      <c r="D2739" s="6">
        <v>1.4279075374300599E-8</v>
      </c>
      <c r="E2739" s="3" t="s">
        <v>7638</v>
      </c>
      <c r="F2739" s="3" t="s">
        <v>7639</v>
      </c>
      <c r="G2739" s="3">
        <v>74315</v>
      </c>
      <c r="H2739" s="7" t="str">
        <f>HYPERLINK("http://www.ensembl.org/Mus_musculus/Gene/Summary?db=core;g=ENSMUSG00000019189","ENSMUSG00000019189")</f>
        <v>ENSMUSG00000019189</v>
      </c>
      <c r="I2739" s="7" t="str">
        <f>HYPERLINK("http://www.informatics.jax.org/marker/MGI:1921565","MGI:1921565")</f>
        <v>MGI:1921565</v>
      </c>
      <c r="J2739" s="4" t="s">
        <v>12</v>
      </c>
    </row>
    <row r="2740" spans="1:10" x14ac:dyDescent="0.25">
      <c r="A2740" s="2">
        <v>382.10345598103601</v>
      </c>
      <c r="B2740" s="3">
        <v>0.42314030298681399</v>
      </c>
      <c r="C2740" s="5">
        <v>1.7767371867439601E-11</v>
      </c>
      <c r="D2740" s="6">
        <v>1.09252439421861E-10</v>
      </c>
      <c r="E2740" s="3" t="s">
        <v>6431</v>
      </c>
      <c r="F2740" s="3" t="s">
        <v>6432</v>
      </c>
      <c r="G2740" s="3">
        <v>52686</v>
      </c>
      <c r="H2740" s="7" t="str">
        <f>HYPERLINK("http://www.ensembl.org/Mus_musculus/Gene/Summary?db=core;g=ENSMUSG00000020691","ENSMUSG00000020691")</f>
        <v>ENSMUSG00000020691</v>
      </c>
      <c r="I2740" s="7" t="str">
        <f>HYPERLINK("http://www.informatics.jax.org/marker/MGI:1289171","MGI:1289171")</f>
        <v>MGI:1289171</v>
      </c>
      <c r="J2740" s="4" t="s">
        <v>12</v>
      </c>
    </row>
    <row r="2741" spans="1:10" x14ac:dyDescent="0.25">
      <c r="A2741" s="2">
        <v>3586.4187091639101</v>
      </c>
      <c r="B2741" s="3">
        <v>0.42242788569532602</v>
      </c>
      <c r="C2741" s="5">
        <v>2.4233137489157399E-29</v>
      </c>
      <c r="D2741" s="6">
        <v>3.4958117870240199E-28</v>
      </c>
      <c r="E2741" s="3" t="s">
        <v>2752</v>
      </c>
      <c r="F2741" s="3" t="s">
        <v>2753</v>
      </c>
      <c r="G2741" s="3">
        <v>70093</v>
      </c>
      <c r="H2741" s="7" t="str">
        <f>HYPERLINK("http://www.ensembl.org/Mus_musculus/Gene/Summary?db=core;g=ENSMUSG00000042572","ENSMUSG00000042572")</f>
        <v>ENSMUSG00000042572</v>
      </c>
      <c r="I2741" s="7" t="str">
        <f>HYPERLINK("http://www.informatics.jax.org/marker/MGI:1917343","MGI:1917343")</f>
        <v>MGI:1917343</v>
      </c>
      <c r="J2741" s="4" t="s">
        <v>12</v>
      </c>
    </row>
    <row r="2742" spans="1:10" x14ac:dyDescent="0.25">
      <c r="A2742" s="2">
        <v>348.54481450367598</v>
      </c>
      <c r="B2742" s="3">
        <v>0.422190726848305</v>
      </c>
      <c r="C2742" s="5">
        <v>9.9969003835435603E-7</v>
      </c>
      <c r="D2742" s="6">
        <v>4.1354914110232603E-6</v>
      </c>
      <c r="E2742" s="3" t="s">
        <v>9549</v>
      </c>
      <c r="F2742" s="3" t="s">
        <v>9550</v>
      </c>
      <c r="G2742" s="3">
        <v>331026</v>
      </c>
      <c r="H2742" s="7" t="str">
        <f>HYPERLINK("http://www.ensembl.org/Mus_musculus/Gene/Summary?db=core;g=ENSMUSG00000070284","ENSMUSG00000070284")</f>
        <v>ENSMUSG00000070284</v>
      </c>
      <c r="I2742" s="7" t="str">
        <f>HYPERLINK("http://www.informatics.jax.org/marker/MGI:2660880","MGI:2660880")</f>
        <v>MGI:2660880</v>
      </c>
      <c r="J2742" s="4" t="s">
        <v>12</v>
      </c>
    </row>
    <row r="2743" spans="1:10" x14ac:dyDescent="0.25">
      <c r="A2743" s="2">
        <v>1084.52122962422</v>
      </c>
      <c r="B2743" s="3">
        <v>0.42200703540020801</v>
      </c>
      <c r="C2743" s="5">
        <v>1.6577599819303999E-8</v>
      </c>
      <c r="D2743" s="6">
        <v>8.0539607892750607E-8</v>
      </c>
      <c r="E2743" s="3" t="s">
        <v>8135</v>
      </c>
      <c r="F2743" s="3" t="s">
        <v>8136</v>
      </c>
      <c r="G2743" s="3">
        <v>19712</v>
      </c>
      <c r="H2743" s="7" t="str">
        <f>HYPERLINK("http://www.ensembl.org/Mus_musculus/Gene/Summary?db=core;g=ENSMUSG00000029249","ENSMUSG00000029249")</f>
        <v>ENSMUSG00000029249</v>
      </c>
      <c r="I2743" s="7" t="str">
        <f>HYPERLINK("http://www.informatics.jax.org/marker/MGI:104897","MGI:104897")</f>
        <v>MGI:104897</v>
      </c>
      <c r="J2743" s="4" t="s">
        <v>12</v>
      </c>
    </row>
    <row r="2744" spans="1:10" x14ac:dyDescent="0.25">
      <c r="A2744" s="2">
        <v>278.98303943766399</v>
      </c>
      <c r="B2744" s="3">
        <v>0.421993252272025</v>
      </c>
      <c r="C2744" s="5">
        <v>2.29867953128582E-7</v>
      </c>
      <c r="D2744" s="6">
        <v>1.0131864183494999E-6</v>
      </c>
      <c r="E2744" s="3" t="s">
        <v>8965</v>
      </c>
      <c r="F2744" s="3" t="s">
        <v>8966</v>
      </c>
      <c r="G2744" s="3">
        <v>68499</v>
      </c>
      <c r="H2744" s="7" t="str">
        <f>HYPERLINK("http://www.ensembl.org/Mus_musculus/Gene/Summary?db=core;g=ENSMUSG00000030037","ENSMUSG00000030037")</f>
        <v>ENSMUSG00000030037</v>
      </c>
      <c r="I2744" s="7" t="str">
        <f>HYPERLINK("http://www.informatics.jax.org/marker/MGI:1915749","MGI:1915749")</f>
        <v>MGI:1915749</v>
      </c>
      <c r="J2744" s="4" t="s">
        <v>12</v>
      </c>
    </row>
    <row r="2745" spans="1:10" x14ac:dyDescent="0.25">
      <c r="A2745" s="2">
        <v>3338.5680777872099</v>
      </c>
      <c r="B2745" s="3">
        <v>0.42050651792328497</v>
      </c>
      <c r="C2745" s="5">
        <v>3.9567810265617103E-5</v>
      </c>
      <c r="D2745" s="4">
        <v>1.3933521757820901E-4</v>
      </c>
      <c r="E2745" s="3" t="s">
        <v>11211</v>
      </c>
      <c r="F2745" s="3" t="s">
        <v>11212</v>
      </c>
      <c r="G2745" s="3">
        <v>100019</v>
      </c>
      <c r="H2745" s="7" t="str">
        <f>HYPERLINK("http://www.ensembl.org/Mus_musculus/Gene/Summary?db=core;g=ENSMUSG00000058006","ENSMUSG00000058006")</f>
        <v>ENSMUSG00000058006</v>
      </c>
      <c r="I2745" s="7" t="str">
        <f>HYPERLINK("http://www.informatics.jax.org/marker/MGI:1926159","MGI:1926159")</f>
        <v>MGI:1926159</v>
      </c>
      <c r="J2745" s="4" t="s">
        <v>12</v>
      </c>
    </row>
    <row r="2746" spans="1:10" x14ac:dyDescent="0.25">
      <c r="A2746" s="2">
        <v>3262.8501348681698</v>
      </c>
      <c r="B2746" s="3">
        <v>0.42023170445845098</v>
      </c>
      <c r="C2746" s="5">
        <v>2.5837853284459499E-14</v>
      </c>
      <c r="D2746" s="6">
        <v>1.91334009301368E-13</v>
      </c>
      <c r="E2746" s="3" t="s">
        <v>5343</v>
      </c>
      <c r="F2746" s="3" t="s">
        <v>5344</v>
      </c>
      <c r="G2746" s="3">
        <v>107045</v>
      </c>
      <c r="H2746" s="7" t="str">
        <f>HYPERLINK("http://www.ensembl.org/Mus_musculus/Gene/Summary?db=core;g=ENSMUSG00000024493","ENSMUSG00000024493")</f>
        <v>ENSMUSG00000024493</v>
      </c>
      <c r="I2746" s="7" t="str">
        <f>HYPERLINK("http://www.informatics.jax.org/marker/MGI:1913808","MGI:1913808")</f>
        <v>MGI:1913808</v>
      </c>
      <c r="J2746" s="4" t="s">
        <v>12</v>
      </c>
    </row>
    <row r="2747" spans="1:10" x14ac:dyDescent="0.25">
      <c r="A2747" s="2">
        <v>3670.0435252183502</v>
      </c>
      <c r="B2747" s="3">
        <v>0.42010086042740102</v>
      </c>
      <c r="C2747" s="5">
        <v>7.1706424996148605E-7</v>
      </c>
      <c r="D2747" s="6">
        <v>3.0111812200256601E-6</v>
      </c>
      <c r="E2747" s="3" t="s">
        <v>9407</v>
      </c>
      <c r="F2747" s="3" t="s">
        <v>9408</v>
      </c>
      <c r="G2747" s="3">
        <v>12721</v>
      </c>
      <c r="H2747" s="7" t="str">
        <f>HYPERLINK("http://www.ensembl.org/Mus_musculus/Gene/Summary?db=core;g=ENSMUSG00000030707","ENSMUSG00000030707")</f>
        <v>ENSMUSG00000030707</v>
      </c>
      <c r="I2747" s="7" t="str">
        <f>HYPERLINK("http://www.informatics.jax.org/marker/MGI:1345961","MGI:1345961")</f>
        <v>MGI:1345961</v>
      </c>
      <c r="J2747" s="4" t="s">
        <v>12</v>
      </c>
    </row>
    <row r="2748" spans="1:10" x14ac:dyDescent="0.25">
      <c r="A2748" s="2">
        <v>309.032148658366</v>
      </c>
      <c r="B2748" s="3">
        <v>0.42002146932258999</v>
      </c>
      <c r="C2748" s="5">
        <v>1.1225292968934E-6</v>
      </c>
      <c r="D2748" s="6">
        <v>4.6184597819189999E-6</v>
      </c>
      <c r="E2748" s="3" t="s">
        <v>9601</v>
      </c>
      <c r="F2748" s="3" t="s">
        <v>9602</v>
      </c>
      <c r="G2748" s="3">
        <v>66309</v>
      </c>
      <c r="H2748" s="7" t="str">
        <f>HYPERLINK("http://www.ensembl.org/Mus_musculus/Gene/Summary?db=core;g=ENSMUSG00000067365","ENSMUSG00000067365")</f>
        <v>ENSMUSG00000067365</v>
      </c>
      <c r="I2748" s="7" t="str">
        <f>HYPERLINK("http://www.informatics.jax.org/marker/MGI:1913559","MGI:1913559")</f>
        <v>MGI:1913559</v>
      </c>
      <c r="J2748" s="4" t="s">
        <v>12</v>
      </c>
    </row>
    <row r="2749" spans="1:10" x14ac:dyDescent="0.25">
      <c r="A2749" s="2">
        <v>436.56593965599399</v>
      </c>
      <c r="B2749" s="3">
        <v>0.41968521012712701</v>
      </c>
      <c r="C2749" s="5">
        <v>6.7822573937058106E-5</v>
      </c>
      <c r="D2749" s="4">
        <v>2.32844909129315E-4</v>
      </c>
      <c r="E2749" s="3" t="s">
        <v>11499</v>
      </c>
      <c r="F2749" s="3" t="s">
        <v>11500</v>
      </c>
      <c r="G2749" s="3">
        <v>19265</v>
      </c>
      <c r="H2749" s="7" t="str">
        <f>HYPERLINK("http://www.ensembl.org/Mus_musculus/Gene/Summary?db=core;g=ENSMUSG00000045826","ENSMUSG00000045826")</f>
        <v>ENSMUSG00000045826</v>
      </c>
      <c r="I2749" s="7" t="str">
        <f>HYPERLINK("http://www.informatics.jax.org/marker/MGI:97811","MGI:97811")</f>
        <v>MGI:97811</v>
      </c>
      <c r="J2749" s="4" t="s">
        <v>12</v>
      </c>
    </row>
    <row r="2750" spans="1:10" x14ac:dyDescent="0.25">
      <c r="A2750" s="2">
        <v>1899.11746702603</v>
      </c>
      <c r="B2750" s="3">
        <v>0.41956808342162899</v>
      </c>
      <c r="C2750" s="5">
        <v>5.4145354335767497E-13</v>
      </c>
      <c r="D2750" s="6">
        <v>3.6844250776443598E-12</v>
      </c>
      <c r="E2750" s="3" t="s">
        <v>5813</v>
      </c>
      <c r="F2750" s="3" t="s">
        <v>5814</v>
      </c>
      <c r="G2750" s="3">
        <v>23996</v>
      </c>
      <c r="H2750" s="7" t="str">
        <f>HYPERLINK("http://www.ensembl.org/Mus_musculus/Gene/Summary?db=core;g=ENSMUSG00000030603","ENSMUSG00000030603")</f>
        <v>ENSMUSG00000030603</v>
      </c>
      <c r="I2750" s="7" t="str">
        <f>HYPERLINK("http://www.informatics.jax.org/marker/MGI:1346093","MGI:1346093")</f>
        <v>MGI:1346093</v>
      </c>
      <c r="J2750" s="4" t="s">
        <v>12</v>
      </c>
    </row>
    <row r="2751" spans="1:10" x14ac:dyDescent="0.25">
      <c r="A2751" s="2">
        <v>74.317367220762193</v>
      </c>
      <c r="B2751" s="3">
        <v>0.419533912373311</v>
      </c>
      <c r="C2751" s="3">
        <v>2.8518010747375401E-3</v>
      </c>
      <c r="D2751" s="4">
        <v>7.8511122705324891E-3</v>
      </c>
      <c r="E2751" s="3" t="s">
        <v>14331</v>
      </c>
      <c r="F2751" s="3" t="s">
        <v>14332</v>
      </c>
      <c r="G2751" s="3">
        <v>109136</v>
      </c>
      <c r="H2751" s="7" t="str">
        <f>HYPERLINK("http://www.ensembl.org/Mus_musculus/Gene/Summary?db=core;g=ENSMUSG00000037022","ENSMUSG00000037022")</f>
        <v>ENSMUSG00000037022</v>
      </c>
      <c r="I2751" s="7" t="str">
        <f>HYPERLINK("http://www.informatics.jax.org/marker/MGI:1923805","MGI:1923805")</f>
        <v>MGI:1923805</v>
      </c>
      <c r="J2751" s="4" t="s">
        <v>12</v>
      </c>
    </row>
    <row r="2752" spans="1:10" x14ac:dyDescent="0.25">
      <c r="A2752" s="2">
        <v>1265.9941926251699</v>
      </c>
      <c r="B2752" s="3">
        <v>0.41918285934086902</v>
      </c>
      <c r="C2752" s="3">
        <v>3.7984416418240498E-4</v>
      </c>
      <c r="D2752" s="4">
        <v>1.1870882595367701E-3</v>
      </c>
      <c r="E2752" s="3" t="s">
        <v>12633</v>
      </c>
      <c r="F2752" s="3" t="s">
        <v>12634</v>
      </c>
      <c r="G2752" s="3">
        <v>20351</v>
      </c>
      <c r="H2752" s="7" t="str">
        <f>HYPERLINK("http://www.ensembl.org/Mus_musculus/Gene/Summary?db=core;g=ENSMUSG00000028064","ENSMUSG00000028064")</f>
        <v>ENSMUSG00000028064</v>
      </c>
      <c r="I2752" s="7" t="str">
        <f>HYPERLINK("http://www.informatics.jax.org/marker/MGI:107560","MGI:107560")</f>
        <v>MGI:107560</v>
      </c>
      <c r="J2752" s="4" t="s">
        <v>12</v>
      </c>
    </row>
    <row r="2753" spans="1:10" x14ac:dyDescent="0.25">
      <c r="A2753" s="2">
        <v>2937.8609491295201</v>
      </c>
      <c r="B2753" s="3">
        <v>0.41900570341441601</v>
      </c>
      <c r="C2753" s="5">
        <v>6.1107778116895897E-19</v>
      </c>
      <c r="D2753" s="6">
        <v>5.7934874253133997E-18</v>
      </c>
      <c r="E2753" s="3" t="s">
        <v>4177</v>
      </c>
      <c r="F2753" s="3" t="s">
        <v>4178</v>
      </c>
      <c r="G2753" s="3">
        <v>75416</v>
      </c>
      <c r="H2753" s="7" t="str">
        <f>HYPERLINK("http://www.ensembl.org/Mus_musculus/Gene/Summary?db=core;g=ENSMUSG00000036693","ENSMUSG00000036693")</f>
        <v>ENSMUSG00000036693</v>
      </c>
      <c r="I2753" s="7" t="str">
        <f>HYPERLINK("http://www.informatics.jax.org/marker/MGI:1922666","MGI:1922666")</f>
        <v>MGI:1922666</v>
      </c>
      <c r="J2753" s="4" t="s">
        <v>12</v>
      </c>
    </row>
    <row r="2754" spans="1:10" x14ac:dyDescent="0.25">
      <c r="A2754" s="2">
        <v>1533.98765159292</v>
      </c>
      <c r="B2754" s="3">
        <v>0.41898189217766502</v>
      </c>
      <c r="C2754" s="5">
        <v>2.8214772329319501E-5</v>
      </c>
      <c r="D2754" s="4">
        <v>1.0105254455760601E-4</v>
      </c>
      <c r="E2754" s="3" t="s">
        <v>11024</v>
      </c>
      <c r="F2754" s="3" t="s">
        <v>11025</v>
      </c>
      <c r="G2754" s="3">
        <v>224432</v>
      </c>
      <c r="H2754" s="7" t="str">
        <f>HYPERLINK("http://www.ensembl.org/Mus_musculus/Gene/Summary?db=core;g=ENSMUSG00000022983","ENSMUSG00000022983")</f>
        <v>ENSMUSG00000022983</v>
      </c>
      <c r="I2754" s="7" t="str">
        <f>HYPERLINK("http://www.informatics.jax.org/marker/MGI:2146350","MGI:2146350")</f>
        <v>MGI:2146350</v>
      </c>
      <c r="J2754" s="4" t="s">
        <v>12</v>
      </c>
    </row>
    <row r="2755" spans="1:10" x14ac:dyDescent="0.25">
      <c r="A2755" s="2">
        <v>1065.67983506788</v>
      </c>
      <c r="B2755" s="3">
        <v>0.41874890632582701</v>
      </c>
      <c r="C2755" s="5">
        <v>1.2208327051428001E-11</v>
      </c>
      <c r="D2755" s="6">
        <v>7.5826207702097604E-11</v>
      </c>
      <c r="E2755" s="3" t="s">
        <v>6367</v>
      </c>
      <c r="F2755" s="3" t="s">
        <v>6368</v>
      </c>
      <c r="G2755" s="3">
        <v>108655</v>
      </c>
      <c r="H2755" s="7" t="str">
        <f>HYPERLINK("http://www.ensembl.org/Mus_musculus/Gene/Summary?db=core;g=ENSMUSG00000030067","ENSMUSG00000030067")</f>
        <v>ENSMUSG00000030067</v>
      </c>
      <c r="I2755" s="7" t="str">
        <f>HYPERLINK("http://www.informatics.jax.org/marker/MGI:1914004","MGI:1914004")</f>
        <v>MGI:1914004</v>
      </c>
      <c r="J2755" s="4" t="s">
        <v>12</v>
      </c>
    </row>
    <row r="2756" spans="1:10" x14ac:dyDescent="0.25">
      <c r="A2756" s="2">
        <v>789.69347478996599</v>
      </c>
      <c r="B2756" s="3">
        <v>0.41871576012899903</v>
      </c>
      <c r="C2756" s="5">
        <v>8.1647494894926E-15</v>
      </c>
      <c r="D2756" s="6">
        <v>6.2189594412048703E-14</v>
      </c>
      <c r="E2756" s="3" t="s">
        <v>5195</v>
      </c>
      <c r="F2756" s="3" t="s">
        <v>5196</v>
      </c>
      <c r="G2756" s="3">
        <v>77048</v>
      </c>
      <c r="H2756" s="7" t="str">
        <f>HYPERLINK("http://www.ensembl.org/Mus_musculus/Gene/Summary?db=core;g=ENSMUSG00000020024","ENSMUSG00000020024")</f>
        <v>ENSMUSG00000020024</v>
      </c>
      <c r="I2756" s="7" t="str">
        <f>HYPERLINK("http://www.informatics.jax.org/marker/MGI:1924298","MGI:1924298")</f>
        <v>MGI:1924298</v>
      </c>
      <c r="J2756" s="4" t="s">
        <v>12</v>
      </c>
    </row>
    <row r="2757" spans="1:10" x14ac:dyDescent="0.25">
      <c r="A2757" s="2">
        <v>860.91327240381702</v>
      </c>
      <c r="B2757" s="3">
        <v>0.41850119707199801</v>
      </c>
      <c r="C2757" s="5">
        <v>3.8388875040084902E-15</v>
      </c>
      <c r="D2757" s="6">
        <v>2.9710699206847503E-14</v>
      </c>
      <c r="E2757" s="3" t="s">
        <v>5113</v>
      </c>
      <c r="F2757" s="3" t="s">
        <v>5114</v>
      </c>
      <c r="G2757" s="3">
        <v>101118</v>
      </c>
      <c r="H2757" s="7" t="str">
        <f>HYPERLINK("http://www.ensembl.org/Mus_musculus/Gene/Summary?db=core;g=ENSMUSG00000029569","ENSMUSG00000029569")</f>
        <v>ENSMUSG00000029569</v>
      </c>
      <c r="I2757" s="7" t="str">
        <f>HYPERLINK("http://www.informatics.jax.org/marker/MGI:1921794","MGI:1921794")</f>
        <v>MGI:1921794</v>
      </c>
      <c r="J2757" s="4" t="s">
        <v>12</v>
      </c>
    </row>
    <row r="2758" spans="1:10" x14ac:dyDescent="0.25">
      <c r="A2758" s="2">
        <v>584.72831626324398</v>
      </c>
      <c r="B2758" s="3">
        <v>0.41844248453164601</v>
      </c>
      <c r="C2758" s="5">
        <v>6.5738572732737402E-5</v>
      </c>
      <c r="D2758" s="4">
        <v>2.2608382530338E-4</v>
      </c>
      <c r="E2758" s="3" t="s">
        <v>11479</v>
      </c>
      <c r="F2758" s="3" t="s">
        <v>11480</v>
      </c>
      <c r="G2758" s="3">
        <v>71997</v>
      </c>
      <c r="H2758" s="7" t="str">
        <f>HYPERLINK("http://www.ensembl.org/Mus_musculus/Gene/Summary?db=core;g=ENSMUSG00000002210","ENSMUSG00000002210")</f>
        <v>ENSMUSG00000002210</v>
      </c>
      <c r="I2758" s="7" t="str">
        <f>HYPERLINK("http://www.informatics.jax.org/marker/MGI:1919247","MGI:1919247")</f>
        <v>MGI:1919247</v>
      </c>
      <c r="J2758" s="4" t="s">
        <v>12</v>
      </c>
    </row>
    <row r="2759" spans="1:10" x14ac:dyDescent="0.25">
      <c r="A2759" s="2">
        <v>283.09089372427502</v>
      </c>
      <c r="B2759" s="3">
        <v>0.41760821819009197</v>
      </c>
      <c r="C2759" s="5">
        <v>5.6022662881717297E-5</v>
      </c>
      <c r="D2759" s="4">
        <v>1.94261809746345E-4</v>
      </c>
      <c r="E2759" s="3" t="s">
        <v>11385</v>
      </c>
      <c r="F2759" s="3" t="s">
        <v>11386</v>
      </c>
      <c r="G2759" s="3">
        <v>17281</v>
      </c>
      <c r="H2759" s="7" t="str">
        <f>HYPERLINK("http://www.ensembl.org/Mus_musculus/Gene/Summary?db=core;g=ENSMUSG00000025241","ENSMUSG00000025241")</f>
        <v>ENSMUSG00000025241</v>
      </c>
      <c r="I2759" s="7" t="str">
        <f>HYPERLINK("http://www.informatics.jax.org/marker/MGI:107277","MGI:107277")</f>
        <v>MGI:107277</v>
      </c>
      <c r="J2759" s="4" t="s">
        <v>12</v>
      </c>
    </row>
    <row r="2760" spans="1:10" x14ac:dyDescent="0.25">
      <c r="A2760" s="2">
        <v>1949.3945056072</v>
      </c>
      <c r="B2760" s="3">
        <v>0.41728565426838898</v>
      </c>
      <c r="C2760" s="5">
        <v>1.06254958640569E-7</v>
      </c>
      <c r="D2760" s="6">
        <v>4.8102566216529197E-7</v>
      </c>
      <c r="E2760" s="3" t="s">
        <v>8729</v>
      </c>
      <c r="F2760" s="3" t="s">
        <v>8730</v>
      </c>
      <c r="G2760" s="3">
        <v>22134</v>
      </c>
      <c r="H2760" s="7" t="str">
        <f>HYPERLINK("http://www.ensembl.org/Mus_musculus/Gene/Summary?db=core;g=ENSMUSG00000056429","ENSMUSG00000056429")</f>
        <v>ENSMUSG00000056429</v>
      </c>
      <c r="I2760" s="7" t="str">
        <f>HYPERLINK("http://www.informatics.jax.org/marker/MGI:105080","MGI:105080")</f>
        <v>MGI:105080</v>
      </c>
      <c r="J2760" s="4" t="s">
        <v>12</v>
      </c>
    </row>
    <row r="2761" spans="1:10" x14ac:dyDescent="0.25">
      <c r="A2761" s="2">
        <v>44744.638710702602</v>
      </c>
      <c r="B2761" s="3">
        <v>0.41724831333608797</v>
      </c>
      <c r="C2761" s="3">
        <v>1.325918296538E-4</v>
      </c>
      <c r="D2761" s="4">
        <v>4.4026113500133802E-4</v>
      </c>
      <c r="E2761" s="3" t="s">
        <v>11889</v>
      </c>
      <c r="F2761" s="3" t="s">
        <v>11890</v>
      </c>
      <c r="G2761" s="3">
        <v>20750</v>
      </c>
      <c r="H2761" s="7" t="str">
        <f>HYPERLINK("http://www.ensembl.org/Mus_musculus/Gene/Summary?db=core;g=ENSMUSG00000029304","ENSMUSG00000029304")</f>
        <v>ENSMUSG00000029304</v>
      </c>
      <c r="I2761" s="7" t="str">
        <f>HYPERLINK("http://www.informatics.jax.org/marker/MGI:98389","MGI:98389")</f>
        <v>MGI:98389</v>
      </c>
      <c r="J2761" s="4" t="s">
        <v>12</v>
      </c>
    </row>
    <row r="2762" spans="1:10" x14ac:dyDescent="0.25">
      <c r="A2762" s="2">
        <v>2201.1081367450302</v>
      </c>
      <c r="B2762" s="3">
        <v>0.41669838988365598</v>
      </c>
      <c r="C2762" s="5">
        <v>1.3895072555380701E-11</v>
      </c>
      <c r="D2762" s="6">
        <v>8.6004654988106402E-11</v>
      </c>
      <c r="E2762" s="3" t="s">
        <v>6389</v>
      </c>
      <c r="F2762" s="3" t="s">
        <v>6390</v>
      </c>
      <c r="G2762" s="3">
        <v>217365</v>
      </c>
      <c r="H2762" s="7" t="str">
        <f>HYPERLINK("http://www.ensembl.org/Mus_musculus/Gene/Summary?db=core;g=ENSMUSG00000039703","ENSMUSG00000039703")</f>
        <v>ENSMUSG00000039703</v>
      </c>
      <c r="I2762" s="7" t="str">
        <f>HYPERLINK("http://www.informatics.jax.org/marker/MGI:2679787","MGI:2679787")</f>
        <v>MGI:2679787</v>
      </c>
      <c r="J2762" s="4" t="s">
        <v>12</v>
      </c>
    </row>
    <row r="2763" spans="1:10" x14ac:dyDescent="0.25">
      <c r="A2763" s="2">
        <v>492.32100056071602</v>
      </c>
      <c r="B2763" s="3">
        <v>0.41639637914052802</v>
      </c>
      <c r="C2763" s="5">
        <v>4.6210746384706398E-10</v>
      </c>
      <c r="D2763" s="6">
        <v>2.5362536006301401E-9</v>
      </c>
      <c r="E2763" s="3" t="s">
        <v>7204</v>
      </c>
      <c r="F2763" s="3" t="s">
        <v>7205</v>
      </c>
      <c r="G2763" s="3">
        <v>21357</v>
      </c>
      <c r="H2763" s="7" t="str">
        <f>HYPERLINK("http://www.ensembl.org/Mus_musculus/Gene/Summary?db=core;g=ENSMUSG00000023051","ENSMUSG00000023051")</f>
        <v>ENSMUSG00000023051</v>
      </c>
      <c r="I2763" s="7" t="str">
        <f>HYPERLINK("http://www.informatics.jax.org/marker/MGI:103027","MGI:103027")</f>
        <v>MGI:103027</v>
      </c>
      <c r="J2763" s="4" t="s">
        <v>12</v>
      </c>
    </row>
    <row r="2764" spans="1:10" x14ac:dyDescent="0.25">
      <c r="A2764" s="2">
        <v>313.01976967453601</v>
      </c>
      <c r="B2764" s="3">
        <v>0.41623869915135198</v>
      </c>
      <c r="C2764" s="5">
        <v>5.8181262624020801E-5</v>
      </c>
      <c r="D2764" s="4">
        <v>2.0125144692960701E-4</v>
      </c>
      <c r="E2764" s="3" t="s">
        <v>11413</v>
      </c>
      <c r="F2764" s="3" t="s">
        <v>11414</v>
      </c>
      <c r="G2764" s="3">
        <v>54614</v>
      </c>
      <c r="H2764" s="7" t="str">
        <f>HYPERLINK("http://www.ensembl.org/Mus_musculus/Gene/Summary?db=core;g=ENSMUSG00000023007","ENSMUSG00000023007")</f>
        <v>ENSMUSG00000023007</v>
      </c>
      <c r="I2764" s="7" t="str">
        <f>HYPERLINK("http://www.informatics.jax.org/marker/MGI:1925583","MGI:1925583")</f>
        <v>MGI:1925583</v>
      </c>
      <c r="J2764" s="4" t="s">
        <v>12</v>
      </c>
    </row>
    <row r="2765" spans="1:10" x14ac:dyDescent="0.25">
      <c r="A2765" s="2">
        <v>1251.0613056940001</v>
      </c>
      <c r="B2765" s="3">
        <v>0.415988515926076</v>
      </c>
      <c r="C2765" s="5">
        <v>1.7782049526848601E-14</v>
      </c>
      <c r="D2765" s="6">
        <v>1.3287685360722099E-13</v>
      </c>
      <c r="E2765" s="3" t="s">
        <v>5295</v>
      </c>
      <c r="F2765" s="3" t="s">
        <v>5296</v>
      </c>
      <c r="G2765" s="3">
        <v>57753</v>
      </c>
      <c r="H2765" s="7" t="str">
        <f>HYPERLINK("http://www.ensembl.org/Mus_musculus/Gene/Summary?db=core;g=ENSMUSG00000024999","ENSMUSG00000024999")</f>
        <v>ENSMUSG00000024999</v>
      </c>
      <c r="I2765" s="7" t="str">
        <f>HYPERLINK("http://www.informatics.jax.org/marker/MGI:1932610","MGI:1932610")</f>
        <v>MGI:1932610</v>
      </c>
      <c r="J2765" s="4" t="s">
        <v>12</v>
      </c>
    </row>
    <row r="2766" spans="1:10" x14ac:dyDescent="0.25">
      <c r="A2766" s="2">
        <v>2308.4480235976298</v>
      </c>
      <c r="B2766" s="3">
        <v>0.415107272614678</v>
      </c>
      <c r="C2766" s="5">
        <v>1.4552485037359001E-12</v>
      </c>
      <c r="D2766" s="6">
        <v>9.6645830755766505E-12</v>
      </c>
      <c r="E2766" s="3" t="s">
        <v>5955</v>
      </c>
      <c r="F2766" s="3" t="s">
        <v>5956</v>
      </c>
      <c r="G2766" s="3">
        <v>107094</v>
      </c>
      <c r="H2766" s="7" t="str">
        <f>HYPERLINK("http://www.ensembl.org/Mus_musculus/Gene/Summary?db=core;g=ENSMUSG00000035049","ENSMUSG00000035049")</f>
        <v>ENSMUSG00000035049</v>
      </c>
      <c r="I2766" s="7" t="str">
        <f>HYPERLINK("http://www.informatics.jax.org/marker/MGI:2147437","MGI:2147437")</f>
        <v>MGI:2147437</v>
      </c>
      <c r="J2766" s="4" t="s">
        <v>12</v>
      </c>
    </row>
    <row r="2767" spans="1:10" x14ac:dyDescent="0.25">
      <c r="A2767" s="2">
        <v>668.78007045689799</v>
      </c>
      <c r="B2767" s="3">
        <v>0.41446031230066099</v>
      </c>
      <c r="C2767" s="5">
        <v>9.7088594016525996E-11</v>
      </c>
      <c r="D2767" s="6">
        <v>5.6444194398758599E-10</v>
      </c>
      <c r="E2767" s="3" t="s">
        <v>6802</v>
      </c>
      <c r="F2767" s="3" t="s">
        <v>6803</v>
      </c>
      <c r="G2767" s="3">
        <v>22230</v>
      </c>
      <c r="H2767" s="7" t="str">
        <f>HYPERLINK("http://www.ensembl.org/Mus_musculus/Gene/Summary?db=core;g=ENSMUSG00000005262","ENSMUSG00000005262")</f>
        <v>ENSMUSG00000005262</v>
      </c>
      <c r="I2767" s="7" t="str">
        <f>HYPERLINK("http://www.informatics.jax.org/marker/MGI:109353","MGI:109353")</f>
        <v>MGI:109353</v>
      </c>
      <c r="J2767" s="4" t="s">
        <v>12</v>
      </c>
    </row>
    <row r="2768" spans="1:10" x14ac:dyDescent="0.25">
      <c r="A2768" s="2">
        <v>8629.6878349285507</v>
      </c>
      <c r="B2768" s="3">
        <v>0.41423772516393498</v>
      </c>
      <c r="C2768" s="5">
        <v>2.3839475203066E-25</v>
      </c>
      <c r="D2768" s="6">
        <v>2.9437348215683299E-24</v>
      </c>
      <c r="E2768" s="3" t="s">
        <v>3214</v>
      </c>
      <c r="F2768" s="3" t="s">
        <v>3215</v>
      </c>
      <c r="G2768" s="3">
        <v>11938</v>
      </c>
      <c r="H2768" s="7" t="str">
        <f>HYPERLINK("http://www.ensembl.org/Mus_musculus/Gene/Summary?db=core;g=ENSMUSG00000029467","ENSMUSG00000029467")</f>
        <v>ENSMUSG00000029467</v>
      </c>
      <c r="I2768" s="7" t="str">
        <f>HYPERLINK("http://www.informatics.jax.org/marker/MGI:88110","MGI:88110")</f>
        <v>MGI:88110</v>
      </c>
      <c r="J2768" s="4" t="s">
        <v>12</v>
      </c>
    </row>
    <row r="2769" spans="1:10" x14ac:dyDescent="0.25">
      <c r="A2769" s="2">
        <v>2956.2139728010502</v>
      </c>
      <c r="B2769" s="3">
        <v>0.41411454752785798</v>
      </c>
      <c r="C2769" s="5">
        <v>5.69957068925939E-10</v>
      </c>
      <c r="D2769" s="6">
        <v>3.1108644891280099E-9</v>
      </c>
      <c r="E2769" s="3" t="s">
        <v>7244</v>
      </c>
      <c r="F2769" s="3" t="s">
        <v>7245</v>
      </c>
      <c r="G2769" s="3">
        <v>53378</v>
      </c>
      <c r="H2769" s="7" t="str">
        <f>HYPERLINK("http://www.ensembl.org/Mus_musculus/Gene/Summary?db=core;g=ENSMUSG00000028249","ENSMUSG00000028249")</f>
        <v>ENSMUSG00000028249</v>
      </c>
      <c r="I2769" s="7" t="str">
        <f>HYPERLINK("http://www.informatics.jax.org/marker/MGI:1337026","MGI:1337026")</f>
        <v>MGI:1337026</v>
      </c>
      <c r="J2769" s="4" t="s">
        <v>12</v>
      </c>
    </row>
    <row r="2770" spans="1:10" x14ac:dyDescent="0.25">
      <c r="A2770" s="2">
        <v>155.72000882375099</v>
      </c>
      <c r="B2770" s="3">
        <v>0.41397185641836998</v>
      </c>
      <c r="C2770" s="3">
        <v>2.3041866118270801E-4</v>
      </c>
      <c r="D2770" s="4">
        <v>7.4318874689614203E-4</v>
      </c>
      <c r="E2770" s="3" t="s">
        <v>12239</v>
      </c>
      <c r="F2770" s="3" t="s">
        <v>12240</v>
      </c>
      <c r="G2770" s="3">
        <v>228715</v>
      </c>
      <c r="H2770" s="7" t="str">
        <f>HYPERLINK("http://www.ensembl.org/Mus_musculus/Gene/Summary?db=core;g=ENSMUSG00000074754","ENSMUSG00000074754")</f>
        <v>ENSMUSG00000074754</v>
      </c>
      <c r="I2770" s="7" t="str">
        <f>HYPERLINK("http://www.informatics.jax.org/marker/MGI:2685407","MGI:2685407")</f>
        <v>MGI:2685407</v>
      </c>
      <c r="J2770" s="4" t="s">
        <v>12</v>
      </c>
    </row>
    <row r="2771" spans="1:10" x14ac:dyDescent="0.25">
      <c r="A2771" s="2">
        <v>259.65551563378398</v>
      </c>
      <c r="B2771" s="3">
        <v>0.41382600160617</v>
      </c>
      <c r="C2771" s="5">
        <v>7.0814243698220306E-8</v>
      </c>
      <c r="D2771" s="6">
        <v>3.2468190786535798E-7</v>
      </c>
      <c r="E2771" s="3" t="s">
        <v>8619</v>
      </c>
      <c r="F2771" s="3" t="s">
        <v>8620</v>
      </c>
      <c r="G2771" s="3">
        <v>21339</v>
      </c>
      <c r="H2771" s="7" t="str">
        <f>HYPERLINK("http://www.ensembl.org/Mus_musculus/Gene/Summary?db=core;g=ENSMUSG00000072258","ENSMUSG00000072258")</f>
        <v>ENSMUSG00000072258</v>
      </c>
      <c r="I2771" s="7" t="str">
        <f>HYPERLINK("http://www.informatics.jax.org/marker/MGI:109578","MGI:109578")</f>
        <v>MGI:109578</v>
      </c>
      <c r="J2771" s="4" t="s">
        <v>12</v>
      </c>
    </row>
    <row r="2772" spans="1:10" x14ac:dyDescent="0.25">
      <c r="A2772" s="2">
        <v>2835.4203763148998</v>
      </c>
      <c r="B2772" s="3">
        <v>0.41374386965516202</v>
      </c>
      <c r="C2772" s="5">
        <v>2.18136180411286E-9</v>
      </c>
      <c r="D2772" s="6">
        <v>1.13860388504779E-8</v>
      </c>
      <c r="E2772" s="3" t="s">
        <v>7574</v>
      </c>
      <c r="F2772" s="3" t="s">
        <v>7575</v>
      </c>
      <c r="G2772" s="3">
        <v>11843</v>
      </c>
      <c r="H2772" s="7" t="str">
        <f>HYPERLINK("http://www.ensembl.org/Mus_musculus/Gene/Summary?db=core;g=ENSMUSG00000021877","ENSMUSG00000021877")</f>
        <v>ENSMUSG00000021877</v>
      </c>
      <c r="I2772" s="7" t="str">
        <f>HYPERLINK("http://www.informatics.jax.org/marker/MGI:99433","MGI:99433")</f>
        <v>MGI:99433</v>
      </c>
      <c r="J2772" s="4" t="s">
        <v>12</v>
      </c>
    </row>
    <row r="2773" spans="1:10" x14ac:dyDescent="0.25">
      <c r="A2773" s="2">
        <v>542.63266238788799</v>
      </c>
      <c r="B2773" s="3">
        <v>0.41359886991294598</v>
      </c>
      <c r="C2773" s="3">
        <v>1.5404936484934899E-4</v>
      </c>
      <c r="D2773" s="4">
        <v>5.0723885036386095E-4</v>
      </c>
      <c r="E2773" s="3" t="s">
        <v>11989</v>
      </c>
      <c r="F2773" s="3" t="s">
        <v>11990</v>
      </c>
      <c r="G2773" s="3">
        <v>14017</v>
      </c>
      <c r="H2773" s="7" t="str">
        <f>HYPERLINK("http://www.ensembl.org/Mus_musculus/Gene/Summary?db=core;g=ENSMUSG00000078771","ENSMUSG00000078771")</f>
        <v>ENSMUSG00000078771</v>
      </c>
      <c r="I2773" s="7" t="str">
        <f>HYPERLINK("http://www.informatics.jax.org/marker/MGI:95458","MGI:95458")</f>
        <v>MGI:95458</v>
      </c>
      <c r="J2773" s="4" t="s">
        <v>12</v>
      </c>
    </row>
    <row r="2774" spans="1:10" x14ac:dyDescent="0.25">
      <c r="A2774" s="2">
        <v>1015.97624376408</v>
      </c>
      <c r="B2774" s="3">
        <v>0.41357734471683</v>
      </c>
      <c r="C2774" s="5">
        <v>9.3972468199577297E-15</v>
      </c>
      <c r="D2774" s="6">
        <v>7.1384324841897701E-14</v>
      </c>
      <c r="E2774" s="3" t="s">
        <v>5209</v>
      </c>
      <c r="F2774" s="3" t="s">
        <v>5210</v>
      </c>
      <c r="G2774" s="3">
        <v>66614</v>
      </c>
      <c r="H2774" s="7" t="str">
        <f>HYPERLINK("http://www.ensembl.org/Mus_musculus/Gene/Summary?db=core;g=ENSMUSG00000028069","ENSMUSG00000028069")</f>
        <v>ENSMUSG00000028069</v>
      </c>
      <c r="I2774" s="7" t="str">
        <f>HYPERLINK("http://www.informatics.jax.org/marker/MGI:1913864","MGI:1913864")</f>
        <v>MGI:1913864</v>
      </c>
      <c r="J2774" s="4" t="s">
        <v>12</v>
      </c>
    </row>
    <row r="2775" spans="1:10" x14ac:dyDescent="0.25">
      <c r="A2775" s="2">
        <v>276.63901360900701</v>
      </c>
      <c r="B2775" s="3">
        <v>0.41330385266888198</v>
      </c>
      <c r="C2775" s="5">
        <v>1.9207114126336298E-5</v>
      </c>
      <c r="D2775" s="6">
        <v>6.98956063058408E-5</v>
      </c>
      <c r="E2775" s="3" t="s">
        <v>10850</v>
      </c>
      <c r="F2775" s="3" t="s">
        <v>10851</v>
      </c>
      <c r="G2775" s="3">
        <v>71804</v>
      </c>
      <c r="H2775" s="7" t="str">
        <f>HYPERLINK("http://www.ensembl.org/Mus_musculus/Gene/Summary?db=core;g=ENSMUSG00000019992","ENSMUSG00000019992")</f>
        <v>ENSMUSG00000019992</v>
      </c>
      <c r="I2775" s="7" t="str">
        <f>HYPERLINK("http://www.informatics.jax.org/marker/MGI:1919054","MGI:1919054")</f>
        <v>MGI:1919054</v>
      </c>
      <c r="J2775" s="4" t="s">
        <v>12</v>
      </c>
    </row>
    <row r="2776" spans="1:10" x14ac:dyDescent="0.25">
      <c r="A2776" s="2">
        <v>1547.2858292231399</v>
      </c>
      <c r="B2776" s="3">
        <v>0.41323323370482601</v>
      </c>
      <c r="C2776" s="5">
        <v>4.7900449148346301E-14</v>
      </c>
      <c r="D2776" s="6">
        <v>3.47661706737353E-13</v>
      </c>
      <c r="E2776" s="3" t="s">
        <v>5451</v>
      </c>
      <c r="F2776" s="3" t="s">
        <v>5452</v>
      </c>
      <c r="G2776" s="3">
        <v>268741</v>
      </c>
      <c r="H2776" s="7" t="str">
        <f>HYPERLINK("http://www.ensembl.org/Mus_musculus/Gene/Summary?db=core;g=ENSMUSG00000016831","ENSMUSG00000016831")</f>
        <v>ENSMUSG00000016831</v>
      </c>
      <c r="I2776" s="7" t="str">
        <f>HYPERLINK("http://www.informatics.jax.org/marker/MGI:1915389","MGI:1915389")</f>
        <v>MGI:1915389</v>
      </c>
      <c r="J2776" s="4" t="s">
        <v>12</v>
      </c>
    </row>
    <row r="2777" spans="1:10" x14ac:dyDescent="0.25">
      <c r="A2777" s="2">
        <v>303.21979496857</v>
      </c>
      <c r="B2777" s="3">
        <v>0.41315823672695301</v>
      </c>
      <c r="C2777" s="5">
        <v>3.1177809049368898E-7</v>
      </c>
      <c r="D2777" s="6">
        <v>1.35873236343327E-6</v>
      </c>
      <c r="E2777" s="3" t="s">
        <v>9065</v>
      </c>
      <c r="F2777" s="3" t="s">
        <v>9066</v>
      </c>
      <c r="G2777" s="3">
        <v>211612</v>
      </c>
      <c r="H2777" s="7" t="str">
        <f>HYPERLINK("http://www.ensembl.org/Mus_musculus/Gene/Summary?db=core;g=ENSMUSG00000041552","ENSMUSG00000041552")</f>
        <v>ENSMUSG00000041552</v>
      </c>
      <c r="I2777" s="7" t="str">
        <f>HYPERLINK("http://www.informatics.jax.org/marker/MGI:2685233","MGI:2685233")</f>
        <v>MGI:2685233</v>
      </c>
      <c r="J2777" s="4" t="s">
        <v>12</v>
      </c>
    </row>
    <row r="2778" spans="1:10" x14ac:dyDescent="0.25">
      <c r="A2778" s="2">
        <v>469.26043894163001</v>
      </c>
      <c r="B2778" s="3">
        <v>0.41290710668341601</v>
      </c>
      <c r="C2778" s="5">
        <v>1.9126628227683299E-9</v>
      </c>
      <c r="D2778" s="6">
        <v>1.0033974691405E-8</v>
      </c>
      <c r="E2778" s="3" t="s">
        <v>7536</v>
      </c>
      <c r="F2778" s="3" t="s">
        <v>7537</v>
      </c>
      <c r="G2778" s="3">
        <v>66201</v>
      </c>
      <c r="H2778" s="7" t="str">
        <f>HYPERLINK("http://www.ensembl.org/Mus_musculus/Gene/Summary?db=core;g=ENSMUSG00000019868","ENSMUSG00000019868")</f>
        <v>ENSMUSG00000019868</v>
      </c>
      <c r="I2778" s="7" t="str">
        <f>HYPERLINK("http://www.informatics.jax.org/marker/MGI:1913451","MGI:1913451")</f>
        <v>MGI:1913451</v>
      </c>
      <c r="J2778" s="4" t="s">
        <v>12</v>
      </c>
    </row>
    <row r="2779" spans="1:10" x14ac:dyDescent="0.25">
      <c r="A2779" s="2">
        <v>2812.7895980778499</v>
      </c>
      <c r="B2779" s="3">
        <v>0.41270755799186998</v>
      </c>
      <c r="C2779" s="5">
        <v>3.4590241541389098E-21</v>
      </c>
      <c r="D2779" s="6">
        <v>3.60147604644241E-20</v>
      </c>
      <c r="E2779" s="3" t="s">
        <v>3806</v>
      </c>
      <c r="F2779" s="3" t="s">
        <v>3807</v>
      </c>
      <c r="G2779" s="3">
        <v>26987</v>
      </c>
      <c r="H2779" s="7" t="str">
        <f>HYPERLINK("http://www.ensembl.org/Mus_musculus/Gene/Summary?db=core;g=ENSMUSG00000026254","ENSMUSG00000026254")</f>
        <v>ENSMUSG00000026254</v>
      </c>
      <c r="I2779" s="7" t="str">
        <f>HYPERLINK("http://www.informatics.jax.org/marker/MGI:1914440","MGI:1914440")</f>
        <v>MGI:1914440</v>
      </c>
      <c r="J2779" s="4" t="s">
        <v>12</v>
      </c>
    </row>
    <row r="2780" spans="1:10" x14ac:dyDescent="0.25">
      <c r="A2780" s="2">
        <v>2023.5185344267099</v>
      </c>
      <c r="B2780" s="3">
        <v>0.41247184599708703</v>
      </c>
      <c r="C2780" s="5">
        <v>8.4549527469840495E-10</v>
      </c>
      <c r="D2780" s="6">
        <v>4.5580007701073102E-9</v>
      </c>
      <c r="E2780" s="3" t="s">
        <v>7334</v>
      </c>
      <c r="F2780" s="3" t="s">
        <v>7335</v>
      </c>
      <c r="G2780" s="3">
        <v>67220</v>
      </c>
      <c r="H2780" s="7" t="str">
        <f>HYPERLINK("http://www.ensembl.org/Mus_musculus/Gene/Summary?db=core;g=ENSMUSG00000015745","ENSMUSG00000015745")</f>
        <v>ENSMUSG00000015745</v>
      </c>
      <c r="I2780" s="7" t="str">
        <f>HYPERLINK("http://www.informatics.jax.org/marker/MGI:1914470","MGI:1914470")</f>
        <v>MGI:1914470</v>
      </c>
      <c r="J2780" s="4" t="s">
        <v>12</v>
      </c>
    </row>
    <row r="2781" spans="1:10" x14ac:dyDescent="0.25">
      <c r="A2781" s="2">
        <v>1609.8624558389199</v>
      </c>
      <c r="B2781" s="3">
        <v>0.41245429719409299</v>
      </c>
      <c r="C2781" s="5">
        <v>9.8441530443942107E-13</v>
      </c>
      <c r="D2781" s="6">
        <v>6.6130940682100302E-12</v>
      </c>
      <c r="E2781" s="3" t="s">
        <v>5887</v>
      </c>
      <c r="F2781" s="3" t="s">
        <v>5888</v>
      </c>
      <c r="G2781" s="3">
        <v>228071</v>
      </c>
      <c r="H2781" s="7" t="str">
        <f>HYPERLINK("http://www.ensembl.org/Mus_musculus/Gene/Summary?db=core;g=ENSMUSG00000042272","ENSMUSG00000042272")</f>
        <v>ENSMUSG00000042272</v>
      </c>
      <c r="I2781" s="7" t="str">
        <f>HYPERLINK("http://www.informatics.jax.org/marker/MGI:1916262","MGI:1916262")</f>
        <v>MGI:1916262</v>
      </c>
      <c r="J2781" s="4" t="s">
        <v>12</v>
      </c>
    </row>
    <row r="2782" spans="1:10" x14ac:dyDescent="0.25">
      <c r="A2782" s="2">
        <v>827.22393891637296</v>
      </c>
      <c r="B2782" s="3">
        <v>0.41213518083591799</v>
      </c>
      <c r="C2782" s="5">
        <v>7.4714290618850698E-9</v>
      </c>
      <c r="D2782" s="6">
        <v>3.7442587319027598E-8</v>
      </c>
      <c r="E2782" s="3" t="s">
        <v>7886</v>
      </c>
      <c r="F2782" s="3" t="s">
        <v>7887</v>
      </c>
      <c r="G2782" s="3">
        <v>225215</v>
      </c>
      <c r="H2782" s="7" t="str">
        <f>HYPERLINK("http://www.ensembl.org/Mus_musculus/Gene/Summary?db=core;g=ENSMUSG00000032215","ENSMUSG00000032215")</f>
        <v>ENSMUSG00000032215</v>
      </c>
      <c r="I2782" s="7" t="str">
        <f>HYPERLINK("http://www.informatics.jax.org/marker/MGI:2681840","MGI:2681840")</f>
        <v>MGI:2681840</v>
      </c>
      <c r="J2782" s="4" t="s">
        <v>12</v>
      </c>
    </row>
    <row r="2783" spans="1:10" x14ac:dyDescent="0.25">
      <c r="A2783" s="2">
        <v>1369.36697764166</v>
      </c>
      <c r="B2783" s="3">
        <v>0.41209782749798202</v>
      </c>
      <c r="C2783" s="5">
        <v>4.6887210254532599E-12</v>
      </c>
      <c r="D2783" s="6">
        <v>3.0147237894339201E-11</v>
      </c>
      <c r="E2783" s="3" t="s">
        <v>6151</v>
      </c>
      <c r="F2783" s="3" t="s">
        <v>6152</v>
      </c>
      <c r="G2783" s="3">
        <v>73174</v>
      </c>
      <c r="H2783" s="7" t="str">
        <f>HYPERLINK("http://www.ensembl.org/Mus_musculus/Gene/Summary?db=core;g=ENSMUSG00000038517","ENSMUSG00000038517")</f>
        <v>ENSMUSG00000038517</v>
      </c>
      <c r="I2783" s="7" t="str">
        <f>HYPERLINK("http://www.informatics.jax.org/marker/MGI:1920424","MGI:1920424")</f>
        <v>MGI:1920424</v>
      </c>
      <c r="J2783" s="4" t="s">
        <v>12</v>
      </c>
    </row>
    <row r="2784" spans="1:10" x14ac:dyDescent="0.25">
      <c r="A2784" s="2">
        <v>1139.9539393617899</v>
      </c>
      <c r="B2784" s="3">
        <v>0.411921740153256</v>
      </c>
      <c r="C2784" s="5">
        <v>2.2187445863691801E-8</v>
      </c>
      <c r="D2784" s="6">
        <v>1.0653431517701499E-7</v>
      </c>
      <c r="E2784" s="3" t="s">
        <v>8231</v>
      </c>
      <c r="F2784" s="3" t="s">
        <v>8232</v>
      </c>
      <c r="G2784" s="3">
        <v>108160</v>
      </c>
      <c r="H2784" s="7" t="str">
        <f>HYPERLINK("http://www.ensembl.org/Mus_musculus/Gene/Summary?db=core;g=ENSMUSG00000001962","ENSMUSG00000001962")</f>
        <v>ENSMUSG00000001962</v>
      </c>
      <c r="I2784" s="7" t="str">
        <f>HYPERLINK("http://www.informatics.jax.org/marker/MGI:1351626","MGI:1351626")</f>
        <v>MGI:1351626</v>
      </c>
      <c r="J2784" s="4" t="s">
        <v>12</v>
      </c>
    </row>
    <row r="2785" spans="1:10" x14ac:dyDescent="0.25">
      <c r="A2785" s="2">
        <v>1726.28820580102</v>
      </c>
      <c r="B2785" s="3">
        <v>0.41170140473620898</v>
      </c>
      <c r="C2785" s="5">
        <v>1.2917115304207201E-14</v>
      </c>
      <c r="D2785" s="6">
        <v>9.7260600915985398E-14</v>
      </c>
      <c r="E2785" s="3" t="s">
        <v>5255</v>
      </c>
      <c r="F2785" s="3" t="s">
        <v>5256</v>
      </c>
      <c r="G2785" s="3">
        <v>66413</v>
      </c>
      <c r="H2785" s="7" t="str">
        <f>HYPERLINK("http://www.ensembl.org/Mus_musculus/Gene/Summary?db=core;g=ENSMUSG00000021737","ENSMUSG00000021737")</f>
        <v>ENSMUSG00000021737</v>
      </c>
      <c r="I2785" s="7" t="str">
        <f>HYPERLINK("http://www.informatics.jax.org/marker/MGI:1913663","MGI:1913663")</f>
        <v>MGI:1913663</v>
      </c>
      <c r="J2785" s="4" t="s">
        <v>12</v>
      </c>
    </row>
    <row r="2786" spans="1:10" x14ac:dyDescent="0.25">
      <c r="A2786" s="2">
        <v>2129.79285668376</v>
      </c>
      <c r="B2786" s="3">
        <v>0.41169871993778401</v>
      </c>
      <c r="C2786" s="5">
        <v>3.02670742595002E-10</v>
      </c>
      <c r="D2786" s="6">
        <v>1.6922787195841899E-9</v>
      </c>
      <c r="E2786" s="3" t="s">
        <v>7072</v>
      </c>
      <c r="F2786" s="3" t="s">
        <v>7073</v>
      </c>
      <c r="G2786" s="3">
        <v>68564</v>
      </c>
      <c r="H2786" s="7" t="str">
        <f>HYPERLINK("http://www.ensembl.org/Mus_musculus/Gene/Summary?db=core;g=ENSMUSG00000037857","ENSMUSG00000037857")</f>
        <v>ENSMUSG00000037857</v>
      </c>
      <c r="I2786" s="7" t="str">
        <f>HYPERLINK("http://www.informatics.jax.org/marker/MGI:1915814","MGI:1915814")</f>
        <v>MGI:1915814</v>
      </c>
      <c r="J2786" s="4" t="s">
        <v>12</v>
      </c>
    </row>
    <row r="2787" spans="1:10" x14ac:dyDescent="0.25">
      <c r="A2787" s="2">
        <v>108.89257212266099</v>
      </c>
      <c r="B2787" s="3">
        <v>0.41133897489861099</v>
      </c>
      <c r="C2787" s="3">
        <v>5.9294555745673001E-3</v>
      </c>
      <c r="D2787" s="4">
        <v>1.5440230282644501E-2</v>
      </c>
      <c r="E2787" s="3" t="s">
        <v>15150</v>
      </c>
      <c r="F2787" s="3" t="s">
        <v>15151</v>
      </c>
      <c r="G2787" s="3">
        <v>53978</v>
      </c>
      <c r="H2787" s="7" t="str">
        <f>HYPERLINK("http://www.ensembl.org/Mus_musculus/Gene/Summary?db=core;g=ENSMUSG00000031861","ENSMUSG00000031861")</f>
        <v>ENSMUSG00000031861</v>
      </c>
      <c r="I2787" s="7" t="str">
        <f>HYPERLINK("http://www.informatics.jax.org/marker/MGI:1858422","MGI:1858422")</f>
        <v>MGI:1858422</v>
      </c>
      <c r="J2787" s="4" t="s">
        <v>12</v>
      </c>
    </row>
    <row r="2788" spans="1:10" x14ac:dyDescent="0.25">
      <c r="A2788" s="2">
        <v>146.509777054978</v>
      </c>
      <c r="B2788" s="3">
        <v>0.41128197644590703</v>
      </c>
      <c r="C2788" s="3">
        <v>4.0246690288606203E-3</v>
      </c>
      <c r="D2788" s="4">
        <v>1.0836492797532999E-2</v>
      </c>
      <c r="E2788" s="3" t="s">
        <v>14651</v>
      </c>
      <c r="F2788" s="3" t="s">
        <v>14652</v>
      </c>
      <c r="G2788" s="3">
        <v>72169</v>
      </c>
      <c r="H2788" s="7" t="str">
        <f>HYPERLINK("http://www.ensembl.org/Mus_musculus/Gene/Summary?db=core;g=ENSMUSG00000032013","ENSMUSG00000032013")</f>
        <v>ENSMUSG00000032013</v>
      </c>
      <c r="I2788" s="7" t="str">
        <f>HYPERLINK("http://www.informatics.jax.org/marker/MGI:1919419","MGI:1919419")</f>
        <v>MGI:1919419</v>
      </c>
      <c r="J2788" s="4" t="s">
        <v>12</v>
      </c>
    </row>
    <row r="2789" spans="1:10" x14ac:dyDescent="0.25">
      <c r="A2789" s="2">
        <v>489.17580671990203</v>
      </c>
      <c r="B2789" s="3">
        <v>0.41118586560480402</v>
      </c>
      <c r="C2789" s="5">
        <v>6.5233110431393603E-8</v>
      </c>
      <c r="D2789" s="6">
        <v>2.99999285845868E-7</v>
      </c>
      <c r="E2789" s="3" t="s">
        <v>8593</v>
      </c>
      <c r="F2789" s="3" t="s">
        <v>8594</v>
      </c>
      <c r="G2789" s="3">
        <v>627049</v>
      </c>
      <c r="H2789" s="7" t="str">
        <f>HYPERLINK("http://www.ensembl.org/Mus_musculus/Gene/Summary?db=core;g=ENSMUSG00000039841","ENSMUSG00000039841")</f>
        <v>ENSMUSG00000039841</v>
      </c>
      <c r="I2789" s="7" t="str">
        <f>HYPERLINK("http://www.informatics.jax.org/marker/MGI:1889334","MGI:1889334")</f>
        <v>MGI:1889334</v>
      </c>
      <c r="J2789" s="4" t="s">
        <v>12</v>
      </c>
    </row>
    <row r="2790" spans="1:10" x14ac:dyDescent="0.25">
      <c r="A2790" s="2">
        <v>418.77158862326797</v>
      </c>
      <c r="B2790" s="3">
        <v>0.41084103948881701</v>
      </c>
      <c r="C2790" s="5">
        <v>3.0583785056937898E-8</v>
      </c>
      <c r="D2790" s="6">
        <v>1.44983470725124E-7</v>
      </c>
      <c r="E2790" s="3" t="s">
        <v>8335</v>
      </c>
      <c r="F2790" s="3" t="s">
        <v>8336</v>
      </c>
      <c r="G2790" s="3">
        <v>68152</v>
      </c>
      <c r="H2790" s="7" t="str">
        <f>HYPERLINK("http://www.ensembl.org/Mus_musculus/Gene/Summary?db=core;g=ENSMUSG00000058503","ENSMUSG00000058503")</f>
        <v>ENSMUSG00000058503</v>
      </c>
      <c r="I2790" s="7" t="str">
        <f>HYPERLINK("http://www.informatics.jax.org/marker/MGI:1915402","MGI:1915402")</f>
        <v>MGI:1915402</v>
      </c>
      <c r="J2790" s="4" t="s">
        <v>12</v>
      </c>
    </row>
    <row r="2791" spans="1:10" x14ac:dyDescent="0.25">
      <c r="A2791" s="2">
        <v>427.87091249877199</v>
      </c>
      <c r="B2791" s="3">
        <v>0.41077953734985201</v>
      </c>
      <c r="C2791" s="5">
        <v>1.8564792318545299E-8</v>
      </c>
      <c r="D2791" s="6">
        <v>8.9795855904271102E-8</v>
      </c>
      <c r="E2791" s="3" t="s">
        <v>8171</v>
      </c>
      <c r="F2791" s="3" t="s">
        <v>8172</v>
      </c>
      <c r="G2791" s="3">
        <v>72656</v>
      </c>
      <c r="H2791" s="7" t="str">
        <f>HYPERLINK("http://www.ensembl.org/Mus_musculus/Gene/Summary?db=core;g=ENSMUSG00000040738","ENSMUSG00000040738")</f>
        <v>ENSMUSG00000040738</v>
      </c>
      <c r="I2791" s="7" t="str">
        <f>HYPERLINK("http://www.informatics.jax.org/marker/MGI:1919906","MGI:1919906")</f>
        <v>MGI:1919906</v>
      </c>
      <c r="J2791" s="4" t="s">
        <v>12</v>
      </c>
    </row>
    <row r="2792" spans="1:10" x14ac:dyDescent="0.25">
      <c r="A2792" s="2">
        <v>759.89937258720499</v>
      </c>
      <c r="B2792" s="3">
        <v>0.41056164542623602</v>
      </c>
      <c r="C2792" s="5">
        <v>6.8099166846022698E-6</v>
      </c>
      <c r="D2792" s="6">
        <v>2.59550748009967E-5</v>
      </c>
      <c r="E2792" s="3" t="s">
        <v>10362</v>
      </c>
      <c r="F2792" s="3" t="s">
        <v>10363</v>
      </c>
      <c r="G2792" s="3">
        <v>380753</v>
      </c>
      <c r="H2792" s="7" t="str">
        <f>HYPERLINK("http://www.ensembl.org/Mus_musculus/Gene/Summary?db=core;g=ENSMUSG00000020564","ENSMUSG00000020564")</f>
        <v>ENSMUSG00000020564</v>
      </c>
      <c r="I2792" s="7" t="str">
        <f>HYPERLINK("http://www.informatics.jax.org/marker/MGI:3584458","MGI:3584458")</f>
        <v>MGI:3584458</v>
      </c>
      <c r="J2792" s="4" t="s">
        <v>12</v>
      </c>
    </row>
    <row r="2793" spans="1:10" x14ac:dyDescent="0.25">
      <c r="A2793" s="2">
        <v>394.17842095889398</v>
      </c>
      <c r="B2793" s="3">
        <v>0.41035361959070299</v>
      </c>
      <c r="C2793" s="5">
        <v>2.09082094910346E-6</v>
      </c>
      <c r="D2793" s="6">
        <v>8.3888075516419493E-6</v>
      </c>
      <c r="E2793" s="3" t="s">
        <v>9845</v>
      </c>
      <c r="F2793" s="3" t="s">
        <v>9846</v>
      </c>
      <c r="G2793" s="3">
        <v>74097</v>
      </c>
      <c r="H2793" s="7" t="str">
        <f>HYPERLINK("http://www.ensembl.org/Mus_musculus/Gene/Summary?db=core;g=ENSMUSG00000029715","ENSMUSG00000029715")</f>
        <v>ENSMUSG00000029715</v>
      </c>
      <c r="I2793" s="7" t="str">
        <f>HYPERLINK("http://www.informatics.jax.org/marker/MGI:1921347","MGI:1921347")</f>
        <v>MGI:1921347</v>
      </c>
      <c r="J2793" s="4" t="s">
        <v>12</v>
      </c>
    </row>
    <row r="2794" spans="1:10" x14ac:dyDescent="0.25">
      <c r="A2794" s="2">
        <v>1068.55176851899</v>
      </c>
      <c r="B2794" s="3">
        <v>0.41013457057020097</v>
      </c>
      <c r="C2794" s="5">
        <v>1.8776996407569901E-14</v>
      </c>
      <c r="D2794" s="6">
        <v>1.4015229718292099E-13</v>
      </c>
      <c r="E2794" s="3" t="s">
        <v>5301</v>
      </c>
      <c r="F2794" s="3" t="s">
        <v>5302</v>
      </c>
      <c r="G2794" s="3">
        <v>66973</v>
      </c>
      <c r="H2794" s="7" t="str">
        <f>HYPERLINK("http://www.ensembl.org/Mus_musculus/Gene/Summary?db=core;g=ENSMUSG00000024436","ENSMUSG00000024436")</f>
        <v>ENSMUSG00000024436</v>
      </c>
      <c r="I2794" s="7" t="str">
        <f>HYPERLINK("http://www.informatics.jax.org/marker/MGI:1914223","MGI:1914223")</f>
        <v>MGI:1914223</v>
      </c>
      <c r="J2794" s="4" t="s">
        <v>12</v>
      </c>
    </row>
    <row r="2795" spans="1:10" x14ac:dyDescent="0.25">
      <c r="A2795" s="2">
        <v>313.39013499691799</v>
      </c>
      <c r="B2795" s="3">
        <v>0.40956030950949501</v>
      </c>
      <c r="C2795" s="5">
        <v>8.8662633610715305E-8</v>
      </c>
      <c r="D2795" s="6">
        <v>4.0360737183825201E-7</v>
      </c>
      <c r="E2795" s="3" t="s">
        <v>8681</v>
      </c>
      <c r="F2795" s="3" t="s">
        <v>8682</v>
      </c>
      <c r="G2795" s="3">
        <v>69185</v>
      </c>
      <c r="H2795" s="7" t="str">
        <f>HYPERLINK("http://www.ensembl.org/Mus_musculus/Gene/Summary?db=core;g=ENSMUSG00000023330","ENSMUSG00000023330")</f>
        <v>ENSMUSG00000023330</v>
      </c>
      <c r="I2795" s="7" t="str">
        <f>HYPERLINK("http://www.informatics.jax.org/marker/MGI:1916435","MGI:1916435")</f>
        <v>MGI:1916435</v>
      </c>
      <c r="J2795" s="4" t="s">
        <v>12</v>
      </c>
    </row>
    <row r="2796" spans="1:10" x14ac:dyDescent="0.25">
      <c r="A2796" s="2">
        <v>876.41538866571</v>
      </c>
      <c r="B2796" s="3">
        <v>0.40953771490753998</v>
      </c>
      <c r="C2796" s="5">
        <v>1.9459558162141299E-17</v>
      </c>
      <c r="D2796" s="6">
        <v>1.7002325518716199E-16</v>
      </c>
      <c r="E2796" s="3" t="s">
        <v>4531</v>
      </c>
      <c r="F2796" s="3" t="s">
        <v>4532</v>
      </c>
      <c r="G2796" s="3">
        <v>74112</v>
      </c>
      <c r="H2796" s="7" t="str">
        <f>HYPERLINK("http://www.ensembl.org/Mus_musculus/Gene/Summary?db=core;g=ENSMUSG00000025616","ENSMUSG00000025616")</f>
        <v>ENSMUSG00000025616</v>
      </c>
      <c r="I2796" s="7" t="str">
        <f>HYPERLINK("http://www.informatics.jax.org/marker/MGI:1921362","MGI:1921362")</f>
        <v>MGI:1921362</v>
      </c>
      <c r="J2796" s="4" t="s">
        <v>12</v>
      </c>
    </row>
    <row r="2797" spans="1:10" x14ac:dyDescent="0.25">
      <c r="A2797" s="2">
        <v>512.47279087393304</v>
      </c>
      <c r="B2797" s="3">
        <v>0.409372744649381</v>
      </c>
      <c r="C2797" s="5">
        <v>9.4368405828710198E-5</v>
      </c>
      <c r="D2797" s="4">
        <v>3.1914679522246001E-4</v>
      </c>
      <c r="E2797" s="3" t="s">
        <v>11673</v>
      </c>
      <c r="F2797" s="3" t="s">
        <v>11674</v>
      </c>
      <c r="G2797" s="3">
        <v>56353</v>
      </c>
      <c r="H2797" s="7" t="str">
        <f>HYPERLINK("http://www.ensembl.org/Mus_musculus/Gene/Summary?db=core;g=ENSMUSG00000072872","ENSMUSG00000072872")</f>
        <v>ENSMUSG00000072872</v>
      </c>
      <c r="I2797" s="7" t="str">
        <f>HYPERLINK("http://www.informatics.jax.org/marker/MGI:1929059","MGI:1929059")</f>
        <v>MGI:1929059</v>
      </c>
      <c r="J2797" s="4" t="s">
        <v>12</v>
      </c>
    </row>
    <row r="2798" spans="1:10" x14ac:dyDescent="0.25">
      <c r="A2798" s="2">
        <v>2163.5469830052598</v>
      </c>
      <c r="B2798" s="3">
        <v>0.40893518507214199</v>
      </c>
      <c r="C2798" s="3">
        <v>2.0651678764648899E-2</v>
      </c>
      <c r="D2798" s="4">
        <v>4.8024894485716597E-2</v>
      </c>
      <c r="E2798" s="3" t="s">
        <v>16964</v>
      </c>
      <c r="F2798" s="3" t="s">
        <v>16965</v>
      </c>
      <c r="G2798" s="3">
        <v>27053</v>
      </c>
      <c r="H2798" s="7" t="str">
        <f>HYPERLINK("http://www.ensembl.org/Mus_musculus/Gene/Summary?db=core;g=ENSMUSG00000029752","ENSMUSG00000029752")</f>
        <v>ENSMUSG00000029752</v>
      </c>
      <c r="I2798" s="7" t="str">
        <f>HYPERLINK("http://www.informatics.jax.org/marker/MGI:1350929","MGI:1350929")</f>
        <v>MGI:1350929</v>
      </c>
      <c r="J2798" s="4" t="s">
        <v>12</v>
      </c>
    </row>
    <row r="2799" spans="1:10" x14ac:dyDescent="0.25">
      <c r="A2799" s="2">
        <v>1103.2505519162</v>
      </c>
      <c r="B2799" s="3">
        <v>0.40869962085224398</v>
      </c>
      <c r="C2799" s="5">
        <v>3.6149818280752301E-9</v>
      </c>
      <c r="D2799" s="6">
        <v>1.85547739848109E-8</v>
      </c>
      <c r="E2799" s="3" t="s">
        <v>7700</v>
      </c>
      <c r="F2799" s="3" t="s">
        <v>7701</v>
      </c>
      <c r="G2799" s="3">
        <v>107817</v>
      </c>
      <c r="H2799" s="7" t="str">
        <f>HYPERLINK("http://www.ensembl.org/Mus_musculus/Gene/Summary?db=core;g=ENSMUSG00000056962","ENSMUSG00000056962")</f>
        <v>ENSMUSG00000056962</v>
      </c>
      <c r="I2799" s="7" t="str">
        <f>HYPERLINK("http://www.informatics.jax.org/marker/MGI:1858910","MGI:1858910")</f>
        <v>MGI:1858910</v>
      </c>
      <c r="J2799" s="4" t="s">
        <v>12</v>
      </c>
    </row>
    <row r="2800" spans="1:10" x14ac:dyDescent="0.25">
      <c r="A2800" s="2">
        <v>2172.1774360566001</v>
      </c>
      <c r="B2800" s="3">
        <v>0.40866688600846002</v>
      </c>
      <c r="C2800" s="5">
        <v>1.30650839127626E-18</v>
      </c>
      <c r="D2800" s="6">
        <v>1.21702151516145E-17</v>
      </c>
      <c r="E2800" s="3" t="s">
        <v>4251</v>
      </c>
      <c r="F2800" s="3" t="s">
        <v>4252</v>
      </c>
      <c r="G2800" s="3">
        <v>110829</v>
      </c>
      <c r="H2800" s="7" t="str">
        <f>HYPERLINK("http://www.ensembl.org/Mus_musculus/Gene/Summary?db=core;g=ENSMUSG00000019920","ENSMUSG00000019920")</f>
        <v>ENSMUSG00000019920</v>
      </c>
      <c r="I2800" s="7" t="str">
        <f>HYPERLINK("http://www.informatics.jax.org/marker/MGI:1195263","MGI:1195263")</f>
        <v>MGI:1195263</v>
      </c>
      <c r="J2800" s="4" t="s">
        <v>12</v>
      </c>
    </row>
    <row r="2801" spans="1:10" x14ac:dyDescent="0.25">
      <c r="A2801" s="2">
        <v>51119.8532245928</v>
      </c>
      <c r="B2801" s="3">
        <v>0.40863901638034</v>
      </c>
      <c r="C2801" s="5">
        <v>4.73258709189583E-17</v>
      </c>
      <c r="D2801" s="6">
        <v>4.04011330961843E-16</v>
      </c>
      <c r="E2801" s="3" t="s">
        <v>4637</v>
      </c>
      <c r="F2801" s="3" t="s">
        <v>4638</v>
      </c>
      <c r="G2801" s="3">
        <v>17975</v>
      </c>
      <c r="H2801" s="7" t="str">
        <f>HYPERLINK("http://www.ensembl.org/Mus_musculus/Gene/Summary?db=core;g=ENSMUSG00000026234","ENSMUSG00000026234")</f>
        <v>ENSMUSG00000026234</v>
      </c>
      <c r="I2801" s="7" t="str">
        <f>HYPERLINK("http://www.informatics.jax.org/marker/MGI:97286","MGI:97286")</f>
        <v>MGI:97286</v>
      </c>
      <c r="J2801" s="4" t="s">
        <v>12</v>
      </c>
    </row>
    <row r="2802" spans="1:10" x14ac:dyDescent="0.25">
      <c r="A2802" s="2">
        <v>1639.3646220878099</v>
      </c>
      <c r="B2802" s="3">
        <v>0.40862392857075303</v>
      </c>
      <c r="C2802" s="5">
        <v>4.49279203370096E-13</v>
      </c>
      <c r="D2802" s="6">
        <v>3.0805931468909299E-12</v>
      </c>
      <c r="E2802" s="3" t="s">
        <v>5769</v>
      </c>
      <c r="F2802" s="3" t="s">
        <v>5770</v>
      </c>
      <c r="G2802" s="3">
        <v>108679</v>
      </c>
      <c r="H2802" s="7" t="str">
        <f>HYPERLINK("http://www.ensembl.org/Mus_musculus/Gene/Summary?db=core;g=ENSMUSG00000034432","ENSMUSG00000034432")</f>
        <v>ENSMUSG00000034432</v>
      </c>
      <c r="I2802" s="7" t="str">
        <f>HYPERLINK("http://www.informatics.jax.org/marker/MGI:1915363","MGI:1915363")</f>
        <v>MGI:1915363</v>
      </c>
      <c r="J2802" s="4" t="s">
        <v>12</v>
      </c>
    </row>
    <row r="2803" spans="1:10" x14ac:dyDescent="0.25">
      <c r="A2803" s="2">
        <v>293.04264826670698</v>
      </c>
      <c r="B2803" s="3">
        <v>0.40861301634247299</v>
      </c>
      <c r="C2803" s="5">
        <v>3.2325659365409697E-7</v>
      </c>
      <c r="D2803" s="6">
        <v>1.4065798823607201E-6</v>
      </c>
      <c r="E2803" s="3" t="s">
        <v>9079</v>
      </c>
      <c r="F2803" s="3" t="s">
        <v>9080</v>
      </c>
      <c r="G2803" s="3">
        <v>382985</v>
      </c>
      <c r="H2803" s="7" t="str">
        <f>HYPERLINK("http://www.ensembl.org/Mus_musculus/Gene/Summary?db=core;g=ENSMUSG00000022292","ENSMUSG00000022292")</f>
        <v>ENSMUSG00000022292</v>
      </c>
      <c r="I2803" s="7" t="str">
        <f>HYPERLINK("http://www.informatics.jax.org/marker/MGI:2155865","MGI:2155865")</f>
        <v>MGI:2155865</v>
      </c>
      <c r="J2803" s="4" t="s">
        <v>12</v>
      </c>
    </row>
    <row r="2804" spans="1:10" x14ac:dyDescent="0.25">
      <c r="A2804" s="2">
        <v>1294.61711242826</v>
      </c>
      <c r="B2804" s="3">
        <v>0.40794064536084301</v>
      </c>
      <c r="C2804" s="5">
        <v>3.5627658792293099E-20</v>
      </c>
      <c r="D2804" s="6">
        <v>3.5645734722679901E-19</v>
      </c>
      <c r="E2804" s="3" t="s">
        <v>3960</v>
      </c>
      <c r="F2804" s="3" t="s">
        <v>3961</v>
      </c>
      <c r="G2804" s="3">
        <v>319801</v>
      </c>
      <c r="H2804" s="7" t="str">
        <f>HYPERLINK("http://www.ensembl.org/Mus_musculus/Gene/Summary?db=core;g=ENSMUSG00000038028","ENSMUSG00000038028")</f>
        <v>ENSMUSG00000038028</v>
      </c>
      <c r="I2804" s="7" t="str">
        <f>HYPERLINK("http://www.informatics.jax.org/marker/MGI:2442752","MGI:2442752")</f>
        <v>MGI:2442752</v>
      </c>
      <c r="J2804" s="4" t="s">
        <v>12</v>
      </c>
    </row>
    <row r="2805" spans="1:10" x14ac:dyDescent="0.25">
      <c r="A2805" s="2">
        <v>7859.22603141937</v>
      </c>
      <c r="B2805" s="3">
        <v>0.40784559570018503</v>
      </c>
      <c r="C2805" s="5">
        <v>1.8299737607268199E-29</v>
      </c>
      <c r="D2805" s="6">
        <v>2.64762161126433E-28</v>
      </c>
      <c r="E2805" s="3" t="s">
        <v>2744</v>
      </c>
      <c r="F2805" s="3" t="s">
        <v>2745</v>
      </c>
      <c r="G2805" s="3">
        <v>12461</v>
      </c>
      <c r="H2805" s="7" t="str">
        <f>HYPERLINK("http://www.ensembl.org/Mus_musculus/Gene/Summary?db=core;g=ENSMUSG00000034024","ENSMUSG00000034024")</f>
        <v>ENSMUSG00000034024</v>
      </c>
      <c r="I2805" s="7" t="str">
        <f>HYPERLINK("http://www.informatics.jax.org/marker/MGI:107186","MGI:107186")</f>
        <v>MGI:107186</v>
      </c>
      <c r="J2805" s="4" t="s">
        <v>12</v>
      </c>
    </row>
    <row r="2806" spans="1:10" x14ac:dyDescent="0.25">
      <c r="A2806" s="2">
        <v>228.35100361344001</v>
      </c>
      <c r="B2806" s="3">
        <v>0.40774815057368502</v>
      </c>
      <c r="C2806" s="5">
        <v>5.16854057778773E-5</v>
      </c>
      <c r="D2806" s="4">
        <v>1.7982290083622799E-4</v>
      </c>
      <c r="E2806" s="3" t="s">
        <v>11347</v>
      </c>
      <c r="F2806" s="3" t="s">
        <v>11348</v>
      </c>
      <c r="G2806" s="3">
        <v>100073351</v>
      </c>
      <c r="H2806" s="7" t="str">
        <f>HYPERLINK("http://www.ensembl.org/Mus_musculus/Gene/Summary?db=core;g=ENSMUSG00000091736","ENSMUSG00000091736")</f>
        <v>ENSMUSG00000091736</v>
      </c>
      <c r="I2806" s="7" t="str">
        <f>HYPERLINK("http://www.informatics.jax.org/marker/MGI:3837947","MGI:3837947")</f>
        <v>MGI:3837947</v>
      </c>
      <c r="J2806" s="4" t="s">
        <v>12</v>
      </c>
    </row>
    <row r="2807" spans="1:10" x14ac:dyDescent="0.25">
      <c r="A2807" s="2">
        <v>491.70421373437898</v>
      </c>
      <c r="B2807" s="3">
        <v>0.407576396999274</v>
      </c>
      <c r="C2807" s="5">
        <v>6.6682574925851998E-11</v>
      </c>
      <c r="D2807" s="6">
        <v>3.9229724866879501E-10</v>
      </c>
      <c r="E2807" s="3" t="s">
        <v>6722</v>
      </c>
      <c r="F2807" s="3" t="s">
        <v>6723</v>
      </c>
      <c r="G2807" s="3">
        <v>97863</v>
      </c>
      <c r="H2807" s="7" t="str">
        <f>HYPERLINK("http://www.ensembl.org/Mus_musculus/Gene/Summary?db=core;g=ENSMUSG00000069237","ENSMUSG00000069237")</f>
        <v>ENSMUSG00000069237</v>
      </c>
      <c r="I2807" s="7" t="str">
        <f>HYPERLINK("http://www.informatics.jax.org/marker/MGI:2145496","MGI:2145496")</f>
        <v>MGI:2145496</v>
      </c>
      <c r="J2807" s="4" t="s">
        <v>12</v>
      </c>
    </row>
    <row r="2808" spans="1:10" x14ac:dyDescent="0.25">
      <c r="A2808" s="2">
        <v>1672.3125442253199</v>
      </c>
      <c r="B2808" s="3">
        <v>0.40739461986875702</v>
      </c>
      <c r="C2808" s="5">
        <v>5.544273901489E-13</v>
      </c>
      <c r="D2808" s="6">
        <v>3.7688066645075101E-12</v>
      </c>
      <c r="E2808" s="3" t="s">
        <v>5819</v>
      </c>
      <c r="F2808" s="3" t="s">
        <v>5820</v>
      </c>
      <c r="G2808" s="3">
        <v>268470</v>
      </c>
      <c r="H2808" s="7" t="str">
        <f>HYPERLINK("http://www.ensembl.org/Mus_musculus/Gene/Summary?db=core;g=ENSMUSG00000014349","ENSMUSG00000014349")</f>
        <v>ENSMUSG00000014349</v>
      </c>
      <c r="I2808" s="7" t="str">
        <f>HYPERLINK("http://www.informatics.jax.org/marker/MGI:1343160","MGI:1343160")</f>
        <v>MGI:1343160</v>
      </c>
      <c r="J2808" s="4" t="s">
        <v>12</v>
      </c>
    </row>
    <row r="2809" spans="1:10" x14ac:dyDescent="0.25">
      <c r="A2809" s="2">
        <v>903.01844352457601</v>
      </c>
      <c r="B2809" s="3">
        <v>0.40729362295179</v>
      </c>
      <c r="C2809" s="5">
        <v>3.22768471861689E-10</v>
      </c>
      <c r="D2809" s="6">
        <v>1.80107364604202E-9</v>
      </c>
      <c r="E2809" s="3" t="s">
        <v>7086</v>
      </c>
      <c r="F2809" s="3" t="s">
        <v>7087</v>
      </c>
      <c r="G2809" s="3">
        <v>27096</v>
      </c>
      <c r="H2809" s="7" t="str">
        <f>HYPERLINK("http://www.ensembl.org/Mus_musculus/Gene/Summary?db=core;g=ENSMUSG00000028847","ENSMUSG00000028847")</f>
        <v>ENSMUSG00000028847</v>
      </c>
      <c r="I2809" s="7" t="str">
        <f>HYPERLINK("http://www.informatics.jax.org/marker/MGI:1351486","MGI:1351486")</f>
        <v>MGI:1351486</v>
      </c>
      <c r="J2809" s="4" t="s">
        <v>12</v>
      </c>
    </row>
    <row r="2810" spans="1:10" x14ac:dyDescent="0.25">
      <c r="A2810" s="2">
        <v>1197.69181118047</v>
      </c>
      <c r="B2810" s="3">
        <v>0.40714009610587898</v>
      </c>
      <c r="C2810" s="5">
        <v>1.8956239222511801E-9</v>
      </c>
      <c r="D2810" s="6">
        <v>9.9498812208659105E-9</v>
      </c>
      <c r="E2810" s="3" t="s">
        <v>7532</v>
      </c>
      <c r="F2810" s="3" t="s">
        <v>7533</v>
      </c>
      <c r="G2810" s="3">
        <v>17776</v>
      </c>
      <c r="H2810" s="7" t="str">
        <f>HYPERLINK("http://www.ensembl.org/Mus_musculus/Gene/Summary?db=core;g=ENSMUSG00000003810","ENSMUSG00000003810")</f>
        <v>ENSMUSG00000003810</v>
      </c>
      <c r="I2810" s="7" t="str">
        <f>HYPERLINK("http://www.informatics.jax.org/marker/MGI:894676","MGI:894676")</f>
        <v>MGI:894676</v>
      </c>
      <c r="J2810" s="4" t="s">
        <v>12</v>
      </c>
    </row>
    <row r="2811" spans="1:10" x14ac:dyDescent="0.25">
      <c r="A2811" s="2">
        <v>1138.9572941234901</v>
      </c>
      <c r="B2811" s="3">
        <v>0.40701803300573602</v>
      </c>
      <c r="C2811" s="5">
        <v>5.8414594801843795E-14</v>
      </c>
      <c r="D2811" s="6">
        <v>4.2164561108797898E-13</v>
      </c>
      <c r="E2811" s="3" t="s">
        <v>5481</v>
      </c>
      <c r="F2811" s="3" t="s">
        <v>5482</v>
      </c>
      <c r="G2811" s="3">
        <v>67095</v>
      </c>
      <c r="H2811" s="7" t="str">
        <f>HYPERLINK("http://www.ensembl.org/Mus_musculus/Gene/Summary?db=core;g=ENSMUSG00000032536","ENSMUSG00000032536")</f>
        <v>ENSMUSG00000032536</v>
      </c>
      <c r="I2811" s="7" t="str">
        <f>HYPERLINK("http://www.informatics.jax.org/marker/MGI:1914345","MGI:1914345")</f>
        <v>MGI:1914345</v>
      </c>
      <c r="J2811" s="4" t="s">
        <v>12</v>
      </c>
    </row>
    <row r="2812" spans="1:10" x14ac:dyDescent="0.25">
      <c r="A2812" s="2">
        <v>2642.6976378089798</v>
      </c>
      <c r="B2812" s="3">
        <v>0.40654095062012502</v>
      </c>
      <c r="C2812" s="5">
        <v>6.7912758844401095E-11</v>
      </c>
      <c r="D2812" s="6">
        <v>3.98939411501814E-10</v>
      </c>
      <c r="E2812" s="3" t="s">
        <v>6732</v>
      </c>
      <c r="F2812" s="3" t="s">
        <v>6733</v>
      </c>
      <c r="G2812" s="3">
        <v>19172</v>
      </c>
      <c r="H2812" s="7" t="str">
        <f>HYPERLINK("http://www.ensembl.org/Mus_musculus/Gene/Summary?db=core;g=ENSMUSG00000005779","ENSMUSG00000005779")</f>
        <v>ENSMUSG00000005779</v>
      </c>
      <c r="I2812" s="7" t="str">
        <f>HYPERLINK("http://www.informatics.jax.org/marker/MGI:1098257","MGI:1098257")</f>
        <v>MGI:1098257</v>
      </c>
      <c r="J2812" s="4" t="s">
        <v>12</v>
      </c>
    </row>
    <row r="2813" spans="1:10" x14ac:dyDescent="0.25">
      <c r="A2813" s="2">
        <v>1142.6695653499901</v>
      </c>
      <c r="B2813" s="3">
        <v>0.40639333266733701</v>
      </c>
      <c r="C2813" s="5">
        <v>6.2670156261904204E-10</v>
      </c>
      <c r="D2813" s="6">
        <v>3.40831627546815E-9</v>
      </c>
      <c r="E2813" s="3" t="s">
        <v>7270</v>
      </c>
      <c r="F2813" s="3" t="s">
        <v>7271</v>
      </c>
      <c r="G2813" s="3">
        <v>103466</v>
      </c>
      <c r="H2813" s="7" t="str">
        <f>HYPERLINK("http://www.ensembl.org/Mus_musculus/Gene/Summary?db=core;g=ENSMUSG00000054027","ENSMUSG00000054027")</f>
        <v>ENSMUSG00000054027</v>
      </c>
      <c r="I2813" s="7" t="str">
        <f>HYPERLINK("http://www.informatics.jax.org/marker/MGI:3513266","MGI:3513266")</f>
        <v>MGI:3513266</v>
      </c>
      <c r="J2813" s="4" t="s">
        <v>12</v>
      </c>
    </row>
    <row r="2814" spans="1:10" x14ac:dyDescent="0.25">
      <c r="A2814" s="2">
        <v>9135.1122311676008</v>
      </c>
      <c r="B2814" s="3">
        <v>0.40616327306883798</v>
      </c>
      <c r="C2814" s="3">
        <v>1.32176047340161E-3</v>
      </c>
      <c r="D2814" s="4">
        <v>3.8302889839059002E-3</v>
      </c>
      <c r="E2814" s="3" t="s">
        <v>13619</v>
      </c>
      <c r="F2814" s="3" t="s">
        <v>13620</v>
      </c>
      <c r="G2814" s="3">
        <v>16854</v>
      </c>
      <c r="H2814" s="7" t="str">
        <f>HYPERLINK("http://www.ensembl.org/Mus_musculus/Gene/Summary?db=core;g=ENSMUSG00000050335","ENSMUSG00000050335")</f>
        <v>ENSMUSG00000050335</v>
      </c>
      <c r="I2814" s="7" t="str">
        <f>HYPERLINK("http://www.informatics.jax.org/marker/MGI:96778","MGI:96778")</f>
        <v>MGI:96778</v>
      </c>
      <c r="J2814" s="4" t="s">
        <v>12</v>
      </c>
    </row>
    <row r="2815" spans="1:10" x14ac:dyDescent="0.25">
      <c r="A2815" s="2">
        <v>2105.7403001735202</v>
      </c>
      <c r="B2815" s="3">
        <v>0.40572197726993497</v>
      </c>
      <c r="C2815" s="5">
        <v>1.7440041585877099E-17</v>
      </c>
      <c r="D2815" s="6">
        <v>1.52920240139394E-16</v>
      </c>
      <c r="E2815" s="3" t="s">
        <v>4515</v>
      </c>
      <c r="F2815" s="3" t="s">
        <v>4516</v>
      </c>
      <c r="G2815" s="3">
        <v>106298</v>
      </c>
      <c r="H2815" s="7" t="str">
        <f>HYPERLINK("http://www.ensembl.org/Mus_musculus/Gene/Summary?db=core;g=ENSMUSG00000022682","ENSMUSG00000022682")</f>
        <v>ENSMUSG00000022682</v>
      </c>
      <c r="I2815" s="7" t="str">
        <f>HYPERLINK("http://www.informatics.jax.org/marker/MGI:1925255","MGI:1925255")</f>
        <v>MGI:1925255</v>
      </c>
      <c r="J2815" s="4" t="s">
        <v>12</v>
      </c>
    </row>
    <row r="2816" spans="1:10" x14ac:dyDescent="0.25">
      <c r="A2816" s="2">
        <v>5914.2143421555302</v>
      </c>
      <c r="B2816" s="3">
        <v>0.405711912988583</v>
      </c>
      <c r="C2816" s="5">
        <v>7.5652123672410497E-10</v>
      </c>
      <c r="D2816" s="6">
        <v>4.0906495169178304E-9</v>
      </c>
      <c r="E2816" s="3" t="s">
        <v>7312</v>
      </c>
      <c r="F2816" s="3" t="s">
        <v>7313</v>
      </c>
      <c r="G2816" s="3">
        <v>19324</v>
      </c>
      <c r="H2816" s="7" t="str">
        <f>HYPERLINK("http://www.ensembl.org/Mus_musculus/Gene/Summary?db=core;g=ENSMUSG00000020149","ENSMUSG00000020149")</f>
        <v>ENSMUSG00000020149</v>
      </c>
      <c r="I2816" s="7" t="str">
        <f>HYPERLINK("http://www.informatics.jax.org/marker/MGI:97842","MGI:97842")</f>
        <v>MGI:97842</v>
      </c>
      <c r="J2816" s="4" t="s">
        <v>12</v>
      </c>
    </row>
    <row r="2817" spans="1:10" x14ac:dyDescent="0.25">
      <c r="A2817" s="2">
        <v>579.31769568611901</v>
      </c>
      <c r="B2817" s="3">
        <v>0.405648111461345</v>
      </c>
      <c r="C2817" s="5">
        <v>2.5073439473606802E-6</v>
      </c>
      <c r="D2817" s="6">
        <v>9.9779656523859408E-6</v>
      </c>
      <c r="E2817" s="3" t="s">
        <v>9927</v>
      </c>
      <c r="F2817" s="3" t="s">
        <v>9928</v>
      </c>
      <c r="G2817" s="3">
        <v>245860</v>
      </c>
      <c r="H2817" s="7" t="str">
        <f>HYPERLINK("http://www.ensembl.org/Mus_musculus/Gene/Summary?db=core;g=ENSMUSG00000033124","ENSMUSG00000033124")</f>
        <v>ENSMUSG00000033124</v>
      </c>
      <c r="I2817" s="7" t="str">
        <f>HYPERLINK("http://www.informatics.jax.org/marker/MGI:2138446","MGI:2138446")</f>
        <v>MGI:2138446</v>
      </c>
      <c r="J2817" s="4" t="s">
        <v>12</v>
      </c>
    </row>
    <row r="2818" spans="1:10" x14ac:dyDescent="0.25">
      <c r="A2818" s="2">
        <v>1202.81532093278</v>
      </c>
      <c r="B2818" s="3">
        <v>0.40556191265596497</v>
      </c>
      <c r="C2818" s="5">
        <v>9.2408655341300093E-15</v>
      </c>
      <c r="D2818" s="6">
        <v>7.0223456005026494E-14</v>
      </c>
      <c r="E2818" s="3" t="s">
        <v>5207</v>
      </c>
      <c r="F2818" s="3" t="s">
        <v>5208</v>
      </c>
      <c r="G2818" s="3">
        <v>67973</v>
      </c>
      <c r="H2818" s="7" t="str">
        <f>HYPERLINK("http://www.ensembl.org/Mus_musculus/Gene/Summary?db=core;g=ENSMUSG00000030521","ENSMUSG00000030521")</f>
        <v>ENSMUSG00000030521</v>
      </c>
      <c r="I2818" s="7" t="str">
        <f>HYPERLINK("http://www.informatics.jax.org/marker/MGI:1915223","MGI:1915223")</f>
        <v>MGI:1915223</v>
      </c>
      <c r="J2818" s="4" t="s">
        <v>12</v>
      </c>
    </row>
    <row r="2819" spans="1:10" x14ac:dyDescent="0.25">
      <c r="A2819" s="2">
        <v>214.264223645849</v>
      </c>
      <c r="B2819" s="3">
        <v>0.40554177935307001</v>
      </c>
      <c r="C2819" s="3">
        <v>1.4306031332491899E-4</v>
      </c>
      <c r="D2819" s="4">
        <v>4.7310906905373299E-4</v>
      </c>
      <c r="E2819" s="3" t="s">
        <v>11937</v>
      </c>
      <c r="F2819" s="3" t="s">
        <v>11938</v>
      </c>
      <c r="G2819" s="3" t="s">
        <v>83</v>
      </c>
      <c r="H2819" s="7" t="str">
        <f>HYPERLINK("http://www.ensembl.org/Mus_musculus/Gene/Summary?db=core;g=ENSMUSG00000085436","ENSMUSG00000085436")</f>
        <v>ENSMUSG00000085436</v>
      </c>
      <c r="I2819" s="7" t="str">
        <f>HYPERLINK("http://www.informatics.jax.org/marker/MGI:3649775","MGI:3649775")</f>
        <v>MGI:3649775</v>
      </c>
      <c r="J2819" s="4" t="s">
        <v>932</v>
      </c>
    </row>
    <row r="2820" spans="1:10" x14ac:dyDescent="0.25">
      <c r="A2820" s="2">
        <v>142.70707565618901</v>
      </c>
      <c r="B2820" s="3">
        <v>0.405534064343547</v>
      </c>
      <c r="C2820" s="3">
        <v>1.3913007419435301E-3</v>
      </c>
      <c r="D2820" s="4">
        <v>4.0176844234223602E-3</v>
      </c>
      <c r="E2820" s="3" t="s">
        <v>13667</v>
      </c>
      <c r="F2820" s="3" t="s">
        <v>13668</v>
      </c>
      <c r="G2820" s="3">
        <v>26970</v>
      </c>
      <c r="H2820" s="7" t="str">
        <f>HYPERLINK("http://www.ensembl.org/Mus_musculus/Gene/Summary?db=core;g=ENSMUSG00000028751","ENSMUSG00000028751")</f>
        <v>ENSMUSG00000028751</v>
      </c>
      <c r="I2820" s="7" t="str">
        <f>HYPERLINK("http://www.informatics.jax.org/marker/MGI:1349660","MGI:1349660")</f>
        <v>MGI:1349660</v>
      </c>
      <c r="J2820" s="4" t="s">
        <v>12</v>
      </c>
    </row>
    <row r="2821" spans="1:10" x14ac:dyDescent="0.25">
      <c r="A2821" s="2">
        <v>155.72037776404699</v>
      </c>
      <c r="B2821" s="3">
        <v>0.40532861862317898</v>
      </c>
      <c r="C2821" s="5">
        <v>4.8292234671744999E-5</v>
      </c>
      <c r="D2821" s="4">
        <v>1.6840369013736701E-4</v>
      </c>
      <c r="E2821" s="3" t="s">
        <v>11321</v>
      </c>
      <c r="F2821" s="3" t="s">
        <v>11322</v>
      </c>
      <c r="G2821" s="3">
        <v>224585</v>
      </c>
      <c r="H2821" s="7" t="str">
        <f>HYPERLINK("http://www.ensembl.org/Mus_musculus/Gene/Summary?db=core;g=ENSMUSG00000067942","ENSMUSG00000067942")</f>
        <v>ENSMUSG00000067942</v>
      </c>
      <c r="I2821" s="7" t="str">
        <f>HYPERLINK("http://www.informatics.jax.org/marker/MGI:108187","MGI:108187")</f>
        <v>MGI:108187</v>
      </c>
      <c r="J2821" s="4" t="s">
        <v>12</v>
      </c>
    </row>
    <row r="2822" spans="1:10" x14ac:dyDescent="0.25">
      <c r="A2822" s="2">
        <v>126.580839537503</v>
      </c>
      <c r="B2822" s="3">
        <v>0.40530675740924599</v>
      </c>
      <c r="C2822" s="3">
        <v>1.13739085853051E-2</v>
      </c>
      <c r="D2822" s="4">
        <v>2.79528261842244E-2</v>
      </c>
      <c r="E2822" s="3" t="s">
        <v>16053</v>
      </c>
      <c r="F2822" s="3" t="s">
        <v>16054</v>
      </c>
      <c r="G2822" s="3" t="s">
        <v>83</v>
      </c>
      <c r="H2822" s="7" t="str">
        <f>HYPERLINK("http://www.ensembl.org/Mus_musculus/Gene/Summary?db=core;g=ENSMUSG00000098269","ENSMUSG00000098269")</f>
        <v>ENSMUSG00000098269</v>
      </c>
      <c r="I2822" s="7" t="str">
        <f>HYPERLINK("http://www.informatics.jax.org/marker/MGI:5530895","MGI:5530895")</f>
        <v>MGI:5530895</v>
      </c>
      <c r="J2822" s="4" t="s">
        <v>6715</v>
      </c>
    </row>
    <row r="2823" spans="1:10" x14ac:dyDescent="0.25">
      <c r="A2823" s="2">
        <v>602.124933267193</v>
      </c>
      <c r="B2823" s="3">
        <v>0.40506083279153399</v>
      </c>
      <c r="C2823" s="5">
        <v>1.6456764412754699E-8</v>
      </c>
      <c r="D2823" s="6">
        <v>8.0011684965365694E-8</v>
      </c>
      <c r="E2823" s="3" t="s">
        <v>8129</v>
      </c>
      <c r="F2823" s="3" t="s">
        <v>8130</v>
      </c>
      <c r="G2823" s="3">
        <v>75616</v>
      </c>
      <c r="H2823" s="7" t="str">
        <f>HYPERLINK("http://www.ensembl.org/Mus_musculus/Gene/Summary?db=core;g=ENSMUSG00000071180","ENSMUSG00000071180")</f>
        <v>ENSMUSG00000071180</v>
      </c>
      <c r="I2823" s="7" t="str">
        <f>HYPERLINK("http://www.informatics.jax.org/marker/MGI:1922866","MGI:1922866")</f>
        <v>MGI:1922866</v>
      </c>
      <c r="J2823" s="4" t="s">
        <v>12</v>
      </c>
    </row>
    <row r="2824" spans="1:10" x14ac:dyDescent="0.25">
      <c r="A2824" s="2">
        <v>1340.69245663379</v>
      </c>
      <c r="B2824" s="3">
        <v>0.40500147842745698</v>
      </c>
      <c r="C2824" s="5">
        <v>2.6692645163839802E-9</v>
      </c>
      <c r="D2824" s="6">
        <v>1.38266078967933E-8</v>
      </c>
      <c r="E2824" s="3" t="s">
        <v>7632</v>
      </c>
      <c r="F2824" s="3" t="s">
        <v>7633</v>
      </c>
      <c r="G2824" s="3">
        <v>56444</v>
      </c>
      <c r="H2824" s="7" t="str">
        <f>HYPERLINK("http://www.ensembl.org/Mus_musculus/Gene/Summary?db=core;g=ENSMUSG00000021076","ENSMUSG00000021076")</f>
        <v>ENSMUSG00000021076</v>
      </c>
      <c r="I2824" s="7" t="str">
        <f>HYPERLINK("http://www.informatics.jax.org/marker/MGI:1891654","MGI:1891654")</f>
        <v>MGI:1891654</v>
      </c>
      <c r="J2824" s="4" t="s">
        <v>12</v>
      </c>
    </row>
    <row r="2825" spans="1:10" x14ac:dyDescent="0.25">
      <c r="A2825" s="2">
        <v>1309.10930519932</v>
      </c>
      <c r="B2825" s="3">
        <v>0.40477087301249998</v>
      </c>
      <c r="C2825" s="5">
        <v>1.9913815952468999E-10</v>
      </c>
      <c r="D2825" s="6">
        <v>1.1303985336289301E-9</v>
      </c>
      <c r="E2825" s="3" t="s">
        <v>6966</v>
      </c>
      <c r="F2825" s="3" t="s">
        <v>6967</v>
      </c>
      <c r="G2825" s="3">
        <v>216825</v>
      </c>
      <c r="H2825" s="7" t="str">
        <f>HYPERLINK("http://www.ensembl.org/Mus_musculus/Gene/Summary?db=core;g=ENSMUSG00000042506","ENSMUSG00000042506")</f>
        <v>ENSMUSG00000042506</v>
      </c>
      <c r="I2825" s="7" t="str">
        <f>HYPERLINK("http://www.informatics.jax.org/marker/MGI:2144157","MGI:2144157")</f>
        <v>MGI:2144157</v>
      </c>
      <c r="J2825" s="4" t="s">
        <v>12</v>
      </c>
    </row>
    <row r="2826" spans="1:10" x14ac:dyDescent="0.25">
      <c r="A2826" s="2">
        <v>80.867711925962297</v>
      </c>
      <c r="B2826" s="3">
        <v>0.40461534354954798</v>
      </c>
      <c r="C2826" s="3">
        <v>4.4231204809877496E-3</v>
      </c>
      <c r="D2826" s="4">
        <v>1.1806163492836801E-2</v>
      </c>
      <c r="E2826" s="3" t="s">
        <v>14780</v>
      </c>
      <c r="F2826" s="3" t="s">
        <v>14781</v>
      </c>
      <c r="G2826" s="3" t="s">
        <v>83</v>
      </c>
      <c r="H2826" s="7" t="str">
        <f>HYPERLINK("http://www.ensembl.org/Mus_musculus/Gene/Summary?db=core;g=ENSMUSG00000086922","ENSMUSG00000086922")</f>
        <v>ENSMUSG00000086922</v>
      </c>
      <c r="I2826" s="7" t="str">
        <f>HYPERLINK("http://www.informatics.jax.org/marker/MGI:3650921","MGI:3650921")</f>
        <v>MGI:3650921</v>
      </c>
      <c r="J2826" s="4" t="s">
        <v>1043</v>
      </c>
    </row>
    <row r="2827" spans="1:10" x14ac:dyDescent="0.25">
      <c r="A2827" s="2">
        <v>326.74755649486502</v>
      </c>
      <c r="B2827" s="3">
        <v>0.404524970109083</v>
      </c>
      <c r="C2827" s="3">
        <v>3.94256146527419E-4</v>
      </c>
      <c r="D2827" s="4">
        <v>1.2294949168190699E-3</v>
      </c>
      <c r="E2827" s="3" t="s">
        <v>12659</v>
      </c>
      <c r="F2827" s="3" t="s">
        <v>12660</v>
      </c>
      <c r="G2827" s="3">
        <v>246179</v>
      </c>
      <c r="H2827" s="7" t="str">
        <f>HYPERLINK("http://www.ensembl.org/Mus_musculus/Gene/Summary?db=core;g=ENSMUSG00000028414","ENSMUSG00000028414")</f>
        <v>ENSMUSG00000028414</v>
      </c>
      <c r="I2827" s="7" t="str">
        <f>HYPERLINK("http://www.informatics.jax.org/marker/MGI:2179507","MGI:2179507")</f>
        <v>MGI:2179507</v>
      </c>
      <c r="J2827" s="4" t="s">
        <v>12</v>
      </c>
    </row>
    <row r="2828" spans="1:10" x14ac:dyDescent="0.25">
      <c r="A2828" s="2">
        <v>1101.58999630778</v>
      </c>
      <c r="B2828" s="3">
        <v>0.40450364168933201</v>
      </c>
      <c r="C2828" s="5">
        <v>2.3460785080450901E-11</v>
      </c>
      <c r="D2828" s="6">
        <v>1.4301288463260999E-10</v>
      </c>
      <c r="E2828" s="3" t="s">
        <v>6487</v>
      </c>
      <c r="F2828" s="3" t="s">
        <v>6488</v>
      </c>
      <c r="G2828" s="3">
        <v>104015</v>
      </c>
      <c r="H2828" s="7" t="str">
        <f>HYPERLINK("http://www.ensembl.org/Mus_musculus/Gene/Summary?db=core;g=ENSMUSG00000022973","ENSMUSG00000022973")</f>
        <v>ENSMUSG00000022973</v>
      </c>
      <c r="I2828" s="7" t="str">
        <f>HYPERLINK("http://www.informatics.jax.org/marker/MGI:1354961","MGI:1354961")</f>
        <v>MGI:1354961</v>
      </c>
      <c r="J2828" s="4" t="s">
        <v>12</v>
      </c>
    </row>
    <row r="2829" spans="1:10" x14ac:dyDescent="0.25">
      <c r="A2829" s="2">
        <v>478.799781903221</v>
      </c>
      <c r="B2829" s="3">
        <v>0.40448168467151702</v>
      </c>
      <c r="C2829" s="5">
        <v>7.7131929647723005E-7</v>
      </c>
      <c r="D2829" s="6">
        <v>3.2259632081719998E-6</v>
      </c>
      <c r="E2829" s="3" t="s">
        <v>9445</v>
      </c>
      <c r="F2829" s="3" t="s">
        <v>9446</v>
      </c>
      <c r="G2829" s="3">
        <v>100126824</v>
      </c>
      <c r="H2829" s="7" t="str">
        <f>HYPERLINK("http://www.ensembl.org/Mus_musculus/Gene/Summary?db=core;g=ENSMUSG00000091780","ENSMUSG00000091780")</f>
        <v>ENSMUSG00000091780</v>
      </c>
      <c r="I2829" s="7" t="str">
        <f>HYPERLINK("http://www.informatics.jax.org/marker/MGI:3818630","MGI:3818630")</f>
        <v>MGI:3818630</v>
      </c>
      <c r="J2829" s="4" t="s">
        <v>12</v>
      </c>
    </row>
    <row r="2830" spans="1:10" x14ac:dyDescent="0.25">
      <c r="A2830" s="2">
        <v>5307.00626022298</v>
      </c>
      <c r="B2830" s="3">
        <v>0.40391305688035301</v>
      </c>
      <c r="C2830" s="5">
        <v>1.6992594465578499E-18</v>
      </c>
      <c r="D2830" s="6">
        <v>1.5739500369244101E-17</v>
      </c>
      <c r="E2830" s="3" t="s">
        <v>4275</v>
      </c>
      <c r="F2830" s="3" t="s">
        <v>4276</v>
      </c>
      <c r="G2830" s="3">
        <v>66409</v>
      </c>
      <c r="H2830" s="7" t="str">
        <f>HYPERLINK("http://www.ensembl.org/Mus_musculus/Gene/Summary?db=core;g=ENSMUSG00000005846","ENSMUSG00000005846")</f>
        <v>ENSMUSG00000005846</v>
      </c>
      <c r="I2830" s="7" t="str">
        <f>HYPERLINK("http://www.informatics.jax.org/marker/MGI:1913659","MGI:1913659")</f>
        <v>MGI:1913659</v>
      </c>
      <c r="J2830" s="4" t="s">
        <v>12</v>
      </c>
    </row>
    <row r="2831" spans="1:10" x14ac:dyDescent="0.25">
      <c r="A2831" s="2">
        <v>920.465168114466</v>
      </c>
      <c r="B2831" s="3">
        <v>0.40340233604660503</v>
      </c>
      <c r="C2831" s="5">
        <v>4.5688206408650901E-10</v>
      </c>
      <c r="D2831" s="6">
        <v>2.5096697225030498E-9</v>
      </c>
      <c r="E2831" s="3" t="s">
        <v>7198</v>
      </c>
      <c r="F2831" s="3" t="s">
        <v>7199</v>
      </c>
      <c r="G2831" s="3">
        <v>50868</v>
      </c>
      <c r="H2831" s="7" t="str">
        <f>HYPERLINK("http://www.ensembl.org/Mus_musculus/Gene/Summary?db=core;g=ENSMUSG00000003308","ENSMUSG00000003308")</f>
        <v>ENSMUSG00000003308</v>
      </c>
      <c r="I2831" s="7" t="str">
        <f>HYPERLINK("http://www.informatics.jax.org/marker/MGI:1858732","MGI:1858732")</f>
        <v>MGI:1858732</v>
      </c>
      <c r="J2831" s="4" t="s">
        <v>12</v>
      </c>
    </row>
    <row r="2832" spans="1:10" x14ac:dyDescent="0.25">
      <c r="A2832" s="2">
        <v>1754.33867281062</v>
      </c>
      <c r="B2832" s="3">
        <v>0.40315502617659899</v>
      </c>
      <c r="C2832" s="5">
        <v>3.3578499698945299E-10</v>
      </c>
      <c r="D2832" s="6">
        <v>1.8710596610997499E-9</v>
      </c>
      <c r="E2832" s="3" t="s">
        <v>7096</v>
      </c>
      <c r="F2832" s="3" t="s">
        <v>7097</v>
      </c>
      <c r="G2832" s="3">
        <v>72722</v>
      </c>
      <c r="H2832" s="7" t="str">
        <f>HYPERLINK("http://www.ensembl.org/Mus_musculus/Gene/Summary?db=core;g=ENSMUSG00000002017","ENSMUSG00000002017")</f>
        <v>ENSMUSG00000002017</v>
      </c>
      <c r="I2832" s="7" t="str">
        <f>HYPERLINK("http://www.informatics.jax.org/marker/MGI:1919972","MGI:1919972")</f>
        <v>MGI:1919972</v>
      </c>
      <c r="J2832" s="4" t="s">
        <v>12</v>
      </c>
    </row>
    <row r="2833" spans="1:10" x14ac:dyDescent="0.25">
      <c r="A2833" s="2">
        <v>1008.67725379826</v>
      </c>
      <c r="B2833" s="3">
        <v>0.40303612071827299</v>
      </c>
      <c r="C2833" s="3">
        <v>4.8798678582143602E-3</v>
      </c>
      <c r="D2833" s="4">
        <v>1.2927039576665101E-2</v>
      </c>
      <c r="E2833" s="3" t="s">
        <v>14892</v>
      </c>
      <c r="F2833" s="3" t="s">
        <v>14893</v>
      </c>
      <c r="G2833" s="3">
        <v>19240</v>
      </c>
      <c r="H2833" s="7" t="str">
        <f>HYPERLINK("http://www.ensembl.org/Mus_musculus/Gene/Summary?db=core;g=ENSMUSG00000079523","ENSMUSG00000079523")</f>
        <v>ENSMUSG00000079523</v>
      </c>
      <c r="I2833" s="7" t="str">
        <f>HYPERLINK("http://www.informatics.jax.org/marker/MGI:109146","MGI:109146")</f>
        <v>MGI:109146</v>
      </c>
      <c r="J2833" s="4" t="s">
        <v>12</v>
      </c>
    </row>
    <row r="2834" spans="1:10" x14ac:dyDescent="0.25">
      <c r="A2834" s="2">
        <v>328.14304738079801</v>
      </c>
      <c r="B2834" s="3">
        <v>0.40295910126599599</v>
      </c>
      <c r="C2834" s="3">
        <v>2.07360438644049E-4</v>
      </c>
      <c r="D2834" s="4">
        <v>6.7196234438463899E-4</v>
      </c>
      <c r="E2834" s="3" t="s">
        <v>12181</v>
      </c>
      <c r="F2834" s="3" t="s">
        <v>12182</v>
      </c>
      <c r="G2834" s="3">
        <v>72205</v>
      </c>
      <c r="H2834" s="7" t="str">
        <f>HYPERLINK("http://www.ensembl.org/Mus_musculus/Gene/Summary?db=core;g=ENSMUSG00000040811","ENSMUSG00000040811")</f>
        <v>ENSMUSG00000040811</v>
      </c>
      <c r="I2834" s="7" t="str">
        <f>HYPERLINK("http://www.informatics.jax.org/marker/MGI:1919455","MGI:1919455")</f>
        <v>MGI:1919455</v>
      </c>
      <c r="J2834" s="4" t="s">
        <v>12</v>
      </c>
    </row>
    <row r="2835" spans="1:10" x14ac:dyDescent="0.25">
      <c r="A2835" s="2">
        <v>6086.2715302243496</v>
      </c>
      <c r="B2835" s="3">
        <v>0.40294783180357002</v>
      </c>
      <c r="C2835" s="5">
        <v>1.3169140526757E-11</v>
      </c>
      <c r="D2835" s="6">
        <v>8.1562641704663305E-11</v>
      </c>
      <c r="E2835" s="3" t="s">
        <v>6385</v>
      </c>
      <c r="F2835" s="3" t="s">
        <v>6386</v>
      </c>
      <c r="G2835" s="3">
        <v>12464</v>
      </c>
      <c r="H2835" s="7" t="str">
        <f>HYPERLINK("http://www.ensembl.org/Mus_musculus/Gene/Summary?db=core;g=ENSMUSG00000007739","ENSMUSG00000007739")</f>
        <v>ENSMUSG00000007739</v>
      </c>
      <c r="I2835" s="7" t="str">
        <f>HYPERLINK("http://www.informatics.jax.org/marker/MGI:104689","MGI:104689")</f>
        <v>MGI:104689</v>
      </c>
      <c r="J2835" s="4" t="s">
        <v>12</v>
      </c>
    </row>
    <row r="2836" spans="1:10" x14ac:dyDescent="0.25">
      <c r="A2836" s="2">
        <v>813.69402926620603</v>
      </c>
      <c r="B2836" s="3">
        <v>0.402914061282032</v>
      </c>
      <c r="C2836" s="5">
        <v>4.00964461021182E-13</v>
      </c>
      <c r="D2836" s="6">
        <v>2.75794181072121E-12</v>
      </c>
      <c r="E2836" s="3" t="s">
        <v>5751</v>
      </c>
      <c r="F2836" s="3" t="s">
        <v>5752</v>
      </c>
      <c r="G2836" s="3">
        <v>78670</v>
      </c>
      <c r="H2836" s="7" t="str">
        <f>HYPERLINK("http://www.ensembl.org/Mus_musculus/Gene/Summary?db=core;g=ENSMUSG00000035278","ENSMUSG00000035278")</f>
        <v>ENSMUSG00000035278</v>
      </c>
      <c r="I2836" s="7" t="str">
        <f>HYPERLINK("http://www.informatics.jax.org/marker/MGI:1925920","MGI:1925920")</f>
        <v>MGI:1925920</v>
      </c>
      <c r="J2836" s="4" t="s">
        <v>12</v>
      </c>
    </row>
    <row r="2837" spans="1:10" x14ac:dyDescent="0.25">
      <c r="A2837" s="2">
        <v>447.46012287857297</v>
      </c>
      <c r="B2837" s="3">
        <v>0.40271354117939501</v>
      </c>
      <c r="C2837" s="3">
        <v>1.53905564252032E-3</v>
      </c>
      <c r="D2837" s="4">
        <v>4.4203578896738604E-3</v>
      </c>
      <c r="E2837" s="3" t="s">
        <v>13739</v>
      </c>
      <c r="F2837" s="3" t="s">
        <v>13740</v>
      </c>
      <c r="G2837" s="3">
        <v>12390</v>
      </c>
      <c r="H2837" s="7" t="str">
        <f>HYPERLINK("http://www.ensembl.org/Mus_musculus/Gene/Summary?db=core;g=ENSMUSG00000000058","ENSMUSG00000000058")</f>
        <v>ENSMUSG00000000058</v>
      </c>
      <c r="I2837" s="7" t="str">
        <f>HYPERLINK("http://www.informatics.jax.org/marker/MGI:107571","MGI:107571")</f>
        <v>MGI:107571</v>
      </c>
      <c r="J2837" s="4" t="s">
        <v>12</v>
      </c>
    </row>
    <row r="2838" spans="1:10" x14ac:dyDescent="0.25">
      <c r="A2838" s="2">
        <v>1519.76735194344</v>
      </c>
      <c r="B2838" s="3">
        <v>0.40254744175215701</v>
      </c>
      <c r="C2838" s="5">
        <v>9.7467891756985204E-8</v>
      </c>
      <c r="D2838" s="6">
        <v>4.42261119523182E-7</v>
      </c>
      <c r="E2838" s="3" t="s">
        <v>8709</v>
      </c>
      <c r="F2838" s="3" t="s">
        <v>8710</v>
      </c>
      <c r="G2838" s="3">
        <v>72344</v>
      </c>
      <c r="H2838" s="7" t="str">
        <f>HYPERLINK("http://www.ensembl.org/Mus_musculus/Gene/Summary?db=core;g=ENSMUSG00000033909","ENSMUSG00000033909")</f>
        <v>ENSMUSG00000033909</v>
      </c>
      <c r="I2838" s="7" t="str">
        <f>HYPERLINK("http://www.informatics.jax.org/marker/MGI:1919594","MGI:1919594")</f>
        <v>MGI:1919594</v>
      </c>
      <c r="J2838" s="4" t="s">
        <v>12</v>
      </c>
    </row>
    <row r="2839" spans="1:10" x14ac:dyDescent="0.25">
      <c r="A2839" s="2">
        <v>4166.41866931196</v>
      </c>
      <c r="B2839" s="3">
        <v>0.40245676180627898</v>
      </c>
      <c r="C2839" s="5">
        <v>2.2049327941407799E-11</v>
      </c>
      <c r="D2839" s="6">
        <v>1.34825657985911E-10</v>
      </c>
      <c r="E2839" s="3" t="s">
        <v>6467</v>
      </c>
      <c r="F2839" s="3" t="s">
        <v>6468</v>
      </c>
      <c r="G2839" s="3">
        <v>217578</v>
      </c>
      <c r="H2839" s="7" t="str">
        <f>HYPERLINK("http://www.ensembl.org/Mus_musculus/Gene/Summary?db=core;g=ENSMUSG00000035021","ENSMUSG00000035021")</f>
        <v>ENSMUSG00000035021</v>
      </c>
      <c r="I2839" s="7" t="str">
        <f>HYPERLINK("http://www.informatics.jax.org/marker/MGI:1309478","MGI:1309478")</f>
        <v>MGI:1309478</v>
      </c>
      <c r="J2839" s="4" t="s">
        <v>12</v>
      </c>
    </row>
    <row r="2840" spans="1:10" x14ac:dyDescent="0.25">
      <c r="A2840" s="2">
        <v>4755.08994109383</v>
      </c>
      <c r="B2840" s="3">
        <v>0.40235988327392103</v>
      </c>
      <c r="C2840" s="5">
        <v>3.9934977295838703E-24</v>
      </c>
      <c r="D2840" s="6">
        <v>4.7185006127857301E-23</v>
      </c>
      <c r="E2840" s="3" t="s">
        <v>3358</v>
      </c>
      <c r="F2840" s="3" t="s">
        <v>3359</v>
      </c>
      <c r="G2840" s="3">
        <v>15505</v>
      </c>
      <c r="H2840" s="7" t="str">
        <f>HYPERLINK("http://www.ensembl.org/Mus_musculus/Gene/Summary?db=core;g=ENSMUSG00000029657","ENSMUSG00000029657")</f>
        <v>ENSMUSG00000029657</v>
      </c>
      <c r="I2840" s="7" t="str">
        <f>HYPERLINK("http://www.informatics.jax.org/marker/MGI:105053","MGI:105053")</f>
        <v>MGI:105053</v>
      </c>
      <c r="J2840" s="4" t="s">
        <v>12</v>
      </c>
    </row>
    <row r="2841" spans="1:10" x14ac:dyDescent="0.25">
      <c r="A2841" s="2">
        <v>492.78692103716901</v>
      </c>
      <c r="B2841" s="3">
        <v>0.402293386486409</v>
      </c>
      <c r="C2841" s="5">
        <v>1.19946595819645E-8</v>
      </c>
      <c r="D2841" s="6">
        <v>5.9104119679245302E-8</v>
      </c>
      <c r="E2841" s="3" t="s">
        <v>8021</v>
      </c>
      <c r="F2841" s="3" t="s">
        <v>8022</v>
      </c>
      <c r="G2841" s="3">
        <v>234664</v>
      </c>
      <c r="H2841" s="7" t="str">
        <f>HYPERLINK("http://www.ensembl.org/Mus_musculus/Gene/Summary?db=core;g=ENSMUSG00000031878","ENSMUSG00000031878")</f>
        <v>ENSMUSG00000031878</v>
      </c>
      <c r="I2841" s="7" t="str">
        <f>HYPERLINK("http://www.informatics.jax.org/marker/MGI:2384561","MGI:2384561")</f>
        <v>MGI:2384561</v>
      </c>
      <c r="J2841" s="4" t="s">
        <v>12</v>
      </c>
    </row>
    <row r="2842" spans="1:10" x14ac:dyDescent="0.25">
      <c r="A2842" s="2">
        <v>676.49877618389303</v>
      </c>
      <c r="B2842" s="3">
        <v>0.40194339274737501</v>
      </c>
      <c r="C2842" s="5">
        <v>8.5490927019363504E-5</v>
      </c>
      <c r="D2842" s="4">
        <v>2.9021881232946299E-4</v>
      </c>
      <c r="E2842" s="3" t="s">
        <v>11629</v>
      </c>
      <c r="F2842" s="3" t="s">
        <v>11630</v>
      </c>
      <c r="G2842" s="3">
        <v>52850</v>
      </c>
      <c r="H2842" s="7" t="str">
        <f>HYPERLINK("http://www.ensembl.org/Mus_musculus/Gene/Summary?db=core;g=ENSMUSG00000042216","ENSMUSG00000042216")</f>
        <v>ENSMUSG00000042216</v>
      </c>
      <c r="I2842" s="7" t="str">
        <f>HYPERLINK("http://www.informatics.jax.org/marker/MGI:107320","MGI:107320")</f>
        <v>MGI:107320</v>
      </c>
      <c r="J2842" s="4" t="s">
        <v>12</v>
      </c>
    </row>
    <row r="2843" spans="1:10" x14ac:dyDescent="0.25">
      <c r="A2843" s="2">
        <v>4802.0854195872498</v>
      </c>
      <c r="B2843" s="3">
        <v>0.401604296053719</v>
      </c>
      <c r="C2843" s="5">
        <v>7.0309632806283404E-38</v>
      </c>
      <c r="D2843" s="6">
        <v>1.33574755196523E-36</v>
      </c>
      <c r="E2843" s="3" t="s">
        <v>2093</v>
      </c>
      <c r="F2843" s="3" t="s">
        <v>2094</v>
      </c>
      <c r="G2843" s="3">
        <v>13589</v>
      </c>
      <c r="H2843" s="7" t="str">
        <f>HYPERLINK("http://www.ensembl.org/Mus_musculus/Gene/Summary?db=core;g=ENSMUSG00000027479","ENSMUSG00000027479")</f>
        <v>ENSMUSG00000027479</v>
      </c>
      <c r="I2843" s="7" t="str">
        <f>HYPERLINK("http://www.informatics.jax.org/marker/MGI:891995","MGI:891995")</f>
        <v>MGI:891995</v>
      </c>
      <c r="J2843" s="4" t="s">
        <v>12</v>
      </c>
    </row>
    <row r="2844" spans="1:10" x14ac:dyDescent="0.25">
      <c r="A2844" s="2">
        <v>660.44498264592903</v>
      </c>
      <c r="B2844" s="3">
        <v>0.40149694404752501</v>
      </c>
      <c r="C2844" s="5">
        <v>3.4364199768561998E-7</v>
      </c>
      <c r="D2844" s="6">
        <v>1.4900220304222599E-6</v>
      </c>
      <c r="E2844" s="3" t="s">
        <v>9111</v>
      </c>
      <c r="F2844" s="3" t="s">
        <v>9112</v>
      </c>
      <c r="G2844" s="3">
        <v>238247</v>
      </c>
      <c r="H2844" s="7" t="str">
        <f>HYPERLINK("http://www.ensembl.org/Mus_musculus/Gene/Summary?db=core;g=ENSMUSG00000048118","ENSMUSG00000048118")</f>
        <v>ENSMUSG00000048118</v>
      </c>
      <c r="I2844" s="7" t="str">
        <f>HYPERLINK("http://www.informatics.jax.org/marker/MGI:2444354","MGI:2444354")</f>
        <v>MGI:2444354</v>
      </c>
      <c r="J2844" s="4" t="s">
        <v>12</v>
      </c>
    </row>
    <row r="2845" spans="1:10" x14ac:dyDescent="0.25">
      <c r="A2845" s="2">
        <v>622.93269785203699</v>
      </c>
      <c r="B2845" s="3">
        <v>0.40134737362828399</v>
      </c>
      <c r="C2845" s="5">
        <v>9.0591716372546197E-6</v>
      </c>
      <c r="D2845" s="6">
        <v>3.4086408068433697E-5</v>
      </c>
      <c r="E2845" s="3" t="s">
        <v>10496</v>
      </c>
      <c r="F2845" s="3" t="s">
        <v>10497</v>
      </c>
      <c r="G2845" s="3">
        <v>24127</v>
      </c>
      <c r="H2845" s="7" t="str">
        <f>HYPERLINK("http://www.ensembl.org/Mus_musculus/Gene/Summary?db=core;g=ENSMUSG00000032410","ENSMUSG00000032410")</f>
        <v>ENSMUSG00000032410</v>
      </c>
      <c r="I2845" s="7" t="str">
        <f>HYPERLINK("http://www.informatics.jax.org/marker/MGI:891964","MGI:891964")</f>
        <v>MGI:891964</v>
      </c>
      <c r="J2845" s="4" t="s">
        <v>12</v>
      </c>
    </row>
    <row r="2846" spans="1:10" x14ac:dyDescent="0.25">
      <c r="A2846" s="2">
        <v>4234.99762296266</v>
      </c>
      <c r="B2846" s="3">
        <v>0.40116769232321903</v>
      </c>
      <c r="C2846" s="5">
        <v>7.3564886595502502E-13</v>
      </c>
      <c r="D2846" s="6">
        <v>4.9732587029938597E-12</v>
      </c>
      <c r="E2846" s="3" t="s">
        <v>5851</v>
      </c>
      <c r="F2846" s="3" t="s">
        <v>5852</v>
      </c>
      <c r="G2846" s="3">
        <v>19177</v>
      </c>
      <c r="H2846" s="7" t="str">
        <f>HYPERLINK("http://www.ensembl.org/Mus_musculus/Gene/Summary?db=core;g=ENSMUSG00000026750","ENSMUSG00000026750")</f>
        <v>ENSMUSG00000026750</v>
      </c>
      <c r="I2846" s="7" t="str">
        <f>HYPERLINK("http://www.informatics.jax.org/marker/MGI:107637","MGI:107637")</f>
        <v>MGI:107637</v>
      </c>
      <c r="J2846" s="4" t="s">
        <v>12</v>
      </c>
    </row>
    <row r="2847" spans="1:10" x14ac:dyDescent="0.25">
      <c r="A2847" s="2">
        <v>1794.5463908077199</v>
      </c>
      <c r="B2847" s="3">
        <v>0.40102917666552501</v>
      </c>
      <c r="C2847" s="5">
        <v>1.13889636021079E-5</v>
      </c>
      <c r="D2847" s="6">
        <v>4.24315817558226E-5</v>
      </c>
      <c r="E2847" s="3" t="s">
        <v>10599</v>
      </c>
      <c r="F2847" s="3" t="s">
        <v>10600</v>
      </c>
      <c r="G2847" s="3">
        <v>209446</v>
      </c>
      <c r="H2847" s="7" t="str">
        <f>HYPERLINK("http://www.ensembl.org/Mus_musculus/Gene/Summary?db=core;g=ENSMUSG00000000134","ENSMUSG00000000134")</f>
        <v>ENSMUSG00000000134</v>
      </c>
      <c r="I2847" s="7" t="str">
        <f>HYPERLINK("http://www.informatics.jax.org/marker/MGI:98511","MGI:98511")</f>
        <v>MGI:98511</v>
      </c>
      <c r="J2847" s="4" t="s">
        <v>12</v>
      </c>
    </row>
    <row r="2848" spans="1:10" x14ac:dyDescent="0.25">
      <c r="A2848" s="2">
        <v>2199.7799179799699</v>
      </c>
      <c r="B2848" s="3">
        <v>0.40081738460375499</v>
      </c>
      <c r="C2848" s="5">
        <v>9.0528197645935801E-20</v>
      </c>
      <c r="D2848" s="6">
        <v>8.8772553832812304E-19</v>
      </c>
      <c r="E2848" s="3" t="s">
        <v>4041</v>
      </c>
      <c r="F2848" s="3" t="s">
        <v>4042</v>
      </c>
      <c r="G2848" s="3">
        <v>14359</v>
      </c>
      <c r="H2848" s="7" t="str">
        <f>HYPERLINK("http://www.ensembl.org/Mus_musculus/Gene/Summary?db=core;g=ENSMUSG00000027680","ENSMUSG00000027680")</f>
        <v>ENSMUSG00000027680</v>
      </c>
      <c r="I2848" s="7" t="str">
        <f>HYPERLINK("http://www.informatics.jax.org/marker/MGI:104860","MGI:104860")</f>
        <v>MGI:104860</v>
      </c>
      <c r="J2848" s="4" t="s">
        <v>12</v>
      </c>
    </row>
    <row r="2849" spans="1:10" x14ac:dyDescent="0.25">
      <c r="A2849" s="2">
        <v>2023.56577104291</v>
      </c>
      <c r="B2849" s="3">
        <v>0.40067983775951899</v>
      </c>
      <c r="C2849" s="5">
        <v>3.3298865923246698E-9</v>
      </c>
      <c r="D2849" s="6">
        <v>1.7136055219374399E-8</v>
      </c>
      <c r="E2849" s="3" t="s">
        <v>7680</v>
      </c>
      <c r="F2849" s="3" t="s">
        <v>7681</v>
      </c>
      <c r="G2849" s="3">
        <v>50932</v>
      </c>
      <c r="H2849" s="7" t="str">
        <f>HYPERLINK("http://www.ensembl.org/Mus_musculus/Gene/Summary?db=core;g=ENSMUSG00000020827","ENSMUSG00000020827")</f>
        <v>ENSMUSG00000020827</v>
      </c>
      <c r="I2849" s="7" t="str">
        <f>HYPERLINK("http://www.informatics.jax.org/marker/MGI:1355329","MGI:1355329")</f>
        <v>MGI:1355329</v>
      </c>
      <c r="J2849" s="4" t="s">
        <v>12</v>
      </c>
    </row>
    <row r="2850" spans="1:10" x14ac:dyDescent="0.25">
      <c r="A2850" s="2">
        <v>1338.55231465526</v>
      </c>
      <c r="B2850" s="3">
        <v>0.40063089317661699</v>
      </c>
      <c r="C2850" s="5">
        <v>3.34167230554161E-8</v>
      </c>
      <c r="D2850" s="6">
        <v>1.5768791066111699E-7</v>
      </c>
      <c r="E2850" s="3" t="s">
        <v>8375</v>
      </c>
      <c r="F2850" s="3" t="s">
        <v>8376</v>
      </c>
      <c r="G2850" s="3">
        <v>13026</v>
      </c>
      <c r="H2850" s="7" t="str">
        <f>HYPERLINK("http://www.ensembl.org/Mus_musculus/Gene/Summary?db=core;g=ENSMUSG00000005615","ENSMUSG00000005615")</f>
        <v>ENSMUSG00000005615</v>
      </c>
      <c r="I2850" s="7" t="str">
        <f>HYPERLINK("http://www.informatics.jax.org/marker/MGI:88557","MGI:88557")</f>
        <v>MGI:88557</v>
      </c>
      <c r="J2850" s="4" t="s">
        <v>12</v>
      </c>
    </row>
    <row r="2851" spans="1:10" x14ac:dyDescent="0.25">
      <c r="A2851" s="2">
        <v>1485.65779813886</v>
      </c>
      <c r="B2851" s="3">
        <v>0.40030978821628599</v>
      </c>
      <c r="C2851" s="5">
        <v>2.10810382923108E-13</v>
      </c>
      <c r="D2851" s="6">
        <v>1.4783715331592001E-12</v>
      </c>
      <c r="E2851" s="3" t="s">
        <v>5641</v>
      </c>
      <c r="F2851" s="3" t="s">
        <v>5642</v>
      </c>
      <c r="G2851" s="3">
        <v>12725</v>
      </c>
      <c r="H2851" s="7" t="str">
        <f>HYPERLINK("http://www.ensembl.org/Mus_musculus/Gene/Summary?db=core;g=ENSMUSG00000004319","ENSMUSG00000004319")</f>
        <v>ENSMUSG00000004319</v>
      </c>
      <c r="I2851" s="7" t="str">
        <f>HYPERLINK("http://www.informatics.jax.org/marker/MGI:103555","MGI:103555")</f>
        <v>MGI:103555</v>
      </c>
      <c r="J2851" s="4" t="s">
        <v>12</v>
      </c>
    </row>
    <row r="2852" spans="1:10" x14ac:dyDescent="0.25">
      <c r="A2852" s="2">
        <v>757.10788469417605</v>
      </c>
      <c r="B2852" s="3">
        <v>0.40030142426113502</v>
      </c>
      <c r="C2852" s="5">
        <v>4.06824517967366E-11</v>
      </c>
      <c r="D2852" s="6">
        <v>2.4384740104305298E-10</v>
      </c>
      <c r="E2852" s="3" t="s">
        <v>6597</v>
      </c>
      <c r="F2852" s="3" t="s">
        <v>6598</v>
      </c>
      <c r="G2852" s="3">
        <v>330817</v>
      </c>
      <c r="H2852" s="7" t="str">
        <f>HYPERLINK("http://www.ensembl.org/Mus_musculus/Gene/Summary?db=core;g=ENSMUSG00000060038","ENSMUSG00000060038")</f>
        <v>ENSMUSG00000060038</v>
      </c>
      <c r="I2852" s="7" t="str">
        <f>HYPERLINK("http://www.informatics.jax.org/marker/MGI:2683592","MGI:2683592")</f>
        <v>MGI:2683592</v>
      </c>
      <c r="J2852" s="4" t="s">
        <v>12</v>
      </c>
    </row>
    <row r="2853" spans="1:10" x14ac:dyDescent="0.25">
      <c r="A2853" s="2">
        <v>791.25782986151501</v>
      </c>
      <c r="B2853" s="3">
        <v>0.40002824613280202</v>
      </c>
      <c r="C2853" s="5">
        <v>3.9705825780835601E-8</v>
      </c>
      <c r="D2853" s="6">
        <v>1.8589717103468099E-7</v>
      </c>
      <c r="E2853" s="3" t="s">
        <v>8441</v>
      </c>
      <c r="F2853" s="3" t="s">
        <v>8442</v>
      </c>
      <c r="G2853" s="3">
        <v>20931</v>
      </c>
      <c r="H2853" s="7" t="str">
        <f>HYPERLINK("http://www.ensembl.org/Mus_musculus/Gene/Summary?db=core;g=ENSMUSG00000014873","ENSMUSG00000014873")</f>
        <v>ENSMUSG00000014873</v>
      </c>
      <c r="I2853" s="7" t="str">
        <f>HYPERLINK("http://www.informatics.jax.org/marker/MGI:98444","MGI:98444")</f>
        <v>MGI:98444</v>
      </c>
      <c r="J2853" s="4" t="s">
        <v>12</v>
      </c>
    </row>
    <row r="2854" spans="1:10" x14ac:dyDescent="0.25">
      <c r="A2854" s="2">
        <v>721.74713023209699</v>
      </c>
      <c r="B2854" s="3">
        <v>0.39983277972544201</v>
      </c>
      <c r="C2854" s="5">
        <v>3.5081955764949701E-13</v>
      </c>
      <c r="D2854" s="6">
        <v>2.42147766077987E-12</v>
      </c>
      <c r="E2854" s="3" t="s">
        <v>5731</v>
      </c>
      <c r="F2854" s="3" t="s">
        <v>5732</v>
      </c>
      <c r="G2854" s="3">
        <v>243983</v>
      </c>
      <c r="H2854" s="7" t="str">
        <f>HYPERLINK("http://www.ensembl.org/Mus_musculus/Gene/Summary?db=core;g=ENSMUSG00000030471","ENSMUSG00000030471")</f>
        <v>ENSMUSG00000030471</v>
      </c>
      <c r="I2854" s="7" t="str">
        <f>HYPERLINK("http://www.informatics.jax.org/marker/MGI:1919227","MGI:1919227")</f>
        <v>MGI:1919227</v>
      </c>
      <c r="J2854" s="4" t="s">
        <v>12</v>
      </c>
    </row>
    <row r="2855" spans="1:10" x14ac:dyDescent="0.25">
      <c r="A2855" s="2">
        <v>3139.88244362356</v>
      </c>
      <c r="B2855" s="3">
        <v>0.39948152803676701</v>
      </c>
      <c r="C2855" s="5">
        <v>4.0266113975138198E-9</v>
      </c>
      <c r="D2855" s="6">
        <v>2.06095391740366E-8</v>
      </c>
      <c r="E2855" s="3" t="s">
        <v>7720</v>
      </c>
      <c r="F2855" s="3" t="s">
        <v>7721</v>
      </c>
      <c r="G2855" s="3">
        <v>218335</v>
      </c>
      <c r="H2855" s="7" t="str">
        <f>HYPERLINK("http://www.ensembl.org/Mus_musculus/Gene/Summary?db=core;g=ENSMUSG00000021610","ENSMUSG00000021610")</f>
        <v>ENSMUSG00000021610</v>
      </c>
      <c r="I2855" s="7" t="str">
        <f>HYPERLINK("http://www.informatics.jax.org/marker/MGI:2442892","MGI:2442892")</f>
        <v>MGI:2442892</v>
      </c>
      <c r="J2855" s="4" t="s">
        <v>12</v>
      </c>
    </row>
    <row r="2856" spans="1:10" x14ac:dyDescent="0.25">
      <c r="A2856" s="2">
        <v>1347.2899408575299</v>
      </c>
      <c r="B2856" s="3">
        <v>0.39910128141004397</v>
      </c>
      <c r="C2856" s="5">
        <v>1.3228911399590899E-15</v>
      </c>
      <c r="D2856" s="6">
        <v>1.04895107679909E-14</v>
      </c>
      <c r="E2856" s="3" t="s">
        <v>4991</v>
      </c>
      <c r="F2856" s="3" t="s">
        <v>4992</v>
      </c>
      <c r="G2856" s="3">
        <v>14011</v>
      </c>
      <c r="H2856" s="7" t="str">
        <f>HYPERLINK("http://www.ensembl.org/Mus_musculus/Gene/Summary?db=core;g=ENSMUSG00000030199","ENSMUSG00000030199")</f>
        <v>ENSMUSG00000030199</v>
      </c>
      <c r="I2856" s="7" t="str">
        <f>HYPERLINK("http://www.informatics.jax.org/marker/MGI:109336","MGI:109336")</f>
        <v>MGI:109336</v>
      </c>
      <c r="J2856" s="4" t="s">
        <v>12</v>
      </c>
    </row>
    <row r="2857" spans="1:10" x14ac:dyDescent="0.25">
      <c r="A2857" s="2">
        <v>50.582650678196799</v>
      </c>
      <c r="B2857" s="3">
        <v>0.399083218045786</v>
      </c>
      <c r="C2857" s="3">
        <v>1.7765344932491899E-2</v>
      </c>
      <c r="D2857" s="4">
        <v>4.1950976178749898E-2</v>
      </c>
      <c r="E2857" s="3" t="s">
        <v>16706</v>
      </c>
      <c r="F2857" s="3" t="s">
        <v>16707</v>
      </c>
      <c r="G2857" s="3">
        <v>100503659</v>
      </c>
      <c r="H2857" s="7" t="str">
        <f>HYPERLINK("http://www.ensembl.org/Mus_musculus/Gene/Summary?db=core;g=ENSMUSG00000035640","ENSMUSG00000035640")</f>
        <v>ENSMUSG00000035640</v>
      </c>
      <c r="I2857" s="7" t="str">
        <f>HYPERLINK("http://www.informatics.jax.org/marker/MGI:1354170","MGI:1354170")</f>
        <v>MGI:1354170</v>
      </c>
      <c r="J2857" s="4" t="s">
        <v>12</v>
      </c>
    </row>
    <row r="2858" spans="1:10" x14ac:dyDescent="0.25">
      <c r="A2858" s="2">
        <v>537.08111860638701</v>
      </c>
      <c r="B2858" s="3">
        <v>0.39886095773276697</v>
      </c>
      <c r="C2858" s="5">
        <v>1.4975489251790801E-8</v>
      </c>
      <c r="D2858" s="6">
        <v>7.3080091077781304E-8</v>
      </c>
      <c r="E2858" s="3" t="s">
        <v>8099</v>
      </c>
      <c r="F2858" s="3" t="s">
        <v>8100</v>
      </c>
      <c r="G2858" s="3">
        <v>59030</v>
      </c>
      <c r="H2858" s="7" t="str">
        <f>HYPERLINK("http://www.ensembl.org/Mus_musculus/Gene/Summary?db=core;g=ENSMUSG00000027274","ENSMUSG00000027274")</f>
        <v>ENSMUSG00000027274</v>
      </c>
      <c r="I2858" s="7" t="str">
        <f>HYPERLINK("http://www.informatics.jax.org/marker/MGI:1891836","MGI:1891836")</f>
        <v>MGI:1891836</v>
      </c>
      <c r="J2858" s="4" t="s">
        <v>12</v>
      </c>
    </row>
    <row r="2859" spans="1:10" x14ac:dyDescent="0.25">
      <c r="A2859" s="2">
        <v>562.93680872430502</v>
      </c>
      <c r="B2859" s="3">
        <v>0.39883411199401902</v>
      </c>
      <c r="C2859" s="5">
        <v>6.3576783331015799E-11</v>
      </c>
      <c r="D2859" s="6">
        <v>3.7480842071379102E-10</v>
      </c>
      <c r="E2859" s="3" t="s">
        <v>6707</v>
      </c>
      <c r="F2859" s="3" t="s">
        <v>6708</v>
      </c>
      <c r="G2859" s="3">
        <v>53621</v>
      </c>
      <c r="H2859" s="7" t="str">
        <f>HYPERLINK("http://www.ensembl.org/Mus_musculus/Gene/Summary?db=core;g=ENSMUSG00000038784","ENSMUSG00000038784")</f>
        <v>ENSMUSG00000038784</v>
      </c>
      <c r="I2859" s="7" t="str">
        <f>HYPERLINK("http://www.informatics.jax.org/marker/MGI:1859026","MGI:1859026")</f>
        <v>MGI:1859026</v>
      </c>
      <c r="J2859" s="4" t="s">
        <v>12</v>
      </c>
    </row>
    <row r="2860" spans="1:10" x14ac:dyDescent="0.25">
      <c r="A2860" s="2">
        <v>1358.13485384809</v>
      </c>
      <c r="B2860" s="3">
        <v>0.39870525396719098</v>
      </c>
      <c r="C2860" s="5">
        <v>1.46400012738207E-9</v>
      </c>
      <c r="D2860" s="6">
        <v>7.7420441169145696E-9</v>
      </c>
      <c r="E2860" s="3" t="s">
        <v>7476</v>
      </c>
      <c r="F2860" s="3" t="s">
        <v>7477</v>
      </c>
      <c r="G2860" s="3">
        <v>66164</v>
      </c>
      <c r="H2860" s="7" t="str">
        <f>HYPERLINK("http://www.ensembl.org/Mus_musculus/Gene/Summary?db=core;g=ENSMUSG00000031917","ENSMUSG00000031917")</f>
        <v>ENSMUSG00000031917</v>
      </c>
      <c r="I2860" s="7" t="str">
        <f>HYPERLINK("http://www.informatics.jax.org/marker/MGI:1913414","MGI:1913414")</f>
        <v>MGI:1913414</v>
      </c>
      <c r="J2860" s="4" t="s">
        <v>12</v>
      </c>
    </row>
    <row r="2861" spans="1:10" x14ac:dyDescent="0.25">
      <c r="A2861" s="2">
        <v>259.17988006626598</v>
      </c>
      <c r="B2861" s="3">
        <v>0.39835018420406398</v>
      </c>
      <c r="C2861" s="5">
        <v>8.0670011250177303E-7</v>
      </c>
      <c r="D2861" s="6">
        <v>3.3667991996899399E-6</v>
      </c>
      <c r="E2861" s="3" t="s">
        <v>9465</v>
      </c>
      <c r="F2861" s="3" t="s">
        <v>9466</v>
      </c>
      <c r="G2861" s="3">
        <v>231430</v>
      </c>
      <c r="H2861" s="7" t="str">
        <f>HYPERLINK("http://www.ensembl.org/Mus_musculus/Gene/Summary?db=core;g=ENSMUSG00000035505","ENSMUSG00000035505")</f>
        <v>ENSMUSG00000035505</v>
      </c>
      <c r="I2861" s="7" t="str">
        <f>HYPERLINK("http://www.informatics.jax.org/marker/MGI:2448532","MGI:2448532")</f>
        <v>MGI:2448532</v>
      </c>
      <c r="J2861" s="4" t="s">
        <v>12</v>
      </c>
    </row>
    <row r="2862" spans="1:10" x14ac:dyDescent="0.25">
      <c r="A2862" s="2">
        <v>5513.2119214262502</v>
      </c>
      <c r="B2862" s="3">
        <v>0.39812282520480202</v>
      </c>
      <c r="C2862" s="5">
        <v>3.6234976219029301E-9</v>
      </c>
      <c r="D2862" s="6">
        <v>1.8593643794932599E-8</v>
      </c>
      <c r="E2862" s="3" t="s">
        <v>7702</v>
      </c>
      <c r="F2862" s="3" t="s">
        <v>7703</v>
      </c>
      <c r="G2862" s="3">
        <v>66092</v>
      </c>
      <c r="H2862" s="7" t="str">
        <f>HYPERLINK("http://www.ensembl.org/Mus_musculus/Gene/Summary?db=core;g=ENSMUSG00000041028","ENSMUSG00000041028")</f>
        <v>ENSMUSG00000041028</v>
      </c>
      <c r="I2862" s="7" t="str">
        <f>HYPERLINK("http://www.informatics.jax.org/marker/MGI:1913342","MGI:1913342")</f>
        <v>MGI:1913342</v>
      </c>
      <c r="J2862" s="4" t="s">
        <v>12</v>
      </c>
    </row>
    <row r="2863" spans="1:10" x14ac:dyDescent="0.25">
      <c r="A2863" s="2">
        <v>416.51248544687098</v>
      </c>
      <c r="B2863" s="3">
        <v>0.39807945566562197</v>
      </c>
      <c r="C2863" s="5">
        <v>1.9212715021681099E-8</v>
      </c>
      <c r="D2863" s="6">
        <v>9.2838701354460103E-8</v>
      </c>
      <c r="E2863" s="3" t="s">
        <v>8179</v>
      </c>
      <c r="F2863" s="3" t="s">
        <v>8180</v>
      </c>
      <c r="G2863" s="3">
        <v>109900</v>
      </c>
      <c r="H2863" s="7" t="str">
        <f>HYPERLINK("http://www.ensembl.org/Mus_musculus/Gene/Summary?db=core;g=ENSMUSG00000025533","ENSMUSG00000025533")</f>
        <v>ENSMUSG00000025533</v>
      </c>
      <c r="I2863" s="7" t="str">
        <f>HYPERLINK("http://www.informatics.jax.org/marker/MGI:88084","MGI:88084")</f>
        <v>MGI:88084</v>
      </c>
      <c r="J2863" s="4" t="s">
        <v>12</v>
      </c>
    </row>
    <row r="2864" spans="1:10" x14ac:dyDescent="0.25">
      <c r="A2864" s="2">
        <v>6725.7580653988698</v>
      </c>
      <c r="B2864" s="3">
        <v>0.39774176645939202</v>
      </c>
      <c r="C2864" s="5">
        <v>1.79602081144311E-15</v>
      </c>
      <c r="D2864" s="6">
        <v>1.41443811508219E-14</v>
      </c>
      <c r="E2864" s="3" t="s">
        <v>5025</v>
      </c>
      <c r="F2864" s="3" t="s">
        <v>5026</v>
      </c>
      <c r="G2864" s="3">
        <v>27984</v>
      </c>
      <c r="H2864" s="7" t="str">
        <f>HYPERLINK("http://www.ensembl.org/Mus_musculus/Gene/Summary?db=core;g=ENSMUSG00000040659","ENSMUSG00000040659")</f>
        <v>ENSMUSG00000040659</v>
      </c>
      <c r="I2864" s="7" t="str">
        <f>HYPERLINK("http://www.informatics.jax.org/marker/MGI:106504","MGI:106504")</f>
        <v>MGI:106504</v>
      </c>
      <c r="J2864" s="4" t="s">
        <v>12</v>
      </c>
    </row>
    <row r="2865" spans="1:10" x14ac:dyDescent="0.25">
      <c r="A2865" s="2">
        <v>1940.0377227167101</v>
      </c>
      <c r="B2865" s="3">
        <v>0.397726388190553</v>
      </c>
      <c r="C2865" s="5">
        <v>2.9492404206942502E-15</v>
      </c>
      <c r="D2865" s="6">
        <v>2.29514684672813E-14</v>
      </c>
      <c r="E2865" s="3" t="s">
        <v>5085</v>
      </c>
      <c r="F2865" s="3" t="s">
        <v>5086</v>
      </c>
      <c r="G2865" s="3">
        <v>319277</v>
      </c>
      <c r="H2865" s="7" t="str">
        <f>HYPERLINK("http://www.ensembl.org/Mus_musculus/Gene/Summary?db=core;g=ENSMUSG00000034560","ENSMUSG00000034560")</f>
        <v>ENSMUSG00000034560</v>
      </c>
      <c r="I2865" s="7" t="str">
        <f>HYPERLINK("http://www.informatics.jax.org/marker/MGI:2441787","MGI:2441787")</f>
        <v>MGI:2441787</v>
      </c>
      <c r="J2865" s="4" t="s">
        <v>12</v>
      </c>
    </row>
    <row r="2866" spans="1:10" x14ac:dyDescent="0.25">
      <c r="A2866" s="2">
        <v>256.18926005565697</v>
      </c>
      <c r="B2866" s="3">
        <v>0.39738718133039802</v>
      </c>
      <c r="C2866" s="5">
        <v>1.5726584358357799E-5</v>
      </c>
      <c r="D2866" s="6">
        <v>5.7848954215037598E-5</v>
      </c>
      <c r="E2866" s="3" t="s">
        <v>10734</v>
      </c>
      <c r="F2866" s="3" t="s">
        <v>10735</v>
      </c>
      <c r="G2866" s="3" t="s">
        <v>83</v>
      </c>
      <c r="H2866" s="7" t="str">
        <f>HYPERLINK("http://www.ensembl.org/Mus_musculus/Gene/Summary?db=core;g=ENSMUSG00000063902","ENSMUSG00000063902")</f>
        <v>ENSMUSG00000063902</v>
      </c>
      <c r="I2866" s="7" t="str">
        <f>HYPERLINK("http://www.informatics.jax.org/marker/MGI:3646150","MGI:3646150")</f>
        <v>MGI:3646150</v>
      </c>
      <c r="J2866" s="4" t="s">
        <v>1043</v>
      </c>
    </row>
    <row r="2867" spans="1:10" x14ac:dyDescent="0.25">
      <c r="A2867" s="2">
        <v>59.340704892038303</v>
      </c>
      <c r="B2867" s="3">
        <v>0.39704040225930498</v>
      </c>
      <c r="C2867" s="3">
        <v>1.6573519139709399E-2</v>
      </c>
      <c r="D2867" s="4">
        <v>3.9396070086194501E-2</v>
      </c>
      <c r="E2867" s="3" t="s">
        <v>16596</v>
      </c>
      <c r="F2867" s="3" t="s">
        <v>16597</v>
      </c>
      <c r="G2867" s="3" t="s">
        <v>83</v>
      </c>
      <c r="H2867" s="7" t="str">
        <f>HYPERLINK("http://www.ensembl.org/Mus_musculus/Gene/Summary?db=core;g=ENSMUSG00000085755","ENSMUSG00000085755")</f>
        <v>ENSMUSG00000085755</v>
      </c>
      <c r="I2867" s="7" t="str">
        <f>HYPERLINK("http://www.informatics.jax.org/marker/MGI:3651033","MGI:3651033")</f>
        <v>MGI:3651033</v>
      </c>
      <c r="J2867" s="4" t="s">
        <v>932</v>
      </c>
    </row>
    <row r="2868" spans="1:10" x14ac:dyDescent="0.25">
      <c r="A2868" s="2">
        <v>1590.3502881540601</v>
      </c>
      <c r="B2868" s="3">
        <v>0.39695251200280102</v>
      </c>
      <c r="C2868" s="5">
        <v>2.0597085479346499E-8</v>
      </c>
      <c r="D2868" s="6">
        <v>9.9163702551931702E-8</v>
      </c>
      <c r="E2868" s="3" t="s">
        <v>8209</v>
      </c>
      <c r="F2868" s="3" t="s">
        <v>8210</v>
      </c>
      <c r="G2868" s="3">
        <v>57259</v>
      </c>
      <c r="H2868" s="7" t="str">
        <f>HYPERLINK("http://www.ensembl.org/Mus_musculus/Gene/Summary?db=core;g=ENSMUSG00000048546","ENSMUSG00000048546")</f>
        <v>ENSMUSG00000048546</v>
      </c>
      <c r="I2868" s="7" t="str">
        <f>HYPERLINK("http://www.informatics.jax.org/marker/MGI:1888525","MGI:1888525")</f>
        <v>MGI:1888525</v>
      </c>
      <c r="J2868" s="4" t="s">
        <v>12</v>
      </c>
    </row>
    <row r="2869" spans="1:10" x14ac:dyDescent="0.25">
      <c r="A2869" s="2">
        <v>707.08106657090798</v>
      </c>
      <c r="B2869" s="3">
        <v>0.39658808879010399</v>
      </c>
      <c r="C2869" s="5">
        <v>2.7852196594017201E-6</v>
      </c>
      <c r="D2869" s="6">
        <v>1.10312375343245E-5</v>
      </c>
      <c r="E2869" s="3" t="s">
        <v>9974</v>
      </c>
      <c r="F2869" s="3" t="s">
        <v>9975</v>
      </c>
      <c r="G2869" s="3">
        <v>22209</v>
      </c>
      <c r="H2869" s="7" t="str">
        <f>HYPERLINK("http://www.ensembl.org/Mus_musculus/Gene/Summary?db=core;g=ENSMUSG00000016308","ENSMUSG00000016308")</f>
        <v>ENSMUSG00000016308</v>
      </c>
      <c r="I2869" s="7" t="str">
        <f>HYPERLINK("http://www.informatics.jax.org/marker/MGI:102959","MGI:102959")</f>
        <v>MGI:102959</v>
      </c>
      <c r="J2869" s="4" t="s">
        <v>12</v>
      </c>
    </row>
    <row r="2870" spans="1:10" x14ac:dyDescent="0.25">
      <c r="A2870" s="2">
        <v>1520.1907280422599</v>
      </c>
      <c r="B2870" s="3">
        <v>0.39646297131613201</v>
      </c>
      <c r="C2870" s="5">
        <v>5.3104180980983502E-12</v>
      </c>
      <c r="D2870" s="6">
        <v>3.3879471010837703E-11</v>
      </c>
      <c r="E2870" s="3" t="s">
        <v>6199</v>
      </c>
      <c r="F2870" s="3" t="s">
        <v>6200</v>
      </c>
      <c r="G2870" s="3">
        <v>76707</v>
      </c>
      <c r="H2870" s="7" t="str">
        <f>HYPERLINK("http://www.ensembl.org/Mus_musculus/Gene/Summary?db=core;g=ENSMUSG00000064302","ENSMUSG00000064302")</f>
        <v>ENSMUSG00000064302</v>
      </c>
      <c r="I2870" s="7" t="str">
        <f>HYPERLINK("http://www.informatics.jax.org/marker/MGI:1923957","MGI:1923957")</f>
        <v>MGI:1923957</v>
      </c>
      <c r="J2870" s="4" t="s">
        <v>12</v>
      </c>
    </row>
    <row r="2871" spans="1:10" x14ac:dyDescent="0.25">
      <c r="A2871" s="2">
        <v>919.55373957845302</v>
      </c>
      <c r="B2871" s="3">
        <v>0.396000033895613</v>
      </c>
      <c r="C2871" s="5">
        <v>3.5642045765793499E-7</v>
      </c>
      <c r="D2871" s="6">
        <v>1.54339293478579E-6</v>
      </c>
      <c r="E2871" s="3" t="s">
        <v>9123</v>
      </c>
      <c r="F2871" s="3" t="s">
        <v>9124</v>
      </c>
      <c r="G2871" s="3">
        <v>22785</v>
      </c>
      <c r="H2871" s="7" t="str">
        <f>HYPERLINK("http://www.ensembl.org/Mus_musculus/Gene/Summary?db=core;g=ENSMUSG00000005802","ENSMUSG00000005802")</f>
        <v>ENSMUSG00000005802</v>
      </c>
      <c r="I2871" s="7" t="str">
        <f>HYPERLINK("http://www.informatics.jax.org/marker/MGI:1345282","MGI:1345282")</f>
        <v>MGI:1345282</v>
      </c>
      <c r="J2871" s="4" t="s">
        <v>12</v>
      </c>
    </row>
    <row r="2872" spans="1:10" x14ac:dyDescent="0.25">
      <c r="A2872" s="2">
        <v>2453.6433980791098</v>
      </c>
      <c r="B2872" s="3">
        <v>0.39553766537385698</v>
      </c>
      <c r="C2872" s="5">
        <v>3.18611942797434E-10</v>
      </c>
      <c r="D2872" s="6">
        <v>1.7788866115417301E-9</v>
      </c>
      <c r="E2872" s="3" t="s">
        <v>7082</v>
      </c>
      <c r="F2872" s="3" t="s">
        <v>7083</v>
      </c>
      <c r="G2872" s="3">
        <v>19181</v>
      </c>
      <c r="H2872" s="7" t="str">
        <f>HYPERLINK("http://www.ensembl.org/Mus_musculus/Gene/Summary?db=core;g=ENSMUSG00000028932","ENSMUSG00000028932")</f>
        <v>ENSMUSG00000028932</v>
      </c>
      <c r="I2872" s="7" t="str">
        <f>HYPERLINK("http://www.informatics.jax.org/marker/MGI:109555","MGI:109555")</f>
        <v>MGI:109555</v>
      </c>
      <c r="J2872" s="4" t="s">
        <v>12</v>
      </c>
    </row>
    <row r="2873" spans="1:10" x14ac:dyDescent="0.25">
      <c r="A2873" s="2">
        <v>516.88668821230101</v>
      </c>
      <c r="B2873" s="3">
        <v>0.395252556475441</v>
      </c>
      <c r="C2873" s="5">
        <v>3.1077055159686101E-9</v>
      </c>
      <c r="D2873" s="6">
        <v>1.6026138277955299E-8</v>
      </c>
      <c r="E2873" s="3" t="s">
        <v>7664</v>
      </c>
      <c r="F2873" s="3" t="s">
        <v>7665</v>
      </c>
      <c r="G2873" s="3">
        <v>108123</v>
      </c>
      <c r="H2873" s="7" t="str">
        <f>HYPERLINK("http://www.ensembl.org/Mus_musculus/Gene/Summary?db=core;g=ENSMUSG00000024581","ENSMUSG00000024581")</f>
        <v>ENSMUSG00000024581</v>
      </c>
      <c r="I2873" s="7" t="str">
        <f>HYPERLINK("http://www.informatics.jax.org/marker/MGI:104561","MGI:104561")</f>
        <v>MGI:104561</v>
      </c>
      <c r="J2873" s="4" t="s">
        <v>12</v>
      </c>
    </row>
    <row r="2874" spans="1:10" x14ac:dyDescent="0.25">
      <c r="A2874" s="2">
        <v>48332.068564699097</v>
      </c>
      <c r="B2874" s="3">
        <v>0.394740469385846</v>
      </c>
      <c r="C2874" s="3">
        <v>2.7305345738297599E-3</v>
      </c>
      <c r="D2874" s="4">
        <v>7.5451359110493199E-3</v>
      </c>
      <c r="E2874" s="3" t="s">
        <v>14277</v>
      </c>
      <c r="F2874" s="3" t="s">
        <v>14278</v>
      </c>
      <c r="G2874" s="3">
        <v>13030</v>
      </c>
      <c r="H2874" s="7" t="str">
        <f>HYPERLINK("http://www.ensembl.org/Mus_musculus/Gene/Summary?db=core;g=ENSMUSG00000021939","ENSMUSG00000021939")</f>
        <v>ENSMUSG00000021939</v>
      </c>
      <c r="I2874" s="7" t="str">
        <f>HYPERLINK("http://www.informatics.jax.org/marker/MGI:88561","MGI:88561")</f>
        <v>MGI:88561</v>
      </c>
      <c r="J2874" s="4" t="s">
        <v>12</v>
      </c>
    </row>
    <row r="2875" spans="1:10" x14ac:dyDescent="0.25">
      <c r="A2875" s="2">
        <v>1679.20856431526</v>
      </c>
      <c r="B2875" s="3">
        <v>0.394397683121821</v>
      </c>
      <c r="C2875" s="3">
        <v>2.9429599084774098E-3</v>
      </c>
      <c r="D2875" s="4">
        <v>8.0750200911610601E-3</v>
      </c>
      <c r="E2875" s="3" t="s">
        <v>14379</v>
      </c>
      <c r="F2875" s="3" t="s">
        <v>14380</v>
      </c>
      <c r="G2875" s="3">
        <v>329251</v>
      </c>
      <c r="H2875" s="7" t="str">
        <f>HYPERLINK("http://www.ensembl.org/Mus_musculus/Gene/Summary?db=core;g=ENSMUSG00000073557","ENSMUSG00000073557")</f>
        <v>ENSMUSG00000073557</v>
      </c>
      <c r="I2875" s="7" t="str">
        <f>HYPERLINK("http://www.informatics.jax.org/marker/MGI:1916417","MGI:1916417")</f>
        <v>MGI:1916417</v>
      </c>
      <c r="J2875" s="4" t="s">
        <v>12</v>
      </c>
    </row>
    <row r="2876" spans="1:10" x14ac:dyDescent="0.25">
      <c r="A2876" s="2">
        <v>354.65143067021597</v>
      </c>
      <c r="B2876" s="3">
        <v>0.394238126812473</v>
      </c>
      <c r="C2876" s="5">
        <v>4.14853295868434E-7</v>
      </c>
      <c r="D2876" s="6">
        <v>1.78505498462263E-6</v>
      </c>
      <c r="E2876" s="3" t="s">
        <v>9181</v>
      </c>
      <c r="F2876" s="3" t="s">
        <v>9182</v>
      </c>
      <c r="G2876" s="3">
        <v>13528</v>
      </c>
      <c r="H2876" s="7" t="str">
        <f>HYPERLINK("http://www.ensembl.org/Mus_musculus/Gene/Summary?db=core;g=ENSMUSG00000071454","ENSMUSG00000071454")</f>
        <v>ENSMUSG00000071454</v>
      </c>
      <c r="I2876" s="7" t="str">
        <f>HYPERLINK("http://www.informatics.jax.org/marker/MGI:1203728","MGI:1203728")</f>
        <v>MGI:1203728</v>
      </c>
      <c r="J2876" s="4" t="s">
        <v>12</v>
      </c>
    </row>
    <row r="2877" spans="1:10" x14ac:dyDescent="0.25">
      <c r="A2877" s="2">
        <v>214.77197443136899</v>
      </c>
      <c r="B2877" s="3">
        <v>0.39387097434074703</v>
      </c>
      <c r="C2877" s="3">
        <v>2.4420694831851699E-4</v>
      </c>
      <c r="D2877" s="4">
        <v>7.8407050160227197E-4</v>
      </c>
      <c r="E2877" s="3" t="s">
        <v>12295</v>
      </c>
      <c r="F2877" s="3" t="s">
        <v>12296</v>
      </c>
      <c r="G2877" s="3">
        <v>223774</v>
      </c>
      <c r="H2877" s="7" t="str">
        <f>HYPERLINK("http://www.ensembl.org/Mus_musculus/Gene/Summary?db=core;g=ENSMUSG00000035845","ENSMUSG00000035845")</f>
        <v>ENSMUSG00000035845</v>
      </c>
      <c r="I2877" s="7" t="str">
        <f>HYPERLINK("http://www.informatics.jax.org/marker/MGI:2385025","MGI:2385025")</f>
        <v>MGI:2385025</v>
      </c>
      <c r="J2877" s="4" t="s">
        <v>12</v>
      </c>
    </row>
    <row r="2878" spans="1:10" x14ac:dyDescent="0.25">
      <c r="A2878" s="2">
        <v>4427.0681130249804</v>
      </c>
      <c r="B2878" s="3">
        <v>0.39354777133528801</v>
      </c>
      <c r="C2878" s="5">
        <v>6.7163565730885703E-7</v>
      </c>
      <c r="D2878" s="6">
        <v>2.8300545218227899E-6</v>
      </c>
      <c r="E2878" s="3" t="s">
        <v>9375</v>
      </c>
      <c r="F2878" s="3" t="s">
        <v>9376</v>
      </c>
      <c r="G2878" s="3">
        <v>18263</v>
      </c>
      <c r="H2878" s="7" t="str">
        <f>HYPERLINK("http://www.ensembl.org/Mus_musculus/Gene/Summary?db=core;g=ENSMUSG00000011179","ENSMUSG00000011179")</f>
        <v>ENSMUSG00000011179</v>
      </c>
      <c r="I2878" s="7" t="str">
        <f>HYPERLINK("http://www.informatics.jax.org/marker/MGI:97402","MGI:97402")</f>
        <v>MGI:97402</v>
      </c>
      <c r="J2878" s="4" t="s">
        <v>12</v>
      </c>
    </row>
    <row r="2879" spans="1:10" x14ac:dyDescent="0.25">
      <c r="A2879" s="2">
        <v>1193.9257242876699</v>
      </c>
      <c r="B2879" s="3">
        <v>0.39346953220558101</v>
      </c>
      <c r="C2879" s="5">
        <v>2.6543818153601401E-11</v>
      </c>
      <c r="D2879" s="6">
        <v>1.6130788720771E-10</v>
      </c>
      <c r="E2879" s="3" t="s">
        <v>6507</v>
      </c>
      <c r="F2879" s="3" t="s">
        <v>6508</v>
      </c>
      <c r="G2879" s="3">
        <v>52858</v>
      </c>
      <c r="H2879" s="7" t="str">
        <f>HYPERLINK("http://www.ensembl.org/Mus_musculus/Gene/Summary?db=core;g=ENSMUSG00000030682","ENSMUSG00000030682")</f>
        <v>ENSMUSG00000030682</v>
      </c>
      <c r="I2879" s="7" t="str">
        <f>HYPERLINK("http://www.informatics.jax.org/marker/MGI:105491","MGI:105491")</f>
        <v>MGI:105491</v>
      </c>
      <c r="J2879" s="4" t="s">
        <v>12</v>
      </c>
    </row>
    <row r="2880" spans="1:10" x14ac:dyDescent="0.25">
      <c r="A2880" s="2">
        <v>9424.6773451234094</v>
      </c>
      <c r="B2880" s="3">
        <v>0.393335833256795</v>
      </c>
      <c r="C2880" s="5">
        <v>9.4804633724113704E-18</v>
      </c>
      <c r="D2880" s="6">
        <v>8.4556643013999197E-17</v>
      </c>
      <c r="E2880" s="3" t="s">
        <v>4439</v>
      </c>
      <c r="F2880" s="3" t="s">
        <v>4440</v>
      </c>
      <c r="G2880" s="3">
        <v>13205</v>
      </c>
      <c r="H2880" s="7" t="str">
        <f>HYPERLINK("http://www.ensembl.org/Mus_musculus/Gene/Summary?db=core;g=ENSMUSG00000000787","ENSMUSG00000000787")</f>
        <v>ENSMUSG00000000787</v>
      </c>
      <c r="I2880" s="7" t="str">
        <f>HYPERLINK("http://www.informatics.jax.org/marker/MGI:103064","MGI:103064")</f>
        <v>MGI:103064</v>
      </c>
      <c r="J2880" s="4" t="s">
        <v>12</v>
      </c>
    </row>
    <row r="2881" spans="1:10" x14ac:dyDescent="0.25">
      <c r="A2881" s="2">
        <v>835.34764578975205</v>
      </c>
      <c r="B2881" s="3">
        <v>0.39311972795682598</v>
      </c>
      <c r="C2881" s="5">
        <v>2.4853687857765398E-13</v>
      </c>
      <c r="D2881" s="6">
        <v>1.7318541503714999E-12</v>
      </c>
      <c r="E2881" s="3" t="s">
        <v>5677</v>
      </c>
      <c r="F2881" s="3" t="s">
        <v>5678</v>
      </c>
      <c r="G2881" s="3">
        <v>105513</v>
      </c>
      <c r="H2881" s="7" t="str">
        <f>HYPERLINK("http://www.ensembl.org/Mus_musculus/Gene/Summary?db=core;g=ENSMUSG00000034190","ENSMUSG00000034190")</f>
        <v>ENSMUSG00000034190</v>
      </c>
      <c r="I2881" s="7" t="str">
        <f>HYPERLINK("http://www.informatics.jax.org/marker/MGI:1913922","MGI:1913922")</f>
        <v>MGI:1913922</v>
      </c>
      <c r="J2881" s="4" t="s">
        <v>12</v>
      </c>
    </row>
    <row r="2882" spans="1:10" x14ac:dyDescent="0.25">
      <c r="A2882" s="2">
        <v>4465.5568207553197</v>
      </c>
      <c r="B2882" s="3">
        <v>0.39292325587312399</v>
      </c>
      <c r="C2882" s="5">
        <v>3.9699541897569697E-14</v>
      </c>
      <c r="D2882" s="6">
        <v>2.8920390329518802E-13</v>
      </c>
      <c r="E2882" s="3" t="s">
        <v>5431</v>
      </c>
      <c r="F2882" s="3" t="s">
        <v>5432</v>
      </c>
      <c r="G2882" s="3">
        <v>13665</v>
      </c>
      <c r="H2882" s="7" t="str">
        <f>HYPERLINK("http://www.ensembl.org/Mus_musculus/Gene/Summary?db=core;g=ENSMUSG00000021116","ENSMUSG00000021116")</f>
        <v>ENSMUSG00000021116</v>
      </c>
      <c r="I2882" s="7" t="str">
        <f>HYPERLINK("http://www.informatics.jax.org/marker/MGI:95299","MGI:95299")</f>
        <v>MGI:95299</v>
      </c>
      <c r="J2882" s="4" t="s">
        <v>12</v>
      </c>
    </row>
    <row r="2883" spans="1:10" x14ac:dyDescent="0.25">
      <c r="A2883" s="2">
        <v>449.46719431299999</v>
      </c>
      <c r="B2883" s="3">
        <v>0.392754903971966</v>
      </c>
      <c r="C2883" s="3">
        <v>5.7589491541043905E-4</v>
      </c>
      <c r="D2883" s="4">
        <v>1.7604476409694399E-3</v>
      </c>
      <c r="E2883" s="3" t="s">
        <v>12911</v>
      </c>
      <c r="F2883" s="3" t="s">
        <v>12912</v>
      </c>
      <c r="G2883" s="3">
        <v>77809</v>
      </c>
      <c r="H2883" s="7" t="str">
        <f>HYPERLINK("http://www.ensembl.org/Mus_musculus/Gene/Summary?db=core;g=ENSMUSG00000028617","ENSMUSG00000028617")</f>
        <v>ENSMUSG00000028617</v>
      </c>
      <c r="I2883" s="7" t="str">
        <f>HYPERLINK("http://www.informatics.jax.org/marker/MGI:1925059","MGI:1925059")</f>
        <v>MGI:1925059</v>
      </c>
      <c r="J2883" s="4" t="s">
        <v>12</v>
      </c>
    </row>
    <row r="2884" spans="1:10" x14ac:dyDescent="0.25">
      <c r="A2884" s="2">
        <v>6400.2507744956201</v>
      </c>
      <c r="B2884" s="3">
        <v>0.392702399183464</v>
      </c>
      <c r="C2884" s="5">
        <v>6.8539019666536503E-12</v>
      </c>
      <c r="D2884" s="6">
        <v>4.3403643796535002E-11</v>
      </c>
      <c r="E2884" s="3" t="s">
        <v>6245</v>
      </c>
      <c r="F2884" s="3" t="s">
        <v>6246</v>
      </c>
      <c r="G2884" s="3">
        <v>211548</v>
      </c>
      <c r="H2884" s="7" t="str">
        <f>HYPERLINK("http://www.ensembl.org/Mus_musculus/Gene/Summary?db=core;g=ENSMUSG00000030835","ENSMUSG00000030835")</f>
        <v>ENSMUSG00000030835</v>
      </c>
      <c r="I2884" s="7" t="str">
        <f>HYPERLINK("http://www.informatics.jax.org/marker/MGI:2385850","MGI:2385850")</f>
        <v>MGI:2385850</v>
      </c>
      <c r="J2884" s="4" t="s">
        <v>12</v>
      </c>
    </row>
    <row r="2885" spans="1:10" x14ac:dyDescent="0.25">
      <c r="A2885" s="2">
        <v>2285.47879329647</v>
      </c>
      <c r="B2885" s="3">
        <v>0.392404196787982</v>
      </c>
      <c r="C2885" s="5">
        <v>1.2652552843946201E-14</v>
      </c>
      <c r="D2885" s="6">
        <v>9.5377806606505695E-14</v>
      </c>
      <c r="E2885" s="3" t="s">
        <v>5249</v>
      </c>
      <c r="F2885" s="3" t="s">
        <v>5250</v>
      </c>
      <c r="G2885" s="3">
        <v>235072</v>
      </c>
      <c r="H2885" s="7" t="str">
        <f>HYPERLINK("http://www.ensembl.org/Mus_musculus/Gene/Summary?db=core;g=ENSMUSG00000001833","ENSMUSG00000001833")</f>
        <v>ENSMUSG00000001833</v>
      </c>
      <c r="I2885" s="7" t="str">
        <f>HYPERLINK("http://www.informatics.jax.org/marker/MGI:1335094","MGI:1335094")</f>
        <v>MGI:1335094</v>
      </c>
      <c r="J2885" s="4" t="s">
        <v>12</v>
      </c>
    </row>
    <row r="2886" spans="1:10" x14ac:dyDescent="0.25">
      <c r="A2886" s="2">
        <v>1115.21679987326</v>
      </c>
      <c r="B2886" s="3">
        <v>0.39208244803593301</v>
      </c>
      <c r="C2886" s="5">
        <v>4.6700375172897397E-14</v>
      </c>
      <c r="D2886" s="6">
        <v>3.395764743398E-13</v>
      </c>
      <c r="E2886" s="3" t="s">
        <v>5441</v>
      </c>
      <c r="F2886" s="3" t="s">
        <v>5442</v>
      </c>
      <c r="G2886" s="3">
        <v>94186</v>
      </c>
      <c r="H2886" s="7" t="str">
        <f>HYPERLINK("http://www.ensembl.org/Mus_musculus/Gene/Summary?db=core;g=ENSMUSG00000020954","ENSMUSG00000020954")</f>
        <v>ENSMUSG00000020954</v>
      </c>
      <c r="I2886" s="7" t="str">
        <f>HYPERLINK("http://www.informatics.jax.org/marker/MGI:2151064","MGI:2151064")</f>
        <v>MGI:2151064</v>
      </c>
      <c r="J2886" s="4" t="s">
        <v>12</v>
      </c>
    </row>
    <row r="2887" spans="1:10" x14ac:dyDescent="0.25">
      <c r="A2887" s="2">
        <v>3576.2366240633801</v>
      </c>
      <c r="B2887" s="3">
        <v>0.39198092840149201</v>
      </c>
      <c r="C2887" s="5">
        <v>1.0277777835491499E-12</v>
      </c>
      <c r="D2887" s="6">
        <v>6.8891155307916899E-12</v>
      </c>
      <c r="E2887" s="3" t="s">
        <v>5901</v>
      </c>
      <c r="F2887" s="3" t="s">
        <v>5902</v>
      </c>
      <c r="G2887" s="3">
        <v>104662</v>
      </c>
      <c r="H2887" s="7" t="str">
        <f>HYPERLINK("http://www.ensembl.org/Mus_musculus/Gene/Summary?db=core;g=ENSMUSG00000038335","ENSMUSG00000038335")</f>
        <v>ENSMUSG00000038335</v>
      </c>
      <c r="I2887" s="7" t="str">
        <f>HYPERLINK("http://www.informatics.jax.org/marker/MGI:2144566","MGI:2144566")</f>
        <v>MGI:2144566</v>
      </c>
      <c r="J2887" s="4" t="s">
        <v>12</v>
      </c>
    </row>
    <row r="2888" spans="1:10" x14ac:dyDescent="0.25">
      <c r="A2888" s="2">
        <v>55.068173877296204</v>
      </c>
      <c r="B2888" s="3">
        <v>0.39188795733967002</v>
      </c>
      <c r="C2888" s="3">
        <v>1.7292613132177701E-2</v>
      </c>
      <c r="D2888" s="4">
        <v>4.0932700872229499E-2</v>
      </c>
      <c r="E2888" s="3" t="s">
        <v>16666</v>
      </c>
      <c r="F2888" s="3" t="s">
        <v>16667</v>
      </c>
      <c r="G2888" s="3" t="s">
        <v>83</v>
      </c>
      <c r="H2888" s="7" t="str">
        <f>HYPERLINK("http://www.ensembl.org/Mus_musculus/Gene/Summary?db=core;g=ENSMUSG00000102550","ENSMUSG00000102550")</f>
        <v>ENSMUSG00000102550</v>
      </c>
      <c r="I2888" s="7" t="str">
        <f>HYPERLINK("http://www.informatics.jax.org/marker/MGI:3648019","MGI:3648019")</f>
        <v>MGI:3648019</v>
      </c>
      <c r="J2888" s="4" t="s">
        <v>1043</v>
      </c>
    </row>
    <row r="2889" spans="1:10" x14ac:dyDescent="0.25">
      <c r="A2889" s="2">
        <v>588.76078804269901</v>
      </c>
      <c r="B2889" s="3">
        <v>0.39174972327209701</v>
      </c>
      <c r="C2889" s="5">
        <v>1.43877333409253E-6</v>
      </c>
      <c r="D2889" s="6">
        <v>5.8500227109906401E-6</v>
      </c>
      <c r="E2889" s="3" t="s">
        <v>9715</v>
      </c>
      <c r="F2889" s="3" t="s">
        <v>9716</v>
      </c>
      <c r="G2889" s="3">
        <v>19344</v>
      </c>
      <c r="H2889" s="7" t="str">
        <f>HYPERLINK("http://www.ensembl.org/Mus_musculus/Gene/Summary?db=core;g=ENSMUSG00000000711","ENSMUSG00000000711")</f>
        <v>ENSMUSG00000000711</v>
      </c>
      <c r="I2889" s="7" t="str">
        <f>HYPERLINK("http://www.informatics.jax.org/marker/MGI:105938","MGI:105938")</f>
        <v>MGI:105938</v>
      </c>
      <c r="J2889" s="4" t="s">
        <v>12</v>
      </c>
    </row>
    <row r="2890" spans="1:10" x14ac:dyDescent="0.25">
      <c r="A2890" s="2">
        <v>19491.950779699298</v>
      </c>
      <c r="B2890" s="3">
        <v>0.39170723800037299</v>
      </c>
      <c r="C2890" s="5">
        <v>1.5914778060231201E-7</v>
      </c>
      <c r="D2890" s="6">
        <v>7.0796170392005399E-7</v>
      </c>
      <c r="E2890" s="3" t="s">
        <v>8883</v>
      </c>
      <c r="F2890" s="3" t="s">
        <v>8884</v>
      </c>
      <c r="G2890" s="3">
        <v>11674</v>
      </c>
      <c r="H2890" s="7" t="str">
        <f>HYPERLINK("http://www.ensembl.org/Mus_musculus/Gene/Summary?db=core;g=ENSMUSG00000030695","ENSMUSG00000030695")</f>
        <v>ENSMUSG00000030695</v>
      </c>
      <c r="I2890" s="7" t="str">
        <f>HYPERLINK("http://www.informatics.jax.org/marker/MGI:87994","MGI:87994")</f>
        <v>MGI:87994</v>
      </c>
      <c r="J2890" s="4" t="s">
        <v>12</v>
      </c>
    </row>
    <row r="2891" spans="1:10" x14ac:dyDescent="0.25">
      <c r="A2891" s="2">
        <v>6051.2476560587102</v>
      </c>
      <c r="B2891" s="3">
        <v>0.39145680484831502</v>
      </c>
      <c r="C2891" s="5">
        <v>1.00185983612265E-23</v>
      </c>
      <c r="D2891" s="6">
        <v>1.1642119014931401E-22</v>
      </c>
      <c r="E2891" s="3" t="s">
        <v>3412</v>
      </c>
      <c r="F2891" s="3" t="s">
        <v>3413</v>
      </c>
      <c r="G2891" s="3">
        <v>12468</v>
      </c>
      <c r="H2891" s="7" t="str">
        <f>HYPERLINK("http://www.ensembl.org/Mus_musculus/Gene/Summary?db=core;g=ENSMUSG00000030007","ENSMUSG00000030007")</f>
        <v>ENSMUSG00000030007</v>
      </c>
      <c r="I2891" s="7" t="str">
        <f>HYPERLINK("http://www.informatics.jax.org/marker/MGI:107184","MGI:107184")</f>
        <v>MGI:107184</v>
      </c>
      <c r="J2891" s="4" t="s">
        <v>12</v>
      </c>
    </row>
    <row r="2892" spans="1:10" x14ac:dyDescent="0.25">
      <c r="A2892" s="2">
        <v>2474.4995577690702</v>
      </c>
      <c r="B2892" s="3">
        <v>0.391259183386653</v>
      </c>
      <c r="C2892" s="5">
        <v>2.78611512500456E-11</v>
      </c>
      <c r="D2892" s="6">
        <v>1.6910492540809401E-10</v>
      </c>
      <c r="E2892" s="3" t="s">
        <v>6515</v>
      </c>
      <c r="F2892" s="3" t="s">
        <v>6516</v>
      </c>
      <c r="G2892" s="3">
        <v>66902</v>
      </c>
      <c r="H2892" s="7" t="str">
        <f>HYPERLINK("http://www.ensembl.org/Mus_musculus/Gene/Summary?db=core;g=ENSMUSG00000062937","ENSMUSG00000062937")</f>
        <v>ENSMUSG00000062937</v>
      </c>
      <c r="I2892" s="7" t="str">
        <f>HYPERLINK("http://www.informatics.jax.org/marker/MGI:1914152","MGI:1914152")</f>
        <v>MGI:1914152</v>
      </c>
      <c r="J2892" s="4" t="s">
        <v>12</v>
      </c>
    </row>
    <row r="2893" spans="1:10" x14ac:dyDescent="0.25">
      <c r="A2893" s="2">
        <v>156.25405026231701</v>
      </c>
      <c r="B2893" s="3">
        <v>0.39117374921759601</v>
      </c>
      <c r="C2893" s="3">
        <v>9.7309792223921102E-4</v>
      </c>
      <c r="D2893" s="4">
        <v>2.8726782973888098E-3</v>
      </c>
      <c r="E2893" s="3" t="s">
        <v>13369</v>
      </c>
      <c r="F2893" s="3" t="s">
        <v>13370</v>
      </c>
      <c r="G2893" s="3">
        <v>76367</v>
      </c>
      <c r="H2893" s="7" t="str">
        <f>HYPERLINK("http://www.ensembl.org/Mus_musculus/Gene/Summary?db=core;g=ENSMUSG00000042854","ENSMUSG00000042854")</f>
        <v>ENSMUSG00000042854</v>
      </c>
      <c r="I2893" s="7" t="str">
        <f>HYPERLINK("http://www.informatics.jax.org/marker/MGI:1914050","MGI:1914050")</f>
        <v>MGI:1914050</v>
      </c>
      <c r="J2893" s="4" t="s">
        <v>12</v>
      </c>
    </row>
    <row r="2894" spans="1:10" x14ac:dyDescent="0.25">
      <c r="A2894" s="2">
        <v>1735.1981730610501</v>
      </c>
      <c r="B2894" s="3">
        <v>0.39089377137089998</v>
      </c>
      <c r="C2894" s="5">
        <v>1.5859405187188401E-14</v>
      </c>
      <c r="D2894" s="6">
        <v>1.1887019015254899E-13</v>
      </c>
      <c r="E2894" s="3" t="s">
        <v>5279</v>
      </c>
      <c r="F2894" s="3" t="s">
        <v>5280</v>
      </c>
      <c r="G2894" s="3">
        <v>110816</v>
      </c>
      <c r="H2894" s="7" t="str">
        <f>HYPERLINK("http://www.ensembl.org/Mus_musculus/Gene/Summary?db=core;g=ENSMUSG00000032834","ENSMUSG00000032834")</f>
        <v>ENSMUSG00000032834</v>
      </c>
      <c r="I2894" s="7" t="str">
        <f>HYPERLINK("http://www.informatics.jax.org/marker/MGI:1341200","MGI:1341200")</f>
        <v>MGI:1341200</v>
      </c>
      <c r="J2894" s="4" t="s">
        <v>12</v>
      </c>
    </row>
    <row r="2895" spans="1:10" x14ac:dyDescent="0.25">
      <c r="A2895" s="2">
        <v>3089.429524053</v>
      </c>
      <c r="B2895" s="3">
        <v>0.39044802246539101</v>
      </c>
      <c r="C2895" s="5">
        <v>1.28169688757994E-7</v>
      </c>
      <c r="D2895" s="6">
        <v>5.7561062680657002E-7</v>
      </c>
      <c r="E2895" s="3" t="s">
        <v>8799</v>
      </c>
      <c r="F2895" s="3" t="s">
        <v>8800</v>
      </c>
      <c r="G2895" s="3">
        <v>18655</v>
      </c>
      <c r="H2895" s="7" t="str">
        <f>HYPERLINK("http://www.ensembl.org/Mus_musculus/Gene/Summary?db=core;g=ENSMUSG00000062070","ENSMUSG00000062070")</f>
        <v>ENSMUSG00000062070</v>
      </c>
      <c r="I2895" s="7" t="str">
        <f>HYPERLINK("http://www.informatics.jax.org/marker/MGI:97555","MGI:97555")</f>
        <v>MGI:97555</v>
      </c>
      <c r="J2895" s="4" t="s">
        <v>12</v>
      </c>
    </row>
    <row r="2896" spans="1:10" x14ac:dyDescent="0.25">
      <c r="A2896" s="2">
        <v>2342.3266788248902</v>
      </c>
      <c r="B2896" s="3">
        <v>0.38973246515856302</v>
      </c>
      <c r="C2896" s="5">
        <v>3.7814634272214501E-10</v>
      </c>
      <c r="D2896" s="6">
        <v>2.0946758085620001E-9</v>
      </c>
      <c r="E2896" s="3" t="s">
        <v>7138</v>
      </c>
      <c r="F2896" s="3" t="s">
        <v>7139</v>
      </c>
      <c r="G2896" s="3">
        <v>12488</v>
      </c>
      <c r="H2896" s="7" t="str">
        <f>HYPERLINK("http://www.ensembl.org/Mus_musculus/Gene/Summary?db=core;g=ENSMUSG00000061665","ENSMUSG00000061665")</f>
        <v>ENSMUSG00000061665</v>
      </c>
      <c r="I2896" s="7" t="str">
        <f>HYPERLINK("http://www.informatics.jax.org/marker/MGI:1330281","MGI:1330281")</f>
        <v>MGI:1330281</v>
      </c>
      <c r="J2896" s="4" t="s">
        <v>12</v>
      </c>
    </row>
    <row r="2897" spans="1:10" x14ac:dyDescent="0.25">
      <c r="A2897" s="2">
        <v>1084.9907783426199</v>
      </c>
      <c r="B2897" s="3">
        <v>0.38955454170728598</v>
      </c>
      <c r="C2897" s="5">
        <v>1.5002885225105101E-12</v>
      </c>
      <c r="D2897" s="6">
        <v>9.9514596918625295E-12</v>
      </c>
      <c r="E2897" s="3" t="s">
        <v>5963</v>
      </c>
      <c r="F2897" s="3" t="s">
        <v>5964</v>
      </c>
      <c r="G2897" s="3">
        <v>59028</v>
      </c>
      <c r="H2897" s="7" t="str">
        <f>HYPERLINK("http://www.ensembl.org/Mus_musculus/Gene/Summary?db=core;g=ENSMUSG00000024785","ENSMUSG00000024785")</f>
        <v>ENSMUSG00000024785</v>
      </c>
      <c r="I2897" s="7" t="str">
        <f>HYPERLINK("http://www.informatics.jax.org/marker/MGI:1913275","MGI:1913275")</f>
        <v>MGI:1913275</v>
      </c>
      <c r="J2897" s="4" t="s">
        <v>12</v>
      </c>
    </row>
    <row r="2898" spans="1:10" x14ac:dyDescent="0.25">
      <c r="A2898" s="2">
        <v>263.61460878869099</v>
      </c>
      <c r="B2898" s="3">
        <v>0.38935144173999697</v>
      </c>
      <c r="C2898" s="3">
        <v>1.14780028514927E-4</v>
      </c>
      <c r="D2898" s="4">
        <v>3.8409335861434803E-4</v>
      </c>
      <c r="E2898" s="3" t="s">
        <v>11797</v>
      </c>
      <c r="F2898" s="3" t="s">
        <v>11798</v>
      </c>
      <c r="G2898" s="3">
        <v>269037</v>
      </c>
      <c r="H2898" s="7" t="str">
        <f>HYPERLINK("http://www.ensembl.org/Mus_musculus/Gene/Summary?db=core;g=ENSMUSG00000052928","ENSMUSG00000052928")</f>
        <v>ENSMUSG00000052928</v>
      </c>
      <c r="I2898" s="7" t="str">
        <f>HYPERLINK("http://www.informatics.jax.org/marker/MGI:2685518","MGI:2685518")</f>
        <v>MGI:2685518</v>
      </c>
      <c r="J2898" s="4" t="s">
        <v>12</v>
      </c>
    </row>
    <row r="2899" spans="1:10" x14ac:dyDescent="0.25">
      <c r="A2899" s="2">
        <v>999.10140093671203</v>
      </c>
      <c r="B2899" s="3">
        <v>0.38918824761127102</v>
      </c>
      <c r="C2899" s="5">
        <v>5.8626259463825503E-11</v>
      </c>
      <c r="D2899" s="6">
        <v>3.4686763775176698E-10</v>
      </c>
      <c r="E2899" s="3" t="s">
        <v>6683</v>
      </c>
      <c r="F2899" s="3" t="s">
        <v>6684</v>
      </c>
      <c r="G2899" s="3">
        <v>70797</v>
      </c>
      <c r="H2899" s="7" t="str">
        <f>HYPERLINK("http://www.ensembl.org/Mus_musculus/Gene/Summary?db=core;g=ENSMUSG00000040351","ENSMUSG00000040351")</f>
        <v>ENSMUSG00000040351</v>
      </c>
      <c r="I2899" s="7" t="str">
        <f>HYPERLINK("http://www.informatics.jax.org/marker/MGI:1918047","MGI:1918047")</f>
        <v>MGI:1918047</v>
      </c>
      <c r="J2899" s="4" t="s">
        <v>12</v>
      </c>
    </row>
    <row r="2900" spans="1:10" x14ac:dyDescent="0.25">
      <c r="A2900" s="2">
        <v>92.512800904054203</v>
      </c>
      <c r="B2900" s="3">
        <v>0.38918525891447397</v>
      </c>
      <c r="C2900" s="3">
        <v>4.2702887213809599E-3</v>
      </c>
      <c r="D2900" s="4">
        <v>1.1438480519645799E-2</v>
      </c>
      <c r="E2900" s="3" t="s">
        <v>14728</v>
      </c>
      <c r="F2900" s="3" t="s">
        <v>14729</v>
      </c>
      <c r="G2900" s="3" t="s">
        <v>83</v>
      </c>
      <c r="H2900" s="7" t="str">
        <f>HYPERLINK("http://www.ensembl.org/Mus_musculus/Gene/Summary?db=core;g=ENSMUSG00000092310","ENSMUSG00000092310")</f>
        <v>ENSMUSG00000092310</v>
      </c>
      <c r="I2900" s="7" t="str">
        <f>HYPERLINK("http://www.informatics.jax.org/marker/MGI:5141974","MGI:5141974")</f>
        <v>MGI:5141974</v>
      </c>
      <c r="J2900" s="4" t="s">
        <v>12</v>
      </c>
    </row>
    <row r="2901" spans="1:10" x14ac:dyDescent="0.25">
      <c r="A2901" s="2">
        <v>2872.96168690691</v>
      </c>
      <c r="B2901" s="3">
        <v>0.38914054763787898</v>
      </c>
      <c r="C2901" s="5">
        <v>7.2316014207803902E-9</v>
      </c>
      <c r="D2901" s="6">
        <v>3.62683570747175E-8</v>
      </c>
      <c r="E2901" s="3" t="s">
        <v>7880</v>
      </c>
      <c r="F2901" s="3" t="s">
        <v>7881</v>
      </c>
      <c r="G2901" s="3">
        <v>16650</v>
      </c>
      <c r="H2901" s="7" t="str">
        <f>HYPERLINK("http://www.ensembl.org/Mus_musculus/Gene/Summary?db=core;g=ENSMUSG00000003731","ENSMUSG00000003731")</f>
        <v>ENSMUSG00000003731</v>
      </c>
      <c r="I2901" s="7" t="str">
        <f>HYPERLINK("http://www.informatics.jax.org/marker/MGI:1100836","MGI:1100836")</f>
        <v>MGI:1100836</v>
      </c>
      <c r="J2901" s="4" t="s">
        <v>12</v>
      </c>
    </row>
    <row r="2902" spans="1:10" x14ac:dyDescent="0.25">
      <c r="A2902" s="2">
        <v>182.494404368115</v>
      </c>
      <c r="B2902" s="3">
        <v>0.38912745943573901</v>
      </c>
      <c r="C2902" s="3">
        <v>1.19275082165534E-2</v>
      </c>
      <c r="D2902" s="4">
        <v>2.9222321037449799E-2</v>
      </c>
      <c r="E2902" s="3" t="s">
        <v>16103</v>
      </c>
      <c r="F2902" s="3" t="s">
        <v>16104</v>
      </c>
      <c r="G2902" s="3">
        <v>23912</v>
      </c>
      <c r="H2902" s="7" t="str">
        <f>HYPERLINK("http://www.ensembl.org/Mus_musculus/Gene/Summary?db=core;g=ENSMUSG00000029449","ENSMUSG00000029449")</f>
        <v>ENSMUSG00000029449</v>
      </c>
      <c r="I2902" s="7" t="str">
        <f>HYPERLINK("http://www.informatics.jax.org/marker/MGI:1345629","MGI:1345629")</f>
        <v>MGI:1345629</v>
      </c>
      <c r="J2902" s="4" t="s">
        <v>12</v>
      </c>
    </row>
    <row r="2903" spans="1:10" x14ac:dyDescent="0.25">
      <c r="A2903" s="2">
        <v>89.817851262559302</v>
      </c>
      <c r="B2903" s="3">
        <v>0.38898909601933901</v>
      </c>
      <c r="C2903" s="3">
        <v>3.3835856134939901E-3</v>
      </c>
      <c r="D2903" s="4">
        <v>9.1982779567275092E-3</v>
      </c>
      <c r="E2903" s="3" t="s">
        <v>14511</v>
      </c>
      <c r="F2903" s="3" t="s">
        <v>14512</v>
      </c>
      <c r="G2903" s="3">
        <v>100039707</v>
      </c>
      <c r="H2903" s="7" t="str">
        <f>HYPERLINK("http://www.ensembl.org/Mus_musculus/Gene/Summary?db=core;g=ENSMUSG00000079427","ENSMUSG00000079427")</f>
        <v>ENSMUSG00000079427</v>
      </c>
      <c r="I2903" s="7" t="str">
        <f>HYPERLINK("http://www.informatics.jax.org/marker/MGI:3780550","MGI:3780550")</f>
        <v>MGI:3780550</v>
      </c>
      <c r="J2903" s="4" t="s">
        <v>12</v>
      </c>
    </row>
    <row r="2904" spans="1:10" x14ac:dyDescent="0.25">
      <c r="A2904" s="2">
        <v>658.02313058685695</v>
      </c>
      <c r="B2904" s="3">
        <v>0.38890117414315101</v>
      </c>
      <c r="C2904" s="5">
        <v>1.0651634814310099E-13</v>
      </c>
      <c r="D2904" s="6">
        <v>7.5940071778089004E-13</v>
      </c>
      <c r="E2904" s="3" t="s">
        <v>5549</v>
      </c>
      <c r="F2904" s="3" t="s">
        <v>5550</v>
      </c>
      <c r="G2904" s="3">
        <v>19043</v>
      </c>
      <c r="H2904" s="7" t="str">
        <f>HYPERLINK("http://www.ensembl.org/Mus_musculus/Gene/Summary?db=core;g=ENSMUSG00000061130","ENSMUSG00000061130")</f>
        <v>ENSMUSG00000061130</v>
      </c>
      <c r="I2904" s="7" t="str">
        <f>HYPERLINK("http://www.informatics.jax.org/marker/MGI:101841","MGI:101841")</f>
        <v>MGI:101841</v>
      </c>
      <c r="J2904" s="4" t="s">
        <v>12</v>
      </c>
    </row>
    <row r="2905" spans="1:10" x14ac:dyDescent="0.25">
      <c r="A2905" s="2">
        <v>3580.81114885744</v>
      </c>
      <c r="B2905" s="3">
        <v>0.388882287784581</v>
      </c>
      <c r="C2905" s="5">
        <v>2.7802060712142999E-43</v>
      </c>
      <c r="D2905" s="6">
        <v>6.2160616467512494E-42</v>
      </c>
      <c r="E2905" s="3" t="s">
        <v>1780</v>
      </c>
      <c r="F2905" s="3" t="s">
        <v>1781</v>
      </c>
      <c r="G2905" s="3">
        <v>18472</v>
      </c>
      <c r="H2905" s="7" t="str">
        <f>HYPERLINK("http://www.ensembl.org/Mus_musculus/Gene/Summary?db=core;g=ENSMUSG00000020745","ENSMUSG00000020745")</f>
        <v>ENSMUSG00000020745</v>
      </c>
      <c r="I2905" s="7" t="str">
        <f>HYPERLINK("http://www.informatics.jax.org/marker/MGI:109520","MGI:109520")</f>
        <v>MGI:109520</v>
      </c>
      <c r="J2905" s="4" t="s">
        <v>12</v>
      </c>
    </row>
    <row r="2906" spans="1:10" x14ac:dyDescent="0.25">
      <c r="A2906" s="2">
        <v>164.13466671785</v>
      </c>
      <c r="B2906" s="3">
        <v>0.388725013464228</v>
      </c>
      <c r="C2906" s="5">
        <v>1.8498354094601501E-5</v>
      </c>
      <c r="D2906" s="6">
        <v>6.7503246251950804E-5</v>
      </c>
      <c r="E2906" s="3" t="s">
        <v>10820</v>
      </c>
      <c r="F2906" s="3" t="s">
        <v>10821</v>
      </c>
      <c r="G2906" s="3">
        <v>52712</v>
      </c>
      <c r="H2906" s="7" t="str">
        <f>HYPERLINK("http://www.ensembl.org/Mus_musculus/Gene/Summary?db=core;g=ENSMUSG00000018347","ENSMUSG00000018347")</f>
        <v>ENSMUSG00000018347</v>
      </c>
      <c r="I2906" s="7" t="str">
        <f>HYPERLINK("http://www.informatics.jax.org/marker/MGI:1289293","MGI:1289293")</f>
        <v>MGI:1289293</v>
      </c>
      <c r="J2906" s="4" t="s">
        <v>12</v>
      </c>
    </row>
    <row r="2907" spans="1:10" x14ac:dyDescent="0.25">
      <c r="A2907" s="2">
        <v>62.351704482016302</v>
      </c>
      <c r="B2907" s="3">
        <v>0.38866304155117298</v>
      </c>
      <c r="C2907" s="3">
        <v>1.0337665310389E-2</v>
      </c>
      <c r="D2907" s="4">
        <v>2.5649846902469499E-2</v>
      </c>
      <c r="E2907" s="3" t="s">
        <v>15899</v>
      </c>
      <c r="F2907" s="3" t="s">
        <v>15900</v>
      </c>
      <c r="G2907" s="3">
        <v>64933</v>
      </c>
      <c r="H2907" s="7" t="str">
        <f>HYPERLINK("http://www.ensembl.org/Mus_musculus/Gene/Summary?db=core;g=ENSMUSG00000031539","ENSMUSG00000031539")</f>
        <v>ENSMUSG00000031539</v>
      </c>
      <c r="I2907" s="7" t="str">
        <f>HYPERLINK("http://www.informatics.jax.org/marker/MGI:1929214","MGI:1929214")</f>
        <v>MGI:1929214</v>
      </c>
      <c r="J2907" s="4" t="s">
        <v>12</v>
      </c>
    </row>
    <row r="2908" spans="1:10" x14ac:dyDescent="0.25">
      <c r="A2908" s="2">
        <v>3549.5766204919801</v>
      </c>
      <c r="B2908" s="3">
        <v>0.38864206000125001</v>
      </c>
      <c r="C2908" s="3">
        <v>6.5726302123368099E-4</v>
      </c>
      <c r="D2908" s="4">
        <v>1.98974927521157E-3</v>
      </c>
      <c r="E2908" s="3" t="s">
        <v>13037</v>
      </c>
      <c r="F2908" s="3" t="s">
        <v>13038</v>
      </c>
      <c r="G2908" s="3">
        <v>226101</v>
      </c>
      <c r="H2908" s="7" t="str">
        <f>HYPERLINK("http://www.ensembl.org/Mus_musculus/Gene/Summary?db=core;g=ENSMUSG00000048612","ENSMUSG00000048612")</f>
        <v>ENSMUSG00000048612</v>
      </c>
      <c r="I2908" s="7" t="str">
        <f>HYPERLINK("http://www.informatics.jax.org/marker/MGI:1919192","MGI:1919192")</f>
        <v>MGI:1919192</v>
      </c>
      <c r="J2908" s="4" t="s">
        <v>12</v>
      </c>
    </row>
    <row r="2909" spans="1:10" x14ac:dyDescent="0.25">
      <c r="A2909" s="2">
        <v>817.07615571466897</v>
      </c>
      <c r="B2909" s="3">
        <v>0.388376497367521</v>
      </c>
      <c r="C2909" s="5">
        <v>1.37335089409094E-14</v>
      </c>
      <c r="D2909" s="6">
        <v>1.0328939600104201E-13</v>
      </c>
      <c r="E2909" s="3" t="s">
        <v>5261</v>
      </c>
      <c r="F2909" s="3" t="s">
        <v>5262</v>
      </c>
      <c r="G2909" s="3">
        <v>67665</v>
      </c>
      <c r="H2909" s="7" t="str">
        <f>HYPERLINK("http://www.ensembl.org/Mus_musculus/Gene/Summary?db=core;g=ENSMUSG00000024603","ENSMUSG00000024603")</f>
        <v>ENSMUSG00000024603</v>
      </c>
      <c r="I2909" s="7" t="str">
        <f>HYPERLINK("http://www.informatics.jax.org/marker/MGI:1914915","MGI:1914915")</f>
        <v>MGI:1914915</v>
      </c>
      <c r="J2909" s="4" t="s">
        <v>12</v>
      </c>
    </row>
    <row r="2910" spans="1:10" x14ac:dyDescent="0.25">
      <c r="A2910" s="2">
        <v>2279.5054060207999</v>
      </c>
      <c r="B2910" s="3">
        <v>0.388306898174961</v>
      </c>
      <c r="C2910" s="5">
        <v>7.9577438650499402E-9</v>
      </c>
      <c r="D2910" s="6">
        <v>3.9808906397459297E-8</v>
      </c>
      <c r="E2910" s="3" t="s">
        <v>7900</v>
      </c>
      <c r="F2910" s="3" t="s">
        <v>7901</v>
      </c>
      <c r="G2910" s="3">
        <v>18393</v>
      </c>
      <c r="H2910" s="7" t="str">
        <f>HYPERLINK("http://www.ensembl.org/Mus_musculus/Gene/Summary?db=core;g=ENSMUSG00000026037","ENSMUSG00000026037")</f>
        <v>ENSMUSG00000026037</v>
      </c>
      <c r="I2910" s="7" t="str">
        <f>HYPERLINK("http://www.informatics.jax.org/marker/MGI:1328306","MGI:1328306")</f>
        <v>MGI:1328306</v>
      </c>
      <c r="J2910" s="4" t="s">
        <v>12</v>
      </c>
    </row>
    <row r="2911" spans="1:10" x14ac:dyDescent="0.25">
      <c r="A2911" s="2">
        <v>684.41538141808599</v>
      </c>
      <c r="B2911" s="3">
        <v>0.38828205976299102</v>
      </c>
      <c r="C2911" s="5">
        <v>6.2655635933391804E-5</v>
      </c>
      <c r="D2911" s="4">
        <v>2.16084144911942E-4</v>
      </c>
      <c r="E2911" s="3" t="s">
        <v>11447</v>
      </c>
      <c r="F2911" s="3" t="s">
        <v>11448</v>
      </c>
      <c r="G2911" s="3">
        <v>52348</v>
      </c>
      <c r="H2911" s="7" t="str">
        <f>HYPERLINK("http://www.ensembl.org/Mus_musculus/Gene/Summary?db=core;g=ENSMUSG00000031600","ENSMUSG00000031600")</f>
        <v>ENSMUSG00000031600</v>
      </c>
      <c r="I2911" s="7" t="str">
        <f>HYPERLINK("http://www.informatics.jax.org/marker/MGI:1261835","MGI:1261835")</f>
        <v>MGI:1261835</v>
      </c>
      <c r="J2911" s="4" t="s">
        <v>12</v>
      </c>
    </row>
    <row r="2912" spans="1:10" x14ac:dyDescent="0.25">
      <c r="A2912" s="2">
        <v>49.200550510380801</v>
      </c>
      <c r="B2912" s="3">
        <v>0.388253977296181</v>
      </c>
      <c r="C2912" s="3">
        <v>1.4867375474184499E-2</v>
      </c>
      <c r="D2912" s="4">
        <v>3.5684596439985297E-2</v>
      </c>
      <c r="E2912" s="3" t="s">
        <v>16437</v>
      </c>
      <c r="F2912" s="3" t="s">
        <v>16438</v>
      </c>
      <c r="G2912" s="3" t="s">
        <v>83</v>
      </c>
      <c r="H2912" s="7" t="str">
        <f>HYPERLINK("http://www.ensembl.org/Mus_musculus/Gene/Summary?db=core;g=ENSMUSG00000074506","ENSMUSG00000074506")</f>
        <v>ENSMUSG00000074506</v>
      </c>
      <c r="I2912" s="7" t="str">
        <f>HYPERLINK("http://www.informatics.jax.org/marker/MGI:3708678","MGI:3708678")</f>
        <v>MGI:3708678</v>
      </c>
      <c r="J2912" s="4" t="s">
        <v>1043</v>
      </c>
    </row>
    <row r="2913" spans="1:10" x14ac:dyDescent="0.25">
      <c r="A2913" s="2">
        <v>865.89575921747598</v>
      </c>
      <c r="B2913" s="3">
        <v>0.38818306780165401</v>
      </c>
      <c r="C2913" s="5">
        <v>1.5395124750570799E-5</v>
      </c>
      <c r="D2913" s="6">
        <v>5.6682572830705203E-5</v>
      </c>
      <c r="E2913" s="3" t="s">
        <v>10724</v>
      </c>
      <c r="F2913" s="3" t="s">
        <v>10725</v>
      </c>
      <c r="G2913" s="3">
        <v>67809</v>
      </c>
      <c r="H2913" s="7" t="str">
        <f>HYPERLINK("http://www.ensembl.org/Mus_musculus/Gene/Summary?db=core;g=ENSMUSG00000070730","ENSMUSG00000070730")</f>
        <v>ENSMUSG00000070730</v>
      </c>
      <c r="I2913" s="7" t="str">
        <f>HYPERLINK("http://www.informatics.jax.org/marker/MGI:1915059","MGI:1915059")</f>
        <v>MGI:1915059</v>
      </c>
      <c r="J2913" s="4" t="s">
        <v>12</v>
      </c>
    </row>
    <row r="2914" spans="1:10" x14ac:dyDescent="0.25">
      <c r="A2914" s="2">
        <v>84.981852795783098</v>
      </c>
      <c r="B2914" s="3">
        <v>0.38791572867348001</v>
      </c>
      <c r="C2914" s="3">
        <v>3.525231954678E-3</v>
      </c>
      <c r="D2914" s="4">
        <v>9.5635677735933598E-3</v>
      </c>
      <c r="E2914" s="3" t="s">
        <v>14541</v>
      </c>
      <c r="F2914" s="3" t="s">
        <v>14542</v>
      </c>
      <c r="G2914" s="3" t="s">
        <v>83</v>
      </c>
      <c r="H2914" s="7" t="str">
        <f>HYPERLINK("http://www.ensembl.org/Mus_musculus/Gene/Summary?db=core;g=ENSMUSG00000113555","ENSMUSG00000113555")</f>
        <v>ENSMUSG00000113555</v>
      </c>
      <c r="I2914" s="7" t="str">
        <f>HYPERLINK("http://www.informatics.jax.org/marker/MGI:3642130","MGI:3642130")</f>
        <v>MGI:3642130</v>
      </c>
      <c r="J2914" s="4" t="s">
        <v>1043</v>
      </c>
    </row>
    <row r="2915" spans="1:10" x14ac:dyDescent="0.25">
      <c r="A2915" s="2">
        <v>1896.9416004233001</v>
      </c>
      <c r="B2915" s="3">
        <v>0.38785606681669998</v>
      </c>
      <c r="C2915" s="5">
        <v>8.5323458076556103E-14</v>
      </c>
      <c r="D2915" s="6">
        <v>6.11624352333583E-13</v>
      </c>
      <c r="E2915" s="3" t="s">
        <v>5519</v>
      </c>
      <c r="F2915" s="3" t="s">
        <v>5520</v>
      </c>
      <c r="G2915" s="3">
        <v>22763</v>
      </c>
      <c r="H2915" s="7" t="str">
        <f>HYPERLINK("http://www.ensembl.org/Mus_musculus/Gene/Summary?db=core;g=ENSMUSG00000022201","ENSMUSG00000022201")</f>
        <v>ENSMUSG00000022201</v>
      </c>
      <c r="I2915" s="7" t="str">
        <f>HYPERLINK("http://www.informatics.jax.org/marker/MGI:1341890","MGI:1341890")</f>
        <v>MGI:1341890</v>
      </c>
      <c r="J2915" s="4" t="s">
        <v>12</v>
      </c>
    </row>
    <row r="2916" spans="1:10" x14ac:dyDescent="0.25">
      <c r="A2916" s="2">
        <v>531.41074837463702</v>
      </c>
      <c r="B2916" s="3">
        <v>0.38745970098661903</v>
      </c>
      <c r="C2916" s="5">
        <v>2.4208055924340299E-5</v>
      </c>
      <c r="D2916" s="6">
        <v>8.7256966336682703E-5</v>
      </c>
      <c r="E2916" s="3" t="s">
        <v>10954</v>
      </c>
      <c r="F2916" s="3" t="s">
        <v>10955</v>
      </c>
      <c r="G2916" s="3">
        <v>110172</v>
      </c>
      <c r="H2916" s="7" t="str">
        <f>HYPERLINK("http://www.ensembl.org/Mus_musculus/Gene/Summary?db=core;g=ENSMUSG00000020873","ENSMUSG00000020873")</f>
        <v>ENSMUSG00000020873</v>
      </c>
      <c r="I2916" s="7" t="str">
        <f>HYPERLINK("http://www.informatics.jax.org/marker/MGI:1343133","MGI:1343133")</f>
        <v>MGI:1343133</v>
      </c>
      <c r="J2916" s="4" t="s">
        <v>12</v>
      </c>
    </row>
    <row r="2917" spans="1:10" x14ac:dyDescent="0.25">
      <c r="A2917" s="2">
        <v>965.06494352092602</v>
      </c>
      <c r="B2917" s="3">
        <v>0.38704862145691898</v>
      </c>
      <c r="C2917" s="5">
        <v>2.0940309523486199E-10</v>
      </c>
      <c r="D2917" s="6">
        <v>1.18593596726924E-9</v>
      </c>
      <c r="E2917" s="3" t="s">
        <v>6982</v>
      </c>
      <c r="F2917" s="3" t="s">
        <v>6983</v>
      </c>
      <c r="G2917" s="3">
        <v>60532</v>
      </c>
      <c r="H2917" s="7" t="str">
        <f>HYPERLINK("http://www.ensembl.org/Mus_musculus/Gene/Summary?db=core;g=ENSMUSG00000060475","ENSMUSG00000060475")</f>
        <v>ENSMUSG00000060475</v>
      </c>
      <c r="I2917" s="7" t="str">
        <f>HYPERLINK("http://www.informatics.jax.org/marker/MGI:1926395","MGI:1926395")</f>
        <v>MGI:1926395</v>
      </c>
      <c r="J2917" s="4" t="s">
        <v>12</v>
      </c>
    </row>
    <row r="2918" spans="1:10" x14ac:dyDescent="0.25">
      <c r="A2918" s="2">
        <v>102.89347405124499</v>
      </c>
      <c r="B2918" s="3">
        <v>0.38686631882098999</v>
      </c>
      <c r="C2918" s="3">
        <v>6.9716242943608604E-3</v>
      </c>
      <c r="D2918" s="4">
        <v>1.7897633483712198E-2</v>
      </c>
      <c r="E2918" s="3" t="s">
        <v>15369</v>
      </c>
      <c r="F2918" s="3" t="s">
        <v>15370</v>
      </c>
      <c r="G2918" s="3">
        <v>77604</v>
      </c>
      <c r="H2918" s="7" t="str">
        <f>HYPERLINK("http://www.ensembl.org/Mus_musculus/Gene/Summary?db=core;g=ENSMUSG00000052137","ENSMUSG00000052137")</f>
        <v>ENSMUSG00000052137</v>
      </c>
      <c r="I2918" s="7" t="str">
        <f>HYPERLINK("http://www.informatics.jax.org/marker/MGI:1924854","MGI:1924854")</f>
        <v>MGI:1924854</v>
      </c>
      <c r="J2918" s="4" t="s">
        <v>12</v>
      </c>
    </row>
    <row r="2919" spans="1:10" x14ac:dyDescent="0.25">
      <c r="A2919" s="2">
        <v>659.26067887709303</v>
      </c>
      <c r="B2919" s="3">
        <v>0.38677384806798898</v>
      </c>
      <c r="C2919" s="5">
        <v>1.2691085610824199E-8</v>
      </c>
      <c r="D2919" s="6">
        <v>6.2411024500112799E-8</v>
      </c>
      <c r="E2919" s="3" t="s">
        <v>8037</v>
      </c>
      <c r="F2919" s="3" t="s">
        <v>8038</v>
      </c>
      <c r="G2919" s="3">
        <v>234135</v>
      </c>
      <c r="H2919" s="7" t="str">
        <f>HYPERLINK("http://www.ensembl.org/Mus_musculus/Gene/Summary?db=core;g=ENSMUSG00000054823","ENSMUSG00000054823")</f>
        <v>ENSMUSG00000054823</v>
      </c>
      <c r="I2919" s="7" t="str">
        <f>HYPERLINK("http://www.informatics.jax.org/marker/MGI:2142581","MGI:2142581")</f>
        <v>MGI:2142581</v>
      </c>
      <c r="J2919" s="4" t="s">
        <v>12</v>
      </c>
    </row>
    <row r="2920" spans="1:10" x14ac:dyDescent="0.25">
      <c r="A2920" s="2">
        <v>142.91194524468801</v>
      </c>
      <c r="B2920" s="3">
        <v>0.38632775607348502</v>
      </c>
      <c r="C2920" s="3">
        <v>1.51082533561482E-4</v>
      </c>
      <c r="D2920" s="4">
        <v>4.9780243305470905E-4</v>
      </c>
      <c r="E2920" s="3" t="s">
        <v>11981</v>
      </c>
      <c r="F2920" s="3" t="s">
        <v>11982</v>
      </c>
      <c r="G2920" s="3">
        <v>234362</v>
      </c>
      <c r="H2920" s="7" t="str">
        <f>HYPERLINK("http://www.ensembl.org/Mus_musculus/Gene/Summary?db=core;g=ENSMUSG00000060427","ENSMUSG00000060427")</f>
        <v>ENSMUSG00000060427</v>
      </c>
      <c r="I2920" s="7" t="str">
        <f>HYPERLINK("http://www.informatics.jax.org/marker/MGI:2142546","MGI:2142546")</f>
        <v>MGI:2142546</v>
      </c>
      <c r="J2920" s="4" t="s">
        <v>12</v>
      </c>
    </row>
    <row r="2921" spans="1:10" x14ac:dyDescent="0.25">
      <c r="A2921" s="2">
        <v>10869.796480929101</v>
      </c>
      <c r="B2921" s="3">
        <v>0.38625044809017001</v>
      </c>
      <c r="C2921" s="3">
        <v>1.60294986142668E-3</v>
      </c>
      <c r="D2921" s="4">
        <v>4.5918319679451201E-3</v>
      </c>
      <c r="E2921" s="3" t="s">
        <v>13775</v>
      </c>
      <c r="F2921" s="3" t="s">
        <v>13776</v>
      </c>
      <c r="G2921" s="3">
        <v>110006</v>
      </c>
      <c r="H2921" s="7" t="str">
        <f>HYPERLINK("http://www.ensembl.org/Mus_musculus/Gene/Summary?db=core;g=ENSMUSG00000025534","ENSMUSG00000025534")</f>
        <v>ENSMUSG00000025534</v>
      </c>
      <c r="I2921" s="7" t="str">
        <f>HYPERLINK("http://www.informatics.jax.org/marker/MGI:95872","MGI:95872")</f>
        <v>MGI:95872</v>
      </c>
      <c r="J2921" s="4" t="s">
        <v>12</v>
      </c>
    </row>
    <row r="2922" spans="1:10" x14ac:dyDescent="0.25">
      <c r="A2922" s="2">
        <v>593.91760422139805</v>
      </c>
      <c r="B2922" s="3">
        <v>0.38624934461383398</v>
      </c>
      <c r="C2922" s="3">
        <v>8.3019959960503099E-4</v>
      </c>
      <c r="D2922" s="4">
        <v>2.4756594744006098E-3</v>
      </c>
      <c r="E2922" s="3" t="s">
        <v>13235</v>
      </c>
      <c r="F2922" s="3" t="s">
        <v>13236</v>
      </c>
      <c r="G2922" s="3" t="s">
        <v>83</v>
      </c>
      <c r="H2922" s="7" t="str">
        <f>HYPERLINK("http://www.ensembl.org/Mus_musculus/Gene/Summary?db=core;g=ENSMUSG00000085385","ENSMUSG00000085385")</f>
        <v>ENSMUSG00000085385</v>
      </c>
      <c r="I2922" s="7" t="str">
        <f>HYPERLINK("http://www.informatics.jax.org/marker/MGI:1915358","MGI:1915358")</f>
        <v>MGI:1915358</v>
      </c>
      <c r="J2922" s="4" t="s">
        <v>331</v>
      </c>
    </row>
    <row r="2923" spans="1:10" x14ac:dyDescent="0.25">
      <c r="A2923" s="2">
        <v>455.40726397493398</v>
      </c>
      <c r="B2923" s="3">
        <v>0.386046513839087</v>
      </c>
      <c r="C2923" s="3">
        <v>2.8763744887908699E-3</v>
      </c>
      <c r="D2923" s="4">
        <v>7.9132400835596906E-3</v>
      </c>
      <c r="E2923" s="3" t="s">
        <v>14341</v>
      </c>
      <c r="F2923" s="3" t="s">
        <v>14342</v>
      </c>
      <c r="G2923" s="3">
        <v>68098</v>
      </c>
      <c r="H2923" s="7" t="str">
        <f>HYPERLINK("http://www.ensembl.org/Mus_musculus/Gene/Summary?db=core;g=ENSMUSG00000029397","ENSMUSG00000029397")</f>
        <v>ENSMUSG00000029397</v>
      </c>
      <c r="I2923" s="7" t="str">
        <f>HYPERLINK("http://www.informatics.jax.org/marker/MGI:1915348","MGI:1915348")</f>
        <v>MGI:1915348</v>
      </c>
      <c r="J2923" s="4" t="s">
        <v>12</v>
      </c>
    </row>
    <row r="2924" spans="1:10" x14ac:dyDescent="0.25">
      <c r="A2924" s="2">
        <v>339.89215972265799</v>
      </c>
      <c r="B2924" s="3">
        <v>0.38572132516067698</v>
      </c>
      <c r="C2924" s="5">
        <v>1.7942145079240301E-6</v>
      </c>
      <c r="D2924" s="6">
        <v>7.2385249787769799E-6</v>
      </c>
      <c r="E2924" s="3" t="s">
        <v>9791</v>
      </c>
      <c r="F2924" s="3" t="s">
        <v>9792</v>
      </c>
      <c r="G2924" s="3">
        <v>23873</v>
      </c>
      <c r="H2924" s="7" t="str">
        <f>HYPERLINK("http://www.ensembl.org/Mus_musculus/Gene/Summary?db=core;g=ENSMUSG00000032463","ENSMUSG00000032463")</f>
        <v>ENSMUSG00000032463</v>
      </c>
      <c r="I2924" s="7" t="str">
        <f>HYPERLINK("http://www.informatics.jax.org/marker/MGI:1344387","MGI:1344387")</f>
        <v>MGI:1344387</v>
      </c>
      <c r="J2924" s="4" t="s">
        <v>12</v>
      </c>
    </row>
    <row r="2925" spans="1:10" x14ac:dyDescent="0.25">
      <c r="A2925" s="2">
        <v>123.758067905395</v>
      </c>
      <c r="B2925" s="3">
        <v>0.385548261264891</v>
      </c>
      <c r="C2925" s="3">
        <v>7.3131327402957301E-3</v>
      </c>
      <c r="D2925" s="4">
        <v>1.8683116678148901E-2</v>
      </c>
      <c r="E2925" s="3" t="s">
        <v>15443</v>
      </c>
      <c r="F2925" s="3" t="s">
        <v>15444</v>
      </c>
      <c r="G2925" s="3" t="s">
        <v>83</v>
      </c>
      <c r="H2925" s="7" t="str">
        <f>HYPERLINK("http://www.ensembl.org/Mus_musculus/Gene/Summary?db=core;g=ENSMUSG00000069972","ENSMUSG00000069972")</f>
        <v>ENSMUSG00000069972</v>
      </c>
      <c r="I2925" s="7" t="str">
        <f>HYPERLINK("http://www.informatics.jax.org/marker/MGI:3704295","MGI:3704295")</f>
        <v>MGI:3704295</v>
      </c>
      <c r="J2925" s="4" t="s">
        <v>1043</v>
      </c>
    </row>
    <row r="2926" spans="1:10" x14ac:dyDescent="0.25">
      <c r="A2926" s="2">
        <v>240.09970226940399</v>
      </c>
      <c r="B2926" s="3">
        <v>0.38517161757130802</v>
      </c>
      <c r="C2926" s="5">
        <v>3.9900559476124197E-6</v>
      </c>
      <c r="D2926" s="6">
        <v>1.5547105964615099E-5</v>
      </c>
      <c r="E2926" s="3" t="s">
        <v>10138</v>
      </c>
      <c r="F2926" s="3" t="s">
        <v>10139</v>
      </c>
      <c r="G2926" s="3" t="s">
        <v>83</v>
      </c>
      <c r="H2926" s="7" t="str">
        <f>HYPERLINK("http://www.ensembl.org/Mus_musculus/Gene/Summary?db=core;g=ENSMUSG00000085156","ENSMUSG00000085156")</f>
        <v>ENSMUSG00000085156</v>
      </c>
      <c r="I2926" s="7" t="str">
        <f>HYPERLINK("http://www.informatics.jax.org/marker/MGI:3650059","MGI:3650059")</f>
        <v>MGI:3650059</v>
      </c>
      <c r="J2926" s="4" t="s">
        <v>939</v>
      </c>
    </row>
    <row r="2927" spans="1:10" x14ac:dyDescent="0.25">
      <c r="A2927" s="2">
        <v>415.67818543952598</v>
      </c>
      <c r="B2927" s="3">
        <v>0.38505793719311399</v>
      </c>
      <c r="C2927" s="3">
        <v>1.1562094561775899E-3</v>
      </c>
      <c r="D2927" s="4">
        <v>3.3783450104937101E-3</v>
      </c>
      <c r="E2927" s="3" t="s">
        <v>13507</v>
      </c>
      <c r="F2927" s="3" t="s">
        <v>13508</v>
      </c>
      <c r="G2927" s="3">
        <v>229521</v>
      </c>
      <c r="H2927" s="7" t="str">
        <f>HYPERLINK("http://www.ensembl.org/Mus_musculus/Gene/Summary?db=core;g=ENSMUSG00000068923","ENSMUSG00000068923")</f>
        <v>ENSMUSG00000068923</v>
      </c>
      <c r="I2927" s="7" t="str">
        <f>HYPERLINK("http://www.informatics.jax.org/marker/MGI:1859547","MGI:1859547")</f>
        <v>MGI:1859547</v>
      </c>
      <c r="J2927" s="4" t="s">
        <v>12</v>
      </c>
    </row>
    <row r="2928" spans="1:10" x14ac:dyDescent="0.25">
      <c r="A2928" s="2">
        <v>86.079409293180007</v>
      </c>
      <c r="B2928" s="3">
        <v>0.38505365618572401</v>
      </c>
      <c r="C2928" s="3">
        <v>4.3222676033047103E-3</v>
      </c>
      <c r="D2928" s="4">
        <v>1.15667142267837E-2</v>
      </c>
      <c r="E2928" s="3" t="s">
        <v>14742</v>
      </c>
      <c r="F2928" s="3" t="s">
        <v>14743</v>
      </c>
      <c r="G2928" s="3" t="s">
        <v>83</v>
      </c>
      <c r="H2928" s="7" t="str">
        <f>HYPERLINK("http://www.ensembl.org/Mus_musculus/Gene/Summary?db=core;g=ENSMUSG00000106427","ENSMUSG00000106427")</f>
        <v>ENSMUSG00000106427</v>
      </c>
      <c r="I2928" s="7" t="str">
        <f>HYPERLINK("http://www.informatics.jax.org/marker/MGI:5662957","MGI:5662957")</f>
        <v>MGI:5662957</v>
      </c>
      <c r="J2928" s="4" t="s">
        <v>1828</v>
      </c>
    </row>
    <row r="2929" spans="1:10" x14ac:dyDescent="0.25">
      <c r="A2929" s="2">
        <v>699.06653926586296</v>
      </c>
      <c r="B2929" s="3">
        <v>0.38464169405039</v>
      </c>
      <c r="C2929" s="5">
        <v>8.0253825005083097E-8</v>
      </c>
      <c r="D2929" s="6">
        <v>3.66513531519277E-7</v>
      </c>
      <c r="E2929" s="3" t="s">
        <v>8653</v>
      </c>
      <c r="F2929" s="3" t="s">
        <v>8654</v>
      </c>
      <c r="G2929" s="3">
        <v>12662</v>
      </c>
      <c r="H2929" s="7" t="str">
        <f>HYPERLINK("http://www.ensembl.org/Mus_musculus/Gene/Summary?db=core;g=ENSMUSG00000025531","ENSMUSG00000025531")</f>
        <v>ENSMUSG00000025531</v>
      </c>
      <c r="I2929" s="7" t="str">
        <f>HYPERLINK("http://www.informatics.jax.org/marker/MGI:892979","MGI:892979")</f>
        <v>MGI:892979</v>
      </c>
      <c r="J2929" s="4" t="s">
        <v>12</v>
      </c>
    </row>
    <row r="2930" spans="1:10" x14ac:dyDescent="0.25">
      <c r="A2930" s="2">
        <v>709.60150505009005</v>
      </c>
      <c r="B2930" s="3">
        <v>0.38460798158022202</v>
      </c>
      <c r="C2930" s="3">
        <v>2.384164591188E-4</v>
      </c>
      <c r="D2930" s="4">
        <v>7.6635249777061703E-4</v>
      </c>
      <c r="E2930" s="3" t="s">
        <v>12281</v>
      </c>
      <c r="F2930" s="3" t="s">
        <v>12282</v>
      </c>
      <c r="G2930" s="3">
        <v>12257</v>
      </c>
      <c r="H2930" s="7" t="str">
        <f>HYPERLINK("http://www.ensembl.org/Mus_musculus/Gene/Summary?db=core;g=ENSMUSG00000041736","ENSMUSG00000041736")</f>
        <v>ENSMUSG00000041736</v>
      </c>
      <c r="I2930" s="7" t="str">
        <f>HYPERLINK("http://www.informatics.jax.org/marker/MGI:88222","MGI:88222")</f>
        <v>MGI:88222</v>
      </c>
      <c r="J2930" s="4" t="s">
        <v>12</v>
      </c>
    </row>
    <row r="2931" spans="1:10" x14ac:dyDescent="0.25">
      <c r="A2931" s="2">
        <v>2695.6400529205298</v>
      </c>
      <c r="B2931" s="3">
        <v>0.38455701214592902</v>
      </c>
      <c r="C2931" s="5">
        <v>1.28968568888262E-8</v>
      </c>
      <c r="D2931" s="6">
        <v>6.3343964594683201E-8</v>
      </c>
      <c r="E2931" s="3" t="s">
        <v>8047</v>
      </c>
      <c r="F2931" s="3" t="s">
        <v>8048</v>
      </c>
      <c r="G2931" s="3">
        <v>56351</v>
      </c>
      <c r="H2931" s="7" t="str">
        <f>HYPERLINK("http://www.ensembl.org/Mus_musculus/Gene/Summary?db=core;g=ENSMUSG00000071072","ENSMUSG00000071072")</f>
        <v>ENSMUSG00000071072</v>
      </c>
      <c r="I2931" s="7" t="str">
        <f>HYPERLINK("http://www.informatics.jax.org/marker/MGI:1929282","MGI:1929282")</f>
        <v>MGI:1929282</v>
      </c>
      <c r="J2931" s="4" t="s">
        <v>12</v>
      </c>
    </row>
    <row r="2932" spans="1:10" x14ac:dyDescent="0.25">
      <c r="A2932" s="2">
        <v>3297.5123233422701</v>
      </c>
      <c r="B2932" s="3">
        <v>0.38432046438218098</v>
      </c>
      <c r="C2932" s="5">
        <v>1.36778292801308E-13</v>
      </c>
      <c r="D2932" s="6">
        <v>9.6780334913591806E-13</v>
      </c>
      <c r="E2932" s="3" t="s">
        <v>5591</v>
      </c>
      <c r="F2932" s="3" t="s">
        <v>5592</v>
      </c>
      <c r="G2932" s="3">
        <v>228136</v>
      </c>
      <c r="H2932" s="7" t="str">
        <f>HYPERLINK("http://www.ensembl.org/Mus_musculus/Gene/Summary?db=core;g=ENSMUSG00000034075","ENSMUSG00000034075")</f>
        <v>ENSMUSG00000034075</v>
      </c>
      <c r="I2932" s="7" t="str">
        <f>HYPERLINK("http://www.informatics.jax.org/marker/MGI:1923573","MGI:1923573")</f>
        <v>MGI:1923573</v>
      </c>
      <c r="J2932" s="4" t="s">
        <v>12</v>
      </c>
    </row>
    <row r="2933" spans="1:10" x14ac:dyDescent="0.25">
      <c r="A2933" s="2">
        <v>583.03757223361504</v>
      </c>
      <c r="B2933" s="3">
        <v>0.384252326631082</v>
      </c>
      <c r="C2933" s="5">
        <v>1.1469292583919299E-7</v>
      </c>
      <c r="D2933" s="6">
        <v>5.1744326185058003E-7</v>
      </c>
      <c r="E2933" s="3" t="s">
        <v>8759</v>
      </c>
      <c r="F2933" s="3" t="s">
        <v>8760</v>
      </c>
      <c r="G2933" s="3">
        <v>244418</v>
      </c>
      <c r="H2933" s="7" t="str">
        <f>HYPERLINK("http://www.ensembl.org/Mus_musculus/Gene/Summary?db=core;g=ENSMUSG00000050271","ENSMUSG00000050271")</f>
        <v>ENSMUSG00000050271</v>
      </c>
      <c r="I2933" s="7" t="str">
        <f>HYPERLINK("http://www.informatics.jax.org/marker/MGI:1196223","MGI:1196223")</f>
        <v>MGI:1196223</v>
      </c>
      <c r="J2933" s="4" t="s">
        <v>12</v>
      </c>
    </row>
    <row r="2934" spans="1:10" x14ac:dyDescent="0.25">
      <c r="A2934" s="2">
        <v>652.33307840984003</v>
      </c>
      <c r="B2934" s="3">
        <v>0.38403506496865902</v>
      </c>
      <c r="C2934" s="5">
        <v>1.9410513728146402E-9</v>
      </c>
      <c r="D2934" s="6">
        <v>1.01747828473963E-8</v>
      </c>
      <c r="E2934" s="3" t="s">
        <v>7542</v>
      </c>
      <c r="F2934" s="3" t="s">
        <v>7543</v>
      </c>
      <c r="G2934" s="3">
        <v>56228</v>
      </c>
      <c r="H2934" s="7" t="str">
        <f>HYPERLINK("http://www.ensembl.org/Mus_musculus/Gene/Summary?db=core;g=ENSMUSG00000028277","ENSMUSG00000028277")</f>
        <v>ENSMUSG00000028277</v>
      </c>
      <c r="I2934" s="7" t="str">
        <f>HYPERLINK("http://www.informatics.jax.org/marker/MGI:1926245","MGI:1926245")</f>
        <v>MGI:1926245</v>
      </c>
      <c r="J2934" s="4" t="s">
        <v>12</v>
      </c>
    </row>
    <row r="2935" spans="1:10" x14ac:dyDescent="0.25">
      <c r="A2935" s="2">
        <v>4322.80097517585</v>
      </c>
      <c r="B2935" s="3">
        <v>0.38387939389847198</v>
      </c>
      <c r="C2935" s="5">
        <v>7.4199594627942999E-14</v>
      </c>
      <c r="D2935" s="6">
        <v>5.3382561330282296E-13</v>
      </c>
      <c r="E2935" s="3" t="s">
        <v>5499</v>
      </c>
      <c r="F2935" s="3" t="s">
        <v>5500</v>
      </c>
      <c r="G2935" s="3">
        <v>319939</v>
      </c>
      <c r="H2935" s="7" t="str">
        <f>HYPERLINK("http://www.ensembl.org/Mus_musculus/Gene/Summary?db=core;g=ENSMUSG00000020422","ENSMUSG00000020422")</f>
        <v>ENSMUSG00000020422</v>
      </c>
      <c r="I2935" s="7" t="str">
        <f>HYPERLINK("http://www.informatics.jax.org/marker/MGI:2443012","MGI:2443012")</f>
        <v>MGI:2443012</v>
      </c>
      <c r="J2935" s="4" t="s">
        <v>12</v>
      </c>
    </row>
    <row r="2936" spans="1:10" x14ac:dyDescent="0.25">
      <c r="A2936" s="2">
        <v>81.398293874700101</v>
      </c>
      <c r="B2936" s="3">
        <v>0.38364056314449202</v>
      </c>
      <c r="C2936" s="3">
        <v>1.44014606575557E-2</v>
      </c>
      <c r="D2936" s="4">
        <v>3.4671811032474402E-2</v>
      </c>
      <c r="E2936" s="3" t="s">
        <v>16387</v>
      </c>
      <c r="F2936" s="3" t="s">
        <v>16388</v>
      </c>
      <c r="G2936" s="3">
        <v>72535</v>
      </c>
      <c r="H2936" s="7" t="str">
        <f>HYPERLINK("http://www.ensembl.org/Mus_musculus/Gene/Summary?db=core;g=ENSMUSG00000035561","ENSMUSG00000035561")</f>
        <v>ENSMUSG00000035561</v>
      </c>
      <c r="I2936" s="7" t="str">
        <f>HYPERLINK("http://www.informatics.jax.org/marker/MGI:1919785","MGI:1919785")</f>
        <v>MGI:1919785</v>
      </c>
      <c r="J2936" s="4" t="s">
        <v>12</v>
      </c>
    </row>
    <row r="2937" spans="1:10" x14ac:dyDescent="0.25">
      <c r="A2937" s="2">
        <v>930.08515781172196</v>
      </c>
      <c r="B2937" s="3">
        <v>0.38346632380810203</v>
      </c>
      <c r="C2937" s="5">
        <v>3.3801737912668798E-12</v>
      </c>
      <c r="D2937" s="6">
        <v>2.1999018865935E-11</v>
      </c>
      <c r="E2937" s="3" t="s">
        <v>6077</v>
      </c>
      <c r="F2937" s="3" t="s">
        <v>6078</v>
      </c>
      <c r="G2937" s="3">
        <v>13542</v>
      </c>
      <c r="H2937" s="7" t="str">
        <f>HYPERLINK("http://www.ensembl.org/Mus_musculus/Gene/Summary?db=core;g=ENSMUSG00000029071","ENSMUSG00000029071")</f>
        <v>ENSMUSG00000029071</v>
      </c>
      <c r="I2937" s="7" t="str">
        <f>HYPERLINK("http://www.informatics.jax.org/marker/MGI:94941","MGI:94941")</f>
        <v>MGI:94941</v>
      </c>
      <c r="J2937" s="4" t="s">
        <v>12</v>
      </c>
    </row>
    <row r="2938" spans="1:10" x14ac:dyDescent="0.25">
      <c r="A2938" s="2">
        <v>654.89763515719699</v>
      </c>
      <c r="B2938" s="3">
        <v>0.38344531276445198</v>
      </c>
      <c r="C2938" s="5">
        <v>2.1911107970743499E-11</v>
      </c>
      <c r="D2938" s="6">
        <v>1.3402203758779801E-10</v>
      </c>
      <c r="E2938" s="3" t="s">
        <v>6465</v>
      </c>
      <c r="F2938" s="3" t="s">
        <v>6466</v>
      </c>
      <c r="G2938" s="3">
        <v>74133</v>
      </c>
      <c r="H2938" s="7" t="str">
        <f>HYPERLINK("http://www.ensembl.org/Mus_musculus/Gene/Summary?db=core;g=ENSMUSG00000020495","ENSMUSG00000020495")</f>
        <v>ENSMUSG00000020495</v>
      </c>
      <c r="I2938" s="7" t="str">
        <f>HYPERLINK("http://www.informatics.jax.org/marker/MGI:1921383","MGI:1921383")</f>
        <v>MGI:1921383</v>
      </c>
      <c r="J2938" s="4" t="s">
        <v>12</v>
      </c>
    </row>
    <row r="2939" spans="1:10" x14ac:dyDescent="0.25">
      <c r="A2939" s="2">
        <v>2275.3160693790001</v>
      </c>
      <c r="B2939" s="3">
        <v>0.38338142950429399</v>
      </c>
      <c r="C2939" s="5">
        <v>2.3159001586170501E-13</v>
      </c>
      <c r="D2939" s="6">
        <v>1.61776660035169E-12</v>
      </c>
      <c r="E2939" s="3" t="s">
        <v>5663</v>
      </c>
      <c r="F2939" s="3" t="s">
        <v>5664</v>
      </c>
      <c r="G2939" s="3">
        <v>74778</v>
      </c>
      <c r="H2939" s="7" t="str">
        <f>HYPERLINK("http://www.ensembl.org/Mus_musculus/Gene/Summary?db=core;g=ENSMUSG00000018040","ENSMUSG00000018040")</f>
        <v>ENSMUSG00000018040</v>
      </c>
      <c r="I2939" s="7" t="str">
        <f>HYPERLINK("http://www.informatics.jax.org/marker/MGI:1922028","MGI:1922028")</f>
        <v>MGI:1922028</v>
      </c>
      <c r="J2939" s="4" t="s">
        <v>12</v>
      </c>
    </row>
    <row r="2940" spans="1:10" x14ac:dyDescent="0.25">
      <c r="A2940" s="2">
        <v>204.92107517499201</v>
      </c>
      <c r="B2940" s="3">
        <v>0.38322053166988101</v>
      </c>
      <c r="C2940" s="3">
        <v>2.7661542377821599E-4</v>
      </c>
      <c r="D2940" s="4">
        <v>8.8038349853234799E-4</v>
      </c>
      <c r="E2940" s="3" t="s">
        <v>12404</v>
      </c>
      <c r="F2940" s="3" t="s">
        <v>12405</v>
      </c>
      <c r="G2940" s="3" t="s">
        <v>83</v>
      </c>
      <c r="H2940" s="7" t="str">
        <f>HYPERLINK("http://www.ensembl.org/Mus_musculus/Gene/Summary?db=core;g=ENSMUSG00000085058","ENSMUSG00000085058")</f>
        <v>ENSMUSG00000085058</v>
      </c>
      <c r="I2940" s="7" t="str">
        <f>HYPERLINK("http://www.informatics.jax.org/marker/MGI:1924459","MGI:1924459")</f>
        <v>MGI:1924459</v>
      </c>
      <c r="J2940" s="4" t="s">
        <v>331</v>
      </c>
    </row>
    <row r="2941" spans="1:10" x14ac:dyDescent="0.25">
      <c r="A2941" s="2">
        <v>1758.4427600900101</v>
      </c>
      <c r="B2941" s="3">
        <v>0.38311940847095499</v>
      </c>
      <c r="C2941" s="5">
        <v>4.5737394907055999E-16</v>
      </c>
      <c r="D2941" s="6">
        <v>3.7025510162854796E-15</v>
      </c>
      <c r="E2941" s="3" t="s">
        <v>4889</v>
      </c>
      <c r="F2941" s="3" t="s">
        <v>4890</v>
      </c>
      <c r="G2941" s="3">
        <v>12928</v>
      </c>
      <c r="H2941" s="7" t="str">
        <f>HYPERLINK("http://www.ensembl.org/Mus_musculus/Gene/Summary?db=core;g=ENSMUSG00000017776","ENSMUSG00000017776")</f>
        <v>ENSMUSG00000017776</v>
      </c>
      <c r="I2941" s="7" t="str">
        <f>HYPERLINK("http://www.informatics.jax.org/marker/MGI:88508","MGI:88508")</f>
        <v>MGI:88508</v>
      </c>
      <c r="J2941" s="4" t="s">
        <v>12</v>
      </c>
    </row>
    <row r="2942" spans="1:10" x14ac:dyDescent="0.25">
      <c r="A2942" s="2">
        <v>939.72974828165297</v>
      </c>
      <c r="B2942" s="3">
        <v>0.38299875442015602</v>
      </c>
      <c r="C2942" s="5">
        <v>4.0764407120470103E-6</v>
      </c>
      <c r="D2942" s="6">
        <v>1.5871157125679602E-5</v>
      </c>
      <c r="E2942" s="3" t="s">
        <v>10146</v>
      </c>
      <c r="F2942" s="3" t="s">
        <v>10147</v>
      </c>
      <c r="G2942" s="3">
        <v>74018</v>
      </c>
      <c r="H2942" s="7" t="str">
        <f>HYPERLINK("http://www.ensembl.org/Mus_musculus/Gene/Summary?db=core;g=ENSMUSG00000026024","ENSMUSG00000026024")</f>
        <v>ENSMUSG00000026024</v>
      </c>
      <c r="I2942" s="7" t="str">
        <f>HYPERLINK("http://www.informatics.jax.org/marker/MGI:1921268","MGI:1921268")</f>
        <v>MGI:1921268</v>
      </c>
      <c r="J2942" s="4" t="s">
        <v>12</v>
      </c>
    </row>
    <row r="2943" spans="1:10" x14ac:dyDescent="0.25">
      <c r="A2943" s="2">
        <v>385.31862818823203</v>
      </c>
      <c r="B2943" s="3">
        <v>0.38293955939747998</v>
      </c>
      <c r="C2943" s="3">
        <v>3.2740291831069301E-3</v>
      </c>
      <c r="D2943" s="4">
        <v>8.9213562927827304E-3</v>
      </c>
      <c r="E2943" s="3" t="s">
        <v>14477</v>
      </c>
      <c r="F2943" s="3" t="s">
        <v>14478</v>
      </c>
      <c r="G2943" s="3">
        <v>12934</v>
      </c>
      <c r="H2943" s="7" t="str">
        <f>HYPERLINK("http://www.ensembl.org/Mus_musculus/Gene/Summary?db=core;g=ENSMUSG00000022048","ENSMUSG00000022048")</f>
        <v>ENSMUSG00000022048</v>
      </c>
      <c r="I2943" s="7" t="str">
        <f>HYPERLINK("http://www.informatics.jax.org/marker/MGI:1349763","MGI:1349763")</f>
        <v>MGI:1349763</v>
      </c>
      <c r="J2943" s="4" t="s">
        <v>12</v>
      </c>
    </row>
    <row r="2944" spans="1:10" x14ac:dyDescent="0.25">
      <c r="A2944" s="2">
        <v>873.16326767127498</v>
      </c>
      <c r="B2944" s="3">
        <v>0.38292400725065501</v>
      </c>
      <c r="C2944" s="5">
        <v>1.1904579302278199E-9</v>
      </c>
      <c r="D2944" s="6">
        <v>6.3534047047612002E-9</v>
      </c>
      <c r="E2944" s="3" t="s">
        <v>7408</v>
      </c>
      <c r="F2944" s="3" t="s">
        <v>7409</v>
      </c>
      <c r="G2944" s="3">
        <v>246696</v>
      </c>
      <c r="H2944" s="7" t="str">
        <f>HYPERLINK("http://www.ensembl.org/Mus_musculus/Gene/Summary?db=core;g=ENSMUSG00000040414","ENSMUSG00000040414")</f>
        <v>ENSMUSG00000040414</v>
      </c>
      <c r="I2944" s="7" t="str">
        <f>HYPERLINK("http://www.informatics.jax.org/marker/MGI:2180509","MGI:2180509")</f>
        <v>MGI:2180509</v>
      </c>
      <c r="J2944" s="4" t="s">
        <v>12</v>
      </c>
    </row>
    <row r="2945" spans="1:10" x14ac:dyDescent="0.25">
      <c r="A2945" s="2">
        <v>900.89497454521597</v>
      </c>
      <c r="B2945" s="3">
        <v>0.38259592015724703</v>
      </c>
      <c r="C2945" s="5">
        <v>9.4175166902534896E-5</v>
      </c>
      <c r="D2945" s="4">
        <v>3.1860255469514298E-4</v>
      </c>
      <c r="E2945" s="3" t="s">
        <v>11669</v>
      </c>
      <c r="F2945" s="3" t="s">
        <v>11670</v>
      </c>
      <c r="G2945" s="3">
        <v>11639</v>
      </c>
      <c r="H2945" s="7" t="str">
        <f>HYPERLINK("http://www.ensembl.org/Mus_musculus/Gene/Summary?db=core;g=ENSMUSG00000028527","ENSMUSG00000028527")</f>
        <v>ENSMUSG00000028527</v>
      </c>
      <c r="I2945" s="7" t="str">
        <f>HYPERLINK("http://www.informatics.jax.org/marker/MGI:87979","MGI:87979")</f>
        <v>MGI:87979</v>
      </c>
      <c r="J2945" s="4" t="s">
        <v>12</v>
      </c>
    </row>
    <row r="2946" spans="1:10" x14ac:dyDescent="0.25">
      <c r="A2946" s="2">
        <v>359.077446510313</v>
      </c>
      <c r="B2946" s="3">
        <v>0.38258872762114599</v>
      </c>
      <c r="C2946" s="5">
        <v>4.1324649918414299E-5</v>
      </c>
      <c r="D2946" s="4">
        <v>1.45236516911625E-4</v>
      </c>
      <c r="E2946" s="3" t="s">
        <v>11233</v>
      </c>
      <c r="F2946" s="3" t="s">
        <v>11234</v>
      </c>
      <c r="G2946" s="3">
        <v>70012</v>
      </c>
      <c r="H2946" s="7" t="str">
        <f>HYPERLINK("http://www.ensembl.org/Mus_musculus/Gene/Summary?db=core;g=ENSMUSG00000037443","ENSMUSG00000037443")</f>
        <v>ENSMUSG00000037443</v>
      </c>
      <c r="I2946" s="7" t="str">
        <f>HYPERLINK("http://www.informatics.jax.org/marker/MGI:1917262","MGI:1917262")</f>
        <v>MGI:1917262</v>
      </c>
      <c r="J2946" s="4" t="s">
        <v>12</v>
      </c>
    </row>
    <row r="2947" spans="1:10" x14ac:dyDescent="0.25">
      <c r="A2947" s="2">
        <v>9100.2372293360895</v>
      </c>
      <c r="B2947" s="3">
        <v>0.38257460839764401</v>
      </c>
      <c r="C2947" s="5">
        <v>2.5317283986906598E-6</v>
      </c>
      <c r="D2947" s="6">
        <v>1.0065662101245899E-5</v>
      </c>
      <c r="E2947" s="3" t="s">
        <v>9933</v>
      </c>
      <c r="F2947" s="3" t="s">
        <v>9934</v>
      </c>
      <c r="G2947" s="3">
        <v>226562</v>
      </c>
      <c r="H2947" s="7" t="str">
        <f>HYPERLINK("http://www.ensembl.org/Mus_musculus/Gene/Summary?db=core;g=ENSMUSG00000040225","ENSMUSG00000040225")</f>
        <v>ENSMUSG00000040225</v>
      </c>
      <c r="I2947" s="7" t="str">
        <f>HYPERLINK("http://www.informatics.jax.org/marker/MGI:1913754","MGI:1913754")</f>
        <v>MGI:1913754</v>
      </c>
      <c r="J2947" s="4" t="s">
        <v>12</v>
      </c>
    </row>
    <row r="2948" spans="1:10" x14ac:dyDescent="0.25">
      <c r="A2948" s="2">
        <v>1976.0924201825801</v>
      </c>
      <c r="B2948" s="3">
        <v>0.38254134379348798</v>
      </c>
      <c r="C2948" s="5">
        <v>1.7311133929727701E-23</v>
      </c>
      <c r="D2948" s="6">
        <v>1.99401612788686E-22</v>
      </c>
      <c r="E2948" s="3" t="s">
        <v>3442</v>
      </c>
      <c r="F2948" s="3" t="s">
        <v>3443</v>
      </c>
      <c r="G2948" s="3">
        <v>233875</v>
      </c>
      <c r="H2948" s="7" t="str">
        <f>HYPERLINK("http://www.ensembl.org/Mus_musculus/Gene/Summary?db=core;g=ENSMUSG00000030689","ENSMUSG00000030689")</f>
        <v>ENSMUSG00000030689</v>
      </c>
      <c r="I2948" s="7" t="str">
        <f>HYPERLINK("http://www.informatics.jax.org/marker/MGI:2141881","MGI:2141881")</f>
        <v>MGI:2141881</v>
      </c>
      <c r="J2948" s="4" t="s">
        <v>12</v>
      </c>
    </row>
    <row r="2949" spans="1:10" x14ac:dyDescent="0.25">
      <c r="A2949" s="2">
        <v>2840.4994373797699</v>
      </c>
      <c r="B2949" s="3">
        <v>0.38229728355169901</v>
      </c>
      <c r="C2949" s="5">
        <v>5.3332081521126003E-8</v>
      </c>
      <c r="D2949" s="6">
        <v>2.4728630322045702E-7</v>
      </c>
      <c r="E2949" s="3" t="s">
        <v>8523</v>
      </c>
      <c r="F2949" s="3" t="s">
        <v>8524</v>
      </c>
      <c r="G2949" s="3" t="s">
        <v>83</v>
      </c>
      <c r="H2949" s="7" t="str">
        <f>HYPERLINK("http://www.ensembl.org/Mus_musculus/Gene/Summary?db=core;g=ENSMUSG00000098371","ENSMUSG00000098371")</f>
        <v>ENSMUSG00000098371</v>
      </c>
      <c r="I2949" s="7" t="str">
        <f>HYPERLINK("http://www.informatics.jax.org/marker/MGI:5547773","MGI:5547773")</f>
        <v>MGI:5547773</v>
      </c>
      <c r="J2949" s="4" t="s">
        <v>331</v>
      </c>
    </row>
    <row r="2950" spans="1:10" x14ac:dyDescent="0.25">
      <c r="A2950" s="2">
        <v>713.690356461531</v>
      </c>
      <c r="B2950" s="3">
        <v>0.38207625331746198</v>
      </c>
      <c r="C2950" s="5">
        <v>9.06633751233743E-13</v>
      </c>
      <c r="D2950" s="6">
        <v>6.1040688201875803E-12</v>
      </c>
      <c r="E2950" s="3" t="s">
        <v>5875</v>
      </c>
      <c r="F2950" s="3" t="s">
        <v>5876</v>
      </c>
      <c r="G2950" s="3">
        <v>52432</v>
      </c>
      <c r="H2950" s="7" t="str">
        <f>HYPERLINK("http://www.ensembl.org/Mus_musculus/Gene/Summary?db=core;g=ENSMUSG00000041769","ENSMUSG00000041769")</f>
        <v>ENSMUSG00000041769</v>
      </c>
      <c r="I2950" s="7" t="str">
        <f>HYPERLINK("http://www.informatics.jax.org/marker/MGI:1289252","MGI:1289252")</f>
        <v>MGI:1289252</v>
      </c>
      <c r="J2950" s="4" t="s">
        <v>12</v>
      </c>
    </row>
    <row r="2951" spans="1:10" x14ac:dyDescent="0.25">
      <c r="A2951" s="2">
        <v>277.27044269386602</v>
      </c>
      <c r="B2951" s="3">
        <v>0.38200029792922902</v>
      </c>
      <c r="C2951" s="5">
        <v>2.3483634813849699E-5</v>
      </c>
      <c r="D2951" s="6">
        <v>8.4785294494528802E-5</v>
      </c>
      <c r="E2951" s="3" t="s">
        <v>10934</v>
      </c>
      <c r="F2951" s="3" t="s">
        <v>10935</v>
      </c>
      <c r="G2951" s="3">
        <v>16439</v>
      </c>
      <c r="H2951" s="7" t="str">
        <f>HYPERLINK("http://www.ensembl.org/Mus_musculus/Gene/Summary?db=core;g=ENSMUSG00000030287","ENSMUSG00000030287")</f>
        <v>ENSMUSG00000030287</v>
      </c>
      <c r="I2951" s="7" t="str">
        <f>HYPERLINK("http://www.informatics.jax.org/marker/MGI:99418","MGI:99418")</f>
        <v>MGI:99418</v>
      </c>
      <c r="J2951" s="4" t="s">
        <v>12</v>
      </c>
    </row>
    <row r="2952" spans="1:10" x14ac:dyDescent="0.25">
      <c r="A2952" s="2">
        <v>726.27411771695199</v>
      </c>
      <c r="B2952" s="3">
        <v>0.38185006153883599</v>
      </c>
      <c r="C2952" s="5">
        <v>7.2627914873370601E-9</v>
      </c>
      <c r="D2952" s="6">
        <v>3.6415522026515903E-8</v>
      </c>
      <c r="E2952" s="3" t="s">
        <v>7882</v>
      </c>
      <c r="F2952" s="3" t="s">
        <v>7883</v>
      </c>
      <c r="G2952" s="3">
        <v>83435</v>
      </c>
      <c r="H2952" s="7" t="str">
        <f>HYPERLINK("http://www.ensembl.org/Mus_musculus/Gene/Summary?db=core;g=ENSMUSG00000002733","ENSMUSG00000002733")</f>
        <v>ENSMUSG00000002733</v>
      </c>
      <c r="I2952" s="7" t="str">
        <f>HYPERLINK("http://www.informatics.jax.org/marker/MGI:1932515","MGI:1932515")</f>
        <v>MGI:1932515</v>
      </c>
      <c r="J2952" s="4" t="s">
        <v>12</v>
      </c>
    </row>
    <row r="2953" spans="1:10" x14ac:dyDescent="0.25">
      <c r="A2953" s="2">
        <v>168.79654661837901</v>
      </c>
      <c r="B2953" s="3">
        <v>0.38181047534496698</v>
      </c>
      <c r="C2953" s="3">
        <v>6.1734786971083999E-4</v>
      </c>
      <c r="D2953" s="4">
        <v>1.8766918437949399E-3</v>
      </c>
      <c r="E2953" s="3" t="s">
        <v>12983</v>
      </c>
      <c r="F2953" s="3" t="s">
        <v>12984</v>
      </c>
      <c r="G2953" s="3">
        <v>66714</v>
      </c>
      <c r="H2953" s="7" t="str">
        <f>HYPERLINK("http://www.ensembl.org/Mus_musculus/Gene/Summary?db=core;g=ENSMUSG00000036934","ENSMUSG00000036934")</f>
        <v>ENSMUSG00000036934</v>
      </c>
      <c r="I2953" s="7" t="str">
        <f>HYPERLINK("http://www.informatics.jax.org/marker/MGI:1913964","MGI:1913964")</f>
        <v>MGI:1913964</v>
      </c>
      <c r="J2953" s="4" t="s">
        <v>12</v>
      </c>
    </row>
    <row r="2954" spans="1:10" x14ac:dyDescent="0.25">
      <c r="A2954" s="2">
        <v>1360.47842028747</v>
      </c>
      <c r="B2954" s="3">
        <v>0.38168459331610699</v>
      </c>
      <c r="C2954" s="5">
        <v>2.2863627355066301E-10</v>
      </c>
      <c r="D2954" s="6">
        <v>1.29189321330059E-9</v>
      </c>
      <c r="E2954" s="3" t="s">
        <v>6998</v>
      </c>
      <c r="F2954" s="3" t="s">
        <v>6999</v>
      </c>
      <c r="G2954" s="3">
        <v>11974</v>
      </c>
      <c r="H2954" s="7" t="str">
        <f>HYPERLINK("http://www.ensembl.org/Mus_musculus/Gene/Summary?db=core;g=ENSMUSG00000015575","ENSMUSG00000015575")</f>
        <v>ENSMUSG00000015575</v>
      </c>
      <c r="I2954" s="7" t="str">
        <f>HYPERLINK("http://www.informatics.jax.org/marker/MGI:1328318","MGI:1328318")</f>
        <v>MGI:1328318</v>
      </c>
      <c r="J2954" s="4" t="s">
        <v>12</v>
      </c>
    </row>
    <row r="2955" spans="1:10" x14ac:dyDescent="0.25">
      <c r="A2955" s="2">
        <v>144.86019484253401</v>
      </c>
      <c r="B2955" s="3">
        <v>0.38142696591640302</v>
      </c>
      <c r="C2955" s="3">
        <v>6.34962865407195E-4</v>
      </c>
      <c r="D2955" s="4">
        <v>1.9266760587521E-3</v>
      </c>
      <c r="E2955" s="3" t="s">
        <v>13007</v>
      </c>
      <c r="F2955" s="3" t="s">
        <v>13008</v>
      </c>
      <c r="G2955" s="3">
        <v>18970</v>
      </c>
      <c r="H2955" s="7" t="str">
        <f>HYPERLINK("http://www.ensembl.org/Mus_musculus/Gene/Summary?db=core;g=ENSMUSG00000031536","ENSMUSG00000031536")</f>
        <v>ENSMUSG00000031536</v>
      </c>
      <c r="I2955" s="7" t="str">
        <f>HYPERLINK("http://www.informatics.jax.org/marker/MGI:97740","MGI:97740")</f>
        <v>MGI:97740</v>
      </c>
      <c r="J2955" s="4" t="s">
        <v>12</v>
      </c>
    </row>
    <row r="2956" spans="1:10" x14ac:dyDescent="0.25">
      <c r="A2956" s="2">
        <v>107.807196181471</v>
      </c>
      <c r="B2956" s="3">
        <v>0.38136605053613598</v>
      </c>
      <c r="C2956" s="3">
        <v>3.8444313113987398E-3</v>
      </c>
      <c r="D2956" s="4">
        <v>1.03767020888014E-2</v>
      </c>
      <c r="E2956" s="3" t="s">
        <v>14615</v>
      </c>
      <c r="F2956" s="3" t="s">
        <v>14616</v>
      </c>
      <c r="G2956" s="3" t="s">
        <v>83</v>
      </c>
      <c r="H2956" s="7" t="str">
        <f>HYPERLINK("http://www.ensembl.org/Mus_musculus/Gene/Summary?db=core;g=ENSMUSG00000112302","ENSMUSG00000112302")</f>
        <v>ENSMUSG00000112302</v>
      </c>
      <c r="I2956" s="7" t="str">
        <f>HYPERLINK("http://www.informatics.jax.org/marker/MGI:6097627","MGI:6097627")</f>
        <v>MGI:6097627</v>
      </c>
      <c r="J2956" s="4" t="s">
        <v>3187</v>
      </c>
    </row>
    <row r="2957" spans="1:10" x14ac:dyDescent="0.25">
      <c r="A2957" s="2">
        <v>2573.1627602273202</v>
      </c>
      <c r="B2957" s="3">
        <v>0.381302725300391</v>
      </c>
      <c r="C2957" s="5">
        <v>2.4565917106232402E-6</v>
      </c>
      <c r="D2957" s="6">
        <v>9.7866643502000399E-6</v>
      </c>
      <c r="E2957" s="3" t="s">
        <v>9915</v>
      </c>
      <c r="F2957" s="3" t="s">
        <v>9916</v>
      </c>
      <c r="G2957" s="3">
        <v>58207</v>
      </c>
      <c r="H2957" s="7" t="str">
        <f>HYPERLINK("http://www.ensembl.org/Mus_musculus/Gene/Summary?db=core;g=ENSMUSG00000027074","ENSMUSG00000027074")</f>
        <v>ENSMUSG00000027074</v>
      </c>
      <c r="I2957" s="7" t="str">
        <f>HYPERLINK("http://www.informatics.jax.org/marker/MGI:1931054","MGI:1931054")</f>
        <v>MGI:1931054</v>
      </c>
      <c r="J2957" s="4" t="s">
        <v>12</v>
      </c>
    </row>
    <row r="2958" spans="1:10" x14ac:dyDescent="0.25">
      <c r="A2958" s="2">
        <v>241.27705075272601</v>
      </c>
      <c r="B2958" s="3">
        <v>0.38118992564767501</v>
      </c>
      <c r="C2958" s="5">
        <v>2.8464100842297499E-5</v>
      </c>
      <c r="D2958" s="4">
        <v>1.01927014456166E-4</v>
      </c>
      <c r="E2958" s="3" t="s">
        <v>11026</v>
      </c>
      <c r="F2958" s="3" t="s">
        <v>11027</v>
      </c>
      <c r="G2958" s="3">
        <v>66815</v>
      </c>
      <c r="H2958" s="7" t="str">
        <f>HYPERLINK("http://www.ensembl.org/Mus_musculus/Gene/Summary?db=core;g=ENSMUSG00000027994","ENSMUSG00000027994")</f>
        <v>ENSMUSG00000027994</v>
      </c>
      <c r="I2958" s="7" t="str">
        <f>HYPERLINK("http://www.informatics.jax.org/marker/MGI:1914065","MGI:1914065")</f>
        <v>MGI:1914065</v>
      </c>
      <c r="J2958" s="4" t="s">
        <v>12</v>
      </c>
    </row>
    <row r="2959" spans="1:10" x14ac:dyDescent="0.25">
      <c r="A2959" s="2">
        <v>1380.5306603927299</v>
      </c>
      <c r="B2959" s="3">
        <v>0.38107147436806899</v>
      </c>
      <c r="C2959" s="5">
        <v>6.7422348190598395E-10</v>
      </c>
      <c r="D2959" s="6">
        <v>3.65768557446658E-9</v>
      </c>
      <c r="E2959" s="3" t="s">
        <v>7288</v>
      </c>
      <c r="F2959" s="3" t="s">
        <v>7289</v>
      </c>
      <c r="G2959" s="3">
        <v>72554</v>
      </c>
      <c r="H2959" s="7" t="str">
        <f>HYPERLINK("http://www.ensembl.org/Mus_musculus/Gene/Summary?db=core;g=ENSMUSG00000063785","ENSMUSG00000063785")</f>
        <v>ENSMUSG00000063785</v>
      </c>
      <c r="I2959" s="7" t="str">
        <f>HYPERLINK("http://www.informatics.jax.org/marker/MGI:1919804","MGI:1919804")</f>
        <v>MGI:1919804</v>
      </c>
      <c r="J2959" s="4" t="s">
        <v>12</v>
      </c>
    </row>
    <row r="2960" spans="1:10" x14ac:dyDescent="0.25">
      <c r="A2960" s="2">
        <v>729.96494057625</v>
      </c>
      <c r="B2960" s="3">
        <v>0.38080583350516001</v>
      </c>
      <c r="C2960" s="5">
        <v>2.2673102606874999E-8</v>
      </c>
      <c r="D2960" s="6">
        <v>1.08680987702376E-7</v>
      </c>
      <c r="E2960" s="3" t="s">
        <v>8245</v>
      </c>
      <c r="F2960" s="3" t="s">
        <v>8246</v>
      </c>
      <c r="G2960" s="3">
        <v>399510</v>
      </c>
      <c r="H2960" s="7" t="str">
        <f>HYPERLINK("http://www.ensembl.org/Mus_musculus/Gene/Summary?db=core;g=ENSMUSG00000034761","ENSMUSG00000034761")</f>
        <v>ENSMUSG00000034761</v>
      </c>
      <c r="I2960" s="7" t="str">
        <f>HYPERLINK("http://www.informatics.jax.org/marker/MGI:1925503","MGI:1925503")</f>
        <v>MGI:1925503</v>
      </c>
      <c r="J2960" s="4" t="s">
        <v>12</v>
      </c>
    </row>
    <row r="2961" spans="1:10" x14ac:dyDescent="0.25">
      <c r="A2961" s="2">
        <v>76.353714662816301</v>
      </c>
      <c r="B2961" s="3">
        <v>0.38071089690686999</v>
      </c>
      <c r="C2961" s="3">
        <v>6.4790696613844199E-3</v>
      </c>
      <c r="D2961" s="4">
        <v>1.6741727087385298E-2</v>
      </c>
      <c r="E2961" s="3" t="s">
        <v>15269</v>
      </c>
      <c r="F2961" s="3" t="s">
        <v>15270</v>
      </c>
      <c r="G2961" s="3">
        <v>228807</v>
      </c>
      <c r="H2961" s="7" t="str">
        <f>HYPERLINK("http://www.ensembl.org/Mus_musculus/Gene/Summary?db=core;g=ENSMUSG00000059842","ENSMUSG00000059842")</f>
        <v>ENSMUSG00000059842</v>
      </c>
      <c r="I2961" s="7" t="str">
        <f>HYPERLINK("http://www.informatics.jax.org/marker/MGI:2682937","MGI:2682937")</f>
        <v>MGI:2682937</v>
      </c>
      <c r="J2961" s="4" t="s">
        <v>12</v>
      </c>
    </row>
    <row r="2962" spans="1:10" x14ac:dyDescent="0.25">
      <c r="A2962" s="2">
        <v>59.353865045499802</v>
      </c>
      <c r="B2962" s="3">
        <v>0.38048353076587099</v>
      </c>
      <c r="C2962" s="3">
        <v>1.3087587365464601E-2</v>
      </c>
      <c r="D2962" s="4">
        <v>3.17880555298636E-2</v>
      </c>
      <c r="E2962" s="3" t="s">
        <v>16241</v>
      </c>
      <c r="F2962" s="3" t="s">
        <v>16242</v>
      </c>
      <c r="G2962" s="3">
        <v>22420</v>
      </c>
      <c r="H2962" s="7" t="str">
        <f>HYPERLINK("http://www.ensembl.org/Mus_musculus/Gene/Summary?db=core;g=ENSMUSG00000033227","ENSMUSG00000033227")</f>
        <v>ENSMUSG00000033227</v>
      </c>
      <c r="I2962" s="7" t="str">
        <f>HYPERLINK("http://www.informatics.jax.org/marker/MGI:98960","MGI:98960")</f>
        <v>MGI:98960</v>
      </c>
      <c r="J2962" s="4" t="s">
        <v>12</v>
      </c>
    </row>
    <row r="2963" spans="1:10" x14ac:dyDescent="0.25">
      <c r="A2963" s="2">
        <v>459.39889775575301</v>
      </c>
      <c r="B2963" s="3">
        <v>0.380386914021623</v>
      </c>
      <c r="C2963" s="5">
        <v>1.30458357025405E-9</v>
      </c>
      <c r="D2963" s="6">
        <v>6.9362059868994099E-9</v>
      </c>
      <c r="E2963" s="3" t="s">
        <v>7436</v>
      </c>
      <c r="F2963" s="3" t="s">
        <v>7437</v>
      </c>
      <c r="G2963" s="3">
        <v>57357</v>
      </c>
      <c r="H2963" s="7" t="str">
        <f>HYPERLINK("http://www.ensembl.org/Mus_musculus/Gene/Summary?db=core;g=ENSMUSG00000029233","ENSMUSG00000029233")</f>
        <v>ENSMUSG00000029233</v>
      </c>
      <c r="I2963" s="7" t="str">
        <f>HYPERLINK("http://www.informatics.jax.org/marker/MGI:1930252","MGI:1930252")</f>
        <v>MGI:1930252</v>
      </c>
      <c r="J2963" s="4" t="s">
        <v>12</v>
      </c>
    </row>
    <row r="2964" spans="1:10" x14ac:dyDescent="0.25">
      <c r="A2964" s="2">
        <v>1289.5812085579701</v>
      </c>
      <c r="B2964" s="3">
        <v>0.38026865876219501</v>
      </c>
      <c r="C2964" s="5">
        <v>4.3518478745759201E-5</v>
      </c>
      <c r="D2964" s="4">
        <v>1.5253899766554799E-4</v>
      </c>
      <c r="E2964" s="3" t="s">
        <v>11263</v>
      </c>
      <c r="F2964" s="3" t="s">
        <v>11264</v>
      </c>
      <c r="G2964" s="3">
        <v>227644</v>
      </c>
      <c r="H2964" s="7" t="str">
        <f>HYPERLINK("http://www.ensembl.org/Mus_musculus/Gene/Summary?db=core;g=ENSMUSG00000036281","ENSMUSG00000036281")</f>
        <v>ENSMUSG00000036281</v>
      </c>
      <c r="I2964" s="7" t="str">
        <f>HYPERLINK("http://www.informatics.jax.org/marker/MGI:2443935","MGI:2443935")</f>
        <v>MGI:2443935</v>
      </c>
      <c r="J2964" s="4" t="s">
        <v>12</v>
      </c>
    </row>
    <row r="2965" spans="1:10" x14ac:dyDescent="0.25">
      <c r="A2965" s="2">
        <v>2098.4317152384001</v>
      </c>
      <c r="B2965" s="3">
        <v>0.380226930627591</v>
      </c>
      <c r="C2965" s="5">
        <v>4.9595564578932304E-7</v>
      </c>
      <c r="D2965" s="6">
        <v>2.1164781075449999E-6</v>
      </c>
      <c r="E2965" s="3" t="s">
        <v>9257</v>
      </c>
      <c r="F2965" s="3" t="s">
        <v>9258</v>
      </c>
      <c r="G2965" s="3">
        <v>56442</v>
      </c>
      <c r="H2965" s="7" t="str">
        <f>HYPERLINK("http://www.ensembl.org/Mus_musculus/Gene/Summary?db=core;g=ENSMUSG00000019877","ENSMUSG00000019877")</f>
        <v>ENSMUSG00000019877</v>
      </c>
      <c r="I2965" s="7" t="str">
        <f>HYPERLINK("http://www.informatics.jax.org/marker/MGI:1926228","MGI:1926228")</f>
        <v>MGI:1926228</v>
      </c>
      <c r="J2965" s="4" t="s">
        <v>12</v>
      </c>
    </row>
    <row r="2966" spans="1:10" x14ac:dyDescent="0.25">
      <c r="A2966" s="2">
        <v>1887.8620921603101</v>
      </c>
      <c r="B2966" s="3">
        <v>0.37989778650887401</v>
      </c>
      <c r="C2966" s="5">
        <v>2.3826569903622402E-10</v>
      </c>
      <c r="D2966" s="6">
        <v>1.34360868887456E-9</v>
      </c>
      <c r="E2966" s="3" t="s">
        <v>7012</v>
      </c>
      <c r="F2966" s="3" t="s">
        <v>7013</v>
      </c>
      <c r="G2966" s="3">
        <v>16969</v>
      </c>
      <c r="H2966" s="7" t="str">
        <f>HYPERLINK("http://www.ensembl.org/Mus_musculus/Gene/Summary?db=core;g=ENSMUSG00000035011","ENSMUSG00000035011")</f>
        <v>ENSMUSG00000035011</v>
      </c>
      <c r="I2966" s="7" t="str">
        <f>HYPERLINK("http://www.informatics.jax.org/marker/MGI:1335091","MGI:1335091")</f>
        <v>MGI:1335091</v>
      </c>
      <c r="J2966" s="4" t="s">
        <v>12</v>
      </c>
    </row>
    <row r="2967" spans="1:10" x14ac:dyDescent="0.25">
      <c r="A2967" s="2">
        <v>3983.26828019186</v>
      </c>
      <c r="B2967" s="3">
        <v>0.37984771288466701</v>
      </c>
      <c r="C2967" s="5">
        <v>3.0645966953197202E-5</v>
      </c>
      <c r="D2967" s="4">
        <v>1.09342947044879E-4</v>
      </c>
      <c r="E2967" s="3" t="s">
        <v>11066</v>
      </c>
      <c r="F2967" s="3" t="s">
        <v>11067</v>
      </c>
      <c r="G2967" s="3">
        <v>54445</v>
      </c>
      <c r="H2967" s="7" t="str">
        <f>HYPERLINK("http://www.ensembl.org/Mus_musculus/Gene/Summary?db=core;g=ENSMUSG00000036908","ENSMUSG00000036908")</f>
        <v>ENSMUSG00000036908</v>
      </c>
      <c r="I2967" s="7" t="str">
        <f>HYPERLINK("http://www.informatics.jax.org/marker/MGI:1859307","MGI:1859307")</f>
        <v>MGI:1859307</v>
      </c>
      <c r="J2967" s="4" t="s">
        <v>12</v>
      </c>
    </row>
    <row r="2968" spans="1:10" x14ac:dyDescent="0.25">
      <c r="A2968" s="2">
        <v>183.488605812614</v>
      </c>
      <c r="B2968" s="3">
        <v>0.379629505397301</v>
      </c>
      <c r="C2968" s="3">
        <v>8.1235997600445696E-4</v>
      </c>
      <c r="D2968" s="4">
        <v>2.4268654335415701E-3</v>
      </c>
      <c r="E2968" s="3" t="s">
        <v>13211</v>
      </c>
      <c r="F2968" s="3" t="s">
        <v>13212</v>
      </c>
      <c r="G2968" s="3">
        <v>68117</v>
      </c>
      <c r="H2968" s="7" t="str">
        <f>HYPERLINK("http://www.ensembl.org/Mus_musculus/Gene/Summary?db=core;g=ENSMUSG00000025525","ENSMUSG00000025525")</f>
        <v>ENSMUSG00000025525</v>
      </c>
      <c r="I2968" s="7" t="str">
        <f>HYPERLINK("http://www.informatics.jax.org/marker/MGI:1915367","MGI:1915367")</f>
        <v>MGI:1915367</v>
      </c>
      <c r="J2968" s="4" t="s">
        <v>12</v>
      </c>
    </row>
    <row r="2969" spans="1:10" x14ac:dyDescent="0.25">
      <c r="A2969" s="2">
        <v>3022.0442030571899</v>
      </c>
      <c r="B2969" s="3">
        <v>0.37904882442062998</v>
      </c>
      <c r="C2969" s="5">
        <v>1.48523241738453E-8</v>
      </c>
      <c r="D2969" s="6">
        <v>7.2532895668209305E-8</v>
      </c>
      <c r="E2969" s="3" t="s">
        <v>8093</v>
      </c>
      <c r="F2969" s="3" t="s">
        <v>8094</v>
      </c>
      <c r="G2969" s="3">
        <v>68193</v>
      </c>
      <c r="H2969" s="7" t="str">
        <f>HYPERLINK("http://www.ensembl.org/Mus_musculus/Gene/Summary?db=core;g=ENSMUSG00000098274","ENSMUSG00000098274")</f>
        <v>ENSMUSG00000098274</v>
      </c>
      <c r="I2969" s="7" t="str">
        <f>HYPERLINK("http://www.informatics.jax.org/marker/MGI:1915443","MGI:1915443")</f>
        <v>MGI:1915443</v>
      </c>
      <c r="J2969" s="4" t="s">
        <v>12</v>
      </c>
    </row>
    <row r="2970" spans="1:10" x14ac:dyDescent="0.25">
      <c r="A2970" s="2">
        <v>1263.2711766863899</v>
      </c>
      <c r="B2970" s="3">
        <v>0.37888191775471602</v>
      </c>
      <c r="C2970" s="5">
        <v>1.8196088880780901E-10</v>
      </c>
      <c r="D2970" s="6">
        <v>1.0370718865000001E-9</v>
      </c>
      <c r="E2970" s="3" t="s">
        <v>6938</v>
      </c>
      <c r="F2970" s="3" t="s">
        <v>6939</v>
      </c>
      <c r="G2970" s="3">
        <v>20818</v>
      </c>
      <c r="H2970" s="7" t="str">
        <f>HYPERLINK("http://www.ensembl.org/Mus_musculus/Gene/Summary?db=core;g=ENSMUSG00000032553","ENSMUSG00000032553")</f>
        <v>ENSMUSG00000032553</v>
      </c>
      <c r="I2970" s="7" t="str">
        <f>HYPERLINK("http://www.informatics.jax.org/marker/MGI:102964","MGI:102964")</f>
        <v>MGI:102964</v>
      </c>
      <c r="J2970" s="4" t="s">
        <v>12</v>
      </c>
    </row>
    <row r="2971" spans="1:10" x14ac:dyDescent="0.25">
      <c r="A2971" s="2">
        <v>558.75690925059996</v>
      </c>
      <c r="B2971" s="3">
        <v>0.37882268062786001</v>
      </c>
      <c r="C2971" s="5">
        <v>1.7424757883672001E-9</v>
      </c>
      <c r="D2971" s="6">
        <v>9.1630993457603405E-9</v>
      </c>
      <c r="E2971" s="3" t="s">
        <v>7518</v>
      </c>
      <c r="F2971" s="3" t="s">
        <v>7519</v>
      </c>
      <c r="G2971" s="3">
        <v>102414</v>
      </c>
      <c r="H2971" s="7" t="str">
        <f>HYPERLINK("http://www.ensembl.org/Mus_musculus/Gene/Summary?db=core;g=ENSMUSG00000032316","ENSMUSG00000032316")</f>
        <v>ENSMUSG00000032316</v>
      </c>
      <c r="I2971" s="7" t="str">
        <f>HYPERLINK("http://www.informatics.jax.org/marker/MGI:1098670","MGI:1098670")</f>
        <v>MGI:1098670</v>
      </c>
      <c r="J2971" s="4" t="s">
        <v>12</v>
      </c>
    </row>
    <row r="2972" spans="1:10" x14ac:dyDescent="0.25">
      <c r="A2972" s="2">
        <v>10367.220868739099</v>
      </c>
      <c r="B2972" s="3">
        <v>0.37798030411984701</v>
      </c>
      <c r="C2972" s="5">
        <v>2.04804251897248E-17</v>
      </c>
      <c r="D2972" s="6">
        <v>1.78705302982909E-16</v>
      </c>
      <c r="E2972" s="3" t="s">
        <v>4537</v>
      </c>
      <c r="F2972" s="3" t="s">
        <v>4538</v>
      </c>
      <c r="G2972" s="3">
        <v>18813</v>
      </c>
      <c r="H2972" s="7" t="str">
        <f>HYPERLINK("http://www.ensembl.org/Mus_musculus/Gene/Summary?db=core;g=ENSMUSG00000025364","ENSMUSG00000025364")</f>
        <v>ENSMUSG00000025364</v>
      </c>
      <c r="I2972" s="7" t="str">
        <f>HYPERLINK("http://www.informatics.jax.org/marker/MGI:894684","MGI:894684")</f>
        <v>MGI:894684</v>
      </c>
      <c r="J2972" s="4" t="s">
        <v>12</v>
      </c>
    </row>
    <row r="2973" spans="1:10" x14ac:dyDescent="0.25">
      <c r="A2973" s="2">
        <v>1707.45375474351</v>
      </c>
      <c r="B2973" s="3">
        <v>0.37755401141236899</v>
      </c>
      <c r="C2973" s="5">
        <v>7.7214794799714506E-15</v>
      </c>
      <c r="D2973" s="6">
        <v>5.8881506320586601E-14</v>
      </c>
      <c r="E2973" s="3" t="s">
        <v>5189</v>
      </c>
      <c r="F2973" s="3" t="s">
        <v>5190</v>
      </c>
      <c r="G2973" s="3">
        <v>73274</v>
      </c>
      <c r="H2973" s="7" t="str">
        <f>HYPERLINK("http://www.ensembl.org/Mus_musculus/Gene/Summary?db=core;g=ENSMUSG00000032745","ENSMUSG00000032745")</f>
        <v>ENSMUSG00000032745</v>
      </c>
      <c r="I2973" s="7" t="str">
        <f>HYPERLINK("http://www.informatics.jax.org/marker/MGI:1920524","MGI:1920524")</f>
        <v>MGI:1920524</v>
      </c>
      <c r="J2973" s="4" t="s">
        <v>12</v>
      </c>
    </row>
    <row r="2974" spans="1:10" x14ac:dyDescent="0.25">
      <c r="A2974" s="2">
        <v>1167.9502475336201</v>
      </c>
      <c r="B2974" s="3">
        <v>0.37746788553240201</v>
      </c>
      <c r="C2974" s="5">
        <v>1.2170550742134799E-7</v>
      </c>
      <c r="D2974" s="6">
        <v>5.4757759670293803E-7</v>
      </c>
      <c r="E2974" s="3" t="s">
        <v>8783</v>
      </c>
      <c r="F2974" s="3" t="s">
        <v>8784</v>
      </c>
      <c r="G2974" s="3">
        <v>66270</v>
      </c>
      <c r="H2974" s="7" t="str">
        <f>HYPERLINK("http://www.ensembl.org/Mus_musculus/Gene/Summary?db=core;g=ENSMUSG00000022270","ENSMUSG00000022270")</f>
        <v>ENSMUSG00000022270</v>
      </c>
      <c r="I2974" s="7" t="str">
        <f>HYPERLINK("http://www.informatics.jax.org/marker/MGI:1913520","MGI:1913520")</f>
        <v>MGI:1913520</v>
      </c>
      <c r="J2974" s="4" t="s">
        <v>12</v>
      </c>
    </row>
    <row r="2975" spans="1:10" x14ac:dyDescent="0.25">
      <c r="A2975" s="2">
        <v>1724.6087791590101</v>
      </c>
      <c r="B2975" s="3">
        <v>0.37735769385131102</v>
      </c>
      <c r="C2975" s="5">
        <v>3.4610605017143197E-17</v>
      </c>
      <c r="D2975" s="6">
        <v>2.9856567407614298E-16</v>
      </c>
      <c r="E2975" s="3" t="s">
        <v>4589</v>
      </c>
      <c r="F2975" s="3" t="s">
        <v>4590</v>
      </c>
      <c r="G2975" s="3">
        <v>78246</v>
      </c>
      <c r="H2975" s="7" t="str">
        <f>HYPERLINK("http://www.ensembl.org/Mus_musculus/Gene/Summary?db=core;g=ENSMUSG00000018572","ENSMUSG00000018572")</f>
        <v>ENSMUSG00000018572</v>
      </c>
      <c r="I2975" s="7" t="str">
        <f>HYPERLINK("http://www.informatics.jax.org/marker/MGI:1925496","MGI:1925496")</f>
        <v>MGI:1925496</v>
      </c>
      <c r="J2975" s="4" t="s">
        <v>12</v>
      </c>
    </row>
    <row r="2976" spans="1:10" x14ac:dyDescent="0.25">
      <c r="A2976" s="2">
        <v>5553.43840483637</v>
      </c>
      <c r="B2976" s="3">
        <v>0.37724140593653099</v>
      </c>
      <c r="C2976" s="5">
        <v>5.0443734890456503E-21</v>
      </c>
      <c r="D2976" s="6">
        <v>5.2053922137090598E-20</v>
      </c>
      <c r="E2976" s="3" t="s">
        <v>3840</v>
      </c>
      <c r="F2976" s="3" t="s">
        <v>3841</v>
      </c>
      <c r="G2976" s="3">
        <v>85305</v>
      </c>
      <c r="H2976" s="7" t="str">
        <f>HYPERLINK("http://www.ensembl.org/Mus_musculus/Gene/Summary?db=core;g=ENSMUSG00000031948","ENSMUSG00000031948")</f>
        <v>ENSMUSG00000031948</v>
      </c>
      <c r="I2976" s="7" t="str">
        <f>HYPERLINK("http://www.informatics.jax.org/marker/MGI:1934754","MGI:1934754")</f>
        <v>MGI:1934754</v>
      </c>
      <c r="J2976" s="4" t="s">
        <v>12</v>
      </c>
    </row>
    <row r="2977" spans="1:10" x14ac:dyDescent="0.25">
      <c r="A2977" s="2">
        <v>458.62692658718299</v>
      </c>
      <c r="B2977" s="3">
        <v>0.37718101110276298</v>
      </c>
      <c r="C2977" s="5">
        <v>3.4011956934565099E-7</v>
      </c>
      <c r="D2977" s="6">
        <v>1.47539769192614E-6</v>
      </c>
      <c r="E2977" s="3" t="s">
        <v>9107</v>
      </c>
      <c r="F2977" s="3" t="s">
        <v>9108</v>
      </c>
      <c r="G2977" s="3">
        <v>17161</v>
      </c>
      <c r="H2977" s="7" t="str">
        <f>HYPERLINK("http://www.ensembl.org/Mus_musculus/Gene/Summary?db=core;g=ENSMUSG00000025037","ENSMUSG00000025037")</f>
        <v>ENSMUSG00000025037</v>
      </c>
      <c r="I2977" s="7" t="str">
        <f>HYPERLINK("http://www.informatics.jax.org/marker/MGI:96915","MGI:96915")</f>
        <v>MGI:96915</v>
      </c>
      <c r="J2977" s="4" t="s">
        <v>12</v>
      </c>
    </row>
    <row r="2978" spans="1:10" x14ac:dyDescent="0.25">
      <c r="A2978" s="2">
        <v>1853.9420654437399</v>
      </c>
      <c r="B2978" s="3">
        <v>0.377164077048946</v>
      </c>
      <c r="C2978" s="5">
        <v>1.34800740629483E-18</v>
      </c>
      <c r="D2978" s="6">
        <v>1.25390122887425E-17</v>
      </c>
      <c r="E2978" s="3" t="s">
        <v>4257</v>
      </c>
      <c r="F2978" s="3" t="s">
        <v>4258</v>
      </c>
      <c r="G2978" s="3">
        <v>14682</v>
      </c>
      <c r="H2978" s="7" t="str">
        <f>HYPERLINK("http://www.ensembl.org/Mus_musculus/Gene/Summary?db=core;g=ENSMUSG00000024639","ENSMUSG00000024639")</f>
        <v>ENSMUSG00000024639</v>
      </c>
      <c r="I2978" s="7" t="str">
        <f>HYPERLINK("http://www.informatics.jax.org/marker/MGI:95776","MGI:95776")</f>
        <v>MGI:95776</v>
      </c>
      <c r="J2978" s="4" t="s">
        <v>12</v>
      </c>
    </row>
    <row r="2979" spans="1:10" x14ac:dyDescent="0.25">
      <c r="A2979" s="2">
        <v>2107.1236842053499</v>
      </c>
      <c r="B2979" s="3">
        <v>0.37704794746607301</v>
      </c>
      <c r="C2979" s="5">
        <v>1.5883782778114301E-23</v>
      </c>
      <c r="D2979" s="6">
        <v>1.83281566052905E-22</v>
      </c>
      <c r="E2979" s="3" t="s">
        <v>3436</v>
      </c>
      <c r="F2979" s="3" t="s">
        <v>3437</v>
      </c>
      <c r="G2979" s="3">
        <v>74204</v>
      </c>
      <c r="H2979" s="7" t="str">
        <f>HYPERLINK("http://www.ensembl.org/Mus_musculus/Gene/Summary?db=core;g=ENSMUSG00000000131","ENSMUSG00000000131")</f>
        <v>ENSMUSG00000000131</v>
      </c>
      <c r="I2979" s="7" t="str">
        <f>HYPERLINK("http://www.informatics.jax.org/marker/MGI:2429950","MGI:2429950")</f>
        <v>MGI:2429950</v>
      </c>
      <c r="J2979" s="4" t="s">
        <v>12</v>
      </c>
    </row>
    <row r="2980" spans="1:10" x14ac:dyDescent="0.25">
      <c r="A2980" s="2">
        <v>440.41699080525501</v>
      </c>
      <c r="B2980" s="3">
        <v>0.37700432645576798</v>
      </c>
      <c r="C2980" s="3">
        <v>4.1420835767908899E-4</v>
      </c>
      <c r="D2980" s="4">
        <v>1.2885611000838699E-3</v>
      </c>
      <c r="E2980" s="3" t="s">
        <v>12691</v>
      </c>
      <c r="F2980" s="3" t="s">
        <v>12692</v>
      </c>
      <c r="G2980" s="3">
        <v>69632</v>
      </c>
      <c r="H2980" s="7" t="str">
        <f>HYPERLINK("http://www.ensembl.org/Mus_musculus/Gene/Summary?db=core;g=ENSMUSG00000059495","ENSMUSG00000059495")</f>
        <v>ENSMUSG00000059495</v>
      </c>
      <c r="I2980" s="7" t="str">
        <f>HYPERLINK("http://www.informatics.jax.org/marker/MGI:1916882","MGI:1916882")</f>
        <v>MGI:1916882</v>
      </c>
      <c r="J2980" s="4" t="s">
        <v>12</v>
      </c>
    </row>
    <row r="2981" spans="1:10" x14ac:dyDescent="0.25">
      <c r="A2981" s="2">
        <v>478.316799469241</v>
      </c>
      <c r="B2981" s="3">
        <v>0.37635062174707001</v>
      </c>
      <c r="C2981" s="5">
        <v>8.9730215218624108E-6</v>
      </c>
      <c r="D2981" s="6">
        <v>3.3775144953450401E-5</v>
      </c>
      <c r="E2981" s="3" t="s">
        <v>10492</v>
      </c>
      <c r="F2981" s="3" t="s">
        <v>10493</v>
      </c>
      <c r="G2981" s="3">
        <v>66190</v>
      </c>
      <c r="H2981" s="7" t="str">
        <f>HYPERLINK("http://www.ensembl.org/Mus_musculus/Gene/Summary?db=core;g=ENSMUSG00000030760","ENSMUSG00000030760")</f>
        <v>ENSMUSG00000030760</v>
      </c>
      <c r="I2981" s="7" t="str">
        <f>HYPERLINK("http://www.informatics.jax.org/marker/MGI:1913440","MGI:1913440")</f>
        <v>MGI:1913440</v>
      </c>
      <c r="J2981" s="4" t="s">
        <v>12</v>
      </c>
    </row>
    <row r="2982" spans="1:10" x14ac:dyDescent="0.25">
      <c r="A2982" s="2">
        <v>986.75790035038403</v>
      </c>
      <c r="B2982" s="3">
        <v>0.376199280443624</v>
      </c>
      <c r="C2982" s="5">
        <v>7.8944311136589903E-5</v>
      </c>
      <c r="D2982" s="4">
        <v>2.6924624967373801E-4</v>
      </c>
      <c r="E2982" s="3" t="s">
        <v>11575</v>
      </c>
      <c r="F2982" s="3" t="s">
        <v>11576</v>
      </c>
      <c r="G2982" s="3">
        <v>234967</v>
      </c>
      <c r="H2982" s="7" t="str">
        <f>HYPERLINK("http://www.ensembl.org/Mus_musculus/Gene/Summary?db=core;g=ENSMUSG00000043885","ENSMUSG00000043885")</f>
        <v>ENSMUSG00000043885</v>
      </c>
      <c r="I2982" s="7" t="str">
        <f>HYPERLINK("http://www.informatics.jax.org/marker/MGI:2442595","MGI:2442595")</f>
        <v>MGI:2442595</v>
      </c>
      <c r="J2982" s="4" t="s">
        <v>12</v>
      </c>
    </row>
    <row r="2983" spans="1:10" x14ac:dyDescent="0.25">
      <c r="A2983" s="2">
        <v>301.541593742587</v>
      </c>
      <c r="B2983" s="3">
        <v>0.376077154219009</v>
      </c>
      <c r="C2983" s="5">
        <v>3.7567383314908998E-7</v>
      </c>
      <c r="D2983" s="6">
        <v>1.62213444048611E-6</v>
      </c>
      <c r="E2983" s="3" t="s">
        <v>9149</v>
      </c>
      <c r="F2983" s="3" t="s">
        <v>9150</v>
      </c>
      <c r="G2983" s="3" t="s">
        <v>83</v>
      </c>
      <c r="H2983" s="7" t="str">
        <f>HYPERLINK("http://www.ensembl.org/Mus_musculus/Gene/Summary?db=core;g=ENSMUSG00000111692","ENSMUSG00000111692")</f>
        <v>ENSMUSG00000111692</v>
      </c>
      <c r="I2983" s="7" t="str">
        <f>HYPERLINK("http://www.informatics.jax.org/marker/MGI:6121591","MGI:6121591")</f>
        <v>MGI:6121591</v>
      </c>
      <c r="J2983" s="4" t="s">
        <v>12</v>
      </c>
    </row>
    <row r="2984" spans="1:10" x14ac:dyDescent="0.25">
      <c r="A2984" s="2">
        <v>91.989754184430097</v>
      </c>
      <c r="B2984" s="3">
        <v>0.376036692256637</v>
      </c>
      <c r="C2984" s="3">
        <v>1.6092734958044501E-3</v>
      </c>
      <c r="D2984" s="4">
        <v>4.6079386289042696E-3</v>
      </c>
      <c r="E2984" s="3" t="s">
        <v>13781</v>
      </c>
      <c r="F2984" s="3" t="s">
        <v>13782</v>
      </c>
      <c r="G2984" s="3" t="s">
        <v>83</v>
      </c>
      <c r="H2984" s="7" t="str">
        <f>HYPERLINK("http://www.ensembl.org/Mus_musculus/Gene/Summary?db=core;g=ENSMUSG00000097402","ENSMUSG00000097402")</f>
        <v>ENSMUSG00000097402</v>
      </c>
      <c r="I2984" s="7" t="str">
        <f>HYPERLINK("http://www.informatics.jax.org/marker/MGI:4937033","MGI:4937033")</f>
        <v>MGI:4937033</v>
      </c>
      <c r="J2984" s="4" t="s">
        <v>939</v>
      </c>
    </row>
    <row r="2985" spans="1:10" x14ac:dyDescent="0.25">
      <c r="A2985" s="2">
        <v>8992.7593195936297</v>
      </c>
      <c r="B2985" s="3">
        <v>0.37565968853440002</v>
      </c>
      <c r="C2985" s="5">
        <v>2.6535947410960998E-26</v>
      </c>
      <c r="D2985" s="6">
        <v>3.4112704233647301E-25</v>
      </c>
      <c r="E2985" s="3" t="s">
        <v>3086</v>
      </c>
      <c r="F2985" s="3" t="s">
        <v>3087</v>
      </c>
      <c r="G2985" s="3">
        <v>76709</v>
      </c>
      <c r="H2985" s="7" t="str">
        <f>HYPERLINK("http://www.ensembl.org/Mus_musculus/Gene/Summary?db=core;g=ENSMUSG00000006304","ENSMUSG00000006304")</f>
        <v>ENSMUSG00000006304</v>
      </c>
      <c r="I2985" s="7" t="str">
        <f>HYPERLINK("http://www.informatics.jax.org/marker/MGI:1923959","MGI:1923959")</f>
        <v>MGI:1923959</v>
      </c>
      <c r="J2985" s="4" t="s">
        <v>12</v>
      </c>
    </row>
    <row r="2986" spans="1:10" x14ac:dyDescent="0.25">
      <c r="A2986" s="2">
        <v>2946.6404052974999</v>
      </c>
      <c r="B2986" s="3">
        <v>0.37513645322751699</v>
      </c>
      <c r="C2986" s="5">
        <v>2.6954985304034698E-10</v>
      </c>
      <c r="D2986" s="6">
        <v>1.5139627177316E-9</v>
      </c>
      <c r="E2986" s="3" t="s">
        <v>7040</v>
      </c>
      <c r="F2986" s="3" t="s">
        <v>7041</v>
      </c>
      <c r="G2986" s="3">
        <v>66988</v>
      </c>
      <c r="H2986" s="7" t="str">
        <f>HYPERLINK("http://www.ensembl.org/Mus_musculus/Gene/Summary?db=core;g=ENSMUSG00000039682","ENSMUSG00000039682")</f>
        <v>ENSMUSG00000039682</v>
      </c>
      <c r="I2986" s="7" t="str">
        <f>HYPERLINK("http://www.informatics.jax.org/marker/MGI:1914238","MGI:1914238")</f>
        <v>MGI:1914238</v>
      </c>
      <c r="J2986" s="4" t="s">
        <v>12</v>
      </c>
    </row>
    <row r="2987" spans="1:10" x14ac:dyDescent="0.25">
      <c r="A2987" s="2">
        <v>2303.6498964861198</v>
      </c>
      <c r="B2987" s="3">
        <v>0.37487681433358899</v>
      </c>
      <c r="C2987" s="5">
        <v>3.31709967877444E-9</v>
      </c>
      <c r="D2987" s="6">
        <v>1.7074707821830301E-8</v>
      </c>
      <c r="E2987" s="3" t="s">
        <v>7678</v>
      </c>
      <c r="F2987" s="3" t="s">
        <v>7679</v>
      </c>
      <c r="G2987" s="3">
        <v>28126</v>
      </c>
      <c r="H2987" s="7" t="str">
        <f>HYPERLINK("http://www.ensembl.org/Mus_musculus/Gene/Summary?db=core;g=ENSMUSG00000025869","ENSMUSG00000025869")</f>
        <v>ENSMUSG00000025869</v>
      </c>
      <c r="I2987" s="7" t="str">
        <f>HYPERLINK("http://www.informatics.jax.org/marker/MGI:107862","MGI:107862")</f>
        <v>MGI:107862</v>
      </c>
      <c r="J2987" s="4" t="s">
        <v>12</v>
      </c>
    </row>
    <row r="2988" spans="1:10" x14ac:dyDescent="0.25">
      <c r="A2988" s="2">
        <v>1012.56996820094</v>
      </c>
      <c r="B2988" s="3">
        <v>0.37483709192194697</v>
      </c>
      <c r="C2988" s="5">
        <v>4.1472762395628801E-11</v>
      </c>
      <c r="D2988" s="6">
        <v>2.4843343695072901E-10</v>
      </c>
      <c r="E2988" s="3" t="s">
        <v>6601</v>
      </c>
      <c r="F2988" s="3" t="s">
        <v>6602</v>
      </c>
      <c r="G2988" s="3">
        <v>240476</v>
      </c>
      <c r="H2988" s="7" t="str">
        <f>HYPERLINK("http://www.ensembl.org/Mus_musculus/Gene/Summary?db=core;g=ENSMUSG00000048410","ENSMUSG00000048410")</f>
        <v>ENSMUSG00000048410</v>
      </c>
      <c r="I2988" s="7" t="str">
        <f>HYPERLINK("http://www.informatics.jax.org/marker/MGI:2685179","MGI:2685179")</f>
        <v>MGI:2685179</v>
      </c>
      <c r="J2988" s="4" t="s">
        <v>12</v>
      </c>
    </row>
    <row r="2989" spans="1:10" x14ac:dyDescent="0.25">
      <c r="A2989" s="2">
        <v>63.973286825994599</v>
      </c>
      <c r="B2989" s="3">
        <v>0.37480930612768598</v>
      </c>
      <c r="C2989" s="3">
        <v>2.0559561573322001E-2</v>
      </c>
      <c r="D2989" s="4">
        <v>4.7833241414099899E-2</v>
      </c>
      <c r="E2989" s="3" t="s">
        <v>16956</v>
      </c>
      <c r="F2989" s="3" t="s">
        <v>16957</v>
      </c>
      <c r="G2989" s="3">
        <v>12369</v>
      </c>
      <c r="H2989" s="7" t="str">
        <f>HYPERLINK("http://www.ensembl.org/Mus_musculus/Gene/Summary?db=core;g=ENSMUSG00000025076","ENSMUSG00000025076")</f>
        <v>ENSMUSG00000025076</v>
      </c>
      <c r="I2989" s="7" t="str">
        <f>HYPERLINK("http://www.informatics.jax.org/marker/MGI:109383","MGI:109383")</f>
        <v>MGI:109383</v>
      </c>
      <c r="J2989" s="4" t="s">
        <v>12</v>
      </c>
    </row>
    <row r="2990" spans="1:10" x14ac:dyDescent="0.25">
      <c r="A2990" s="2">
        <v>2768.2912908675899</v>
      </c>
      <c r="B2990" s="3">
        <v>0.37472523742824099</v>
      </c>
      <c r="C2990" s="5">
        <v>1.00746821229208E-11</v>
      </c>
      <c r="D2990" s="6">
        <v>6.2891019773345697E-11</v>
      </c>
      <c r="E2990" s="3" t="s">
        <v>6335</v>
      </c>
      <c r="F2990" s="3" t="s">
        <v>6336</v>
      </c>
      <c r="G2990" s="3">
        <v>66390</v>
      </c>
      <c r="H2990" s="7" t="str">
        <f>HYPERLINK("http://www.ensembl.org/Mus_musculus/Gene/Summary?db=core;g=ENSMUSG00000016257","ENSMUSG00000016257")</f>
        <v>ENSMUSG00000016257</v>
      </c>
      <c r="I2990" s="7" t="str">
        <f>HYPERLINK("http://www.informatics.jax.org/marker/MGI:1913640","MGI:1913640")</f>
        <v>MGI:1913640</v>
      </c>
      <c r="J2990" s="4" t="s">
        <v>12</v>
      </c>
    </row>
    <row r="2991" spans="1:10" x14ac:dyDescent="0.25">
      <c r="A2991" s="2">
        <v>325.31422537312199</v>
      </c>
      <c r="B2991" s="3">
        <v>0.37442554901320602</v>
      </c>
      <c r="C2991" s="3">
        <v>1.51296039158927E-3</v>
      </c>
      <c r="D2991" s="4">
        <v>4.3480364307022E-3</v>
      </c>
      <c r="E2991" s="3" t="s">
        <v>13731</v>
      </c>
      <c r="F2991" s="3" t="s">
        <v>13732</v>
      </c>
      <c r="G2991" s="3">
        <v>208650</v>
      </c>
      <c r="H2991" s="7" t="str">
        <f>HYPERLINK("http://www.ensembl.org/Mus_musculus/Gene/Summary?db=core;g=ENSMUSG00000022637","ENSMUSG00000022637")</f>
        <v>ENSMUSG00000022637</v>
      </c>
      <c r="I2991" s="7" t="str">
        <f>HYPERLINK("http://www.informatics.jax.org/marker/MGI:2146430","MGI:2146430")</f>
        <v>MGI:2146430</v>
      </c>
      <c r="J2991" s="4" t="s">
        <v>12</v>
      </c>
    </row>
    <row r="2992" spans="1:10" x14ac:dyDescent="0.25">
      <c r="A2992" s="2">
        <v>1575.3150838777501</v>
      </c>
      <c r="B2992" s="3">
        <v>0.37437050264553101</v>
      </c>
      <c r="C2992" s="5">
        <v>1.11637970092596E-11</v>
      </c>
      <c r="D2992" s="6">
        <v>6.9426072854809098E-11</v>
      </c>
      <c r="E2992" s="3" t="s">
        <v>6359</v>
      </c>
      <c r="F2992" s="3" t="s">
        <v>6360</v>
      </c>
      <c r="G2992" s="3">
        <v>27054</v>
      </c>
      <c r="H2992" s="7" t="str">
        <f>HYPERLINK("http://www.ensembl.org/Mus_musculus/Gene/Summary?db=core;g=ENSMUSG00000027429","ENSMUSG00000027429")</f>
        <v>ENSMUSG00000027429</v>
      </c>
      <c r="I2992" s="7" t="str">
        <f>HYPERLINK("http://www.informatics.jax.org/marker/MGI:1350925","MGI:1350925")</f>
        <v>MGI:1350925</v>
      </c>
      <c r="J2992" s="4" t="s">
        <v>12</v>
      </c>
    </row>
    <row r="2993" spans="1:10" x14ac:dyDescent="0.25">
      <c r="A2993" s="2">
        <v>1976.18580313909</v>
      </c>
      <c r="B2993" s="3">
        <v>0.37434486029374803</v>
      </c>
      <c r="C2993" s="5">
        <v>5.9057349950550196E-11</v>
      </c>
      <c r="D2993" s="6">
        <v>3.4931341962352998E-10</v>
      </c>
      <c r="E2993" s="3" t="s">
        <v>6685</v>
      </c>
      <c r="F2993" s="3" t="s">
        <v>6686</v>
      </c>
      <c r="G2993" s="3">
        <v>223828</v>
      </c>
      <c r="H2993" s="7" t="str">
        <f>HYPERLINK("http://www.ensembl.org/Mus_musculus/Gene/Summary?db=core;g=ENSMUSG00000036167","ENSMUSG00000036167")</f>
        <v>ENSMUSG00000036167</v>
      </c>
      <c r="I2993" s="7" t="str">
        <f>HYPERLINK("http://www.informatics.jax.org/marker/MGI:1917029","MGI:1917029")</f>
        <v>MGI:1917029</v>
      </c>
      <c r="J2993" s="4" t="s">
        <v>12</v>
      </c>
    </row>
    <row r="2994" spans="1:10" x14ac:dyDescent="0.25">
      <c r="A2994" s="2">
        <v>352.46294716249099</v>
      </c>
      <c r="B2994" s="3">
        <v>0.37318010245295202</v>
      </c>
      <c r="C2994" s="5">
        <v>1.90103158929668E-5</v>
      </c>
      <c r="D2994" s="6">
        <v>6.9256129578663597E-5</v>
      </c>
      <c r="E2994" s="3" t="s">
        <v>10838</v>
      </c>
      <c r="F2994" s="3" t="s">
        <v>10839</v>
      </c>
      <c r="G2994" s="3">
        <v>209357</v>
      </c>
      <c r="H2994" s="7" t="str">
        <f>HYPERLINK("http://www.ensembl.org/Mus_musculus/Gene/Summary?db=core;g=ENSMUSG00000029387","ENSMUSG00000029387")</f>
        <v>ENSMUSG00000029387</v>
      </c>
      <c r="I2994" s="7" t="str">
        <f>HYPERLINK("http://www.informatics.jax.org/marker/MGI:1277143","MGI:1277143")</f>
        <v>MGI:1277143</v>
      </c>
      <c r="J2994" s="4" t="s">
        <v>12</v>
      </c>
    </row>
    <row r="2995" spans="1:10" x14ac:dyDescent="0.25">
      <c r="A2995" s="2">
        <v>151.139942951195</v>
      </c>
      <c r="B2995" s="3">
        <v>0.37267411986883398</v>
      </c>
      <c r="C2995" s="3">
        <v>1.2978269458920901E-3</v>
      </c>
      <c r="D2995" s="4">
        <v>3.7664676045609902E-3</v>
      </c>
      <c r="E2995" s="3" t="s">
        <v>13599</v>
      </c>
      <c r="F2995" s="3" t="s">
        <v>13600</v>
      </c>
      <c r="G2995" s="3" t="s">
        <v>83</v>
      </c>
      <c r="H2995" s="7" t="str">
        <f>HYPERLINK("http://www.ensembl.org/Mus_musculus/Gene/Summary?db=core;g=ENSMUSG00000089764","ENSMUSG00000089764")</f>
        <v>ENSMUSG00000089764</v>
      </c>
      <c r="I2995" s="7" t="str">
        <f>HYPERLINK("http://www.informatics.jax.org/marker/MGI:4415000","MGI:4415000")</f>
        <v>MGI:4415000</v>
      </c>
      <c r="J2995" s="4" t="s">
        <v>1043</v>
      </c>
    </row>
    <row r="2996" spans="1:10" x14ac:dyDescent="0.25">
      <c r="A2996" s="2">
        <v>9682.8239455860403</v>
      </c>
      <c r="B2996" s="3">
        <v>0.37245457791855002</v>
      </c>
      <c r="C2996" s="5">
        <v>1.81703944212748E-19</v>
      </c>
      <c r="D2996" s="6">
        <v>1.76165279246577E-18</v>
      </c>
      <c r="E2996" s="3" t="s">
        <v>4085</v>
      </c>
      <c r="F2996" s="3" t="s">
        <v>4086</v>
      </c>
      <c r="G2996" s="3">
        <v>12469</v>
      </c>
      <c r="H2996" s="7" t="str">
        <f>HYPERLINK("http://www.ensembl.org/Mus_musculus/Gene/Summary?db=core;g=ENSMUSG00000025613","ENSMUSG00000025613")</f>
        <v>ENSMUSG00000025613</v>
      </c>
      <c r="I2996" s="7" t="str">
        <f>HYPERLINK("http://www.informatics.jax.org/marker/MGI:107183","MGI:107183")</f>
        <v>MGI:107183</v>
      </c>
      <c r="J2996" s="4" t="s">
        <v>12</v>
      </c>
    </row>
    <row r="2997" spans="1:10" x14ac:dyDescent="0.25">
      <c r="A2997" s="2">
        <v>7536.2309881588199</v>
      </c>
      <c r="B2997" s="3">
        <v>0.37237292061889898</v>
      </c>
      <c r="C2997" s="5">
        <v>1.9090964009863E-9</v>
      </c>
      <c r="D2997" s="6">
        <v>1.00179300232703E-8</v>
      </c>
      <c r="E2997" s="3" t="s">
        <v>7534</v>
      </c>
      <c r="F2997" s="3" t="s">
        <v>7535</v>
      </c>
      <c r="G2997" s="3">
        <v>59069</v>
      </c>
      <c r="H2997" s="7" t="str">
        <f>HYPERLINK("http://www.ensembl.org/Mus_musculus/Gene/Summary?db=core;g=ENSMUSG00000027940","ENSMUSG00000027940")</f>
        <v>ENSMUSG00000027940</v>
      </c>
      <c r="I2997" s="7" t="str">
        <f>HYPERLINK("http://www.informatics.jax.org/marker/MGI:1890149","MGI:1890149")</f>
        <v>MGI:1890149</v>
      </c>
      <c r="J2997" s="4" t="s">
        <v>12</v>
      </c>
    </row>
    <row r="2998" spans="1:10" x14ac:dyDescent="0.25">
      <c r="A2998" s="2">
        <v>2037.5374915943701</v>
      </c>
      <c r="B2998" s="3">
        <v>0.37179662615623199</v>
      </c>
      <c r="C2998" s="5">
        <v>7.5379120623868103E-8</v>
      </c>
      <c r="D2998" s="6">
        <v>3.4505019932745602E-7</v>
      </c>
      <c r="E2998" s="3" t="s">
        <v>8633</v>
      </c>
      <c r="F2998" s="3" t="s">
        <v>8634</v>
      </c>
      <c r="G2998" s="3">
        <v>66660</v>
      </c>
      <c r="H2998" s="7" t="str">
        <f>HYPERLINK("http://www.ensembl.org/Mus_musculus/Gene/Summary?db=core;g=ENSMUSG00000032212","ENSMUSG00000032212")</f>
        <v>ENSMUSG00000032212</v>
      </c>
      <c r="I2998" s="7" t="str">
        <f>HYPERLINK("http://www.informatics.jax.org/marker/MGI:1913910","MGI:1913910")</f>
        <v>MGI:1913910</v>
      </c>
      <c r="J2998" s="4" t="s">
        <v>12</v>
      </c>
    </row>
    <row r="2999" spans="1:10" x14ac:dyDescent="0.25">
      <c r="A2999" s="2">
        <v>1806.4786753006099</v>
      </c>
      <c r="B2999" s="3">
        <v>0.37149075190074998</v>
      </c>
      <c r="C2999" s="5">
        <v>2.6187717140992699E-19</v>
      </c>
      <c r="D2999" s="6">
        <v>2.5191306440018302E-18</v>
      </c>
      <c r="E2999" s="3" t="s">
        <v>4117</v>
      </c>
      <c r="F2999" s="3" t="s">
        <v>4118</v>
      </c>
      <c r="G2999" s="3">
        <v>68626</v>
      </c>
      <c r="H2999" s="7" t="str">
        <f>HYPERLINK("http://www.ensembl.org/Mus_musculus/Gene/Summary?db=core;g=ENSMUSG00000020549","ENSMUSG00000020549")</f>
        <v>ENSMUSG00000020549</v>
      </c>
      <c r="I2999" s="7" t="str">
        <f>HYPERLINK("http://www.informatics.jax.org/marker/MGI:1890496","MGI:1890496")</f>
        <v>MGI:1890496</v>
      </c>
      <c r="J2999" s="4" t="s">
        <v>12</v>
      </c>
    </row>
    <row r="3000" spans="1:10" x14ac:dyDescent="0.25">
      <c r="A3000" s="2">
        <v>588.55803183779506</v>
      </c>
      <c r="B3000" s="3">
        <v>0.37117492501966698</v>
      </c>
      <c r="C3000" s="5">
        <v>1.09245474344332E-7</v>
      </c>
      <c r="D3000" s="6">
        <v>4.9399696263935301E-7</v>
      </c>
      <c r="E3000" s="3" t="s">
        <v>8739</v>
      </c>
      <c r="F3000" s="3" t="s">
        <v>8740</v>
      </c>
      <c r="G3000" s="3">
        <v>76299</v>
      </c>
      <c r="H3000" s="7" t="str">
        <f>HYPERLINK("http://www.ensembl.org/Mus_musculus/Gene/Summary?db=core;g=ENSMUSG00000028343","ENSMUSG00000028343")</f>
        <v>ENSMUSG00000028343</v>
      </c>
      <c r="I3000" s="7" t="str">
        <f>HYPERLINK("http://www.informatics.jax.org/marker/MGI:1923549","MGI:1923549")</f>
        <v>MGI:1923549</v>
      </c>
      <c r="J3000" s="4" t="s">
        <v>12</v>
      </c>
    </row>
    <row r="3001" spans="1:10" x14ac:dyDescent="0.25">
      <c r="A3001" s="2">
        <v>7255.6108973098599</v>
      </c>
      <c r="B3001" s="3">
        <v>0.37105831344051299</v>
      </c>
      <c r="C3001" s="5">
        <v>3.2095863822453597E-20</v>
      </c>
      <c r="D3001" s="6">
        <v>3.21938166113319E-19</v>
      </c>
      <c r="E3001" s="3" t="s">
        <v>3950</v>
      </c>
      <c r="F3001" s="3" t="s">
        <v>3951</v>
      </c>
      <c r="G3001" s="3">
        <v>12466</v>
      </c>
      <c r="H3001" s="7" t="str">
        <f>HYPERLINK("http://www.ensembl.org/Mus_musculus/Gene/Summary?db=core;g=ENSMUSG00000029447","ENSMUSG00000029447")</f>
        <v>ENSMUSG00000029447</v>
      </c>
      <c r="I3001" s="7" t="str">
        <f>HYPERLINK("http://www.informatics.jax.org/marker/MGI:107943","MGI:107943")</f>
        <v>MGI:107943</v>
      </c>
      <c r="J3001" s="4" t="s">
        <v>12</v>
      </c>
    </row>
    <row r="3002" spans="1:10" x14ac:dyDescent="0.25">
      <c r="A3002" s="2">
        <v>4377.1592540357797</v>
      </c>
      <c r="B3002" s="3">
        <v>0.37103455627776299</v>
      </c>
      <c r="C3002" s="5">
        <v>2.7985872422358698E-17</v>
      </c>
      <c r="D3002" s="6">
        <v>2.4237215817694998E-16</v>
      </c>
      <c r="E3002" s="3" t="s">
        <v>4571</v>
      </c>
      <c r="F3002" s="3" t="s">
        <v>4572</v>
      </c>
      <c r="G3002" s="3">
        <v>53817</v>
      </c>
      <c r="H3002" s="7" t="str">
        <f>HYPERLINK("http://www.ensembl.org/Mus_musculus/Gene/Summary?db=core;g=ENSMUSG00000019432","ENSMUSG00000019432")</f>
        <v>ENSMUSG00000019432</v>
      </c>
      <c r="I3002" s="7" t="str">
        <f>HYPERLINK("http://www.informatics.jax.org/marker/MGI:99240","MGI:99240")</f>
        <v>MGI:99240</v>
      </c>
      <c r="J3002" s="4" t="s">
        <v>12</v>
      </c>
    </row>
    <row r="3003" spans="1:10" x14ac:dyDescent="0.25">
      <c r="A3003" s="2">
        <v>944.727091780004</v>
      </c>
      <c r="B3003" s="3">
        <v>0.37061449188569701</v>
      </c>
      <c r="C3003" s="5">
        <v>8.7403839637099892E-9</v>
      </c>
      <c r="D3003" s="6">
        <v>4.3591393971765503E-8</v>
      </c>
      <c r="E3003" s="3" t="s">
        <v>7924</v>
      </c>
      <c r="F3003" s="3" t="s">
        <v>7925</v>
      </c>
      <c r="G3003" s="3">
        <v>67602</v>
      </c>
      <c r="H3003" s="7" t="str">
        <f>HYPERLINK("http://www.ensembl.org/Mus_musculus/Gene/Summary?db=core;g=ENSMUSG00000030327","ENSMUSG00000030327")</f>
        <v>ENSMUSG00000030327</v>
      </c>
      <c r="I3003" s="7" t="str">
        <f>HYPERLINK("http://www.informatics.jax.org/marker/MGI:1914852","MGI:1914852")</f>
        <v>MGI:1914852</v>
      </c>
      <c r="J3003" s="4" t="s">
        <v>12</v>
      </c>
    </row>
    <row r="3004" spans="1:10" x14ac:dyDescent="0.25">
      <c r="A3004" s="2">
        <v>502.05863141881298</v>
      </c>
      <c r="B3004" s="3">
        <v>0.37023541207601401</v>
      </c>
      <c r="C3004" s="5">
        <v>3.5988336579296598E-8</v>
      </c>
      <c r="D3004" s="6">
        <v>1.69417521447536E-7</v>
      </c>
      <c r="E3004" s="3" t="s">
        <v>8395</v>
      </c>
      <c r="F3004" s="3" t="s">
        <v>8396</v>
      </c>
      <c r="G3004" s="3">
        <v>78938</v>
      </c>
      <c r="H3004" s="7" t="str">
        <f>HYPERLINK("http://www.ensembl.org/Mus_musculus/Gene/Summary?db=core;g=ENSMUSG00000037536","ENSMUSG00000037536")</f>
        <v>ENSMUSG00000037536</v>
      </c>
      <c r="I3004" s="7" t="str">
        <f>HYPERLINK("http://www.informatics.jax.org/marker/MGI:1926188","MGI:1926188")</f>
        <v>MGI:1926188</v>
      </c>
      <c r="J3004" s="4" t="s">
        <v>12</v>
      </c>
    </row>
    <row r="3005" spans="1:10" x14ac:dyDescent="0.25">
      <c r="A3005" s="2">
        <v>526.61179307380701</v>
      </c>
      <c r="B3005" s="3">
        <v>0.37021813315899599</v>
      </c>
      <c r="C3005" s="3">
        <v>8.4982162232553698E-4</v>
      </c>
      <c r="D3005" s="4">
        <v>2.53187526699797E-3</v>
      </c>
      <c r="E3005" s="3" t="s">
        <v>13247</v>
      </c>
      <c r="F3005" s="3" t="s">
        <v>13248</v>
      </c>
      <c r="G3005" s="3">
        <v>16363</v>
      </c>
      <c r="H3005" s="7" t="str">
        <f>HYPERLINK("http://www.ensembl.org/Mus_musculus/Gene/Summary?db=core;g=ENSMUSG00000031627","ENSMUSG00000031627")</f>
        <v>ENSMUSG00000031627</v>
      </c>
      <c r="I3005" s="7" t="str">
        <f>HYPERLINK("http://www.informatics.jax.org/marker/MGI:96591","MGI:96591")</f>
        <v>MGI:96591</v>
      </c>
      <c r="J3005" s="4" t="s">
        <v>12</v>
      </c>
    </row>
    <row r="3006" spans="1:10" x14ac:dyDescent="0.25">
      <c r="A3006" s="2">
        <v>199.95399089398799</v>
      </c>
      <c r="B3006" s="3">
        <v>0.37000651967551701</v>
      </c>
      <c r="C3006" s="3">
        <v>2.9758253617561199E-3</v>
      </c>
      <c r="D3006" s="4">
        <v>8.1549855661243193E-3</v>
      </c>
      <c r="E3006" s="3" t="s">
        <v>14397</v>
      </c>
      <c r="F3006" s="3" t="s">
        <v>14398</v>
      </c>
      <c r="G3006" s="3">
        <v>80860</v>
      </c>
      <c r="H3006" s="7" t="str">
        <f>HYPERLINK("http://www.ensembl.org/Mus_musculus/Gene/Summary?db=core;g=ENSMUSG00000017747","ENSMUSG00000017747")</f>
        <v>ENSMUSG00000017747</v>
      </c>
      <c r="I3006" s="7" t="str">
        <f>HYPERLINK("http://www.informatics.jax.org/marker/MGI:1931556","MGI:1931556")</f>
        <v>MGI:1931556</v>
      </c>
      <c r="J3006" s="4" t="s">
        <v>12</v>
      </c>
    </row>
    <row r="3007" spans="1:10" x14ac:dyDescent="0.25">
      <c r="A3007" s="2">
        <v>1720.5645396167799</v>
      </c>
      <c r="B3007" s="3">
        <v>0.36986620112958501</v>
      </c>
      <c r="C3007" s="5">
        <v>2.9790520989086598E-20</v>
      </c>
      <c r="D3007" s="6">
        <v>2.9942358506869899E-19</v>
      </c>
      <c r="E3007" s="3" t="s">
        <v>3942</v>
      </c>
      <c r="F3007" s="3" t="s">
        <v>3943</v>
      </c>
      <c r="G3007" s="3">
        <v>101214</v>
      </c>
      <c r="H3007" s="7" t="str">
        <f>HYPERLINK("http://www.ensembl.org/Mus_musculus/Gene/Summary?db=core;g=ENSMUSG00000029817","ENSMUSG00000029817")</f>
        <v>ENSMUSG00000029817</v>
      </c>
      <c r="I3007" s="7" t="str">
        <f>HYPERLINK("http://www.informatics.jax.org/marker/MGI:1933972","MGI:1933972")</f>
        <v>MGI:1933972</v>
      </c>
      <c r="J3007" s="4" t="s">
        <v>12</v>
      </c>
    </row>
    <row r="3008" spans="1:10" x14ac:dyDescent="0.25">
      <c r="A3008" s="2">
        <v>5718.1693971218001</v>
      </c>
      <c r="B3008" s="3">
        <v>0.36970886325064001</v>
      </c>
      <c r="C3008" s="5">
        <v>1.2608164068834399E-7</v>
      </c>
      <c r="D3008" s="6">
        <v>5.6649121767467403E-7</v>
      </c>
      <c r="E3008" s="3" t="s">
        <v>8795</v>
      </c>
      <c r="F3008" s="3" t="s">
        <v>8796</v>
      </c>
      <c r="G3008" s="3">
        <v>20740</v>
      </c>
      <c r="H3008" s="7" t="str">
        <f>HYPERLINK("http://www.ensembl.org/Mus_musculus/Gene/Summary?db=core;g=ENSMUSG00000057738","ENSMUSG00000057738")</f>
        <v>ENSMUSG00000057738</v>
      </c>
      <c r="I3008" s="7" t="str">
        <f>HYPERLINK("http://www.informatics.jax.org/marker/MGI:98386","MGI:98386")</f>
        <v>MGI:98386</v>
      </c>
      <c r="J3008" s="4" t="s">
        <v>12</v>
      </c>
    </row>
    <row r="3009" spans="1:10" x14ac:dyDescent="0.25">
      <c r="A3009" s="2">
        <v>318.38530196802401</v>
      </c>
      <c r="B3009" s="3">
        <v>0.36941058354372103</v>
      </c>
      <c r="C3009" s="5">
        <v>1.06576860034375E-5</v>
      </c>
      <c r="D3009" s="6">
        <v>3.98123826459155E-5</v>
      </c>
      <c r="E3009" s="3" t="s">
        <v>10571</v>
      </c>
      <c r="F3009" s="3" t="s">
        <v>10572</v>
      </c>
      <c r="G3009" s="3">
        <v>68975</v>
      </c>
      <c r="H3009" s="7" t="str">
        <f>HYPERLINK("http://www.ensembl.org/Mus_musculus/Gene/Summary?db=core;g=ENSMUSG00000026799","ENSMUSG00000026799")</f>
        <v>ENSMUSG00000026799</v>
      </c>
      <c r="I3009" s="7" t="str">
        <f>HYPERLINK("http://www.informatics.jax.org/marker/MGI:1916225","MGI:1916225")</f>
        <v>MGI:1916225</v>
      </c>
      <c r="J3009" s="4" t="s">
        <v>12</v>
      </c>
    </row>
    <row r="3010" spans="1:10" x14ac:dyDescent="0.25">
      <c r="A3010" s="2">
        <v>168.63869723785001</v>
      </c>
      <c r="B3010" s="3">
        <v>0.368864438166363</v>
      </c>
      <c r="C3010" s="3">
        <v>3.20359773956851E-3</v>
      </c>
      <c r="D3010" s="4">
        <v>8.7463584970636898E-3</v>
      </c>
      <c r="E3010" s="3" t="s">
        <v>14449</v>
      </c>
      <c r="F3010" s="3" t="s">
        <v>14450</v>
      </c>
      <c r="G3010" s="3">
        <v>20305</v>
      </c>
      <c r="H3010" s="7" t="str">
        <f>HYPERLINK("http://www.ensembl.org/Mus_musculus/Gene/Summary?db=core;g=ENSMUSG00000018927","ENSMUSG00000018927")</f>
        <v>ENSMUSG00000018927</v>
      </c>
      <c r="I3010" s="7" t="str">
        <f>HYPERLINK("http://www.informatics.jax.org/marker/MGI:98263","MGI:98263")</f>
        <v>MGI:98263</v>
      </c>
      <c r="J3010" s="4" t="s">
        <v>12</v>
      </c>
    </row>
    <row r="3011" spans="1:10" x14ac:dyDescent="0.25">
      <c r="A3011" s="2">
        <v>1031.75482659883</v>
      </c>
      <c r="B3011" s="3">
        <v>0.36881295806987002</v>
      </c>
      <c r="C3011" s="5">
        <v>1.7088746705269999E-8</v>
      </c>
      <c r="D3011" s="6">
        <v>8.2961616205791295E-8</v>
      </c>
      <c r="E3011" s="3" t="s">
        <v>8141</v>
      </c>
      <c r="F3011" s="3" t="s">
        <v>8142</v>
      </c>
      <c r="G3011" s="3">
        <v>71375</v>
      </c>
      <c r="H3011" s="7" t="str">
        <f>HYPERLINK("http://www.ensembl.org/Mus_musculus/Gene/Summary?db=core;g=ENSMUSG00000033713","ENSMUSG00000033713")</f>
        <v>ENSMUSG00000033713</v>
      </c>
      <c r="I3011" s="7" t="str">
        <f>HYPERLINK("http://www.informatics.jax.org/marker/MGI:1918625","MGI:1918625")</f>
        <v>MGI:1918625</v>
      </c>
      <c r="J3011" s="4" t="s">
        <v>12</v>
      </c>
    </row>
    <row r="3012" spans="1:10" x14ac:dyDescent="0.25">
      <c r="A3012" s="2">
        <v>1027.8313446447601</v>
      </c>
      <c r="B3012" s="3">
        <v>0.36855368346330097</v>
      </c>
      <c r="C3012" s="5">
        <v>3.2517054241193098E-8</v>
      </c>
      <c r="D3012" s="6">
        <v>1.53589535242234E-7</v>
      </c>
      <c r="E3012" s="3" t="s">
        <v>8367</v>
      </c>
      <c r="F3012" s="3" t="s">
        <v>8368</v>
      </c>
      <c r="G3012" s="3">
        <v>237898</v>
      </c>
      <c r="H3012" s="7" t="str">
        <f>HYPERLINK("http://www.ensembl.org/Mus_musculus/Gene/Summary?db=core;g=ENSMUSG00000000804","ENSMUSG00000000804")</f>
        <v>ENSMUSG00000000804</v>
      </c>
      <c r="I3012" s="7" t="str">
        <f>HYPERLINK("http://www.informatics.jax.org/marker/MGI:2144475","MGI:2144475")</f>
        <v>MGI:2144475</v>
      </c>
      <c r="J3012" s="4" t="s">
        <v>12</v>
      </c>
    </row>
    <row r="3013" spans="1:10" x14ac:dyDescent="0.25">
      <c r="A3013" s="2">
        <v>6577.0272336991502</v>
      </c>
      <c r="B3013" s="3">
        <v>0.36849083789150799</v>
      </c>
      <c r="C3013" s="3">
        <v>4.3007227250386597E-4</v>
      </c>
      <c r="D3013" s="4">
        <v>1.3353842251261599E-3</v>
      </c>
      <c r="E3013" s="3" t="s">
        <v>12711</v>
      </c>
      <c r="F3013" s="3" t="s">
        <v>12712</v>
      </c>
      <c r="G3013" s="3">
        <v>13057</v>
      </c>
      <c r="H3013" s="7" t="str">
        <f>HYPERLINK("http://www.ensembl.org/Mus_musculus/Gene/Summary?db=core;g=ENSMUSG00000006519","ENSMUSG00000006519")</f>
        <v>ENSMUSG00000006519</v>
      </c>
      <c r="I3013" s="7" t="str">
        <f>HYPERLINK("http://www.informatics.jax.org/marker/MGI:1316658","MGI:1316658")</f>
        <v>MGI:1316658</v>
      </c>
      <c r="J3013" s="4" t="s">
        <v>12</v>
      </c>
    </row>
    <row r="3014" spans="1:10" x14ac:dyDescent="0.25">
      <c r="A3014" s="2">
        <v>2538.6032516669502</v>
      </c>
      <c r="B3014" s="3">
        <v>0.36818591231910303</v>
      </c>
      <c r="C3014" s="5">
        <v>8.1737416139933397E-14</v>
      </c>
      <c r="D3014" s="6">
        <v>5.8677169504167696E-13</v>
      </c>
      <c r="E3014" s="3" t="s">
        <v>5511</v>
      </c>
      <c r="F3014" s="3" t="s">
        <v>5512</v>
      </c>
      <c r="G3014" s="3">
        <v>26905</v>
      </c>
      <c r="H3014" s="7" t="str">
        <f>HYPERLINK("http://www.ensembl.org/Mus_musculus/Gene/Summary?db=core;g=ENSMUSG00000035150","ENSMUSG00000035150")</f>
        <v>ENSMUSG00000035150</v>
      </c>
      <c r="I3014" s="7" t="str">
        <f>HYPERLINK("http://www.informatics.jax.org/marker/MGI:1349431","MGI:1349431")</f>
        <v>MGI:1349431</v>
      </c>
      <c r="J3014" s="4" t="s">
        <v>12</v>
      </c>
    </row>
    <row r="3015" spans="1:10" x14ac:dyDescent="0.25">
      <c r="A3015" s="2">
        <v>414.442126610054</v>
      </c>
      <c r="B3015" s="3">
        <v>0.36806877275608202</v>
      </c>
      <c r="C3015" s="5">
        <v>4.3161644717672498E-7</v>
      </c>
      <c r="D3015" s="6">
        <v>1.8531409401970399E-6</v>
      </c>
      <c r="E3015" s="3" t="s">
        <v>9201</v>
      </c>
      <c r="F3015" s="3" t="s">
        <v>9202</v>
      </c>
      <c r="G3015" s="3">
        <v>66618</v>
      </c>
      <c r="H3015" s="7" t="str">
        <f>HYPERLINK("http://www.ensembl.org/Mus_musculus/Gene/Summary?db=core;g=ENSMUSG00000001158","ENSMUSG00000001158")</f>
        <v>ENSMUSG00000001158</v>
      </c>
      <c r="I3015" s="7" t="str">
        <f>HYPERLINK("http://www.informatics.jax.org/marker/MGI:1913868","MGI:1913868")</f>
        <v>MGI:1913868</v>
      </c>
      <c r="J3015" s="4" t="s">
        <v>12</v>
      </c>
    </row>
    <row r="3016" spans="1:10" x14ac:dyDescent="0.25">
      <c r="A3016" s="2">
        <v>328.16714158223198</v>
      </c>
      <c r="B3016" s="3">
        <v>0.367655180454941</v>
      </c>
      <c r="C3016" s="3">
        <v>4.4191649008233798E-4</v>
      </c>
      <c r="D3016" s="4">
        <v>1.36806800383418E-3</v>
      </c>
      <c r="E3016" s="3" t="s">
        <v>12751</v>
      </c>
      <c r="F3016" s="3" t="s">
        <v>12752</v>
      </c>
      <c r="G3016" s="3">
        <v>71865</v>
      </c>
      <c r="H3016" s="7" t="str">
        <f>HYPERLINK("http://www.ensembl.org/Mus_musculus/Gene/Summary?db=core;g=ENSMUSG00000047648","ENSMUSG00000047648")</f>
        <v>ENSMUSG00000047648</v>
      </c>
      <c r="I3016" s="7" t="str">
        <f>HYPERLINK("http://www.informatics.jax.org/marker/MGI:1919115","MGI:1919115")</f>
        <v>MGI:1919115</v>
      </c>
      <c r="J3016" s="4" t="s">
        <v>12</v>
      </c>
    </row>
    <row r="3017" spans="1:10" x14ac:dyDescent="0.25">
      <c r="A3017" s="2">
        <v>1229.57632795687</v>
      </c>
      <c r="B3017" s="3">
        <v>0.36749959617088301</v>
      </c>
      <c r="C3017" s="5">
        <v>3.8616326937197902E-8</v>
      </c>
      <c r="D3017" s="6">
        <v>1.8109725736065199E-7</v>
      </c>
      <c r="E3017" s="3" t="s">
        <v>8427</v>
      </c>
      <c r="F3017" s="3" t="s">
        <v>8428</v>
      </c>
      <c r="G3017" s="3">
        <v>18015</v>
      </c>
      <c r="H3017" s="7" t="str">
        <f>HYPERLINK("http://www.ensembl.org/Mus_musculus/Gene/Summary?db=core;g=ENSMUSG00000020716","ENSMUSG00000020716")</f>
        <v>ENSMUSG00000020716</v>
      </c>
      <c r="I3017" s="7" t="str">
        <f>HYPERLINK("http://www.informatics.jax.org/marker/MGI:97306","MGI:97306")</f>
        <v>MGI:97306</v>
      </c>
      <c r="J3017" s="4" t="s">
        <v>12</v>
      </c>
    </row>
    <row r="3018" spans="1:10" x14ac:dyDescent="0.25">
      <c r="A3018" s="2">
        <v>1722.46219936431</v>
      </c>
      <c r="B3018" s="3">
        <v>0.367319165699865</v>
      </c>
      <c r="C3018" s="5">
        <v>3.81751392389877E-11</v>
      </c>
      <c r="D3018" s="6">
        <v>2.2923682880415199E-10</v>
      </c>
      <c r="E3018" s="3" t="s">
        <v>6585</v>
      </c>
      <c r="F3018" s="3" t="s">
        <v>6586</v>
      </c>
      <c r="G3018" s="3">
        <v>68842</v>
      </c>
      <c r="H3018" s="7" t="str">
        <f>HYPERLINK("http://www.ensembl.org/Mus_musculus/Gene/Summary?db=core;g=ENSMUSG00000034377","ENSMUSG00000034377")</f>
        <v>ENSMUSG00000034377</v>
      </c>
      <c r="I3018" s="7" t="str">
        <f>HYPERLINK("http://www.informatics.jax.org/marker/MGI:1916092","MGI:1916092")</f>
        <v>MGI:1916092</v>
      </c>
      <c r="J3018" s="4" t="s">
        <v>12</v>
      </c>
    </row>
    <row r="3019" spans="1:10" x14ac:dyDescent="0.25">
      <c r="A3019" s="2">
        <v>89.594086328499799</v>
      </c>
      <c r="B3019" s="3">
        <v>0.36729411269519702</v>
      </c>
      <c r="C3019" s="3">
        <v>1.8803644417084001E-2</v>
      </c>
      <c r="D3019" s="4">
        <v>4.4122782949178603E-2</v>
      </c>
      <c r="E3019" s="3" t="s">
        <v>16812</v>
      </c>
      <c r="F3019" s="3" t="s">
        <v>16813</v>
      </c>
      <c r="G3019" s="3">
        <v>414069</v>
      </c>
      <c r="H3019" s="7" t="str">
        <f>HYPERLINK("http://www.ensembl.org/Mus_musculus/Gene/Summary?db=core;g=ENSMUSG00000078786","ENSMUSG00000078786")</f>
        <v>ENSMUSG00000078786</v>
      </c>
      <c r="I3019" s="7" t="str">
        <f>HYPERLINK("http://www.informatics.jax.org/marker/MGI:3041247","MGI:3041247")</f>
        <v>MGI:3041247</v>
      </c>
      <c r="J3019" s="4" t="s">
        <v>12</v>
      </c>
    </row>
    <row r="3020" spans="1:10" x14ac:dyDescent="0.25">
      <c r="A3020" s="2">
        <v>644.90237245337096</v>
      </c>
      <c r="B3020" s="3">
        <v>0.36659384960845398</v>
      </c>
      <c r="C3020" s="5">
        <v>1.9581507470037299E-7</v>
      </c>
      <c r="D3020" s="6">
        <v>8.6813697686406199E-7</v>
      </c>
      <c r="E3020" s="3" t="s">
        <v>8913</v>
      </c>
      <c r="F3020" s="3" t="s">
        <v>8914</v>
      </c>
      <c r="G3020" s="3">
        <v>98685</v>
      </c>
      <c r="H3020" s="7" t="str">
        <f>HYPERLINK("http://www.ensembl.org/Mus_musculus/Gene/Summary?db=core;g=ENSMUSG00000053286","ENSMUSG00000053286")</f>
        <v>ENSMUSG00000053286</v>
      </c>
      <c r="I3020" s="7" t="str">
        <f>HYPERLINK("http://www.informatics.jax.org/marker/MGI:1916185","MGI:1916185")</f>
        <v>MGI:1916185</v>
      </c>
      <c r="J3020" s="4" t="s">
        <v>12</v>
      </c>
    </row>
    <row r="3021" spans="1:10" x14ac:dyDescent="0.25">
      <c r="A3021" s="2">
        <v>239.21371268856001</v>
      </c>
      <c r="B3021" s="3">
        <v>0.36659260150114298</v>
      </c>
      <c r="C3021" s="5">
        <v>2.0800217568192102E-6</v>
      </c>
      <c r="D3021" s="6">
        <v>8.3488762557449305E-6</v>
      </c>
      <c r="E3021" s="3" t="s">
        <v>9841</v>
      </c>
      <c r="F3021" s="3" t="s">
        <v>9842</v>
      </c>
      <c r="G3021" s="3">
        <v>69694</v>
      </c>
      <c r="H3021" s="7" t="str">
        <f>HYPERLINK("http://www.ensembl.org/Mus_musculus/Gene/Summary?db=core;g=ENSMUSG00000050891","ENSMUSG00000050891")</f>
        <v>ENSMUSG00000050891</v>
      </c>
      <c r="I3021" s="7" t="str">
        <f>HYPERLINK("http://www.informatics.jax.org/marker/MGI:1916944","MGI:1916944")</f>
        <v>MGI:1916944</v>
      </c>
      <c r="J3021" s="4" t="s">
        <v>12</v>
      </c>
    </row>
    <row r="3022" spans="1:10" x14ac:dyDescent="0.25">
      <c r="A3022" s="2">
        <v>1454.12448561368</v>
      </c>
      <c r="B3022" s="3">
        <v>0.36651335686412301</v>
      </c>
      <c r="C3022" s="5">
        <v>2.5140733711501199E-10</v>
      </c>
      <c r="D3022" s="6">
        <v>1.4148837579646199E-9</v>
      </c>
      <c r="E3022" s="3" t="s">
        <v>7026</v>
      </c>
      <c r="F3022" s="3" t="s">
        <v>7027</v>
      </c>
      <c r="G3022" s="3">
        <v>74334</v>
      </c>
      <c r="H3022" s="7" t="str">
        <f>HYPERLINK("http://www.ensembl.org/Mus_musculus/Gene/Summary?db=core;g=ENSMUSG00000037415","ENSMUSG00000037415")</f>
        <v>ENSMUSG00000037415</v>
      </c>
      <c r="I3022" s="7" t="str">
        <f>HYPERLINK("http://www.informatics.jax.org/marker/MGI:1921584","MGI:1921584")</f>
        <v>MGI:1921584</v>
      </c>
      <c r="J3022" s="4" t="s">
        <v>12</v>
      </c>
    </row>
    <row r="3023" spans="1:10" x14ac:dyDescent="0.25">
      <c r="A3023" s="2">
        <v>3924.8596971070101</v>
      </c>
      <c r="B3023" s="3">
        <v>0.36646343875773602</v>
      </c>
      <c r="C3023" s="5">
        <v>5.1880672645326202E-9</v>
      </c>
      <c r="D3023" s="6">
        <v>2.63139625659936E-8</v>
      </c>
      <c r="E3023" s="3" t="s">
        <v>7792</v>
      </c>
      <c r="F3023" s="3" t="s">
        <v>7793</v>
      </c>
      <c r="G3023" s="3">
        <v>67501</v>
      </c>
      <c r="H3023" s="7" t="str">
        <f>HYPERLINK("http://www.ensembl.org/Mus_musculus/Gene/Summary?db=core;g=ENSMUSG00000038127","ENSMUSG00000038127")</f>
        <v>ENSMUSG00000038127</v>
      </c>
      <c r="I3023" s="7" t="str">
        <f>HYPERLINK("http://www.informatics.jax.org/marker/MGI:1914751","MGI:1914751")</f>
        <v>MGI:1914751</v>
      </c>
      <c r="J3023" s="4" t="s">
        <v>12</v>
      </c>
    </row>
    <row r="3024" spans="1:10" x14ac:dyDescent="0.25">
      <c r="A3024" s="2">
        <v>231.39682206356699</v>
      </c>
      <c r="B3024" s="3">
        <v>0.36619196375965501</v>
      </c>
      <c r="C3024" s="3">
        <v>1.3239660084174001E-4</v>
      </c>
      <c r="D3024" s="4">
        <v>4.3968692633868399E-4</v>
      </c>
      <c r="E3024" s="3" t="s">
        <v>11887</v>
      </c>
      <c r="F3024" s="3" t="s">
        <v>11888</v>
      </c>
      <c r="G3024" s="3">
        <v>235047</v>
      </c>
      <c r="H3024" s="7" t="str">
        <f>HYPERLINK("http://www.ensembl.org/Mus_musculus/Gene/Summary?db=core;g=ENSMUSG00000057982","ENSMUSG00000057982")</f>
        <v>ENSMUSG00000057982</v>
      </c>
      <c r="I3024" s="7" t="str">
        <f>HYPERLINK("http://www.informatics.jax.org/marker/MGI:2143362","MGI:2143362")</f>
        <v>MGI:2143362</v>
      </c>
      <c r="J3024" s="4" t="s">
        <v>12</v>
      </c>
    </row>
    <row r="3025" spans="1:10" x14ac:dyDescent="0.25">
      <c r="A3025" s="2">
        <v>415.55272553495502</v>
      </c>
      <c r="B3025" s="3">
        <v>0.36597997321141101</v>
      </c>
      <c r="C3025" s="5">
        <v>1.25934062712696E-5</v>
      </c>
      <c r="D3025" s="6">
        <v>4.67423248013244E-5</v>
      </c>
      <c r="E3025" s="3" t="s">
        <v>10638</v>
      </c>
      <c r="F3025" s="3" t="s">
        <v>10639</v>
      </c>
      <c r="G3025" s="3">
        <v>67966</v>
      </c>
      <c r="H3025" s="7" t="str">
        <f>HYPERLINK("http://www.ensembl.org/Mus_musculus/Gene/Summary?db=core;g=ENSMUSG00000018239","ENSMUSG00000018239")</f>
        <v>ENSMUSG00000018239</v>
      </c>
      <c r="I3025" s="7" t="str">
        <f>HYPERLINK("http://www.informatics.jax.org/marker/MGI:1196228","MGI:1196228")</f>
        <v>MGI:1196228</v>
      </c>
      <c r="J3025" s="4" t="s">
        <v>12</v>
      </c>
    </row>
    <row r="3026" spans="1:10" x14ac:dyDescent="0.25">
      <c r="A3026" s="2">
        <v>9109.4725589288591</v>
      </c>
      <c r="B3026" s="3">
        <v>0.36596000714272803</v>
      </c>
      <c r="C3026" s="5">
        <v>5.8002354652089101E-22</v>
      </c>
      <c r="D3026" s="6">
        <v>6.2605716132413702E-21</v>
      </c>
      <c r="E3026" s="3" t="s">
        <v>3672</v>
      </c>
      <c r="F3026" s="3" t="s">
        <v>3673</v>
      </c>
      <c r="G3026" s="3">
        <v>56347</v>
      </c>
      <c r="H3026" s="7" t="str">
        <f>HYPERLINK("http://www.ensembl.org/Mus_musculus/Gene/Summary?db=core;g=ENSMUSG00000030738","ENSMUSG00000030738")</f>
        <v>ENSMUSG00000030738</v>
      </c>
      <c r="I3026" s="7" t="str">
        <f>HYPERLINK("http://www.informatics.jax.org/marker/MGI:1926966","MGI:1926966")</f>
        <v>MGI:1926966</v>
      </c>
      <c r="J3026" s="4" t="s">
        <v>12</v>
      </c>
    </row>
    <row r="3027" spans="1:10" x14ac:dyDescent="0.25">
      <c r="A3027" s="2">
        <v>6382.4890038886597</v>
      </c>
      <c r="B3027" s="3">
        <v>0.36580239107128598</v>
      </c>
      <c r="C3027" s="5">
        <v>1.73742877412309E-16</v>
      </c>
      <c r="D3027" s="6">
        <v>1.4365658459415999E-15</v>
      </c>
      <c r="E3027" s="3" t="s">
        <v>4787</v>
      </c>
      <c r="F3027" s="3" t="s">
        <v>4788</v>
      </c>
      <c r="G3027" s="3">
        <v>233726</v>
      </c>
      <c r="H3027" s="7" t="str">
        <f>HYPERLINK("http://www.ensembl.org/Mus_musculus/Gene/Summary?db=core;g=ENSMUSG00000066232","ENSMUSG00000066232")</f>
        <v>ENSMUSG00000066232</v>
      </c>
      <c r="I3027" s="7" t="str">
        <f>HYPERLINK("http://www.informatics.jax.org/marker/MGI:2152414","MGI:2152414")</f>
        <v>MGI:2152414</v>
      </c>
      <c r="J3027" s="4" t="s">
        <v>12</v>
      </c>
    </row>
    <row r="3028" spans="1:10" x14ac:dyDescent="0.25">
      <c r="A3028" s="2">
        <v>8793.7671541663894</v>
      </c>
      <c r="B3028" s="3">
        <v>0.365766060334692</v>
      </c>
      <c r="C3028" s="5">
        <v>9.1752552933652605E-6</v>
      </c>
      <c r="D3028" s="6">
        <v>3.4490284861830498E-5</v>
      </c>
      <c r="E3028" s="3" t="s">
        <v>10506</v>
      </c>
      <c r="F3028" s="3" t="s">
        <v>10507</v>
      </c>
      <c r="G3028" s="3">
        <v>18810</v>
      </c>
      <c r="H3028" s="7" t="str">
        <f>HYPERLINK("http://www.ensembl.org/Mus_musculus/Gene/Summary?db=core;g=ENSMUSG00000022565","ENSMUSG00000022565")</f>
        <v>ENSMUSG00000022565</v>
      </c>
      <c r="I3028" s="7" t="str">
        <f>HYPERLINK("http://www.informatics.jax.org/marker/MGI:1277961","MGI:1277961")</f>
        <v>MGI:1277961</v>
      </c>
      <c r="J3028" s="4" t="s">
        <v>12</v>
      </c>
    </row>
    <row r="3029" spans="1:10" x14ac:dyDescent="0.25">
      <c r="A3029" s="2">
        <v>998.23847062090704</v>
      </c>
      <c r="B3029" s="3">
        <v>0.36553710113747201</v>
      </c>
      <c r="C3029" s="5">
        <v>8.6497296876291594E-11</v>
      </c>
      <c r="D3029" s="6">
        <v>5.0375862209110202E-10</v>
      </c>
      <c r="E3029" s="3" t="s">
        <v>6790</v>
      </c>
      <c r="F3029" s="3" t="s">
        <v>6791</v>
      </c>
      <c r="G3029" s="3">
        <v>77591</v>
      </c>
      <c r="H3029" s="7" t="str">
        <f>HYPERLINK("http://www.ensembl.org/Mus_musculus/Gene/Summary?db=core;g=ENSMUSG00000053289","ENSMUSG00000053289")</f>
        <v>ENSMUSG00000053289</v>
      </c>
      <c r="I3029" s="7" t="str">
        <f>HYPERLINK("http://www.informatics.jax.org/marker/MGI:1924841","MGI:1924841")</f>
        <v>MGI:1924841</v>
      </c>
      <c r="J3029" s="4" t="s">
        <v>12</v>
      </c>
    </row>
    <row r="3030" spans="1:10" x14ac:dyDescent="0.25">
      <c r="A3030" s="2">
        <v>774.46206936230203</v>
      </c>
      <c r="B3030" s="3">
        <v>0.36553572290467601</v>
      </c>
      <c r="C3030" s="3">
        <v>3.8884083525291E-3</v>
      </c>
      <c r="D3030" s="4">
        <v>1.0486790578757401E-2</v>
      </c>
      <c r="E3030" s="3" t="s">
        <v>14627</v>
      </c>
      <c r="F3030" s="3" t="s">
        <v>14628</v>
      </c>
      <c r="G3030" s="3">
        <v>68028</v>
      </c>
      <c r="H3030" s="7" t="str">
        <f>HYPERLINK("http://www.ensembl.org/Mus_musculus/Gene/Summary?db=core;g=ENSMUSG00000039221","ENSMUSG00000039221")</f>
        <v>ENSMUSG00000039221</v>
      </c>
      <c r="I3030" s="7" t="str">
        <f>HYPERLINK("http://www.informatics.jax.org/marker/MGI:1915278","MGI:1915278")</f>
        <v>MGI:1915278</v>
      </c>
      <c r="J3030" s="4" t="s">
        <v>12</v>
      </c>
    </row>
    <row r="3031" spans="1:10" x14ac:dyDescent="0.25">
      <c r="A3031" s="2">
        <v>1113.0404011906501</v>
      </c>
      <c r="B3031" s="3">
        <v>0.36450995663701902</v>
      </c>
      <c r="C3031" s="5">
        <v>4.8037210561321704E-7</v>
      </c>
      <c r="D3031" s="6">
        <v>2.0521962570824598E-6</v>
      </c>
      <c r="E3031" s="3" t="s">
        <v>9247</v>
      </c>
      <c r="F3031" s="3" t="s">
        <v>9248</v>
      </c>
      <c r="G3031" s="3">
        <v>19347</v>
      </c>
      <c r="H3031" s="7" t="str">
        <f>HYPERLINK("http://www.ensembl.org/Mus_musculus/Gene/Summary?db=core;g=ENSMUSG00000035901","ENSMUSG00000035901")</f>
        <v>ENSMUSG00000035901</v>
      </c>
      <c r="I3031" s="7" t="str">
        <f>HYPERLINK("http://www.informatics.jax.org/marker/MGI:1201681","MGI:1201681")</f>
        <v>MGI:1201681</v>
      </c>
      <c r="J3031" s="4" t="s">
        <v>12</v>
      </c>
    </row>
    <row r="3032" spans="1:10" x14ac:dyDescent="0.25">
      <c r="A3032" s="2">
        <v>427.332415059857</v>
      </c>
      <c r="B3032" s="3">
        <v>0.36435370646196003</v>
      </c>
      <c r="C3032" s="5">
        <v>1.01079760388187E-5</v>
      </c>
      <c r="D3032" s="6">
        <v>3.7809045425930199E-5</v>
      </c>
      <c r="E3032" s="3" t="s">
        <v>10557</v>
      </c>
      <c r="F3032" s="3" t="s">
        <v>10558</v>
      </c>
      <c r="G3032" s="3">
        <v>20841</v>
      </c>
      <c r="H3032" s="7" t="str">
        <f>HYPERLINK("http://www.ensembl.org/Mus_musculus/Gene/Summary?db=core;g=ENSMUSG00000061079","ENSMUSG00000061079")</f>
        <v>ENSMUSG00000061079</v>
      </c>
      <c r="I3032" s="7" t="str">
        <f>HYPERLINK("http://www.informatics.jax.org/marker/MGI:1277969","MGI:1277969")</f>
        <v>MGI:1277969</v>
      </c>
      <c r="J3032" s="4" t="s">
        <v>12</v>
      </c>
    </row>
    <row r="3033" spans="1:10" x14ac:dyDescent="0.25">
      <c r="A3033" s="2">
        <v>540.85720106264205</v>
      </c>
      <c r="B3033" s="3">
        <v>0.36425381269204099</v>
      </c>
      <c r="C3033" s="5">
        <v>3.7913544443121898E-6</v>
      </c>
      <c r="D3033" s="6">
        <v>1.48138517221788E-5</v>
      </c>
      <c r="E3033" s="3" t="s">
        <v>10110</v>
      </c>
      <c r="F3033" s="3" t="s">
        <v>10111</v>
      </c>
      <c r="G3033" s="3">
        <v>72039</v>
      </c>
      <c r="H3033" s="7" t="str">
        <f>HYPERLINK("http://www.ensembl.org/Mus_musculus/Gene/Summary?db=core;g=ENSMUSG00000027709","ENSMUSG00000027709")</f>
        <v>ENSMUSG00000027709</v>
      </c>
      <c r="I3033" s="7" t="str">
        <f>HYPERLINK("http://www.informatics.jax.org/marker/MGI:1919289","MGI:1919289")</f>
        <v>MGI:1919289</v>
      </c>
      <c r="J3033" s="4" t="s">
        <v>12</v>
      </c>
    </row>
    <row r="3034" spans="1:10" x14ac:dyDescent="0.25">
      <c r="A3034" s="2">
        <v>3193.3931560527299</v>
      </c>
      <c r="B3034" s="3">
        <v>0.36407648939489701</v>
      </c>
      <c r="C3034" s="5">
        <v>3.2017225670896999E-6</v>
      </c>
      <c r="D3034" s="6">
        <v>1.25898243316069E-5</v>
      </c>
      <c r="E3034" s="3" t="s">
        <v>10046</v>
      </c>
      <c r="F3034" s="3" t="s">
        <v>10047</v>
      </c>
      <c r="G3034" s="3">
        <v>98878</v>
      </c>
      <c r="H3034" s="7" t="str">
        <f>HYPERLINK("http://www.ensembl.org/Mus_musculus/Gene/Summary?db=core;g=ENSMUSG00000027293","ENSMUSG00000027293")</f>
        <v>ENSMUSG00000027293</v>
      </c>
      <c r="I3034" s="7" t="str">
        <f>HYPERLINK("http://www.informatics.jax.org/marker/MGI:1919619","MGI:1919619")</f>
        <v>MGI:1919619</v>
      </c>
      <c r="J3034" s="4" t="s">
        <v>12</v>
      </c>
    </row>
    <row r="3035" spans="1:10" x14ac:dyDescent="0.25">
      <c r="A3035" s="2">
        <v>2791.45393127019</v>
      </c>
      <c r="B3035" s="3">
        <v>0.36397790076027398</v>
      </c>
      <c r="C3035" s="5">
        <v>4.9541079194342195E-13</v>
      </c>
      <c r="D3035" s="6">
        <v>3.3874829462982998E-12</v>
      </c>
      <c r="E3035" s="3" t="s">
        <v>5785</v>
      </c>
      <c r="F3035" s="3" t="s">
        <v>5786</v>
      </c>
      <c r="G3035" s="3">
        <v>22375</v>
      </c>
      <c r="H3035" s="7" t="str">
        <f>HYPERLINK("http://www.ensembl.org/Mus_musculus/Gene/Summary?db=core;g=ENSMUSG00000021266","ENSMUSG00000021266")</f>
        <v>ENSMUSG00000021266</v>
      </c>
      <c r="I3035" s="7" t="str">
        <f>HYPERLINK("http://www.informatics.jax.org/marker/MGI:104630","MGI:104630")</f>
        <v>MGI:104630</v>
      </c>
      <c r="J3035" s="4" t="s">
        <v>12</v>
      </c>
    </row>
    <row r="3036" spans="1:10" x14ac:dyDescent="0.25">
      <c r="A3036" s="2">
        <v>457.92052724194099</v>
      </c>
      <c r="B3036" s="3">
        <v>0.36396065000164701</v>
      </c>
      <c r="C3036" s="3">
        <v>9.7300697284447902E-4</v>
      </c>
      <c r="D3036" s="4">
        <v>2.8726782973888098E-3</v>
      </c>
      <c r="E3036" s="3" t="s">
        <v>13367</v>
      </c>
      <c r="F3036" s="3" t="s">
        <v>13368</v>
      </c>
      <c r="G3036" s="3">
        <v>66172</v>
      </c>
      <c r="H3036" s="7" t="str">
        <f>HYPERLINK("http://www.ensembl.org/Mus_musculus/Gene/Summary?db=core;g=ENSMUSG00000018923","ENSMUSG00000018923")</f>
        <v>ENSMUSG00000018923</v>
      </c>
      <c r="I3036" s="7" t="str">
        <f>HYPERLINK("http://www.informatics.jax.org/marker/MGI:1913422","MGI:1913422")</f>
        <v>MGI:1913422</v>
      </c>
      <c r="J3036" s="4" t="s">
        <v>12</v>
      </c>
    </row>
    <row r="3037" spans="1:10" x14ac:dyDescent="0.25">
      <c r="A3037" s="2">
        <v>100.134016230821</v>
      </c>
      <c r="B3037" s="3">
        <v>0.36394373375052502</v>
      </c>
      <c r="C3037" s="3">
        <v>1.14586986434422E-3</v>
      </c>
      <c r="D3037" s="4">
        <v>3.3516098672304998E-3</v>
      </c>
      <c r="E3037" s="3" t="s">
        <v>13493</v>
      </c>
      <c r="F3037" s="3" t="s">
        <v>13494</v>
      </c>
      <c r="G3037" s="3" t="s">
        <v>83</v>
      </c>
      <c r="H3037" s="7" t="str">
        <f>HYPERLINK("http://www.ensembl.org/Mus_musculus/Gene/Summary?db=core;g=ENSMUSG00000097039","ENSMUSG00000097039")</f>
        <v>ENSMUSG00000097039</v>
      </c>
      <c r="I3037" s="7" t="str">
        <f>HYPERLINK("http://www.informatics.jax.org/marker/MGI:97824","MGI:97824")</f>
        <v>MGI:97824</v>
      </c>
      <c r="J3037" s="4" t="s">
        <v>939</v>
      </c>
    </row>
    <row r="3038" spans="1:10" x14ac:dyDescent="0.25">
      <c r="A3038" s="2">
        <v>6681.8991641695002</v>
      </c>
      <c r="B3038" s="3">
        <v>0.36371909773658001</v>
      </c>
      <c r="C3038" s="5">
        <v>1.4005852715928701E-7</v>
      </c>
      <c r="D3038" s="6">
        <v>6.2615147485403397E-7</v>
      </c>
      <c r="E3038" s="3" t="s">
        <v>8839</v>
      </c>
      <c r="F3038" s="3" t="s">
        <v>8840</v>
      </c>
      <c r="G3038" s="3">
        <v>12332</v>
      </c>
      <c r="H3038" s="7" t="str">
        <f>HYPERLINK("http://www.ensembl.org/Mus_musculus/Gene/Summary?db=core;g=ENSMUSG00000056737","ENSMUSG00000056737")</f>
        <v>ENSMUSG00000056737</v>
      </c>
      <c r="I3038" s="7" t="str">
        <f>HYPERLINK("http://www.informatics.jax.org/marker/MGI:1098259","MGI:1098259")</f>
        <v>MGI:1098259</v>
      </c>
      <c r="J3038" s="4" t="s">
        <v>12</v>
      </c>
    </row>
    <row r="3039" spans="1:10" x14ac:dyDescent="0.25">
      <c r="A3039" s="2">
        <v>4683.4722631719796</v>
      </c>
      <c r="B3039" s="3">
        <v>0.36355026613882202</v>
      </c>
      <c r="C3039" s="5">
        <v>8.2608881794136199E-19</v>
      </c>
      <c r="D3039" s="6">
        <v>7.7573673760969792E-18</v>
      </c>
      <c r="E3039" s="3" t="s">
        <v>4217</v>
      </c>
      <c r="F3039" s="3" t="s">
        <v>4218</v>
      </c>
      <c r="G3039" s="3">
        <v>81702</v>
      </c>
      <c r="H3039" s="7" t="str">
        <f>HYPERLINK("http://www.ensembl.org/Mus_musculus/Gene/Summary?db=core;g=ENSMUSG00000055204","ENSMUSG00000055204")</f>
        <v>ENSMUSG00000055204</v>
      </c>
      <c r="I3039" s="7" t="str">
        <f>HYPERLINK("http://www.informatics.jax.org/marker/MGI:1932101","MGI:1932101")</f>
        <v>MGI:1932101</v>
      </c>
      <c r="J3039" s="4" t="s">
        <v>12</v>
      </c>
    </row>
    <row r="3040" spans="1:10" x14ac:dyDescent="0.25">
      <c r="A3040" s="2">
        <v>483.18910679296999</v>
      </c>
      <c r="B3040" s="3">
        <v>0.36296390109043197</v>
      </c>
      <c r="C3040" s="5">
        <v>1.28256664250488E-8</v>
      </c>
      <c r="D3040" s="6">
        <v>6.3025701944171796E-8</v>
      </c>
      <c r="E3040" s="3" t="s">
        <v>8043</v>
      </c>
      <c r="F3040" s="3" t="s">
        <v>8044</v>
      </c>
      <c r="G3040" s="3">
        <v>75812</v>
      </c>
      <c r="H3040" s="7" t="str">
        <f>HYPERLINK("http://www.ensembl.org/Mus_musculus/Gene/Summary?db=core;g=ENSMUSG00000039033","ENSMUSG00000039033")</f>
        <v>ENSMUSG00000039033</v>
      </c>
      <c r="I3040" s="7" t="str">
        <f>HYPERLINK("http://www.informatics.jax.org/marker/MGI:1923062","MGI:1923062")</f>
        <v>MGI:1923062</v>
      </c>
      <c r="J3040" s="4" t="s">
        <v>12</v>
      </c>
    </row>
    <row r="3041" spans="1:10" x14ac:dyDescent="0.25">
      <c r="A3041" s="2">
        <v>1312.4121222394399</v>
      </c>
      <c r="B3041" s="3">
        <v>0.36252975307486801</v>
      </c>
      <c r="C3041" s="5">
        <v>8.1840597012215396E-5</v>
      </c>
      <c r="D3041" s="4">
        <v>2.78498114422931E-4</v>
      </c>
      <c r="E3041" s="3" t="s">
        <v>11601</v>
      </c>
      <c r="F3041" s="3" t="s">
        <v>11602</v>
      </c>
      <c r="G3041" s="3">
        <v>12013</v>
      </c>
      <c r="H3041" s="7" t="str">
        <f>HYPERLINK("http://www.ensembl.org/Mus_musculus/Gene/Summary?db=core;g=ENSMUSG00000025612","ENSMUSG00000025612")</f>
        <v>ENSMUSG00000025612</v>
      </c>
      <c r="I3041" s="7" t="str">
        <f>HYPERLINK("http://www.informatics.jax.org/marker/MGI:894680","MGI:894680")</f>
        <v>MGI:894680</v>
      </c>
      <c r="J3041" s="4" t="s">
        <v>12</v>
      </c>
    </row>
    <row r="3042" spans="1:10" x14ac:dyDescent="0.25">
      <c r="A3042" s="2">
        <v>5096.8602980577598</v>
      </c>
      <c r="B3042" s="3">
        <v>0.36246539622303298</v>
      </c>
      <c r="C3042" s="5">
        <v>2.4397042019888798E-24</v>
      </c>
      <c r="D3042" s="6">
        <v>2.9087646229275001E-23</v>
      </c>
      <c r="E3042" s="3" t="s">
        <v>3328</v>
      </c>
      <c r="F3042" s="3" t="s">
        <v>3329</v>
      </c>
      <c r="G3042" s="3">
        <v>224742</v>
      </c>
      <c r="H3042" s="7" t="str">
        <f>HYPERLINK("http://www.ensembl.org/Mus_musculus/Gene/Summary?db=core;g=ENSMUSG00000038762","ENSMUSG00000038762")</f>
        <v>ENSMUSG00000038762</v>
      </c>
      <c r="I3042" s="7" t="str">
        <f>HYPERLINK("http://www.informatics.jax.org/marker/MGI:1351658","MGI:1351658")</f>
        <v>MGI:1351658</v>
      </c>
      <c r="J3042" s="4" t="s">
        <v>12</v>
      </c>
    </row>
    <row r="3043" spans="1:10" x14ac:dyDescent="0.25">
      <c r="A3043" s="2">
        <v>145.43311384875901</v>
      </c>
      <c r="B3043" s="3">
        <v>0.36242382539693802</v>
      </c>
      <c r="C3043" s="3">
        <v>2.1790380267268398E-3</v>
      </c>
      <c r="D3043" s="4">
        <v>6.1176864873367298E-3</v>
      </c>
      <c r="E3043" s="3" t="s">
        <v>14055</v>
      </c>
      <c r="F3043" s="3" t="s">
        <v>14056</v>
      </c>
      <c r="G3043" s="3" t="s">
        <v>83</v>
      </c>
      <c r="H3043" s="7" t="str">
        <f>HYPERLINK("http://www.ensembl.org/Mus_musculus/Gene/Summary?db=core;g=ENSMUSG00000101166","ENSMUSG00000101166")</f>
        <v>ENSMUSG00000101166</v>
      </c>
      <c r="I3043" s="7" t="str">
        <f>HYPERLINK("http://www.informatics.jax.org/marker/MGI:5579202","MGI:5579202")</f>
        <v>MGI:5579202</v>
      </c>
      <c r="J3043" s="4" t="s">
        <v>331</v>
      </c>
    </row>
    <row r="3044" spans="1:10" x14ac:dyDescent="0.25">
      <c r="A3044" s="2">
        <v>651.14891018635706</v>
      </c>
      <c r="B3044" s="3">
        <v>0.36212937233713499</v>
      </c>
      <c r="C3044" s="5">
        <v>2.3541309556994699E-5</v>
      </c>
      <c r="D3044" s="6">
        <v>8.4977965305497899E-5</v>
      </c>
      <c r="E3044" s="3" t="s">
        <v>10938</v>
      </c>
      <c r="F3044" s="3" t="s">
        <v>10939</v>
      </c>
      <c r="G3044" s="3">
        <v>329260</v>
      </c>
      <c r="H3044" s="7" t="str">
        <f>HYPERLINK("http://www.ensembl.org/Mus_musculus/Gene/Summary?db=core;g=ENSMUSG00000056268","ENSMUSG00000056268")</f>
        <v>ENSMUSG00000056268</v>
      </c>
      <c r="I3044" s="7" t="str">
        <f>HYPERLINK("http://www.informatics.jax.org/marker/MGI:2447812","MGI:2447812")</f>
        <v>MGI:2447812</v>
      </c>
      <c r="J3044" s="4" t="s">
        <v>12</v>
      </c>
    </row>
    <row r="3045" spans="1:10" x14ac:dyDescent="0.25">
      <c r="A3045" s="2">
        <v>332.39485091953702</v>
      </c>
      <c r="B3045" s="3">
        <v>0.36173762602376403</v>
      </c>
      <c r="C3045" s="5">
        <v>5.8196263999972804E-6</v>
      </c>
      <c r="D3045" s="6">
        <v>2.2327438250573199E-5</v>
      </c>
      <c r="E3045" s="3" t="s">
        <v>10294</v>
      </c>
      <c r="F3045" s="3" t="s">
        <v>10295</v>
      </c>
      <c r="G3045" s="3">
        <v>68815</v>
      </c>
      <c r="H3045" s="7" t="str">
        <f>HYPERLINK("http://www.ensembl.org/Mus_musculus/Gene/Summary?db=core;g=ENSMUSG00000038187","ENSMUSG00000038187")</f>
        <v>ENSMUSG00000038187</v>
      </c>
      <c r="I3045" s="7" t="str">
        <f>HYPERLINK("http://www.informatics.jax.org/marker/MGI:1916065","MGI:1916065")</f>
        <v>MGI:1916065</v>
      </c>
      <c r="J3045" s="4" t="s">
        <v>12</v>
      </c>
    </row>
    <row r="3046" spans="1:10" x14ac:dyDescent="0.25">
      <c r="A3046" s="2">
        <v>1858.83819482288</v>
      </c>
      <c r="B3046" s="3">
        <v>0.36137684437457002</v>
      </c>
      <c r="C3046" s="5">
        <v>4.8418971391535699E-14</v>
      </c>
      <c r="D3046" s="6">
        <v>3.5129584835948699E-13</v>
      </c>
      <c r="E3046" s="3" t="s">
        <v>5453</v>
      </c>
      <c r="F3046" s="3" t="s">
        <v>5454</v>
      </c>
      <c r="G3046" s="3">
        <v>53382</v>
      </c>
      <c r="H3046" s="7" t="str">
        <f>HYPERLINK("http://www.ensembl.org/Mus_musculus/Gene/Summary?db=core;g=ENSMUSG00000024583","ENSMUSG00000024583")</f>
        <v>ENSMUSG00000024583</v>
      </c>
      <c r="I3046" s="7" t="str">
        <f>HYPERLINK("http://www.informatics.jax.org/marker/MGI:1860078","MGI:1860078")</f>
        <v>MGI:1860078</v>
      </c>
      <c r="J3046" s="4" t="s">
        <v>12</v>
      </c>
    </row>
    <row r="3047" spans="1:10" x14ac:dyDescent="0.25">
      <c r="A3047" s="2">
        <v>812.49730667518895</v>
      </c>
      <c r="B3047" s="3">
        <v>0.36124772524993998</v>
      </c>
      <c r="C3047" s="5">
        <v>1.3429695372679401E-9</v>
      </c>
      <c r="D3047" s="6">
        <v>7.1345256667359202E-9</v>
      </c>
      <c r="E3047" s="3" t="s">
        <v>7442</v>
      </c>
      <c r="F3047" s="3" t="s">
        <v>7443</v>
      </c>
      <c r="G3047" s="3">
        <v>57815</v>
      </c>
      <c r="H3047" s="7" t="str">
        <f>HYPERLINK("http://www.ensembl.org/Mus_musculus/Gene/Summary?db=core;g=ENSMUSG00000027722","ENSMUSG00000027722")</f>
        <v>ENSMUSG00000027722</v>
      </c>
      <c r="I3047" s="7" t="str">
        <f>HYPERLINK("http://www.informatics.jax.org/marker/MGI:1927170","MGI:1927170")</f>
        <v>MGI:1927170</v>
      </c>
      <c r="J3047" s="4" t="s">
        <v>12</v>
      </c>
    </row>
    <row r="3048" spans="1:10" x14ac:dyDescent="0.25">
      <c r="A3048" s="2">
        <v>1102.3994677729199</v>
      </c>
      <c r="B3048" s="3">
        <v>0.36119919360362202</v>
      </c>
      <c r="C3048" s="5">
        <v>7.58165033751083E-5</v>
      </c>
      <c r="D3048" s="4">
        <v>2.5899276763237302E-4</v>
      </c>
      <c r="E3048" s="3" t="s">
        <v>11557</v>
      </c>
      <c r="F3048" s="3" t="s">
        <v>11558</v>
      </c>
      <c r="G3048" s="3">
        <v>83602</v>
      </c>
      <c r="H3048" s="7" t="str">
        <f>HYPERLINK("http://www.ensembl.org/Mus_musculus/Gene/Summary?db=core;g=ENSMUSG00000020962","ENSMUSG00000020962")</f>
        <v>ENSMUSG00000020962</v>
      </c>
      <c r="I3048" s="7" t="str">
        <f>HYPERLINK("http://www.informatics.jax.org/marker/MGI:1933277","MGI:1933277")</f>
        <v>MGI:1933277</v>
      </c>
      <c r="J3048" s="4" t="s">
        <v>12</v>
      </c>
    </row>
    <row r="3049" spans="1:10" x14ac:dyDescent="0.25">
      <c r="A3049" s="2">
        <v>8333.2839806051106</v>
      </c>
      <c r="B3049" s="3">
        <v>0.36119552832777602</v>
      </c>
      <c r="C3049" s="5">
        <v>4.9905058446484403E-9</v>
      </c>
      <c r="D3049" s="6">
        <v>2.53379956891007E-8</v>
      </c>
      <c r="E3049" s="3" t="s">
        <v>7784</v>
      </c>
      <c r="F3049" s="3" t="s">
        <v>7785</v>
      </c>
      <c r="G3049" s="3">
        <v>217869</v>
      </c>
      <c r="H3049" s="7" t="str">
        <f>HYPERLINK("http://www.ensembl.org/Mus_musculus/Gene/Summary?db=core;g=ENSMUSG00000021282","ENSMUSG00000021282")</f>
        <v>ENSMUSG00000021282</v>
      </c>
      <c r="I3049" s="7" t="str">
        <f>HYPERLINK("http://www.informatics.jax.org/marker/MGI:95309","MGI:95309")</f>
        <v>MGI:95309</v>
      </c>
      <c r="J3049" s="4" t="s">
        <v>12</v>
      </c>
    </row>
    <row r="3050" spans="1:10" x14ac:dyDescent="0.25">
      <c r="A3050" s="2">
        <v>1197.8360141512601</v>
      </c>
      <c r="B3050" s="3">
        <v>0.36098243814930298</v>
      </c>
      <c r="C3050" s="5">
        <v>8.3303796663659299E-7</v>
      </c>
      <c r="D3050" s="6">
        <v>3.4693788177557799E-6</v>
      </c>
      <c r="E3050" s="3" t="s">
        <v>9485</v>
      </c>
      <c r="F3050" s="3" t="s">
        <v>9486</v>
      </c>
      <c r="G3050" s="3">
        <v>66144</v>
      </c>
      <c r="H3050" s="7" t="str">
        <f>HYPERLINK("http://www.ensembl.org/Mus_musculus/Gene/Summary?db=core;g=ENSMUSG00000004285","ENSMUSG00000004285")</f>
        <v>ENSMUSG00000004285</v>
      </c>
      <c r="I3050" s="7" t="str">
        <f>HYPERLINK("http://www.informatics.jax.org/marker/MGI:1913394","MGI:1913394")</f>
        <v>MGI:1913394</v>
      </c>
      <c r="J3050" s="4" t="s">
        <v>12</v>
      </c>
    </row>
    <row r="3051" spans="1:10" x14ac:dyDescent="0.25">
      <c r="A3051" s="2">
        <v>826.51189441853398</v>
      </c>
      <c r="B3051" s="3">
        <v>0.36070253733847102</v>
      </c>
      <c r="C3051" s="5">
        <v>3.01868985321113E-9</v>
      </c>
      <c r="D3051" s="6">
        <v>1.5585175792781201E-8</v>
      </c>
      <c r="E3051" s="3" t="s">
        <v>7654</v>
      </c>
      <c r="F3051" s="3" t="s">
        <v>7655</v>
      </c>
      <c r="G3051" s="3">
        <v>109331</v>
      </c>
      <c r="H3051" s="7" t="str">
        <f>HYPERLINK("http://www.ensembl.org/Mus_musculus/Gene/Summary?db=core;g=ENSMUSG00000028309","ENSMUSG00000028309")</f>
        <v>ENSMUSG00000028309</v>
      </c>
      <c r="I3051" s="7" t="str">
        <f>HYPERLINK("http://www.informatics.jax.org/marker/MGI:1925927","MGI:1925927")</f>
        <v>MGI:1925927</v>
      </c>
      <c r="J3051" s="4" t="s">
        <v>12</v>
      </c>
    </row>
    <row r="3052" spans="1:10" x14ac:dyDescent="0.25">
      <c r="A3052" s="2">
        <v>686.55953202585999</v>
      </c>
      <c r="B3052" s="3">
        <v>0.36057675069133699</v>
      </c>
      <c r="C3052" s="5">
        <v>9.772324979337151E-7</v>
      </c>
      <c r="D3052" s="6">
        <v>4.0459846439749902E-6</v>
      </c>
      <c r="E3052" s="3" t="s">
        <v>9541</v>
      </c>
      <c r="F3052" s="3" t="s">
        <v>9542</v>
      </c>
      <c r="G3052" s="3">
        <v>270096</v>
      </c>
      <c r="H3052" s="7" t="str">
        <f>HYPERLINK("http://www.ensembl.org/Mus_musculus/Gene/Summary?db=core;g=ENSMUSG00000078908","ENSMUSG00000078908")</f>
        <v>ENSMUSG00000078908</v>
      </c>
      <c r="I3052" s="7" t="str">
        <f>HYPERLINK("http://www.informatics.jax.org/marker/MGI:1923231","MGI:1923231")</f>
        <v>MGI:1923231</v>
      </c>
      <c r="J3052" s="4" t="s">
        <v>12</v>
      </c>
    </row>
    <row r="3053" spans="1:10" x14ac:dyDescent="0.25">
      <c r="A3053" s="2">
        <v>1220.2390009849601</v>
      </c>
      <c r="B3053" s="3">
        <v>0.360450872373064</v>
      </c>
      <c r="C3053" s="3">
        <v>2.6766975889393598E-4</v>
      </c>
      <c r="D3053" s="4">
        <v>8.5425597109377099E-4</v>
      </c>
      <c r="E3053" s="3" t="s">
        <v>12366</v>
      </c>
      <c r="F3053" s="3" t="s">
        <v>12367</v>
      </c>
      <c r="G3053" s="3">
        <v>20444</v>
      </c>
      <c r="H3053" s="7" t="str">
        <f>HYPERLINK("http://www.ensembl.org/Mus_musculus/Gene/Summary?db=core;g=ENSMUSG00000031749","ENSMUSG00000031749")</f>
        <v>ENSMUSG00000031749</v>
      </c>
      <c r="I3053" s="7" t="str">
        <f>HYPERLINK("http://www.informatics.jax.org/marker/MGI:99427","MGI:99427")</f>
        <v>MGI:99427</v>
      </c>
      <c r="J3053" s="4" t="s">
        <v>12</v>
      </c>
    </row>
    <row r="3054" spans="1:10" x14ac:dyDescent="0.25">
      <c r="A3054" s="2">
        <v>1636.15277322566</v>
      </c>
      <c r="B3054" s="3">
        <v>0.36025120906098201</v>
      </c>
      <c r="C3054" s="5">
        <v>7.0112445141348895E-11</v>
      </c>
      <c r="D3054" s="6">
        <v>4.1124848845550299E-10</v>
      </c>
      <c r="E3054" s="3" t="s">
        <v>6742</v>
      </c>
      <c r="F3054" s="3" t="s">
        <v>6743</v>
      </c>
      <c r="G3054" s="3">
        <v>170625</v>
      </c>
      <c r="H3054" s="7" t="str">
        <f>HYPERLINK("http://www.ensembl.org/Mus_musculus/Gene/Summary?db=core;g=ENSMUSG00000042364","ENSMUSG00000042364")</f>
        <v>ENSMUSG00000042364</v>
      </c>
      <c r="I3054" s="7" t="str">
        <f>HYPERLINK("http://www.informatics.jax.org/marker/MGI:2137642","MGI:2137642")</f>
        <v>MGI:2137642</v>
      </c>
      <c r="J3054" s="4" t="s">
        <v>12</v>
      </c>
    </row>
    <row r="3055" spans="1:10" x14ac:dyDescent="0.25">
      <c r="A3055" s="2">
        <v>487.79440462817001</v>
      </c>
      <c r="B3055" s="3">
        <v>0.359945386306946</v>
      </c>
      <c r="C3055" s="5">
        <v>8.6964338238346595E-5</v>
      </c>
      <c r="D3055" s="4">
        <v>2.9511904148342698E-4</v>
      </c>
      <c r="E3055" s="3" t="s">
        <v>11633</v>
      </c>
      <c r="F3055" s="3" t="s">
        <v>11634</v>
      </c>
      <c r="G3055" s="3">
        <v>71361</v>
      </c>
      <c r="H3055" s="7" t="str">
        <f>HYPERLINK("http://www.ensembl.org/Mus_musculus/Gene/Summary?db=core;g=ENSMUSG00000020085","ENSMUSG00000020085")</f>
        <v>ENSMUSG00000020085</v>
      </c>
      <c r="I3055" s="7" t="str">
        <f>HYPERLINK("http://www.informatics.jax.org/marker/MGI:1918611","MGI:1918611")</f>
        <v>MGI:1918611</v>
      </c>
      <c r="J3055" s="4" t="s">
        <v>12</v>
      </c>
    </row>
    <row r="3056" spans="1:10" x14ac:dyDescent="0.25">
      <c r="A3056" s="2">
        <v>1338.0770582212699</v>
      </c>
      <c r="B3056" s="3">
        <v>0.35993900304237098</v>
      </c>
      <c r="C3056" s="5">
        <v>1.3049562419074599E-7</v>
      </c>
      <c r="D3056" s="6">
        <v>5.8578959914443503E-7</v>
      </c>
      <c r="E3056" s="3" t="s">
        <v>8803</v>
      </c>
      <c r="F3056" s="3" t="s">
        <v>8804</v>
      </c>
      <c r="G3056" s="3">
        <v>21787</v>
      </c>
      <c r="H3056" s="7" t="str">
        <f>HYPERLINK("http://www.ensembl.org/Mus_musculus/Gene/Summary?db=core;g=ENSMUSG00000022757","ENSMUSG00000022757")</f>
        <v>ENSMUSG00000022757</v>
      </c>
      <c r="I3056" s="7" t="str">
        <f>HYPERLINK("http://www.informatics.jax.org/marker/MGI:1338041","MGI:1338041")</f>
        <v>MGI:1338041</v>
      </c>
      <c r="J3056" s="4" t="s">
        <v>12</v>
      </c>
    </row>
    <row r="3057" spans="1:10" x14ac:dyDescent="0.25">
      <c r="A3057" s="2">
        <v>1230.69246984503</v>
      </c>
      <c r="B3057" s="3">
        <v>0.35983188740928101</v>
      </c>
      <c r="C3057" s="3">
        <v>1.5450165488164599E-3</v>
      </c>
      <c r="D3057" s="4">
        <v>4.4348946641427304E-3</v>
      </c>
      <c r="E3057" s="3" t="s">
        <v>13747</v>
      </c>
      <c r="F3057" s="3" t="s">
        <v>13748</v>
      </c>
      <c r="G3057" s="3">
        <v>27267</v>
      </c>
      <c r="H3057" s="7" t="str">
        <f>HYPERLINK("http://www.ensembl.org/Mus_musculus/Gene/Summary?db=core;g=ENSMUSG00000010755","ENSMUSG00000010755")</f>
        <v>ENSMUSG00000010755</v>
      </c>
      <c r="I3057" s="7" t="str">
        <f>HYPERLINK("http://www.informatics.jax.org/marker/MGI:1351477","MGI:1351477")</f>
        <v>MGI:1351477</v>
      </c>
      <c r="J3057" s="4" t="s">
        <v>12</v>
      </c>
    </row>
    <row r="3058" spans="1:10" x14ac:dyDescent="0.25">
      <c r="A3058" s="2">
        <v>1382.84401609469</v>
      </c>
      <c r="B3058" s="3">
        <v>0.35957964473944598</v>
      </c>
      <c r="C3058" s="5">
        <v>5.9994117047591303E-10</v>
      </c>
      <c r="D3058" s="6">
        <v>3.2690908764258102E-9</v>
      </c>
      <c r="E3058" s="3" t="s">
        <v>7256</v>
      </c>
      <c r="F3058" s="3" t="s">
        <v>7257</v>
      </c>
      <c r="G3058" s="3">
        <v>70078</v>
      </c>
      <c r="H3058" s="7" t="str">
        <f>HYPERLINK("http://www.ensembl.org/Mus_musculus/Gene/Summary?db=core;g=ENSMUSG00000063200","ENSMUSG00000063200")</f>
        <v>ENSMUSG00000063200</v>
      </c>
      <c r="I3058" s="7" t="str">
        <f>HYPERLINK("http://www.informatics.jax.org/marker/MGI:1917328","MGI:1917328")</f>
        <v>MGI:1917328</v>
      </c>
      <c r="J3058" s="4" t="s">
        <v>12</v>
      </c>
    </row>
    <row r="3059" spans="1:10" x14ac:dyDescent="0.25">
      <c r="A3059" s="2">
        <v>574.153516237811</v>
      </c>
      <c r="B3059" s="3">
        <v>0.35910452781198798</v>
      </c>
      <c r="C3059" s="5">
        <v>3.8129527529559202E-7</v>
      </c>
      <c r="D3059" s="6">
        <v>1.64532665838711E-6</v>
      </c>
      <c r="E3059" s="3" t="s">
        <v>9155</v>
      </c>
      <c r="F3059" s="3" t="s">
        <v>9156</v>
      </c>
      <c r="G3059" s="3">
        <v>100317</v>
      </c>
      <c r="H3059" s="7" t="str">
        <f>HYPERLINK("http://www.ensembl.org/Mus_musculus/Gene/Summary?db=core;g=ENSMUSG00000028830","ENSMUSG00000028830")</f>
        <v>ENSMUSG00000028830</v>
      </c>
      <c r="I3059" s="7" t="str">
        <f>HYPERLINK("http://www.informatics.jax.org/marker/MGI:2140475","MGI:2140475")</f>
        <v>MGI:2140475</v>
      </c>
      <c r="J3059" s="4" t="s">
        <v>12</v>
      </c>
    </row>
    <row r="3060" spans="1:10" x14ac:dyDescent="0.25">
      <c r="A3060" s="2">
        <v>1189.30167012783</v>
      </c>
      <c r="B3060" s="3">
        <v>0.35892472841389</v>
      </c>
      <c r="C3060" s="3">
        <v>1.8563518142596301E-4</v>
      </c>
      <c r="D3060" s="4">
        <v>6.0447915748348697E-4</v>
      </c>
      <c r="E3060" s="3" t="s">
        <v>12123</v>
      </c>
      <c r="F3060" s="3" t="s">
        <v>12124</v>
      </c>
      <c r="G3060" s="3">
        <v>58194</v>
      </c>
      <c r="H3060" s="7" t="str">
        <f>HYPERLINK("http://www.ensembl.org/Mus_musculus/Gene/Summary?db=core;g=ENSMUSG00000040990","ENSMUSG00000040990")</f>
        <v>ENSMUSG00000040990</v>
      </c>
      <c r="I3060" s="7" t="str">
        <f>HYPERLINK("http://www.informatics.jax.org/marker/MGI:1889583","MGI:1889583")</f>
        <v>MGI:1889583</v>
      </c>
      <c r="J3060" s="4" t="s">
        <v>12</v>
      </c>
    </row>
    <row r="3061" spans="1:10" x14ac:dyDescent="0.25">
      <c r="A3061" s="2">
        <v>433.06640210020402</v>
      </c>
      <c r="B3061" s="3">
        <v>0.35871201136681502</v>
      </c>
      <c r="C3061" s="3">
        <v>1.26151972571173E-4</v>
      </c>
      <c r="D3061" s="4">
        <v>4.2022244917289499E-4</v>
      </c>
      <c r="E3061" s="3" t="s">
        <v>11851</v>
      </c>
      <c r="F3061" s="3" t="s">
        <v>11852</v>
      </c>
      <c r="G3061" s="3">
        <v>78796</v>
      </c>
      <c r="H3061" s="7" t="str">
        <f>HYPERLINK("http://www.ensembl.org/Mus_musculus/Gene/Summary?db=core;g=ENSMUSG00000029179","ENSMUSG00000029179")</f>
        <v>ENSMUSG00000029179</v>
      </c>
      <c r="I3061" s="7" t="str">
        <f>HYPERLINK("http://www.informatics.jax.org/marker/MGI:1926046","MGI:1926046")</f>
        <v>MGI:1926046</v>
      </c>
      <c r="J3061" s="4" t="s">
        <v>12</v>
      </c>
    </row>
    <row r="3062" spans="1:10" x14ac:dyDescent="0.25">
      <c r="A3062" s="2">
        <v>16960.6829307671</v>
      </c>
      <c r="B3062" s="3">
        <v>0.35857599930143702</v>
      </c>
      <c r="C3062" s="5">
        <v>3.0481857045190902E-19</v>
      </c>
      <c r="D3062" s="6">
        <v>2.9236489344900999E-18</v>
      </c>
      <c r="E3062" s="3" t="s">
        <v>4129</v>
      </c>
      <c r="F3062" s="3" t="s">
        <v>4130</v>
      </c>
      <c r="G3062" s="3">
        <v>18643</v>
      </c>
      <c r="H3062" s="7" t="str">
        <f>HYPERLINK("http://www.ensembl.org/Mus_musculus/Gene/Summary?db=core;g=ENSMUSG00000018293","ENSMUSG00000018293")</f>
        <v>ENSMUSG00000018293</v>
      </c>
      <c r="I3062" s="7" t="str">
        <f>HYPERLINK("http://www.informatics.jax.org/marker/MGI:97549","MGI:97549")</f>
        <v>MGI:97549</v>
      </c>
      <c r="J3062" s="4" t="s">
        <v>12</v>
      </c>
    </row>
    <row r="3063" spans="1:10" x14ac:dyDescent="0.25">
      <c r="A3063" s="2">
        <v>853.20499133701003</v>
      </c>
      <c r="B3063" s="3">
        <v>0.35857487947681399</v>
      </c>
      <c r="C3063" s="3">
        <v>1.06390243374236E-4</v>
      </c>
      <c r="D3063" s="4">
        <v>3.5783994530785298E-4</v>
      </c>
      <c r="E3063" s="3" t="s">
        <v>11737</v>
      </c>
      <c r="F3063" s="3" t="s">
        <v>11738</v>
      </c>
      <c r="G3063" s="3" t="s">
        <v>83</v>
      </c>
      <c r="H3063" s="7" t="str">
        <f>HYPERLINK("http://www.ensembl.org/Mus_musculus/Gene/Summary?db=core;g=ENSMUSG00000085241","ENSMUSG00000085241")</f>
        <v>ENSMUSG00000085241</v>
      </c>
      <c r="I3063" s="7" t="str">
        <f>HYPERLINK("http://www.informatics.jax.org/marker/MGI:2684817","MGI:2684817")</f>
        <v>MGI:2684817</v>
      </c>
      <c r="J3063" s="4" t="s">
        <v>331</v>
      </c>
    </row>
    <row r="3064" spans="1:10" x14ac:dyDescent="0.25">
      <c r="A3064" s="2">
        <v>294.64631440582298</v>
      </c>
      <c r="B3064" s="3">
        <v>0.35854210319593199</v>
      </c>
      <c r="C3064" s="5">
        <v>8.44444353296673E-5</v>
      </c>
      <c r="D3064" s="4">
        <v>2.86814375594392E-4</v>
      </c>
      <c r="E3064" s="3" t="s">
        <v>11623</v>
      </c>
      <c r="F3064" s="3" t="s">
        <v>11624</v>
      </c>
      <c r="G3064" s="3">
        <v>56426</v>
      </c>
      <c r="H3064" s="7" t="str">
        <f>HYPERLINK("http://www.ensembl.org/Mus_musculus/Gene/Summary?db=core;g=ENSMUSG00000027835","ENSMUSG00000027835")</f>
        <v>ENSMUSG00000027835</v>
      </c>
      <c r="I3064" s="7" t="str">
        <f>HYPERLINK("http://www.informatics.jax.org/marker/MGI:1928396","MGI:1928396")</f>
        <v>MGI:1928396</v>
      </c>
      <c r="J3064" s="4" t="s">
        <v>12</v>
      </c>
    </row>
    <row r="3065" spans="1:10" x14ac:dyDescent="0.25">
      <c r="A3065" s="2">
        <v>138.28928124480601</v>
      </c>
      <c r="B3065" s="3">
        <v>0.358081112595106</v>
      </c>
      <c r="C3065" s="3">
        <v>2.0248276956542702E-3</v>
      </c>
      <c r="D3065" s="4">
        <v>5.7140243500718698E-3</v>
      </c>
      <c r="E3065" s="3" t="s">
        <v>13983</v>
      </c>
      <c r="F3065" s="3" t="s">
        <v>13984</v>
      </c>
      <c r="G3065" s="3">
        <v>108138</v>
      </c>
      <c r="H3065" s="7" t="str">
        <f>HYPERLINK("http://www.ensembl.org/Mus_musculus/Gene/Summary?db=core;g=ENSMUSG00000021615","ENSMUSG00000021615")</f>
        <v>ENSMUSG00000021615</v>
      </c>
      <c r="I3065" s="7" t="str">
        <f>HYPERLINK("http://www.informatics.jax.org/marker/MGI:1333799","MGI:1333799")</f>
        <v>MGI:1333799</v>
      </c>
      <c r="J3065" s="4" t="s">
        <v>12</v>
      </c>
    </row>
    <row r="3066" spans="1:10" x14ac:dyDescent="0.25">
      <c r="A3066" s="2">
        <v>22971.970831086899</v>
      </c>
      <c r="B3066" s="3">
        <v>0.357979269804728</v>
      </c>
      <c r="C3066" s="5">
        <v>1.00290187179663E-10</v>
      </c>
      <c r="D3066" s="6">
        <v>5.8253976176228297E-10</v>
      </c>
      <c r="E3066" s="3" t="s">
        <v>6808</v>
      </c>
      <c r="F3066" s="3" t="s">
        <v>6809</v>
      </c>
      <c r="G3066" s="3">
        <v>12631</v>
      </c>
      <c r="H3066" s="7" t="str">
        <f>HYPERLINK("http://www.ensembl.org/Mus_musculus/Gene/Summary?db=core;g=ENSMUSG00000056201","ENSMUSG00000056201")</f>
        <v>ENSMUSG00000056201</v>
      </c>
      <c r="I3066" s="7" t="str">
        <f>HYPERLINK("http://www.informatics.jax.org/marker/MGI:101757","MGI:101757")</f>
        <v>MGI:101757</v>
      </c>
      <c r="J3066" s="4" t="s">
        <v>12</v>
      </c>
    </row>
    <row r="3067" spans="1:10" x14ac:dyDescent="0.25">
      <c r="A3067" s="2">
        <v>5461.2078888424103</v>
      </c>
      <c r="B3067" s="3">
        <v>0.35773803887821398</v>
      </c>
      <c r="C3067" s="5">
        <v>4.4027955629991001E-11</v>
      </c>
      <c r="D3067" s="6">
        <v>2.6318014095890299E-10</v>
      </c>
      <c r="E3067" s="3" t="s">
        <v>6615</v>
      </c>
      <c r="F3067" s="3" t="s">
        <v>6616</v>
      </c>
      <c r="G3067" s="3">
        <v>22185</v>
      </c>
      <c r="H3067" s="7" t="str">
        <f>HYPERLINK("http://www.ensembl.org/Mus_musculus/Gene/Summary?db=core;g=ENSMUSG00000030435","ENSMUSG00000030435")</f>
        <v>ENSMUSG00000030435</v>
      </c>
      <c r="I3067" s="7" t="str">
        <f>HYPERLINK("http://www.informatics.jax.org/marker/MGI:98886","MGI:98886")</f>
        <v>MGI:98886</v>
      </c>
      <c r="J3067" s="4" t="s">
        <v>12</v>
      </c>
    </row>
    <row r="3068" spans="1:10" x14ac:dyDescent="0.25">
      <c r="A3068" s="2">
        <v>1875.29485809224</v>
      </c>
      <c r="B3068" s="3">
        <v>0.35732851124389597</v>
      </c>
      <c r="C3068" s="5">
        <v>1.8572241168931899E-15</v>
      </c>
      <c r="D3068" s="6">
        <v>1.46089717708748E-14</v>
      </c>
      <c r="E3068" s="3" t="s">
        <v>5029</v>
      </c>
      <c r="F3068" s="3" t="s">
        <v>5030</v>
      </c>
      <c r="G3068" s="3">
        <v>75826</v>
      </c>
      <c r="H3068" s="7" t="str">
        <f>HYPERLINK("http://www.ensembl.org/Mus_musculus/Gene/Summary?db=core;g=ENSMUSG00000022855","ENSMUSG00000022855")</f>
        <v>ENSMUSG00000022855</v>
      </c>
      <c r="I3068" s="7" t="str">
        <f>HYPERLINK("http://www.informatics.jax.org/marker/MGI:1923076","MGI:1923076")</f>
        <v>MGI:1923076</v>
      </c>
      <c r="J3068" s="4" t="s">
        <v>12</v>
      </c>
    </row>
    <row r="3069" spans="1:10" x14ac:dyDescent="0.25">
      <c r="A3069" s="2">
        <v>607.61469968632196</v>
      </c>
      <c r="B3069" s="3">
        <v>0.35710050205941801</v>
      </c>
      <c r="C3069" s="5">
        <v>9.3965237335076507E-9</v>
      </c>
      <c r="D3069" s="6">
        <v>4.6733782603977502E-8</v>
      </c>
      <c r="E3069" s="3" t="s">
        <v>7946</v>
      </c>
      <c r="F3069" s="3" t="s">
        <v>7947</v>
      </c>
      <c r="G3069" s="3">
        <v>67045</v>
      </c>
      <c r="H3069" s="7" t="str">
        <f>HYPERLINK("http://www.ensembl.org/Mus_musculus/Gene/Summary?db=core;g=ENSMUSG00000116564","ENSMUSG00000116564")</f>
        <v>ENSMUSG00000116564</v>
      </c>
      <c r="I3069" s="7" t="str">
        <f>HYPERLINK("http://www.informatics.jax.org/marker/MGI:1914295","MGI:1914295")</f>
        <v>MGI:1914295</v>
      </c>
      <c r="J3069" s="4" t="s">
        <v>12</v>
      </c>
    </row>
    <row r="3070" spans="1:10" x14ac:dyDescent="0.25">
      <c r="A3070" s="2">
        <v>7140.6627801426603</v>
      </c>
      <c r="B3070" s="3">
        <v>0.35708227757482403</v>
      </c>
      <c r="C3070" s="5">
        <v>4.5025000040948098E-7</v>
      </c>
      <c r="D3070" s="6">
        <v>1.9285251972360902E-6</v>
      </c>
      <c r="E3070" s="3" t="s">
        <v>9223</v>
      </c>
      <c r="F3070" s="3" t="s">
        <v>9224</v>
      </c>
      <c r="G3070" s="3">
        <v>26949</v>
      </c>
      <c r="H3070" s="7" t="str">
        <f>HYPERLINK("http://www.ensembl.org/Mus_musculus/Gene/Summary?db=core;g=ENSMUSG00000034993","ENSMUSG00000034993")</f>
        <v>ENSMUSG00000034993</v>
      </c>
      <c r="I3070" s="7" t="str">
        <f>HYPERLINK("http://www.informatics.jax.org/marker/MGI:1349450","MGI:1349450")</f>
        <v>MGI:1349450</v>
      </c>
      <c r="J3070" s="4" t="s">
        <v>12</v>
      </c>
    </row>
    <row r="3071" spans="1:10" x14ac:dyDescent="0.25">
      <c r="A3071" s="2">
        <v>6060.2051458408696</v>
      </c>
      <c r="B3071" s="3">
        <v>0.35659162693246599</v>
      </c>
      <c r="C3071" s="5">
        <v>2.3029253559071799E-9</v>
      </c>
      <c r="D3071" s="6">
        <v>1.20015031761336E-8</v>
      </c>
      <c r="E3071" s="3" t="s">
        <v>7586</v>
      </c>
      <c r="F3071" s="3" t="s">
        <v>7587</v>
      </c>
      <c r="G3071" s="3">
        <v>11933</v>
      </c>
      <c r="H3071" s="7" t="str">
        <f>HYPERLINK("http://www.ensembl.org/Mus_musculus/Gene/Summary?db=core;g=ENSMUSG00000032412","ENSMUSG00000032412")</f>
        <v>ENSMUSG00000032412</v>
      </c>
      <c r="I3071" s="7" t="str">
        <f>HYPERLINK("http://www.informatics.jax.org/marker/MGI:107788","MGI:107788")</f>
        <v>MGI:107788</v>
      </c>
      <c r="J3071" s="4" t="s">
        <v>12</v>
      </c>
    </row>
    <row r="3072" spans="1:10" x14ac:dyDescent="0.25">
      <c r="A3072" s="2">
        <v>1169.18104758963</v>
      </c>
      <c r="B3072" s="3">
        <v>0.356578708613705</v>
      </c>
      <c r="C3072" s="3">
        <v>1.1755301274485399E-3</v>
      </c>
      <c r="D3072" s="4">
        <v>3.4312395075910699E-3</v>
      </c>
      <c r="E3072" s="3" t="s">
        <v>13521</v>
      </c>
      <c r="F3072" s="3" t="s">
        <v>13522</v>
      </c>
      <c r="G3072" s="3">
        <v>108687</v>
      </c>
      <c r="H3072" s="7" t="str">
        <f>HYPERLINK("http://www.ensembl.org/Mus_musculus/Gene/Summary?db=core;g=ENSMUSG00000038312","ENSMUSG00000038312")</f>
        <v>ENSMUSG00000038312</v>
      </c>
      <c r="I3072" s="7" t="str">
        <f>HYPERLINK("http://www.informatics.jax.org/marker/MGI:1915540","MGI:1915540")</f>
        <v>MGI:1915540</v>
      </c>
      <c r="J3072" s="4" t="s">
        <v>12</v>
      </c>
    </row>
    <row r="3073" spans="1:10" x14ac:dyDescent="0.25">
      <c r="A3073" s="2">
        <v>157.582032670025</v>
      </c>
      <c r="B3073" s="3">
        <v>0.35650560897053502</v>
      </c>
      <c r="C3073" s="3">
        <v>8.9965699295685604E-3</v>
      </c>
      <c r="D3073" s="4">
        <v>2.2571546947976098E-2</v>
      </c>
      <c r="E3073" s="3" t="s">
        <v>15723</v>
      </c>
      <c r="F3073" s="3" t="s">
        <v>15724</v>
      </c>
      <c r="G3073" s="3">
        <v>70615</v>
      </c>
      <c r="H3073" s="7" t="str">
        <f>HYPERLINK("http://www.ensembl.org/Mus_musculus/Gene/Summary?db=core;g=ENSMUSG00000054708","ENSMUSG00000054708")</f>
        <v>ENSMUSG00000054708</v>
      </c>
      <c r="I3073" s="7" t="str">
        <f>HYPERLINK("http://www.informatics.jax.org/marker/MGI:1890394","MGI:1890394")</f>
        <v>MGI:1890394</v>
      </c>
      <c r="J3073" s="4" t="s">
        <v>12</v>
      </c>
    </row>
    <row r="3074" spans="1:10" x14ac:dyDescent="0.25">
      <c r="A3074" s="2">
        <v>4657.9494425332696</v>
      </c>
      <c r="B3074" s="3">
        <v>0.35627196632464497</v>
      </c>
      <c r="C3074" s="5">
        <v>4.9129894299254099E-11</v>
      </c>
      <c r="D3074" s="6">
        <v>2.92524612192419E-10</v>
      </c>
      <c r="E3074" s="3" t="s">
        <v>6641</v>
      </c>
      <c r="F3074" s="3" t="s">
        <v>6642</v>
      </c>
      <c r="G3074" s="3">
        <v>74838</v>
      </c>
      <c r="H3074" s="7" t="str">
        <f>HYPERLINK("http://www.ensembl.org/Mus_musculus/Gene/Summary?db=core;g=ENSMUSG00000063273","ENSMUSG00000063273")</f>
        <v>ENSMUSG00000063273</v>
      </c>
      <c r="I3074" s="7" t="str">
        <f>HYPERLINK("http://www.informatics.jax.org/marker/MGI:1922088","MGI:1922088")</f>
        <v>MGI:1922088</v>
      </c>
      <c r="J3074" s="4" t="s">
        <v>12</v>
      </c>
    </row>
    <row r="3075" spans="1:10" x14ac:dyDescent="0.25">
      <c r="A3075" s="2">
        <v>415.43280119613598</v>
      </c>
      <c r="B3075" s="3">
        <v>0.35586692463131703</v>
      </c>
      <c r="C3075" s="5">
        <v>2.0199360084491499E-6</v>
      </c>
      <c r="D3075" s="6">
        <v>8.1192698912794993E-6</v>
      </c>
      <c r="E3075" s="3" t="s">
        <v>9827</v>
      </c>
      <c r="F3075" s="3" t="s">
        <v>9828</v>
      </c>
      <c r="G3075" s="3">
        <v>109161</v>
      </c>
      <c r="H3075" s="7" t="str">
        <f>HYPERLINK("http://www.ensembl.org/Mus_musculus/Gene/Summary?db=core;g=ENSMUSG00000032307","ENSMUSG00000032307")</f>
        <v>ENSMUSG00000032307</v>
      </c>
      <c r="I3075" s="7" t="str">
        <f>HYPERLINK("http://www.informatics.jax.org/marker/MGI:2388672","MGI:2388672")</f>
        <v>MGI:2388672</v>
      </c>
      <c r="J3075" s="4" t="s">
        <v>12</v>
      </c>
    </row>
    <row r="3076" spans="1:10" x14ac:dyDescent="0.25">
      <c r="A3076" s="2">
        <v>1950.45094907105</v>
      </c>
      <c r="B3076" s="3">
        <v>0.35578705882072498</v>
      </c>
      <c r="C3076" s="5">
        <v>9.9540391087213303E-14</v>
      </c>
      <c r="D3076" s="6">
        <v>7.1095129019914805E-13</v>
      </c>
      <c r="E3076" s="3" t="s">
        <v>5539</v>
      </c>
      <c r="F3076" s="3" t="s">
        <v>5540</v>
      </c>
      <c r="G3076" s="3">
        <v>102216272</v>
      </c>
      <c r="H3076" s="7" t="str">
        <f>HYPERLINK("http://www.ensembl.org/Mus_musculus/Gene/Summary?db=core;g=ENSMUSG00000078941","ENSMUSG00000078941")</f>
        <v>ENSMUSG00000078941</v>
      </c>
      <c r="I3076" s="7" t="str">
        <f>HYPERLINK("http://www.informatics.jax.org/marker/MGI:5510732","MGI:5510732")</f>
        <v>MGI:5510732</v>
      </c>
      <c r="J3076" s="4" t="s">
        <v>12</v>
      </c>
    </row>
    <row r="3077" spans="1:10" x14ac:dyDescent="0.25">
      <c r="A3077" s="2">
        <v>793.17759060184903</v>
      </c>
      <c r="B3077" s="3">
        <v>0.355445017067678</v>
      </c>
      <c r="C3077" s="5">
        <v>2.6735978123281101E-9</v>
      </c>
      <c r="D3077" s="6">
        <v>1.38454172424134E-8</v>
      </c>
      <c r="E3077" s="3" t="s">
        <v>7150</v>
      </c>
      <c r="F3077" s="3" t="s">
        <v>7151</v>
      </c>
      <c r="G3077" s="3" t="s">
        <v>83</v>
      </c>
      <c r="H3077" s="7" t="str">
        <f>HYPERLINK("http://www.ensembl.org/Mus_musculus/Gene/Summary?db=core;g=ENSMUSG00000118504","ENSMUSG00000118504")</f>
        <v>ENSMUSG00000118504</v>
      </c>
      <c r="I3077" s="7" t="str">
        <f>HYPERLINK("http://www.informatics.jax.org/marker/MGI:1914027","MGI:1914027")</f>
        <v>MGI:1914027</v>
      </c>
      <c r="J3077" s="4" t="s">
        <v>12</v>
      </c>
    </row>
    <row r="3078" spans="1:10" x14ac:dyDescent="0.25">
      <c r="A3078" s="2">
        <v>731.84954212008995</v>
      </c>
      <c r="B3078" s="3">
        <v>0.35523942157637201</v>
      </c>
      <c r="C3078" s="5">
        <v>1.0327341374407999E-6</v>
      </c>
      <c r="D3078" s="6">
        <v>4.2659231651304204E-6</v>
      </c>
      <c r="E3078" s="3" t="s">
        <v>9563</v>
      </c>
      <c r="F3078" s="3" t="s">
        <v>9564</v>
      </c>
      <c r="G3078" s="3">
        <v>66367</v>
      </c>
      <c r="H3078" s="7" t="str">
        <f>HYPERLINK("http://www.ensembl.org/Mus_musculus/Gene/Summary?db=core;g=ENSMUSG00000049643","ENSMUSG00000049643")</f>
        <v>ENSMUSG00000049643</v>
      </c>
      <c r="I3078" s="7" t="str">
        <f>HYPERLINK("http://www.informatics.jax.org/marker/MGI:1913617","MGI:1913617")</f>
        <v>MGI:1913617</v>
      </c>
      <c r="J3078" s="4" t="s">
        <v>12</v>
      </c>
    </row>
    <row r="3079" spans="1:10" x14ac:dyDescent="0.25">
      <c r="A3079" s="2">
        <v>495.62618838698103</v>
      </c>
      <c r="B3079" s="3">
        <v>0.35519375368511202</v>
      </c>
      <c r="C3079" s="5">
        <v>1.0311608493929201E-6</v>
      </c>
      <c r="D3079" s="6">
        <v>4.2603167714285399E-6</v>
      </c>
      <c r="E3079" s="3" t="s">
        <v>9561</v>
      </c>
      <c r="F3079" s="3" t="s">
        <v>9562</v>
      </c>
      <c r="G3079" s="3">
        <v>234069</v>
      </c>
      <c r="H3079" s="7" t="str">
        <f>HYPERLINK("http://www.ensembl.org/Mus_musculus/Gene/Summary?db=core;g=ENSMUSG00000038542","ENSMUSG00000038542")</f>
        <v>ENSMUSG00000038542</v>
      </c>
      <c r="I3079" s="7" t="str">
        <f>HYPERLINK("http://www.informatics.jax.org/marker/MGI:2443003","MGI:2443003")</f>
        <v>MGI:2443003</v>
      </c>
      <c r="J3079" s="4" t="s">
        <v>12</v>
      </c>
    </row>
    <row r="3080" spans="1:10" x14ac:dyDescent="0.25">
      <c r="A3080" s="2">
        <v>770.99858176962005</v>
      </c>
      <c r="B3080" s="3">
        <v>0.35507577081112901</v>
      </c>
      <c r="C3080" s="5">
        <v>1.6367297716536501E-6</v>
      </c>
      <c r="D3080" s="6">
        <v>6.6289404594393201E-6</v>
      </c>
      <c r="E3080" s="3" t="s">
        <v>9753</v>
      </c>
      <c r="F3080" s="3" t="s">
        <v>9754</v>
      </c>
      <c r="G3080" s="3">
        <v>21371</v>
      </c>
      <c r="H3080" s="7" t="str">
        <f>HYPERLINK("http://www.ensembl.org/Mus_musculus/Gene/Summary?db=core;g=ENSMUSG00000042043","ENSMUSG00000042043")</f>
        <v>ENSMUSG00000042043</v>
      </c>
      <c r="I3080" s="7" t="str">
        <f>HYPERLINK("http://www.informatics.jax.org/marker/MGI:107549","MGI:107549")</f>
        <v>MGI:107549</v>
      </c>
      <c r="J3080" s="4" t="s">
        <v>12</v>
      </c>
    </row>
    <row r="3081" spans="1:10" x14ac:dyDescent="0.25">
      <c r="A3081" s="2">
        <v>943.11550724945596</v>
      </c>
      <c r="B3081" s="3">
        <v>0.35503671497743</v>
      </c>
      <c r="C3081" s="3">
        <v>4.9729064464440497E-4</v>
      </c>
      <c r="D3081" s="4">
        <v>1.5322767988105699E-3</v>
      </c>
      <c r="E3081" s="3" t="s">
        <v>12809</v>
      </c>
      <c r="F3081" s="3" t="s">
        <v>12810</v>
      </c>
      <c r="G3081" s="3">
        <v>328110</v>
      </c>
      <c r="H3081" s="7" t="str">
        <f>HYPERLINK("http://www.ensembl.org/Mus_musculus/Gene/Summary?db=core;g=ENSMUSG00000035597","ENSMUSG00000035597")</f>
        <v>ENSMUSG00000035597</v>
      </c>
      <c r="I3081" s="7" t="str">
        <f>HYPERLINK("http://www.informatics.jax.org/marker/MGI:104602","MGI:104602")</f>
        <v>MGI:104602</v>
      </c>
      <c r="J3081" s="4" t="s">
        <v>12</v>
      </c>
    </row>
    <row r="3082" spans="1:10" x14ac:dyDescent="0.25">
      <c r="A3082" s="2">
        <v>205.26148006016999</v>
      </c>
      <c r="B3082" s="3">
        <v>0.35469872735900798</v>
      </c>
      <c r="C3082" s="3">
        <v>3.4906014258670503E-4</v>
      </c>
      <c r="D3082" s="4">
        <v>1.09714153838218E-3</v>
      </c>
      <c r="E3082" s="3" t="s">
        <v>12561</v>
      </c>
      <c r="F3082" s="3" t="s">
        <v>12562</v>
      </c>
      <c r="G3082" s="3">
        <v>12913</v>
      </c>
      <c r="H3082" s="7" t="str">
        <f>HYPERLINK("http://www.ensembl.org/Mus_musculus/Gene/Summary?db=core;g=ENSMUSG00000028466","ENSMUSG00000028466")</f>
        <v>ENSMUSG00000028466</v>
      </c>
      <c r="I3082" s="7" t="str">
        <f>HYPERLINK("http://www.informatics.jax.org/marker/MGI:99946","MGI:99946")</f>
        <v>MGI:99946</v>
      </c>
      <c r="J3082" s="4" t="s">
        <v>12</v>
      </c>
    </row>
    <row r="3083" spans="1:10" x14ac:dyDescent="0.25">
      <c r="A3083" s="2">
        <v>120.12332404464</v>
      </c>
      <c r="B3083" s="3">
        <v>0.35469029031299798</v>
      </c>
      <c r="C3083" s="3">
        <v>9.8981221254153609E-4</v>
      </c>
      <c r="D3083" s="4">
        <v>2.91983497850697E-3</v>
      </c>
      <c r="E3083" s="3" t="s">
        <v>13379</v>
      </c>
      <c r="F3083" s="3" t="s">
        <v>13380</v>
      </c>
      <c r="G3083" s="3">
        <v>22709</v>
      </c>
      <c r="H3083" s="7" t="str">
        <f>HYPERLINK("http://www.ensembl.org/Mus_musculus/Gene/Summary?db=core;g=ENSMUSG00000023892","ENSMUSG00000023892")</f>
        <v>ENSMUSG00000023892</v>
      </c>
      <c r="I3083" s="7" t="str">
        <f>HYPERLINK("http://www.informatics.jax.org/marker/MGI:99198","MGI:99198")</f>
        <v>MGI:99198</v>
      </c>
      <c r="J3083" s="4" t="s">
        <v>12</v>
      </c>
    </row>
    <row r="3084" spans="1:10" x14ac:dyDescent="0.25">
      <c r="A3084" s="2">
        <v>9785.6063834162196</v>
      </c>
      <c r="B3084" s="3">
        <v>0.35431907566826099</v>
      </c>
      <c r="C3084" s="5">
        <v>1.3946097164350499E-6</v>
      </c>
      <c r="D3084" s="6">
        <v>5.6774899357828802E-6</v>
      </c>
      <c r="E3084" s="3" t="s">
        <v>9703</v>
      </c>
      <c r="F3084" s="3" t="s">
        <v>9704</v>
      </c>
      <c r="G3084" s="3">
        <v>79555</v>
      </c>
      <c r="H3084" s="7" t="str">
        <f>HYPERLINK("http://www.ensembl.org/Mus_musculus/Gene/Summary?db=core;g=ENSMUSG00000019132","ENSMUSG00000019132")</f>
        <v>ENSMUSG00000019132</v>
      </c>
      <c r="I3084" s="7" t="str">
        <f>HYPERLINK("http://www.informatics.jax.org/marker/MGI:2441726","MGI:2441726")</f>
        <v>MGI:2441726</v>
      </c>
      <c r="J3084" s="4" t="s">
        <v>12</v>
      </c>
    </row>
    <row r="3085" spans="1:10" x14ac:dyDescent="0.25">
      <c r="A3085" s="2">
        <v>828.74187338548404</v>
      </c>
      <c r="B3085" s="3">
        <v>0.35419284463754103</v>
      </c>
      <c r="C3085" s="5">
        <v>9.5411516870370893E-10</v>
      </c>
      <c r="D3085" s="6">
        <v>5.1225568001190197E-9</v>
      </c>
      <c r="E3085" s="3" t="s">
        <v>7364</v>
      </c>
      <c r="F3085" s="3" t="s">
        <v>7365</v>
      </c>
      <c r="G3085" s="3">
        <v>13481</v>
      </c>
      <c r="H3085" s="7" t="str">
        <f>HYPERLINK("http://www.ensembl.org/Mus_musculus/Gene/Summary?db=core;g=ENSMUSG00000026810","ENSMUSG00000026810")</f>
        <v>ENSMUSG00000026810</v>
      </c>
      <c r="I3085" s="7" t="str">
        <f>HYPERLINK("http://www.informatics.jax.org/marker/MGI:1330238","MGI:1330238")</f>
        <v>MGI:1330238</v>
      </c>
      <c r="J3085" s="4" t="s">
        <v>12</v>
      </c>
    </row>
    <row r="3086" spans="1:10" x14ac:dyDescent="0.25">
      <c r="A3086" s="2">
        <v>863.80932478236195</v>
      </c>
      <c r="B3086" s="3">
        <v>0.35394498339164299</v>
      </c>
      <c r="C3086" s="5">
        <v>7.8904666616269194E-8</v>
      </c>
      <c r="D3086" s="6">
        <v>3.60602555196484E-7</v>
      </c>
      <c r="E3086" s="3" t="s">
        <v>8647</v>
      </c>
      <c r="F3086" s="3" t="s">
        <v>8648</v>
      </c>
      <c r="G3086" s="3">
        <v>67890</v>
      </c>
      <c r="H3086" s="7" t="str">
        <f>HYPERLINK("http://www.ensembl.org/Mus_musculus/Gene/Summary?db=core;g=ENSMUSG00000027746","ENSMUSG00000027746")</f>
        <v>ENSMUSG00000027746</v>
      </c>
      <c r="I3086" s="7" t="str">
        <f>HYPERLINK("http://www.informatics.jax.org/marker/MGI:1915140","MGI:1915140")</f>
        <v>MGI:1915140</v>
      </c>
      <c r="J3086" s="4" t="s">
        <v>12</v>
      </c>
    </row>
    <row r="3087" spans="1:10" x14ac:dyDescent="0.25">
      <c r="A3087" s="2">
        <v>3999.0050365820798</v>
      </c>
      <c r="B3087" s="3">
        <v>0.35391647354571398</v>
      </c>
      <c r="C3087" s="5">
        <v>1.61002358209253E-14</v>
      </c>
      <c r="D3087" s="6">
        <v>1.20629426439455E-13</v>
      </c>
      <c r="E3087" s="3" t="s">
        <v>5281</v>
      </c>
      <c r="F3087" s="3" t="s">
        <v>5282</v>
      </c>
      <c r="G3087" s="3">
        <v>56095</v>
      </c>
      <c r="H3087" s="7" t="str">
        <f>HYPERLINK("http://www.ensembl.org/Mus_musculus/Gene/Summary?db=core;g=ENSMUSG00000020706","ENSMUSG00000020706")</f>
        <v>ENSMUSG00000020706</v>
      </c>
      <c r="I3087" s="7" t="str">
        <f>HYPERLINK("http://www.informatics.jax.org/marker/MGI:1860295","MGI:1860295")</f>
        <v>MGI:1860295</v>
      </c>
      <c r="J3087" s="4" t="s">
        <v>12</v>
      </c>
    </row>
    <row r="3088" spans="1:10" x14ac:dyDescent="0.25">
      <c r="A3088" s="2">
        <v>2341.4063569034201</v>
      </c>
      <c r="B3088" s="3">
        <v>0.35377515038149199</v>
      </c>
      <c r="C3088" s="5">
        <v>2.7287847292832999E-6</v>
      </c>
      <c r="D3088" s="6">
        <v>1.08207590712782E-5</v>
      </c>
      <c r="E3088" s="3" t="s">
        <v>9962</v>
      </c>
      <c r="F3088" s="3" t="s">
        <v>9963</v>
      </c>
      <c r="G3088" s="3">
        <v>13682</v>
      </c>
      <c r="H3088" s="7" t="str">
        <f>HYPERLINK("http://www.ensembl.org/Mus_musculus/Gene/Summary?db=core;g=ENSMUSG00000022884","ENSMUSG00000022884")</f>
        <v>ENSMUSG00000022884</v>
      </c>
      <c r="I3088" s="7" t="str">
        <f>HYPERLINK("http://www.informatics.jax.org/marker/MGI:106906","MGI:106906")</f>
        <v>MGI:106906</v>
      </c>
      <c r="J3088" s="4" t="s">
        <v>12</v>
      </c>
    </row>
    <row r="3089" spans="1:10" x14ac:dyDescent="0.25">
      <c r="A3089" s="2">
        <v>1024.9337592320201</v>
      </c>
      <c r="B3089" s="3">
        <v>0.35345426177739703</v>
      </c>
      <c r="C3089" s="5">
        <v>2.92919357844774E-14</v>
      </c>
      <c r="D3089" s="6">
        <v>2.1593905557753101E-13</v>
      </c>
      <c r="E3089" s="3" t="s">
        <v>5367</v>
      </c>
      <c r="F3089" s="3" t="s">
        <v>5368</v>
      </c>
      <c r="G3089" s="3">
        <v>15502</v>
      </c>
      <c r="H3089" s="7" t="str">
        <f>HYPERLINK("http://www.ensembl.org/Mus_musculus/Gene/Summary?db=core;g=ENSMUSG00000028410","ENSMUSG00000028410")</f>
        <v>ENSMUSG00000028410</v>
      </c>
      <c r="I3089" s="7" t="str">
        <f>HYPERLINK("http://www.informatics.jax.org/marker/MGI:1270129","MGI:1270129")</f>
        <v>MGI:1270129</v>
      </c>
      <c r="J3089" s="4" t="s">
        <v>12</v>
      </c>
    </row>
    <row r="3090" spans="1:10" x14ac:dyDescent="0.25">
      <c r="A3090" s="2">
        <v>1614.89715811359</v>
      </c>
      <c r="B3090" s="3">
        <v>0.35335186862843498</v>
      </c>
      <c r="C3090" s="5">
        <v>2.21635617241035E-7</v>
      </c>
      <c r="D3090" s="6">
        <v>9.7865077742794699E-7</v>
      </c>
      <c r="E3090" s="3" t="s">
        <v>8949</v>
      </c>
      <c r="F3090" s="3" t="s">
        <v>8950</v>
      </c>
      <c r="G3090" s="3" t="s">
        <v>83</v>
      </c>
      <c r="H3090" s="7" t="str">
        <f>HYPERLINK("http://www.ensembl.org/Mus_musculus/Gene/Summary?db=core;g=ENSMUSG00000116925","ENSMUSG00000116925")</f>
        <v>ENSMUSG00000116925</v>
      </c>
      <c r="I3090" s="7" t="str">
        <f>HYPERLINK("http://www.informatics.jax.org/marker/MGI:6215291","MGI:6215291")</f>
        <v>MGI:6215291</v>
      </c>
      <c r="J3090" s="4" t="s">
        <v>12</v>
      </c>
    </row>
    <row r="3091" spans="1:10" x14ac:dyDescent="0.25">
      <c r="A3091" s="2">
        <v>2692.2609286317502</v>
      </c>
      <c r="B3091" s="3">
        <v>0.353209163122578</v>
      </c>
      <c r="C3091" s="5">
        <v>6.4126324196987601E-13</v>
      </c>
      <c r="D3091" s="6">
        <v>4.34560519987834E-12</v>
      </c>
      <c r="E3091" s="3" t="s">
        <v>5837</v>
      </c>
      <c r="F3091" s="3" t="s">
        <v>5838</v>
      </c>
      <c r="G3091" s="3">
        <v>54673</v>
      </c>
      <c r="H3091" s="7" t="str">
        <f>HYPERLINK("http://www.ensembl.org/Mus_musculus/Gene/Summary?db=core;g=ENSMUSG00000037062","ENSMUSG00000037062")</f>
        <v>ENSMUSG00000037062</v>
      </c>
      <c r="I3091" s="7" t="str">
        <f>HYPERLINK("http://www.informatics.jax.org/marker/MGI:1859730","MGI:1859730")</f>
        <v>MGI:1859730</v>
      </c>
      <c r="J3091" s="4" t="s">
        <v>12</v>
      </c>
    </row>
    <row r="3092" spans="1:10" x14ac:dyDescent="0.25">
      <c r="A3092" s="2">
        <v>873.41380034685301</v>
      </c>
      <c r="B3092" s="3">
        <v>0.35315589449094598</v>
      </c>
      <c r="C3092" s="5">
        <v>1.3834437094693099E-12</v>
      </c>
      <c r="D3092" s="6">
        <v>9.2042881075353196E-12</v>
      </c>
      <c r="E3092" s="3" t="s">
        <v>5945</v>
      </c>
      <c r="F3092" s="3" t="s">
        <v>5946</v>
      </c>
      <c r="G3092" s="3">
        <v>228769</v>
      </c>
      <c r="H3092" s="7" t="str">
        <f>HYPERLINK("http://www.ensembl.org/Mus_musculus/Gene/Summary?db=core;g=ENSMUSG00000032869","ENSMUSG00000032869")</f>
        <v>ENSMUSG00000032869</v>
      </c>
      <c r="I3092" s="7" t="str">
        <f>HYPERLINK("http://www.informatics.jax.org/marker/MGI:1346072","MGI:1346072")</f>
        <v>MGI:1346072</v>
      </c>
      <c r="J3092" s="4" t="s">
        <v>12</v>
      </c>
    </row>
    <row r="3093" spans="1:10" x14ac:dyDescent="0.25">
      <c r="A3093" s="2">
        <v>1883.3777183826201</v>
      </c>
      <c r="B3093" s="3">
        <v>0.35299384193018102</v>
      </c>
      <c r="C3093" s="5">
        <v>1.6849882391779299E-10</v>
      </c>
      <c r="D3093" s="6">
        <v>9.6312950946634303E-10</v>
      </c>
      <c r="E3093" s="3" t="s">
        <v>6918</v>
      </c>
      <c r="F3093" s="3" t="s">
        <v>6919</v>
      </c>
      <c r="G3093" s="3">
        <v>74440</v>
      </c>
      <c r="H3093" s="7" t="str">
        <f>HYPERLINK("http://www.ensembl.org/Mus_musculus/Gene/Summary?db=core;g=ENSMUSG00000034390","ENSMUSG00000034390")</f>
        <v>ENSMUSG00000034390</v>
      </c>
      <c r="I3093" s="7" t="str">
        <f>HYPERLINK("http://www.informatics.jax.org/marker/MGI:1921690","MGI:1921690")</f>
        <v>MGI:1921690</v>
      </c>
      <c r="J3093" s="4" t="s">
        <v>12</v>
      </c>
    </row>
    <row r="3094" spans="1:10" x14ac:dyDescent="0.25">
      <c r="A3094" s="2">
        <v>242.559874519196</v>
      </c>
      <c r="B3094" s="3">
        <v>0.35272577731211102</v>
      </c>
      <c r="C3094" s="3">
        <v>2.6522679539534998E-4</v>
      </c>
      <c r="D3094" s="4">
        <v>8.4810643833246402E-4</v>
      </c>
      <c r="E3094" s="3" t="s">
        <v>12346</v>
      </c>
      <c r="F3094" s="3" t="s">
        <v>12347</v>
      </c>
      <c r="G3094" s="3">
        <v>215436</v>
      </c>
      <c r="H3094" s="7" t="str">
        <f>HYPERLINK("http://www.ensembl.org/Mus_musculus/Gene/Summary?db=core;g=ENSMUSG00000060181","ENSMUSG00000060181")</f>
        <v>ENSMUSG00000060181</v>
      </c>
      <c r="I3094" s="7" t="str">
        <f>HYPERLINK("http://www.informatics.jax.org/marker/MGI:2448489","MGI:2448489")</f>
        <v>MGI:2448489</v>
      </c>
      <c r="J3094" s="4" t="s">
        <v>12</v>
      </c>
    </row>
    <row r="3095" spans="1:10" x14ac:dyDescent="0.25">
      <c r="A3095" s="2">
        <v>1411.8702394024999</v>
      </c>
      <c r="B3095" s="3">
        <v>0.35265547180664902</v>
      </c>
      <c r="C3095" s="5">
        <v>1.32631475493959E-6</v>
      </c>
      <c r="D3095" s="6">
        <v>5.4173419567955104E-6</v>
      </c>
      <c r="E3095" s="3" t="s">
        <v>9671</v>
      </c>
      <c r="F3095" s="3" t="s">
        <v>9672</v>
      </c>
      <c r="G3095" s="3">
        <v>329559</v>
      </c>
      <c r="H3095" s="7" t="str">
        <f>HYPERLINK("http://www.ensembl.org/Mus_musculus/Gene/Summary?db=core;g=ENSMUSG00000039834","ENSMUSG00000039834")</f>
        <v>ENSMUSG00000039834</v>
      </c>
      <c r="I3095" s="7" t="str">
        <f>HYPERLINK("http://www.informatics.jax.org/marker/MGI:2682313","MGI:2682313")</f>
        <v>MGI:2682313</v>
      </c>
      <c r="J3095" s="4" t="s">
        <v>12</v>
      </c>
    </row>
    <row r="3096" spans="1:10" x14ac:dyDescent="0.25">
      <c r="A3096" s="2">
        <v>1926.47428275883</v>
      </c>
      <c r="B3096" s="3">
        <v>0.35255259003275002</v>
      </c>
      <c r="C3096" s="5">
        <v>6.3160200491073998E-11</v>
      </c>
      <c r="D3096" s="6">
        <v>3.7257527779957501E-10</v>
      </c>
      <c r="E3096" s="3" t="s">
        <v>6703</v>
      </c>
      <c r="F3096" s="3" t="s">
        <v>6704</v>
      </c>
      <c r="G3096" s="3">
        <v>15983</v>
      </c>
      <c r="H3096" s="7" t="str">
        <f>HYPERLINK("http://www.ensembl.org/Mus_musculus/Gene/Summary?db=core;g=ENSMUSG00000010048","ENSMUSG00000010048")</f>
        <v>ENSMUSG00000010048</v>
      </c>
      <c r="I3096" s="7" t="str">
        <f>HYPERLINK("http://www.informatics.jax.org/marker/MGI:1316708","MGI:1316708")</f>
        <v>MGI:1316708</v>
      </c>
      <c r="J3096" s="4" t="s">
        <v>12</v>
      </c>
    </row>
    <row r="3097" spans="1:10" x14ac:dyDescent="0.25">
      <c r="A3097" s="2">
        <v>1411.0364112028701</v>
      </c>
      <c r="B3097" s="3">
        <v>0.35242233556567198</v>
      </c>
      <c r="C3097" s="3">
        <v>3.2902504100544199E-3</v>
      </c>
      <c r="D3097" s="4">
        <v>8.9630802716222108E-3</v>
      </c>
      <c r="E3097" s="3" t="s">
        <v>14481</v>
      </c>
      <c r="F3097" s="3" t="s">
        <v>14482</v>
      </c>
      <c r="G3097" s="3">
        <v>74840</v>
      </c>
      <c r="H3097" s="7" t="str">
        <f>HYPERLINK("http://www.ensembl.org/Mus_musculus/Gene/Summary?db=core;g=ENSMUSG00000032575","ENSMUSG00000032575")</f>
        <v>ENSMUSG00000032575</v>
      </c>
      <c r="I3097" s="7" t="str">
        <f>HYPERLINK("http://www.informatics.jax.org/marker/MGI:1922090","MGI:1922090")</f>
        <v>MGI:1922090</v>
      </c>
      <c r="J3097" s="4" t="s">
        <v>12</v>
      </c>
    </row>
    <row r="3098" spans="1:10" x14ac:dyDescent="0.25">
      <c r="A3098" s="2">
        <v>681.84033745030001</v>
      </c>
      <c r="B3098" s="3">
        <v>0.35197278942910998</v>
      </c>
      <c r="C3098" s="5">
        <v>8.7397815174764796E-11</v>
      </c>
      <c r="D3098" s="6">
        <v>5.0885294220441795E-10</v>
      </c>
      <c r="E3098" s="3" t="s">
        <v>6792</v>
      </c>
      <c r="F3098" s="3" t="s">
        <v>6793</v>
      </c>
      <c r="G3098" s="3">
        <v>26556</v>
      </c>
      <c r="H3098" s="7" t="str">
        <f>HYPERLINK("http://www.ensembl.org/Mus_musculus/Gene/Summary?db=core;g=ENSMUSG00000007617","ENSMUSG00000007617")</f>
        <v>ENSMUSG00000007617</v>
      </c>
      <c r="I3098" s="7" t="str">
        <f>HYPERLINK("http://www.informatics.jax.org/marker/MGI:1347345","MGI:1347345")</f>
        <v>MGI:1347345</v>
      </c>
      <c r="J3098" s="4" t="s">
        <v>12</v>
      </c>
    </row>
    <row r="3099" spans="1:10" x14ac:dyDescent="0.25">
      <c r="A3099" s="2">
        <v>916.55472410335904</v>
      </c>
      <c r="B3099" s="3">
        <v>0.35161288375652999</v>
      </c>
      <c r="C3099" s="5">
        <v>1.6500711271814399E-9</v>
      </c>
      <c r="D3099" s="6">
        <v>8.6864395696791093E-9</v>
      </c>
      <c r="E3099" s="3" t="s">
        <v>7510</v>
      </c>
      <c r="F3099" s="3" t="s">
        <v>7511</v>
      </c>
      <c r="G3099" s="3">
        <v>56422</v>
      </c>
      <c r="H3099" s="7" t="str">
        <f>HYPERLINK("http://www.ensembl.org/Mus_musculus/Gene/Summary?db=core;g=ENSMUSG00000019977","ENSMUSG00000019977")</f>
        <v>ENSMUSG00000019977</v>
      </c>
      <c r="I3099" s="7" t="str">
        <f>HYPERLINK("http://www.informatics.jax.org/marker/MGI:1891704","MGI:1891704")</f>
        <v>MGI:1891704</v>
      </c>
      <c r="J3099" s="4" t="s">
        <v>12</v>
      </c>
    </row>
    <row r="3100" spans="1:10" x14ac:dyDescent="0.25">
      <c r="A3100" s="2">
        <v>1029.1724887287</v>
      </c>
      <c r="B3100" s="3">
        <v>0.35117002184963803</v>
      </c>
      <c r="C3100" s="5">
        <v>3.1499959141903198E-9</v>
      </c>
      <c r="D3100" s="6">
        <v>1.6235734298963199E-8</v>
      </c>
      <c r="E3100" s="3" t="s">
        <v>7668</v>
      </c>
      <c r="F3100" s="3" t="s">
        <v>7669</v>
      </c>
      <c r="G3100" s="3">
        <v>403187</v>
      </c>
      <c r="H3100" s="7" t="str">
        <f>HYPERLINK("http://www.ensembl.org/Mus_musculus/Gene/Summary?db=core;g=ENSMUSG00000052214","ENSMUSG00000052214")</f>
        <v>ENSMUSG00000052214</v>
      </c>
      <c r="I3100" s="7" t="str">
        <f>HYPERLINK("http://www.informatics.jax.org/marker/MGI:2686271","MGI:2686271")</f>
        <v>MGI:2686271</v>
      </c>
      <c r="J3100" s="4" t="s">
        <v>12</v>
      </c>
    </row>
    <row r="3101" spans="1:10" x14ac:dyDescent="0.25">
      <c r="A3101" s="2">
        <v>368.19466007533202</v>
      </c>
      <c r="B3101" s="3">
        <v>0.35095363288579601</v>
      </c>
      <c r="C3101" s="5">
        <v>8.1931113897951701E-6</v>
      </c>
      <c r="D3101" s="6">
        <v>3.1017115877665703E-5</v>
      </c>
      <c r="E3101" s="3" t="s">
        <v>10432</v>
      </c>
      <c r="F3101" s="3" t="s">
        <v>10433</v>
      </c>
      <c r="G3101" s="3">
        <v>194952</v>
      </c>
      <c r="H3101" s="7" t="str">
        <f>HYPERLINK("http://www.ensembl.org/Mus_musculus/Gene/Summary?db=core;g=ENSMUSG00000036819","ENSMUSG00000036819")</f>
        <v>ENSMUSG00000036819</v>
      </c>
      <c r="I3101" s="7" t="str">
        <f>HYPERLINK("http://www.informatics.jax.org/marker/MGI:2144404","MGI:2144404")</f>
        <v>MGI:2144404</v>
      </c>
      <c r="J3101" s="4" t="s">
        <v>12</v>
      </c>
    </row>
    <row r="3102" spans="1:10" x14ac:dyDescent="0.25">
      <c r="A3102" s="2">
        <v>110.93790068071699</v>
      </c>
      <c r="B3102" s="3">
        <v>0.349847240094245</v>
      </c>
      <c r="C3102" s="3">
        <v>3.5407105597954E-3</v>
      </c>
      <c r="D3102" s="4">
        <v>9.6002766725100004E-3</v>
      </c>
      <c r="E3102" s="3" t="s">
        <v>14549</v>
      </c>
      <c r="F3102" s="3" t="s">
        <v>14550</v>
      </c>
      <c r="G3102" s="3">
        <v>622320</v>
      </c>
      <c r="H3102" s="7" t="str">
        <f>HYPERLINK("http://www.ensembl.org/Mus_musculus/Gene/Summary?db=core;g=ENSMUSG00000044952","ENSMUSG00000044952")</f>
        <v>ENSMUSG00000044952</v>
      </c>
      <c r="I3102" s="7" t="str">
        <f>HYPERLINK("http://www.informatics.jax.org/marker/MGI:3643121","MGI:3643121")</f>
        <v>MGI:3643121</v>
      </c>
      <c r="J3102" s="4" t="s">
        <v>12</v>
      </c>
    </row>
    <row r="3103" spans="1:10" x14ac:dyDescent="0.25">
      <c r="A3103" s="2">
        <v>956.49443402877205</v>
      </c>
      <c r="B3103" s="3">
        <v>0.34983173765158398</v>
      </c>
      <c r="C3103" s="5">
        <v>4.2175591600256302E-8</v>
      </c>
      <c r="D3103" s="6">
        <v>1.9703924813007699E-7</v>
      </c>
      <c r="E3103" s="3" t="s">
        <v>8459</v>
      </c>
      <c r="F3103" s="3" t="s">
        <v>8460</v>
      </c>
      <c r="G3103" s="3">
        <v>56692</v>
      </c>
      <c r="H3103" s="7" t="str">
        <f>HYPERLINK("http://www.ensembl.org/Mus_musculus/Gene/Summary?db=core;g=ENSMUSG00000091512","ENSMUSG00000091512")</f>
        <v>ENSMUSG00000091512</v>
      </c>
      <c r="I3103" s="7" t="str">
        <f>HYPERLINK("http://www.informatics.jax.org/marker/MGI:1929467","MGI:1929467")</f>
        <v>MGI:1929467</v>
      </c>
      <c r="J3103" s="4" t="s">
        <v>12</v>
      </c>
    </row>
    <row r="3104" spans="1:10" x14ac:dyDescent="0.25">
      <c r="A3104" s="2">
        <v>2988.5399233549501</v>
      </c>
      <c r="B3104" s="3">
        <v>0.34982817038341402</v>
      </c>
      <c r="C3104" s="5">
        <v>4.1629894896990998E-11</v>
      </c>
      <c r="D3104" s="6">
        <v>2.4922329306881E-10</v>
      </c>
      <c r="E3104" s="3" t="s">
        <v>6605</v>
      </c>
      <c r="F3104" s="3" t="s">
        <v>6606</v>
      </c>
      <c r="G3104" s="3">
        <v>12848</v>
      </c>
      <c r="H3104" s="7" t="str">
        <f>HYPERLINK("http://www.ensembl.org/Mus_musculus/Gene/Summary?db=core;g=ENSMUSG00000027206","ENSMUSG00000027206")</f>
        <v>ENSMUSG00000027206</v>
      </c>
      <c r="I3104" s="7" t="str">
        <f>HYPERLINK("http://www.informatics.jax.org/marker/MGI:1330276","MGI:1330276")</f>
        <v>MGI:1330276</v>
      </c>
      <c r="J3104" s="4" t="s">
        <v>12</v>
      </c>
    </row>
    <row r="3105" spans="1:10" x14ac:dyDescent="0.25">
      <c r="A3105" s="2">
        <v>718.95721344222102</v>
      </c>
      <c r="B3105" s="3">
        <v>0.34976723722769698</v>
      </c>
      <c r="C3105" s="5">
        <v>6.2389279731372593E-8</v>
      </c>
      <c r="D3105" s="6">
        <v>2.8779335586027298E-7</v>
      </c>
      <c r="E3105" s="3" t="s">
        <v>8567</v>
      </c>
      <c r="F3105" s="3" t="s">
        <v>8568</v>
      </c>
      <c r="G3105" s="3">
        <v>271457</v>
      </c>
      <c r="H3105" s="7" t="str">
        <f>HYPERLINK("http://www.ensembl.org/Mus_musculus/Gene/Summary?db=core;g=ENSMUSG00000017831","ENSMUSG00000017831")</f>
        <v>ENSMUSG00000017831</v>
      </c>
      <c r="I3105" s="7" t="str">
        <f>HYPERLINK("http://www.informatics.jax.org/marker/MGI:105926","MGI:105926")</f>
        <v>MGI:105926</v>
      </c>
      <c r="J3105" s="4" t="s">
        <v>12</v>
      </c>
    </row>
    <row r="3106" spans="1:10" x14ac:dyDescent="0.25">
      <c r="A3106" s="2">
        <v>156.362230267397</v>
      </c>
      <c r="B3106" s="3">
        <v>0.34960421132242803</v>
      </c>
      <c r="C3106" s="3">
        <v>4.1988581485895701E-3</v>
      </c>
      <c r="D3106" s="4">
        <v>1.12609115585729E-2</v>
      </c>
      <c r="E3106" s="3" t="s">
        <v>14710</v>
      </c>
      <c r="F3106" s="3" t="s">
        <v>14711</v>
      </c>
      <c r="G3106" s="3">
        <v>53970</v>
      </c>
      <c r="H3106" s="7" t="str">
        <f>HYPERLINK("http://www.ensembl.org/Mus_musculus/Gene/Summary?db=core;g=ENSMUSG00000005774","ENSMUSG00000005774")</f>
        <v>ENSMUSG00000005774</v>
      </c>
      <c r="I3106" s="7" t="str">
        <f>HYPERLINK("http://www.informatics.jax.org/marker/MGI:1858421","MGI:1858421")</f>
        <v>MGI:1858421</v>
      </c>
      <c r="J3106" s="4" t="s">
        <v>12</v>
      </c>
    </row>
    <row r="3107" spans="1:10" x14ac:dyDescent="0.25">
      <c r="A3107" s="2">
        <v>485.24047861234499</v>
      </c>
      <c r="B3107" s="3">
        <v>0.34959006040955798</v>
      </c>
      <c r="C3107" s="5">
        <v>8.2108479472914701E-9</v>
      </c>
      <c r="D3107" s="6">
        <v>4.1043833085066602E-8</v>
      </c>
      <c r="E3107" s="3" t="s">
        <v>7906</v>
      </c>
      <c r="F3107" s="3" t="s">
        <v>7907</v>
      </c>
      <c r="G3107" s="3">
        <v>66960</v>
      </c>
      <c r="H3107" s="7" t="str">
        <f>HYPERLINK("http://www.ensembl.org/Mus_musculus/Gene/Summary?db=core;g=ENSMUSG00000026767","ENSMUSG00000026767")</f>
        <v>ENSMUSG00000026767</v>
      </c>
      <c r="I3107" s="7" t="str">
        <f>HYPERLINK("http://www.informatics.jax.org/marker/MGI:1914210","MGI:1914210")</f>
        <v>MGI:1914210</v>
      </c>
      <c r="J3107" s="4" t="s">
        <v>12</v>
      </c>
    </row>
    <row r="3108" spans="1:10" x14ac:dyDescent="0.25">
      <c r="A3108" s="2">
        <v>711.68467972761903</v>
      </c>
      <c r="B3108" s="3">
        <v>0.349588386214643</v>
      </c>
      <c r="C3108" s="3">
        <v>3.9975964893956302E-4</v>
      </c>
      <c r="D3108" s="4">
        <v>1.24557754417573E-3</v>
      </c>
      <c r="E3108" s="3" t="s">
        <v>12671</v>
      </c>
      <c r="F3108" s="3" t="s">
        <v>12672</v>
      </c>
      <c r="G3108" s="3">
        <v>215210</v>
      </c>
      <c r="H3108" s="7" t="str">
        <f>HYPERLINK("http://www.ensembl.org/Mus_musculus/Gene/Summary?db=core;g=ENSMUSG00000039886","ENSMUSG00000039886")</f>
        <v>ENSMUSG00000039886</v>
      </c>
      <c r="I3108" s="7" t="str">
        <f>HYPERLINK("http://www.informatics.jax.org/marker/MGI:2686991","MGI:2686991")</f>
        <v>MGI:2686991</v>
      </c>
      <c r="J3108" s="4" t="s">
        <v>12</v>
      </c>
    </row>
    <row r="3109" spans="1:10" x14ac:dyDescent="0.25">
      <c r="A3109" s="2">
        <v>5508.1919306699701</v>
      </c>
      <c r="B3109" s="3">
        <v>0.34939031425158901</v>
      </c>
      <c r="C3109" s="5">
        <v>1.14761348889256E-17</v>
      </c>
      <c r="D3109" s="6">
        <v>1.01712080903197E-16</v>
      </c>
      <c r="E3109" s="3" t="s">
        <v>4467</v>
      </c>
      <c r="F3109" s="3" t="s">
        <v>4468</v>
      </c>
      <c r="G3109" s="3">
        <v>12539</v>
      </c>
      <c r="H3109" s="7" t="str">
        <f>HYPERLINK("http://www.ensembl.org/Mus_musculus/Gene/Summary?db=core;g=ENSMUSG00000019471","ENSMUSG00000019471")</f>
        <v>ENSMUSG00000019471</v>
      </c>
      <c r="I3109" s="7" t="str">
        <f>HYPERLINK("http://www.informatics.jax.org/marker/MGI:109531","MGI:109531")</f>
        <v>MGI:109531</v>
      </c>
      <c r="J3109" s="4" t="s">
        <v>12</v>
      </c>
    </row>
    <row r="3110" spans="1:10" x14ac:dyDescent="0.25">
      <c r="A3110" s="2">
        <v>3296.5404418307298</v>
      </c>
      <c r="B3110" s="3">
        <v>0.34921383921842802</v>
      </c>
      <c r="C3110" s="5">
        <v>9.4150533642302105E-7</v>
      </c>
      <c r="D3110" s="6">
        <v>3.9038026144369099E-6</v>
      </c>
      <c r="E3110" s="3" t="s">
        <v>9527</v>
      </c>
      <c r="F3110" s="3" t="s">
        <v>9528</v>
      </c>
      <c r="G3110" s="3">
        <v>218490</v>
      </c>
      <c r="H3110" s="7" t="str">
        <f>HYPERLINK("http://www.ensembl.org/Mus_musculus/Gene/Summary?db=core;g=ENSMUSG00000021660","ENSMUSG00000021660")</f>
        <v>ENSMUSG00000021660</v>
      </c>
      <c r="I3110" s="7" t="str">
        <f>HYPERLINK("http://www.informatics.jax.org/marker/MGI:1202875","MGI:1202875")</f>
        <v>MGI:1202875</v>
      </c>
      <c r="J3110" s="4" t="s">
        <v>12</v>
      </c>
    </row>
    <row r="3111" spans="1:10" x14ac:dyDescent="0.25">
      <c r="A3111" s="2">
        <v>120.55465683065199</v>
      </c>
      <c r="B3111" s="3">
        <v>0.349170251993415</v>
      </c>
      <c r="C3111" s="3">
        <v>8.9182752571456206E-3</v>
      </c>
      <c r="D3111" s="4">
        <v>2.2406470642236199E-2</v>
      </c>
      <c r="E3111" s="3" t="s">
        <v>15703</v>
      </c>
      <c r="F3111" s="3" t="s">
        <v>15704</v>
      </c>
      <c r="G3111" s="3" t="s">
        <v>83</v>
      </c>
      <c r="H3111" s="7" t="str">
        <f>HYPERLINK("http://www.ensembl.org/Mus_musculus/Gene/Summary?db=core;g=ENSMUSG00000050299","ENSMUSG00000050299")</f>
        <v>ENSMUSG00000050299</v>
      </c>
      <c r="I3111" s="7" t="str">
        <f>HYPERLINK("http://www.informatics.jax.org/marker/MGI:3708621","MGI:3708621")</f>
        <v>MGI:3708621</v>
      </c>
      <c r="J3111" s="4" t="s">
        <v>1043</v>
      </c>
    </row>
    <row r="3112" spans="1:10" x14ac:dyDescent="0.25">
      <c r="A3112" s="2">
        <v>4341.5094646403204</v>
      </c>
      <c r="B3112" s="3">
        <v>0.34913021799537702</v>
      </c>
      <c r="C3112" s="5">
        <v>9.0106647387242299E-12</v>
      </c>
      <c r="D3112" s="6">
        <v>5.65172737428886E-11</v>
      </c>
      <c r="E3112" s="3" t="s">
        <v>6305</v>
      </c>
      <c r="F3112" s="3" t="s">
        <v>6306</v>
      </c>
      <c r="G3112" s="3">
        <v>17938</v>
      </c>
      <c r="H3112" s="7" t="str">
        <f>HYPERLINK("http://www.ensembl.org/Mus_musculus/Gene/Summary?db=core;g=ENSMUSG00000061315","ENSMUSG00000061315")</f>
        <v>ENSMUSG00000061315</v>
      </c>
      <c r="I3112" s="7" t="str">
        <f>HYPERLINK("http://www.informatics.jax.org/marker/MGI:106095","MGI:106095")</f>
        <v>MGI:106095</v>
      </c>
      <c r="J3112" s="4" t="s">
        <v>12</v>
      </c>
    </row>
    <row r="3113" spans="1:10" x14ac:dyDescent="0.25">
      <c r="A3113" s="2">
        <v>1399.6391040690901</v>
      </c>
      <c r="B3113" s="3">
        <v>0.34897572896290902</v>
      </c>
      <c r="C3113" s="5">
        <v>1.45556854637234E-12</v>
      </c>
      <c r="D3113" s="6">
        <v>9.6645830755766505E-12</v>
      </c>
      <c r="E3113" s="3" t="s">
        <v>5957</v>
      </c>
      <c r="F3113" s="3" t="s">
        <v>5958</v>
      </c>
      <c r="G3113" s="3">
        <v>54128</v>
      </c>
      <c r="H3113" s="7" t="str">
        <f>HYPERLINK("http://www.ensembl.org/Mus_musculus/Gene/Summary?db=core;g=ENSMUSG00000022711","ENSMUSG00000022711")</f>
        <v>ENSMUSG00000022711</v>
      </c>
      <c r="I3113" s="7" t="str">
        <f>HYPERLINK("http://www.informatics.jax.org/marker/MGI:1859214","MGI:1859214")</f>
        <v>MGI:1859214</v>
      </c>
      <c r="J3113" s="4" t="s">
        <v>12</v>
      </c>
    </row>
    <row r="3114" spans="1:10" x14ac:dyDescent="0.25">
      <c r="A3114" s="2">
        <v>57.743167677677199</v>
      </c>
      <c r="B3114" s="3">
        <v>0.34893891674245198</v>
      </c>
      <c r="C3114" s="3">
        <v>2.0038685790754799E-2</v>
      </c>
      <c r="D3114" s="4">
        <v>4.67648383187792E-2</v>
      </c>
      <c r="E3114" s="3" t="s">
        <v>16904</v>
      </c>
      <c r="F3114" s="3" t="s">
        <v>16905</v>
      </c>
      <c r="G3114" s="3" t="s">
        <v>83</v>
      </c>
      <c r="H3114" s="7" t="str">
        <f>HYPERLINK("http://www.ensembl.org/Mus_musculus/Gene/Summary?db=core;g=ENSMUSG00000080921","ENSMUSG00000080921")</f>
        <v>ENSMUSG00000080921</v>
      </c>
      <c r="I3114" s="7" t="str">
        <f>HYPERLINK("http://www.informatics.jax.org/marker/MGI:3646625","MGI:3646625")</f>
        <v>MGI:3646625</v>
      </c>
      <c r="J3114" s="4" t="s">
        <v>1043</v>
      </c>
    </row>
    <row r="3115" spans="1:10" x14ac:dyDescent="0.25">
      <c r="A3115" s="2">
        <v>409.18524508350498</v>
      </c>
      <c r="B3115" s="3">
        <v>0.34887386980738999</v>
      </c>
      <c r="C3115" s="3">
        <v>1.5207707795049301E-4</v>
      </c>
      <c r="D3115" s="4">
        <v>5.0099565272030203E-4</v>
      </c>
      <c r="E3115" s="3" t="s">
        <v>11983</v>
      </c>
      <c r="F3115" s="3" t="s">
        <v>11984</v>
      </c>
      <c r="G3115" s="3">
        <v>74245</v>
      </c>
      <c r="H3115" s="7" t="str">
        <f>HYPERLINK("http://www.ensembl.org/Mus_musculus/Gene/Summary?db=core;g=ENSMUSG00000028189","ENSMUSG00000028189")</f>
        <v>ENSMUSG00000028189</v>
      </c>
      <c r="I3115" s="7" t="str">
        <f>HYPERLINK("http://www.informatics.jax.org/marker/MGI:1921495","MGI:1921495")</f>
        <v>MGI:1921495</v>
      </c>
      <c r="J3115" s="4" t="s">
        <v>12</v>
      </c>
    </row>
    <row r="3116" spans="1:10" x14ac:dyDescent="0.25">
      <c r="A3116" s="2">
        <v>305.63241991407602</v>
      </c>
      <c r="B3116" s="3">
        <v>0.34870894212349801</v>
      </c>
      <c r="C3116" s="3">
        <v>1.8288567590769099E-4</v>
      </c>
      <c r="D3116" s="4">
        <v>5.95821167834077E-4</v>
      </c>
      <c r="E3116" s="3" t="s">
        <v>12117</v>
      </c>
      <c r="F3116" s="3" t="s">
        <v>12118</v>
      </c>
      <c r="G3116" s="3">
        <v>269701</v>
      </c>
      <c r="H3116" s="7" t="str">
        <f>HYPERLINK("http://www.ensembl.org/Mus_musculus/Gene/Summary?db=core;g=ENSMUSG00000029442","ENSMUSG00000029442")</f>
        <v>ENSMUSG00000029442</v>
      </c>
      <c r="I3116" s="7" t="str">
        <f>HYPERLINK("http://www.informatics.jax.org/marker/MGI:1918495","MGI:1918495")</f>
        <v>MGI:1918495</v>
      </c>
      <c r="J3116" s="4" t="s">
        <v>12</v>
      </c>
    </row>
    <row r="3117" spans="1:10" x14ac:dyDescent="0.25">
      <c r="A3117" s="2">
        <v>3716.4416543463099</v>
      </c>
      <c r="B3117" s="3">
        <v>0.34869822605844503</v>
      </c>
      <c r="C3117" s="5">
        <v>8.24711074160836E-18</v>
      </c>
      <c r="D3117" s="6">
        <v>7.3723038905039296E-17</v>
      </c>
      <c r="E3117" s="3" t="s">
        <v>4429</v>
      </c>
      <c r="F3117" s="3" t="s">
        <v>4430</v>
      </c>
      <c r="G3117" s="3">
        <v>63985</v>
      </c>
      <c r="H3117" s="7" t="str">
        <f>HYPERLINK("http://www.ensembl.org/Mus_musculus/Gene/Summary?db=core;g=ENSMUSG00000062014","ENSMUSG00000062014")</f>
        <v>ENSMUSG00000062014</v>
      </c>
      <c r="I3117" s="7" t="str">
        <f>HYPERLINK("http://www.informatics.jax.org/marker/MGI:1927133","MGI:1927133")</f>
        <v>MGI:1927133</v>
      </c>
      <c r="J3117" s="4" t="s">
        <v>12</v>
      </c>
    </row>
    <row r="3118" spans="1:10" x14ac:dyDescent="0.25">
      <c r="A3118" s="2">
        <v>283.24512451797301</v>
      </c>
      <c r="B3118" s="3">
        <v>0.34856926705211999</v>
      </c>
      <c r="C3118" s="5">
        <v>9.5528112119291699E-5</v>
      </c>
      <c r="D3118" s="4">
        <v>3.2284736435174498E-4</v>
      </c>
      <c r="E3118" s="3" t="s">
        <v>11681</v>
      </c>
      <c r="F3118" s="3" t="s">
        <v>11682</v>
      </c>
      <c r="G3118" s="3">
        <v>11479</v>
      </c>
      <c r="H3118" s="7" t="str">
        <f>HYPERLINK("http://www.ensembl.org/Mus_musculus/Gene/Summary?db=core;g=ENSMUSG00000000532","ENSMUSG00000000532")</f>
        <v>ENSMUSG00000000532</v>
      </c>
      <c r="I3118" s="7" t="str">
        <f>HYPERLINK("http://www.informatics.jax.org/marker/MGI:1338944","MGI:1338944")</f>
        <v>MGI:1338944</v>
      </c>
      <c r="J3118" s="4" t="s">
        <v>12</v>
      </c>
    </row>
    <row r="3119" spans="1:10" x14ac:dyDescent="0.25">
      <c r="A3119" s="2">
        <v>728.54940145231899</v>
      </c>
      <c r="B3119" s="3">
        <v>0.34843067847422698</v>
      </c>
      <c r="C3119" s="5">
        <v>4.4275886937860503E-5</v>
      </c>
      <c r="D3119" s="4">
        <v>1.5505602742223599E-4</v>
      </c>
      <c r="E3119" s="3" t="s">
        <v>11273</v>
      </c>
      <c r="F3119" s="3" t="s">
        <v>11274</v>
      </c>
      <c r="G3119" s="3" t="s">
        <v>83</v>
      </c>
      <c r="H3119" s="7" t="str">
        <f>HYPERLINK("http://www.ensembl.org/Mus_musculus/Gene/Summary?db=core;g=ENSMUSG00000108414","ENSMUSG00000108414")</f>
        <v>ENSMUSG00000108414</v>
      </c>
      <c r="I3119" s="7" t="str">
        <f>HYPERLINK("http://www.informatics.jax.org/marker/MGI:3763743","MGI:3763743")</f>
        <v>MGI:3763743</v>
      </c>
      <c r="J3119" s="4" t="s">
        <v>331</v>
      </c>
    </row>
    <row r="3120" spans="1:10" x14ac:dyDescent="0.25">
      <c r="A3120" s="2">
        <v>424.00355124423999</v>
      </c>
      <c r="B3120" s="3">
        <v>0.34838107270548202</v>
      </c>
      <c r="C3120" s="3">
        <v>1.8094713002448201E-3</v>
      </c>
      <c r="D3120" s="4">
        <v>5.14012878721231E-3</v>
      </c>
      <c r="E3120" s="3" t="s">
        <v>13891</v>
      </c>
      <c r="F3120" s="3" t="s">
        <v>13892</v>
      </c>
      <c r="G3120" s="3">
        <v>22335</v>
      </c>
      <c r="H3120" s="7" t="str">
        <f>HYPERLINK("http://www.ensembl.org/Mus_musculus/Gene/Summary?db=core;g=ENSMUSG00000008892","ENSMUSG00000008892")</f>
        <v>ENSMUSG00000008892</v>
      </c>
      <c r="I3120" s="7" t="str">
        <f>HYPERLINK("http://www.informatics.jax.org/marker/MGI:106922","MGI:106922")</f>
        <v>MGI:106922</v>
      </c>
      <c r="J3120" s="4" t="s">
        <v>12</v>
      </c>
    </row>
    <row r="3121" spans="1:10" x14ac:dyDescent="0.25">
      <c r="A3121" s="2">
        <v>319.493589475595</v>
      </c>
      <c r="B3121" s="3">
        <v>0.34830310806542403</v>
      </c>
      <c r="C3121" s="5">
        <v>2.4559587051924599E-5</v>
      </c>
      <c r="D3121" s="6">
        <v>8.8475530994510998E-5</v>
      </c>
      <c r="E3121" s="3" t="s">
        <v>10960</v>
      </c>
      <c r="F3121" s="3" t="s">
        <v>10961</v>
      </c>
      <c r="G3121" s="3" t="s">
        <v>83</v>
      </c>
      <c r="H3121" s="7" t="str">
        <f>HYPERLINK("http://www.ensembl.org/Mus_musculus/Gene/Summary?db=core;g=ENSMUSG00000086841","ENSMUSG00000086841")</f>
        <v>ENSMUSG00000086841</v>
      </c>
      <c r="I3121" s="7" t="str">
        <f>HYPERLINK("http://www.informatics.jax.org/marker/MGI:1916471","MGI:1916471")</f>
        <v>MGI:1916471</v>
      </c>
      <c r="J3121" s="4" t="s">
        <v>331</v>
      </c>
    </row>
    <row r="3122" spans="1:10" x14ac:dyDescent="0.25">
      <c r="A3122" s="2">
        <v>693.54426711485701</v>
      </c>
      <c r="B3122" s="3">
        <v>0.34820181239204001</v>
      </c>
      <c r="C3122" s="5">
        <v>2.6166057186737601E-5</v>
      </c>
      <c r="D3122" s="6">
        <v>9.4039483820387507E-5</v>
      </c>
      <c r="E3122" s="3" t="s">
        <v>10986</v>
      </c>
      <c r="F3122" s="3" t="s">
        <v>10987</v>
      </c>
      <c r="G3122" s="3">
        <v>23853</v>
      </c>
      <c r="H3122" s="7" t="str">
        <f>HYPERLINK("http://www.ensembl.org/Mus_musculus/Gene/Summary?db=core;g=ENSMUSG00000002257","ENSMUSG00000002257")</f>
        <v>ENSMUSG00000002257</v>
      </c>
      <c r="I3122" s="7" t="str">
        <f>HYPERLINK("http://www.informatics.jax.org/marker/MGI:1346328","MGI:1346328")</f>
        <v>MGI:1346328</v>
      </c>
      <c r="J3122" s="4" t="s">
        <v>12</v>
      </c>
    </row>
    <row r="3123" spans="1:10" x14ac:dyDescent="0.25">
      <c r="A3123" s="2">
        <v>7945.7700446076597</v>
      </c>
      <c r="B3123" s="3">
        <v>0.34817496494810501</v>
      </c>
      <c r="C3123" s="5">
        <v>2.3288384110971399E-10</v>
      </c>
      <c r="D3123" s="6">
        <v>1.31401125799244E-9</v>
      </c>
      <c r="E3123" s="3" t="s">
        <v>7008</v>
      </c>
      <c r="F3123" s="3" t="s">
        <v>7009</v>
      </c>
      <c r="G3123" s="3">
        <v>12785</v>
      </c>
      <c r="H3123" s="7" t="str">
        <f>HYPERLINK("http://www.ensembl.org/Mus_musculus/Gene/Summary?db=core;g=ENSMUSG00000030057","ENSMUSG00000030057")</f>
        <v>ENSMUSG00000030057</v>
      </c>
      <c r="I3123" s="7" t="str">
        <f>HYPERLINK("http://www.informatics.jax.org/marker/MGI:88431","MGI:88431")</f>
        <v>MGI:88431</v>
      </c>
      <c r="J3123" s="4" t="s">
        <v>12</v>
      </c>
    </row>
    <row r="3124" spans="1:10" x14ac:dyDescent="0.25">
      <c r="A3124" s="2">
        <v>1815.9981320187501</v>
      </c>
      <c r="B3124" s="3">
        <v>0.34809987337298898</v>
      </c>
      <c r="C3124" s="5">
        <v>6.6480222400568502E-6</v>
      </c>
      <c r="D3124" s="6">
        <v>2.5357639956271001E-5</v>
      </c>
      <c r="E3124" s="3" t="s">
        <v>10354</v>
      </c>
      <c r="F3124" s="3" t="s">
        <v>10355</v>
      </c>
      <c r="G3124" s="3">
        <v>55935</v>
      </c>
      <c r="H3124" s="7" t="str">
        <f>HYPERLINK("http://www.ensembl.org/Mus_musculus/Gene/Summary?db=core;g=ENSMUSG00000008200","ENSMUSG00000008200")</f>
        <v>ENSMUSG00000008200</v>
      </c>
      <c r="I3124" s="7" t="str">
        <f>HYPERLINK("http://www.informatics.jax.org/marker/MGI:1860513","MGI:1860513")</f>
        <v>MGI:1860513</v>
      </c>
      <c r="J3124" s="4" t="s">
        <v>12</v>
      </c>
    </row>
    <row r="3125" spans="1:10" x14ac:dyDescent="0.25">
      <c r="A3125" s="2">
        <v>374.74220605985897</v>
      </c>
      <c r="B3125" s="3">
        <v>0.347796151826894</v>
      </c>
      <c r="C3125" s="5">
        <v>2.7615444533437099E-7</v>
      </c>
      <c r="D3125" s="6">
        <v>1.20936390450673E-6</v>
      </c>
      <c r="E3125" s="3" t="s">
        <v>9021</v>
      </c>
      <c r="F3125" s="3" t="s">
        <v>9022</v>
      </c>
      <c r="G3125" s="3">
        <v>72144</v>
      </c>
      <c r="H3125" s="7" t="str">
        <f>HYPERLINK("http://www.ensembl.org/Mus_musculus/Gene/Summary?db=core;g=ENSMUSG00000029924","ENSMUSG00000029924")</f>
        <v>ENSMUSG00000029924</v>
      </c>
      <c r="I3125" s="7" t="str">
        <f>HYPERLINK("http://www.informatics.jax.org/marker/MGI:1919394","MGI:1919394")</f>
        <v>MGI:1919394</v>
      </c>
      <c r="J3125" s="4" t="s">
        <v>12</v>
      </c>
    </row>
    <row r="3126" spans="1:10" x14ac:dyDescent="0.25">
      <c r="A3126" s="2">
        <v>189.90229752174801</v>
      </c>
      <c r="B3126" s="3">
        <v>0.347368995109614</v>
      </c>
      <c r="C3126" s="3">
        <v>1.09202294562795E-4</v>
      </c>
      <c r="D3126" s="4">
        <v>3.6673522629058499E-4</v>
      </c>
      <c r="E3126" s="3" t="s">
        <v>11755</v>
      </c>
      <c r="F3126" s="3" t="s">
        <v>11756</v>
      </c>
      <c r="G3126" s="3">
        <v>235907</v>
      </c>
      <c r="H3126" s="7" t="str">
        <f>HYPERLINK("http://www.ensembl.org/Mus_musculus/Gene/Summary?db=core;g=ENSMUSG00000071281","ENSMUSG00000071281")</f>
        <v>ENSMUSG00000071281</v>
      </c>
      <c r="I3126" s="7" t="str">
        <f>HYPERLINK("http://www.informatics.jax.org/marker/MGI:107769","MGI:107769")</f>
        <v>MGI:107769</v>
      </c>
      <c r="J3126" s="4" t="s">
        <v>12</v>
      </c>
    </row>
    <row r="3127" spans="1:10" x14ac:dyDescent="0.25">
      <c r="A3127" s="2">
        <v>2774.38198661455</v>
      </c>
      <c r="B3127" s="3">
        <v>0.34707573830427602</v>
      </c>
      <c r="C3127" s="5">
        <v>1.8373606160934601E-12</v>
      </c>
      <c r="D3127" s="6">
        <v>1.2142342945497E-11</v>
      </c>
      <c r="E3127" s="3" t="s">
        <v>5985</v>
      </c>
      <c r="F3127" s="3" t="s">
        <v>5986</v>
      </c>
      <c r="G3127" s="3">
        <v>67738</v>
      </c>
      <c r="H3127" s="7" t="str">
        <f>HYPERLINK("http://www.ensembl.org/Mus_musculus/Gene/Summary?db=core;g=ENSMUSG00000027804","ENSMUSG00000027804")</f>
        <v>ENSMUSG00000027804</v>
      </c>
      <c r="I3127" s="7" t="str">
        <f>HYPERLINK("http://www.informatics.jax.org/marker/MGI:1914988","MGI:1914988")</f>
        <v>MGI:1914988</v>
      </c>
      <c r="J3127" s="4" t="s">
        <v>12</v>
      </c>
    </row>
    <row r="3128" spans="1:10" x14ac:dyDescent="0.25">
      <c r="A3128" s="2">
        <v>81.819165199037798</v>
      </c>
      <c r="B3128" s="3">
        <v>0.34684759261529702</v>
      </c>
      <c r="C3128" s="3">
        <v>1.03759139382125E-2</v>
      </c>
      <c r="D3128" s="4">
        <v>2.5733957969385001E-2</v>
      </c>
      <c r="E3128" s="3" t="s">
        <v>15907</v>
      </c>
      <c r="F3128" s="3" t="s">
        <v>15908</v>
      </c>
      <c r="G3128" s="3">
        <v>66832</v>
      </c>
      <c r="H3128" s="7" t="str">
        <f>HYPERLINK("http://www.ensembl.org/Mus_musculus/Gene/Summary?db=core;g=ENSMUSG00000073471","ENSMUSG00000073471")</f>
        <v>ENSMUSG00000073471</v>
      </c>
      <c r="I3128" s="7" t="str">
        <f>HYPERLINK("http://www.informatics.jax.org/marker/MGI:1914082","MGI:1914082")</f>
        <v>MGI:1914082</v>
      </c>
      <c r="J3128" s="4" t="s">
        <v>12</v>
      </c>
    </row>
    <row r="3129" spans="1:10" x14ac:dyDescent="0.25">
      <c r="A3129" s="2">
        <v>3131.72597111912</v>
      </c>
      <c r="B3129" s="3">
        <v>0.34648319897410201</v>
      </c>
      <c r="C3129" s="5">
        <v>6.2183913199517601E-6</v>
      </c>
      <c r="D3129" s="6">
        <v>2.37879101512025E-5</v>
      </c>
      <c r="E3129" s="3" t="s">
        <v>10324</v>
      </c>
      <c r="F3129" s="3" t="s">
        <v>10325</v>
      </c>
      <c r="G3129" s="3">
        <v>17079</v>
      </c>
      <c r="H3129" s="7" t="str">
        <f>HYPERLINK("http://www.ensembl.org/Mus_musculus/Gene/Summary?db=core;g=ENSMUSG00000021624","ENSMUSG00000021624")</f>
        <v>ENSMUSG00000021624</v>
      </c>
      <c r="I3129" s="7" t="str">
        <f>HYPERLINK("http://www.informatics.jax.org/marker/MGI:1194924","MGI:1194924")</f>
        <v>MGI:1194924</v>
      </c>
      <c r="J3129" s="4" t="s">
        <v>12</v>
      </c>
    </row>
    <row r="3130" spans="1:10" x14ac:dyDescent="0.25">
      <c r="A3130" s="2">
        <v>1029.2135773013299</v>
      </c>
      <c r="B3130" s="3">
        <v>0.34648091740410603</v>
      </c>
      <c r="C3130" s="5">
        <v>1.51376121688741E-10</v>
      </c>
      <c r="D3130" s="6">
        <v>8.6852985734709901E-10</v>
      </c>
      <c r="E3130" s="3" t="s">
        <v>6892</v>
      </c>
      <c r="F3130" s="3" t="s">
        <v>6893</v>
      </c>
      <c r="G3130" s="3">
        <v>277463</v>
      </c>
      <c r="H3130" s="7" t="str">
        <f>HYPERLINK("http://www.ensembl.org/Mus_musculus/Gene/Summary?db=core;g=ENSMUSG00000000194","ENSMUSG00000000194")</f>
        <v>ENSMUSG00000000194</v>
      </c>
      <c r="I3130" s="7" t="str">
        <f>HYPERLINK("http://www.informatics.jax.org/marker/MGI:2139054","MGI:2139054")</f>
        <v>MGI:2139054</v>
      </c>
      <c r="J3130" s="4" t="s">
        <v>12</v>
      </c>
    </row>
    <row r="3131" spans="1:10" x14ac:dyDescent="0.25">
      <c r="A3131" s="2">
        <v>106.944164408047</v>
      </c>
      <c r="B3131" s="3">
        <v>0.34634331593174</v>
      </c>
      <c r="C3131" s="3">
        <v>2.06739137162034E-3</v>
      </c>
      <c r="D3131" s="4">
        <v>5.8258013501505E-3</v>
      </c>
      <c r="E3131" s="3" t="s">
        <v>14003</v>
      </c>
      <c r="F3131" s="3" t="s">
        <v>14004</v>
      </c>
      <c r="G3131" s="3" t="s">
        <v>83</v>
      </c>
      <c r="H3131" s="7" t="str">
        <f>HYPERLINK("http://www.ensembl.org/Mus_musculus/Gene/Summary?db=core;g=ENSMUSG00000106990","ENSMUSG00000106990")</f>
        <v>ENSMUSG00000106990</v>
      </c>
      <c r="I3131" s="7" t="str">
        <f>HYPERLINK("http://www.informatics.jax.org/marker/MGI:5662684","MGI:5662684")</f>
        <v>MGI:5662684</v>
      </c>
      <c r="J3131" s="4" t="s">
        <v>1828</v>
      </c>
    </row>
    <row r="3132" spans="1:10" x14ac:dyDescent="0.25">
      <c r="A3132" s="2">
        <v>273.49324087337999</v>
      </c>
      <c r="B3132" s="3">
        <v>0.346209327520896</v>
      </c>
      <c r="C3132" s="3">
        <v>1.3913167813159901E-3</v>
      </c>
      <c r="D3132" s="4">
        <v>4.0176844234223602E-3</v>
      </c>
      <c r="E3132" s="3" t="s">
        <v>13665</v>
      </c>
      <c r="F3132" s="3" t="s">
        <v>13666</v>
      </c>
      <c r="G3132" s="3">
        <v>329384</v>
      </c>
      <c r="H3132" s="7" t="str">
        <f>HYPERLINK("http://www.ensembl.org/Mus_musculus/Gene/Summary?db=core;g=ENSMUSG00000053746","ENSMUSG00000053746")</f>
        <v>ENSMUSG00000053746</v>
      </c>
      <c r="I3132" s="7" t="str">
        <f>HYPERLINK("http://www.informatics.jax.org/marker/MGI:1913779","MGI:1913779")</f>
        <v>MGI:1913779</v>
      </c>
      <c r="J3132" s="4" t="s">
        <v>12</v>
      </c>
    </row>
    <row r="3133" spans="1:10" x14ac:dyDescent="0.25">
      <c r="A3133" s="2">
        <v>3142.5374072413802</v>
      </c>
      <c r="B3133" s="3">
        <v>0.34616393727315498</v>
      </c>
      <c r="C3133" s="5">
        <v>2.0760727224412101E-11</v>
      </c>
      <c r="D3133" s="6">
        <v>1.2718283344684901E-10</v>
      </c>
      <c r="E3133" s="3" t="s">
        <v>6455</v>
      </c>
      <c r="F3133" s="3" t="s">
        <v>6456</v>
      </c>
      <c r="G3133" s="3">
        <v>16341</v>
      </c>
      <c r="H3133" s="7" t="str">
        <f>HYPERLINK("http://www.ensembl.org/Mus_musculus/Gene/Summary?db=core;g=ENSMUSG00000022336","ENSMUSG00000022336")</f>
        <v>ENSMUSG00000022336</v>
      </c>
      <c r="I3133" s="7" t="str">
        <f>HYPERLINK("http://www.informatics.jax.org/marker/MGI:99257","MGI:99257")</f>
        <v>MGI:99257</v>
      </c>
      <c r="J3133" s="4" t="s">
        <v>12</v>
      </c>
    </row>
    <row r="3134" spans="1:10" x14ac:dyDescent="0.25">
      <c r="A3134" s="2">
        <v>3318.1757910705401</v>
      </c>
      <c r="B3134" s="3">
        <v>0.34610757345776999</v>
      </c>
      <c r="C3134" s="5">
        <v>2.1593516921219799E-5</v>
      </c>
      <c r="D3134" s="6">
        <v>7.8276498839421804E-5</v>
      </c>
      <c r="E3134" s="3" t="s">
        <v>10892</v>
      </c>
      <c r="F3134" s="3" t="s">
        <v>10893</v>
      </c>
      <c r="G3134" s="3">
        <v>68052</v>
      </c>
      <c r="H3134" s="7" t="str">
        <f>HYPERLINK("http://www.ensembl.org/Mus_musculus/Gene/Summary?db=core;g=ENSMUSG00000090862","ENSMUSG00000090862")</f>
        <v>ENSMUSG00000090862</v>
      </c>
      <c r="I3134" s="7" t="str">
        <f>HYPERLINK("http://www.informatics.jax.org/marker/MGI:1915302","MGI:1915302")</f>
        <v>MGI:1915302</v>
      </c>
      <c r="J3134" s="4" t="s">
        <v>12</v>
      </c>
    </row>
    <row r="3135" spans="1:10" x14ac:dyDescent="0.25">
      <c r="A3135" s="2">
        <v>626.48710363373402</v>
      </c>
      <c r="B3135" s="3">
        <v>0.34606907458362302</v>
      </c>
      <c r="C3135" s="5">
        <v>7.7387835618710006E-5</v>
      </c>
      <c r="D3135" s="4">
        <v>2.6421193185612198E-4</v>
      </c>
      <c r="E3135" s="3" t="s">
        <v>11563</v>
      </c>
      <c r="F3135" s="3" t="s">
        <v>11564</v>
      </c>
      <c r="G3135" s="3">
        <v>53600</v>
      </c>
      <c r="H3135" s="7" t="str">
        <f>HYPERLINK("http://www.ensembl.org/Mus_musculus/Gene/Summary?db=core;g=ENSMUSG00000013701","ENSMUSG00000013701")</f>
        <v>ENSMUSG00000013701</v>
      </c>
      <c r="I3135" s="7" t="str">
        <f>HYPERLINK("http://www.informatics.jax.org/marker/MGI:1858317","MGI:1858317")</f>
        <v>MGI:1858317</v>
      </c>
      <c r="J3135" s="4" t="s">
        <v>12</v>
      </c>
    </row>
    <row r="3136" spans="1:10" x14ac:dyDescent="0.25">
      <c r="A3136" s="2">
        <v>830.89587417346297</v>
      </c>
      <c r="B3136" s="3">
        <v>0.34606462705081797</v>
      </c>
      <c r="C3136" s="5">
        <v>1.36416090760598E-6</v>
      </c>
      <c r="D3136" s="6">
        <v>5.5604078334001503E-6</v>
      </c>
      <c r="E3136" s="3" t="s">
        <v>9691</v>
      </c>
      <c r="F3136" s="3" t="s">
        <v>9692</v>
      </c>
      <c r="G3136" s="3">
        <v>67456</v>
      </c>
      <c r="H3136" s="7" t="str">
        <f>HYPERLINK("http://www.ensembl.org/Mus_musculus/Gene/Summary?db=core;g=ENSMUSG00000030304","ENSMUSG00000030304")</f>
        <v>ENSMUSG00000030304</v>
      </c>
      <c r="I3136" s="7" t="str">
        <f>HYPERLINK("http://www.informatics.jax.org/marker/MGI:1914706","MGI:1914706")</f>
        <v>MGI:1914706</v>
      </c>
      <c r="J3136" s="4" t="s">
        <v>12</v>
      </c>
    </row>
    <row r="3137" spans="1:10" x14ac:dyDescent="0.25">
      <c r="A3137" s="2">
        <v>500.557308081239</v>
      </c>
      <c r="B3137" s="3">
        <v>0.34585274233746999</v>
      </c>
      <c r="C3137" s="5">
        <v>6.5883497205268703E-5</v>
      </c>
      <c r="D3137" s="4">
        <v>2.2654273145386201E-4</v>
      </c>
      <c r="E3137" s="3" t="s">
        <v>11481</v>
      </c>
      <c r="F3137" s="3" t="s">
        <v>11482</v>
      </c>
      <c r="G3137" s="3">
        <v>109263</v>
      </c>
      <c r="H3137" s="7" t="str">
        <f>HYPERLINK("http://www.ensembl.org/Mus_musculus/Gene/Summary?db=core;g=ENSMUSG00000049878","ENSMUSG00000049878")</f>
        <v>ENSMUSG00000049878</v>
      </c>
      <c r="I3137" s="7" t="str">
        <f>HYPERLINK("http://www.informatics.jax.org/marker/MGI:1924705","MGI:1924705")</f>
        <v>MGI:1924705</v>
      </c>
      <c r="J3137" s="4" t="s">
        <v>12</v>
      </c>
    </row>
    <row r="3138" spans="1:10" x14ac:dyDescent="0.25">
      <c r="A3138" s="2">
        <v>876.65481621051504</v>
      </c>
      <c r="B3138" s="3">
        <v>0.345799381827672</v>
      </c>
      <c r="C3138" s="5">
        <v>4.63458273686462E-9</v>
      </c>
      <c r="D3138" s="6">
        <v>2.35977205192281E-8</v>
      </c>
      <c r="E3138" s="3" t="s">
        <v>7762</v>
      </c>
      <c r="F3138" s="3" t="s">
        <v>7763</v>
      </c>
      <c r="G3138" s="3">
        <v>218850</v>
      </c>
      <c r="H3138" s="7" t="str">
        <f>HYPERLINK("http://www.ensembl.org/Mus_musculus/Gene/Summary?db=core;g=ENSMUSG00000040651","ENSMUSG00000040651")</f>
        <v>ENSMUSG00000040651</v>
      </c>
      <c r="I3138" s="7" t="str">
        <f>HYPERLINK("http://www.informatics.jax.org/marker/MGI:1921694","MGI:1921694")</f>
        <v>MGI:1921694</v>
      </c>
      <c r="J3138" s="4" t="s">
        <v>12</v>
      </c>
    </row>
    <row r="3139" spans="1:10" x14ac:dyDescent="0.25">
      <c r="A3139" s="2">
        <v>3538.5989473355398</v>
      </c>
      <c r="B3139" s="3">
        <v>0.34466202780503202</v>
      </c>
      <c r="C3139" s="5">
        <v>4.2532964495098402E-11</v>
      </c>
      <c r="D3139" s="6">
        <v>2.5447513951557702E-10</v>
      </c>
      <c r="E3139" s="3" t="s">
        <v>6609</v>
      </c>
      <c r="F3139" s="3" t="s">
        <v>6610</v>
      </c>
      <c r="G3139" s="3">
        <v>232157</v>
      </c>
      <c r="H3139" s="7" t="str">
        <f>HYPERLINK("http://www.ensembl.org/Mus_musculus/Gene/Summary?db=core;g=ENSMUSG00000043131","ENSMUSG00000043131")</f>
        <v>ENSMUSG00000043131</v>
      </c>
      <c r="I3139" s="7" t="str">
        <f>HYPERLINK("http://www.informatics.jax.org/marker/MGI:2442631","MGI:2442631")</f>
        <v>MGI:2442631</v>
      </c>
      <c r="J3139" s="4" t="s">
        <v>12</v>
      </c>
    </row>
    <row r="3140" spans="1:10" x14ac:dyDescent="0.25">
      <c r="A3140" s="2">
        <v>5591.7437245087203</v>
      </c>
      <c r="B3140" s="3">
        <v>0.34409456121717502</v>
      </c>
      <c r="C3140" s="5">
        <v>8.3927852047782703E-14</v>
      </c>
      <c r="D3140" s="6">
        <v>6.0227701687855701E-13</v>
      </c>
      <c r="E3140" s="3" t="s">
        <v>5513</v>
      </c>
      <c r="F3140" s="3" t="s">
        <v>5514</v>
      </c>
      <c r="G3140" s="3">
        <v>19385</v>
      </c>
      <c r="H3140" s="7" t="str">
        <f>HYPERLINK("http://www.ensembl.org/Mus_musculus/Gene/Summary?db=core;g=ENSMUSG00000005732","ENSMUSG00000005732")</f>
        <v>ENSMUSG00000005732</v>
      </c>
      <c r="I3140" s="7" t="str">
        <f>HYPERLINK("http://www.informatics.jax.org/marker/MGI:96269","MGI:96269")</f>
        <v>MGI:96269</v>
      </c>
      <c r="J3140" s="4" t="s">
        <v>12</v>
      </c>
    </row>
    <row r="3141" spans="1:10" x14ac:dyDescent="0.25">
      <c r="A3141" s="2">
        <v>188.08454546395501</v>
      </c>
      <c r="B3141" s="3">
        <v>0.34402782421313399</v>
      </c>
      <c r="C3141" s="3">
        <v>3.6593215066851501E-3</v>
      </c>
      <c r="D3141" s="4">
        <v>9.9123379274493294E-3</v>
      </c>
      <c r="E3141" s="3" t="s">
        <v>14563</v>
      </c>
      <c r="F3141" s="3" t="s">
        <v>14564</v>
      </c>
      <c r="G3141" s="3" t="s">
        <v>83</v>
      </c>
      <c r="H3141" s="7" t="str">
        <f>HYPERLINK("http://www.ensembl.org/Mus_musculus/Gene/Summary?db=core;g=ENSMUSG00000087547","ENSMUSG00000087547")</f>
        <v>ENSMUSG00000087547</v>
      </c>
      <c r="I3141" s="7" t="str">
        <f>HYPERLINK("http://www.informatics.jax.org/marker/MGI:1925566","MGI:1925566")</f>
        <v>MGI:1925566</v>
      </c>
      <c r="J3141" s="4" t="s">
        <v>939</v>
      </c>
    </row>
    <row r="3142" spans="1:10" x14ac:dyDescent="0.25">
      <c r="A3142" s="2">
        <v>660.75460674080296</v>
      </c>
      <c r="B3142" s="3">
        <v>0.34382145216596799</v>
      </c>
      <c r="C3142" s="5">
        <v>3.70715416810735E-10</v>
      </c>
      <c r="D3142" s="6">
        <v>2.0575592511983401E-9</v>
      </c>
      <c r="E3142" s="3" t="s">
        <v>7124</v>
      </c>
      <c r="F3142" s="3" t="s">
        <v>7125</v>
      </c>
      <c r="G3142" s="3">
        <v>75619</v>
      </c>
      <c r="H3142" s="7" t="str">
        <f>HYPERLINK("http://www.ensembl.org/Mus_musculus/Gene/Summary?db=core;g=ENSMUSG00000025962","ENSMUSG00000025962")</f>
        <v>ENSMUSG00000025962</v>
      </c>
      <c r="I3142" s="7" t="str">
        <f>HYPERLINK("http://www.informatics.jax.org/marker/MGI:1922869","MGI:1922869")</f>
        <v>MGI:1922869</v>
      </c>
      <c r="J3142" s="4" t="s">
        <v>12</v>
      </c>
    </row>
    <row r="3143" spans="1:10" x14ac:dyDescent="0.25">
      <c r="A3143" s="2">
        <v>293.24900701603599</v>
      </c>
      <c r="B3143" s="3">
        <v>0.34353114385806699</v>
      </c>
      <c r="C3143" s="5">
        <v>3.3610036497220602E-5</v>
      </c>
      <c r="D3143" s="4">
        <v>1.19357089811848E-4</v>
      </c>
      <c r="E3143" s="3" t="s">
        <v>11119</v>
      </c>
      <c r="F3143" s="3" t="s">
        <v>11120</v>
      </c>
      <c r="G3143" s="3">
        <v>268822</v>
      </c>
      <c r="H3143" s="7" t="str">
        <f>HYPERLINK("http://www.ensembl.org/Mus_musculus/Gene/Summary?db=core;g=ENSMUSG00000022550","ENSMUSG00000022550")</f>
        <v>ENSMUSG00000022550</v>
      </c>
      <c r="I3143" s="7" t="str">
        <f>HYPERLINK("http://www.informatics.jax.org/marker/MGI:2679274","MGI:2679274")</f>
        <v>MGI:2679274</v>
      </c>
      <c r="J3143" s="4" t="s">
        <v>12</v>
      </c>
    </row>
    <row r="3144" spans="1:10" x14ac:dyDescent="0.25">
      <c r="A3144" s="2">
        <v>1066.2451085426201</v>
      </c>
      <c r="B3144" s="3">
        <v>0.34330030178266702</v>
      </c>
      <c r="C3144" s="5">
        <v>1.6332516202335599E-9</v>
      </c>
      <c r="D3144" s="6">
        <v>8.6070876405681008E-9</v>
      </c>
      <c r="E3144" s="3" t="s">
        <v>7502</v>
      </c>
      <c r="F3144" s="3" t="s">
        <v>7503</v>
      </c>
      <c r="G3144" s="3">
        <v>68215</v>
      </c>
      <c r="H3144" s="7" t="str">
        <f>HYPERLINK("http://www.ensembl.org/Mus_musculus/Gene/Summary?db=core;g=ENSMUSG00000027349","ENSMUSG00000027349")</f>
        <v>ENSMUSG00000027349</v>
      </c>
      <c r="I3144" s="7" t="str">
        <f>HYPERLINK("http://www.informatics.jax.org/marker/MGI:1915465","MGI:1915465")</f>
        <v>MGI:1915465</v>
      </c>
      <c r="J3144" s="4" t="s">
        <v>12</v>
      </c>
    </row>
    <row r="3145" spans="1:10" x14ac:dyDescent="0.25">
      <c r="A3145" s="2">
        <v>1270.32758419839</v>
      </c>
      <c r="B3145" s="3">
        <v>0.34312128815142201</v>
      </c>
      <c r="C3145" s="5">
        <v>6.3137209473679298E-7</v>
      </c>
      <c r="D3145" s="6">
        <v>2.6689512772153399E-6</v>
      </c>
      <c r="E3145" s="3" t="s">
        <v>9345</v>
      </c>
      <c r="F3145" s="3" t="s">
        <v>9346</v>
      </c>
      <c r="G3145" s="3">
        <v>98432</v>
      </c>
      <c r="H3145" s="7" t="str">
        <f>HYPERLINK("http://www.ensembl.org/Mus_musculus/Gene/Summary?db=core;g=ENSMUSG00000044340","ENSMUSG00000044340")</f>
        <v>ENSMUSG00000044340</v>
      </c>
      <c r="I3145" s="7" t="str">
        <f>HYPERLINK("http://www.informatics.jax.org/marker/MGI:2138327","MGI:2138327")</f>
        <v>MGI:2138327</v>
      </c>
      <c r="J3145" s="4" t="s">
        <v>12</v>
      </c>
    </row>
    <row r="3146" spans="1:10" x14ac:dyDescent="0.25">
      <c r="A3146" s="2">
        <v>107.901633688377</v>
      </c>
      <c r="B3146" s="3">
        <v>0.34217954570986198</v>
      </c>
      <c r="C3146" s="3">
        <v>1.3040327713012799E-3</v>
      </c>
      <c r="D3146" s="4">
        <v>3.7828076272523299E-3</v>
      </c>
      <c r="E3146" s="3" t="s">
        <v>13605</v>
      </c>
      <c r="F3146" s="3" t="s">
        <v>13606</v>
      </c>
      <c r="G3146" s="3">
        <v>240067</v>
      </c>
      <c r="H3146" s="7" t="str">
        <f>HYPERLINK("http://www.ensembl.org/Mus_musculus/Gene/Summary?db=core;g=ENSMUSG00000053390","ENSMUSG00000053390")</f>
        <v>ENSMUSG00000053390</v>
      </c>
      <c r="I3146" s="7" t="str">
        <f>HYPERLINK("http://www.informatics.jax.org/marker/MGI:2441928","MGI:2441928")</f>
        <v>MGI:2441928</v>
      </c>
      <c r="J3146" s="4" t="s">
        <v>12</v>
      </c>
    </row>
    <row r="3147" spans="1:10" x14ac:dyDescent="0.25">
      <c r="A3147" s="2">
        <v>128.751555293628</v>
      </c>
      <c r="B3147" s="3">
        <v>0.34184630462399002</v>
      </c>
      <c r="C3147" s="3">
        <v>4.4222468649917296E-3</v>
      </c>
      <c r="D3147" s="4">
        <v>1.1805429562425499E-2</v>
      </c>
      <c r="E3147" s="3" t="s">
        <v>14778</v>
      </c>
      <c r="F3147" s="3" t="s">
        <v>14779</v>
      </c>
      <c r="G3147" s="3">
        <v>56795</v>
      </c>
      <c r="H3147" s="7" t="str">
        <f>HYPERLINK("http://www.ensembl.org/Mus_musculus/Gene/Summary?db=core;g=ENSMUSG00000025870","ENSMUSG00000025870")</f>
        <v>ENSMUSG00000025870</v>
      </c>
      <c r="I3147" s="7" t="str">
        <f>HYPERLINK("http://www.informatics.jax.org/marker/MGI:1930788","MGI:1930788")</f>
        <v>MGI:1930788</v>
      </c>
      <c r="J3147" s="4" t="s">
        <v>12</v>
      </c>
    </row>
    <row r="3148" spans="1:10" x14ac:dyDescent="0.25">
      <c r="A3148" s="2">
        <v>442.805235110073</v>
      </c>
      <c r="B3148" s="3">
        <v>0.34174559883827799</v>
      </c>
      <c r="C3148" s="5">
        <v>4.0333409611023798E-5</v>
      </c>
      <c r="D3148" s="4">
        <v>1.4187920755072899E-4</v>
      </c>
      <c r="E3148" s="3" t="s">
        <v>11223</v>
      </c>
      <c r="F3148" s="3" t="s">
        <v>11224</v>
      </c>
      <c r="G3148" s="3">
        <v>237459</v>
      </c>
      <c r="H3148" s="7" t="str">
        <f>HYPERLINK("http://www.ensembl.org/Mus_musculus/Gene/Summary?db=core;g=ENSMUSG00000020015","ENSMUSG00000020015")</f>
        <v>ENSMUSG00000020015</v>
      </c>
      <c r="I3148" s="7" t="str">
        <f>HYPERLINK("http://www.informatics.jax.org/marker/MGI:97517","MGI:97517")</f>
        <v>MGI:97517</v>
      </c>
      <c r="J3148" s="4" t="s">
        <v>12</v>
      </c>
    </row>
    <row r="3149" spans="1:10" x14ac:dyDescent="0.25">
      <c r="A3149" s="2">
        <v>461.74906015086299</v>
      </c>
      <c r="B3149" s="3">
        <v>0.34125396252780099</v>
      </c>
      <c r="C3149" s="5">
        <v>1.89162340582617E-7</v>
      </c>
      <c r="D3149" s="6">
        <v>8.39397244889559E-7</v>
      </c>
      <c r="E3149" s="3" t="s">
        <v>8905</v>
      </c>
      <c r="F3149" s="3" t="s">
        <v>8906</v>
      </c>
      <c r="G3149" s="3">
        <v>68165</v>
      </c>
      <c r="H3149" s="7" t="str">
        <f>HYPERLINK("http://www.ensembl.org/Mus_musculus/Gene/Summary?db=core;g=ENSMUSG00000079677","ENSMUSG00000079677")</f>
        <v>ENSMUSG00000079677</v>
      </c>
      <c r="I3149" s="7" t="str">
        <f>HYPERLINK("http://www.informatics.jax.org/marker/MGI:1915415","MGI:1915415")</f>
        <v>MGI:1915415</v>
      </c>
      <c r="J3149" s="4" t="s">
        <v>12</v>
      </c>
    </row>
    <row r="3150" spans="1:10" x14ac:dyDescent="0.25">
      <c r="A3150" s="2">
        <v>5184.7900981619096</v>
      </c>
      <c r="B3150" s="3">
        <v>0.34117592518650303</v>
      </c>
      <c r="C3150" s="5">
        <v>2.9379651682346501E-10</v>
      </c>
      <c r="D3150" s="6">
        <v>1.6454607531265899E-9</v>
      </c>
      <c r="E3150" s="3" t="s">
        <v>7060</v>
      </c>
      <c r="F3150" s="3" t="s">
        <v>7061</v>
      </c>
      <c r="G3150" s="3">
        <v>66335</v>
      </c>
      <c r="H3150" s="7" t="str">
        <f>HYPERLINK("http://www.ensembl.org/Mus_musculus/Gene/Summary?db=core;g=ENSMUSG00000022295","ENSMUSG00000022295")</f>
        <v>ENSMUSG00000022295</v>
      </c>
      <c r="I3150" s="7" t="str">
        <f>HYPERLINK("http://www.informatics.jax.org/marker/MGI:1913585","MGI:1913585")</f>
        <v>MGI:1913585</v>
      </c>
      <c r="J3150" s="4" t="s">
        <v>12</v>
      </c>
    </row>
    <row r="3151" spans="1:10" x14ac:dyDescent="0.25">
      <c r="A3151" s="2">
        <v>102.462265095766</v>
      </c>
      <c r="B3151" s="3">
        <v>0.34100702212984302</v>
      </c>
      <c r="C3151" s="3">
        <v>7.9714715581998899E-3</v>
      </c>
      <c r="D3151" s="4">
        <v>2.0197382192658299E-2</v>
      </c>
      <c r="E3151" s="3" t="s">
        <v>15573</v>
      </c>
      <c r="F3151" s="3" t="s">
        <v>15574</v>
      </c>
      <c r="G3151" s="3">
        <v>230119</v>
      </c>
      <c r="H3151" s="7" t="str">
        <f>HYPERLINK("http://www.ensembl.org/Mus_musculus/Gene/Summary?db=core;g=ENSMUSG00000049657","ENSMUSG00000049657")</f>
        <v>ENSMUSG00000049657</v>
      </c>
      <c r="I3151" s="7" t="str">
        <f>HYPERLINK("http://www.informatics.jax.org/marker/MGI:1924601","MGI:1924601")</f>
        <v>MGI:1924601</v>
      </c>
      <c r="J3151" s="4" t="s">
        <v>12</v>
      </c>
    </row>
    <row r="3152" spans="1:10" x14ac:dyDescent="0.25">
      <c r="A3152" s="2">
        <v>4109.8942712520802</v>
      </c>
      <c r="B3152" s="3">
        <v>0.340929036007181</v>
      </c>
      <c r="C3152" s="5">
        <v>8.2233695925680501E-7</v>
      </c>
      <c r="D3152" s="6">
        <v>3.4284323121657902E-6</v>
      </c>
      <c r="E3152" s="3" t="s">
        <v>9475</v>
      </c>
      <c r="F3152" s="3" t="s">
        <v>9476</v>
      </c>
      <c r="G3152" s="3">
        <v>67956</v>
      </c>
      <c r="H3152" s="7" t="str">
        <f>HYPERLINK("http://www.ensembl.org/Mus_musculus/Gene/Summary?db=core;g=ENSMUSG00000049327","ENSMUSG00000049327")</f>
        <v>ENSMUSG00000049327</v>
      </c>
      <c r="I3152" s="7" t="str">
        <f>HYPERLINK("http://www.informatics.jax.org/marker/MGI:1915206","MGI:1915206")</f>
        <v>MGI:1915206</v>
      </c>
      <c r="J3152" s="4" t="s">
        <v>12</v>
      </c>
    </row>
    <row r="3153" spans="1:10" x14ac:dyDescent="0.25">
      <c r="A3153" s="2">
        <v>739.13499437485405</v>
      </c>
      <c r="B3153" s="3">
        <v>0.34091834243313501</v>
      </c>
      <c r="C3153" s="5">
        <v>2.3315007285365E-11</v>
      </c>
      <c r="D3153" s="6">
        <v>1.42168195320779E-10</v>
      </c>
      <c r="E3153" s="3" t="s">
        <v>6485</v>
      </c>
      <c r="F3153" s="3" t="s">
        <v>6486</v>
      </c>
      <c r="G3153" s="3">
        <v>70616</v>
      </c>
      <c r="H3153" s="7" t="str">
        <f>HYPERLINK("http://www.ensembl.org/Mus_musculus/Gene/Summary?db=core;g=ENSMUSG00000011306","ENSMUSG00000011306")</f>
        <v>ENSMUSG00000011306</v>
      </c>
      <c r="I3153" s="7" t="str">
        <f>HYPERLINK("http://www.informatics.jax.org/marker/MGI:1917866","MGI:1917866")</f>
        <v>MGI:1917866</v>
      </c>
      <c r="J3153" s="4" t="s">
        <v>12</v>
      </c>
    </row>
    <row r="3154" spans="1:10" x14ac:dyDescent="0.25">
      <c r="A3154" s="2">
        <v>3235.2310690539498</v>
      </c>
      <c r="B3154" s="3">
        <v>0.34077009404128</v>
      </c>
      <c r="C3154" s="5">
        <v>9.8766715491681396E-8</v>
      </c>
      <c r="D3154" s="6">
        <v>4.4784539652700802E-7</v>
      </c>
      <c r="E3154" s="3" t="s">
        <v>8715</v>
      </c>
      <c r="F3154" s="3" t="s">
        <v>8716</v>
      </c>
      <c r="G3154" s="3">
        <v>11776</v>
      </c>
      <c r="H3154" s="7" t="str">
        <f>HYPERLINK("http://www.ensembl.org/Mus_musculus/Gene/Summary?db=core;g=ENSMUSG00000020198","ENSMUSG00000020198")</f>
        <v>ENSMUSG00000020198</v>
      </c>
      <c r="I3154" s="7" t="str">
        <f>HYPERLINK("http://www.informatics.jax.org/marker/MGI:107734","MGI:107734")</f>
        <v>MGI:107734</v>
      </c>
      <c r="J3154" s="4" t="s">
        <v>12</v>
      </c>
    </row>
    <row r="3155" spans="1:10" x14ac:dyDescent="0.25">
      <c r="A3155" s="2">
        <v>1104.7434276210099</v>
      </c>
      <c r="B3155" s="3">
        <v>0.34009719064768701</v>
      </c>
      <c r="C3155" s="5">
        <v>2.3827379931594502E-9</v>
      </c>
      <c r="D3155" s="6">
        <v>1.23964234545456E-8</v>
      </c>
      <c r="E3155" s="3" t="s">
        <v>7600</v>
      </c>
      <c r="F3155" s="3" t="s">
        <v>7601</v>
      </c>
      <c r="G3155" s="3">
        <v>22200</v>
      </c>
      <c r="H3155" s="7" t="str">
        <f>HYPERLINK("http://www.ensembl.org/Mus_musculus/Gene/Summary?db=core;g=ENSMUSG00000030061","ENSMUSG00000030061")</f>
        <v>ENSMUSG00000030061</v>
      </c>
      <c r="I3155" s="7" t="str">
        <f>HYPERLINK("http://www.informatics.jax.org/marker/MGI:1341217","MGI:1341217")</f>
        <v>MGI:1341217</v>
      </c>
      <c r="J3155" s="4" t="s">
        <v>12</v>
      </c>
    </row>
    <row r="3156" spans="1:10" x14ac:dyDescent="0.25">
      <c r="A3156" s="2">
        <v>7209.4561703466698</v>
      </c>
      <c r="B3156" s="3">
        <v>0.34002902390943801</v>
      </c>
      <c r="C3156" s="5">
        <v>4.7765380364318799E-18</v>
      </c>
      <c r="D3156" s="6">
        <v>4.3188138504556001E-17</v>
      </c>
      <c r="E3156" s="3" t="s">
        <v>4379</v>
      </c>
      <c r="F3156" s="3" t="s">
        <v>4380</v>
      </c>
      <c r="G3156" s="3">
        <v>13204</v>
      </c>
      <c r="H3156" s="7" t="str">
        <f>HYPERLINK("http://www.ensembl.org/Mus_musculus/Gene/Summary?db=core;g=ENSMUSG00000029169","ENSMUSG00000029169")</f>
        <v>ENSMUSG00000029169</v>
      </c>
      <c r="I3156" s="7" t="str">
        <f>HYPERLINK("http://www.informatics.jax.org/marker/MGI:1099786","MGI:1099786")</f>
        <v>MGI:1099786</v>
      </c>
      <c r="J3156" s="4" t="s">
        <v>12</v>
      </c>
    </row>
    <row r="3157" spans="1:10" x14ac:dyDescent="0.25">
      <c r="A3157" s="2">
        <v>687.62481566516306</v>
      </c>
      <c r="B3157" s="3">
        <v>0.33971005280046102</v>
      </c>
      <c r="C3157" s="5">
        <v>4.3147729734344304E-6</v>
      </c>
      <c r="D3157" s="6">
        <v>1.6759370304535499E-5</v>
      </c>
      <c r="E3157" s="3" t="s">
        <v>10168</v>
      </c>
      <c r="F3157" s="3" t="s">
        <v>10169</v>
      </c>
      <c r="G3157" s="3">
        <v>12946</v>
      </c>
      <c r="H3157" s="7" t="str">
        <f>HYPERLINK("http://www.ensembl.org/Mus_musculus/Gene/Summary?db=core;g=ENSMUSG00000016481","ENSMUSG00000016481")</f>
        <v>ENSMUSG00000016481</v>
      </c>
      <c r="I3157" s="7" t="str">
        <f>HYPERLINK("http://www.informatics.jax.org/marker/MGI:88513","MGI:88513")</f>
        <v>MGI:88513</v>
      </c>
      <c r="J3157" s="4" t="s">
        <v>12</v>
      </c>
    </row>
    <row r="3158" spans="1:10" x14ac:dyDescent="0.25">
      <c r="A3158" s="2">
        <v>465.42313976695101</v>
      </c>
      <c r="B3158" s="3">
        <v>0.339575081662494</v>
      </c>
      <c r="C3158" s="5">
        <v>2.0518710076530901E-6</v>
      </c>
      <c r="D3158" s="6">
        <v>8.2442738938302601E-6</v>
      </c>
      <c r="E3158" s="3" t="s">
        <v>9831</v>
      </c>
      <c r="F3158" s="3" t="s">
        <v>9832</v>
      </c>
      <c r="G3158" s="3">
        <v>102580</v>
      </c>
      <c r="H3158" s="7" t="str">
        <f>HYPERLINK("http://www.ensembl.org/Mus_musculus/Gene/Summary?db=core;g=ENSMUSG00000032059","ENSMUSG00000032059")</f>
        <v>ENSMUSG00000032059</v>
      </c>
      <c r="I3158" s="7" t="str">
        <f>HYPERLINK("http://www.informatics.jax.org/marker/MGI:1924753","MGI:1924753")</f>
        <v>MGI:1924753</v>
      </c>
      <c r="J3158" s="4" t="s">
        <v>12</v>
      </c>
    </row>
    <row r="3159" spans="1:10" x14ac:dyDescent="0.25">
      <c r="A3159" s="2">
        <v>285.406495458493</v>
      </c>
      <c r="B3159" s="3">
        <v>0.33955246920888998</v>
      </c>
      <c r="C3159" s="5">
        <v>8.1896050742425998E-5</v>
      </c>
      <c r="D3159" s="4">
        <v>2.7863873717057301E-4</v>
      </c>
      <c r="E3159" s="3" t="s">
        <v>11603</v>
      </c>
      <c r="F3159" s="3" t="s">
        <v>11604</v>
      </c>
      <c r="G3159" s="3">
        <v>57432</v>
      </c>
      <c r="H3159" s="7" t="str">
        <f>HYPERLINK("http://www.ensembl.org/Mus_musculus/Gene/Summary?db=core;g=ENSMUSG00000027387","ENSMUSG00000027387")</f>
        <v>ENSMUSG00000027387</v>
      </c>
      <c r="I3159" s="7" t="str">
        <f>HYPERLINK("http://www.informatics.jax.org/marker/MGI:1930128","MGI:1930128")</f>
        <v>MGI:1930128</v>
      </c>
      <c r="J3159" s="4" t="s">
        <v>12</v>
      </c>
    </row>
    <row r="3160" spans="1:10" x14ac:dyDescent="0.25">
      <c r="A3160" s="2">
        <v>805.56874664452403</v>
      </c>
      <c r="B3160" s="3">
        <v>0.33939828753957701</v>
      </c>
      <c r="C3160" s="5">
        <v>1.5500283714366E-5</v>
      </c>
      <c r="D3160" s="6">
        <v>5.7057891055730902E-5</v>
      </c>
      <c r="E3160" s="3" t="s">
        <v>10728</v>
      </c>
      <c r="F3160" s="3" t="s">
        <v>10729</v>
      </c>
      <c r="G3160" s="3">
        <v>11783</v>
      </c>
      <c r="H3160" s="7" t="str">
        <f>HYPERLINK("http://www.ensembl.org/Mus_musculus/Gene/Summary?db=core;g=ENSMUSG00000019979","ENSMUSG00000019979")</f>
        <v>ENSMUSG00000019979</v>
      </c>
      <c r="I3160" s="7" t="str">
        <f>HYPERLINK("http://www.informatics.jax.org/marker/MGI:1306796","MGI:1306796")</f>
        <v>MGI:1306796</v>
      </c>
      <c r="J3160" s="4" t="s">
        <v>12</v>
      </c>
    </row>
    <row r="3161" spans="1:10" x14ac:dyDescent="0.25">
      <c r="A3161" s="2">
        <v>369.53397239935299</v>
      </c>
      <c r="B3161" s="3">
        <v>0.33922496705835697</v>
      </c>
      <c r="C3161" s="5">
        <v>4.6493072284774598E-7</v>
      </c>
      <c r="D3161" s="6">
        <v>1.9888142851534802E-6</v>
      </c>
      <c r="E3161" s="3" t="s">
        <v>9235</v>
      </c>
      <c r="F3161" s="3" t="s">
        <v>9236</v>
      </c>
      <c r="G3161" s="3">
        <v>77622</v>
      </c>
      <c r="H3161" s="7" t="str">
        <f>HYPERLINK("http://www.ensembl.org/Mus_musculus/Gene/Summary?db=core;g=ENSMUSG00000025269","ENSMUSG00000025269")</f>
        <v>ENSMUSG00000025269</v>
      </c>
      <c r="I3161" s="7" t="str">
        <f>HYPERLINK("http://www.informatics.jax.org/marker/MGI:1924872","MGI:1924872")</f>
        <v>MGI:1924872</v>
      </c>
      <c r="J3161" s="4" t="s">
        <v>12</v>
      </c>
    </row>
    <row r="3162" spans="1:10" x14ac:dyDescent="0.25">
      <c r="A3162" s="2">
        <v>957.52625801087197</v>
      </c>
      <c r="B3162" s="3">
        <v>0.33897382143667598</v>
      </c>
      <c r="C3162" s="5">
        <v>3.9542212238752599E-10</v>
      </c>
      <c r="D3162" s="6">
        <v>2.1866865545378601E-9</v>
      </c>
      <c r="E3162" s="3" t="s">
        <v>7150</v>
      </c>
      <c r="F3162" s="3" t="s">
        <v>7151</v>
      </c>
      <c r="G3162" s="3">
        <v>99650</v>
      </c>
      <c r="H3162" s="7" t="str">
        <f>HYPERLINK("http://www.ensembl.org/Mus_musculus/Gene/Summary?db=core;g=ENSMUSG00000027942","ENSMUSG00000027942")</f>
        <v>ENSMUSG00000027942</v>
      </c>
      <c r="I3162" s="7" t="str">
        <f>HYPERLINK("http://www.informatics.jax.org/marker/MGI:1914027","MGI:1914027")</f>
        <v>MGI:1914027</v>
      </c>
      <c r="J3162" s="4" t="s">
        <v>12</v>
      </c>
    </row>
    <row r="3163" spans="1:10" x14ac:dyDescent="0.25">
      <c r="A3163" s="2">
        <v>105.805033966338</v>
      </c>
      <c r="B3163" s="3">
        <v>0.33869208302701698</v>
      </c>
      <c r="C3163" s="3">
        <v>3.2177663812412798E-3</v>
      </c>
      <c r="D3163" s="4">
        <v>8.77774976318689E-3</v>
      </c>
      <c r="E3163" s="3" t="s">
        <v>14461</v>
      </c>
      <c r="F3163" s="3" t="s">
        <v>14462</v>
      </c>
      <c r="G3163" s="3" t="s">
        <v>83</v>
      </c>
      <c r="H3163" s="7" t="str">
        <f>HYPERLINK("http://www.ensembl.org/Mus_musculus/Gene/Summary?db=core;g=ENSMUSG00000106943","ENSMUSG00000106943")</f>
        <v>ENSMUSG00000106943</v>
      </c>
      <c r="I3163" s="7" t="str">
        <f>HYPERLINK("http://www.informatics.jax.org/marker/MGI:1917286","MGI:1917286")</f>
        <v>MGI:1917286</v>
      </c>
      <c r="J3163" s="4" t="s">
        <v>331</v>
      </c>
    </row>
    <row r="3164" spans="1:10" x14ac:dyDescent="0.25">
      <c r="A3164" s="2">
        <v>485.973234780327</v>
      </c>
      <c r="B3164" s="3">
        <v>0.33867720546993102</v>
      </c>
      <c r="C3164" s="3">
        <v>1.8089145434933901E-3</v>
      </c>
      <c r="D3164" s="4">
        <v>5.1398359023933603E-3</v>
      </c>
      <c r="E3164" s="3" t="s">
        <v>13887</v>
      </c>
      <c r="F3164" s="3" t="s">
        <v>13888</v>
      </c>
      <c r="G3164" s="3">
        <v>263803</v>
      </c>
      <c r="H3164" s="7" t="str">
        <f>HYPERLINK("http://www.ensembl.org/Mus_musculus/Gene/Summary?db=core;g=ENSMUSG00000026785","ENSMUSG00000026785")</f>
        <v>ENSMUSG00000026785</v>
      </c>
      <c r="I3164" s="7" t="str">
        <f>HYPERLINK("http://www.informatics.jax.org/marker/MGI:2388285","MGI:2388285")</f>
        <v>MGI:2388285</v>
      </c>
      <c r="J3164" s="4" t="s">
        <v>12</v>
      </c>
    </row>
    <row r="3165" spans="1:10" x14ac:dyDescent="0.25">
      <c r="A3165" s="2">
        <v>2452.81405915408</v>
      </c>
      <c r="B3165" s="3">
        <v>0.338504282933767</v>
      </c>
      <c r="C3165" s="5">
        <v>9.7374241633341607E-12</v>
      </c>
      <c r="D3165" s="6">
        <v>6.0882055960985999E-11</v>
      </c>
      <c r="E3165" s="3" t="s">
        <v>6325</v>
      </c>
      <c r="F3165" s="3" t="s">
        <v>6326</v>
      </c>
      <c r="G3165" s="3">
        <v>13000</v>
      </c>
      <c r="H3165" s="7" t="str">
        <f>HYPERLINK("http://www.ensembl.org/Mus_musculus/Gene/Summary?db=core;g=ENSMUSG00000046707","ENSMUSG00000046707")</f>
        <v>ENSMUSG00000046707</v>
      </c>
      <c r="I3165" s="7" t="str">
        <f>HYPERLINK("http://www.informatics.jax.org/marker/MGI:88547","MGI:88547")</f>
        <v>MGI:88547</v>
      </c>
      <c r="J3165" s="4" t="s">
        <v>12</v>
      </c>
    </row>
    <row r="3166" spans="1:10" x14ac:dyDescent="0.25">
      <c r="A3166" s="2">
        <v>953.96494190177202</v>
      </c>
      <c r="B3166" s="3">
        <v>0.338323412757361</v>
      </c>
      <c r="C3166" s="5">
        <v>8.9865204346429997E-9</v>
      </c>
      <c r="D3166" s="6">
        <v>4.4784984324275998E-8</v>
      </c>
      <c r="E3166" s="3" t="s">
        <v>7930</v>
      </c>
      <c r="F3166" s="3" t="s">
        <v>7931</v>
      </c>
      <c r="G3166" s="3">
        <v>209018</v>
      </c>
      <c r="H3166" s="7" t="str">
        <f>HYPERLINK("http://www.ensembl.org/Mus_musculus/Gene/Summary?db=core;g=ENSMUSG00000033653","ENSMUSG00000033653")</f>
        <v>ENSMUSG00000033653</v>
      </c>
      <c r="I3166" s="7" t="str">
        <f>HYPERLINK("http://www.informatics.jax.org/marker/MGI:2146407","MGI:2146407")</f>
        <v>MGI:2146407</v>
      </c>
      <c r="J3166" s="4" t="s">
        <v>12</v>
      </c>
    </row>
    <row r="3167" spans="1:10" x14ac:dyDescent="0.25">
      <c r="A3167" s="2">
        <v>1248.7571518960999</v>
      </c>
      <c r="B3167" s="3">
        <v>0.338127625728041</v>
      </c>
      <c r="C3167" s="3">
        <v>8.8651207890535003E-3</v>
      </c>
      <c r="D3167" s="4">
        <v>2.2284280683254901E-2</v>
      </c>
      <c r="E3167" s="3" t="s">
        <v>15695</v>
      </c>
      <c r="F3167" s="3" t="s">
        <v>15696</v>
      </c>
      <c r="G3167" s="3">
        <v>14068</v>
      </c>
      <c r="H3167" s="7" t="str">
        <f>HYPERLINK("http://www.ensembl.org/Mus_musculus/Gene/Summary?db=core;g=ENSMUSG00000031443","ENSMUSG00000031443")</f>
        <v>ENSMUSG00000031443</v>
      </c>
      <c r="I3167" s="7" t="str">
        <f>HYPERLINK("http://www.informatics.jax.org/marker/MGI:109325","MGI:109325")</f>
        <v>MGI:109325</v>
      </c>
      <c r="J3167" s="4" t="s">
        <v>12</v>
      </c>
    </row>
    <row r="3168" spans="1:10" x14ac:dyDescent="0.25">
      <c r="A3168" s="2">
        <v>1834.51186485721</v>
      </c>
      <c r="B3168" s="3">
        <v>0.33782534474224801</v>
      </c>
      <c r="C3168" s="5">
        <v>5.4078101985399697E-15</v>
      </c>
      <c r="D3168" s="6">
        <v>4.1543442584810399E-14</v>
      </c>
      <c r="E3168" s="3" t="s">
        <v>5151</v>
      </c>
      <c r="F3168" s="3" t="s">
        <v>5152</v>
      </c>
      <c r="G3168" s="3">
        <v>230673</v>
      </c>
      <c r="H3168" s="7" t="str">
        <f>HYPERLINK("http://www.ensembl.org/Mus_musculus/Gene/Summary?db=core;g=ENSMUSG00000033365","ENSMUSG00000033365")</f>
        <v>ENSMUSG00000033365</v>
      </c>
      <c r="I3168" s="7" t="str">
        <f>HYPERLINK("http://www.informatics.jax.org/marker/MGI:2385205","MGI:2385205")</f>
        <v>MGI:2385205</v>
      </c>
      <c r="J3168" s="4" t="s">
        <v>12</v>
      </c>
    </row>
    <row r="3169" spans="1:10" x14ac:dyDescent="0.25">
      <c r="A3169" s="2">
        <v>1575.52661930254</v>
      </c>
      <c r="B3169" s="3">
        <v>0.33781485238987002</v>
      </c>
      <c r="C3169" s="5">
        <v>2.5657860453778798E-9</v>
      </c>
      <c r="D3169" s="6">
        <v>1.33045755495272E-8</v>
      </c>
      <c r="E3169" s="3" t="s">
        <v>7624</v>
      </c>
      <c r="F3169" s="3" t="s">
        <v>7625</v>
      </c>
      <c r="G3169" s="3">
        <v>56501</v>
      </c>
      <c r="H3169" s="7" t="str">
        <f>HYPERLINK("http://www.ensembl.org/Mus_musculus/Gene/Summary?db=core;g=ENSMUSG00000031103","ENSMUSG00000031103")</f>
        <v>ENSMUSG00000031103</v>
      </c>
      <c r="I3169" s="7" t="str">
        <f>HYPERLINK("http://www.informatics.jax.org/marker/MGI:1928377","MGI:1928377")</f>
        <v>MGI:1928377</v>
      </c>
      <c r="J3169" s="4" t="s">
        <v>12</v>
      </c>
    </row>
    <row r="3170" spans="1:10" x14ac:dyDescent="0.25">
      <c r="A3170" s="2">
        <v>178.63516707353</v>
      </c>
      <c r="B3170" s="3">
        <v>0.33718490988726102</v>
      </c>
      <c r="C3170" s="3">
        <v>2.0557201485905499E-4</v>
      </c>
      <c r="D3170" s="4">
        <v>6.6686628278015401E-4</v>
      </c>
      <c r="E3170" s="3" t="s">
        <v>12169</v>
      </c>
      <c r="F3170" s="3" t="s">
        <v>12170</v>
      </c>
      <c r="G3170" s="3">
        <v>66449</v>
      </c>
      <c r="H3170" s="7" t="str">
        <f>HYPERLINK("http://www.ensembl.org/Mus_musculus/Gene/Summary?db=core;g=ENSMUSG00000014301","ENSMUSG00000014301")</f>
        <v>ENSMUSG00000014301</v>
      </c>
      <c r="I3170" s="7" t="str">
        <f>HYPERLINK("http://www.informatics.jax.org/marker/MGI:1913699","MGI:1913699")</f>
        <v>MGI:1913699</v>
      </c>
      <c r="J3170" s="4" t="s">
        <v>12</v>
      </c>
    </row>
    <row r="3171" spans="1:10" x14ac:dyDescent="0.25">
      <c r="A3171" s="2">
        <v>794.98534512966603</v>
      </c>
      <c r="B3171" s="3">
        <v>0.33711481032253898</v>
      </c>
      <c r="C3171" s="3">
        <v>4.2894202000588402E-4</v>
      </c>
      <c r="D3171" s="4">
        <v>1.33250419573346E-3</v>
      </c>
      <c r="E3171" s="3" t="s">
        <v>12709</v>
      </c>
      <c r="F3171" s="3" t="s">
        <v>12710</v>
      </c>
      <c r="G3171" s="3">
        <v>69008</v>
      </c>
      <c r="H3171" s="7" t="str">
        <f>HYPERLINK("http://www.ensembl.org/Mus_musculus/Gene/Summary?db=core;g=ENSMUSG00000021981","ENSMUSG00000021981")</f>
        <v>ENSMUSG00000021981</v>
      </c>
      <c r="I3171" s="7" t="str">
        <f>HYPERLINK("http://www.informatics.jax.org/marker/MGI:1914081","MGI:1914081")</f>
        <v>MGI:1914081</v>
      </c>
      <c r="J3171" s="4" t="s">
        <v>12</v>
      </c>
    </row>
    <row r="3172" spans="1:10" x14ac:dyDescent="0.25">
      <c r="A3172" s="2">
        <v>660.76224457196497</v>
      </c>
      <c r="B3172" s="3">
        <v>0.33702389356735601</v>
      </c>
      <c r="C3172" s="5">
        <v>1.2628924526461899E-6</v>
      </c>
      <c r="D3172" s="6">
        <v>5.1765203005992198E-6</v>
      </c>
      <c r="E3172" s="3" t="s">
        <v>9637</v>
      </c>
      <c r="F3172" s="3" t="s">
        <v>9638</v>
      </c>
      <c r="G3172" s="3">
        <v>68938</v>
      </c>
      <c r="H3172" s="7" t="str">
        <f>HYPERLINK("http://www.ensembl.org/Mus_musculus/Gene/Summary?db=core;g=ENSMUSG00000025142","ENSMUSG00000025142")</f>
        <v>ENSMUSG00000025142</v>
      </c>
      <c r="I3172" s="7" t="str">
        <f>HYPERLINK("http://www.informatics.jax.org/marker/MGI:1916188","MGI:1916188")</f>
        <v>MGI:1916188</v>
      </c>
      <c r="J3172" s="4" t="s">
        <v>12</v>
      </c>
    </row>
    <row r="3173" spans="1:10" x14ac:dyDescent="0.25">
      <c r="A3173" s="2">
        <v>7562.2982257329604</v>
      </c>
      <c r="B3173" s="3">
        <v>0.33689205986124898</v>
      </c>
      <c r="C3173" s="5">
        <v>2.3475986852831101E-28</v>
      </c>
      <c r="D3173" s="6">
        <v>3.2647846314374398E-27</v>
      </c>
      <c r="E3173" s="3" t="s">
        <v>2854</v>
      </c>
      <c r="F3173" s="3" t="s">
        <v>2855</v>
      </c>
      <c r="G3173" s="3">
        <v>12974</v>
      </c>
      <c r="H3173" s="7" t="str">
        <f>HYPERLINK("http://www.ensembl.org/Mus_musculus/Gene/Summary?db=core;g=ENSMUSG00000005683","ENSMUSG00000005683")</f>
        <v>ENSMUSG00000005683</v>
      </c>
      <c r="I3173" s="7" t="str">
        <f>HYPERLINK("http://www.informatics.jax.org/marker/MGI:88529","MGI:88529")</f>
        <v>MGI:88529</v>
      </c>
      <c r="J3173" s="4" t="s">
        <v>12</v>
      </c>
    </row>
    <row r="3174" spans="1:10" x14ac:dyDescent="0.25">
      <c r="A3174" s="2">
        <v>467.028642293296</v>
      </c>
      <c r="B3174" s="3">
        <v>0.33663246837472499</v>
      </c>
      <c r="C3174" s="3">
        <v>3.5267110188393698E-4</v>
      </c>
      <c r="D3174" s="4">
        <v>1.10813800655692E-3</v>
      </c>
      <c r="E3174" s="3" t="s">
        <v>12565</v>
      </c>
      <c r="F3174" s="3" t="s">
        <v>12566</v>
      </c>
      <c r="G3174" s="3">
        <v>30928</v>
      </c>
      <c r="H3174" s="7" t="str">
        <f>HYPERLINK("http://www.ensembl.org/Mus_musculus/Gene/Summary?db=core;g=ENSMUSG00000063659","ENSMUSG00000063659")</f>
        <v>ENSMUSG00000063659</v>
      </c>
      <c r="I3174" s="7" t="str">
        <f>HYPERLINK("http://www.informatics.jax.org/marker/MGI:1353609","MGI:1353609")</f>
        <v>MGI:1353609</v>
      </c>
      <c r="J3174" s="4" t="s">
        <v>12</v>
      </c>
    </row>
    <row r="3175" spans="1:10" x14ac:dyDescent="0.25">
      <c r="A3175" s="2">
        <v>4602.8382327912605</v>
      </c>
      <c r="B3175" s="3">
        <v>0.33653221515147003</v>
      </c>
      <c r="C3175" s="5">
        <v>2.5348789310626101E-5</v>
      </c>
      <c r="D3175" s="6">
        <v>9.1185356659165894E-5</v>
      </c>
      <c r="E3175" s="3" t="s">
        <v>10976</v>
      </c>
      <c r="F3175" s="3" t="s">
        <v>10977</v>
      </c>
      <c r="G3175" s="3">
        <v>53599</v>
      </c>
      <c r="H3175" s="7" t="str">
        <f>HYPERLINK("http://www.ensembl.org/Mus_musculus/Gene/Summary?db=core;g=ENSMUSG00000019818","ENSMUSG00000019818")</f>
        <v>ENSMUSG00000019818</v>
      </c>
      <c r="I3175" s="7" t="str">
        <f>HYPERLINK("http://www.informatics.jax.org/marker/MGI:1859568","MGI:1859568")</f>
        <v>MGI:1859568</v>
      </c>
      <c r="J3175" s="4" t="s">
        <v>12</v>
      </c>
    </row>
    <row r="3176" spans="1:10" x14ac:dyDescent="0.25">
      <c r="A3176" s="2">
        <v>240.40272776768501</v>
      </c>
      <c r="B3176" s="3">
        <v>0.336174008706979</v>
      </c>
      <c r="C3176" s="3">
        <v>1.6027285512009801E-4</v>
      </c>
      <c r="D3176" s="4">
        <v>5.2623721328144202E-4</v>
      </c>
      <c r="E3176" s="3" t="s">
        <v>12023</v>
      </c>
      <c r="F3176" s="3" t="s">
        <v>12024</v>
      </c>
      <c r="G3176" s="3">
        <v>28135</v>
      </c>
      <c r="H3176" s="7" t="str">
        <f>HYPERLINK("http://www.ensembl.org/Mus_musculus/Gene/Summary?db=core;g=ENSMUSG00000032534","ENSMUSG00000032534")</f>
        <v>ENSMUSG00000032534</v>
      </c>
      <c r="I3176" s="7" t="str">
        <f>HYPERLINK("http://www.informatics.jax.org/marker/MGI:2158560","MGI:2158560")</f>
        <v>MGI:2158560</v>
      </c>
      <c r="J3176" s="4" t="s">
        <v>12</v>
      </c>
    </row>
    <row r="3177" spans="1:10" x14ac:dyDescent="0.25">
      <c r="A3177" s="2">
        <v>911.08138524086201</v>
      </c>
      <c r="B3177" s="3">
        <v>0.33608197669678602</v>
      </c>
      <c r="C3177" s="5">
        <v>1.3123443163736101E-9</v>
      </c>
      <c r="D3177" s="6">
        <v>6.9755875792150001E-9</v>
      </c>
      <c r="E3177" s="3" t="s">
        <v>7438</v>
      </c>
      <c r="F3177" s="3" t="s">
        <v>7439</v>
      </c>
      <c r="G3177" s="3">
        <v>66646</v>
      </c>
      <c r="H3177" s="7" t="str">
        <f>HYPERLINK("http://www.ensembl.org/Mus_musculus/Gene/Summary?db=core;g=ENSMUSG00000026005","ENSMUSG00000026005")</f>
        <v>ENSMUSG00000026005</v>
      </c>
      <c r="I3177" s="7" t="str">
        <f>HYPERLINK("http://www.informatics.jax.org/marker/MGI:1913896","MGI:1913896")</f>
        <v>MGI:1913896</v>
      </c>
      <c r="J3177" s="4" t="s">
        <v>12</v>
      </c>
    </row>
    <row r="3178" spans="1:10" x14ac:dyDescent="0.25">
      <c r="A3178" s="2">
        <v>1347.36169967104</v>
      </c>
      <c r="B3178" s="3">
        <v>0.33580388319297599</v>
      </c>
      <c r="C3178" s="5">
        <v>1.3655646180344201E-7</v>
      </c>
      <c r="D3178" s="6">
        <v>6.11604230471015E-7</v>
      </c>
      <c r="E3178" s="3" t="s">
        <v>8823</v>
      </c>
      <c r="F3178" s="3" t="s">
        <v>8824</v>
      </c>
      <c r="G3178" s="3">
        <v>216150</v>
      </c>
      <c r="H3178" s="7" t="str">
        <f>HYPERLINK("http://www.ensembl.org/Mus_musculus/Gene/Summary?db=core;g=ENSMUSG00000020307","ENSMUSG00000020307")</f>
        <v>ENSMUSG00000020307</v>
      </c>
      <c r="I3178" s="7" t="str">
        <f>HYPERLINK("http://www.informatics.jax.org/marker/MGI:102657","MGI:102657")</f>
        <v>MGI:102657</v>
      </c>
      <c r="J3178" s="4" t="s">
        <v>12</v>
      </c>
    </row>
    <row r="3179" spans="1:10" x14ac:dyDescent="0.25">
      <c r="A3179" s="2">
        <v>820.18223546609897</v>
      </c>
      <c r="B3179" s="3">
        <v>0.33543681691147997</v>
      </c>
      <c r="C3179" s="5">
        <v>6.8296357757683402E-11</v>
      </c>
      <c r="D3179" s="6">
        <v>4.0105631745435498E-10</v>
      </c>
      <c r="E3179" s="3" t="s">
        <v>6734</v>
      </c>
      <c r="F3179" s="3" t="s">
        <v>6735</v>
      </c>
      <c r="G3179" s="3">
        <v>20021</v>
      </c>
      <c r="H3179" s="7" t="str">
        <f>HYPERLINK("http://www.ensembl.org/Mus_musculus/Gene/Summary?db=core;g=ENSMUSG00000031783","ENSMUSG00000031783")</f>
        <v>ENSMUSG00000031783</v>
      </c>
      <c r="I3179" s="7" t="str">
        <f>HYPERLINK("http://www.informatics.jax.org/marker/MGI:109299","MGI:109299")</f>
        <v>MGI:109299</v>
      </c>
      <c r="J3179" s="4" t="s">
        <v>12</v>
      </c>
    </row>
    <row r="3180" spans="1:10" x14ac:dyDescent="0.25">
      <c r="A3180" s="2">
        <v>597.790056984834</v>
      </c>
      <c r="B3180" s="3">
        <v>0.33501466204022701</v>
      </c>
      <c r="C3180" s="5">
        <v>2.3649070876192598E-6</v>
      </c>
      <c r="D3180" s="6">
        <v>9.4385686638032296E-6</v>
      </c>
      <c r="E3180" s="3" t="s">
        <v>9897</v>
      </c>
      <c r="F3180" s="3" t="s">
        <v>9898</v>
      </c>
      <c r="G3180" s="3">
        <v>72843</v>
      </c>
      <c r="H3180" s="7" t="str">
        <f>HYPERLINK("http://www.ensembl.org/Mus_musculus/Gene/Summary?db=core;g=ENSMUSG00000035529","ENSMUSG00000035529")</f>
        <v>ENSMUSG00000035529</v>
      </c>
      <c r="I3180" s="7" t="str">
        <f>HYPERLINK("http://www.informatics.jax.org/marker/MGI:1920093","MGI:1920093")</f>
        <v>MGI:1920093</v>
      </c>
      <c r="J3180" s="4" t="s">
        <v>12</v>
      </c>
    </row>
    <row r="3181" spans="1:10" x14ac:dyDescent="0.25">
      <c r="A3181" s="2">
        <v>1184.55543789645</v>
      </c>
      <c r="B3181" s="3">
        <v>0.33500465523358303</v>
      </c>
      <c r="C3181" s="5">
        <v>4.7621545846433799E-9</v>
      </c>
      <c r="D3181" s="6">
        <v>2.4228505781519001E-8</v>
      </c>
      <c r="E3181" s="3" t="s">
        <v>7768</v>
      </c>
      <c r="F3181" s="3" t="s">
        <v>7769</v>
      </c>
      <c r="G3181" s="3">
        <v>55988</v>
      </c>
      <c r="H3181" s="7" t="str">
        <f>HYPERLINK("http://www.ensembl.org/Mus_musculus/Gene/Summary?db=core;g=ENSMUSG00000046032","ENSMUSG00000046032")</f>
        <v>ENSMUSG00000046032</v>
      </c>
      <c r="I3181" s="7" t="str">
        <f>HYPERLINK("http://www.informatics.jax.org/marker/MGI:1919331","MGI:1919331")</f>
        <v>MGI:1919331</v>
      </c>
      <c r="J3181" s="4" t="s">
        <v>12</v>
      </c>
    </row>
    <row r="3182" spans="1:10" x14ac:dyDescent="0.25">
      <c r="A3182" s="2">
        <v>231.96613553095801</v>
      </c>
      <c r="B3182" s="3">
        <v>0.33488178958034198</v>
      </c>
      <c r="C3182" s="3">
        <v>1.28053572759217E-2</v>
      </c>
      <c r="D3182" s="4">
        <v>3.1163969576845099E-2</v>
      </c>
      <c r="E3182" s="3" t="s">
        <v>16211</v>
      </c>
      <c r="F3182" s="3" t="s">
        <v>16212</v>
      </c>
      <c r="G3182" s="3">
        <v>12043</v>
      </c>
      <c r="H3182" s="7" t="str">
        <f>HYPERLINK("http://www.ensembl.org/Mus_musculus/Gene/Summary?db=core;g=ENSMUSG00000057329","ENSMUSG00000057329")</f>
        <v>ENSMUSG00000057329</v>
      </c>
      <c r="I3182" s="7" t="str">
        <f>HYPERLINK("http://www.informatics.jax.org/marker/MGI:88138","MGI:88138")</f>
        <v>MGI:88138</v>
      </c>
      <c r="J3182" s="4" t="s">
        <v>12</v>
      </c>
    </row>
    <row r="3183" spans="1:10" x14ac:dyDescent="0.25">
      <c r="A3183" s="2">
        <v>162.72862662262901</v>
      </c>
      <c r="B3183" s="3">
        <v>0.33483590304000999</v>
      </c>
      <c r="C3183" s="3">
        <v>5.8378061326105303E-3</v>
      </c>
      <c r="D3183" s="4">
        <v>1.5221676178114501E-2</v>
      </c>
      <c r="E3183" s="3" t="s">
        <v>15130</v>
      </c>
      <c r="F3183" s="3" t="s">
        <v>15131</v>
      </c>
      <c r="G3183" s="3" t="s">
        <v>83</v>
      </c>
      <c r="H3183" s="7" t="str">
        <f>HYPERLINK("http://www.ensembl.org/Mus_musculus/Gene/Summary?db=core;g=ENSMUSG00000116673","ENSMUSG00000116673")</f>
        <v>ENSMUSG00000116673</v>
      </c>
      <c r="I3183" s="7" t="str">
        <f>HYPERLINK("http://www.informatics.jax.org/marker/MGI:2444323","MGI:2444323")</f>
        <v>MGI:2444323</v>
      </c>
      <c r="J3183" s="4" t="s">
        <v>12</v>
      </c>
    </row>
    <row r="3184" spans="1:10" x14ac:dyDescent="0.25">
      <c r="A3184" s="2">
        <v>7497.8869628928096</v>
      </c>
      <c r="B3184" s="3">
        <v>0.334774695559166</v>
      </c>
      <c r="C3184" s="5">
        <v>2.1979390569600998E-27</v>
      </c>
      <c r="D3184" s="6">
        <v>2.9325682140225499E-26</v>
      </c>
      <c r="E3184" s="3" t="s">
        <v>2974</v>
      </c>
      <c r="F3184" s="3" t="s">
        <v>2975</v>
      </c>
      <c r="G3184" s="3">
        <v>21454</v>
      </c>
      <c r="H3184" s="7" t="str">
        <f>HYPERLINK("http://www.ensembl.org/Mus_musculus/Gene/Summary?db=core;g=ENSMUSG00000068039","ENSMUSG00000068039")</f>
        <v>ENSMUSG00000068039</v>
      </c>
      <c r="I3184" s="7" t="str">
        <f>HYPERLINK("http://www.informatics.jax.org/marker/MGI:98535","MGI:98535")</f>
        <v>MGI:98535</v>
      </c>
      <c r="J3184" s="4" t="s">
        <v>12</v>
      </c>
    </row>
    <row r="3185" spans="1:10" x14ac:dyDescent="0.25">
      <c r="A3185" s="2">
        <v>1543.4906308979901</v>
      </c>
      <c r="B3185" s="3">
        <v>0.33462048871911299</v>
      </c>
      <c r="C3185" s="5">
        <v>1.87135267534935E-8</v>
      </c>
      <c r="D3185" s="6">
        <v>9.0493071990900204E-8</v>
      </c>
      <c r="E3185" s="3" t="s">
        <v>8173</v>
      </c>
      <c r="F3185" s="3" t="s">
        <v>8174</v>
      </c>
      <c r="G3185" s="3">
        <v>23802</v>
      </c>
      <c r="H3185" s="7" t="str">
        <f>HYPERLINK("http://www.ensembl.org/Mus_musculus/Gene/Summary?db=core;g=ENSMUSG00000031751","ENSMUSG00000031751")</f>
        <v>ENSMUSG00000031751</v>
      </c>
      <c r="I3185" s="7" t="str">
        <f>HYPERLINK("http://www.informatics.jax.org/marker/MGI:1345634","MGI:1345634")</f>
        <v>MGI:1345634</v>
      </c>
      <c r="J3185" s="4" t="s">
        <v>12</v>
      </c>
    </row>
    <row r="3186" spans="1:10" x14ac:dyDescent="0.25">
      <c r="A3186" s="2">
        <v>130.22570545292299</v>
      </c>
      <c r="B3186" s="3">
        <v>0.33450779376105599</v>
      </c>
      <c r="C3186" s="3">
        <v>1.3210235649577799E-3</v>
      </c>
      <c r="D3186" s="4">
        <v>3.8287161524055498E-3</v>
      </c>
      <c r="E3186" s="3" t="s">
        <v>13617</v>
      </c>
      <c r="F3186" s="3" t="s">
        <v>13618</v>
      </c>
      <c r="G3186" s="3" t="s">
        <v>83</v>
      </c>
      <c r="H3186" s="7" t="str">
        <f>HYPERLINK("http://www.ensembl.org/Mus_musculus/Gene/Summary?db=core;g=ENSMUSG00000079297","ENSMUSG00000079297")</f>
        <v>ENSMUSG00000079297</v>
      </c>
      <c r="I3186" s="7" t="str">
        <f>HYPERLINK("http://www.informatics.jax.org/marker/MGI:3780393","MGI:3780393")</f>
        <v>MGI:3780393</v>
      </c>
      <c r="J3186" s="4" t="s">
        <v>1043</v>
      </c>
    </row>
    <row r="3187" spans="1:10" x14ac:dyDescent="0.25">
      <c r="A3187" s="2">
        <v>532.69872941681501</v>
      </c>
      <c r="B3187" s="3">
        <v>0.33426118375193598</v>
      </c>
      <c r="C3187" s="5">
        <v>4.7705656639994296E-6</v>
      </c>
      <c r="D3187" s="6">
        <v>1.8446187234131098E-5</v>
      </c>
      <c r="E3187" s="3" t="s">
        <v>10214</v>
      </c>
      <c r="F3187" s="3" t="s">
        <v>10215</v>
      </c>
      <c r="G3187" s="3">
        <v>237859</v>
      </c>
      <c r="H3187" s="7" t="str">
        <f>HYPERLINK("http://www.ensembl.org/Mus_musculus/Gene/Summary?db=core;g=ENSMUSG00000037958","ENSMUSG00000037958")</f>
        <v>ENSMUSG00000037958</v>
      </c>
      <c r="I3187" s="7" t="str">
        <f>HYPERLINK("http://www.informatics.jax.org/marker/MGI:2144305","MGI:2144305")</f>
        <v>MGI:2144305</v>
      </c>
      <c r="J3187" s="4" t="s">
        <v>12</v>
      </c>
    </row>
    <row r="3188" spans="1:10" x14ac:dyDescent="0.25">
      <c r="A3188" s="2">
        <v>3647.99077602335</v>
      </c>
      <c r="B3188" s="3">
        <v>0.334217461472128</v>
      </c>
      <c r="C3188" s="5">
        <v>6.3170576651232396E-19</v>
      </c>
      <c r="D3188" s="6">
        <v>5.9861786235574403E-18</v>
      </c>
      <c r="E3188" s="3" t="s">
        <v>4179</v>
      </c>
      <c r="F3188" s="3" t="s">
        <v>4180</v>
      </c>
      <c r="G3188" s="3">
        <v>213827</v>
      </c>
      <c r="H3188" s="7" t="str">
        <f>HYPERLINK("http://www.ensembl.org/Mus_musculus/Gene/Summary?db=core;g=ENSMUSG00000032096","ENSMUSG00000032096")</f>
        <v>ENSMUSG00000032096</v>
      </c>
      <c r="I3188" s="7" t="str">
        <f>HYPERLINK("http://www.informatics.jax.org/marker/MGI:2387591","MGI:2387591")</f>
        <v>MGI:2387591</v>
      </c>
      <c r="J3188" s="4" t="s">
        <v>12</v>
      </c>
    </row>
    <row r="3189" spans="1:10" x14ac:dyDescent="0.25">
      <c r="A3189" s="2">
        <v>865.94368213377402</v>
      </c>
      <c r="B3189" s="3">
        <v>0.334211120488701</v>
      </c>
      <c r="C3189" s="5">
        <v>9.587509530091561E-7</v>
      </c>
      <c r="D3189" s="6">
        <v>3.9722271052021099E-6</v>
      </c>
      <c r="E3189" s="3" t="s">
        <v>9535</v>
      </c>
      <c r="F3189" s="3" t="s">
        <v>9536</v>
      </c>
      <c r="G3189" s="3">
        <v>21399</v>
      </c>
      <c r="H3189" s="7" t="str">
        <f>HYPERLINK("http://www.ensembl.org/Mus_musculus/Gene/Summary?db=core;g=ENSMUSG00000033813","ENSMUSG00000033813")</f>
        <v>ENSMUSG00000033813</v>
      </c>
      <c r="I3189" s="7" t="str">
        <f>HYPERLINK("http://www.informatics.jax.org/marker/MGI:1196624","MGI:1196624")</f>
        <v>MGI:1196624</v>
      </c>
      <c r="J3189" s="4" t="s">
        <v>12</v>
      </c>
    </row>
    <row r="3190" spans="1:10" x14ac:dyDescent="0.25">
      <c r="A3190" s="2">
        <v>3492.1834976823902</v>
      </c>
      <c r="B3190" s="3">
        <v>0.33410652712111999</v>
      </c>
      <c r="C3190" s="5">
        <v>4.4928310785219199E-12</v>
      </c>
      <c r="D3190" s="6">
        <v>2.8916001588920401E-11</v>
      </c>
      <c r="E3190" s="3" t="s">
        <v>6145</v>
      </c>
      <c r="F3190" s="3" t="s">
        <v>6146</v>
      </c>
      <c r="G3190" s="3">
        <v>69227</v>
      </c>
      <c r="H3190" s="7" t="str">
        <f>HYPERLINK("http://www.ensembl.org/Mus_musculus/Gene/Summary?db=core;g=ENSMUSG00000075700","ENSMUSG00000075700")</f>
        <v>ENSMUSG00000075700</v>
      </c>
      <c r="I3190" s="7" t="str">
        <f>HYPERLINK("http://www.informatics.jax.org/marker/MGI:1916477","MGI:1916477")</f>
        <v>MGI:1916477</v>
      </c>
      <c r="J3190" s="4" t="s">
        <v>12</v>
      </c>
    </row>
    <row r="3191" spans="1:10" x14ac:dyDescent="0.25">
      <c r="A3191" s="2">
        <v>2040.4614803418899</v>
      </c>
      <c r="B3191" s="3">
        <v>0.334038962614704</v>
      </c>
      <c r="C3191" s="5">
        <v>9.8832131709082904E-11</v>
      </c>
      <c r="D3191" s="6">
        <v>5.7423972813880796E-10</v>
      </c>
      <c r="E3191" s="3" t="s">
        <v>6806</v>
      </c>
      <c r="F3191" s="3" t="s">
        <v>6807</v>
      </c>
      <c r="G3191" s="3">
        <v>99480</v>
      </c>
      <c r="H3191" s="7" t="str">
        <f>HYPERLINK("http://www.ensembl.org/Mus_musculus/Gene/Summary?db=core;g=ENSMUSG00000039756","ENSMUSG00000039756")</f>
        <v>ENSMUSG00000039756</v>
      </c>
      <c r="I3191" s="7" t="str">
        <f>HYPERLINK("http://www.informatics.jax.org/marker/MGI:1923173","MGI:1923173")</f>
        <v>MGI:1923173</v>
      </c>
      <c r="J3191" s="4" t="s">
        <v>12</v>
      </c>
    </row>
    <row r="3192" spans="1:10" x14ac:dyDescent="0.25">
      <c r="A3192" s="2">
        <v>923.39162790325997</v>
      </c>
      <c r="B3192" s="3">
        <v>0.333746360774067</v>
      </c>
      <c r="C3192" s="5">
        <v>6.3164993091949196E-8</v>
      </c>
      <c r="D3192" s="6">
        <v>2.9103122985356002E-7</v>
      </c>
      <c r="E3192" s="3" t="s">
        <v>8577</v>
      </c>
      <c r="F3192" s="3" t="s">
        <v>8578</v>
      </c>
      <c r="G3192" s="3">
        <v>30934</v>
      </c>
      <c r="H3192" s="7" t="str">
        <f>HYPERLINK("http://www.ensembl.org/Mus_musculus/Gene/Summary?db=core;g=ENSMUSG00000026848","ENSMUSG00000026848")</f>
        <v>ENSMUSG00000026848</v>
      </c>
      <c r="I3192" s="7" t="str">
        <f>HYPERLINK("http://www.informatics.jax.org/marker/MGI:1353605","MGI:1353605")</f>
        <v>MGI:1353605</v>
      </c>
      <c r="J3192" s="4" t="s">
        <v>12</v>
      </c>
    </row>
    <row r="3193" spans="1:10" x14ac:dyDescent="0.25">
      <c r="A3193" s="2">
        <v>738.47312017699005</v>
      </c>
      <c r="B3193" s="3">
        <v>0.33344383650126602</v>
      </c>
      <c r="C3193" s="5">
        <v>3.0551163048195601E-9</v>
      </c>
      <c r="D3193" s="6">
        <v>1.5767310528930099E-8</v>
      </c>
      <c r="E3193" s="3" t="s">
        <v>7658</v>
      </c>
      <c r="F3193" s="3" t="s">
        <v>7659</v>
      </c>
      <c r="G3193" s="3">
        <v>225339</v>
      </c>
      <c r="H3193" s="7" t="str">
        <f>HYPERLINK("http://www.ensembl.org/Mus_musculus/Gene/Summary?db=core;g=ENSMUSG00000041915","ENSMUSG00000041915")</f>
        <v>ENSMUSG00000041915</v>
      </c>
      <c r="I3193" s="7" t="str">
        <f>HYPERLINK("http://www.informatics.jax.org/marker/MGI:2442711","MGI:2442711")</f>
        <v>MGI:2442711</v>
      </c>
      <c r="J3193" s="4" t="s">
        <v>12</v>
      </c>
    </row>
    <row r="3194" spans="1:10" x14ac:dyDescent="0.25">
      <c r="A3194" s="2">
        <v>1250.59424810014</v>
      </c>
      <c r="B3194" s="3">
        <v>0.33330838880750402</v>
      </c>
      <c r="C3194" s="5">
        <v>1.6253159453249698E-5</v>
      </c>
      <c r="D3194" s="6">
        <v>5.9641292225173801E-5</v>
      </c>
      <c r="E3194" s="3" t="s">
        <v>10760</v>
      </c>
      <c r="F3194" s="3" t="s">
        <v>10761</v>
      </c>
      <c r="G3194" s="3">
        <v>207932</v>
      </c>
      <c r="H3194" s="7" t="str">
        <f>HYPERLINK("http://www.ensembl.org/Mus_musculus/Gene/Summary?db=core;g=ENSMUSG00000039929","ENSMUSG00000039929")</f>
        <v>ENSMUSG00000039929</v>
      </c>
      <c r="I3194" s="7" t="str">
        <f>HYPERLINK("http://www.informatics.jax.org/marker/MGI:2146468","MGI:2146468")</f>
        <v>MGI:2146468</v>
      </c>
      <c r="J3194" s="4" t="s">
        <v>12</v>
      </c>
    </row>
    <row r="3195" spans="1:10" x14ac:dyDescent="0.25">
      <c r="A3195" s="2">
        <v>178.317605548903</v>
      </c>
      <c r="B3195" s="3">
        <v>0.33328752756667301</v>
      </c>
      <c r="C3195" s="3">
        <v>2.87366650338752E-3</v>
      </c>
      <c r="D3195" s="4">
        <v>7.9068931835917303E-3</v>
      </c>
      <c r="E3195" s="3" t="s">
        <v>14339</v>
      </c>
      <c r="F3195" s="3" t="s">
        <v>14340</v>
      </c>
      <c r="G3195" s="3">
        <v>75796</v>
      </c>
      <c r="H3195" s="7" t="str">
        <f>HYPERLINK("http://www.ensembl.org/Mus_musculus/Gene/Summary?db=core;g=ENSMUSG00000031758","ENSMUSG00000031758")</f>
        <v>ENSMUSG00000031758</v>
      </c>
      <c r="I3195" s="7" t="str">
        <f>HYPERLINK("http://www.informatics.jax.org/marker/MGI:1923046","MGI:1923046")</f>
        <v>MGI:1923046</v>
      </c>
      <c r="J3195" s="4" t="s">
        <v>12</v>
      </c>
    </row>
    <row r="3196" spans="1:10" x14ac:dyDescent="0.25">
      <c r="A3196" s="2">
        <v>1117.79203834501</v>
      </c>
      <c r="B3196" s="3">
        <v>0.33308672487986901</v>
      </c>
      <c r="C3196" s="5">
        <v>5.41168672218213E-5</v>
      </c>
      <c r="D3196" s="4">
        <v>1.8798390375450401E-4</v>
      </c>
      <c r="E3196" s="3" t="s">
        <v>11365</v>
      </c>
      <c r="F3196" s="3" t="s">
        <v>11366</v>
      </c>
      <c r="G3196" s="3">
        <v>26446</v>
      </c>
      <c r="H3196" s="7" t="str">
        <f>HYPERLINK("http://www.ensembl.org/Mus_musculus/Gene/Summary?db=core;g=ENSMUSG00000069744","ENSMUSG00000069744")</f>
        <v>ENSMUSG00000069744</v>
      </c>
      <c r="I3196" s="7" t="str">
        <f>HYPERLINK("http://www.informatics.jax.org/marker/MGI:1347014","MGI:1347014")</f>
        <v>MGI:1347014</v>
      </c>
      <c r="J3196" s="4" t="s">
        <v>12</v>
      </c>
    </row>
    <row r="3197" spans="1:10" x14ac:dyDescent="0.25">
      <c r="A3197" s="2">
        <v>678.32083677491403</v>
      </c>
      <c r="B3197" s="3">
        <v>0.33293173697130202</v>
      </c>
      <c r="C3197" s="5">
        <v>3.2112828725896597E-7</v>
      </c>
      <c r="D3197" s="6">
        <v>1.39793594365272E-6</v>
      </c>
      <c r="E3197" s="3" t="s">
        <v>9075</v>
      </c>
      <c r="F3197" s="3" t="s">
        <v>9076</v>
      </c>
      <c r="G3197" s="3">
        <v>22327</v>
      </c>
      <c r="H3197" s="7" t="str">
        <f>HYPERLINK("http://www.ensembl.org/Mus_musculus/Gene/Summary?db=core;g=ENSMUSG00000031197","ENSMUSG00000031197")</f>
        <v>ENSMUSG00000031197</v>
      </c>
      <c r="I3197" s="7" t="str">
        <f>HYPERLINK("http://www.informatics.jax.org/marker/MGI:1333804","MGI:1333804")</f>
        <v>MGI:1333804</v>
      </c>
      <c r="J3197" s="4" t="s">
        <v>12</v>
      </c>
    </row>
    <row r="3198" spans="1:10" x14ac:dyDescent="0.25">
      <c r="A3198" s="2">
        <v>3859.1536577304801</v>
      </c>
      <c r="B3198" s="3">
        <v>0.332343557151274</v>
      </c>
      <c r="C3198" s="5">
        <v>5.74364737638123E-13</v>
      </c>
      <c r="D3198" s="6">
        <v>3.9029884997325198E-12</v>
      </c>
      <c r="E3198" s="3" t="s">
        <v>5821</v>
      </c>
      <c r="F3198" s="3" t="s">
        <v>5822</v>
      </c>
      <c r="G3198" s="3">
        <v>30960</v>
      </c>
      <c r="H3198" s="7" t="str">
        <f>HYPERLINK("http://www.ensembl.org/Mus_musculus/Gene/Summary?db=core;g=ENSMUSG00000024091","ENSMUSG00000024091")</f>
        <v>ENSMUSG00000024091</v>
      </c>
      <c r="I3198" s="7" t="str">
        <f>HYPERLINK("http://www.informatics.jax.org/marker/MGI:1353561","MGI:1353561")</f>
        <v>MGI:1353561</v>
      </c>
      <c r="J3198" s="4" t="s">
        <v>12</v>
      </c>
    </row>
    <row r="3199" spans="1:10" x14ac:dyDescent="0.25">
      <c r="A3199" s="2">
        <v>600.49358984659295</v>
      </c>
      <c r="B3199" s="3">
        <v>0.33224318962490901</v>
      </c>
      <c r="C3199" s="5">
        <v>7.6867633102668403E-7</v>
      </c>
      <c r="D3199" s="6">
        <v>3.2162735514207902E-6</v>
      </c>
      <c r="E3199" s="3" t="s">
        <v>9441</v>
      </c>
      <c r="F3199" s="3" t="s">
        <v>9442</v>
      </c>
      <c r="G3199" s="3">
        <v>22184</v>
      </c>
      <c r="H3199" s="7" t="str">
        <f>HYPERLINK("http://www.ensembl.org/Mus_musculus/Gene/Summary?db=core;g=ENSMUSG00000031370","ENSMUSG00000031370")</f>
        <v>ENSMUSG00000031370</v>
      </c>
      <c r="I3199" s="7" t="str">
        <f>HYPERLINK("http://www.informatics.jax.org/marker/MGI:103287","MGI:103287")</f>
        <v>MGI:103287</v>
      </c>
      <c r="J3199" s="4" t="s">
        <v>12</v>
      </c>
    </row>
    <row r="3200" spans="1:10" x14ac:dyDescent="0.25">
      <c r="A3200" s="2">
        <v>7303.3808035584998</v>
      </c>
      <c r="B3200" s="3">
        <v>0.33220910364646</v>
      </c>
      <c r="C3200" s="5">
        <v>1.2529622160875399E-10</v>
      </c>
      <c r="D3200" s="6">
        <v>7.2331425354936197E-10</v>
      </c>
      <c r="E3200" s="3" t="s">
        <v>6850</v>
      </c>
      <c r="F3200" s="3" t="s">
        <v>6851</v>
      </c>
      <c r="G3200" s="3">
        <v>20810</v>
      </c>
      <c r="H3200" s="7" t="str">
        <f>HYPERLINK("http://www.ensembl.org/Mus_musculus/Gene/Summary?db=core;g=ENSMUSG00000006442","ENSMUSG00000006442")</f>
        <v>ENSMUSG00000006442</v>
      </c>
      <c r="I3200" s="7" t="str">
        <f>HYPERLINK("http://www.informatics.jax.org/marker/MGI:102690","MGI:102690")</f>
        <v>MGI:102690</v>
      </c>
      <c r="J3200" s="4" t="s">
        <v>12</v>
      </c>
    </row>
    <row r="3201" spans="1:10" x14ac:dyDescent="0.25">
      <c r="A3201" s="2">
        <v>490.68268041465802</v>
      </c>
      <c r="B3201" s="3">
        <v>0.33214335790435401</v>
      </c>
      <c r="C3201" s="5">
        <v>2.09393977504228E-6</v>
      </c>
      <c r="D3201" s="6">
        <v>8.3996119535870104E-6</v>
      </c>
      <c r="E3201" s="3" t="s">
        <v>9847</v>
      </c>
      <c r="F3201" s="3" t="s">
        <v>9848</v>
      </c>
      <c r="G3201" s="3">
        <v>17714</v>
      </c>
      <c r="H3201" s="7" t="str">
        <f>HYPERLINK("http://www.ensembl.org/Mus_musculus/Gene/Summary?db=core;g=ENSMUSG00000024580","ENSMUSG00000024580")</f>
        <v>ENSMUSG00000024580</v>
      </c>
      <c r="I3201" s="7" t="str">
        <f>HYPERLINK("http://www.informatics.jax.org/marker/MGI:1334416","MGI:1334416")</f>
        <v>MGI:1334416</v>
      </c>
      <c r="J3201" s="4" t="s">
        <v>12</v>
      </c>
    </row>
    <row r="3202" spans="1:10" x14ac:dyDescent="0.25">
      <c r="A3202" s="2">
        <v>593.09760721283806</v>
      </c>
      <c r="B3202" s="3">
        <v>0.33202481979165399</v>
      </c>
      <c r="C3202" s="3">
        <v>1.2687346880795399E-4</v>
      </c>
      <c r="D3202" s="4">
        <v>4.2241301667731801E-4</v>
      </c>
      <c r="E3202" s="3" t="s">
        <v>11855</v>
      </c>
      <c r="F3202" s="3" t="s">
        <v>11856</v>
      </c>
      <c r="G3202" s="3">
        <v>381201</v>
      </c>
      <c r="H3202" s="7" t="str">
        <f>HYPERLINK("http://www.ensembl.org/Mus_musculus/Gene/Summary?db=core;g=ENSMUSG00000049562","ENSMUSG00000049562")</f>
        <v>ENSMUSG00000049562</v>
      </c>
      <c r="I3202" s="7" t="str">
        <f>HYPERLINK("http://www.informatics.jax.org/marker/MGI:2685808","MGI:2685808")</f>
        <v>MGI:2685808</v>
      </c>
      <c r="J3202" s="4" t="s">
        <v>12</v>
      </c>
    </row>
    <row r="3203" spans="1:10" x14ac:dyDescent="0.25">
      <c r="A3203" s="2">
        <v>414.47456837016102</v>
      </c>
      <c r="B3203" s="3">
        <v>0.33151906050177599</v>
      </c>
      <c r="C3203" s="3">
        <v>2.11580308716617E-4</v>
      </c>
      <c r="D3203" s="4">
        <v>6.84892266561342E-4</v>
      </c>
      <c r="E3203" s="3" t="s">
        <v>12195</v>
      </c>
      <c r="F3203" s="3" t="s">
        <v>12196</v>
      </c>
      <c r="G3203" s="3">
        <v>81897</v>
      </c>
      <c r="H3203" s="7" t="str">
        <f>HYPERLINK("http://www.ensembl.org/Mus_musculus/Gene/Summary?db=core;g=ENSMUSG00000045322","ENSMUSG00000045322")</f>
        <v>ENSMUSG00000045322</v>
      </c>
      <c r="I3203" s="7" t="str">
        <f>HYPERLINK("http://www.informatics.jax.org/marker/MGI:1932389","MGI:1932389")</f>
        <v>MGI:1932389</v>
      </c>
      <c r="J3203" s="4" t="s">
        <v>12</v>
      </c>
    </row>
    <row r="3204" spans="1:10" x14ac:dyDescent="0.25">
      <c r="A3204" s="2">
        <v>383.87415433723402</v>
      </c>
      <c r="B3204" s="3">
        <v>0.33147439839416798</v>
      </c>
      <c r="C3204" s="3">
        <v>1.0663720798333399E-3</v>
      </c>
      <c r="D3204" s="4">
        <v>3.1306918883896701E-3</v>
      </c>
      <c r="E3204" s="3" t="s">
        <v>13443</v>
      </c>
      <c r="F3204" s="3" t="s">
        <v>13444</v>
      </c>
      <c r="G3204" s="3" t="s">
        <v>83</v>
      </c>
      <c r="H3204" s="7" t="str">
        <f>HYPERLINK("http://www.ensembl.org/Mus_musculus/Gene/Summary?db=core;g=ENSMUSG00000098234","ENSMUSG00000098234")</f>
        <v>ENSMUSG00000098234</v>
      </c>
      <c r="I3204" s="7" t="str">
        <f>HYPERLINK("http://www.informatics.jax.org/marker/MGI:1921074","MGI:1921074")</f>
        <v>MGI:1921074</v>
      </c>
      <c r="J3204" s="4" t="s">
        <v>939</v>
      </c>
    </row>
    <row r="3205" spans="1:10" x14ac:dyDescent="0.25">
      <c r="A3205" s="2">
        <v>743.635990063397</v>
      </c>
      <c r="B3205" s="3">
        <v>0.33121037653465402</v>
      </c>
      <c r="C3205" s="5">
        <v>1.24060773794959E-6</v>
      </c>
      <c r="D3205" s="6">
        <v>5.0862338029866597E-6</v>
      </c>
      <c r="E3205" s="3" t="s">
        <v>9635</v>
      </c>
      <c r="F3205" s="3" t="s">
        <v>9636</v>
      </c>
      <c r="G3205" s="3">
        <v>68953</v>
      </c>
      <c r="H3205" s="7" t="str">
        <f>HYPERLINK("http://www.ensembl.org/Mus_musculus/Gene/Summary?db=core;g=ENSMUSG00000033916","ENSMUSG00000033916")</f>
        <v>ENSMUSG00000033916</v>
      </c>
      <c r="I3205" s="7" t="str">
        <f>HYPERLINK("http://www.informatics.jax.org/marker/MGI:1916203","MGI:1916203")</f>
        <v>MGI:1916203</v>
      </c>
      <c r="J3205" s="4" t="s">
        <v>12</v>
      </c>
    </row>
    <row r="3206" spans="1:10" x14ac:dyDescent="0.25">
      <c r="A3206" s="2">
        <v>658.34742867253999</v>
      </c>
      <c r="B3206" s="3">
        <v>0.33108325977681502</v>
      </c>
      <c r="C3206" s="5">
        <v>7.5557813214960995E-9</v>
      </c>
      <c r="D3206" s="6">
        <v>3.7826861553669297E-8</v>
      </c>
      <c r="E3206" s="3" t="s">
        <v>7894</v>
      </c>
      <c r="F3206" s="3" t="s">
        <v>7895</v>
      </c>
      <c r="G3206" s="3">
        <v>72621</v>
      </c>
      <c r="H3206" s="7" t="str">
        <f>HYPERLINK("http://www.ensembl.org/Mus_musculus/Gene/Summary?db=core;g=ENSMUSG00000015668","ENSMUSG00000015668")</f>
        <v>ENSMUSG00000015668</v>
      </c>
      <c r="I3206" s="7" t="str">
        <f>HYPERLINK("http://www.informatics.jax.org/marker/MGI:1919871","MGI:1919871")</f>
        <v>MGI:1919871</v>
      </c>
      <c r="J3206" s="4" t="s">
        <v>12</v>
      </c>
    </row>
    <row r="3207" spans="1:10" x14ac:dyDescent="0.25">
      <c r="A3207" s="2">
        <v>3519.92216866219</v>
      </c>
      <c r="B3207" s="3">
        <v>0.330960201200791</v>
      </c>
      <c r="C3207" s="5">
        <v>2.20982022810572E-12</v>
      </c>
      <c r="D3207" s="6">
        <v>1.4535575349648E-11</v>
      </c>
      <c r="E3207" s="3" t="s">
        <v>6013</v>
      </c>
      <c r="F3207" s="3" t="s">
        <v>6014</v>
      </c>
      <c r="G3207" s="3">
        <v>216766</v>
      </c>
      <c r="H3207" s="7" t="str">
        <f>HYPERLINK("http://www.ensembl.org/Mus_musculus/Gene/Summary?db=core;g=ENSMUSG00000037275","ENSMUSG00000037275")</f>
        <v>ENSMUSG00000037275</v>
      </c>
      <c r="I3207" s="7" t="str">
        <f>HYPERLINK("http://www.informatics.jax.org/marker/MGI:2449311","MGI:2449311")</f>
        <v>MGI:2449311</v>
      </c>
      <c r="J3207" s="4" t="s">
        <v>12</v>
      </c>
    </row>
    <row r="3208" spans="1:10" x14ac:dyDescent="0.25">
      <c r="A3208" s="2">
        <v>1361.6553063261099</v>
      </c>
      <c r="B3208" s="3">
        <v>0.33095648725983501</v>
      </c>
      <c r="C3208" s="5">
        <v>1.09463115260264E-11</v>
      </c>
      <c r="D3208" s="6">
        <v>6.8159540035756194E-11</v>
      </c>
      <c r="E3208" s="3" t="s">
        <v>6351</v>
      </c>
      <c r="F3208" s="3" t="s">
        <v>6352</v>
      </c>
      <c r="G3208" s="3">
        <v>69654</v>
      </c>
      <c r="H3208" s="7" t="str">
        <f>HYPERLINK("http://www.ensembl.org/Mus_musculus/Gene/Summary?db=core;g=ENSMUSG00000025410","ENSMUSG00000025410")</f>
        <v>ENSMUSG00000025410</v>
      </c>
      <c r="I3208" s="7" t="str">
        <f>HYPERLINK("http://www.informatics.jax.org/marker/MGI:107733","MGI:107733")</f>
        <v>MGI:107733</v>
      </c>
      <c r="J3208" s="4" t="s">
        <v>12</v>
      </c>
    </row>
    <row r="3209" spans="1:10" x14ac:dyDescent="0.25">
      <c r="A3209" s="2">
        <v>1986.8468928387899</v>
      </c>
      <c r="B3209" s="3">
        <v>0.33088373615817801</v>
      </c>
      <c r="C3209" s="5">
        <v>1.6666658672497101E-10</v>
      </c>
      <c r="D3209" s="6">
        <v>9.5363467166391295E-10</v>
      </c>
      <c r="E3209" s="3" t="s">
        <v>6910</v>
      </c>
      <c r="F3209" s="3" t="s">
        <v>6911</v>
      </c>
      <c r="G3209" s="3">
        <v>19173</v>
      </c>
      <c r="H3209" s="7" t="str">
        <f>HYPERLINK("http://www.ensembl.org/Mus_musculus/Gene/Summary?db=core;g=ENSMUSG00000022193","ENSMUSG00000022193")</f>
        <v>ENSMUSG00000022193</v>
      </c>
      <c r="I3209" s="7" t="str">
        <f>HYPERLINK("http://www.informatics.jax.org/marker/MGI:1194513","MGI:1194513")</f>
        <v>MGI:1194513</v>
      </c>
      <c r="J3209" s="4" t="s">
        <v>12</v>
      </c>
    </row>
    <row r="3210" spans="1:10" x14ac:dyDescent="0.25">
      <c r="A3210" s="2">
        <v>231.766586711245</v>
      </c>
      <c r="B3210" s="3">
        <v>0.33071845251654203</v>
      </c>
      <c r="C3210" s="3">
        <v>2.87020845804969E-4</v>
      </c>
      <c r="D3210" s="4">
        <v>9.1188192029546995E-4</v>
      </c>
      <c r="E3210" s="3" t="s">
        <v>12427</v>
      </c>
      <c r="F3210" s="3" t="s">
        <v>12428</v>
      </c>
      <c r="G3210" s="3">
        <v>65020</v>
      </c>
      <c r="H3210" s="7" t="str">
        <f>HYPERLINK("http://www.ensembl.org/Mus_musculus/Gene/Summary?db=core;g=ENSMUSG00000058638","ENSMUSG00000058638")</f>
        <v>ENSMUSG00000058638</v>
      </c>
      <c r="I3210" s="7" t="str">
        <f>HYPERLINK("http://www.informatics.jax.org/marker/MGI:1890378","MGI:1890378")</f>
        <v>MGI:1890378</v>
      </c>
      <c r="J3210" s="4" t="s">
        <v>12</v>
      </c>
    </row>
    <row r="3211" spans="1:10" x14ac:dyDescent="0.25">
      <c r="A3211" s="2">
        <v>10478.328519692201</v>
      </c>
      <c r="B3211" s="3">
        <v>0.33070141858318902</v>
      </c>
      <c r="C3211" s="5">
        <v>2.0325333608584599E-9</v>
      </c>
      <c r="D3211" s="6">
        <v>1.06288936293102E-8</v>
      </c>
      <c r="E3211" s="3" t="s">
        <v>7560</v>
      </c>
      <c r="F3211" s="3" t="s">
        <v>7561</v>
      </c>
      <c r="G3211" s="3">
        <v>13669</v>
      </c>
      <c r="H3211" s="7" t="str">
        <f>HYPERLINK("http://www.ensembl.org/Mus_musculus/Gene/Summary?db=core;g=ENSMUSG00000024991","ENSMUSG00000024991")</f>
        <v>ENSMUSG00000024991</v>
      </c>
      <c r="I3211" s="7" t="str">
        <f>HYPERLINK("http://www.informatics.jax.org/marker/MGI:95301","MGI:95301")</f>
        <v>MGI:95301</v>
      </c>
      <c r="J3211" s="4" t="s">
        <v>12</v>
      </c>
    </row>
    <row r="3212" spans="1:10" x14ac:dyDescent="0.25">
      <c r="A3212" s="2">
        <v>482.00496644083699</v>
      </c>
      <c r="B3212" s="3">
        <v>0.33069812697337198</v>
      </c>
      <c r="C3212" s="3">
        <v>2.5807028297446298E-4</v>
      </c>
      <c r="D3212" s="4">
        <v>8.2628876860867801E-4</v>
      </c>
      <c r="E3212" s="3" t="s">
        <v>12329</v>
      </c>
      <c r="F3212" s="3" t="s">
        <v>12330</v>
      </c>
      <c r="G3212" s="3">
        <v>66405</v>
      </c>
      <c r="H3212" s="7" t="str">
        <f>HYPERLINK("http://www.ensembl.org/Mus_musculus/Gene/Summary?db=core;g=ENSMUSG00000042814","ENSMUSG00000042814")</f>
        <v>ENSMUSG00000042814</v>
      </c>
      <c r="I3212" s="7" t="str">
        <f>HYPERLINK("http://www.informatics.jax.org/marker/MGI:1913655","MGI:1913655")</f>
        <v>MGI:1913655</v>
      </c>
      <c r="J3212" s="4" t="s">
        <v>12</v>
      </c>
    </row>
    <row r="3213" spans="1:10" x14ac:dyDescent="0.25">
      <c r="A3213" s="2">
        <v>180.95297292115899</v>
      </c>
      <c r="B3213" s="3">
        <v>0.33042796240693101</v>
      </c>
      <c r="C3213" s="3">
        <v>3.13351761632132E-4</v>
      </c>
      <c r="D3213" s="4">
        <v>9.9043063622145404E-4</v>
      </c>
      <c r="E3213" s="3" t="s">
        <v>12491</v>
      </c>
      <c r="F3213" s="3" t="s">
        <v>12492</v>
      </c>
      <c r="G3213" s="3">
        <v>243867</v>
      </c>
      <c r="H3213" s="7" t="str">
        <f>HYPERLINK("http://www.ensembl.org/Mus_musculus/Gene/Summary?db=core;g=ENSMUSG00000050428","ENSMUSG00000050428")</f>
        <v>ENSMUSG00000050428</v>
      </c>
      <c r="I3213" s="7" t="str">
        <f>HYPERLINK("http://www.informatics.jax.org/marker/MGI:2444918","MGI:2444918")</f>
        <v>MGI:2444918</v>
      </c>
      <c r="J3213" s="4" t="s">
        <v>12</v>
      </c>
    </row>
    <row r="3214" spans="1:10" x14ac:dyDescent="0.25">
      <c r="A3214" s="2">
        <v>526.03009779448996</v>
      </c>
      <c r="B3214" s="3">
        <v>0.330238041438082</v>
      </c>
      <c r="C3214" s="5">
        <v>5.57621334325335E-6</v>
      </c>
      <c r="D3214" s="6">
        <v>2.1439447675756701E-5</v>
      </c>
      <c r="E3214" s="3" t="s">
        <v>10272</v>
      </c>
      <c r="F3214" s="3" t="s">
        <v>10273</v>
      </c>
      <c r="G3214" s="3">
        <v>12054</v>
      </c>
      <c r="H3214" s="7" t="str">
        <f>HYPERLINK("http://www.ensembl.org/Mus_musculus/Gene/Summary?db=core;g=ENSMUSG00000029681","ENSMUSG00000029681")</f>
        <v>ENSMUSG00000029681</v>
      </c>
      <c r="I3214" s="7" t="str">
        <f>HYPERLINK("http://www.informatics.jax.org/marker/MGI:1332238","MGI:1332238")</f>
        <v>MGI:1332238</v>
      </c>
      <c r="J3214" s="4" t="s">
        <v>12</v>
      </c>
    </row>
    <row r="3215" spans="1:10" x14ac:dyDescent="0.25">
      <c r="A3215" s="2">
        <v>1944.03330742197</v>
      </c>
      <c r="B3215" s="3">
        <v>0.33009118787014402</v>
      </c>
      <c r="C3215" s="5">
        <v>1.02037572185292E-13</v>
      </c>
      <c r="D3215" s="6">
        <v>7.2852314391526003E-13</v>
      </c>
      <c r="E3215" s="3" t="s">
        <v>5541</v>
      </c>
      <c r="F3215" s="3" t="s">
        <v>5542</v>
      </c>
      <c r="G3215" s="3">
        <v>24010</v>
      </c>
      <c r="H3215" s="7" t="str">
        <f>HYPERLINK("http://www.ensembl.org/Mus_musculus/Gene/Summary?db=core;g=ENSMUSG00000024474","ENSMUSG00000024474")</f>
        <v>ENSMUSG00000024474</v>
      </c>
      <c r="I3215" s="7" t="str">
        <f>HYPERLINK("http://www.informatics.jax.org/marker/MGI:1345142","MGI:1345142")</f>
        <v>MGI:1345142</v>
      </c>
      <c r="J3215" s="4" t="s">
        <v>12</v>
      </c>
    </row>
    <row r="3216" spans="1:10" x14ac:dyDescent="0.25">
      <c r="A3216" s="2">
        <v>166.560069776484</v>
      </c>
      <c r="B3216" s="3">
        <v>0.329919384042902</v>
      </c>
      <c r="C3216" s="3">
        <v>3.8467587498717901E-3</v>
      </c>
      <c r="D3216" s="4">
        <v>1.0381563233539301E-2</v>
      </c>
      <c r="E3216" s="3" t="s">
        <v>14617</v>
      </c>
      <c r="F3216" s="3" t="s">
        <v>14618</v>
      </c>
      <c r="G3216" s="3" t="s">
        <v>83</v>
      </c>
      <c r="H3216" s="7" t="str">
        <f>HYPERLINK("http://www.ensembl.org/Mus_musculus/Gene/Summary?db=core;g=ENSMUSG00000091509","ENSMUSG00000091509")</f>
        <v>ENSMUSG00000091509</v>
      </c>
      <c r="I3216" s="7" t="str">
        <f>HYPERLINK("http://www.informatics.jax.org/marker/MGI:4937893","MGI:4937893")</f>
        <v>MGI:4937893</v>
      </c>
      <c r="J3216" s="4" t="s">
        <v>331</v>
      </c>
    </row>
    <row r="3217" spans="1:10" x14ac:dyDescent="0.25">
      <c r="A3217" s="2">
        <v>90.278937852935798</v>
      </c>
      <c r="B3217" s="3">
        <v>0.329868348285003</v>
      </c>
      <c r="C3217" s="3">
        <v>1.99145116305092E-2</v>
      </c>
      <c r="D3217" s="4">
        <v>4.6502565938856301E-2</v>
      </c>
      <c r="E3217" s="3" t="s">
        <v>16894</v>
      </c>
      <c r="F3217" s="3" t="s">
        <v>16895</v>
      </c>
      <c r="G3217" s="3" t="s">
        <v>83</v>
      </c>
      <c r="H3217" s="7" t="str">
        <f>HYPERLINK("http://www.ensembl.org/Mus_musculus/Gene/Summary?db=core;g=ENSMUSG00000101013","ENSMUSG00000101013")</f>
        <v>ENSMUSG00000101013</v>
      </c>
      <c r="I3217" s="7" t="str">
        <f>HYPERLINK("http://www.informatics.jax.org/marker/MGI:2444702","MGI:2444702")</f>
        <v>MGI:2444702</v>
      </c>
      <c r="J3217" s="4" t="s">
        <v>932</v>
      </c>
    </row>
    <row r="3218" spans="1:10" x14ac:dyDescent="0.25">
      <c r="A3218" s="2">
        <v>3176.1089399390298</v>
      </c>
      <c r="B3218" s="3">
        <v>0.32986572532896902</v>
      </c>
      <c r="C3218" s="5">
        <v>6.6400122674134198E-5</v>
      </c>
      <c r="D3218" s="4">
        <v>2.2816003121343899E-4</v>
      </c>
      <c r="E3218" s="3" t="s">
        <v>11489</v>
      </c>
      <c r="F3218" s="3" t="s">
        <v>11490</v>
      </c>
      <c r="G3218" s="3">
        <v>11991</v>
      </c>
      <c r="H3218" s="7" t="str">
        <f>HYPERLINK("http://www.ensembl.org/Mus_musculus/Gene/Summary?db=core;g=ENSMUSG00000000568","ENSMUSG00000000568")</f>
        <v>ENSMUSG00000000568</v>
      </c>
      <c r="I3218" s="7" t="str">
        <f>HYPERLINK("http://www.informatics.jax.org/marker/MGI:101947","MGI:101947")</f>
        <v>MGI:101947</v>
      </c>
      <c r="J3218" s="4" t="s">
        <v>12</v>
      </c>
    </row>
    <row r="3219" spans="1:10" x14ac:dyDescent="0.25">
      <c r="A3219" s="2">
        <v>3647.83749644417</v>
      </c>
      <c r="B3219" s="3">
        <v>0.32974696206562498</v>
      </c>
      <c r="C3219" s="3">
        <v>2.6359765482017E-4</v>
      </c>
      <c r="D3219" s="4">
        <v>8.4317043845154305E-4</v>
      </c>
      <c r="E3219" s="3" t="s">
        <v>12341</v>
      </c>
      <c r="F3219" s="3" t="s">
        <v>12342</v>
      </c>
      <c r="G3219" s="3">
        <v>77087</v>
      </c>
      <c r="H3219" s="7" t="str">
        <f>HYPERLINK("http://www.ensembl.org/Mus_musculus/Gene/Summary?db=core;g=ENSMUSG00000035569","ENSMUSG00000035569")</f>
        <v>ENSMUSG00000035569</v>
      </c>
      <c r="I3219" s="7" t="str">
        <f>HYPERLINK("http://www.informatics.jax.org/marker/MGI:1924337","MGI:1924337")</f>
        <v>MGI:1924337</v>
      </c>
      <c r="J3219" s="4" t="s">
        <v>12</v>
      </c>
    </row>
    <row r="3220" spans="1:10" x14ac:dyDescent="0.25">
      <c r="A3220" s="2">
        <v>446.87945957721098</v>
      </c>
      <c r="B3220" s="3">
        <v>0.32970543193799701</v>
      </c>
      <c r="C3220" s="5">
        <v>5.68691746753419E-5</v>
      </c>
      <c r="D3220" s="4">
        <v>1.97023915073391E-4</v>
      </c>
      <c r="E3220" s="3" t="s">
        <v>11395</v>
      </c>
      <c r="F3220" s="3" t="s">
        <v>11396</v>
      </c>
      <c r="G3220" s="3">
        <v>66047</v>
      </c>
      <c r="H3220" s="7" t="str">
        <f>HYPERLINK("http://www.ensembl.org/Mus_musculus/Gene/Summary?db=core;g=ENSMUSG00000034932","ENSMUSG00000034932")</f>
        <v>ENSMUSG00000034932</v>
      </c>
      <c r="I3220" s="7" t="str">
        <f>HYPERLINK("http://www.informatics.jax.org/marker/MGI:1913297","MGI:1913297")</f>
        <v>MGI:1913297</v>
      </c>
      <c r="J3220" s="4" t="s">
        <v>12</v>
      </c>
    </row>
    <row r="3221" spans="1:10" x14ac:dyDescent="0.25">
      <c r="A3221" s="2">
        <v>1650.6070605421301</v>
      </c>
      <c r="B3221" s="3">
        <v>0.32949568210026098</v>
      </c>
      <c r="C3221" s="5">
        <v>8.9770174985295696E-11</v>
      </c>
      <c r="D3221" s="6">
        <v>5.2251117199233495E-10</v>
      </c>
      <c r="E3221" s="3" t="s">
        <v>6794</v>
      </c>
      <c r="F3221" s="3" t="s">
        <v>6795</v>
      </c>
      <c r="G3221" s="3">
        <v>66884</v>
      </c>
      <c r="H3221" s="7" t="str">
        <f>HYPERLINK("http://www.ensembl.org/Mus_musculus/Gene/Summary?db=core;g=ENSMUSG00000018481","ENSMUSG00000018481")</f>
        <v>ENSMUSG00000018481</v>
      </c>
      <c r="I3221" s="7" t="str">
        <f>HYPERLINK("http://www.informatics.jax.org/marker/MGI:1914134","MGI:1914134")</f>
        <v>MGI:1914134</v>
      </c>
      <c r="J3221" s="4" t="s">
        <v>12</v>
      </c>
    </row>
    <row r="3222" spans="1:10" x14ac:dyDescent="0.25">
      <c r="A3222" s="2">
        <v>194.87655114275799</v>
      </c>
      <c r="B3222" s="3">
        <v>0.32922279708667601</v>
      </c>
      <c r="C3222" s="3">
        <v>2.0834733014001498E-3</v>
      </c>
      <c r="D3222" s="4">
        <v>5.8668633124671302E-3</v>
      </c>
      <c r="E3222" s="3" t="s">
        <v>14013</v>
      </c>
      <c r="F3222" s="3" t="s">
        <v>14014</v>
      </c>
      <c r="G3222" s="3">
        <v>320162</v>
      </c>
      <c r="H3222" s="7" t="str">
        <f>HYPERLINK("http://www.ensembl.org/Mus_musculus/Gene/Summary?db=core;g=ENSMUSG00000018372","ENSMUSG00000018372")</f>
        <v>ENSMUSG00000018372</v>
      </c>
      <c r="I3222" s="7" t="str">
        <f>HYPERLINK("http://www.informatics.jax.org/marker/MGI:2443502","MGI:2443502")</f>
        <v>MGI:2443502</v>
      </c>
      <c r="J3222" s="4" t="s">
        <v>12</v>
      </c>
    </row>
    <row r="3223" spans="1:10" x14ac:dyDescent="0.25">
      <c r="A3223" s="2">
        <v>2003.6298149818799</v>
      </c>
      <c r="B3223" s="3">
        <v>0.329190991281194</v>
      </c>
      <c r="C3223" s="5">
        <v>3.66314371655513E-6</v>
      </c>
      <c r="D3223" s="6">
        <v>1.43242502658075E-5</v>
      </c>
      <c r="E3223" s="3" t="s">
        <v>10102</v>
      </c>
      <c r="F3223" s="3" t="s">
        <v>10103</v>
      </c>
      <c r="G3223" s="3">
        <v>170743</v>
      </c>
      <c r="H3223" s="7" t="str">
        <f>HYPERLINK("http://www.ensembl.org/Mus_musculus/Gene/Summary?db=core;g=ENSMUSG00000044583","ENSMUSG00000044583")</f>
        <v>ENSMUSG00000044583</v>
      </c>
      <c r="I3223" s="7" t="str">
        <f>HYPERLINK("http://www.informatics.jax.org/marker/MGI:2176882","MGI:2176882")</f>
        <v>MGI:2176882</v>
      </c>
      <c r="J3223" s="4" t="s">
        <v>12</v>
      </c>
    </row>
    <row r="3224" spans="1:10" x14ac:dyDescent="0.25">
      <c r="A3224" s="2">
        <v>1179.03897031676</v>
      </c>
      <c r="B3224" s="3">
        <v>0.32911005366931401</v>
      </c>
      <c r="C3224" s="5">
        <v>1.30361211601639E-11</v>
      </c>
      <c r="D3224" s="6">
        <v>8.0789537799633104E-11</v>
      </c>
      <c r="E3224" s="3" t="s">
        <v>6381</v>
      </c>
      <c r="F3224" s="3" t="s">
        <v>6382</v>
      </c>
      <c r="G3224" s="3">
        <v>59050</v>
      </c>
      <c r="H3224" s="7" t="str">
        <f>HYPERLINK("http://www.ensembl.org/Mus_musculus/Gene/Summary?db=core;g=ENSMUSG00000060739","ENSMUSG00000060739")</f>
        <v>ENSMUSG00000060739</v>
      </c>
      <c r="I3224" s="7" t="str">
        <f>HYPERLINK("http://www.informatics.jax.org/marker/MGI:1913883","MGI:1913883")</f>
        <v>MGI:1913883</v>
      </c>
      <c r="J3224" s="4" t="s">
        <v>12</v>
      </c>
    </row>
    <row r="3225" spans="1:10" x14ac:dyDescent="0.25">
      <c r="A3225" s="2">
        <v>129.78537075912499</v>
      </c>
      <c r="B3225" s="3">
        <v>0.32882529197091598</v>
      </c>
      <c r="C3225" s="3">
        <v>2.7227257821947101E-3</v>
      </c>
      <c r="D3225" s="4">
        <v>7.5251790364232298E-3</v>
      </c>
      <c r="E3225" s="3" t="s">
        <v>14275</v>
      </c>
      <c r="F3225" s="3" t="s">
        <v>14276</v>
      </c>
      <c r="G3225" s="3" t="s">
        <v>83</v>
      </c>
      <c r="H3225" s="7" t="str">
        <f>HYPERLINK("http://www.ensembl.org/Mus_musculus/Gene/Summary?db=core;g=ENSMUSG00000053038","ENSMUSG00000053038")</f>
        <v>ENSMUSG00000053038</v>
      </c>
      <c r="I3225" s="7" t="str">
        <f>HYPERLINK("http://www.informatics.jax.org/marker/MGI:3643972","MGI:3643972")</f>
        <v>MGI:3643972</v>
      </c>
      <c r="J3225" s="4" t="s">
        <v>1043</v>
      </c>
    </row>
    <row r="3226" spans="1:10" x14ac:dyDescent="0.25">
      <c r="A3226" s="2">
        <v>1144.7157430380801</v>
      </c>
      <c r="B3226" s="3">
        <v>0.32856027296962498</v>
      </c>
      <c r="C3226" s="5">
        <v>7.5676268569979708E-9</v>
      </c>
      <c r="D3226" s="6">
        <v>3.7876548634517798E-8</v>
      </c>
      <c r="E3226" s="3" t="s">
        <v>7896</v>
      </c>
      <c r="F3226" s="3" t="s">
        <v>7897</v>
      </c>
      <c r="G3226" s="3">
        <v>17191</v>
      </c>
      <c r="H3226" s="7" t="str">
        <f>HYPERLINK("http://www.ensembl.org/Mus_musculus/Gene/Summary?db=core;g=ENSMUSG00000024513","ENSMUSG00000024513")</f>
        <v>ENSMUSG00000024513</v>
      </c>
      <c r="I3226" s="7" t="str">
        <f>HYPERLINK("http://www.informatics.jax.org/marker/MGI:1333813","MGI:1333813")</f>
        <v>MGI:1333813</v>
      </c>
      <c r="J3226" s="4" t="s">
        <v>12</v>
      </c>
    </row>
    <row r="3227" spans="1:10" x14ac:dyDescent="0.25">
      <c r="A3227" s="2">
        <v>418.726077762572</v>
      </c>
      <c r="B3227" s="3">
        <v>0.32854810092544401</v>
      </c>
      <c r="C3227" s="3">
        <v>2.6026696768863597E-4</v>
      </c>
      <c r="D3227" s="4">
        <v>8.3292187647190702E-4</v>
      </c>
      <c r="E3227" s="3" t="s">
        <v>12335</v>
      </c>
      <c r="F3227" s="3" t="s">
        <v>12336</v>
      </c>
      <c r="G3227" s="3">
        <v>381410</v>
      </c>
      <c r="H3227" s="7" t="str">
        <f>HYPERLINK("http://www.ensembl.org/Mus_musculus/Gene/Summary?db=core;g=ENSMUSG00000075040","ENSMUSG00000075040")</f>
        <v>ENSMUSG00000075040</v>
      </c>
      <c r="I3227" s="7" t="str">
        <f>HYPERLINK("http://www.informatics.jax.org/marker/MGI:2685857","MGI:2685857")</f>
        <v>MGI:2685857</v>
      </c>
      <c r="J3227" s="4" t="s">
        <v>12</v>
      </c>
    </row>
    <row r="3228" spans="1:10" x14ac:dyDescent="0.25">
      <c r="A3228" s="2">
        <v>646.48422550305099</v>
      </c>
      <c r="B3228" s="3">
        <v>0.32842432082566703</v>
      </c>
      <c r="C3228" s="5">
        <v>1.7577471771314801E-10</v>
      </c>
      <c r="D3228" s="6">
        <v>1.0032640906811201E-9</v>
      </c>
      <c r="E3228" s="3" t="s">
        <v>6928</v>
      </c>
      <c r="F3228" s="3" t="s">
        <v>6929</v>
      </c>
      <c r="G3228" s="3">
        <v>105446</v>
      </c>
      <c r="H3228" s="7" t="str">
        <f>HYPERLINK("http://www.ensembl.org/Mus_musculus/Gene/Summary?db=core;g=ENSMUSG00000002326","ENSMUSG00000002326")</f>
        <v>ENSMUSG00000002326</v>
      </c>
      <c r="I3228" s="7" t="str">
        <f>HYPERLINK("http://www.informatics.jax.org/marker/MGI:1917903","MGI:1917903")</f>
        <v>MGI:1917903</v>
      </c>
      <c r="J3228" s="4" t="s">
        <v>12</v>
      </c>
    </row>
    <row r="3229" spans="1:10" x14ac:dyDescent="0.25">
      <c r="A3229" s="2">
        <v>1269.12437237667</v>
      </c>
      <c r="B3229" s="3">
        <v>0.32776440619918101</v>
      </c>
      <c r="C3229" s="5">
        <v>2.9438444485125103E-11</v>
      </c>
      <c r="D3229" s="6">
        <v>1.78130139689066E-10</v>
      </c>
      <c r="E3229" s="3" t="s">
        <v>6535</v>
      </c>
      <c r="F3229" s="3" t="s">
        <v>6536</v>
      </c>
      <c r="G3229" s="3">
        <v>69660</v>
      </c>
      <c r="H3229" s="7" t="str">
        <f>HYPERLINK("http://www.ensembl.org/Mus_musculus/Gene/Summary?db=core;g=ENSMUSG00000006301","ENSMUSG00000006301")</f>
        <v>ENSMUSG00000006301</v>
      </c>
      <c r="I3229" s="7" t="str">
        <f>HYPERLINK("http://www.informatics.jax.org/marker/MGI:1916910","MGI:1916910")</f>
        <v>MGI:1916910</v>
      </c>
      <c r="J3229" s="4" t="s">
        <v>12</v>
      </c>
    </row>
    <row r="3230" spans="1:10" x14ac:dyDescent="0.25">
      <c r="A3230" s="2">
        <v>851.71408157448104</v>
      </c>
      <c r="B3230" s="3">
        <v>0.32766945845720002</v>
      </c>
      <c r="C3230" s="3">
        <v>1.0635417280952799E-3</v>
      </c>
      <c r="D3230" s="4">
        <v>3.1228473612327202E-3</v>
      </c>
      <c r="E3230" s="3" t="s">
        <v>13441</v>
      </c>
      <c r="F3230" s="3" t="s">
        <v>13442</v>
      </c>
      <c r="G3230" s="3">
        <v>319955</v>
      </c>
      <c r="H3230" s="7" t="str">
        <f>HYPERLINK("http://www.ensembl.org/Mus_musculus/Gene/Summary?db=core;g=ENSMUSG00000054051","ENSMUSG00000054051")</f>
        <v>ENSMUSG00000054051</v>
      </c>
      <c r="I3230" s="7" t="str">
        <f>HYPERLINK("http://www.informatics.jax.org/marker/MGI:1100494","MGI:1100494")</f>
        <v>MGI:1100494</v>
      </c>
      <c r="J3230" s="4" t="s">
        <v>12</v>
      </c>
    </row>
    <row r="3231" spans="1:10" x14ac:dyDescent="0.25">
      <c r="A3231" s="2">
        <v>1281.6087440091801</v>
      </c>
      <c r="B3231" s="3">
        <v>0.327511045303779</v>
      </c>
      <c r="C3231" s="5">
        <v>4.3185466446663002E-10</v>
      </c>
      <c r="D3231" s="6">
        <v>2.38081464447356E-9</v>
      </c>
      <c r="E3231" s="3" t="s">
        <v>7172</v>
      </c>
      <c r="F3231" s="3" t="s">
        <v>7173</v>
      </c>
      <c r="G3231" s="3">
        <v>228361</v>
      </c>
      <c r="H3231" s="7" t="str">
        <f>HYPERLINK("http://www.ensembl.org/Mus_musculus/Gene/Summary?db=core;g=ENSMUSG00000040506","ENSMUSG00000040506")</f>
        <v>ENSMUSG00000040506</v>
      </c>
      <c r="I3231" s="7" t="str">
        <f>HYPERLINK("http://www.informatics.jax.org/marker/MGI:2443564","MGI:2443564")</f>
        <v>MGI:2443564</v>
      </c>
      <c r="J3231" s="4" t="s">
        <v>12</v>
      </c>
    </row>
    <row r="3232" spans="1:10" x14ac:dyDescent="0.25">
      <c r="A3232" s="2">
        <v>439.67071145179301</v>
      </c>
      <c r="B3232" s="3">
        <v>0.32744418411519299</v>
      </c>
      <c r="C3232" s="3">
        <v>1.9667926340614599E-4</v>
      </c>
      <c r="D3232" s="4">
        <v>6.3875412950744205E-4</v>
      </c>
      <c r="E3232" s="3" t="s">
        <v>12155</v>
      </c>
      <c r="F3232" s="3" t="s">
        <v>12156</v>
      </c>
      <c r="G3232" s="3">
        <v>105440</v>
      </c>
      <c r="H3232" s="7" t="str">
        <f>HYPERLINK("http://www.ensembl.org/Mus_musculus/Gene/Summary?db=core;g=ENSMUSG00000034327","ENSMUSG00000034327")</f>
        <v>ENSMUSG00000034327</v>
      </c>
      <c r="I3232" s="7" t="str">
        <f>HYPERLINK("http://www.informatics.jax.org/marker/MGI:2145579","MGI:2145579")</f>
        <v>MGI:2145579</v>
      </c>
      <c r="J3232" s="4" t="s">
        <v>12</v>
      </c>
    </row>
    <row r="3233" spans="1:10" x14ac:dyDescent="0.25">
      <c r="A3233" s="2">
        <v>1411.8793364129299</v>
      </c>
      <c r="B3233" s="3">
        <v>0.327209455124372</v>
      </c>
      <c r="C3233" s="5">
        <v>4.7793134824505001E-6</v>
      </c>
      <c r="D3233" s="6">
        <v>1.8476389310708498E-5</v>
      </c>
      <c r="E3233" s="3" t="s">
        <v>10216</v>
      </c>
      <c r="F3233" s="3" t="s">
        <v>10217</v>
      </c>
      <c r="G3233" s="3">
        <v>17237</v>
      </c>
      <c r="H3233" s="7" t="str">
        <f>HYPERLINK("http://www.ensembl.org/Mus_musculus/Gene/Summary?db=core;g=ENSMUSG00000022517","ENSMUSG00000022517")</f>
        <v>ENSMUSG00000022517</v>
      </c>
      <c r="I3233" s="7" t="str">
        <f>HYPERLINK("http://www.informatics.jax.org/marker/MGI:2447670","MGI:2447670")</f>
        <v>MGI:2447670</v>
      </c>
      <c r="J3233" s="4" t="s">
        <v>12</v>
      </c>
    </row>
    <row r="3234" spans="1:10" x14ac:dyDescent="0.25">
      <c r="A3234" s="2">
        <v>1620.26863348455</v>
      </c>
      <c r="B3234" s="3">
        <v>0.32702338762168998</v>
      </c>
      <c r="C3234" s="5">
        <v>2.0136761657593301E-9</v>
      </c>
      <c r="D3234" s="6">
        <v>1.0535869989061799E-8</v>
      </c>
      <c r="E3234" s="3" t="s">
        <v>7556</v>
      </c>
      <c r="F3234" s="3" t="s">
        <v>7557</v>
      </c>
      <c r="G3234" s="3">
        <v>26894</v>
      </c>
      <c r="H3234" s="7" t="str">
        <f>HYPERLINK("http://www.ensembl.org/Mus_musculus/Gene/Summary?db=core;g=ENSMUSG00000030127","ENSMUSG00000030127")</f>
        <v>ENSMUSG00000030127</v>
      </c>
      <c r="I3234" s="7" t="str">
        <f>HYPERLINK("http://www.informatics.jax.org/marker/MGI:1349400","MGI:1349400")</f>
        <v>MGI:1349400</v>
      </c>
      <c r="J3234" s="4" t="s">
        <v>12</v>
      </c>
    </row>
    <row r="3235" spans="1:10" x14ac:dyDescent="0.25">
      <c r="A3235" s="2">
        <v>405.48698109784499</v>
      </c>
      <c r="B3235" s="3">
        <v>0.32649268462692099</v>
      </c>
      <c r="C3235" s="5">
        <v>2.8858195831430001E-5</v>
      </c>
      <c r="D3235" s="4">
        <v>1.03263222971475E-4</v>
      </c>
      <c r="E3235" s="3" t="s">
        <v>11034</v>
      </c>
      <c r="F3235" s="3" t="s">
        <v>11035</v>
      </c>
      <c r="G3235" s="3">
        <v>78100</v>
      </c>
      <c r="H3235" s="7" t="str">
        <f>HYPERLINK("http://www.ensembl.org/Mus_musculus/Gene/Summary?db=core;g=ENSMUSG00000041124","ENSMUSG00000041124")</f>
        <v>ENSMUSG00000041124</v>
      </c>
      <c r="I3235" s="7" t="str">
        <f>HYPERLINK("http://www.informatics.jax.org/marker/MGI:1925350","MGI:1925350")</f>
        <v>MGI:1925350</v>
      </c>
      <c r="J3235" s="4" t="s">
        <v>12</v>
      </c>
    </row>
    <row r="3236" spans="1:10" x14ac:dyDescent="0.25">
      <c r="A3236" s="2">
        <v>8768.0146405125397</v>
      </c>
      <c r="B3236" s="3">
        <v>0.326368130936598</v>
      </c>
      <c r="C3236" s="5">
        <v>1.80832498559206E-5</v>
      </c>
      <c r="D3236" s="6">
        <v>6.6061816813403797E-5</v>
      </c>
      <c r="E3236" s="3" t="s">
        <v>10808</v>
      </c>
      <c r="F3236" s="3" t="s">
        <v>10809</v>
      </c>
      <c r="G3236" s="3">
        <v>15382</v>
      </c>
      <c r="H3236" s="7" t="str">
        <f>HYPERLINK("http://www.ensembl.org/Mus_musculus/Gene/Summary?db=core;g=ENSMUSG00000046434","ENSMUSG00000046434")</f>
        <v>ENSMUSG00000046434</v>
      </c>
      <c r="I3236" s="7" t="str">
        <f>HYPERLINK("http://www.informatics.jax.org/marker/MGI:104820","MGI:104820")</f>
        <v>MGI:104820</v>
      </c>
      <c r="J3236" s="4" t="s">
        <v>12</v>
      </c>
    </row>
    <row r="3237" spans="1:10" x14ac:dyDescent="0.25">
      <c r="A3237" s="2">
        <v>1458.9920266812101</v>
      </c>
      <c r="B3237" s="3">
        <v>0.32633057487456102</v>
      </c>
      <c r="C3237" s="5">
        <v>2.9768672546408002E-6</v>
      </c>
      <c r="D3237" s="6">
        <v>1.17548702966593E-5</v>
      </c>
      <c r="E3237" s="3" t="s">
        <v>10004</v>
      </c>
      <c r="F3237" s="3" t="s">
        <v>10005</v>
      </c>
      <c r="G3237" s="3">
        <v>100862468</v>
      </c>
      <c r="H3237" s="7" t="str">
        <f>HYPERLINK("http://www.ensembl.org/Mus_musculus/Gene/Summary?db=core;g=ENSMUSG00000063480","ENSMUSG00000063480")</f>
        <v>ENSMUSG00000063480</v>
      </c>
      <c r="I3237" s="7" t="str">
        <f>HYPERLINK("http://www.informatics.jax.org/marker/MGI:893586","MGI:893586")</f>
        <v>MGI:893586</v>
      </c>
      <c r="J3237" s="4" t="s">
        <v>12</v>
      </c>
    </row>
    <row r="3238" spans="1:10" x14ac:dyDescent="0.25">
      <c r="A3238" s="2">
        <v>1843.7253906846099</v>
      </c>
      <c r="B3238" s="3">
        <v>0.32611040495635202</v>
      </c>
      <c r="C3238" s="5">
        <v>4.2509652724494897E-6</v>
      </c>
      <c r="D3238" s="6">
        <v>1.6521291914210499E-5</v>
      </c>
      <c r="E3238" s="3" t="s">
        <v>10160</v>
      </c>
      <c r="F3238" s="3" t="s">
        <v>10161</v>
      </c>
      <c r="G3238" s="3">
        <v>75991</v>
      </c>
      <c r="H3238" s="7" t="str">
        <f>HYPERLINK("http://www.ensembl.org/Mus_musculus/Gene/Summary?db=core;g=ENSMUSG00000036087","ENSMUSG00000036087")</f>
        <v>ENSMUSG00000036087</v>
      </c>
      <c r="I3238" s="7" t="str">
        <f>HYPERLINK("http://www.informatics.jax.org/marker/MGI:1923241","MGI:1923241")</f>
        <v>MGI:1923241</v>
      </c>
      <c r="J3238" s="4" t="s">
        <v>12</v>
      </c>
    </row>
    <row r="3239" spans="1:10" x14ac:dyDescent="0.25">
      <c r="A3239" s="2">
        <v>104.717491658944</v>
      </c>
      <c r="B3239" s="3">
        <v>0.32594437818923599</v>
      </c>
      <c r="C3239" s="3">
        <v>1.3102465181970099E-2</v>
      </c>
      <c r="D3239" s="4">
        <v>3.1819040152146802E-2</v>
      </c>
      <c r="E3239" s="3" t="s">
        <v>16247</v>
      </c>
      <c r="F3239" s="3" t="s">
        <v>16248</v>
      </c>
      <c r="G3239" s="3">
        <v>109267</v>
      </c>
      <c r="H3239" s="7" t="str">
        <f>HYPERLINK("http://www.ensembl.org/Mus_musculus/Gene/Summary?db=core;g=ENSMUSG00000029699","ENSMUSG00000029699")</f>
        <v>ENSMUSG00000029699</v>
      </c>
      <c r="I3239" s="7" t="str">
        <f>HYPERLINK("http://www.informatics.jax.org/marker/MGI:1924709","MGI:1924709")</f>
        <v>MGI:1924709</v>
      </c>
      <c r="J3239" s="4" t="s">
        <v>12</v>
      </c>
    </row>
    <row r="3240" spans="1:10" x14ac:dyDescent="0.25">
      <c r="A3240" s="2">
        <v>208.924981418709</v>
      </c>
      <c r="B3240" s="3">
        <v>0.32591730655622603</v>
      </c>
      <c r="C3240" s="3">
        <v>5.00488527929022E-4</v>
      </c>
      <c r="D3240" s="4">
        <v>1.5409264279094899E-3</v>
      </c>
      <c r="E3240" s="3" t="s">
        <v>12819</v>
      </c>
      <c r="F3240" s="3" t="s">
        <v>12820</v>
      </c>
      <c r="G3240" s="3">
        <v>108159</v>
      </c>
      <c r="H3240" s="7" t="str">
        <f>HYPERLINK("http://www.ensembl.org/Mus_musculus/Gene/Summary?db=core;g=ENSMUSG00000052906","ENSMUSG00000052906")</f>
        <v>ENSMUSG00000052906</v>
      </c>
      <c r="I3240" s="7" t="str">
        <f>HYPERLINK("http://www.informatics.jax.org/marker/MGI:1337129","MGI:1337129")</f>
        <v>MGI:1337129</v>
      </c>
      <c r="J3240" s="4" t="s">
        <v>12</v>
      </c>
    </row>
    <row r="3241" spans="1:10" x14ac:dyDescent="0.25">
      <c r="A3241" s="2">
        <v>4108.87175672802</v>
      </c>
      <c r="B3241" s="3">
        <v>0.32579634050714501</v>
      </c>
      <c r="C3241" s="5">
        <v>1.4499699613411199E-7</v>
      </c>
      <c r="D3241" s="6">
        <v>6.4734905224466598E-7</v>
      </c>
      <c r="E3241" s="3" t="s">
        <v>8851</v>
      </c>
      <c r="F3241" s="3" t="s">
        <v>8852</v>
      </c>
      <c r="G3241" s="3">
        <v>27407</v>
      </c>
      <c r="H3241" s="7" t="str">
        <f>HYPERLINK("http://www.ensembl.org/Mus_musculus/Gene/Summary?db=core;g=ENSMUSG00000028953","ENSMUSG00000028953")</f>
        <v>ENSMUSG00000028953</v>
      </c>
      <c r="I3241" s="7" t="str">
        <f>HYPERLINK("http://www.informatics.jax.org/marker/MGI:1351657","MGI:1351657")</f>
        <v>MGI:1351657</v>
      </c>
      <c r="J3241" s="4" t="s">
        <v>12</v>
      </c>
    </row>
    <row r="3242" spans="1:10" x14ac:dyDescent="0.25">
      <c r="A3242" s="2">
        <v>426.11559009951799</v>
      </c>
      <c r="B3242" s="3">
        <v>0.32517588364264099</v>
      </c>
      <c r="C3242" s="5">
        <v>4.31477694418453E-5</v>
      </c>
      <c r="D3242" s="4">
        <v>1.512664912699E-4</v>
      </c>
      <c r="E3242" s="3" t="s">
        <v>11261</v>
      </c>
      <c r="F3242" s="3" t="s">
        <v>11262</v>
      </c>
      <c r="G3242" s="3">
        <v>56724</v>
      </c>
      <c r="H3242" s="7" t="str">
        <f>HYPERLINK("http://www.ensembl.org/Mus_musculus/Gene/Summary?db=core;g=ENSMUSG00000024146","ENSMUSG00000024146")</f>
        <v>ENSMUSG00000024146</v>
      </c>
      <c r="I3242" s="7" t="str">
        <f>HYPERLINK("http://www.informatics.jax.org/marker/MGI:1929655","MGI:1929655")</f>
        <v>MGI:1929655</v>
      </c>
      <c r="J3242" s="4" t="s">
        <v>12</v>
      </c>
    </row>
    <row r="3243" spans="1:10" x14ac:dyDescent="0.25">
      <c r="A3243" s="2">
        <v>362.16430012941998</v>
      </c>
      <c r="B3243" s="3">
        <v>0.32462103494309502</v>
      </c>
      <c r="C3243" s="3">
        <v>8.8917186125206198E-4</v>
      </c>
      <c r="D3243" s="4">
        <v>2.6423250608635699E-3</v>
      </c>
      <c r="E3243" s="3" t="s">
        <v>13280</v>
      </c>
      <c r="F3243" s="3" t="s">
        <v>13281</v>
      </c>
      <c r="G3243" s="3">
        <v>13712</v>
      </c>
      <c r="H3243" s="7" t="str">
        <f>HYPERLINK("http://www.ensembl.org/Mus_musculus/Gene/Summary?db=core;g=ENSMUSG00000009406","ENSMUSG00000009406")</f>
        <v>ENSMUSG00000009406</v>
      </c>
      <c r="I3243" s="7" t="str">
        <f>HYPERLINK("http://www.informatics.jax.org/marker/MGI:101833","MGI:101833")</f>
        <v>MGI:101833</v>
      </c>
      <c r="J3243" s="4" t="s">
        <v>12</v>
      </c>
    </row>
    <row r="3244" spans="1:10" x14ac:dyDescent="0.25">
      <c r="A3244" s="2">
        <v>1263.58946672102</v>
      </c>
      <c r="B3244" s="3">
        <v>0.32450832997715101</v>
      </c>
      <c r="C3244" s="5">
        <v>8.4282254829969892E-12</v>
      </c>
      <c r="D3244" s="6">
        <v>5.2982023119126803E-11</v>
      </c>
      <c r="E3244" s="3" t="s">
        <v>6291</v>
      </c>
      <c r="F3244" s="3" t="s">
        <v>6292</v>
      </c>
      <c r="G3244" s="3">
        <v>30948</v>
      </c>
      <c r="H3244" s="7" t="str">
        <f>HYPERLINK("http://www.ensembl.org/Mus_musculus/Gene/Summary?db=core;g=ENSMUSG00000024381","ENSMUSG00000024381")</f>
        <v>ENSMUSG00000024381</v>
      </c>
      <c r="I3244" s="7" t="str">
        <f>HYPERLINK("http://www.informatics.jax.org/marker/MGI:108092","MGI:108092")</f>
        <v>MGI:108092</v>
      </c>
      <c r="J3244" s="4" t="s">
        <v>12</v>
      </c>
    </row>
    <row r="3245" spans="1:10" x14ac:dyDescent="0.25">
      <c r="A3245" s="2">
        <v>5992.9592300226795</v>
      </c>
      <c r="B3245" s="3">
        <v>0.32444447951264799</v>
      </c>
      <c r="C3245" s="5">
        <v>6.8278901306230205E-10</v>
      </c>
      <c r="D3245" s="6">
        <v>3.7021169473710801E-9</v>
      </c>
      <c r="E3245" s="3" t="s">
        <v>7292</v>
      </c>
      <c r="F3245" s="3" t="s">
        <v>7293</v>
      </c>
      <c r="G3245" s="3">
        <v>18572</v>
      </c>
      <c r="H3245" s="7" t="str">
        <f>HYPERLINK("http://www.ensembl.org/Mus_musculus/Gene/Summary?db=core;g=ENSMUSG00000025047","ENSMUSG00000025047")</f>
        <v>ENSMUSG00000025047</v>
      </c>
      <c r="I3245" s="7" t="str">
        <f>HYPERLINK("http://www.informatics.jax.org/marker/MGI:1341788","MGI:1341788")</f>
        <v>MGI:1341788</v>
      </c>
      <c r="J3245" s="4" t="s">
        <v>12</v>
      </c>
    </row>
    <row r="3246" spans="1:10" x14ac:dyDescent="0.25">
      <c r="A3246" s="2">
        <v>3155.4594076410099</v>
      </c>
      <c r="B3246" s="3">
        <v>0.32441405219139202</v>
      </c>
      <c r="C3246" s="5">
        <v>5.7911465702727703E-10</v>
      </c>
      <c r="D3246" s="6">
        <v>3.1582248441863701E-9</v>
      </c>
      <c r="E3246" s="3" t="s">
        <v>7250</v>
      </c>
      <c r="F3246" s="3" t="s">
        <v>7251</v>
      </c>
      <c r="G3246" s="3">
        <v>22019</v>
      </c>
      <c r="H3246" s="7" t="str">
        <f>HYPERLINK("http://www.ensembl.org/Mus_musculus/Gene/Summary?db=core;g=ENSMUSG00000041763","ENSMUSG00000041763")</f>
        <v>ENSMUSG00000041763</v>
      </c>
      <c r="I3246" s="7" t="str">
        <f>HYPERLINK("http://www.informatics.jax.org/marker/MGI:102724","MGI:102724")</f>
        <v>MGI:102724</v>
      </c>
      <c r="J3246" s="4" t="s">
        <v>12</v>
      </c>
    </row>
    <row r="3247" spans="1:10" x14ac:dyDescent="0.25">
      <c r="A3247" s="2">
        <v>482.92123811587697</v>
      </c>
      <c r="B3247" s="3">
        <v>0.32441293901069901</v>
      </c>
      <c r="C3247" s="5">
        <v>2.8990411449639799E-5</v>
      </c>
      <c r="D3247" s="4">
        <v>1.03679890059285E-4</v>
      </c>
      <c r="E3247" s="3" t="s">
        <v>11040</v>
      </c>
      <c r="F3247" s="3" t="s">
        <v>11041</v>
      </c>
      <c r="G3247" s="3">
        <v>11777</v>
      </c>
      <c r="H3247" s="7" t="str">
        <f>HYPERLINK("http://www.ensembl.org/Mus_musculus/Gene/Summary?db=core;g=ENSMUSG00000024480","ENSMUSG00000024480")</f>
        <v>ENSMUSG00000024480</v>
      </c>
      <c r="I3247" s="7" t="str">
        <f>HYPERLINK("http://www.informatics.jax.org/marker/MGI:1337062","MGI:1337062")</f>
        <v>MGI:1337062</v>
      </c>
      <c r="J3247" s="4" t="s">
        <v>12</v>
      </c>
    </row>
    <row r="3248" spans="1:10" x14ac:dyDescent="0.25">
      <c r="A3248" s="2">
        <v>1950.34190705785</v>
      </c>
      <c r="B3248" s="3">
        <v>0.32437940389180597</v>
      </c>
      <c r="C3248" s="5">
        <v>4.52829557803687E-9</v>
      </c>
      <c r="D3248" s="6">
        <v>2.3086346638802199E-8</v>
      </c>
      <c r="E3248" s="3" t="s">
        <v>7752</v>
      </c>
      <c r="F3248" s="3" t="s">
        <v>7753</v>
      </c>
      <c r="G3248" s="3">
        <v>216965</v>
      </c>
      <c r="H3248" s="7" t="str">
        <f>HYPERLINK("http://www.ensembl.org/Mus_musculus/Gene/Summary?db=core;g=ENSMUSG00000017291","ENSMUSG00000017291")</f>
        <v>ENSMUSG00000017291</v>
      </c>
      <c r="I3248" s="7" t="str">
        <f>HYPERLINK("http://www.informatics.jax.org/marker/MGI:1914490","MGI:1914490")</f>
        <v>MGI:1914490</v>
      </c>
      <c r="J3248" s="4" t="s">
        <v>12</v>
      </c>
    </row>
    <row r="3249" spans="1:10" x14ac:dyDescent="0.25">
      <c r="A3249" s="2">
        <v>541.37391761609695</v>
      </c>
      <c r="B3249" s="3">
        <v>0.32429189001490499</v>
      </c>
      <c r="C3249" s="5">
        <v>3.50204428524664E-6</v>
      </c>
      <c r="D3249" s="6">
        <v>1.37242276043449E-5</v>
      </c>
      <c r="E3249" s="3" t="s">
        <v>10080</v>
      </c>
      <c r="F3249" s="3" t="s">
        <v>10081</v>
      </c>
      <c r="G3249" s="3">
        <v>19255</v>
      </c>
      <c r="H3249" s="7" t="str">
        <f>HYPERLINK("http://www.ensembl.org/Mus_musculus/Gene/Summary?db=core;g=ENSMUSG00000024539","ENSMUSG00000024539")</f>
        <v>ENSMUSG00000024539</v>
      </c>
      <c r="I3249" s="7" t="str">
        <f>HYPERLINK("http://www.informatics.jax.org/marker/MGI:97806","MGI:97806")</f>
        <v>MGI:97806</v>
      </c>
      <c r="J3249" s="4" t="s">
        <v>12</v>
      </c>
    </row>
    <row r="3250" spans="1:10" x14ac:dyDescent="0.25">
      <c r="A3250" s="2">
        <v>2196.4061774531301</v>
      </c>
      <c r="B3250" s="3">
        <v>0.32421960307561698</v>
      </c>
      <c r="C3250" s="5">
        <v>4.0385218439266202E-7</v>
      </c>
      <c r="D3250" s="6">
        <v>1.73961666147298E-6</v>
      </c>
      <c r="E3250" s="3" t="s">
        <v>9171</v>
      </c>
      <c r="F3250" s="3" t="s">
        <v>9172</v>
      </c>
      <c r="G3250" s="3">
        <v>26445</v>
      </c>
      <c r="H3250" s="7" t="str">
        <f>HYPERLINK("http://www.ensembl.org/Mus_musculus/Gene/Summary?db=core;g=ENSMUSG00000028837","ENSMUSG00000028837")</f>
        <v>ENSMUSG00000028837</v>
      </c>
      <c r="I3250" s="7" t="str">
        <f>HYPERLINK("http://www.informatics.jax.org/marker/MGI:1347045","MGI:1347045")</f>
        <v>MGI:1347045</v>
      </c>
      <c r="J3250" s="4" t="s">
        <v>12</v>
      </c>
    </row>
    <row r="3251" spans="1:10" x14ac:dyDescent="0.25">
      <c r="A3251" s="2">
        <v>1215.0674971697299</v>
      </c>
      <c r="B3251" s="3">
        <v>0.32401672940960002</v>
      </c>
      <c r="C3251" s="5">
        <v>8.0422735703212403E-7</v>
      </c>
      <c r="D3251" s="6">
        <v>3.3579003770217002E-6</v>
      </c>
      <c r="E3251" s="3" t="s">
        <v>9461</v>
      </c>
      <c r="F3251" s="3" t="s">
        <v>9462</v>
      </c>
      <c r="G3251" s="3">
        <v>72542</v>
      </c>
      <c r="H3251" s="7" t="str">
        <f>HYPERLINK("http://www.ensembl.org/Mus_musculus/Gene/Summary?db=core;g=ENSMUSG00000029500","ENSMUSG00000029500")</f>
        <v>ENSMUSG00000029500</v>
      </c>
      <c r="I3251" s="7" t="str">
        <f>HYPERLINK("http://www.informatics.jax.org/marker/MGI:1919792","MGI:1919792")</f>
        <v>MGI:1919792</v>
      </c>
      <c r="J3251" s="4" t="s">
        <v>12</v>
      </c>
    </row>
    <row r="3252" spans="1:10" x14ac:dyDescent="0.25">
      <c r="A3252" s="2">
        <v>1714.3448433804899</v>
      </c>
      <c r="B3252" s="3">
        <v>0.32397107306794498</v>
      </c>
      <c r="C3252" s="5">
        <v>1.0811120055317E-5</v>
      </c>
      <c r="D3252" s="6">
        <v>4.03396948894703E-5</v>
      </c>
      <c r="E3252" s="3" t="s">
        <v>10583</v>
      </c>
      <c r="F3252" s="3" t="s">
        <v>10584</v>
      </c>
      <c r="G3252" s="3">
        <v>56440</v>
      </c>
      <c r="H3252" s="7" t="str">
        <f>HYPERLINK("http://www.ensembl.org/Mus_musculus/Gene/Summary?db=core;g=ENSMUSG00000032382","ENSMUSG00000032382")</f>
        <v>ENSMUSG00000032382</v>
      </c>
      <c r="I3252" s="7" t="str">
        <f>HYPERLINK("http://www.informatics.jax.org/marker/MGI:1928395","MGI:1928395")</f>
        <v>MGI:1928395</v>
      </c>
      <c r="J3252" s="4" t="s">
        <v>12</v>
      </c>
    </row>
    <row r="3253" spans="1:10" x14ac:dyDescent="0.25">
      <c r="A3253" s="2">
        <v>378.18378908148298</v>
      </c>
      <c r="B3253" s="3">
        <v>0.32381750263866999</v>
      </c>
      <c r="C3253" s="3">
        <v>2.4776611989289098E-4</v>
      </c>
      <c r="D3253" s="4">
        <v>7.9485080271478998E-4</v>
      </c>
      <c r="E3253" s="3" t="s">
        <v>12305</v>
      </c>
      <c r="F3253" s="3" t="s">
        <v>12306</v>
      </c>
      <c r="G3253" s="3">
        <v>56187</v>
      </c>
      <c r="H3253" s="7" t="str">
        <f>HYPERLINK("http://www.ensembl.org/Mus_musculus/Gene/Summary?db=core;g=ENSMUSG00000040472","ENSMUSG00000040472")</f>
        <v>ENSMUSG00000040472</v>
      </c>
      <c r="I3253" s="7" t="str">
        <f>HYPERLINK("http://www.informatics.jax.org/marker/MGI:1860443","MGI:1860443")</f>
        <v>MGI:1860443</v>
      </c>
      <c r="J3253" s="4" t="s">
        <v>12</v>
      </c>
    </row>
    <row r="3254" spans="1:10" x14ac:dyDescent="0.25">
      <c r="A3254" s="2">
        <v>568.38063503194701</v>
      </c>
      <c r="B3254" s="3">
        <v>0.32346774590313199</v>
      </c>
      <c r="C3254" s="5">
        <v>4.8529459483786601E-8</v>
      </c>
      <c r="D3254" s="6">
        <v>2.25654548696126E-7</v>
      </c>
      <c r="E3254" s="3" t="s">
        <v>8499</v>
      </c>
      <c r="F3254" s="3" t="s">
        <v>8500</v>
      </c>
      <c r="G3254" s="3">
        <v>78232</v>
      </c>
      <c r="H3254" s="7" t="str">
        <f>HYPERLINK("http://www.ensembl.org/Mus_musculus/Gene/Summary?db=core;g=ENSMUSG00000020993","ENSMUSG00000020993")</f>
        <v>ENSMUSG00000020993</v>
      </c>
      <c r="I3254" s="7" t="str">
        <f>HYPERLINK("http://www.informatics.jax.org/marker/MGI:1925482","MGI:1925482")</f>
        <v>MGI:1925482</v>
      </c>
      <c r="J3254" s="4" t="s">
        <v>12</v>
      </c>
    </row>
    <row r="3255" spans="1:10" x14ac:dyDescent="0.25">
      <c r="A3255" s="2">
        <v>225.34993295599901</v>
      </c>
      <c r="B3255" s="3">
        <v>0.323359662068263</v>
      </c>
      <c r="C3255" s="3">
        <v>2.33418964977359E-4</v>
      </c>
      <c r="D3255" s="4">
        <v>7.5167786872746905E-4</v>
      </c>
      <c r="E3255" s="3" t="s">
        <v>12257</v>
      </c>
      <c r="F3255" s="3" t="s">
        <v>12258</v>
      </c>
      <c r="G3255" s="3">
        <v>100503572</v>
      </c>
      <c r="H3255" s="7" t="str">
        <f>HYPERLINK("http://www.ensembl.org/Mus_musculus/Gene/Summary?db=core;g=ENSMUSG00000084957","ENSMUSG00000084957")</f>
        <v>ENSMUSG00000084957</v>
      </c>
      <c r="I3255" s="7" t="str">
        <f>HYPERLINK("http://www.informatics.jax.org/marker/MGI:1913610","MGI:1913610")</f>
        <v>MGI:1913610</v>
      </c>
      <c r="J3255" s="4" t="s">
        <v>12</v>
      </c>
    </row>
    <row r="3256" spans="1:10" x14ac:dyDescent="0.25">
      <c r="A3256" s="2">
        <v>2770.62462649381</v>
      </c>
      <c r="B3256" s="3">
        <v>0.32321442813377099</v>
      </c>
      <c r="C3256" s="5">
        <v>2.3293916470626001E-17</v>
      </c>
      <c r="D3256" s="6">
        <v>2.02627275165745E-16</v>
      </c>
      <c r="E3256" s="3" t="s">
        <v>4551</v>
      </c>
      <c r="F3256" s="3" t="s">
        <v>4552</v>
      </c>
      <c r="G3256" s="3">
        <v>14679</v>
      </c>
      <c r="H3256" s="7" t="str">
        <f>HYPERLINK("http://www.ensembl.org/Mus_musculus/Gene/Summary?db=core;g=ENSMUSG00000000001","ENSMUSG00000000001")</f>
        <v>ENSMUSG00000000001</v>
      </c>
      <c r="I3256" s="7" t="str">
        <f>HYPERLINK("http://www.informatics.jax.org/marker/MGI:95773","MGI:95773")</f>
        <v>MGI:95773</v>
      </c>
      <c r="J3256" s="4" t="s">
        <v>12</v>
      </c>
    </row>
    <row r="3257" spans="1:10" x14ac:dyDescent="0.25">
      <c r="A3257" s="2">
        <v>265.16920958947202</v>
      </c>
      <c r="B3257" s="3">
        <v>0.32310724636555799</v>
      </c>
      <c r="C3257" s="3">
        <v>9.1901196573054703E-4</v>
      </c>
      <c r="D3257" s="4">
        <v>2.7247980376844199E-3</v>
      </c>
      <c r="E3257" s="3" t="s">
        <v>13312</v>
      </c>
      <c r="F3257" s="3" t="s">
        <v>13313</v>
      </c>
      <c r="G3257" s="3">
        <v>70691</v>
      </c>
      <c r="H3257" s="7" t="str">
        <f>HYPERLINK("http://www.ensembl.org/Mus_musculus/Gene/Summary?db=core;g=ENSMUSG00000031125","ENSMUSG00000031125")</f>
        <v>ENSMUSG00000031125</v>
      </c>
      <c r="I3257" s="7" t="str">
        <f>HYPERLINK("http://www.informatics.jax.org/marker/MGI:1917941","MGI:1917941")</f>
        <v>MGI:1917941</v>
      </c>
      <c r="J3257" s="4" t="s">
        <v>12</v>
      </c>
    </row>
    <row r="3258" spans="1:10" x14ac:dyDescent="0.25">
      <c r="A3258" s="2">
        <v>128.60192217087899</v>
      </c>
      <c r="B3258" s="3">
        <v>0.323036377073734</v>
      </c>
      <c r="C3258" s="3">
        <v>7.8212513352658008E-3</v>
      </c>
      <c r="D3258" s="4">
        <v>1.9860298265702001E-2</v>
      </c>
      <c r="E3258" s="3" t="s">
        <v>15537</v>
      </c>
      <c r="F3258" s="3" t="s">
        <v>15538</v>
      </c>
      <c r="G3258" s="3">
        <v>68857</v>
      </c>
      <c r="H3258" s="7" t="str">
        <f>HYPERLINK("http://www.ensembl.org/Mus_musculus/Gene/Summary?db=core;g=ENSMUSG00000024505","ENSMUSG00000024505")</f>
        <v>ENSMUSG00000024505</v>
      </c>
      <c r="I3258" s="7" t="str">
        <f>HYPERLINK("http://www.informatics.jax.org/marker/MGI:1916107","MGI:1916107")</f>
        <v>MGI:1916107</v>
      </c>
      <c r="J3258" s="4" t="s">
        <v>12</v>
      </c>
    </row>
    <row r="3259" spans="1:10" x14ac:dyDescent="0.25">
      <c r="A3259" s="2">
        <v>3895.1896571918601</v>
      </c>
      <c r="B3259" s="3">
        <v>0.32291397405132199</v>
      </c>
      <c r="C3259" s="5">
        <v>1.69579398699019E-8</v>
      </c>
      <c r="D3259" s="6">
        <v>8.2346854034588897E-8</v>
      </c>
      <c r="E3259" s="3" t="s">
        <v>8139</v>
      </c>
      <c r="F3259" s="3" t="s">
        <v>8140</v>
      </c>
      <c r="G3259" s="3">
        <v>12301</v>
      </c>
      <c r="H3259" s="7" t="str">
        <f>HYPERLINK("http://www.ensembl.org/Mus_musculus/Gene/Summary?db=core;g=ENSMUSG00000014226","ENSMUSG00000014226")</f>
        <v>ENSMUSG00000014226</v>
      </c>
      <c r="I3259" s="7" t="str">
        <f>HYPERLINK("http://www.informatics.jax.org/marker/MGI:1270839","MGI:1270839")</f>
        <v>MGI:1270839</v>
      </c>
      <c r="J3259" s="4" t="s">
        <v>12</v>
      </c>
    </row>
    <row r="3260" spans="1:10" x14ac:dyDescent="0.25">
      <c r="A3260" s="2">
        <v>118.807874766564</v>
      </c>
      <c r="B3260" s="3">
        <v>0.32285435643435501</v>
      </c>
      <c r="C3260" s="3">
        <v>7.6430571161648997E-3</v>
      </c>
      <c r="D3260" s="4">
        <v>1.94503918351751E-2</v>
      </c>
      <c r="E3260" s="3" t="s">
        <v>15503</v>
      </c>
      <c r="F3260" s="3" t="s">
        <v>15504</v>
      </c>
      <c r="G3260" s="3">
        <v>17749</v>
      </c>
      <c r="H3260" s="7" t="str">
        <f>HYPERLINK("http://www.ensembl.org/Mus_musculus/Gene/Summary?db=core;g=ENSMUSG00000045996","ENSMUSG00000045996")</f>
        <v>ENSMUSG00000045996</v>
      </c>
      <c r="I3260" s="7" t="str">
        <f>HYPERLINK("http://www.informatics.jax.org/marker/MGI:102725","MGI:102725")</f>
        <v>MGI:102725</v>
      </c>
      <c r="J3260" s="4" t="s">
        <v>12</v>
      </c>
    </row>
    <row r="3261" spans="1:10" x14ac:dyDescent="0.25">
      <c r="A3261" s="2">
        <v>1012.90189270349</v>
      </c>
      <c r="B3261" s="3">
        <v>0.32274500669817902</v>
      </c>
      <c r="C3261" s="5">
        <v>5.5149825750225002E-11</v>
      </c>
      <c r="D3261" s="6">
        <v>3.2718248008256202E-10</v>
      </c>
      <c r="E3261" s="3" t="s">
        <v>6665</v>
      </c>
      <c r="F3261" s="3" t="s">
        <v>6666</v>
      </c>
      <c r="G3261" s="3">
        <v>66165</v>
      </c>
      <c r="H3261" s="7" t="str">
        <f>HYPERLINK("http://www.ensembl.org/Mus_musculus/Gene/Summary?db=core;g=ENSMUSG00000030983","ENSMUSG00000030983")</f>
        <v>ENSMUSG00000030983</v>
      </c>
      <c r="I3261" s="7" t="str">
        <f>HYPERLINK("http://www.informatics.jax.org/marker/MGI:1913415","MGI:1913415")</f>
        <v>MGI:1913415</v>
      </c>
      <c r="J3261" s="4" t="s">
        <v>12</v>
      </c>
    </row>
    <row r="3262" spans="1:10" x14ac:dyDescent="0.25">
      <c r="A3262" s="2">
        <v>659.32248133038104</v>
      </c>
      <c r="B3262" s="3">
        <v>0.32271484478926499</v>
      </c>
      <c r="C3262" s="5">
        <v>1.16718202101112E-8</v>
      </c>
      <c r="D3262" s="6">
        <v>5.7599673309157303E-8</v>
      </c>
      <c r="E3262" s="3" t="s">
        <v>8009</v>
      </c>
      <c r="F3262" s="3" t="s">
        <v>8010</v>
      </c>
      <c r="G3262" s="3">
        <v>77040</v>
      </c>
      <c r="H3262" s="7" t="str">
        <f>HYPERLINK("http://www.ensembl.org/Mus_musculus/Gene/Summary?db=core;g=ENSMUSG00000026289","ENSMUSG00000026289")</f>
        <v>ENSMUSG00000026289</v>
      </c>
      <c r="I3262" s="7" t="str">
        <f>HYPERLINK("http://www.informatics.jax.org/marker/MGI:1924290","MGI:1924290")</f>
        <v>MGI:1924290</v>
      </c>
      <c r="J3262" s="4" t="s">
        <v>12</v>
      </c>
    </row>
    <row r="3263" spans="1:10" x14ac:dyDescent="0.25">
      <c r="A3263" s="2">
        <v>1429.40129772606</v>
      </c>
      <c r="B3263" s="3">
        <v>0.32264946206172102</v>
      </c>
      <c r="C3263" s="3">
        <v>1.10864991383283E-4</v>
      </c>
      <c r="D3263" s="4">
        <v>3.72128958311208E-4</v>
      </c>
      <c r="E3263" s="3" t="s">
        <v>11761</v>
      </c>
      <c r="F3263" s="3" t="s">
        <v>11762</v>
      </c>
      <c r="G3263" s="3">
        <v>70097</v>
      </c>
      <c r="H3263" s="7" t="str">
        <f>HYPERLINK("http://www.ensembl.org/Mus_musculus/Gene/Summary?db=core;g=ENSMUSG00000015305","ENSMUSG00000015305")</f>
        <v>ENSMUSG00000015305</v>
      </c>
      <c r="I3263" s="7" t="str">
        <f>HYPERLINK("http://www.informatics.jax.org/marker/MGI:1917347","MGI:1917347")</f>
        <v>MGI:1917347</v>
      </c>
      <c r="J3263" s="4" t="s">
        <v>12</v>
      </c>
    </row>
    <row r="3264" spans="1:10" x14ac:dyDescent="0.25">
      <c r="A3264" s="2">
        <v>1903.7368641252799</v>
      </c>
      <c r="B3264" s="3">
        <v>0.32233428807262299</v>
      </c>
      <c r="C3264" s="5">
        <v>1.53896515520339E-8</v>
      </c>
      <c r="D3264" s="6">
        <v>7.4989851397605406E-8</v>
      </c>
      <c r="E3264" s="3" t="s">
        <v>8111</v>
      </c>
      <c r="F3264" s="3" t="s">
        <v>8112</v>
      </c>
      <c r="G3264" s="3">
        <v>100608</v>
      </c>
      <c r="H3264" s="7" t="str">
        <f>HYPERLINK("http://www.ensembl.org/Mus_musculus/Gene/Summary?db=core;g=ENSMUSG00000033294","ENSMUSG00000033294")</f>
        <v>ENSMUSG00000033294</v>
      </c>
      <c r="I3264" s="7" t="str">
        <f>HYPERLINK("http://www.informatics.jax.org/marker/MGI:2140843","MGI:2140843")</f>
        <v>MGI:2140843</v>
      </c>
      <c r="J3264" s="4" t="s">
        <v>12</v>
      </c>
    </row>
    <row r="3265" spans="1:10" x14ac:dyDescent="0.25">
      <c r="A3265" s="2">
        <v>1406.46291919596</v>
      </c>
      <c r="B3265" s="3">
        <v>0.32226746382608901</v>
      </c>
      <c r="C3265" s="5">
        <v>3.9065551934144904E-9</v>
      </c>
      <c r="D3265" s="6">
        <v>2.0009680107567201E-8</v>
      </c>
      <c r="E3265" s="3" t="s">
        <v>7716</v>
      </c>
      <c r="F3265" s="3" t="s">
        <v>7717</v>
      </c>
      <c r="G3265" s="3" t="s">
        <v>83</v>
      </c>
      <c r="H3265" s="7" t="str">
        <f>HYPERLINK("http://www.ensembl.org/Mus_musculus/Gene/Summary?db=core;g=ENSMUSG00000092232","ENSMUSG00000092232")</f>
        <v>ENSMUSG00000092232</v>
      </c>
      <c r="I3265" s="7" t="str">
        <f>HYPERLINK("http://www.informatics.jax.org/marker/MGI:5141986","MGI:5141986")</f>
        <v>MGI:5141986</v>
      </c>
      <c r="J3265" s="4" t="s">
        <v>12</v>
      </c>
    </row>
    <row r="3266" spans="1:10" x14ac:dyDescent="0.25">
      <c r="A3266" s="2">
        <v>1839.60529040301</v>
      </c>
      <c r="B3266" s="3">
        <v>0.32219149430761002</v>
      </c>
      <c r="C3266" s="5">
        <v>1.18572207712153E-8</v>
      </c>
      <c r="D3266" s="6">
        <v>5.8470716081111898E-8</v>
      </c>
      <c r="E3266" s="3" t="s">
        <v>8015</v>
      </c>
      <c r="F3266" s="3" t="s">
        <v>8016</v>
      </c>
      <c r="G3266" s="3">
        <v>69072</v>
      </c>
      <c r="H3266" s="7" t="str">
        <f>HYPERLINK("http://www.ensembl.org/Mus_musculus/Gene/Summary?db=core;g=ENSMUSG00000028729","ENSMUSG00000028729")</f>
        <v>ENSMUSG00000028729</v>
      </c>
      <c r="I3266" s="7" t="str">
        <f>HYPERLINK("http://www.informatics.jax.org/marker/MGI:1916322","MGI:1916322")</f>
        <v>MGI:1916322</v>
      </c>
      <c r="J3266" s="4" t="s">
        <v>12</v>
      </c>
    </row>
    <row r="3267" spans="1:10" x14ac:dyDescent="0.25">
      <c r="A3267" s="2">
        <v>249.78466440693001</v>
      </c>
      <c r="B3267" s="3">
        <v>0.32219042892317901</v>
      </c>
      <c r="C3267" s="3">
        <v>1.1566416477894899E-3</v>
      </c>
      <c r="D3267" s="4">
        <v>3.3791071547272199E-3</v>
      </c>
      <c r="E3267" s="3" t="s">
        <v>13509</v>
      </c>
      <c r="F3267" s="3" t="s">
        <v>13510</v>
      </c>
      <c r="G3267" s="3">
        <v>50754</v>
      </c>
      <c r="H3267" s="7" t="str">
        <f>HYPERLINK("http://www.ensembl.org/Mus_musculus/Gene/Summary?db=core;g=ENSMUSG00000028086","ENSMUSG00000028086")</f>
        <v>ENSMUSG00000028086</v>
      </c>
      <c r="I3267" s="7" t="str">
        <f>HYPERLINK("http://www.informatics.jax.org/marker/MGI:1354695","MGI:1354695")</f>
        <v>MGI:1354695</v>
      </c>
      <c r="J3267" s="4" t="s">
        <v>12</v>
      </c>
    </row>
    <row r="3268" spans="1:10" x14ac:dyDescent="0.25">
      <c r="A3268" s="2">
        <v>1030.01778818722</v>
      </c>
      <c r="B3268" s="3">
        <v>0.32215086865474601</v>
      </c>
      <c r="C3268" s="5">
        <v>3.3015548306474599E-7</v>
      </c>
      <c r="D3268" s="6">
        <v>1.4346994548340199E-6</v>
      </c>
      <c r="E3268" s="3" t="s">
        <v>9091</v>
      </c>
      <c r="F3268" s="3" t="s">
        <v>9092</v>
      </c>
      <c r="G3268" s="3">
        <v>97820</v>
      </c>
      <c r="H3268" s="7" t="str">
        <f>HYPERLINK("http://www.ensembl.org/Mus_musculus/Gene/Summary?db=core;g=ENSMUSG00000025871","ENSMUSG00000025871")</f>
        <v>ENSMUSG00000025871</v>
      </c>
      <c r="I3268" s="7" t="str">
        <f>HYPERLINK("http://www.informatics.jax.org/marker/MGI:1921162","MGI:1921162")</f>
        <v>MGI:1921162</v>
      </c>
      <c r="J3268" s="4" t="s">
        <v>12</v>
      </c>
    </row>
    <row r="3269" spans="1:10" x14ac:dyDescent="0.25">
      <c r="A3269" s="2">
        <v>1796.28099866569</v>
      </c>
      <c r="B3269" s="3">
        <v>0.32184710259138</v>
      </c>
      <c r="C3269" s="5">
        <v>1.6458876527786499E-7</v>
      </c>
      <c r="D3269" s="6">
        <v>7.3200055283705599E-7</v>
      </c>
      <c r="E3269" s="3" t="s">
        <v>8885</v>
      </c>
      <c r="F3269" s="3" t="s">
        <v>8886</v>
      </c>
      <c r="G3269" s="3">
        <v>19155</v>
      </c>
      <c r="H3269" s="7" t="str">
        <f>HYPERLINK("http://www.ensembl.org/Mus_musculus/Gene/Summary?db=core;g=ENSMUSG00000001441","ENSMUSG00000001441")</f>
        <v>ENSMUSG00000001441</v>
      </c>
      <c r="I3269" s="7" t="str">
        <f>HYPERLINK("http://www.informatics.jax.org/marker/MGI:1101358","MGI:1101358")</f>
        <v>MGI:1101358</v>
      </c>
      <c r="J3269" s="4" t="s">
        <v>12</v>
      </c>
    </row>
    <row r="3270" spans="1:10" x14ac:dyDescent="0.25">
      <c r="A3270" s="2">
        <v>6745.4920832274402</v>
      </c>
      <c r="B3270" s="3">
        <v>0.32180875887971999</v>
      </c>
      <c r="C3270" s="5">
        <v>1.61121286661829E-8</v>
      </c>
      <c r="D3270" s="6">
        <v>7.8452142542500402E-8</v>
      </c>
      <c r="E3270" s="3" t="s">
        <v>8117</v>
      </c>
      <c r="F3270" s="3" t="s">
        <v>8118</v>
      </c>
      <c r="G3270" s="3">
        <v>66882</v>
      </c>
      <c r="H3270" s="7" t="str">
        <f>HYPERLINK("http://www.ensembl.org/Mus_musculus/Gene/Summary?db=core;g=ENSMUSG00000051223","ENSMUSG00000051223")</f>
        <v>ENSMUSG00000051223</v>
      </c>
      <c r="I3270" s="7" t="str">
        <f>HYPERLINK("http://www.informatics.jax.org/marker/MGI:1914132","MGI:1914132")</f>
        <v>MGI:1914132</v>
      </c>
      <c r="J3270" s="4" t="s">
        <v>12</v>
      </c>
    </row>
    <row r="3271" spans="1:10" x14ac:dyDescent="0.25">
      <c r="A3271" s="2">
        <v>461.00259812041003</v>
      </c>
      <c r="B3271" s="3">
        <v>0.32176437031620198</v>
      </c>
      <c r="C3271" s="3">
        <v>1.13509974458148E-2</v>
      </c>
      <c r="D3271" s="4">
        <v>2.78999962148158E-2</v>
      </c>
      <c r="E3271" s="3" t="s">
        <v>16051</v>
      </c>
      <c r="F3271" s="3" t="s">
        <v>16052</v>
      </c>
      <c r="G3271" s="3">
        <v>232533</v>
      </c>
      <c r="H3271" s="7" t="str">
        <f>HYPERLINK("http://www.ensembl.org/Mus_musculus/Gene/Summary?db=core;g=ENSMUSG00000001630","ENSMUSG00000001630")</f>
        <v>ENSMUSG00000001630</v>
      </c>
      <c r="I3271" s="7" t="str">
        <f>HYPERLINK("http://www.informatics.jax.org/marker/MGI:1922250","MGI:1922250")</f>
        <v>MGI:1922250</v>
      </c>
      <c r="J3271" s="4" t="s">
        <v>12</v>
      </c>
    </row>
    <row r="3272" spans="1:10" x14ac:dyDescent="0.25">
      <c r="A3272" s="2">
        <v>842.79520237117504</v>
      </c>
      <c r="B3272" s="3">
        <v>0.32167555354975602</v>
      </c>
      <c r="C3272" s="5">
        <v>4.4945400552865701E-5</v>
      </c>
      <c r="D3272" s="4">
        <v>1.5731687946441401E-4</v>
      </c>
      <c r="E3272" s="3" t="s">
        <v>11279</v>
      </c>
      <c r="F3272" s="3" t="s">
        <v>11280</v>
      </c>
      <c r="G3272" s="3">
        <v>12370</v>
      </c>
      <c r="H3272" s="7" t="str">
        <f>HYPERLINK("http://www.ensembl.org/Mus_musculus/Gene/Summary?db=core;g=ENSMUSG00000026029","ENSMUSG00000026029")</f>
        <v>ENSMUSG00000026029</v>
      </c>
      <c r="I3272" s="7" t="str">
        <f>HYPERLINK("http://www.informatics.jax.org/marker/MGI:1261423","MGI:1261423")</f>
        <v>MGI:1261423</v>
      </c>
      <c r="J3272" s="4" t="s">
        <v>12</v>
      </c>
    </row>
    <row r="3273" spans="1:10" x14ac:dyDescent="0.25">
      <c r="A3273" s="2">
        <v>331.51228489082899</v>
      </c>
      <c r="B3273" s="3">
        <v>0.32166277624620998</v>
      </c>
      <c r="C3273" s="3">
        <v>1.17106731488047E-4</v>
      </c>
      <c r="D3273" s="4">
        <v>3.9154709137746398E-4</v>
      </c>
      <c r="E3273" s="3" t="s">
        <v>11807</v>
      </c>
      <c r="F3273" s="3" t="s">
        <v>11808</v>
      </c>
      <c r="G3273" s="3">
        <v>213993</v>
      </c>
      <c r="H3273" s="7" t="str">
        <f>HYPERLINK("http://www.ensembl.org/Mus_musculus/Gene/Summary?db=core;g=ENSMUSG00000035173","ENSMUSG00000035173")</f>
        <v>ENSMUSG00000035173</v>
      </c>
      <c r="I3273" s="7" t="str">
        <f>HYPERLINK("http://www.informatics.jax.org/marker/MGI:2445022","MGI:2445022")</f>
        <v>MGI:2445022</v>
      </c>
      <c r="J3273" s="4" t="s">
        <v>12</v>
      </c>
    </row>
    <row r="3274" spans="1:10" x14ac:dyDescent="0.25">
      <c r="A3274" s="2">
        <v>985.91259186283401</v>
      </c>
      <c r="B3274" s="3">
        <v>0.32154421063300198</v>
      </c>
      <c r="C3274" s="5">
        <v>8.8238510539070005E-9</v>
      </c>
      <c r="D3274" s="6">
        <v>4.3985425374885202E-8</v>
      </c>
      <c r="E3274" s="3" t="s">
        <v>7928</v>
      </c>
      <c r="F3274" s="3" t="s">
        <v>7929</v>
      </c>
      <c r="G3274" s="3">
        <v>102545</v>
      </c>
      <c r="H3274" s="7" t="str">
        <f>HYPERLINK("http://www.ensembl.org/Mus_musculus/Gene/Summary?db=core;g=ENSMUSG00000032436","ENSMUSG00000032436")</f>
        <v>ENSMUSG00000032436</v>
      </c>
      <c r="I3274" s="7" t="str">
        <f>HYPERLINK("http://www.informatics.jax.org/marker/MGI:2447166","MGI:2447166")</f>
        <v>MGI:2447166</v>
      </c>
      <c r="J3274" s="4" t="s">
        <v>12</v>
      </c>
    </row>
    <row r="3275" spans="1:10" x14ac:dyDescent="0.25">
      <c r="A3275" s="2">
        <v>4604.63269103332</v>
      </c>
      <c r="B3275" s="3">
        <v>0.321531853569759</v>
      </c>
      <c r="C3275" s="5">
        <v>4.4443568662262601E-14</v>
      </c>
      <c r="D3275" s="6">
        <v>3.2328556769451102E-13</v>
      </c>
      <c r="E3275" s="3" t="s">
        <v>5439</v>
      </c>
      <c r="F3275" s="3" t="s">
        <v>5440</v>
      </c>
      <c r="G3275" s="3">
        <v>68278</v>
      </c>
      <c r="H3275" s="7" t="str">
        <f>HYPERLINK("http://www.ensembl.org/Mus_musculus/Gene/Summary?db=core;g=ENSMUSG00000005481","ENSMUSG00000005481")</f>
        <v>ENSMUSG00000005481</v>
      </c>
      <c r="I3275" s="7" t="str">
        <f>HYPERLINK("http://www.informatics.jax.org/marker/MGI:1915528","MGI:1915528")</f>
        <v>MGI:1915528</v>
      </c>
      <c r="J3275" s="4" t="s">
        <v>12</v>
      </c>
    </row>
    <row r="3276" spans="1:10" x14ac:dyDescent="0.25">
      <c r="A3276" s="2">
        <v>2220.22317746817</v>
      </c>
      <c r="B3276" s="3">
        <v>0.32148285100125501</v>
      </c>
      <c r="C3276" s="5">
        <v>5.7521788097536999E-11</v>
      </c>
      <c r="D3276" s="6">
        <v>3.4063953792295201E-10</v>
      </c>
      <c r="E3276" s="3" t="s">
        <v>6677</v>
      </c>
      <c r="F3276" s="3" t="s">
        <v>6678</v>
      </c>
      <c r="G3276" s="3">
        <v>26992</v>
      </c>
      <c r="H3276" s="7" t="str">
        <f>HYPERLINK("http://www.ensembl.org/Mus_musculus/Gene/Summary?db=core;g=ENSMUSG00000031660","ENSMUSG00000031660")</f>
        <v>ENSMUSG00000031660</v>
      </c>
      <c r="I3276" s="7" t="str">
        <f>HYPERLINK("http://www.informatics.jax.org/marker/MGI:1349766","MGI:1349766")</f>
        <v>MGI:1349766</v>
      </c>
      <c r="J3276" s="4" t="s">
        <v>12</v>
      </c>
    </row>
    <row r="3277" spans="1:10" x14ac:dyDescent="0.25">
      <c r="A3277" s="2">
        <v>1445.0338265349101</v>
      </c>
      <c r="B3277" s="3">
        <v>0.32128534729971298</v>
      </c>
      <c r="C3277" s="5">
        <v>8.6983743159429498E-12</v>
      </c>
      <c r="D3277" s="6">
        <v>5.46628239357537E-11</v>
      </c>
      <c r="E3277" s="3" t="s">
        <v>6293</v>
      </c>
      <c r="F3277" s="3" t="s">
        <v>6294</v>
      </c>
      <c r="G3277" s="3">
        <v>69981</v>
      </c>
      <c r="H3277" s="7" t="str">
        <f>HYPERLINK("http://www.ensembl.org/Mus_musculus/Gene/Summary?db=core;g=ENSMUSG00000032328","ENSMUSG00000032328")</f>
        <v>ENSMUSG00000032328</v>
      </c>
      <c r="I3277" s="7" t="str">
        <f>HYPERLINK("http://www.informatics.jax.org/marker/MGI:106402","MGI:106402")</f>
        <v>MGI:106402</v>
      </c>
      <c r="J3277" s="4" t="s">
        <v>12</v>
      </c>
    </row>
    <row r="3278" spans="1:10" x14ac:dyDescent="0.25">
      <c r="A3278" s="2">
        <v>2287.6408949237498</v>
      </c>
      <c r="B3278" s="3">
        <v>0.32119511709440002</v>
      </c>
      <c r="C3278" s="5">
        <v>1.5011935197450399E-8</v>
      </c>
      <c r="D3278" s="6">
        <v>7.3221707171338395E-8</v>
      </c>
      <c r="E3278" s="3" t="s">
        <v>8103</v>
      </c>
      <c r="F3278" s="3" t="s">
        <v>8104</v>
      </c>
      <c r="G3278" s="3">
        <v>12028</v>
      </c>
      <c r="H3278" s="7" t="str">
        <f>HYPERLINK("http://www.ensembl.org/Mus_musculus/Gene/Summary?db=core;g=ENSMUSG00000003873","ENSMUSG00000003873")</f>
        <v>ENSMUSG00000003873</v>
      </c>
      <c r="I3278" s="7" t="str">
        <f>HYPERLINK("http://www.informatics.jax.org/marker/MGI:99702","MGI:99702")</f>
        <v>MGI:99702</v>
      </c>
      <c r="J3278" s="4" t="s">
        <v>12</v>
      </c>
    </row>
    <row r="3279" spans="1:10" x14ac:dyDescent="0.25">
      <c r="A3279" s="2">
        <v>2140.07587618459</v>
      </c>
      <c r="B3279" s="3">
        <v>0.32074604025978398</v>
      </c>
      <c r="C3279" s="5">
        <v>5.7972792396539201E-8</v>
      </c>
      <c r="D3279" s="6">
        <v>2.6798487249408198E-7</v>
      </c>
      <c r="E3279" s="3" t="s">
        <v>8549</v>
      </c>
      <c r="F3279" s="3" t="s">
        <v>8550</v>
      </c>
      <c r="G3279" s="3">
        <v>52626</v>
      </c>
      <c r="H3279" s="7" t="str">
        <f>HYPERLINK("http://www.ensembl.org/Mus_musculus/Gene/Summary?db=core;g=ENSMUSG00000020392","ENSMUSG00000020392")</f>
        <v>ENSMUSG00000020392</v>
      </c>
      <c r="I3279" s="7" t="str">
        <f>HYPERLINK("http://www.informatics.jax.org/marker/MGI:1261797","MGI:1261797")</f>
        <v>MGI:1261797</v>
      </c>
      <c r="J3279" s="4" t="s">
        <v>12</v>
      </c>
    </row>
    <row r="3280" spans="1:10" x14ac:dyDescent="0.25">
      <c r="A3280" s="2">
        <v>3900.7143368985899</v>
      </c>
      <c r="B3280" s="3">
        <v>0.320647742747381</v>
      </c>
      <c r="C3280" s="5">
        <v>4.57966346141245E-12</v>
      </c>
      <c r="D3280" s="6">
        <v>2.9465240932807003E-11</v>
      </c>
      <c r="E3280" s="3" t="s">
        <v>6147</v>
      </c>
      <c r="F3280" s="3" t="s">
        <v>6148</v>
      </c>
      <c r="G3280" s="3">
        <v>11845</v>
      </c>
      <c r="H3280" s="7" t="str">
        <f>HYPERLINK("http://www.ensembl.org/Mus_musculus/Gene/Summary?db=core;g=ENSMUSG00000044147","ENSMUSG00000044147")</f>
        <v>ENSMUSG00000044147</v>
      </c>
      <c r="I3280" s="7" t="str">
        <f>HYPERLINK("http://www.informatics.jax.org/marker/MGI:99435","MGI:99435")</f>
        <v>MGI:99435</v>
      </c>
      <c r="J3280" s="4" t="s">
        <v>12</v>
      </c>
    </row>
    <row r="3281" spans="1:10" x14ac:dyDescent="0.25">
      <c r="A3281" s="2">
        <v>689.04238211816005</v>
      </c>
      <c r="B3281" s="3">
        <v>0.320544427950268</v>
      </c>
      <c r="C3281" s="5">
        <v>1.29434417386282E-8</v>
      </c>
      <c r="D3281" s="6">
        <v>6.3541118019852604E-8</v>
      </c>
      <c r="E3281" s="3" t="s">
        <v>8051</v>
      </c>
      <c r="F3281" s="3" t="s">
        <v>8052</v>
      </c>
      <c r="G3281" s="3">
        <v>75398</v>
      </c>
      <c r="H3281" s="7" t="str">
        <f>HYPERLINK("http://www.ensembl.org/Mus_musculus/Gene/Summary?db=core;g=ENSMUSG00000015672","ENSMUSG00000015672")</f>
        <v>ENSMUSG00000015672</v>
      </c>
      <c r="I3281" s="7" t="str">
        <f>HYPERLINK("http://www.informatics.jax.org/marker/MGI:2137226","MGI:2137226")</f>
        <v>MGI:2137226</v>
      </c>
      <c r="J3281" s="4" t="s">
        <v>12</v>
      </c>
    </row>
    <row r="3282" spans="1:10" x14ac:dyDescent="0.25">
      <c r="A3282" s="2">
        <v>1043.74890551255</v>
      </c>
      <c r="B3282" s="3">
        <v>0.32050082189703699</v>
      </c>
      <c r="C3282" s="5">
        <v>2.8369033703219599E-8</v>
      </c>
      <c r="D3282" s="6">
        <v>1.3509716122373601E-7</v>
      </c>
      <c r="E3282" s="3" t="s">
        <v>8299</v>
      </c>
      <c r="F3282" s="3" t="s">
        <v>8300</v>
      </c>
      <c r="G3282" s="3">
        <v>78783</v>
      </c>
      <c r="H3282" s="7" t="str">
        <f>HYPERLINK("http://www.ensembl.org/Mus_musculus/Gene/Summary?db=core;g=ENSMUSG00000001632","ENSMUSG00000001632")</f>
        <v>ENSMUSG00000001632</v>
      </c>
      <c r="I3282" s="7" t="str">
        <f>HYPERLINK("http://www.informatics.jax.org/marker/MGI:1926033","MGI:1926033")</f>
        <v>MGI:1926033</v>
      </c>
      <c r="J3282" s="4" t="s">
        <v>12</v>
      </c>
    </row>
    <row r="3283" spans="1:10" x14ac:dyDescent="0.25">
      <c r="A3283" s="2">
        <v>995.79892138019204</v>
      </c>
      <c r="B3283" s="3">
        <v>0.32044224991268799</v>
      </c>
      <c r="C3283" s="5">
        <v>2.2834538162928899E-11</v>
      </c>
      <c r="D3283" s="6">
        <v>1.39324595474307E-10</v>
      </c>
      <c r="E3283" s="3" t="s">
        <v>6481</v>
      </c>
      <c r="F3283" s="3" t="s">
        <v>6482</v>
      </c>
      <c r="G3283" s="3">
        <v>75717</v>
      </c>
      <c r="H3283" s="7" t="str">
        <f>HYPERLINK("http://www.ensembl.org/Mus_musculus/Gene/Summary?db=core;g=ENSMUSG00000032030","ENSMUSG00000032030")</f>
        <v>ENSMUSG00000032030</v>
      </c>
      <c r="I3283" s="7" t="str">
        <f>HYPERLINK("http://www.informatics.jax.org/marker/MGI:1922967","MGI:1922967")</f>
        <v>MGI:1922967</v>
      </c>
      <c r="J3283" s="4" t="s">
        <v>12</v>
      </c>
    </row>
    <row r="3284" spans="1:10" x14ac:dyDescent="0.25">
      <c r="A3284" s="2">
        <v>182.22482972402</v>
      </c>
      <c r="B3284" s="3">
        <v>0.31995163849456598</v>
      </c>
      <c r="C3284" s="3">
        <v>3.6746009495138498E-4</v>
      </c>
      <c r="D3284" s="4">
        <v>1.1511220130963199E-3</v>
      </c>
      <c r="E3284" s="3" t="s">
        <v>12603</v>
      </c>
      <c r="F3284" s="3" t="s">
        <v>12604</v>
      </c>
      <c r="G3284" s="3">
        <v>75458</v>
      </c>
      <c r="H3284" s="7" t="str">
        <f>HYPERLINK("http://www.ensembl.org/Mus_musculus/Gene/Summary?db=core;g=ENSMUSG00000054400","ENSMUSG00000054400")</f>
        <v>ENSMUSG00000054400</v>
      </c>
      <c r="I3284" s="7" t="str">
        <f>HYPERLINK("http://www.informatics.jax.org/marker/MGI:1922708","MGI:1922708")</f>
        <v>MGI:1922708</v>
      </c>
      <c r="J3284" s="4" t="s">
        <v>12</v>
      </c>
    </row>
    <row r="3285" spans="1:10" x14ac:dyDescent="0.25">
      <c r="A3285" s="2">
        <v>2278.1072803193201</v>
      </c>
      <c r="B3285" s="3">
        <v>0.319947673682203</v>
      </c>
      <c r="C3285" s="5">
        <v>3.7127340081229798E-12</v>
      </c>
      <c r="D3285" s="6">
        <v>2.4107709792619401E-11</v>
      </c>
      <c r="E3285" s="3" t="s">
        <v>6091</v>
      </c>
      <c r="F3285" s="3" t="s">
        <v>6092</v>
      </c>
      <c r="G3285" s="3">
        <v>15568</v>
      </c>
      <c r="H3285" s="7" t="str">
        <f>HYPERLINK("http://www.ensembl.org/Mus_musculus/Gene/Summary?db=core;g=ENSMUSG00000040028","ENSMUSG00000040028")</f>
        <v>ENSMUSG00000040028</v>
      </c>
      <c r="I3285" s="7" t="str">
        <f>HYPERLINK("http://www.informatics.jax.org/marker/MGI:1100851","MGI:1100851")</f>
        <v>MGI:1100851</v>
      </c>
      <c r="J3285" s="4" t="s">
        <v>12</v>
      </c>
    </row>
    <row r="3286" spans="1:10" x14ac:dyDescent="0.25">
      <c r="A3286" s="2">
        <v>533.06011563745301</v>
      </c>
      <c r="B3286" s="3">
        <v>0.31981316142890698</v>
      </c>
      <c r="C3286" s="5">
        <v>3.0709915755531701E-6</v>
      </c>
      <c r="D3286" s="6">
        <v>1.2109568860209699E-5</v>
      </c>
      <c r="E3286" s="3" t="s">
        <v>10018</v>
      </c>
      <c r="F3286" s="3" t="s">
        <v>10019</v>
      </c>
      <c r="G3286" s="3">
        <v>66589</v>
      </c>
      <c r="H3286" s="7" t="str">
        <f>HYPERLINK("http://www.ensembl.org/Mus_musculus/Gene/Summary?db=core;g=ENSMUSG00000078923","ENSMUSG00000078923")</f>
        <v>ENSMUSG00000078923</v>
      </c>
      <c r="I3286" s="7" t="str">
        <f>HYPERLINK("http://www.informatics.jax.org/marker/MGI:1913839","MGI:1913839")</f>
        <v>MGI:1913839</v>
      </c>
      <c r="J3286" s="4" t="s">
        <v>12</v>
      </c>
    </row>
    <row r="3287" spans="1:10" x14ac:dyDescent="0.25">
      <c r="A3287" s="2">
        <v>1632.4667465933901</v>
      </c>
      <c r="B3287" s="3">
        <v>0.31974595476760398</v>
      </c>
      <c r="C3287" s="5">
        <v>1.07532612360916E-5</v>
      </c>
      <c r="D3287" s="6">
        <v>4.0154196473343402E-5</v>
      </c>
      <c r="E3287" s="3" t="s">
        <v>10575</v>
      </c>
      <c r="F3287" s="3" t="s">
        <v>10576</v>
      </c>
      <c r="G3287" s="3">
        <v>68272</v>
      </c>
      <c r="H3287" s="7" t="str">
        <f>HYPERLINK("http://www.ensembl.org/Mus_musculus/Gene/Summary?db=core;g=ENSMUSG00000029701","ENSMUSG00000029701")</f>
        <v>ENSMUSG00000029701</v>
      </c>
      <c r="I3287" s="7" t="str">
        <f>HYPERLINK("http://www.informatics.jax.org/marker/MGI:2655711","MGI:2655711")</f>
        <v>MGI:2655711</v>
      </c>
      <c r="J3287" s="4" t="s">
        <v>12</v>
      </c>
    </row>
    <row r="3288" spans="1:10" x14ac:dyDescent="0.25">
      <c r="A3288" s="2">
        <v>2108.6894254437202</v>
      </c>
      <c r="B3288" s="3">
        <v>0.31971763297746097</v>
      </c>
      <c r="C3288" s="5">
        <v>6.4941170484368399E-8</v>
      </c>
      <c r="D3288" s="6">
        <v>2.9872635454904298E-7</v>
      </c>
      <c r="E3288" s="3" t="s">
        <v>8591</v>
      </c>
      <c r="F3288" s="3" t="s">
        <v>8592</v>
      </c>
      <c r="G3288" s="3">
        <v>20018</v>
      </c>
      <c r="H3288" s="7" t="str">
        <f>HYPERLINK("http://www.ensembl.org/Mus_musculus/Gene/Summary?db=core;g=ENSMUSG00000029642","ENSMUSG00000029642")</f>
        <v>ENSMUSG00000029642</v>
      </c>
      <c r="I3288" s="7" t="str">
        <f>HYPERLINK("http://www.informatics.jax.org/marker/MGI:108403","MGI:108403")</f>
        <v>MGI:108403</v>
      </c>
      <c r="J3288" s="4" t="s">
        <v>12</v>
      </c>
    </row>
    <row r="3289" spans="1:10" x14ac:dyDescent="0.25">
      <c r="A3289" s="2">
        <v>841.60184325042701</v>
      </c>
      <c r="B3289" s="3">
        <v>0.31964697490689298</v>
      </c>
      <c r="C3289" s="5">
        <v>3.26003543237406E-10</v>
      </c>
      <c r="D3289" s="6">
        <v>1.81809668343938E-9</v>
      </c>
      <c r="E3289" s="3" t="s">
        <v>7090</v>
      </c>
      <c r="F3289" s="3" t="s">
        <v>7091</v>
      </c>
      <c r="G3289" s="3">
        <v>26428</v>
      </c>
      <c r="H3289" s="7" t="str">
        <f>HYPERLINK("http://www.ensembl.org/Mus_musculus/Gene/Summary?db=core;g=ENSMUSG00000026761","ENSMUSG00000026761")</f>
        <v>ENSMUSG00000026761</v>
      </c>
      <c r="I3289" s="7" t="str">
        <f>HYPERLINK("http://www.informatics.jax.org/marker/MGI:1347043","MGI:1347043")</f>
        <v>MGI:1347043</v>
      </c>
      <c r="J3289" s="4" t="s">
        <v>12</v>
      </c>
    </row>
    <row r="3290" spans="1:10" x14ac:dyDescent="0.25">
      <c r="A3290" s="2">
        <v>3014.55485207729</v>
      </c>
      <c r="B3290" s="3">
        <v>0.31924154076956301</v>
      </c>
      <c r="C3290" s="5">
        <v>1.07669820471877E-5</v>
      </c>
      <c r="D3290" s="6">
        <v>4.0190211238035303E-5</v>
      </c>
      <c r="E3290" s="3" t="s">
        <v>10579</v>
      </c>
      <c r="F3290" s="3" t="s">
        <v>10580</v>
      </c>
      <c r="G3290" s="3">
        <v>11352</v>
      </c>
      <c r="H3290" s="7" t="str">
        <f>HYPERLINK("http://www.ensembl.org/Mus_musculus/Gene/Summary?db=core;g=ENSMUSG00000026596","ENSMUSG00000026596")</f>
        <v>ENSMUSG00000026596</v>
      </c>
      <c r="I3290" s="7" t="str">
        <f>HYPERLINK("http://www.informatics.jax.org/marker/MGI:87860","MGI:87860")</f>
        <v>MGI:87860</v>
      </c>
      <c r="J3290" s="4" t="s">
        <v>12</v>
      </c>
    </row>
    <row r="3291" spans="1:10" x14ac:dyDescent="0.25">
      <c r="A3291" s="2">
        <v>1349.6840622080599</v>
      </c>
      <c r="B3291" s="3">
        <v>0.31910027776551397</v>
      </c>
      <c r="C3291" s="5">
        <v>2.79763146351654E-8</v>
      </c>
      <c r="D3291" s="6">
        <v>1.3338803786399E-7</v>
      </c>
      <c r="E3291" s="3" t="s">
        <v>8289</v>
      </c>
      <c r="F3291" s="3" t="s">
        <v>8290</v>
      </c>
      <c r="G3291" s="3">
        <v>231915</v>
      </c>
      <c r="H3291" s="7" t="str">
        <f>HYPERLINK("http://www.ensembl.org/Mus_musculus/Gene/Summary?db=core;g=ENSMUSG00000041264","ENSMUSG00000041264")</f>
        <v>ENSMUSG00000041264</v>
      </c>
      <c r="I3291" s="7" t="str">
        <f>HYPERLINK("http://www.informatics.jax.org/marker/MGI:2442342","MGI:2442342")</f>
        <v>MGI:2442342</v>
      </c>
      <c r="J3291" s="4" t="s">
        <v>12</v>
      </c>
    </row>
    <row r="3292" spans="1:10" x14ac:dyDescent="0.25">
      <c r="A3292" s="2">
        <v>223.86423238881801</v>
      </c>
      <c r="B3292" s="3">
        <v>0.31873447255979698</v>
      </c>
      <c r="C3292" s="3">
        <v>7.2189605444261899E-3</v>
      </c>
      <c r="D3292" s="4">
        <v>1.8480838885639998E-2</v>
      </c>
      <c r="E3292" s="3" t="s">
        <v>15411</v>
      </c>
      <c r="F3292" s="3" t="s">
        <v>15412</v>
      </c>
      <c r="G3292" s="3" t="s">
        <v>83</v>
      </c>
      <c r="H3292" s="7" t="str">
        <f>HYPERLINK("http://www.ensembl.org/Mus_musculus/Gene/Summary?db=core;g=ENSMUSG00000097589","ENSMUSG00000097589")</f>
        <v>ENSMUSG00000097589</v>
      </c>
      <c r="I3292" s="7" t="str">
        <f>HYPERLINK("http://www.informatics.jax.org/marker/MGI:1934030","MGI:1934030")</f>
        <v>MGI:1934030</v>
      </c>
      <c r="J3292" s="4" t="s">
        <v>331</v>
      </c>
    </row>
    <row r="3293" spans="1:10" x14ac:dyDescent="0.25">
      <c r="A3293" s="2">
        <v>3027.0075103824402</v>
      </c>
      <c r="B3293" s="3">
        <v>0.31853635132536401</v>
      </c>
      <c r="C3293" s="5">
        <v>2.5024458267152102E-10</v>
      </c>
      <c r="D3293" s="6">
        <v>1.4095467495807999E-9</v>
      </c>
      <c r="E3293" s="3" t="s">
        <v>7020</v>
      </c>
      <c r="F3293" s="3" t="s">
        <v>7021</v>
      </c>
      <c r="G3293" s="3">
        <v>213895</v>
      </c>
      <c r="H3293" s="7" t="str">
        <f>HYPERLINK("http://www.ensembl.org/Mus_musculus/Gene/Summary?db=core;g=ENSMUSG00000030138","ENSMUSG00000030138")</f>
        <v>ENSMUSG00000030138</v>
      </c>
      <c r="I3293" s="7" t="str">
        <f>HYPERLINK("http://www.informatics.jax.org/marker/MGI:2446132","MGI:2446132")</f>
        <v>MGI:2446132</v>
      </c>
      <c r="J3293" s="4" t="s">
        <v>12</v>
      </c>
    </row>
    <row r="3294" spans="1:10" x14ac:dyDescent="0.25">
      <c r="A3294" s="2">
        <v>1062.7291293457699</v>
      </c>
      <c r="B3294" s="3">
        <v>0.31834771671391698</v>
      </c>
      <c r="C3294" s="3">
        <v>2.3210172650709E-3</v>
      </c>
      <c r="D3294" s="4">
        <v>6.4867432634918001E-3</v>
      </c>
      <c r="E3294" s="3" t="s">
        <v>14119</v>
      </c>
      <c r="F3294" s="3" t="s">
        <v>14120</v>
      </c>
      <c r="G3294" s="3" t="s">
        <v>83</v>
      </c>
      <c r="H3294" s="7" t="str">
        <f>HYPERLINK("http://www.ensembl.org/Mus_musculus/Gene/Summary?db=core;g=ENSMUSG00000092203","ENSMUSG00000092203")</f>
        <v>ENSMUSG00000092203</v>
      </c>
      <c r="I3294" s="7" t="str">
        <f>HYPERLINK("http://www.informatics.jax.org/marker/MGI:1916013","MGI:1916013")</f>
        <v>MGI:1916013</v>
      </c>
      <c r="J3294" s="4" t="s">
        <v>331</v>
      </c>
    </row>
    <row r="3295" spans="1:10" x14ac:dyDescent="0.25">
      <c r="A3295" s="2">
        <v>1034.0832043820701</v>
      </c>
      <c r="B3295" s="3">
        <v>0.31800968762677201</v>
      </c>
      <c r="C3295" s="3">
        <v>1.14739212733485E-3</v>
      </c>
      <c r="D3295" s="4">
        <v>3.3555646968772401E-3</v>
      </c>
      <c r="E3295" s="3" t="s">
        <v>13495</v>
      </c>
      <c r="F3295" s="3" t="s">
        <v>13496</v>
      </c>
      <c r="G3295" s="3">
        <v>241490</v>
      </c>
      <c r="H3295" s="7" t="str">
        <f>HYPERLINK("http://www.ensembl.org/Mus_musculus/Gene/Summary?db=core;g=ENSMUSG00000042369","ENSMUSG00000042369")</f>
        <v>ENSMUSG00000042369</v>
      </c>
      <c r="I3295" s="7" t="str">
        <f>HYPERLINK("http://www.informatics.jax.org/marker/MGI:2387367","MGI:2387367")</f>
        <v>MGI:2387367</v>
      </c>
      <c r="J3295" s="4" t="s">
        <v>12</v>
      </c>
    </row>
    <row r="3296" spans="1:10" x14ac:dyDescent="0.25">
      <c r="A3296" s="2">
        <v>3344.2510383144199</v>
      </c>
      <c r="B3296" s="3">
        <v>0.317688292314806</v>
      </c>
      <c r="C3296" s="5">
        <v>2.67752042863586E-14</v>
      </c>
      <c r="D3296" s="6">
        <v>1.9812646473808299E-13</v>
      </c>
      <c r="E3296" s="3" t="s">
        <v>5347</v>
      </c>
      <c r="F3296" s="3" t="s">
        <v>5348</v>
      </c>
      <c r="G3296" s="3">
        <v>218914</v>
      </c>
      <c r="H3296" s="7" t="str">
        <f>HYPERLINK("http://www.ensembl.org/Mus_musculus/Gene/Summary?db=core;g=ENSMUSG00000041408","ENSMUSG00000041408")</f>
        <v>ENSMUSG00000041408</v>
      </c>
      <c r="I3296" s="7" t="str">
        <f>HYPERLINK("http://www.informatics.jax.org/marker/MGI:2675859","MGI:2675859")</f>
        <v>MGI:2675859</v>
      </c>
      <c r="J3296" s="4" t="s">
        <v>12</v>
      </c>
    </row>
    <row r="3297" spans="1:10" x14ac:dyDescent="0.25">
      <c r="A3297" s="2">
        <v>303.15671940978098</v>
      </c>
      <c r="B3297" s="3">
        <v>0.31741509000412899</v>
      </c>
      <c r="C3297" s="5">
        <v>4.8042864525778099E-5</v>
      </c>
      <c r="D3297" s="4">
        <v>1.6756372275351E-4</v>
      </c>
      <c r="E3297" s="3" t="s">
        <v>11319</v>
      </c>
      <c r="F3297" s="3" t="s">
        <v>11320</v>
      </c>
      <c r="G3297" s="3">
        <v>52184</v>
      </c>
      <c r="H3297" s="7" t="str">
        <f>HYPERLINK("http://www.ensembl.org/Mus_musculus/Gene/Summary?db=core;g=ENSMUSG00000028256","ENSMUSG00000028256")</f>
        <v>ENSMUSG00000028256</v>
      </c>
      <c r="I3297" s="7" t="str">
        <f>HYPERLINK("http://www.informatics.jax.org/marker/MGI:1098600","MGI:1098600")</f>
        <v>MGI:1098600</v>
      </c>
      <c r="J3297" s="4" t="s">
        <v>12</v>
      </c>
    </row>
    <row r="3298" spans="1:10" x14ac:dyDescent="0.25">
      <c r="A3298" s="2">
        <v>503.51997103863903</v>
      </c>
      <c r="B3298" s="3">
        <v>0.31725499595671602</v>
      </c>
      <c r="C3298" s="5">
        <v>1.0945961639014799E-8</v>
      </c>
      <c r="D3298" s="6">
        <v>5.4153126824227799E-8</v>
      </c>
      <c r="E3298" s="3" t="s">
        <v>7989</v>
      </c>
      <c r="F3298" s="3" t="s">
        <v>7990</v>
      </c>
      <c r="G3298" s="3">
        <v>71793</v>
      </c>
      <c r="H3298" s="7" t="str">
        <f>HYPERLINK("http://www.ensembl.org/Mus_musculus/Gene/Summary?db=core;g=ENSMUSG00000028016","ENSMUSG00000028016")</f>
        <v>ENSMUSG00000028016</v>
      </c>
      <c r="I3298" s="7" t="str">
        <f>HYPERLINK("http://www.informatics.jax.org/marker/MGI:1919043","MGI:1919043")</f>
        <v>MGI:1919043</v>
      </c>
      <c r="J3298" s="4" t="s">
        <v>12</v>
      </c>
    </row>
    <row r="3299" spans="1:10" x14ac:dyDescent="0.25">
      <c r="A3299" s="2">
        <v>496.53685173385702</v>
      </c>
      <c r="B3299" s="3">
        <v>0.31676831468354599</v>
      </c>
      <c r="C3299" s="5">
        <v>4.4689567029434202E-7</v>
      </c>
      <c r="D3299" s="6">
        <v>1.9154059157149401E-6</v>
      </c>
      <c r="E3299" s="3" t="s">
        <v>9217</v>
      </c>
      <c r="F3299" s="3" t="s">
        <v>9218</v>
      </c>
      <c r="G3299" s="3">
        <v>67674</v>
      </c>
      <c r="H3299" s="7" t="str">
        <f>HYPERLINK("http://www.ensembl.org/Mus_musculus/Gene/Summary?db=core;g=ENSMUSG00000038812","ENSMUSG00000038812")</f>
        <v>ENSMUSG00000038812</v>
      </c>
      <c r="I3299" s="7" t="str">
        <f>HYPERLINK("http://www.informatics.jax.org/marker/MGI:1914924","MGI:1914924")</f>
        <v>MGI:1914924</v>
      </c>
      <c r="J3299" s="4" t="s">
        <v>12</v>
      </c>
    </row>
    <row r="3300" spans="1:10" x14ac:dyDescent="0.25">
      <c r="A3300" s="2">
        <v>2356.48283578068</v>
      </c>
      <c r="B3300" s="3">
        <v>0.31669657761962899</v>
      </c>
      <c r="C3300" s="5">
        <v>8.9997011453788101E-12</v>
      </c>
      <c r="D3300" s="6">
        <v>5.6476397080058801E-11</v>
      </c>
      <c r="E3300" s="3" t="s">
        <v>6301</v>
      </c>
      <c r="F3300" s="3" t="s">
        <v>6302</v>
      </c>
      <c r="G3300" s="3">
        <v>72692</v>
      </c>
      <c r="H3300" s="7" t="str">
        <f>HYPERLINK("http://www.ensembl.org/Mus_musculus/Gene/Summary?db=core;g=ENSMUSG00000024095","ENSMUSG00000024095")</f>
        <v>ENSMUSG00000024095</v>
      </c>
      <c r="I3300" s="7" t="str">
        <f>HYPERLINK("http://www.informatics.jax.org/marker/MGI:1919942","MGI:1919942")</f>
        <v>MGI:1919942</v>
      </c>
      <c r="J3300" s="4" t="s">
        <v>12</v>
      </c>
    </row>
    <row r="3301" spans="1:10" x14ac:dyDescent="0.25">
      <c r="A3301" s="2">
        <v>3300.9040750138201</v>
      </c>
      <c r="B3301" s="3">
        <v>0.31665269557381198</v>
      </c>
      <c r="C3301" s="5">
        <v>7.3261222534503702E-12</v>
      </c>
      <c r="D3301" s="6">
        <v>4.6275186046778098E-11</v>
      </c>
      <c r="E3301" s="3" t="s">
        <v>6261</v>
      </c>
      <c r="F3301" s="3" t="s">
        <v>6262</v>
      </c>
      <c r="G3301" s="3">
        <v>66661</v>
      </c>
      <c r="H3301" s="7" t="str">
        <f>HYPERLINK("http://www.ensembl.org/Mus_musculus/Gene/Summary?db=core;g=ENSMUSG00000036323","ENSMUSG00000036323")</f>
        <v>ENSMUSG00000036323</v>
      </c>
      <c r="I3301" s="7" t="str">
        <f>HYPERLINK("http://www.informatics.jax.org/marker/MGI:1333795","MGI:1333795")</f>
        <v>MGI:1333795</v>
      </c>
      <c r="J3301" s="4" t="s">
        <v>12</v>
      </c>
    </row>
    <row r="3302" spans="1:10" x14ac:dyDescent="0.25">
      <c r="A3302" s="2">
        <v>3019.2345165668198</v>
      </c>
      <c r="B3302" s="3">
        <v>0.31641297426689802</v>
      </c>
      <c r="C3302" s="5">
        <v>2.8873713222622098E-5</v>
      </c>
      <c r="D3302" s="4">
        <v>1.03300004490223E-4</v>
      </c>
      <c r="E3302" s="3" t="s">
        <v>11036</v>
      </c>
      <c r="F3302" s="3" t="s">
        <v>11037</v>
      </c>
      <c r="G3302" s="3">
        <v>18103</v>
      </c>
      <c r="H3302" s="7" t="str">
        <f>HYPERLINK("http://www.ensembl.org/Mus_musculus/Gene/Summary?db=core;g=ENSMUSG00000020857","ENSMUSG00000020857")</f>
        <v>ENSMUSG00000020857</v>
      </c>
      <c r="I3302" s="7" t="str">
        <f>HYPERLINK("http://www.informatics.jax.org/marker/MGI:97356","MGI:97356")</f>
        <v>MGI:97356</v>
      </c>
      <c r="J3302" s="4" t="s">
        <v>12</v>
      </c>
    </row>
    <row r="3303" spans="1:10" x14ac:dyDescent="0.25">
      <c r="A3303" s="2">
        <v>843.89732659984895</v>
      </c>
      <c r="B3303" s="3">
        <v>0.31593957600600098</v>
      </c>
      <c r="C3303" s="3">
        <v>1.6375506710345101E-3</v>
      </c>
      <c r="D3303" s="4">
        <v>4.6841455225994297E-3</v>
      </c>
      <c r="E3303" s="3" t="s">
        <v>13795</v>
      </c>
      <c r="F3303" s="3" t="s">
        <v>13796</v>
      </c>
      <c r="G3303" s="3">
        <v>16438</v>
      </c>
      <c r="H3303" s="7" t="str">
        <f>HYPERLINK("http://www.ensembl.org/Mus_musculus/Gene/Summary?db=core;g=ENSMUSG00000030102","ENSMUSG00000030102")</f>
        <v>ENSMUSG00000030102</v>
      </c>
      <c r="I3303" s="7" t="str">
        <f>HYPERLINK("http://www.informatics.jax.org/marker/MGI:96623","MGI:96623")</f>
        <v>MGI:96623</v>
      </c>
      <c r="J3303" s="4" t="s">
        <v>12</v>
      </c>
    </row>
    <row r="3304" spans="1:10" x14ac:dyDescent="0.25">
      <c r="A3304" s="2">
        <v>287.52804913004201</v>
      </c>
      <c r="B3304" s="3">
        <v>0.31546947485551702</v>
      </c>
      <c r="C3304" s="5">
        <v>4.6441565250535599E-5</v>
      </c>
      <c r="D3304" s="4">
        <v>1.6226570991151001E-4</v>
      </c>
      <c r="E3304" s="3" t="s">
        <v>11299</v>
      </c>
      <c r="F3304" s="3" t="s">
        <v>11300</v>
      </c>
      <c r="G3304" s="3">
        <v>66983</v>
      </c>
      <c r="H3304" s="7" t="str">
        <f>HYPERLINK("http://www.ensembl.org/Mus_musculus/Gene/Summary?db=core;g=ENSMUSG00000046010","ENSMUSG00000046010")</f>
        <v>ENSMUSG00000046010</v>
      </c>
      <c r="I3304" s="7" t="str">
        <f>HYPERLINK("http://www.informatics.jax.org/marker/MGI:1914233","MGI:1914233")</f>
        <v>MGI:1914233</v>
      </c>
      <c r="J3304" s="4" t="s">
        <v>12</v>
      </c>
    </row>
    <row r="3305" spans="1:10" x14ac:dyDescent="0.25">
      <c r="A3305" s="2">
        <v>591.47483098463897</v>
      </c>
      <c r="B3305" s="3">
        <v>0.315112608872674</v>
      </c>
      <c r="C3305" s="3">
        <v>1.1080837084410599E-4</v>
      </c>
      <c r="D3305" s="4">
        <v>3.7200222557810201E-4</v>
      </c>
      <c r="E3305" s="3" t="s">
        <v>11759</v>
      </c>
      <c r="F3305" s="3" t="s">
        <v>11760</v>
      </c>
      <c r="G3305" s="3">
        <v>58240</v>
      </c>
      <c r="H3305" s="7" t="str">
        <f>HYPERLINK("http://www.ensembl.org/Mus_musculus/Gene/Summary?db=core;g=ENSMUSG00000020605","ENSMUSG00000020605")</f>
        <v>ENSMUSG00000020605</v>
      </c>
      <c r="I3305" s="7" t="str">
        <f>HYPERLINK("http://www.informatics.jax.org/marker/MGI:1913224","MGI:1913224")</f>
        <v>MGI:1913224</v>
      </c>
      <c r="J3305" s="4" t="s">
        <v>12</v>
      </c>
    </row>
    <row r="3306" spans="1:10" x14ac:dyDescent="0.25">
      <c r="A3306" s="2">
        <v>727.046216696138</v>
      </c>
      <c r="B3306" s="3">
        <v>0.31493973124153302</v>
      </c>
      <c r="C3306" s="5">
        <v>1.2299742647679299E-6</v>
      </c>
      <c r="D3306" s="6">
        <v>5.0436873572932998E-6</v>
      </c>
      <c r="E3306" s="3" t="s">
        <v>9633</v>
      </c>
      <c r="F3306" s="3" t="s">
        <v>9634</v>
      </c>
      <c r="G3306" s="3">
        <v>228602</v>
      </c>
      <c r="H3306" s="7" t="str">
        <f>HYPERLINK("http://www.ensembl.org/Mus_musculus/Gene/Summary?db=core;g=ENSMUSG00000027309","ENSMUSG00000027309")</f>
        <v>ENSMUSG00000027309</v>
      </c>
      <c r="I3306" s="7" t="str">
        <f>HYPERLINK("http://www.informatics.jax.org/marker/MGI:1923029","MGI:1923029")</f>
        <v>MGI:1923029</v>
      </c>
      <c r="J3306" s="4" t="s">
        <v>12</v>
      </c>
    </row>
    <row r="3307" spans="1:10" x14ac:dyDescent="0.25">
      <c r="A3307" s="2">
        <v>914.15647281472002</v>
      </c>
      <c r="B3307" s="3">
        <v>0.31451378756920201</v>
      </c>
      <c r="C3307" s="5">
        <v>7.6922981802587305E-12</v>
      </c>
      <c r="D3307" s="6">
        <v>4.85259501326622E-11</v>
      </c>
      <c r="E3307" s="3" t="s">
        <v>6269</v>
      </c>
      <c r="F3307" s="3" t="s">
        <v>6270</v>
      </c>
      <c r="G3307" s="3">
        <v>56709</v>
      </c>
      <c r="H3307" s="7" t="str">
        <f>HYPERLINK("http://www.ensembl.org/Mus_musculus/Gene/Summary?db=core;g=ENSMUSG00000020109","ENSMUSG00000020109")</f>
        <v>ENSMUSG00000020109</v>
      </c>
      <c r="I3307" s="7" t="str">
        <f>HYPERLINK("http://www.informatics.jax.org/marker/MGI:1931881","MGI:1931881")</f>
        <v>MGI:1931881</v>
      </c>
      <c r="J3307" s="4" t="s">
        <v>12</v>
      </c>
    </row>
    <row r="3308" spans="1:10" x14ac:dyDescent="0.25">
      <c r="A3308" s="2">
        <v>141.56440873769799</v>
      </c>
      <c r="B3308" s="3">
        <v>0.31386993169413702</v>
      </c>
      <c r="C3308" s="3">
        <v>1.25535996336236E-2</v>
      </c>
      <c r="D3308" s="4">
        <v>3.06079358030487E-2</v>
      </c>
      <c r="E3308" s="3" t="s">
        <v>16179</v>
      </c>
      <c r="F3308" s="3" t="s">
        <v>16180</v>
      </c>
      <c r="G3308" s="3">
        <v>54125</v>
      </c>
      <c r="H3308" s="7" t="str">
        <f>HYPERLINK("http://www.ensembl.org/Mus_musculus/Gene/Summary?db=core;g=ENSMUSG00000020474","ENSMUSG00000020474")</f>
        <v>ENSMUSG00000020474</v>
      </c>
      <c r="I3308" s="7" t="str">
        <f>HYPERLINK("http://www.informatics.jax.org/marker/MGI:1860191","MGI:1860191")</f>
        <v>MGI:1860191</v>
      </c>
      <c r="J3308" s="4" t="s">
        <v>12</v>
      </c>
    </row>
    <row r="3309" spans="1:10" x14ac:dyDescent="0.25">
      <c r="A3309" s="2">
        <v>79.401311761639207</v>
      </c>
      <c r="B3309" s="3">
        <v>0.31373977407856801</v>
      </c>
      <c r="C3309" s="3">
        <v>1.6980827421358299E-2</v>
      </c>
      <c r="D3309" s="4">
        <v>4.0276872353763003E-2</v>
      </c>
      <c r="E3309" s="3" t="s">
        <v>16632</v>
      </c>
      <c r="F3309" s="3" t="s">
        <v>16633</v>
      </c>
      <c r="G3309" s="3">
        <v>224598</v>
      </c>
      <c r="H3309" s="7" t="str">
        <f>HYPERLINK("http://www.ensembl.org/Mus_musculus/Gene/Summary?db=core;g=ENSMUSG00000044501","ENSMUSG00000044501")</f>
        <v>ENSMUSG00000044501</v>
      </c>
      <c r="I3309" s="7" t="str">
        <f>HYPERLINK("http://www.informatics.jax.org/marker/MGI:2385044","MGI:2385044")</f>
        <v>MGI:2385044</v>
      </c>
      <c r="J3309" s="4" t="s">
        <v>12</v>
      </c>
    </row>
    <row r="3310" spans="1:10" x14ac:dyDescent="0.25">
      <c r="A3310" s="2">
        <v>1489.75346365208</v>
      </c>
      <c r="B3310" s="3">
        <v>0.313710629607303</v>
      </c>
      <c r="C3310" s="3">
        <v>1.22854402777037E-2</v>
      </c>
      <c r="D3310" s="4">
        <v>2.9994909282693698E-2</v>
      </c>
      <c r="E3310" s="3" t="s">
        <v>16159</v>
      </c>
      <c r="F3310" s="3" t="s">
        <v>16160</v>
      </c>
      <c r="G3310" s="3">
        <v>66395</v>
      </c>
      <c r="H3310" s="7" t="str">
        <f>HYPERLINK("http://www.ensembl.org/Mus_musculus/Gene/Summary?db=core;g=ENSMUSG00000069833","ENSMUSG00000069833")</f>
        <v>ENSMUSG00000069833</v>
      </c>
      <c r="I3310" s="7" t="str">
        <f>HYPERLINK("http://www.informatics.jax.org/marker/MGI:1316648","MGI:1316648")</f>
        <v>MGI:1316648</v>
      </c>
      <c r="J3310" s="4" t="s">
        <v>12</v>
      </c>
    </row>
    <row r="3311" spans="1:10" x14ac:dyDescent="0.25">
      <c r="A3311" s="2">
        <v>92.591365809726895</v>
      </c>
      <c r="B3311" s="3">
        <v>0.31361294116108701</v>
      </c>
      <c r="C3311" s="3">
        <v>1.36969568262124E-2</v>
      </c>
      <c r="D3311" s="4">
        <v>3.3137527740511402E-2</v>
      </c>
      <c r="E3311" s="3" t="s">
        <v>16307</v>
      </c>
      <c r="F3311" s="3" t="s">
        <v>16308</v>
      </c>
      <c r="G3311" s="3" t="s">
        <v>83</v>
      </c>
      <c r="H3311" s="7" t="str">
        <f>HYPERLINK("http://www.ensembl.org/Mus_musculus/Gene/Summary?db=core;g=ENSMUSG00000106037","ENSMUSG00000106037")</f>
        <v>ENSMUSG00000106037</v>
      </c>
      <c r="I3311" s="7" t="str">
        <f>HYPERLINK("http://www.informatics.jax.org/marker/MGI:3782515","MGI:3782515")</f>
        <v>MGI:3782515</v>
      </c>
      <c r="J3311" s="4" t="s">
        <v>1043</v>
      </c>
    </row>
    <row r="3312" spans="1:10" x14ac:dyDescent="0.25">
      <c r="A3312" s="2">
        <v>7288.1892211066897</v>
      </c>
      <c r="B3312" s="3">
        <v>0.31357132026015999</v>
      </c>
      <c r="C3312" s="3">
        <v>1.4630271652908201E-3</v>
      </c>
      <c r="D3312" s="4">
        <v>4.2136549875178902E-3</v>
      </c>
      <c r="E3312" s="3" t="s">
        <v>13703</v>
      </c>
      <c r="F3312" s="3" t="s">
        <v>13704</v>
      </c>
      <c r="G3312" s="3">
        <v>19241</v>
      </c>
      <c r="H3312" s="7" t="str">
        <f>HYPERLINK("http://www.ensembl.org/Mus_musculus/Gene/Summary?db=core;g=ENSMUSG00000049775","ENSMUSG00000049775")</f>
        <v>ENSMUSG00000049775</v>
      </c>
      <c r="I3312" s="7" t="str">
        <f>HYPERLINK("http://www.informatics.jax.org/marker/MGI:99510","MGI:99510")</f>
        <v>MGI:99510</v>
      </c>
      <c r="J3312" s="4" t="s">
        <v>12</v>
      </c>
    </row>
    <row r="3313" spans="1:10" x14ac:dyDescent="0.25">
      <c r="A3313" s="2">
        <v>3340.91663450955</v>
      </c>
      <c r="B3313" s="3">
        <v>0.31312288899921598</v>
      </c>
      <c r="C3313" s="5">
        <v>5.47920523996147E-9</v>
      </c>
      <c r="D3313" s="6">
        <v>2.7733554243336799E-8</v>
      </c>
      <c r="E3313" s="3" t="s">
        <v>7808</v>
      </c>
      <c r="F3313" s="3" t="s">
        <v>7809</v>
      </c>
      <c r="G3313" s="3">
        <v>69597</v>
      </c>
      <c r="H3313" s="7" t="str">
        <f>HYPERLINK("http://www.ensembl.org/Mus_musculus/Gene/Summary?db=core;g=ENSMUSG00000024527","ENSMUSG00000024527")</f>
        <v>ENSMUSG00000024527</v>
      </c>
      <c r="I3313" s="7" t="str">
        <f>HYPERLINK("http://www.informatics.jax.org/marker/MGI:1916847","MGI:1916847")</f>
        <v>MGI:1916847</v>
      </c>
      <c r="J3313" s="4" t="s">
        <v>12</v>
      </c>
    </row>
    <row r="3314" spans="1:10" x14ac:dyDescent="0.25">
      <c r="A3314" s="2">
        <v>243.30580645415</v>
      </c>
      <c r="B3314" s="3">
        <v>0.312898741556906</v>
      </c>
      <c r="C3314" s="3">
        <v>1.55881145209663E-2</v>
      </c>
      <c r="D3314" s="4">
        <v>3.7260317376176501E-2</v>
      </c>
      <c r="E3314" s="3" t="s">
        <v>16503</v>
      </c>
      <c r="F3314" s="3" t="s">
        <v>16504</v>
      </c>
      <c r="G3314" s="3">
        <v>211770</v>
      </c>
      <c r="H3314" s="7" t="str">
        <f>HYPERLINK("http://www.ensembl.org/Mus_musculus/Gene/Summary?db=core;g=ENSMUSG00000032501","ENSMUSG00000032501")</f>
        <v>ENSMUSG00000032501</v>
      </c>
      <c r="I3314" s="7" t="str">
        <f>HYPERLINK("http://www.informatics.jax.org/marker/MGI:2443397","MGI:2443397")</f>
        <v>MGI:2443397</v>
      </c>
      <c r="J3314" s="4" t="s">
        <v>12</v>
      </c>
    </row>
    <row r="3315" spans="1:10" x14ac:dyDescent="0.25">
      <c r="A3315" s="2">
        <v>764.50957318388305</v>
      </c>
      <c r="B3315" s="3">
        <v>0.31283824877153399</v>
      </c>
      <c r="C3315" s="5">
        <v>7.4570531635321097E-7</v>
      </c>
      <c r="D3315" s="6">
        <v>3.12546415270676E-6</v>
      </c>
      <c r="E3315" s="3" t="s">
        <v>9425</v>
      </c>
      <c r="F3315" s="3" t="s">
        <v>9426</v>
      </c>
      <c r="G3315" s="3">
        <v>109006</v>
      </c>
      <c r="H3315" s="7" t="str">
        <f>HYPERLINK("http://www.ensembl.org/Mus_musculus/Gene/Summary?db=core;g=ENSMUSG00000031781","ENSMUSG00000031781")</f>
        <v>ENSMUSG00000031781</v>
      </c>
      <c r="I3315" s="7" t="str">
        <f>HYPERLINK("http://www.informatics.jax.org/marker/MGI:1922083","MGI:1922083")</f>
        <v>MGI:1922083</v>
      </c>
      <c r="J3315" s="4" t="s">
        <v>12</v>
      </c>
    </row>
    <row r="3316" spans="1:10" x14ac:dyDescent="0.25">
      <c r="A3316" s="2">
        <v>4768.6641731920399</v>
      </c>
      <c r="B3316" s="3">
        <v>0.31246996251607301</v>
      </c>
      <c r="C3316" s="3">
        <v>1.01753365039549E-4</v>
      </c>
      <c r="D3316" s="4">
        <v>3.4318049573797102E-4</v>
      </c>
      <c r="E3316" s="3" t="s">
        <v>11705</v>
      </c>
      <c r="F3316" s="3" t="s">
        <v>11706</v>
      </c>
      <c r="G3316" s="3">
        <v>15381</v>
      </c>
      <c r="H3316" s="7" t="str">
        <f>HYPERLINK("http://www.ensembl.org/Mus_musculus/Gene/Summary?db=core;g=ENSMUSG00000060373","ENSMUSG00000060373")</f>
        <v>ENSMUSG00000060373</v>
      </c>
      <c r="I3316" s="7" t="str">
        <f>HYPERLINK("http://www.informatics.jax.org/marker/MGI:107795","MGI:107795")</f>
        <v>MGI:107795</v>
      </c>
      <c r="J3316" s="4" t="s">
        <v>12</v>
      </c>
    </row>
    <row r="3317" spans="1:10" x14ac:dyDescent="0.25">
      <c r="A3317" s="2">
        <v>774.66696019853498</v>
      </c>
      <c r="B3317" s="3">
        <v>0.31246801671949898</v>
      </c>
      <c r="C3317" s="5">
        <v>4.4709044507946301E-7</v>
      </c>
      <c r="D3317" s="6">
        <v>1.9158243322396799E-6</v>
      </c>
      <c r="E3317" s="3" t="s">
        <v>9219</v>
      </c>
      <c r="F3317" s="3" t="s">
        <v>9220</v>
      </c>
      <c r="G3317" s="3">
        <v>30932</v>
      </c>
      <c r="H3317" s="7" t="str">
        <f>HYPERLINK("http://www.ensembl.org/Mus_musculus/Gene/Summary?db=core;g=ENSMUSG00000031711","ENSMUSG00000031711")</f>
        <v>ENSMUSG00000031711</v>
      </c>
      <c r="I3317" s="7" t="str">
        <f>HYPERLINK("http://www.informatics.jax.org/marker/MGI:1353574","MGI:1353574")</f>
        <v>MGI:1353574</v>
      </c>
      <c r="J3317" s="4" t="s">
        <v>12</v>
      </c>
    </row>
    <row r="3318" spans="1:10" x14ac:dyDescent="0.25">
      <c r="A3318" s="2">
        <v>15549.699880047499</v>
      </c>
      <c r="B3318" s="3">
        <v>0.31244630357815101</v>
      </c>
      <c r="C3318" s="5">
        <v>8.2908929228244198E-26</v>
      </c>
      <c r="D3318" s="6">
        <v>1.04805390024422E-24</v>
      </c>
      <c r="E3318" s="3" t="s">
        <v>3138</v>
      </c>
      <c r="F3318" s="3" t="s">
        <v>3139</v>
      </c>
      <c r="G3318" s="3">
        <v>13194</v>
      </c>
      <c r="H3318" s="7" t="str">
        <f>HYPERLINK("http://www.ensembl.org/Mus_musculus/Gene/Summary?db=core;g=ENSMUSG00000024740","ENSMUSG00000024740")</f>
        <v>ENSMUSG00000024740</v>
      </c>
      <c r="I3318" s="7" t="str">
        <f>HYPERLINK("http://www.informatics.jax.org/marker/MGI:1202384","MGI:1202384")</f>
        <v>MGI:1202384</v>
      </c>
      <c r="J3318" s="4" t="s">
        <v>12</v>
      </c>
    </row>
    <row r="3319" spans="1:10" x14ac:dyDescent="0.25">
      <c r="A3319" s="2">
        <v>1449.33818681352</v>
      </c>
      <c r="B3319" s="3">
        <v>0.312438201036499</v>
      </c>
      <c r="C3319" s="5">
        <v>1.6064763174827602E-5</v>
      </c>
      <c r="D3319" s="6">
        <v>5.8971915451898703E-5</v>
      </c>
      <c r="E3319" s="3" t="s">
        <v>10754</v>
      </c>
      <c r="F3319" s="3" t="s">
        <v>10755</v>
      </c>
      <c r="G3319" s="3">
        <v>20409</v>
      </c>
      <c r="H3319" s="7" t="str">
        <f>HYPERLINK("http://www.ensembl.org/Mus_musculus/Gene/Summary?db=core;g=ENSMUSG00000024725","ENSMUSG00000024725")</f>
        <v>ENSMUSG00000024725</v>
      </c>
      <c r="I3319" s="7" t="str">
        <f>HYPERLINK("http://www.informatics.jax.org/marker/MGI:700012","MGI:700012")</f>
        <v>MGI:700012</v>
      </c>
      <c r="J3319" s="4" t="s">
        <v>12</v>
      </c>
    </row>
    <row r="3320" spans="1:10" x14ac:dyDescent="0.25">
      <c r="A3320" s="2">
        <v>3634.6454237087601</v>
      </c>
      <c r="B3320" s="3">
        <v>0.31227366159910303</v>
      </c>
      <c r="C3320" s="5">
        <v>8.5238118635830406E-14</v>
      </c>
      <c r="D3320" s="6">
        <v>6.1145714787143504E-13</v>
      </c>
      <c r="E3320" s="3" t="s">
        <v>5515</v>
      </c>
      <c r="F3320" s="3" t="s">
        <v>5516</v>
      </c>
      <c r="G3320" s="3">
        <v>24128</v>
      </c>
      <c r="H3320" s="7" t="str">
        <f>HYPERLINK("http://www.ensembl.org/Mus_musculus/Gene/Summary?db=core;g=ENSMUSG00000027433","ENSMUSG00000027433")</f>
        <v>ENSMUSG00000027433</v>
      </c>
      <c r="I3320" s="7" t="str">
        <f>HYPERLINK("http://www.informatics.jax.org/marker/MGI:894687","MGI:894687")</f>
        <v>MGI:894687</v>
      </c>
      <c r="J3320" s="4" t="s">
        <v>12</v>
      </c>
    </row>
    <row r="3321" spans="1:10" x14ac:dyDescent="0.25">
      <c r="A3321" s="2">
        <v>172.35422967000301</v>
      </c>
      <c r="B3321" s="3">
        <v>0.31227186465266699</v>
      </c>
      <c r="C3321" s="3">
        <v>1.43299042186195E-2</v>
      </c>
      <c r="D3321" s="4">
        <v>3.4524827268317099E-2</v>
      </c>
      <c r="E3321" s="3" t="s">
        <v>16375</v>
      </c>
      <c r="F3321" s="3" t="s">
        <v>16376</v>
      </c>
      <c r="G3321" s="3">
        <v>14536</v>
      </c>
      <c r="H3321" s="7" t="str">
        <f>HYPERLINK("http://www.ensembl.org/Mus_musculus/Gene/Summary?db=core;g=ENSMUSG00000063972","ENSMUSG00000063972")</f>
        <v>ENSMUSG00000063972</v>
      </c>
      <c r="I3321" s="7" t="str">
        <f>HYPERLINK("http://www.informatics.jax.org/marker/MGI:1352459","MGI:1352459")</f>
        <v>MGI:1352459</v>
      </c>
      <c r="J3321" s="4" t="s">
        <v>12</v>
      </c>
    </row>
    <row r="3322" spans="1:10" x14ac:dyDescent="0.25">
      <c r="A3322" s="2">
        <v>2850.0246613839499</v>
      </c>
      <c r="B3322" s="3">
        <v>0.31225537114398899</v>
      </c>
      <c r="C3322" s="5">
        <v>3.0370743345358097E-14</v>
      </c>
      <c r="D3322" s="6">
        <v>2.2347427566061999E-13</v>
      </c>
      <c r="E3322" s="3" t="s">
        <v>5377</v>
      </c>
      <c r="F3322" s="3" t="s">
        <v>5378</v>
      </c>
      <c r="G3322" s="3">
        <v>26554</v>
      </c>
      <c r="H3322" s="7" t="str">
        <f>HYPERLINK("http://www.ensembl.org/Mus_musculus/Gene/Summary?db=core;g=ENSMUSG00000004364","ENSMUSG00000004364")</f>
        <v>ENSMUSG00000004364</v>
      </c>
      <c r="I3322" s="7" t="str">
        <f>HYPERLINK("http://www.informatics.jax.org/marker/MGI:1347360","MGI:1347360")</f>
        <v>MGI:1347360</v>
      </c>
      <c r="J3322" s="4" t="s">
        <v>12</v>
      </c>
    </row>
    <row r="3323" spans="1:10" x14ac:dyDescent="0.25">
      <c r="A3323" s="2">
        <v>2432.6732653752301</v>
      </c>
      <c r="B3323" s="3">
        <v>0.31207010923245998</v>
      </c>
      <c r="C3323" s="5">
        <v>7.94631130323251E-7</v>
      </c>
      <c r="D3323" s="6">
        <v>3.3213492772307201E-6</v>
      </c>
      <c r="E3323" s="3" t="s">
        <v>9451</v>
      </c>
      <c r="F3323" s="3" t="s">
        <v>9452</v>
      </c>
      <c r="G3323" s="3">
        <v>19089</v>
      </c>
      <c r="H3323" s="7" t="str">
        <f>HYPERLINK("http://www.ensembl.org/Mus_musculus/Gene/Summary?db=core;g=ENSMUSG00000003402","ENSMUSG00000003402")</f>
        <v>ENSMUSG00000003402</v>
      </c>
      <c r="I3323" s="7" t="str">
        <f>HYPERLINK("http://www.informatics.jax.org/marker/MGI:107877","MGI:107877")</f>
        <v>MGI:107877</v>
      </c>
      <c r="J3323" s="4" t="s">
        <v>12</v>
      </c>
    </row>
    <row r="3324" spans="1:10" x14ac:dyDescent="0.25">
      <c r="A3324" s="2">
        <v>1273.0992325173199</v>
      </c>
      <c r="B3324" s="3">
        <v>0.31206473898359399</v>
      </c>
      <c r="C3324" s="5">
        <v>4.3966423037157302E-7</v>
      </c>
      <c r="D3324" s="6">
        <v>1.8852312726521901E-6</v>
      </c>
      <c r="E3324" s="3" t="s">
        <v>9213</v>
      </c>
      <c r="F3324" s="3" t="s">
        <v>9214</v>
      </c>
      <c r="G3324" s="3">
        <v>104303</v>
      </c>
      <c r="H3324" s="7" t="str">
        <f>HYPERLINK("http://www.ensembl.org/Mus_musculus/Gene/Summary?db=core;g=ENSMUSG00000060904","ENSMUSG00000060904")</f>
        <v>ENSMUSG00000060904</v>
      </c>
      <c r="I3324" s="7" t="str">
        <f>HYPERLINK("http://www.informatics.jax.org/marker/MGI:99436","MGI:99436")</f>
        <v>MGI:99436</v>
      </c>
      <c r="J3324" s="4" t="s">
        <v>12</v>
      </c>
    </row>
    <row r="3325" spans="1:10" x14ac:dyDescent="0.25">
      <c r="A3325" s="2">
        <v>640.24117330729996</v>
      </c>
      <c r="B3325" s="3">
        <v>0.31189401783211101</v>
      </c>
      <c r="C3325" s="3">
        <v>7.0921229991926496E-4</v>
      </c>
      <c r="D3325" s="4">
        <v>2.13293679341283E-3</v>
      </c>
      <c r="E3325" s="3" t="s">
        <v>13123</v>
      </c>
      <c r="F3325" s="3" t="s">
        <v>13124</v>
      </c>
      <c r="G3325" s="3">
        <v>252903</v>
      </c>
      <c r="H3325" s="7" t="str">
        <f>HYPERLINK("http://www.ensembl.org/Mus_musculus/Gene/Summary?db=core;g=ENSMUSG00000054702","ENSMUSG00000054702")</f>
        <v>ENSMUSG00000054702</v>
      </c>
      <c r="I3325" s="7" t="str">
        <f>HYPERLINK("http://www.informatics.jax.org/marker/MGI:1891304","MGI:1891304")</f>
        <v>MGI:1891304</v>
      </c>
      <c r="J3325" s="4" t="s">
        <v>12</v>
      </c>
    </row>
    <row r="3326" spans="1:10" x14ac:dyDescent="0.25">
      <c r="A3326" s="2">
        <v>3513.7299220764999</v>
      </c>
      <c r="B3326" s="3">
        <v>0.31159930063581998</v>
      </c>
      <c r="C3326" s="5">
        <v>3.9229320421666501E-5</v>
      </c>
      <c r="D3326" s="4">
        <v>1.3816792261390701E-4</v>
      </c>
      <c r="E3326" s="3" t="s">
        <v>11209</v>
      </c>
      <c r="F3326" s="3" t="s">
        <v>11210</v>
      </c>
      <c r="G3326" s="3">
        <v>67427</v>
      </c>
      <c r="H3326" s="7" t="str">
        <f>HYPERLINK("http://www.ensembl.org/Mus_musculus/Gene/Summary?db=core;g=ENSMUSG00000028234","ENSMUSG00000028234")</f>
        <v>ENSMUSG00000028234</v>
      </c>
      <c r="I3326" s="7" t="str">
        <f>HYPERLINK("http://www.informatics.jax.org/marker/MGI:1914677","MGI:1914677")</f>
        <v>MGI:1914677</v>
      </c>
      <c r="J3326" s="4" t="s">
        <v>12</v>
      </c>
    </row>
    <row r="3327" spans="1:10" x14ac:dyDescent="0.25">
      <c r="A3327" s="2">
        <v>797.07584048433296</v>
      </c>
      <c r="B3327" s="3">
        <v>0.31155505369647102</v>
      </c>
      <c r="C3327" s="5">
        <v>1.3882536906441699E-9</v>
      </c>
      <c r="D3327" s="6">
        <v>7.3572595483749203E-9</v>
      </c>
      <c r="E3327" s="3" t="s">
        <v>7460</v>
      </c>
      <c r="F3327" s="3" t="s">
        <v>7461</v>
      </c>
      <c r="G3327" s="3">
        <v>74132</v>
      </c>
      <c r="H3327" s="7" t="str">
        <f>HYPERLINK("http://www.ensembl.org/Mus_musculus/Gene/Summary?db=core;g=ENSMUSG00000029634","ENSMUSG00000029634")</f>
        <v>ENSMUSG00000029634</v>
      </c>
      <c r="I3327" s="7" t="str">
        <f>HYPERLINK("http://www.informatics.jax.org/marker/MGI:1921382","MGI:1921382")</f>
        <v>MGI:1921382</v>
      </c>
      <c r="J3327" s="4" t="s">
        <v>12</v>
      </c>
    </row>
    <row r="3328" spans="1:10" x14ac:dyDescent="0.25">
      <c r="A3328" s="2">
        <v>862.81632638258202</v>
      </c>
      <c r="B3328" s="3">
        <v>0.31145490517621499</v>
      </c>
      <c r="C3328" s="5">
        <v>1.0936591826051E-6</v>
      </c>
      <c r="D3328" s="6">
        <v>4.50531837914614E-6</v>
      </c>
      <c r="E3328" s="3" t="s">
        <v>9589</v>
      </c>
      <c r="F3328" s="3" t="s">
        <v>9590</v>
      </c>
      <c r="G3328" s="3">
        <v>78757</v>
      </c>
      <c r="H3328" s="7" t="str">
        <f>HYPERLINK("http://www.ensembl.org/Mus_musculus/Gene/Summary?db=core;g=ENSMUSG00000050310","ENSMUSG00000050310")</f>
        <v>ENSMUSG00000050310</v>
      </c>
      <c r="I3328" s="7" t="str">
        <f>HYPERLINK("http://www.informatics.jax.org/marker/MGI:1926007","MGI:1926007")</f>
        <v>MGI:1926007</v>
      </c>
      <c r="J3328" s="4" t="s">
        <v>12</v>
      </c>
    </row>
    <row r="3329" spans="1:10" x14ac:dyDescent="0.25">
      <c r="A3329" s="2">
        <v>1077.2406402500601</v>
      </c>
      <c r="B3329" s="3">
        <v>0.31124506824765102</v>
      </c>
      <c r="C3329" s="5">
        <v>2.8049486151695999E-5</v>
      </c>
      <c r="D3329" s="4">
        <v>1.00551875461088E-4</v>
      </c>
      <c r="E3329" s="3" t="s">
        <v>11014</v>
      </c>
      <c r="F3329" s="3" t="s">
        <v>11015</v>
      </c>
      <c r="G3329" s="3">
        <v>319513</v>
      </c>
      <c r="H3329" s="7" t="str">
        <f>HYPERLINK("http://www.ensembl.org/Mus_musculus/Gene/Summary?db=core;g=ENSMUSG00000037773","ENSMUSG00000037773")</f>
        <v>ENSMUSG00000037773</v>
      </c>
      <c r="I3329" s="7" t="str">
        <f>HYPERLINK("http://www.informatics.jax.org/marker/MGI:2442177","MGI:2442177")</f>
        <v>MGI:2442177</v>
      </c>
      <c r="J3329" s="4" t="s">
        <v>12</v>
      </c>
    </row>
    <row r="3330" spans="1:10" x14ac:dyDescent="0.25">
      <c r="A3330" s="2">
        <v>3190.9327284655401</v>
      </c>
      <c r="B3330" s="3">
        <v>0.31107837236157898</v>
      </c>
      <c r="C3330" s="3">
        <v>2.2477327923936699E-3</v>
      </c>
      <c r="D3330" s="4">
        <v>6.2971005350196396E-3</v>
      </c>
      <c r="E3330" s="3" t="s">
        <v>14085</v>
      </c>
      <c r="F3330" s="3" t="s">
        <v>14086</v>
      </c>
      <c r="G3330" s="3">
        <v>100503670</v>
      </c>
      <c r="H3330" s="7" t="str">
        <f>HYPERLINK("http://www.ensembl.org/Mus_musculus/Gene/Summary?db=core;g=ENSMUSG00000058558","ENSMUSG00000058558")</f>
        <v>ENSMUSG00000058558</v>
      </c>
      <c r="I3330" s="7" t="str">
        <f>HYPERLINK("http://www.informatics.jax.org/marker/MGI:102854","MGI:102854")</f>
        <v>MGI:102854</v>
      </c>
      <c r="J3330" s="4" t="s">
        <v>12</v>
      </c>
    </row>
    <row r="3331" spans="1:10" x14ac:dyDescent="0.25">
      <c r="A3331" s="2">
        <v>390.28998504879502</v>
      </c>
      <c r="B3331" s="3">
        <v>0.31057289019267598</v>
      </c>
      <c r="C3331" s="5">
        <v>8.5037472037962201E-6</v>
      </c>
      <c r="D3331" s="6">
        <v>3.2106815021800002E-5</v>
      </c>
      <c r="E3331" s="3" t="s">
        <v>10460</v>
      </c>
      <c r="F3331" s="3" t="s">
        <v>10461</v>
      </c>
      <c r="G3331" s="3">
        <v>12457</v>
      </c>
      <c r="H3331" s="7" t="str">
        <f>HYPERLINK("http://www.ensembl.org/Mus_musculus/Gene/Summary?db=core;g=ENSMUSG00000023087","ENSMUSG00000023087")</f>
        <v>ENSMUSG00000023087</v>
      </c>
      <c r="I3331" s="7" t="str">
        <f>HYPERLINK("http://www.informatics.jax.org/marker/MGI:109382","MGI:109382")</f>
        <v>MGI:109382</v>
      </c>
      <c r="J3331" s="4" t="s">
        <v>12</v>
      </c>
    </row>
    <row r="3332" spans="1:10" x14ac:dyDescent="0.25">
      <c r="A3332" s="2">
        <v>972.39233040655199</v>
      </c>
      <c r="B3332" s="3">
        <v>0.31009061679824601</v>
      </c>
      <c r="C3332" s="5">
        <v>7.7834734261828599E-5</v>
      </c>
      <c r="D3332" s="4">
        <v>2.6564571817986498E-4</v>
      </c>
      <c r="E3332" s="3" t="s">
        <v>11567</v>
      </c>
      <c r="F3332" s="3" t="s">
        <v>11568</v>
      </c>
      <c r="G3332" s="3">
        <v>71678</v>
      </c>
      <c r="H3332" s="7" t="str">
        <f>HYPERLINK("http://www.ensembl.org/Mus_musculus/Gene/Summary?db=core;g=ENSMUSG00000046836","ENSMUSG00000046836")</f>
        <v>ENSMUSG00000046836</v>
      </c>
      <c r="I3332" s="7" t="str">
        <f>HYPERLINK("http://www.informatics.jax.org/marker/MGI:1918928","MGI:1918928")</f>
        <v>MGI:1918928</v>
      </c>
      <c r="J3332" s="4" t="s">
        <v>12</v>
      </c>
    </row>
    <row r="3333" spans="1:10" x14ac:dyDescent="0.25">
      <c r="A3333" s="2">
        <v>344.841109488114</v>
      </c>
      <c r="B3333" s="3">
        <v>0.309975019491394</v>
      </c>
      <c r="C3333" s="5">
        <v>1.47838127076285E-5</v>
      </c>
      <c r="D3333" s="6">
        <v>5.4523431194021799E-5</v>
      </c>
      <c r="E3333" s="3" t="s">
        <v>10706</v>
      </c>
      <c r="F3333" s="3" t="s">
        <v>10707</v>
      </c>
      <c r="G3333" s="3">
        <v>21945</v>
      </c>
      <c r="H3333" s="7" t="str">
        <f>HYPERLINK("http://www.ensembl.org/Mus_musculus/Gene/Summary?db=core;g=ENSMUSG00000013973","ENSMUSG00000013973")</f>
        <v>ENSMUSG00000013973</v>
      </c>
      <c r="I3333" s="7" t="str">
        <f>HYPERLINK("http://www.informatics.jax.org/marker/MGI:1333874","MGI:1333874")</f>
        <v>MGI:1333874</v>
      </c>
      <c r="J3333" s="4" t="s">
        <v>12</v>
      </c>
    </row>
    <row r="3334" spans="1:10" x14ac:dyDescent="0.25">
      <c r="A3334" s="2">
        <v>4671.3797824876101</v>
      </c>
      <c r="B3334" s="3">
        <v>0.30984585821218402</v>
      </c>
      <c r="C3334" s="5">
        <v>3.7223515578556998E-8</v>
      </c>
      <c r="D3334" s="6">
        <v>1.7489819566574799E-7</v>
      </c>
      <c r="E3334" s="3" t="s">
        <v>8411</v>
      </c>
      <c r="F3334" s="3" t="s">
        <v>8412</v>
      </c>
      <c r="G3334" s="3">
        <v>19386</v>
      </c>
      <c r="H3334" s="7" t="str">
        <f>HYPERLINK("http://www.ensembl.org/Mus_musculus/Gene/Summary?db=core;g=ENSMUSG00000003226","ENSMUSG00000003226")</f>
        <v>ENSMUSG00000003226</v>
      </c>
      <c r="I3334" s="7" t="str">
        <f>HYPERLINK("http://www.informatics.jax.org/marker/MGI:894323","MGI:894323")</f>
        <v>MGI:894323</v>
      </c>
      <c r="J3334" s="4" t="s">
        <v>12</v>
      </c>
    </row>
    <row r="3335" spans="1:10" x14ac:dyDescent="0.25">
      <c r="A3335" s="2">
        <v>1170.69681945716</v>
      </c>
      <c r="B3335" s="3">
        <v>0.30961969535283601</v>
      </c>
      <c r="C3335" s="3">
        <v>7.6453491237171703E-3</v>
      </c>
      <c r="D3335" s="4">
        <v>1.9453714157381001E-2</v>
      </c>
      <c r="E3335" s="3" t="s">
        <v>15505</v>
      </c>
      <c r="F3335" s="3" t="s">
        <v>15506</v>
      </c>
      <c r="G3335" s="3">
        <v>15976</v>
      </c>
      <c r="H3335" s="7" t="str">
        <f>HYPERLINK("http://www.ensembl.org/Mus_musculus/Gene/Summary?db=core;g=ENSMUSG00000022971","ENSMUSG00000022971")</f>
        <v>ENSMUSG00000022971</v>
      </c>
      <c r="I3335" s="7" t="str">
        <f>HYPERLINK("http://www.informatics.jax.org/marker/MGI:1098243","MGI:1098243")</f>
        <v>MGI:1098243</v>
      </c>
      <c r="J3335" s="4" t="s">
        <v>12</v>
      </c>
    </row>
    <row r="3336" spans="1:10" x14ac:dyDescent="0.25">
      <c r="A3336" s="2">
        <v>8455.0763175147695</v>
      </c>
      <c r="B3336" s="3">
        <v>0.30942694228497197</v>
      </c>
      <c r="C3336" s="5">
        <v>1.2500224821120001E-7</v>
      </c>
      <c r="D3336" s="6">
        <v>5.6176944729372401E-7</v>
      </c>
      <c r="E3336" s="3" t="s">
        <v>8793</v>
      </c>
      <c r="F3336" s="3" t="s">
        <v>8794</v>
      </c>
      <c r="G3336" s="3">
        <v>76846</v>
      </c>
      <c r="H3336" s="7" t="str">
        <f>HYPERLINK("http://www.ensembl.org/Mus_musculus/Gene/Summary?db=core;g=ENSMUSG00000006333","ENSMUSG00000006333")</f>
        <v>ENSMUSG00000006333</v>
      </c>
      <c r="I3336" s="7" t="str">
        <f>HYPERLINK("http://www.informatics.jax.org/marker/MGI:1924096","MGI:1924096")</f>
        <v>MGI:1924096</v>
      </c>
      <c r="J3336" s="4" t="s">
        <v>12</v>
      </c>
    </row>
    <row r="3337" spans="1:10" x14ac:dyDescent="0.25">
      <c r="A3337" s="2">
        <v>1829.7163752169399</v>
      </c>
      <c r="B3337" s="3">
        <v>0.30905152200063601</v>
      </c>
      <c r="C3337" s="5">
        <v>3.1818869919610702E-10</v>
      </c>
      <c r="D3337" s="6">
        <v>1.77702666330989E-9</v>
      </c>
      <c r="E3337" s="3" t="s">
        <v>7080</v>
      </c>
      <c r="F3337" s="3" t="s">
        <v>7081</v>
      </c>
      <c r="G3337" s="3">
        <v>226139</v>
      </c>
      <c r="H3337" s="7" t="str">
        <f>HYPERLINK("http://www.ensembl.org/Mus_musculus/Gene/Summary?db=core;g=ENSMUSG00000040018","ENSMUSG00000040018")</f>
        <v>ENSMUSG00000040018</v>
      </c>
      <c r="I3337" s="7" t="str">
        <f>HYPERLINK("http://www.informatics.jax.org/marker/MGI:1920112","MGI:1920112")</f>
        <v>MGI:1920112</v>
      </c>
      <c r="J3337" s="4" t="s">
        <v>12</v>
      </c>
    </row>
    <row r="3338" spans="1:10" x14ac:dyDescent="0.25">
      <c r="A3338" s="2">
        <v>3181.6868104146301</v>
      </c>
      <c r="B3338" s="3">
        <v>0.30888519013695198</v>
      </c>
      <c r="C3338" s="5">
        <v>9.04948772969854E-7</v>
      </c>
      <c r="D3338" s="6">
        <v>3.7585488211806099E-6</v>
      </c>
      <c r="E3338" s="3" t="s">
        <v>9511</v>
      </c>
      <c r="F3338" s="3" t="s">
        <v>9512</v>
      </c>
      <c r="G3338" s="3">
        <v>56700</v>
      </c>
      <c r="H3338" s="7" t="str">
        <f>HYPERLINK("http://www.ensembl.org/Mus_musculus/Gene/Summary?db=core;g=ENSMUSG00000001418","ENSMUSG00000001418")</f>
        <v>ENSMUSG00000001418</v>
      </c>
      <c r="I3338" s="7" t="str">
        <f>HYPERLINK("http://www.informatics.jax.org/marker/MGI:1913318","MGI:1913318")</f>
        <v>MGI:1913318</v>
      </c>
      <c r="J3338" s="4" t="s">
        <v>12</v>
      </c>
    </row>
    <row r="3339" spans="1:10" x14ac:dyDescent="0.25">
      <c r="A3339" s="2">
        <v>2901.9663381053401</v>
      </c>
      <c r="B3339" s="3">
        <v>0.30858682473804999</v>
      </c>
      <c r="C3339" s="5">
        <v>1.76136606900305E-7</v>
      </c>
      <c r="D3339" s="6">
        <v>7.8300583590487296E-7</v>
      </c>
      <c r="E3339" s="3" t="s">
        <v>8889</v>
      </c>
      <c r="F3339" s="3" t="s">
        <v>8890</v>
      </c>
      <c r="G3339" s="3" t="s">
        <v>83</v>
      </c>
      <c r="H3339" s="7" t="str">
        <f>HYPERLINK("http://www.ensembl.org/Mus_musculus/Gene/Summary?db=core;g=ENSMUSG00000087107","ENSMUSG00000087107")</f>
        <v>ENSMUSG00000087107</v>
      </c>
      <c r="I3339" s="7" t="str">
        <f>HYPERLINK("http://www.informatics.jax.org/marker/MGI:2144254","MGI:2144254")</f>
        <v>MGI:2144254</v>
      </c>
      <c r="J3339" s="4" t="s">
        <v>331</v>
      </c>
    </row>
    <row r="3340" spans="1:10" x14ac:dyDescent="0.25">
      <c r="A3340" s="2">
        <v>10780.0721442023</v>
      </c>
      <c r="B3340" s="3">
        <v>0.30807008707128802</v>
      </c>
      <c r="C3340" s="5">
        <v>1.30223597054612E-9</v>
      </c>
      <c r="D3340" s="6">
        <v>6.9255915154178797E-9</v>
      </c>
      <c r="E3340" s="3" t="s">
        <v>7434</v>
      </c>
      <c r="F3340" s="3" t="s">
        <v>7435</v>
      </c>
      <c r="G3340" s="3">
        <v>56449</v>
      </c>
      <c r="H3340" s="7" t="str">
        <f>HYPERLINK("http://www.ensembl.org/Mus_musculus/Gene/Summary?db=core;g=ENSMUSG00000030189","ENSMUSG00000030189")</f>
        <v>ENSMUSG00000030189</v>
      </c>
      <c r="I3340" s="7" t="str">
        <f>HYPERLINK("http://www.informatics.jax.org/marker/MGI:2137670","MGI:2137670")</f>
        <v>MGI:2137670</v>
      </c>
      <c r="J3340" s="4" t="s">
        <v>12</v>
      </c>
    </row>
    <row r="3341" spans="1:10" x14ac:dyDescent="0.25">
      <c r="A3341" s="2">
        <v>948.667786997284</v>
      </c>
      <c r="B3341" s="3">
        <v>0.307907576340477</v>
      </c>
      <c r="C3341" s="5">
        <v>4.4531802597435599E-6</v>
      </c>
      <c r="D3341" s="6">
        <v>1.72765521782693E-5</v>
      </c>
      <c r="E3341" s="3" t="s">
        <v>10180</v>
      </c>
      <c r="F3341" s="3" t="s">
        <v>10181</v>
      </c>
      <c r="G3341" s="3">
        <v>67205</v>
      </c>
      <c r="H3341" s="7" t="str">
        <f>HYPERLINK("http://www.ensembl.org/Mus_musculus/Gene/Summary?db=core;g=ENSMUSG00000028907","ENSMUSG00000028907")</f>
        <v>ENSMUSG00000028907</v>
      </c>
      <c r="I3341" s="7" t="str">
        <f>HYPERLINK("http://www.informatics.jax.org/marker/MGI:1914455","MGI:1914455")</f>
        <v>MGI:1914455</v>
      </c>
      <c r="J3341" s="4" t="s">
        <v>12</v>
      </c>
    </row>
    <row r="3342" spans="1:10" x14ac:dyDescent="0.25">
      <c r="A3342" s="2">
        <v>1177.2164931273001</v>
      </c>
      <c r="B3342" s="3">
        <v>0.30788997380543298</v>
      </c>
      <c r="C3342" s="3">
        <v>6.9970905208206595E-4</v>
      </c>
      <c r="D3342" s="4">
        <v>2.1066049629096702E-3</v>
      </c>
      <c r="E3342" s="3" t="s">
        <v>13109</v>
      </c>
      <c r="F3342" s="3" t="s">
        <v>13110</v>
      </c>
      <c r="G3342" s="3">
        <v>113868</v>
      </c>
      <c r="H3342" s="7" t="str">
        <f>HYPERLINK("http://www.ensembl.org/Mus_musculus/Gene/Summary?db=core;g=ENSMUSG00000036138","ENSMUSG00000036138")</f>
        <v>ENSMUSG00000036138</v>
      </c>
      <c r="I3342" s="7" t="str">
        <f>HYPERLINK("http://www.informatics.jax.org/marker/MGI:2148491","MGI:2148491")</f>
        <v>MGI:2148491</v>
      </c>
      <c r="J3342" s="4" t="s">
        <v>12</v>
      </c>
    </row>
    <row r="3343" spans="1:10" x14ac:dyDescent="0.25">
      <c r="A3343" s="2">
        <v>3054.1130984882602</v>
      </c>
      <c r="B3343" s="3">
        <v>0.30753297849123001</v>
      </c>
      <c r="C3343" s="5">
        <v>5.6089157829377199E-11</v>
      </c>
      <c r="D3343" s="6">
        <v>3.3225538972523799E-10</v>
      </c>
      <c r="E3343" s="3" t="s">
        <v>6675</v>
      </c>
      <c r="F3343" s="3" t="s">
        <v>6676</v>
      </c>
      <c r="G3343" s="3">
        <v>14977</v>
      </c>
      <c r="H3343" s="7" t="str">
        <f>HYPERLINK("http://www.ensembl.org/Mus_musculus/Gene/Summary?db=core;g=ENSMUSG00000024327","ENSMUSG00000024327")</f>
        <v>ENSMUSG00000024327</v>
      </c>
      <c r="I3343" s="7" t="str">
        <f>HYPERLINK("http://www.informatics.jax.org/marker/MGI:95909","MGI:95909")</f>
        <v>MGI:95909</v>
      </c>
      <c r="J3343" s="4" t="s">
        <v>12</v>
      </c>
    </row>
    <row r="3344" spans="1:10" x14ac:dyDescent="0.25">
      <c r="A3344" s="2">
        <v>454.18870727993999</v>
      </c>
      <c r="B3344" s="3">
        <v>0.307171478474487</v>
      </c>
      <c r="C3344" s="5">
        <v>2.0764627908712198E-6</v>
      </c>
      <c r="D3344" s="6">
        <v>8.3362879144911505E-6</v>
      </c>
      <c r="E3344" s="3" t="s">
        <v>9839</v>
      </c>
      <c r="F3344" s="3" t="s">
        <v>9840</v>
      </c>
      <c r="G3344" s="3">
        <v>70373</v>
      </c>
      <c r="H3344" s="7" t="str">
        <f>HYPERLINK("http://www.ensembl.org/Mus_musculus/Gene/Summary?db=core;g=ENSMUSG00000021254","ENSMUSG00000021254")</f>
        <v>ENSMUSG00000021254</v>
      </c>
      <c r="I3344" s="7" t="str">
        <f>HYPERLINK("http://www.informatics.jax.org/marker/MGI:1917623","MGI:1917623")</f>
        <v>MGI:1917623</v>
      </c>
      <c r="J3344" s="4" t="s">
        <v>12</v>
      </c>
    </row>
    <row r="3345" spans="1:10" x14ac:dyDescent="0.25">
      <c r="A3345" s="2">
        <v>760.629096980383</v>
      </c>
      <c r="B3345" s="3">
        <v>0.30683014002092601</v>
      </c>
      <c r="C3345" s="5">
        <v>5.3645744421288303E-5</v>
      </c>
      <c r="D3345" s="4">
        <v>1.86445907646776E-4</v>
      </c>
      <c r="E3345" s="3" t="s">
        <v>11359</v>
      </c>
      <c r="F3345" s="3" t="s">
        <v>11360</v>
      </c>
      <c r="G3345" s="3">
        <v>77951</v>
      </c>
      <c r="H3345" s="7" t="str">
        <f>HYPERLINK("http://www.ensembl.org/Mus_musculus/Gene/Summary?db=core;g=ENSMUSG00000049439","ENSMUSG00000049439")</f>
        <v>ENSMUSG00000049439</v>
      </c>
      <c r="I3345" s="7" t="str">
        <f>HYPERLINK("http://www.informatics.jax.org/marker/MGI:1925201","MGI:1925201")</f>
        <v>MGI:1925201</v>
      </c>
      <c r="J3345" s="4" t="s">
        <v>12</v>
      </c>
    </row>
    <row r="3346" spans="1:10" x14ac:dyDescent="0.25">
      <c r="A3346" s="2">
        <v>4764.2680471183703</v>
      </c>
      <c r="B3346" s="3">
        <v>0.30668008890993098</v>
      </c>
      <c r="C3346" s="3">
        <v>1.11409670890603E-4</v>
      </c>
      <c r="D3346" s="4">
        <v>3.7363923638821401E-4</v>
      </c>
      <c r="E3346" s="3" t="s">
        <v>11771</v>
      </c>
      <c r="F3346" s="3" t="s">
        <v>11772</v>
      </c>
      <c r="G3346" s="3">
        <v>78294</v>
      </c>
      <c r="H3346" s="7" t="str">
        <f>HYPERLINK("http://www.ensembl.org/Mus_musculus/Gene/Summary?db=core;g=ENSMUSG00000020460","ENSMUSG00000020460")</f>
        <v>ENSMUSG00000020460</v>
      </c>
      <c r="I3346" s="7" t="str">
        <f>HYPERLINK("http://www.informatics.jax.org/marker/MGI:1925544","MGI:1925544")</f>
        <v>MGI:1925544</v>
      </c>
      <c r="J3346" s="4" t="s">
        <v>12</v>
      </c>
    </row>
    <row r="3347" spans="1:10" x14ac:dyDescent="0.25">
      <c r="A3347" s="2">
        <v>1490.11866374945</v>
      </c>
      <c r="B3347" s="3">
        <v>0.30663844008107999</v>
      </c>
      <c r="C3347" s="5">
        <v>2.3073687537738801E-12</v>
      </c>
      <c r="D3347" s="6">
        <v>1.5167103941473601E-11</v>
      </c>
      <c r="E3347" s="3" t="s">
        <v>6017</v>
      </c>
      <c r="F3347" s="3" t="s">
        <v>6018</v>
      </c>
      <c r="G3347" s="3">
        <v>320951</v>
      </c>
      <c r="H3347" s="7" t="str">
        <f>HYPERLINK("http://www.ensembl.org/Mus_musculus/Gene/Summary?db=core;g=ENSMUSG00000023452","ENSMUSG00000023452")</f>
        <v>ENSMUSG00000023452</v>
      </c>
      <c r="I3347" s="7" t="str">
        <f>HYPERLINK("http://www.informatics.jax.org/marker/MGI:2445114","MGI:2445114")</f>
        <v>MGI:2445114</v>
      </c>
      <c r="J3347" s="4" t="s">
        <v>12</v>
      </c>
    </row>
    <row r="3348" spans="1:10" x14ac:dyDescent="0.25">
      <c r="A3348" s="2">
        <v>2781.5240831264</v>
      </c>
      <c r="B3348" s="3">
        <v>0.30635626646925301</v>
      </c>
      <c r="C3348" s="5">
        <v>3.9393157581008897E-12</v>
      </c>
      <c r="D3348" s="6">
        <v>2.5486649196112001E-11</v>
      </c>
      <c r="E3348" s="3" t="s">
        <v>6113</v>
      </c>
      <c r="F3348" s="3" t="s">
        <v>6114</v>
      </c>
      <c r="G3348" s="3">
        <v>53356</v>
      </c>
      <c r="H3348" s="7" t="str">
        <f>HYPERLINK("http://www.ensembl.org/Mus_musculus/Gene/Summary?db=core;g=ENSMUSG00000070319","ENSMUSG00000070319")</f>
        <v>ENSMUSG00000070319</v>
      </c>
      <c r="I3348" s="7" t="str">
        <f>HYPERLINK("http://www.informatics.jax.org/marker/MGI:1858258","MGI:1858258")</f>
        <v>MGI:1858258</v>
      </c>
      <c r="J3348" s="4" t="s">
        <v>12</v>
      </c>
    </row>
    <row r="3349" spans="1:10" x14ac:dyDescent="0.25">
      <c r="A3349" s="2">
        <v>1744.5275746884699</v>
      </c>
      <c r="B3349" s="3">
        <v>0.30587196758389401</v>
      </c>
      <c r="C3349" s="5">
        <v>2.3192603844892802E-9</v>
      </c>
      <c r="D3349" s="6">
        <v>1.20802469049468E-8</v>
      </c>
      <c r="E3349" s="3" t="s">
        <v>7590</v>
      </c>
      <c r="F3349" s="3" t="s">
        <v>7591</v>
      </c>
      <c r="G3349" s="3">
        <v>18139</v>
      </c>
      <c r="H3349" s="7" t="str">
        <f>HYPERLINK("http://www.ensembl.org/Mus_musculus/Gene/Summary?db=core;g=ENSMUSG00000030016","ENSMUSG00000030016")</f>
        <v>ENSMUSG00000030016</v>
      </c>
      <c r="I3349" s="7" t="str">
        <f>HYPERLINK("http://www.informatics.jax.org/marker/MGI:1203484","MGI:1203484")</f>
        <v>MGI:1203484</v>
      </c>
      <c r="J3349" s="4" t="s">
        <v>12</v>
      </c>
    </row>
    <row r="3350" spans="1:10" x14ac:dyDescent="0.25">
      <c r="A3350" s="2">
        <v>178.90476894673901</v>
      </c>
      <c r="B3350" s="3">
        <v>0.30586414325957001</v>
      </c>
      <c r="C3350" s="3">
        <v>6.7308222757174498E-3</v>
      </c>
      <c r="D3350" s="4">
        <v>1.7316609951356601E-2</v>
      </c>
      <c r="E3350" s="3" t="s">
        <v>15335</v>
      </c>
      <c r="F3350" s="3" t="s">
        <v>15336</v>
      </c>
      <c r="G3350" s="3">
        <v>72136</v>
      </c>
      <c r="H3350" s="7" t="str">
        <f>HYPERLINK("http://www.ensembl.org/Mus_musculus/Gene/Summary?db=core;g=ENSMUSG00000074916","ENSMUSG00000074916")</f>
        <v>ENSMUSG00000074916</v>
      </c>
      <c r="I3350" s="7" t="str">
        <f>HYPERLINK("http://www.informatics.jax.org/marker/MGI:1919386","MGI:1919386")</f>
        <v>MGI:1919386</v>
      </c>
      <c r="J3350" s="4" t="s">
        <v>12</v>
      </c>
    </row>
    <row r="3351" spans="1:10" x14ac:dyDescent="0.25">
      <c r="A3351" s="2">
        <v>2101.89513186981</v>
      </c>
      <c r="B3351" s="3">
        <v>0.30571110324482997</v>
      </c>
      <c r="C3351" s="5">
        <v>4.0718836324509898E-11</v>
      </c>
      <c r="D3351" s="6">
        <v>2.4399132553003202E-10</v>
      </c>
      <c r="E3351" s="3" t="s">
        <v>6599</v>
      </c>
      <c r="F3351" s="3" t="s">
        <v>6600</v>
      </c>
      <c r="G3351" s="3" t="s">
        <v>83</v>
      </c>
      <c r="H3351" s="7" t="str">
        <f>HYPERLINK("http://www.ensembl.org/Mus_musculus/Gene/Summary?db=core;g=ENSMUSG00000105852","ENSMUSG00000105852")</f>
        <v>ENSMUSG00000105852</v>
      </c>
      <c r="I3351" s="7" t="str">
        <f>HYPERLINK("http://www.informatics.jax.org/marker/MGI:5663027","MGI:5663027")</f>
        <v>MGI:5663027</v>
      </c>
      <c r="J3351" s="4" t="s">
        <v>331</v>
      </c>
    </row>
    <row r="3352" spans="1:10" x14ac:dyDescent="0.25">
      <c r="A3352" s="2">
        <v>132.526326391841</v>
      </c>
      <c r="B3352" s="3">
        <v>0.30565994379421602</v>
      </c>
      <c r="C3352" s="3">
        <v>5.3777262157404197E-3</v>
      </c>
      <c r="D3352" s="4">
        <v>1.41398347965868E-2</v>
      </c>
      <c r="E3352" s="3" t="s">
        <v>15004</v>
      </c>
      <c r="F3352" s="3" t="s">
        <v>15005</v>
      </c>
      <c r="G3352" s="3">
        <v>227210</v>
      </c>
      <c r="H3352" s="7" t="str">
        <f>HYPERLINK("http://www.ensembl.org/Mus_musculus/Gene/Summary?db=core;g=ENSMUSG00000070871","ENSMUSG00000070871")</f>
        <v>ENSMUSG00000070871</v>
      </c>
      <c r="I3352" s="7" t="str">
        <f>HYPERLINK("http://www.informatics.jax.org/marker/MGI:2138614","MGI:2138614")</f>
        <v>MGI:2138614</v>
      </c>
      <c r="J3352" s="4" t="s">
        <v>12</v>
      </c>
    </row>
    <row r="3353" spans="1:10" x14ac:dyDescent="0.25">
      <c r="A3353" s="2">
        <v>1468.83525576083</v>
      </c>
      <c r="B3353" s="3">
        <v>0.30543287640476202</v>
      </c>
      <c r="C3353" s="5">
        <v>3.1317810426875901E-7</v>
      </c>
      <c r="D3353" s="6">
        <v>1.36453208488288E-6</v>
      </c>
      <c r="E3353" s="3" t="s">
        <v>9067</v>
      </c>
      <c r="F3353" s="3" t="s">
        <v>9068</v>
      </c>
      <c r="G3353" s="3">
        <v>209225</v>
      </c>
      <c r="H3353" s="7" t="str">
        <f>HYPERLINK("http://www.ensembl.org/Mus_musculus/Gene/Summary?db=core;g=ENSMUSG00000048897","ENSMUSG00000048897")</f>
        <v>ENSMUSG00000048897</v>
      </c>
      <c r="I3353" s="7" t="str">
        <f>HYPERLINK("http://www.informatics.jax.org/marker/MGI:1921747","MGI:1921747")</f>
        <v>MGI:1921747</v>
      </c>
      <c r="J3353" s="4" t="s">
        <v>12</v>
      </c>
    </row>
    <row r="3354" spans="1:10" x14ac:dyDescent="0.25">
      <c r="A3354" s="2">
        <v>2141.2201717432299</v>
      </c>
      <c r="B3354" s="3">
        <v>0.30535314529253899</v>
      </c>
      <c r="C3354" s="5">
        <v>2.90682212842537E-10</v>
      </c>
      <c r="D3354" s="6">
        <v>1.6284810333110301E-9</v>
      </c>
      <c r="E3354" s="3" t="s">
        <v>7056</v>
      </c>
      <c r="F3354" s="3" t="s">
        <v>7057</v>
      </c>
      <c r="G3354" s="3">
        <v>18786</v>
      </c>
      <c r="H3354" s="7" t="str">
        <f>HYPERLINK("http://www.ensembl.org/Mus_musculus/Gene/Summary?db=core;g=ENSMUSG00000028577","ENSMUSG00000028577")</f>
        <v>ENSMUSG00000028577</v>
      </c>
      <c r="I3354" s="7" t="str">
        <f>HYPERLINK("http://www.informatics.jax.org/marker/MGI:104810","MGI:104810")</f>
        <v>MGI:104810</v>
      </c>
      <c r="J3354" s="4" t="s">
        <v>12</v>
      </c>
    </row>
    <row r="3355" spans="1:10" x14ac:dyDescent="0.25">
      <c r="A3355" s="2">
        <v>1880.61953077256</v>
      </c>
      <c r="B3355" s="3">
        <v>0.30525699194411599</v>
      </c>
      <c r="C3355" s="5">
        <v>5.1593591074375697E-8</v>
      </c>
      <c r="D3355" s="6">
        <v>2.3956336613767101E-7</v>
      </c>
      <c r="E3355" s="3" t="s">
        <v>8511</v>
      </c>
      <c r="F3355" s="3" t="s">
        <v>8512</v>
      </c>
      <c r="G3355" s="3">
        <v>84505</v>
      </c>
      <c r="H3355" s="7" t="str">
        <f>HYPERLINK("http://www.ensembl.org/Mus_musculus/Gene/Summary?db=core;g=ENSMUSG00000015697","ENSMUSG00000015697")</f>
        <v>ENSMUSG00000015697</v>
      </c>
      <c r="I3355" s="7" t="str">
        <f>HYPERLINK("http://www.informatics.jax.org/marker/MGI:1934229","MGI:1934229")</f>
        <v>MGI:1934229</v>
      </c>
      <c r="J3355" s="4" t="s">
        <v>12</v>
      </c>
    </row>
    <row r="3356" spans="1:10" x14ac:dyDescent="0.25">
      <c r="A3356" s="2">
        <v>1300.4143593783101</v>
      </c>
      <c r="B3356" s="3">
        <v>0.30507385146868399</v>
      </c>
      <c r="C3356" s="5">
        <v>2.4359919172313699E-6</v>
      </c>
      <c r="D3356" s="6">
        <v>9.7065590236012406E-6</v>
      </c>
      <c r="E3356" s="3" t="s">
        <v>9913</v>
      </c>
      <c r="F3356" s="3" t="s">
        <v>9914</v>
      </c>
      <c r="G3356" s="3">
        <v>56431</v>
      </c>
      <c r="H3356" s="7" t="str">
        <f>HYPERLINK("http://www.ensembl.org/Mus_musculus/Gene/Summary?db=core;g=ENSMUSG00000015932","ENSMUSG00000015932")</f>
        <v>ENSMUSG00000015932</v>
      </c>
      <c r="I3356" s="7" t="str">
        <f>HYPERLINK("http://www.informatics.jax.org/marker/MGI:1929270","MGI:1929270")</f>
        <v>MGI:1929270</v>
      </c>
      <c r="J3356" s="4" t="s">
        <v>12</v>
      </c>
    </row>
    <row r="3357" spans="1:10" x14ac:dyDescent="0.25">
      <c r="A3357" s="2">
        <v>286.38571746675598</v>
      </c>
      <c r="B3357" s="3">
        <v>0.30484461384403799</v>
      </c>
      <c r="C3357" s="3">
        <v>6.8171317399172004E-4</v>
      </c>
      <c r="D3357" s="4">
        <v>2.0593418797666598E-3</v>
      </c>
      <c r="E3357" s="3" t="s">
        <v>13065</v>
      </c>
      <c r="F3357" s="3" t="s">
        <v>13066</v>
      </c>
      <c r="G3357" s="3">
        <v>216363</v>
      </c>
      <c r="H3357" s="7" t="str">
        <f>HYPERLINK("http://www.ensembl.org/Mus_musculus/Gene/Summary?db=core;g=ENSMUSG00000064181","ENSMUSG00000064181")</f>
        <v>ENSMUSG00000064181</v>
      </c>
      <c r="I3357" s="7" t="str">
        <f>HYPERLINK("http://www.informatics.jax.org/marker/MGI:105933","MGI:105933")</f>
        <v>MGI:105933</v>
      </c>
      <c r="J3357" s="4" t="s">
        <v>12</v>
      </c>
    </row>
    <row r="3358" spans="1:10" x14ac:dyDescent="0.25">
      <c r="A3358" s="2">
        <v>774.45253984287399</v>
      </c>
      <c r="B3358" s="3">
        <v>0.30449289522687301</v>
      </c>
      <c r="C3358" s="5">
        <v>1.5066790700810599E-7</v>
      </c>
      <c r="D3358" s="6">
        <v>6.7160287662745205E-7</v>
      </c>
      <c r="E3358" s="3" t="s">
        <v>8865</v>
      </c>
      <c r="F3358" s="3" t="s">
        <v>8866</v>
      </c>
      <c r="G3358" s="3">
        <v>27049</v>
      </c>
      <c r="H3358" s="7" t="str">
        <f>HYPERLINK("http://www.ensembl.org/Mus_musculus/Gene/Summary?db=core;g=ENSMUSG00000003382","ENSMUSG00000003382")</f>
        <v>ENSMUSG00000003382</v>
      </c>
      <c r="I3358" s="7" t="str">
        <f>HYPERLINK("http://www.informatics.jax.org/marker/MGI:1350926","MGI:1350926")</f>
        <v>MGI:1350926</v>
      </c>
      <c r="J3358" s="4" t="s">
        <v>12</v>
      </c>
    </row>
    <row r="3359" spans="1:10" x14ac:dyDescent="0.25">
      <c r="A3359" s="2">
        <v>869.14558819695503</v>
      </c>
      <c r="B3359" s="3">
        <v>0.30416771075562998</v>
      </c>
      <c r="C3359" s="5">
        <v>4.1663073441763501E-9</v>
      </c>
      <c r="D3359" s="6">
        <v>2.1306945235258699E-8</v>
      </c>
      <c r="E3359" s="3" t="s">
        <v>7728</v>
      </c>
      <c r="F3359" s="3" t="s">
        <v>7729</v>
      </c>
      <c r="G3359" s="3">
        <v>93836</v>
      </c>
      <c r="H3359" s="7" t="str">
        <f>HYPERLINK("http://www.ensembl.org/Mus_musculus/Gene/Summary?db=core;g=ENSMUSG00000032217","ENSMUSG00000032217")</f>
        <v>ENSMUSG00000032217</v>
      </c>
      <c r="I3359" s="7" t="str">
        <f>HYPERLINK("http://www.informatics.jax.org/marker/MGI:1934919","MGI:1934919")</f>
        <v>MGI:1934919</v>
      </c>
      <c r="J3359" s="4" t="s">
        <v>12</v>
      </c>
    </row>
    <row r="3360" spans="1:10" x14ac:dyDescent="0.25">
      <c r="A3360" s="2">
        <v>3948.8083474815598</v>
      </c>
      <c r="B3360" s="3">
        <v>0.30414988074310501</v>
      </c>
      <c r="C3360" s="5">
        <v>1.2829414187251799E-5</v>
      </c>
      <c r="D3360" s="6">
        <v>4.7582480303292499E-5</v>
      </c>
      <c r="E3360" s="3" t="s">
        <v>10646</v>
      </c>
      <c r="F3360" s="3" t="s">
        <v>10647</v>
      </c>
      <c r="G3360" s="3" t="s">
        <v>83</v>
      </c>
      <c r="H3360" s="7" t="str">
        <f>HYPERLINK("http://www.ensembl.org/Mus_musculus/Gene/Summary?db=core;g=ENSMUSG00000091228","ENSMUSG00000091228")</f>
        <v>ENSMUSG00000091228</v>
      </c>
      <c r="I3360" s="7" t="str">
        <f>HYPERLINK("http://www.informatics.jax.org/marker/MGI:5141855","MGI:5141855")</f>
        <v>MGI:5141855</v>
      </c>
      <c r="J3360" s="4" t="s">
        <v>12</v>
      </c>
    </row>
    <row r="3361" spans="1:10" x14ac:dyDescent="0.25">
      <c r="A3361" s="2">
        <v>366.37733911030602</v>
      </c>
      <c r="B3361" s="3">
        <v>0.304073117680705</v>
      </c>
      <c r="C3361" s="5">
        <v>2.7996714561852201E-6</v>
      </c>
      <c r="D3361" s="6">
        <v>1.10817986985091E-5</v>
      </c>
      <c r="E3361" s="3" t="s">
        <v>9980</v>
      </c>
      <c r="F3361" s="3" t="s">
        <v>9981</v>
      </c>
      <c r="G3361" s="3">
        <v>57751</v>
      </c>
      <c r="H3361" s="7" t="str">
        <f>HYPERLINK("http://www.ensembl.org/Mus_musculus/Gene/Summary?db=core;g=ENSMUSG00000026171","ENSMUSG00000026171")</f>
        <v>ENSMUSG00000026171</v>
      </c>
      <c r="I3361" s="7" t="str">
        <f>HYPERLINK("http://www.informatics.jax.org/marker/MGI:1890215","MGI:1890215")</f>
        <v>MGI:1890215</v>
      </c>
      <c r="J3361" s="4" t="s">
        <v>12</v>
      </c>
    </row>
    <row r="3362" spans="1:10" x14ac:dyDescent="0.25">
      <c r="A3362" s="2">
        <v>88.200160664687402</v>
      </c>
      <c r="B3362" s="3">
        <v>0.30383781832190199</v>
      </c>
      <c r="C3362" s="3">
        <v>1.32140499277322E-2</v>
      </c>
      <c r="D3362" s="4">
        <v>3.2051791460624701E-2</v>
      </c>
      <c r="E3362" s="3" t="s">
        <v>16265</v>
      </c>
      <c r="F3362" s="3" t="s">
        <v>16266</v>
      </c>
      <c r="G3362" s="3" t="s">
        <v>83</v>
      </c>
      <c r="H3362" s="7" t="str">
        <f>HYPERLINK("http://www.ensembl.org/Mus_musculus/Gene/Summary?db=core;g=ENSMUSG00000085379","ENSMUSG00000085379")</f>
        <v>ENSMUSG00000085379</v>
      </c>
      <c r="I3362" s="7" t="str">
        <f>HYPERLINK("http://www.informatics.jax.org/marker/MGI:1922944","MGI:1922944")</f>
        <v>MGI:1922944</v>
      </c>
      <c r="J3362" s="4" t="s">
        <v>331</v>
      </c>
    </row>
    <row r="3363" spans="1:10" x14ac:dyDescent="0.25">
      <c r="A3363" s="2">
        <v>1848.8793247886599</v>
      </c>
      <c r="B3363" s="3">
        <v>0.30307011051247601</v>
      </c>
      <c r="C3363" s="5">
        <v>5.5771886130858298E-10</v>
      </c>
      <c r="D3363" s="6">
        <v>3.0465972146828998E-9</v>
      </c>
      <c r="E3363" s="3" t="s">
        <v>7238</v>
      </c>
      <c r="F3363" s="3" t="s">
        <v>7239</v>
      </c>
      <c r="G3363" s="3">
        <v>29806</v>
      </c>
      <c r="H3363" s="7" t="str">
        <f>HYPERLINK("http://www.ensembl.org/Mus_musculus/Gene/Summary?db=core;g=ENSMUSG00000025239","ENSMUSG00000025239")</f>
        <v>ENSMUSG00000025239</v>
      </c>
      <c r="I3363" s="7" t="str">
        <f>HYPERLINK("http://www.informatics.jax.org/marker/MGI:1352502","MGI:1352502")</f>
        <v>MGI:1352502</v>
      </c>
      <c r="J3363" s="4" t="s">
        <v>12</v>
      </c>
    </row>
    <row r="3364" spans="1:10" x14ac:dyDescent="0.25">
      <c r="A3364" s="2">
        <v>1058.62457240036</v>
      </c>
      <c r="B3364" s="3">
        <v>0.30242819878890997</v>
      </c>
      <c r="C3364" s="5">
        <v>8.0209378299168905E-9</v>
      </c>
      <c r="D3364" s="6">
        <v>4.01148602601981E-8</v>
      </c>
      <c r="E3364" s="3" t="s">
        <v>7902</v>
      </c>
      <c r="F3364" s="3" t="s">
        <v>7903</v>
      </c>
      <c r="G3364" s="3">
        <v>76863</v>
      </c>
      <c r="H3364" s="7" t="str">
        <f>HYPERLINK("http://www.ensembl.org/Mus_musculus/Gene/Summary?db=core;g=ENSMUSG00000032002","ENSMUSG00000032002")</f>
        <v>ENSMUSG00000032002</v>
      </c>
      <c r="I3364" s="7" t="str">
        <f>HYPERLINK("http://www.informatics.jax.org/marker/MGI:1924113","MGI:1924113")</f>
        <v>MGI:1924113</v>
      </c>
      <c r="J3364" s="4" t="s">
        <v>12</v>
      </c>
    </row>
    <row r="3365" spans="1:10" x14ac:dyDescent="0.25">
      <c r="A3365" s="2">
        <v>212.24948591067701</v>
      </c>
      <c r="B3365" s="3">
        <v>0.30216117868570702</v>
      </c>
      <c r="C3365" s="3">
        <v>5.2917819142805304E-3</v>
      </c>
      <c r="D3365" s="4">
        <v>1.39305752702726E-2</v>
      </c>
      <c r="E3365" s="3" t="s">
        <v>14986</v>
      </c>
      <c r="F3365" s="3" t="s">
        <v>14987</v>
      </c>
      <c r="G3365" s="3">
        <v>66388</v>
      </c>
      <c r="H3365" s="7" t="str">
        <f>HYPERLINK("http://www.ensembl.org/Mus_musculus/Gene/Summary?db=core;g=ENSMUSG00000025193","ENSMUSG00000025193")</f>
        <v>ENSMUSG00000025193</v>
      </c>
      <c r="I3365" s="7" t="str">
        <f>HYPERLINK("http://www.informatics.jax.org/marker/MGI:1913638","MGI:1913638")</f>
        <v>MGI:1913638</v>
      </c>
      <c r="J3365" s="4" t="s">
        <v>12</v>
      </c>
    </row>
    <row r="3366" spans="1:10" x14ac:dyDescent="0.25">
      <c r="A3366" s="2">
        <v>2082.6633943534098</v>
      </c>
      <c r="B3366" s="3">
        <v>0.30194655266803899</v>
      </c>
      <c r="C3366" s="5">
        <v>4.2810656835926697E-9</v>
      </c>
      <c r="D3366" s="6">
        <v>2.18711438550382E-8</v>
      </c>
      <c r="E3366" s="3" t="s">
        <v>7736</v>
      </c>
      <c r="F3366" s="3" t="s">
        <v>7737</v>
      </c>
      <c r="G3366" s="3">
        <v>73674</v>
      </c>
      <c r="H3366" s="7" t="str">
        <f>HYPERLINK("http://www.ensembl.org/Mus_musculus/Gene/Summary?db=core;g=ENSMUSG00000025995","ENSMUSG00000025995")</f>
        <v>ENSMUSG00000025995</v>
      </c>
      <c r="I3366" s="7" t="str">
        <f>HYPERLINK("http://www.informatics.jax.org/marker/MGI:1920924","MGI:1920924")</f>
        <v>MGI:1920924</v>
      </c>
      <c r="J3366" s="4" t="s">
        <v>12</v>
      </c>
    </row>
    <row r="3367" spans="1:10" x14ac:dyDescent="0.25">
      <c r="A3367" s="2">
        <v>4154.3189876224196</v>
      </c>
      <c r="B3367" s="3">
        <v>0.30187427565620201</v>
      </c>
      <c r="C3367" s="3">
        <v>1.46704452141353E-3</v>
      </c>
      <c r="D3367" s="4">
        <v>4.2227584239198299E-3</v>
      </c>
      <c r="E3367" s="3" t="s">
        <v>13709</v>
      </c>
      <c r="F3367" s="3" t="s">
        <v>13710</v>
      </c>
      <c r="G3367" s="3">
        <v>353172</v>
      </c>
      <c r="H3367" s="7" t="str">
        <f>HYPERLINK("http://www.ensembl.org/Mus_musculus/Gene/Summary?db=core;g=ENSMUSG00000029777","ENSMUSG00000029777")</f>
        <v>ENSMUSG00000029777</v>
      </c>
      <c r="I3367" s="7" t="str">
        <f>HYPERLINK("http://www.informatics.jax.org/marker/MGI:2449057","MGI:2449057")</f>
        <v>MGI:2449057</v>
      </c>
      <c r="J3367" s="4" t="s">
        <v>12</v>
      </c>
    </row>
    <row r="3368" spans="1:10" x14ac:dyDescent="0.25">
      <c r="A3368" s="2">
        <v>318.31752458540097</v>
      </c>
      <c r="B3368" s="3">
        <v>0.30177145212555301</v>
      </c>
      <c r="C3368" s="3">
        <v>1.5775736614341101E-2</v>
      </c>
      <c r="D3368" s="4">
        <v>3.7663138745134002E-2</v>
      </c>
      <c r="E3368" s="3" t="s">
        <v>16523</v>
      </c>
      <c r="F3368" s="3" t="s">
        <v>16524</v>
      </c>
      <c r="G3368" s="3">
        <v>57914</v>
      </c>
      <c r="H3368" s="7" t="str">
        <f>HYPERLINK("http://www.ensembl.org/Mus_musculus/Gene/Summary?db=core;g=ENSMUSG00000033467","ENSMUSG00000033467")</f>
        <v>ENSMUSG00000033467</v>
      </c>
      <c r="I3368" s="7" t="str">
        <f>HYPERLINK("http://www.informatics.jax.org/marker/MGI:1889506","MGI:1889506")</f>
        <v>MGI:1889506</v>
      </c>
      <c r="J3368" s="4" t="s">
        <v>12</v>
      </c>
    </row>
    <row r="3369" spans="1:10" x14ac:dyDescent="0.25">
      <c r="A3369" s="2">
        <v>190.85055527658201</v>
      </c>
      <c r="B3369" s="3">
        <v>0.30169723977465501</v>
      </c>
      <c r="C3369" s="3">
        <v>2.3373342408001098E-3</v>
      </c>
      <c r="D3369" s="4">
        <v>6.5286446499402398E-3</v>
      </c>
      <c r="E3369" s="3" t="s">
        <v>14127</v>
      </c>
      <c r="F3369" s="3" t="s">
        <v>14128</v>
      </c>
      <c r="G3369" s="3">
        <v>59007</v>
      </c>
      <c r="H3369" s="7" t="str">
        <f>HYPERLINK("http://www.ensembl.org/Mus_musculus/Gene/Summary?db=core;g=ENSMUSG00000021785","ENSMUSG00000021785")</f>
        <v>ENSMUSG00000021785</v>
      </c>
      <c r="I3369" s="7" t="str">
        <f>HYPERLINK("http://www.informatics.jax.org/marker/MGI:1913276","MGI:1913276")</f>
        <v>MGI:1913276</v>
      </c>
      <c r="J3369" s="4" t="s">
        <v>12</v>
      </c>
    </row>
    <row r="3370" spans="1:10" x14ac:dyDescent="0.25">
      <c r="A3370" s="2">
        <v>1750.8860983731799</v>
      </c>
      <c r="B3370" s="3">
        <v>0.30113914998279701</v>
      </c>
      <c r="C3370" s="5">
        <v>4.7264972948211298E-12</v>
      </c>
      <c r="D3370" s="6">
        <v>3.0360432134811902E-11</v>
      </c>
      <c r="E3370" s="3" t="s">
        <v>6157</v>
      </c>
      <c r="F3370" s="3" t="s">
        <v>6158</v>
      </c>
      <c r="G3370" s="3">
        <v>64602</v>
      </c>
      <c r="H3370" s="7" t="str">
        <f>HYPERLINK("http://www.ensembl.org/Mus_musculus/Gene/Summary?db=core;g=ENSMUSG00000032293","ENSMUSG00000032293")</f>
        <v>ENSMUSG00000032293</v>
      </c>
      <c r="I3370" s="7" t="str">
        <f>HYPERLINK("http://www.informatics.jax.org/marker/MGI:1928268","MGI:1928268")</f>
        <v>MGI:1928268</v>
      </c>
      <c r="J3370" s="4" t="s">
        <v>12</v>
      </c>
    </row>
    <row r="3371" spans="1:10" x14ac:dyDescent="0.25">
      <c r="A3371" s="2">
        <v>159.973741417768</v>
      </c>
      <c r="B3371" s="3">
        <v>0.301110878398966</v>
      </c>
      <c r="C3371" s="3">
        <v>6.4714296442433504E-3</v>
      </c>
      <c r="D3371" s="4">
        <v>1.6727827052625401E-2</v>
      </c>
      <c r="E3371" s="3" t="s">
        <v>15263</v>
      </c>
      <c r="F3371" s="3" t="s">
        <v>15264</v>
      </c>
      <c r="G3371" s="3" t="s">
        <v>83</v>
      </c>
      <c r="H3371" s="7" t="str">
        <f>HYPERLINK("http://www.ensembl.org/Mus_musculus/Gene/Summary?db=core;g=ENSMUSG00000103009","ENSMUSG00000103009")</f>
        <v>ENSMUSG00000103009</v>
      </c>
      <c r="I3371" s="7" t="str">
        <f>HYPERLINK("http://www.informatics.jax.org/marker/MGI:3782614","MGI:3782614")</f>
        <v>MGI:3782614</v>
      </c>
      <c r="J3371" s="4" t="s">
        <v>1828</v>
      </c>
    </row>
    <row r="3372" spans="1:10" x14ac:dyDescent="0.25">
      <c r="A3372" s="2">
        <v>505.13003765693901</v>
      </c>
      <c r="B3372" s="3">
        <v>0.30091346380189898</v>
      </c>
      <c r="C3372" s="3">
        <v>5.0068756341065904E-4</v>
      </c>
      <c r="D3372" s="4">
        <v>1.54129858733347E-3</v>
      </c>
      <c r="E3372" s="3" t="s">
        <v>12821</v>
      </c>
      <c r="F3372" s="3" t="s">
        <v>12822</v>
      </c>
      <c r="G3372" s="3">
        <v>15932</v>
      </c>
      <c r="H3372" s="7" t="str">
        <f>HYPERLINK("http://www.ensembl.org/Mus_musculus/Gene/Summary?db=core;g=ENSMUSG00000033540","ENSMUSG00000033540")</f>
        <v>ENSMUSG00000033540</v>
      </c>
      <c r="I3372" s="7" t="str">
        <f>HYPERLINK("http://www.informatics.jax.org/marker/MGI:96418","MGI:96418")</f>
        <v>MGI:96418</v>
      </c>
      <c r="J3372" s="4" t="s">
        <v>12</v>
      </c>
    </row>
    <row r="3373" spans="1:10" x14ac:dyDescent="0.25">
      <c r="A3373" s="2">
        <v>2148.4827761781298</v>
      </c>
      <c r="B3373" s="3">
        <v>0.30048905009238103</v>
      </c>
      <c r="C3373" s="5">
        <v>1.9406944891264801E-8</v>
      </c>
      <c r="D3373" s="6">
        <v>9.3731313557614896E-8</v>
      </c>
      <c r="E3373" s="3" t="s">
        <v>8183</v>
      </c>
      <c r="F3373" s="3" t="s">
        <v>8184</v>
      </c>
      <c r="G3373" s="3">
        <v>19246</v>
      </c>
      <c r="H3373" s="7" t="str">
        <f>HYPERLINK("http://www.ensembl.org/Mus_musculus/Gene/Summary?db=core;g=ENSMUSG00000027540","ENSMUSG00000027540")</f>
        <v>ENSMUSG00000027540</v>
      </c>
      <c r="I3373" s="7" t="str">
        <f>HYPERLINK("http://www.informatics.jax.org/marker/MGI:97805","MGI:97805")</f>
        <v>MGI:97805</v>
      </c>
      <c r="J3373" s="4" t="s">
        <v>12</v>
      </c>
    </row>
    <row r="3374" spans="1:10" x14ac:dyDescent="0.25">
      <c r="A3374" s="2">
        <v>394.15775647604801</v>
      </c>
      <c r="B3374" s="3">
        <v>0.300241423909961</v>
      </c>
      <c r="C3374" s="5">
        <v>3.63393584186919E-6</v>
      </c>
      <c r="D3374" s="6">
        <v>1.42184950003295E-5</v>
      </c>
      <c r="E3374" s="3" t="s">
        <v>10096</v>
      </c>
      <c r="F3374" s="3" t="s">
        <v>10097</v>
      </c>
      <c r="G3374" s="3">
        <v>214897</v>
      </c>
      <c r="H3374" s="7" t="str">
        <f>HYPERLINK("http://www.ensembl.org/Mus_musculus/Gene/Summary?db=core;g=ENSMUSG00000032384","ENSMUSG00000032384")</f>
        <v>ENSMUSG00000032384</v>
      </c>
      <c r="I3374" s="7" t="str">
        <f>HYPERLINK("http://www.informatics.jax.org/marker/MGI:2660884","MGI:2660884")</f>
        <v>MGI:2660884</v>
      </c>
      <c r="J3374" s="4" t="s">
        <v>12</v>
      </c>
    </row>
    <row r="3375" spans="1:10" x14ac:dyDescent="0.25">
      <c r="A3375" s="2">
        <v>1892.3327831096201</v>
      </c>
      <c r="B3375" s="3">
        <v>0.300035350140198</v>
      </c>
      <c r="C3375" s="5">
        <v>1.3360823695188601E-10</v>
      </c>
      <c r="D3375" s="6">
        <v>7.7017083679952805E-10</v>
      </c>
      <c r="E3375" s="3" t="s">
        <v>6860</v>
      </c>
      <c r="F3375" s="3" t="s">
        <v>6861</v>
      </c>
      <c r="G3375" s="3">
        <v>66511</v>
      </c>
      <c r="H3375" s="7" t="str">
        <f>HYPERLINK("http://www.ensembl.org/Mus_musculus/Gene/Summary?db=core;g=ENSMUSG00000001017","ENSMUSG00000001017")</f>
        <v>ENSMUSG00000001017</v>
      </c>
      <c r="I3375" s="7" t="str">
        <f>HYPERLINK("http://www.informatics.jax.org/marker/MGI:1913761","MGI:1913761")</f>
        <v>MGI:1913761</v>
      </c>
      <c r="J3375" s="4" t="s">
        <v>12</v>
      </c>
    </row>
    <row r="3376" spans="1:10" x14ac:dyDescent="0.25">
      <c r="A3376" s="2">
        <v>7487.1042697540997</v>
      </c>
      <c r="B3376" s="3">
        <v>0.30002861876571002</v>
      </c>
      <c r="C3376" s="5">
        <v>3.1374322629152701E-12</v>
      </c>
      <c r="D3376" s="6">
        <v>2.0473250901617801E-11</v>
      </c>
      <c r="E3376" s="3" t="s">
        <v>6059</v>
      </c>
      <c r="F3376" s="3" t="s">
        <v>6060</v>
      </c>
      <c r="G3376" s="3">
        <v>14225</v>
      </c>
      <c r="H3376" s="7" t="str">
        <f>HYPERLINK("http://www.ensembl.org/Mus_musculus/Gene/Summary?db=core;g=ENSMUSG00000032966","ENSMUSG00000032966")</f>
        <v>ENSMUSG00000032966</v>
      </c>
      <c r="I3376" s="7" t="str">
        <f>HYPERLINK("http://www.informatics.jax.org/marker/MGI:95541","MGI:95541")</f>
        <v>MGI:95541</v>
      </c>
      <c r="J3376" s="4" t="s">
        <v>12</v>
      </c>
    </row>
    <row r="3377" spans="1:10" x14ac:dyDescent="0.25">
      <c r="A3377" s="2">
        <v>844.64117003484796</v>
      </c>
      <c r="B3377" s="3">
        <v>0.29998493547383698</v>
      </c>
      <c r="C3377" s="5">
        <v>2.1448904125542602E-6</v>
      </c>
      <c r="D3377" s="6">
        <v>8.6004959202053603E-6</v>
      </c>
      <c r="E3377" s="3" t="s">
        <v>9851</v>
      </c>
      <c r="F3377" s="3" t="s">
        <v>9852</v>
      </c>
      <c r="G3377" s="3">
        <v>15159</v>
      </c>
      <c r="H3377" s="7" t="str">
        <f>HYPERLINK("http://www.ensembl.org/Mus_musculus/Gene/Summary?db=core;g=ENSMUSG00000031352","ENSMUSG00000031352")</f>
        <v>ENSMUSG00000031352</v>
      </c>
      <c r="I3377" s="7" t="str">
        <f>HYPERLINK("http://www.informatics.jax.org/marker/MGI:106911","MGI:106911")</f>
        <v>MGI:106911</v>
      </c>
      <c r="J3377" s="4" t="s">
        <v>12</v>
      </c>
    </row>
    <row r="3378" spans="1:10" x14ac:dyDescent="0.25">
      <c r="A3378" s="2">
        <v>710.82194969383295</v>
      </c>
      <c r="B3378" s="3">
        <v>0.299742787457425</v>
      </c>
      <c r="C3378" s="3">
        <v>7.4378187097126E-3</v>
      </c>
      <c r="D3378" s="4">
        <v>1.89623509961904E-2</v>
      </c>
      <c r="E3378" s="3" t="s">
        <v>15475</v>
      </c>
      <c r="F3378" s="3" t="s">
        <v>15476</v>
      </c>
      <c r="G3378" s="3">
        <v>269181</v>
      </c>
      <c r="H3378" s="7" t="str">
        <f>HYPERLINK("http://www.ensembl.org/Mus_musculus/Gene/Summary?db=core;g=ENSMUSG00000026110","ENSMUSG00000026110")</f>
        <v>ENSMUSG00000026110</v>
      </c>
      <c r="I3378" s="7" t="str">
        <f>HYPERLINK("http://www.informatics.jax.org/marker/MGI:2662992","MGI:2662992")</f>
        <v>MGI:2662992</v>
      </c>
      <c r="J3378" s="4" t="s">
        <v>12</v>
      </c>
    </row>
    <row r="3379" spans="1:10" x14ac:dyDescent="0.25">
      <c r="A3379" s="2">
        <v>1127.6258182532699</v>
      </c>
      <c r="B3379" s="3">
        <v>0.299640506922422</v>
      </c>
      <c r="C3379" s="5">
        <v>7.0583073990767694E-5</v>
      </c>
      <c r="D3379" s="4">
        <v>2.41774920809091E-4</v>
      </c>
      <c r="E3379" s="3" t="s">
        <v>11525</v>
      </c>
      <c r="F3379" s="3" t="s">
        <v>11526</v>
      </c>
      <c r="G3379" s="3">
        <v>54214</v>
      </c>
      <c r="H3379" s="7" t="str">
        <f>HYPERLINK("http://www.ensembl.org/Mus_musculus/Gene/Summary?db=core;g=ENSMUSG00000038708","ENSMUSG00000038708")</f>
        <v>ENSMUSG00000038708</v>
      </c>
      <c r="I3379" s="7" t="str">
        <f>HYPERLINK("http://www.informatics.jax.org/marker/MGI:1859646","MGI:1859646")</f>
        <v>MGI:1859646</v>
      </c>
      <c r="J3379" s="4" t="s">
        <v>12</v>
      </c>
    </row>
    <row r="3380" spans="1:10" x14ac:dyDescent="0.25">
      <c r="A3380" s="2">
        <v>664.22627029311502</v>
      </c>
      <c r="B3380" s="3">
        <v>0.29954725687067701</v>
      </c>
      <c r="C3380" s="5">
        <v>1.5337928797508999E-5</v>
      </c>
      <c r="D3380" s="6">
        <v>5.6482531444795098E-5</v>
      </c>
      <c r="E3380" s="3" t="s">
        <v>10722</v>
      </c>
      <c r="F3380" s="3" t="s">
        <v>10723</v>
      </c>
      <c r="G3380" s="3">
        <v>229004</v>
      </c>
      <c r="H3380" s="7" t="str">
        <f>HYPERLINK("http://www.ensembl.org/Mus_musculus/Gene/Summary?db=core;g=ENSMUSG00000038705","ENSMUSG00000038705")</f>
        <v>ENSMUSG00000038705</v>
      </c>
      <c r="I3380" s="7" t="str">
        <f>HYPERLINK("http://www.informatics.jax.org/marker/MGI:2652836","MGI:2652836")</f>
        <v>MGI:2652836</v>
      </c>
      <c r="J3380" s="4" t="s">
        <v>12</v>
      </c>
    </row>
    <row r="3381" spans="1:10" x14ac:dyDescent="0.25">
      <c r="A3381" s="2">
        <v>1542.35231581996</v>
      </c>
      <c r="B3381" s="3">
        <v>0.29949359274709098</v>
      </c>
      <c r="C3381" s="5">
        <v>4.1855464134662799E-9</v>
      </c>
      <c r="D3381" s="6">
        <v>2.1394239314037101E-8</v>
      </c>
      <c r="E3381" s="3" t="s">
        <v>7732</v>
      </c>
      <c r="F3381" s="3" t="s">
        <v>7733</v>
      </c>
      <c r="G3381" s="3">
        <v>14670</v>
      </c>
      <c r="H3381" s="7" t="str">
        <f>HYPERLINK("http://www.ensembl.org/Mus_musculus/Gene/Summary?db=core;g=ENSMUSG00000024429","ENSMUSG00000024429")</f>
        <v>ENSMUSG00000024429</v>
      </c>
      <c r="I3381" s="7" t="str">
        <f>HYPERLINK("http://www.informatics.jax.org/marker/MGI:95764","MGI:95764")</f>
        <v>MGI:95764</v>
      </c>
      <c r="J3381" s="4" t="s">
        <v>12</v>
      </c>
    </row>
    <row r="3382" spans="1:10" x14ac:dyDescent="0.25">
      <c r="A3382" s="2">
        <v>681.18399283202405</v>
      </c>
      <c r="B3382" s="3">
        <v>0.299452216752222</v>
      </c>
      <c r="C3382" s="5">
        <v>6.3416514231231199E-6</v>
      </c>
      <c r="D3382" s="6">
        <v>2.4240621450666401E-5</v>
      </c>
      <c r="E3382" s="3" t="s">
        <v>10332</v>
      </c>
      <c r="F3382" s="3" t="s">
        <v>10333</v>
      </c>
      <c r="G3382" s="3">
        <v>28077</v>
      </c>
      <c r="H3382" s="7" t="str">
        <f>HYPERLINK("http://www.ensembl.org/Mus_musculus/Gene/Summary?db=core;g=ENSMUSG00000021598","ENSMUSG00000021598")</f>
        <v>ENSMUSG00000021598</v>
      </c>
      <c r="I3382" s="7" t="str">
        <f>HYPERLINK("http://www.informatics.jax.org/marker/MGI:106331","MGI:106331")</f>
        <v>MGI:106331</v>
      </c>
      <c r="J3382" s="4" t="s">
        <v>12</v>
      </c>
    </row>
    <row r="3383" spans="1:10" x14ac:dyDescent="0.25">
      <c r="A3383" s="2">
        <v>1912.65663840056</v>
      </c>
      <c r="B3383" s="3">
        <v>0.29914778057174501</v>
      </c>
      <c r="C3383" s="5">
        <v>1.07871728318695E-10</v>
      </c>
      <c r="D3383" s="6">
        <v>6.2565602424843296E-10</v>
      </c>
      <c r="E3383" s="3" t="s">
        <v>6818</v>
      </c>
      <c r="F3383" s="3" t="s">
        <v>6819</v>
      </c>
      <c r="G3383" s="3">
        <v>216877</v>
      </c>
      <c r="H3383" s="7" t="str">
        <f>HYPERLINK("http://www.ensembl.org/Mus_musculus/Gene/Summary?db=core;g=ENSMUSG00000040620","ENSMUSG00000040620")</f>
        <v>ENSMUSG00000040620</v>
      </c>
      <c r="I3383" s="7" t="str">
        <f>HYPERLINK("http://www.informatics.jax.org/marker/MGI:2445102","MGI:2445102")</f>
        <v>MGI:2445102</v>
      </c>
      <c r="J3383" s="4" t="s">
        <v>12</v>
      </c>
    </row>
    <row r="3384" spans="1:10" x14ac:dyDescent="0.25">
      <c r="A3384" s="2">
        <v>1015.25006954733</v>
      </c>
      <c r="B3384" s="3">
        <v>0.298914709814319</v>
      </c>
      <c r="C3384" s="3">
        <v>3.6063151619921698E-4</v>
      </c>
      <c r="D3384" s="4">
        <v>1.1313479954579301E-3</v>
      </c>
      <c r="E3384" s="3" t="s">
        <v>12585</v>
      </c>
      <c r="F3384" s="3" t="s">
        <v>12586</v>
      </c>
      <c r="G3384" s="3">
        <v>98417</v>
      </c>
      <c r="H3384" s="7" t="str">
        <f>HYPERLINK("http://www.ensembl.org/Mus_musculus/Gene/Summary?db=core;g=ENSMUSG00000062169","ENSMUSG00000062169")</f>
        <v>ENSMUSG00000062169</v>
      </c>
      <c r="I3384" s="7" t="str">
        <f>HYPERLINK("http://www.informatics.jax.org/marker/MGI:1925828","MGI:1925828")</f>
        <v>MGI:1925828</v>
      </c>
      <c r="J3384" s="4" t="s">
        <v>12</v>
      </c>
    </row>
    <row r="3385" spans="1:10" x14ac:dyDescent="0.25">
      <c r="A3385" s="2">
        <v>377.30249561637498</v>
      </c>
      <c r="B3385" s="3">
        <v>0.298797075068297</v>
      </c>
      <c r="C3385" s="5">
        <v>8.7174253470597195E-6</v>
      </c>
      <c r="D3385" s="6">
        <v>3.28569625084132E-5</v>
      </c>
      <c r="E3385" s="3" t="s">
        <v>10478</v>
      </c>
      <c r="F3385" s="3" t="s">
        <v>10479</v>
      </c>
      <c r="G3385" s="3">
        <v>67031</v>
      </c>
      <c r="H3385" s="7" t="str">
        <f>HYPERLINK("http://www.ensembl.org/Mus_musculus/Gene/Summary?db=core;g=ENSMUSG00000038398","ENSMUSG00000038398")</f>
        <v>ENSMUSG00000038398</v>
      </c>
      <c r="I3385" s="7" t="str">
        <f>HYPERLINK("http://www.informatics.jax.org/marker/MGI:1914281","MGI:1914281")</f>
        <v>MGI:1914281</v>
      </c>
      <c r="J3385" s="4" t="s">
        <v>12</v>
      </c>
    </row>
    <row r="3386" spans="1:10" x14ac:dyDescent="0.25">
      <c r="A3386" s="2">
        <v>980.39930186214497</v>
      </c>
      <c r="B3386" s="3">
        <v>0.298083706822451</v>
      </c>
      <c r="C3386" s="5">
        <v>8.2242932433546597E-8</v>
      </c>
      <c r="D3386" s="6">
        <v>3.7516322636815602E-7</v>
      </c>
      <c r="E3386" s="3" t="s">
        <v>8663</v>
      </c>
      <c r="F3386" s="3" t="s">
        <v>8664</v>
      </c>
      <c r="G3386" s="3">
        <v>268490</v>
      </c>
      <c r="H3386" s="7" t="str">
        <f>HYPERLINK("http://www.ensembl.org/Mus_musculus/Gene/Summary?db=core;g=ENSMUSG00000020922","ENSMUSG00000020922")</f>
        <v>ENSMUSG00000020922</v>
      </c>
      <c r="I3386" s="7" t="str">
        <f>HYPERLINK("http://www.informatics.jax.org/marker/MGI:1919592","MGI:1919592")</f>
        <v>MGI:1919592</v>
      </c>
      <c r="J3386" s="4" t="s">
        <v>12</v>
      </c>
    </row>
    <row r="3387" spans="1:10" x14ac:dyDescent="0.25">
      <c r="A3387" s="2">
        <v>2509.7628058232799</v>
      </c>
      <c r="B3387" s="3">
        <v>0.29780780523199701</v>
      </c>
      <c r="C3387" s="5">
        <v>3.9675362480321201E-12</v>
      </c>
      <c r="D3387" s="6">
        <v>2.5652398298751999E-11</v>
      </c>
      <c r="E3387" s="3" t="s">
        <v>6117</v>
      </c>
      <c r="F3387" s="3" t="s">
        <v>6118</v>
      </c>
      <c r="G3387" s="3">
        <v>24045</v>
      </c>
      <c r="H3387" s="7" t="str">
        <f>HYPERLINK("http://www.ensembl.org/Mus_musculus/Gene/Summary?db=core;g=ENSMUSG00000028049","ENSMUSG00000028049")</f>
        <v>ENSMUSG00000028049</v>
      </c>
      <c r="I3387" s="7" t="str">
        <f>HYPERLINK("http://www.informatics.jax.org/marker/MGI:1346346","MGI:1346346")</f>
        <v>MGI:1346346</v>
      </c>
      <c r="J3387" s="4" t="s">
        <v>12</v>
      </c>
    </row>
    <row r="3388" spans="1:10" x14ac:dyDescent="0.25">
      <c r="A3388" s="2">
        <v>1225.79817633061</v>
      </c>
      <c r="B3388" s="3">
        <v>0.29775580432655702</v>
      </c>
      <c r="C3388" s="5">
        <v>8.6268871822628604E-6</v>
      </c>
      <c r="D3388" s="6">
        <v>3.2540592049392398E-5</v>
      </c>
      <c r="E3388" s="3" t="s">
        <v>10470</v>
      </c>
      <c r="F3388" s="3" t="s">
        <v>10471</v>
      </c>
      <c r="G3388" s="3">
        <v>19014</v>
      </c>
      <c r="H3388" s="7" t="str">
        <f>HYPERLINK("http://www.ensembl.org/Mus_musculus/Gene/Summary?db=core;g=ENSMUSG00000018160","ENSMUSG00000018160")</f>
        <v>ENSMUSG00000018160</v>
      </c>
      <c r="I3388" s="7" t="str">
        <f>HYPERLINK("http://www.informatics.jax.org/marker/MGI:1100846","MGI:1100846")</f>
        <v>MGI:1100846</v>
      </c>
      <c r="J3388" s="4" t="s">
        <v>12</v>
      </c>
    </row>
    <row r="3389" spans="1:10" x14ac:dyDescent="0.25">
      <c r="A3389" s="2">
        <v>1204.4961756841201</v>
      </c>
      <c r="B3389" s="3">
        <v>0.29774934078829901</v>
      </c>
      <c r="C3389" s="5">
        <v>1.2717248237824299E-6</v>
      </c>
      <c r="D3389" s="6">
        <v>5.2105575576541701E-6</v>
      </c>
      <c r="E3389" s="3" t="s">
        <v>9641</v>
      </c>
      <c r="F3389" s="3" t="s">
        <v>9642</v>
      </c>
      <c r="G3389" s="3">
        <v>23988</v>
      </c>
      <c r="H3389" s="7" t="str">
        <f>HYPERLINK("http://www.ensembl.org/Mus_musculus/Gene/Summary?db=core;g=ENSMUSG00000032171","ENSMUSG00000032171")</f>
        <v>ENSMUSG00000032171</v>
      </c>
      <c r="I3389" s="7" t="str">
        <f>HYPERLINK("http://www.informatics.jax.org/marker/MGI:1346036","MGI:1346036")</f>
        <v>MGI:1346036</v>
      </c>
      <c r="J3389" s="4" t="s">
        <v>12</v>
      </c>
    </row>
    <row r="3390" spans="1:10" x14ac:dyDescent="0.25">
      <c r="A3390" s="2">
        <v>4353.7664990932599</v>
      </c>
      <c r="B3390" s="3">
        <v>0.29771090338490802</v>
      </c>
      <c r="C3390" s="5">
        <v>8.0741629792365005E-10</v>
      </c>
      <c r="D3390" s="6">
        <v>4.3598711377476404E-9</v>
      </c>
      <c r="E3390" s="3" t="s">
        <v>7322</v>
      </c>
      <c r="F3390" s="3" t="s">
        <v>7323</v>
      </c>
      <c r="G3390" s="3">
        <v>20591</v>
      </c>
      <c r="H3390" s="7" t="str">
        <f>HYPERLINK("http://www.ensembl.org/Mus_musculus/Gene/Summary?db=core;g=ENSMUSG00000025332","ENSMUSG00000025332")</f>
        <v>ENSMUSG00000025332</v>
      </c>
      <c r="I3390" s="7" t="str">
        <f>HYPERLINK("http://www.informatics.jax.org/marker/MGI:99781","MGI:99781")</f>
        <v>MGI:99781</v>
      </c>
      <c r="J3390" s="4" t="s">
        <v>12</v>
      </c>
    </row>
    <row r="3391" spans="1:10" x14ac:dyDescent="0.25">
      <c r="A3391" s="2">
        <v>100.73340873501201</v>
      </c>
      <c r="B3391" s="3">
        <v>0.297701168399439</v>
      </c>
      <c r="C3391" s="3">
        <v>1.1468507835156299E-2</v>
      </c>
      <c r="D3391" s="4">
        <v>2.81607489116278E-2</v>
      </c>
      <c r="E3391" s="3" t="s">
        <v>16067</v>
      </c>
      <c r="F3391" s="3" t="s">
        <v>16068</v>
      </c>
      <c r="G3391" s="3">
        <v>77422</v>
      </c>
      <c r="H3391" s="7" t="str">
        <f>HYPERLINK("http://www.ensembl.org/Mus_musculus/Gene/Summary?db=core;g=ENSMUSG00000024592","ENSMUSG00000024592")</f>
        <v>ENSMUSG00000024592</v>
      </c>
      <c r="I3391" s="7" t="str">
        <f>HYPERLINK("http://www.informatics.jax.org/marker/MGI:1924672","MGI:1924672")</f>
        <v>MGI:1924672</v>
      </c>
      <c r="J3391" s="4" t="s">
        <v>12</v>
      </c>
    </row>
    <row r="3392" spans="1:10" x14ac:dyDescent="0.25">
      <c r="A3392" s="2">
        <v>716.581184364411</v>
      </c>
      <c r="B3392" s="3">
        <v>0.29767471394933698</v>
      </c>
      <c r="C3392" s="5">
        <v>2.9842335928116101E-6</v>
      </c>
      <c r="D3392" s="6">
        <v>1.17815988889379E-5</v>
      </c>
      <c r="E3392" s="3" t="s">
        <v>10006</v>
      </c>
      <c r="F3392" s="3" t="s">
        <v>10007</v>
      </c>
      <c r="G3392" s="3">
        <v>22218</v>
      </c>
      <c r="H3392" s="7" t="str">
        <f>HYPERLINK("http://www.ensembl.org/Mus_musculus/Gene/Summary?db=core;g=ENSMUSG00000026021","ENSMUSG00000026021")</f>
        <v>ENSMUSG00000026021</v>
      </c>
      <c r="I3392" s="7" t="str">
        <f>HYPERLINK("http://www.informatics.jax.org/marker/MGI:1197010","MGI:1197010")</f>
        <v>MGI:1197010</v>
      </c>
      <c r="J3392" s="4" t="s">
        <v>12</v>
      </c>
    </row>
    <row r="3393" spans="1:10" x14ac:dyDescent="0.25">
      <c r="A3393" s="2">
        <v>2260.8172211923902</v>
      </c>
      <c r="B3393" s="3">
        <v>0.29763997300034201</v>
      </c>
      <c r="C3393" s="5">
        <v>2.6824453554709199E-8</v>
      </c>
      <c r="D3393" s="6">
        <v>1.27988924292007E-7</v>
      </c>
      <c r="E3393" s="3" t="s">
        <v>8283</v>
      </c>
      <c r="F3393" s="3" t="s">
        <v>8284</v>
      </c>
      <c r="G3393" s="3">
        <v>98221</v>
      </c>
      <c r="H3393" s="7" t="str">
        <f>HYPERLINK("http://www.ensembl.org/Mus_musculus/Gene/Summary?db=core;g=ENSMUSG00000027170","ENSMUSG00000027170")</f>
        <v>ENSMUSG00000027170</v>
      </c>
      <c r="I3393" s="7" t="str">
        <f>HYPERLINK("http://www.informatics.jax.org/marker/MGI:1351744","MGI:1351744")</f>
        <v>MGI:1351744</v>
      </c>
      <c r="J3393" s="4" t="s">
        <v>12</v>
      </c>
    </row>
    <row r="3394" spans="1:10" x14ac:dyDescent="0.25">
      <c r="A3394" s="2">
        <v>10788.853809799901</v>
      </c>
      <c r="B3394" s="3">
        <v>0.29733680295666398</v>
      </c>
      <c r="C3394" s="5">
        <v>6.2332499650420095E-10</v>
      </c>
      <c r="D3394" s="6">
        <v>3.3927598484854701E-9</v>
      </c>
      <c r="E3394" s="3" t="s">
        <v>7264</v>
      </c>
      <c r="F3394" s="3" t="s">
        <v>7265</v>
      </c>
      <c r="G3394" s="3">
        <v>22627</v>
      </c>
      <c r="H3394" s="7" t="str">
        <f>HYPERLINK("http://www.ensembl.org/Mus_musculus/Gene/Summary?db=core;g=ENSMUSG00000020849","ENSMUSG00000020849")</f>
        <v>ENSMUSG00000020849</v>
      </c>
      <c r="I3394" s="7" t="str">
        <f>HYPERLINK("http://www.informatics.jax.org/marker/MGI:894689","MGI:894689")</f>
        <v>MGI:894689</v>
      </c>
      <c r="J3394" s="4" t="s">
        <v>12</v>
      </c>
    </row>
    <row r="3395" spans="1:10" x14ac:dyDescent="0.25">
      <c r="A3395" s="2">
        <v>806.31906375718199</v>
      </c>
      <c r="B3395" s="3">
        <v>0.29710820583662501</v>
      </c>
      <c r="C3395" s="5">
        <v>3.8398430442006897E-11</v>
      </c>
      <c r="D3395" s="6">
        <v>2.3050747285125599E-10</v>
      </c>
      <c r="E3395" s="3" t="s">
        <v>6587</v>
      </c>
      <c r="F3395" s="3" t="s">
        <v>6588</v>
      </c>
      <c r="G3395" s="3">
        <v>107035</v>
      </c>
      <c r="H3395" s="7" t="str">
        <f>HYPERLINK("http://www.ensembl.org/Mus_musculus/Gene/Summary?db=core;g=ENSMUSG00000042211","ENSMUSG00000042211")</f>
        <v>ENSMUSG00000042211</v>
      </c>
      <c r="I3395" s="7" t="str">
        <f>HYPERLINK("http://www.informatics.jax.org/marker/MGI:2444639","MGI:2444639")</f>
        <v>MGI:2444639</v>
      </c>
      <c r="J3395" s="4" t="s">
        <v>12</v>
      </c>
    </row>
    <row r="3396" spans="1:10" x14ac:dyDescent="0.25">
      <c r="A3396" s="2">
        <v>2651.9719241222601</v>
      </c>
      <c r="B3396" s="3">
        <v>0.29689096513526397</v>
      </c>
      <c r="C3396" s="5">
        <v>2.7599078874012899E-6</v>
      </c>
      <c r="D3396" s="6">
        <v>1.0939775585839901E-5</v>
      </c>
      <c r="E3396" s="3" t="s">
        <v>9966</v>
      </c>
      <c r="F3396" s="3" t="s">
        <v>9967</v>
      </c>
      <c r="G3396" s="3">
        <v>108954</v>
      </c>
      <c r="H3396" s="7" t="str">
        <f>HYPERLINK("http://www.ensembl.org/Mus_musculus/Gene/Summary?db=core;g=ENSMUSG00000046062","ENSMUSG00000046062")</f>
        <v>ENSMUSG00000046062</v>
      </c>
      <c r="I3396" s="7" t="str">
        <f>HYPERLINK("http://www.informatics.jax.org/marker/MGI:2444211","MGI:2444211")</f>
        <v>MGI:2444211</v>
      </c>
      <c r="J3396" s="4" t="s">
        <v>12</v>
      </c>
    </row>
    <row r="3397" spans="1:10" x14ac:dyDescent="0.25">
      <c r="A3397" s="2">
        <v>5892.7903470237397</v>
      </c>
      <c r="B3397" s="3">
        <v>0.296306678402804</v>
      </c>
      <c r="C3397" s="5">
        <v>1.19560282350194E-7</v>
      </c>
      <c r="D3397" s="6">
        <v>5.3878628152326798E-7</v>
      </c>
      <c r="E3397" s="3" t="s">
        <v>8769</v>
      </c>
      <c r="F3397" s="3" t="s">
        <v>8770</v>
      </c>
      <c r="G3397" s="3">
        <v>14030</v>
      </c>
      <c r="H3397" s="7" t="str">
        <f>HYPERLINK("http://www.ensembl.org/Mus_musculus/Gene/Summary?db=core;g=ENSMUSG00000009079","ENSMUSG00000009079")</f>
        <v>ENSMUSG00000009079</v>
      </c>
      <c r="I3397" s="7" t="str">
        <f>HYPERLINK("http://www.informatics.jax.org/marker/MGI:99960","MGI:99960")</f>
        <v>MGI:99960</v>
      </c>
      <c r="J3397" s="4" t="s">
        <v>12</v>
      </c>
    </row>
    <row r="3398" spans="1:10" x14ac:dyDescent="0.25">
      <c r="A3398" s="2">
        <v>1214.2397338084199</v>
      </c>
      <c r="B3398" s="3">
        <v>0.29615751033514698</v>
      </c>
      <c r="C3398" s="5">
        <v>8.6433761071468502E-10</v>
      </c>
      <c r="D3398" s="6">
        <v>4.6544887174477299E-9</v>
      </c>
      <c r="E3398" s="3" t="s">
        <v>7342</v>
      </c>
      <c r="F3398" s="3" t="s">
        <v>7343</v>
      </c>
      <c r="G3398" s="3">
        <v>66917</v>
      </c>
      <c r="H3398" s="7" t="str">
        <f>HYPERLINK("http://www.ensembl.org/Mus_musculus/Gene/Summary?db=core;g=ENSMUSG00000001774","ENSMUSG00000001774")</f>
        <v>ENSMUSG00000001774</v>
      </c>
      <c r="I3398" s="7" t="str">
        <f>HYPERLINK("http://www.informatics.jax.org/marker/MGI:1914167","MGI:1914167")</f>
        <v>MGI:1914167</v>
      </c>
      <c r="J3398" s="4" t="s">
        <v>12</v>
      </c>
    </row>
    <row r="3399" spans="1:10" x14ac:dyDescent="0.25">
      <c r="A3399" s="2">
        <v>3603.48903704035</v>
      </c>
      <c r="B3399" s="3">
        <v>0.29576651184020403</v>
      </c>
      <c r="C3399" s="5">
        <v>2.24286859463714E-7</v>
      </c>
      <c r="D3399" s="6">
        <v>9.8969274303523092E-7</v>
      </c>
      <c r="E3399" s="3" t="s">
        <v>8955</v>
      </c>
      <c r="F3399" s="3" t="s">
        <v>8956</v>
      </c>
      <c r="G3399" s="3">
        <v>56486</v>
      </c>
      <c r="H3399" s="7" t="str">
        <f>HYPERLINK("http://www.ensembl.org/Mus_musculus/Gene/Summary?db=core;g=ENSMUSG00000018567","ENSMUSG00000018567")</f>
        <v>ENSMUSG00000018567</v>
      </c>
      <c r="I3399" s="7" t="str">
        <f>HYPERLINK("http://www.informatics.jax.org/marker/MGI:1861742","MGI:1861742")</f>
        <v>MGI:1861742</v>
      </c>
      <c r="J3399" s="4" t="s">
        <v>12</v>
      </c>
    </row>
    <row r="3400" spans="1:10" x14ac:dyDescent="0.25">
      <c r="A3400" s="2">
        <v>1636.6651430269501</v>
      </c>
      <c r="B3400" s="3">
        <v>0.29566992113463803</v>
      </c>
      <c r="C3400" s="5">
        <v>7.7812481714603604E-6</v>
      </c>
      <c r="D3400" s="6">
        <v>2.9525921481854599E-5</v>
      </c>
      <c r="E3400" s="3" t="s">
        <v>10406</v>
      </c>
      <c r="F3400" s="3" t="s">
        <v>10407</v>
      </c>
      <c r="G3400" s="3">
        <v>19056</v>
      </c>
      <c r="H3400" s="7" t="str">
        <f>HYPERLINK("http://www.ensembl.org/Mus_musculus/Gene/Summary?db=core;g=ENSMUSG00000021816","ENSMUSG00000021816")</f>
        <v>ENSMUSG00000021816</v>
      </c>
      <c r="I3400" s="7" t="str">
        <f>HYPERLINK("http://www.informatics.jax.org/marker/MGI:107163","MGI:107163")</f>
        <v>MGI:107163</v>
      </c>
      <c r="J3400" s="4" t="s">
        <v>12</v>
      </c>
    </row>
    <row r="3401" spans="1:10" x14ac:dyDescent="0.25">
      <c r="A3401" s="2">
        <v>563.62579355432899</v>
      </c>
      <c r="B3401" s="3">
        <v>0.29546676816881001</v>
      </c>
      <c r="C3401" s="5">
        <v>7.5066179881494199E-6</v>
      </c>
      <c r="D3401" s="6">
        <v>2.85387520197236E-5</v>
      </c>
      <c r="E3401" s="3" t="s">
        <v>10388</v>
      </c>
      <c r="F3401" s="3" t="s">
        <v>10389</v>
      </c>
      <c r="G3401" s="3">
        <v>66663</v>
      </c>
      <c r="H3401" s="7" t="str">
        <f>HYPERLINK("http://www.ensembl.org/Mus_musculus/Gene/Summary?db=core;g=ENSMUSG00000032557","ENSMUSG00000032557")</f>
        <v>ENSMUSG00000032557</v>
      </c>
      <c r="I3401" s="7" t="str">
        <f>HYPERLINK("http://www.informatics.jax.org/marker/MGI:1913913","MGI:1913913")</f>
        <v>MGI:1913913</v>
      </c>
      <c r="J3401" s="4" t="s">
        <v>12</v>
      </c>
    </row>
    <row r="3402" spans="1:10" x14ac:dyDescent="0.25">
      <c r="A3402" s="2">
        <v>138.219564749764</v>
      </c>
      <c r="B3402" s="3">
        <v>0.29545401867773602</v>
      </c>
      <c r="C3402" s="3">
        <v>6.6682041322358304E-3</v>
      </c>
      <c r="D3402" s="4">
        <v>1.71644674961089E-2</v>
      </c>
      <c r="E3402" s="3" t="s">
        <v>15327</v>
      </c>
      <c r="F3402" s="3" t="s">
        <v>15328</v>
      </c>
      <c r="G3402" s="3" t="s">
        <v>83</v>
      </c>
      <c r="H3402" s="7" t="str">
        <f>HYPERLINK("http://www.ensembl.org/Mus_musculus/Gene/Summary?db=core;g=ENSMUSG00000089782","ENSMUSG00000089782")</f>
        <v>ENSMUSG00000089782</v>
      </c>
      <c r="I3402" s="7" t="str">
        <f>HYPERLINK("http://www.informatics.jax.org/marker/MGI:3781708","MGI:3781708")</f>
        <v>MGI:3781708</v>
      </c>
      <c r="J3402" s="4" t="s">
        <v>1043</v>
      </c>
    </row>
    <row r="3403" spans="1:10" x14ac:dyDescent="0.25">
      <c r="A3403" s="2">
        <v>9786.2865755889798</v>
      </c>
      <c r="B3403" s="3">
        <v>0.29524186137931802</v>
      </c>
      <c r="C3403" s="5">
        <v>1.2089255172342699E-11</v>
      </c>
      <c r="D3403" s="6">
        <v>7.5110306237743594E-11</v>
      </c>
      <c r="E3403" s="3" t="s">
        <v>6365</v>
      </c>
      <c r="F3403" s="3" t="s">
        <v>6366</v>
      </c>
      <c r="G3403" s="3">
        <v>107508</v>
      </c>
      <c r="H3403" s="7" t="str">
        <f>HYPERLINK("http://www.ensembl.org/Mus_musculus/Gene/Summary?db=core;g=ENSMUSG00000026615","ENSMUSG00000026615")</f>
        <v>ENSMUSG00000026615</v>
      </c>
      <c r="I3403" s="7" t="str">
        <f>HYPERLINK("http://www.informatics.jax.org/marker/MGI:97838","MGI:97838")</f>
        <v>MGI:97838</v>
      </c>
      <c r="J3403" s="4" t="s">
        <v>12</v>
      </c>
    </row>
    <row r="3404" spans="1:10" x14ac:dyDescent="0.25">
      <c r="A3404" s="2">
        <v>240.42406940621399</v>
      </c>
      <c r="B3404" s="3">
        <v>0.29522678145932102</v>
      </c>
      <c r="C3404" s="3">
        <v>6.5523767687424397E-4</v>
      </c>
      <c r="D3404" s="4">
        <v>1.98544667915797E-3</v>
      </c>
      <c r="E3404" s="3" t="s">
        <v>13025</v>
      </c>
      <c r="F3404" s="3" t="s">
        <v>13026</v>
      </c>
      <c r="G3404" s="3">
        <v>66612</v>
      </c>
      <c r="H3404" s="7" t="str">
        <f>HYPERLINK("http://www.ensembl.org/Mus_musculus/Gene/Summary?db=core;g=ENSMUSG00000038150","ENSMUSG00000038150")</f>
        <v>ENSMUSG00000038150</v>
      </c>
      <c r="I3404" s="7" t="str">
        <f>HYPERLINK("http://www.informatics.jax.org/marker/MGI:1913862","MGI:1913862")</f>
        <v>MGI:1913862</v>
      </c>
      <c r="J3404" s="4" t="s">
        <v>12</v>
      </c>
    </row>
    <row r="3405" spans="1:10" x14ac:dyDescent="0.25">
      <c r="A3405" s="2">
        <v>115.23999369504401</v>
      </c>
      <c r="B3405" s="3">
        <v>0.29498768234268002</v>
      </c>
      <c r="C3405" s="3">
        <v>1.28556471292044E-2</v>
      </c>
      <c r="D3405" s="4">
        <v>3.1274779347139202E-2</v>
      </c>
      <c r="E3405" s="3" t="s">
        <v>16217</v>
      </c>
      <c r="F3405" s="3" t="s">
        <v>16218</v>
      </c>
      <c r="G3405" s="3">
        <v>235028</v>
      </c>
      <c r="H3405" s="7" t="str">
        <f>HYPERLINK("http://www.ensembl.org/Mus_musculus/Gene/Summary?db=core;g=ENSMUSG00000059475","ENSMUSG00000059475")</f>
        <v>ENSMUSG00000059475</v>
      </c>
      <c r="I3405" s="7" t="str">
        <f>HYPERLINK("http://www.informatics.jax.org/marker/MGI:1920248","MGI:1920248")</f>
        <v>MGI:1920248</v>
      </c>
      <c r="J3405" s="4" t="s">
        <v>12</v>
      </c>
    </row>
    <row r="3406" spans="1:10" x14ac:dyDescent="0.25">
      <c r="A3406" s="2">
        <v>967.26638106716405</v>
      </c>
      <c r="B3406" s="3">
        <v>0.29411401976356499</v>
      </c>
      <c r="C3406" s="3">
        <v>1.03123500454059E-3</v>
      </c>
      <c r="D3406" s="4">
        <v>3.0334060694421801E-3</v>
      </c>
      <c r="E3406" s="3" t="s">
        <v>13417</v>
      </c>
      <c r="F3406" s="3" t="s">
        <v>13418</v>
      </c>
      <c r="G3406" s="3">
        <v>24071</v>
      </c>
      <c r="H3406" s="7" t="str">
        <f>HYPERLINK("http://www.ensembl.org/Mus_musculus/Gene/Summary?db=core;g=ENSMUSG00000090935","ENSMUSG00000090935")</f>
        <v>ENSMUSG00000090935</v>
      </c>
      <c r="I3406" s="7" t="str">
        <f>HYPERLINK("http://www.informatics.jax.org/marker/MGI:1344347","MGI:1344347")</f>
        <v>MGI:1344347</v>
      </c>
      <c r="J3406" s="4" t="s">
        <v>12</v>
      </c>
    </row>
    <row r="3407" spans="1:10" x14ac:dyDescent="0.25">
      <c r="A3407" s="2">
        <v>335.06887304561701</v>
      </c>
      <c r="B3407" s="3">
        <v>0.29384478649282803</v>
      </c>
      <c r="C3407" s="5">
        <v>2.52056479050526E-5</v>
      </c>
      <c r="D3407" s="6">
        <v>9.0720090652972798E-5</v>
      </c>
      <c r="E3407" s="3" t="s">
        <v>10970</v>
      </c>
      <c r="F3407" s="3" t="s">
        <v>10971</v>
      </c>
      <c r="G3407" s="3">
        <v>210135</v>
      </c>
      <c r="H3407" s="7" t="str">
        <f>HYPERLINK("http://www.ensembl.org/Mus_musculus/Gene/Summary?db=core;g=ENSMUSG00000057101","ENSMUSG00000057101")</f>
        <v>ENSMUSG00000057101</v>
      </c>
      <c r="I3407" s="7" t="str">
        <f>HYPERLINK("http://www.informatics.jax.org/marker/MGI:1923701","MGI:1923701")</f>
        <v>MGI:1923701</v>
      </c>
      <c r="J3407" s="4" t="s">
        <v>12</v>
      </c>
    </row>
    <row r="3408" spans="1:10" x14ac:dyDescent="0.25">
      <c r="A3408" s="2">
        <v>4541.5518770769004</v>
      </c>
      <c r="B3408" s="3">
        <v>0.29384034462966302</v>
      </c>
      <c r="C3408" s="3">
        <v>2.7638778923784002E-4</v>
      </c>
      <c r="D3408" s="4">
        <v>8.7980100141569096E-4</v>
      </c>
      <c r="E3408" s="3" t="s">
        <v>12400</v>
      </c>
      <c r="F3408" s="3" t="s">
        <v>12401</v>
      </c>
      <c r="G3408" s="3">
        <v>11857</v>
      </c>
      <c r="H3408" s="7" t="str">
        <f>HYPERLINK("http://www.ensembl.org/Mus_musculus/Gene/Summary?db=core;g=ENSMUSG00000030220","ENSMUSG00000030220")</f>
        <v>ENSMUSG00000030220</v>
      </c>
      <c r="I3408" s="7" t="str">
        <f>HYPERLINK("http://www.informatics.jax.org/marker/MGI:101940","MGI:101940")</f>
        <v>MGI:101940</v>
      </c>
      <c r="J3408" s="4" t="s">
        <v>12</v>
      </c>
    </row>
    <row r="3409" spans="1:10" x14ac:dyDescent="0.25">
      <c r="A3409" s="2">
        <v>537.82975728279996</v>
      </c>
      <c r="B3409" s="3">
        <v>0.29357432612059797</v>
      </c>
      <c r="C3409" s="5">
        <v>8.2191954571353897E-6</v>
      </c>
      <c r="D3409" s="6">
        <v>3.1097953648255901E-5</v>
      </c>
      <c r="E3409" s="3" t="s">
        <v>10438</v>
      </c>
      <c r="F3409" s="3" t="s">
        <v>10439</v>
      </c>
      <c r="G3409" s="3">
        <v>12850</v>
      </c>
      <c r="H3409" s="7" t="str">
        <f>HYPERLINK("http://www.ensembl.org/Mus_musculus/Gene/Summary?db=core;g=ENSMUSG00000030652","ENSMUSG00000030652")</f>
        <v>ENSMUSG00000030652</v>
      </c>
      <c r="I3409" s="7" t="str">
        <f>HYPERLINK("http://www.informatics.jax.org/marker/MGI:107207","MGI:107207")</f>
        <v>MGI:107207</v>
      </c>
      <c r="J3409" s="4" t="s">
        <v>12</v>
      </c>
    </row>
    <row r="3410" spans="1:10" x14ac:dyDescent="0.25">
      <c r="A3410" s="2">
        <v>1337.0646250606301</v>
      </c>
      <c r="B3410" s="3">
        <v>0.29354342179236698</v>
      </c>
      <c r="C3410" s="5">
        <v>3.9070379934443998E-8</v>
      </c>
      <c r="D3410" s="6">
        <v>1.83052480947312E-7</v>
      </c>
      <c r="E3410" s="3" t="s">
        <v>8435</v>
      </c>
      <c r="F3410" s="3" t="s">
        <v>8436</v>
      </c>
      <c r="G3410" s="3">
        <v>57438</v>
      </c>
      <c r="H3410" s="7" t="str">
        <f>HYPERLINK("http://www.ensembl.org/Mus_musculus/Gene/Summary?db=core;g=ENSMUSG00000026977","ENSMUSG00000026977")</f>
        <v>ENSMUSG00000026977</v>
      </c>
      <c r="I3410" s="7" t="str">
        <f>HYPERLINK("http://www.informatics.jax.org/marker/MGI:1931053","MGI:1931053")</f>
        <v>MGI:1931053</v>
      </c>
      <c r="J3410" s="4" t="s">
        <v>12</v>
      </c>
    </row>
    <row r="3411" spans="1:10" x14ac:dyDescent="0.25">
      <c r="A3411" s="2">
        <v>1077.38295363624</v>
      </c>
      <c r="B3411" s="3">
        <v>0.293473504358367</v>
      </c>
      <c r="C3411" s="5">
        <v>7.5405313412488002E-7</v>
      </c>
      <c r="D3411" s="6">
        <v>3.1584383612877301E-6</v>
      </c>
      <c r="E3411" s="3" t="s">
        <v>9431</v>
      </c>
      <c r="F3411" s="3" t="s">
        <v>9432</v>
      </c>
      <c r="G3411" s="3">
        <v>67630</v>
      </c>
      <c r="H3411" s="7" t="str">
        <f>HYPERLINK("http://www.ensembl.org/Mus_musculus/Gene/Summary?db=core;g=ENSMUSG00000021770","ENSMUSG00000021770")</f>
        <v>ENSMUSG00000021770</v>
      </c>
      <c r="I3411" s="7" t="str">
        <f>HYPERLINK("http://www.informatics.jax.org/marker/MGI:1914880","MGI:1914880")</f>
        <v>MGI:1914880</v>
      </c>
      <c r="J3411" s="4" t="s">
        <v>12</v>
      </c>
    </row>
    <row r="3412" spans="1:10" x14ac:dyDescent="0.25">
      <c r="A3412" s="2">
        <v>1245.21766292338</v>
      </c>
      <c r="B3412" s="3">
        <v>0.29329086540125199</v>
      </c>
      <c r="C3412" s="5">
        <v>1.20922796476383E-6</v>
      </c>
      <c r="D3412" s="6">
        <v>4.96377507600806E-6</v>
      </c>
      <c r="E3412" s="3" t="s">
        <v>9623</v>
      </c>
      <c r="F3412" s="3" t="s">
        <v>9624</v>
      </c>
      <c r="G3412" s="3">
        <v>67923</v>
      </c>
      <c r="H3412" s="7" t="str">
        <f>HYPERLINK("http://www.ensembl.org/Mus_musculus/Gene/Summary?db=core;g=ENSMUSG00000079658","ENSMUSG00000079658")</f>
        <v>ENSMUSG00000079658</v>
      </c>
      <c r="I3412" s="7" t="str">
        <f>HYPERLINK("http://www.informatics.jax.org/marker/MGI:1915173","MGI:1915173")</f>
        <v>MGI:1915173</v>
      </c>
      <c r="J3412" s="4" t="s">
        <v>12</v>
      </c>
    </row>
    <row r="3413" spans="1:10" x14ac:dyDescent="0.25">
      <c r="A3413" s="2">
        <v>1561.7619011844399</v>
      </c>
      <c r="B3413" s="3">
        <v>0.29323618447914801</v>
      </c>
      <c r="C3413" s="5">
        <v>5.2555373917957702E-7</v>
      </c>
      <c r="D3413" s="6">
        <v>2.23842758890308E-6</v>
      </c>
      <c r="E3413" s="3" t="s">
        <v>9275</v>
      </c>
      <c r="F3413" s="3" t="s">
        <v>9276</v>
      </c>
      <c r="G3413" s="3">
        <v>70025</v>
      </c>
      <c r="H3413" s="7" t="str">
        <f>HYPERLINK("http://www.ensembl.org/Mus_musculus/Gene/Summary?db=core;g=ENSMUSG00000028937","ENSMUSG00000028937")</f>
        <v>ENSMUSG00000028937</v>
      </c>
      <c r="I3413" s="7" t="str">
        <f>HYPERLINK("http://www.informatics.jax.org/marker/MGI:1917275","MGI:1917275")</f>
        <v>MGI:1917275</v>
      </c>
      <c r="J3413" s="4" t="s">
        <v>12</v>
      </c>
    </row>
    <row r="3414" spans="1:10" x14ac:dyDescent="0.25">
      <c r="A3414" s="2">
        <v>1875.5810766331999</v>
      </c>
      <c r="B3414" s="3">
        <v>0.29313111592282798</v>
      </c>
      <c r="C3414" s="5">
        <v>1.06836184272728E-7</v>
      </c>
      <c r="D3414" s="6">
        <v>4.8343495958196402E-7</v>
      </c>
      <c r="E3414" s="3" t="s">
        <v>8733</v>
      </c>
      <c r="F3414" s="3" t="s">
        <v>8734</v>
      </c>
      <c r="G3414" s="3">
        <v>14784</v>
      </c>
      <c r="H3414" s="7" t="str">
        <f>HYPERLINK("http://www.ensembl.org/Mus_musculus/Gene/Summary?db=core;g=ENSMUSG00000059923","ENSMUSG00000059923")</f>
        <v>ENSMUSG00000059923</v>
      </c>
      <c r="I3414" s="7" t="str">
        <f>HYPERLINK("http://www.informatics.jax.org/marker/MGI:95805","MGI:95805")</f>
        <v>MGI:95805</v>
      </c>
      <c r="J3414" s="4" t="s">
        <v>12</v>
      </c>
    </row>
    <row r="3415" spans="1:10" x14ac:dyDescent="0.25">
      <c r="A3415" s="2">
        <v>1271.5833919458801</v>
      </c>
      <c r="B3415" s="3">
        <v>0.292494467572814</v>
      </c>
      <c r="C3415" s="5">
        <v>5.9570067788715099E-5</v>
      </c>
      <c r="D3415" s="4">
        <v>2.0587482243138099E-4</v>
      </c>
      <c r="E3415" s="3" t="s">
        <v>11423</v>
      </c>
      <c r="F3415" s="3" t="s">
        <v>11424</v>
      </c>
      <c r="G3415" s="3">
        <v>108167922</v>
      </c>
      <c r="H3415" s="7" t="str">
        <f>HYPERLINK("http://www.ensembl.org/Mus_musculus/Gene/Summary?db=core;g=ENSMUSG00000063316","ENSMUSG00000063316")</f>
        <v>ENSMUSG00000063316</v>
      </c>
      <c r="I3415" s="7" t="str">
        <f>HYPERLINK("http://www.informatics.jax.org/marker/MGI:98036","MGI:98036")</f>
        <v>MGI:98036</v>
      </c>
      <c r="J3415" s="4" t="s">
        <v>12</v>
      </c>
    </row>
    <row r="3416" spans="1:10" x14ac:dyDescent="0.25">
      <c r="A3416" s="2">
        <v>253.420345215195</v>
      </c>
      <c r="B3416" s="3">
        <v>0.29241287401577598</v>
      </c>
      <c r="C3416" s="3">
        <v>6.6742938209455596E-4</v>
      </c>
      <c r="D3416" s="4">
        <v>2.0183572174366899E-3</v>
      </c>
      <c r="E3416" s="3" t="s">
        <v>13051</v>
      </c>
      <c r="F3416" s="3" t="s">
        <v>13052</v>
      </c>
      <c r="G3416" s="3">
        <v>240756</v>
      </c>
      <c r="H3416" s="7" t="str">
        <f>HYPERLINK("http://www.ensembl.org/Mus_musculus/Gene/Summary?db=core;g=ENSMUSG00000026455","ENSMUSG00000026455")</f>
        <v>ENSMUSG00000026455</v>
      </c>
      <c r="I3416" s="7" t="str">
        <f>HYPERLINK("http://www.informatics.jax.org/marker/MGI:2385619","MGI:2385619")</f>
        <v>MGI:2385619</v>
      </c>
      <c r="J3416" s="4" t="s">
        <v>12</v>
      </c>
    </row>
    <row r="3417" spans="1:10" x14ac:dyDescent="0.25">
      <c r="A3417" s="2">
        <v>801.81300408036498</v>
      </c>
      <c r="B3417" s="3">
        <v>0.29233719518765999</v>
      </c>
      <c r="C3417" s="5">
        <v>3.3302472397986702E-7</v>
      </c>
      <c r="D3417" s="6">
        <v>1.4462117500292801E-6</v>
      </c>
      <c r="E3417" s="3" t="s">
        <v>9097</v>
      </c>
      <c r="F3417" s="3" t="s">
        <v>9098</v>
      </c>
      <c r="G3417" s="3">
        <v>68966</v>
      </c>
      <c r="H3417" s="7" t="str">
        <f>HYPERLINK("http://www.ensembl.org/Mus_musculus/Gene/Summary?db=core;g=ENSMUSG00000022204","ENSMUSG00000022204")</f>
        <v>ENSMUSG00000022204</v>
      </c>
      <c r="I3417" s="7" t="str">
        <f>HYPERLINK("http://www.informatics.jax.org/marker/MGI:1916216","MGI:1916216")</f>
        <v>MGI:1916216</v>
      </c>
      <c r="J3417" s="4" t="s">
        <v>12</v>
      </c>
    </row>
    <row r="3418" spans="1:10" x14ac:dyDescent="0.25">
      <c r="A3418" s="2">
        <v>3939.4387425239402</v>
      </c>
      <c r="B3418" s="3">
        <v>0.29225507967335601</v>
      </c>
      <c r="C3418" s="5">
        <v>1.3459471935400101E-6</v>
      </c>
      <c r="D3418" s="6">
        <v>5.4929798544306601E-6</v>
      </c>
      <c r="E3418" s="3" t="s">
        <v>9679</v>
      </c>
      <c r="F3418" s="3" t="s">
        <v>9680</v>
      </c>
      <c r="G3418" s="3">
        <v>14387</v>
      </c>
      <c r="H3418" s="7" t="str">
        <f>HYPERLINK("http://www.ensembl.org/Mus_musculus/Gene/Summary?db=core;g=ENSMUSG00000025579","ENSMUSG00000025579")</f>
        <v>ENSMUSG00000025579</v>
      </c>
      <c r="I3418" s="7" t="str">
        <f>HYPERLINK("http://www.informatics.jax.org/marker/MGI:95609","MGI:95609")</f>
        <v>MGI:95609</v>
      </c>
      <c r="J3418" s="4" t="s">
        <v>12</v>
      </c>
    </row>
    <row r="3419" spans="1:10" x14ac:dyDescent="0.25">
      <c r="A3419" s="2">
        <v>735.63764190252004</v>
      </c>
      <c r="B3419" s="3">
        <v>0.29221926807475301</v>
      </c>
      <c r="C3419" s="3">
        <v>1.78418533020384E-4</v>
      </c>
      <c r="D3419" s="4">
        <v>5.8222959972893803E-4</v>
      </c>
      <c r="E3419" s="3" t="s">
        <v>12097</v>
      </c>
      <c r="F3419" s="3" t="s">
        <v>12098</v>
      </c>
      <c r="G3419" s="3">
        <v>230848</v>
      </c>
      <c r="H3419" s="7" t="str">
        <f>HYPERLINK("http://www.ensembl.org/Mus_musculus/Gene/Summary?db=core;g=ENSMUSG00000060862","ENSMUSG00000060862")</f>
        <v>ENSMUSG00000060862</v>
      </c>
      <c r="I3419" s="7" t="str">
        <f>HYPERLINK("http://www.informatics.jax.org/marker/MGI:2682254","MGI:2682254")</f>
        <v>MGI:2682254</v>
      </c>
      <c r="J3419" s="4" t="s">
        <v>12</v>
      </c>
    </row>
    <row r="3420" spans="1:10" x14ac:dyDescent="0.25">
      <c r="A3420" s="2">
        <v>3926.6683482042899</v>
      </c>
      <c r="B3420" s="3">
        <v>0.29217062724815202</v>
      </c>
      <c r="C3420" s="5">
        <v>9.8499568501323109E-7</v>
      </c>
      <c r="D3420" s="6">
        <v>4.0764144613769003E-6</v>
      </c>
      <c r="E3420" s="3" t="s">
        <v>9545</v>
      </c>
      <c r="F3420" s="3" t="s">
        <v>9546</v>
      </c>
      <c r="G3420" s="3">
        <v>11972</v>
      </c>
      <c r="H3420" s="7" t="str">
        <f>HYPERLINK("http://www.ensembl.org/Mus_musculus/Gene/Summary?db=core;g=ENSMUSG00000013160","ENSMUSG00000013160")</f>
        <v>ENSMUSG00000013160</v>
      </c>
      <c r="I3420" s="7" t="str">
        <f>HYPERLINK("http://www.informatics.jax.org/marker/MGI:1201778","MGI:1201778")</f>
        <v>MGI:1201778</v>
      </c>
      <c r="J3420" s="4" t="s">
        <v>12</v>
      </c>
    </row>
    <row r="3421" spans="1:10" x14ac:dyDescent="0.25">
      <c r="A3421" s="2">
        <v>7162.81467125782</v>
      </c>
      <c r="B3421" s="3">
        <v>0.29144512244481002</v>
      </c>
      <c r="C3421" s="5">
        <v>1.3506640884460899E-6</v>
      </c>
      <c r="D3421" s="6">
        <v>5.50994948782722E-6</v>
      </c>
      <c r="E3421" s="3" t="s">
        <v>9683</v>
      </c>
      <c r="F3421" s="3" t="s">
        <v>9684</v>
      </c>
      <c r="G3421" s="3">
        <v>110954</v>
      </c>
      <c r="H3421" s="7" t="str">
        <f>HYPERLINK("http://www.ensembl.org/Mus_musculus/Gene/Summary?db=core;g=ENSMUSG00000008682","ENSMUSG00000008682")</f>
        <v>ENSMUSG00000008682</v>
      </c>
      <c r="I3421" s="7" t="str">
        <f>HYPERLINK("http://www.informatics.jax.org/marker/MGI:105943","MGI:105943")</f>
        <v>MGI:105943</v>
      </c>
      <c r="J3421" s="4" t="s">
        <v>12</v>
      </c>
    </row>
    <row r="3422" spans="1:10" x14ac:dyDescent="0.25">
      <c r="A3422" s="2">
        <v>863.65934454361695</v>
      </c>
      <c r="B3422" s="3">
        <v>0.29141168145241703</v>
      </c>
      <c r="C3422" s="5">
        <v>1.6744151758213599E-6</v>
      </c>
      <c r="D3422" s="6">
        <v>6.7760039538677E-6</v>
      </c>
      <c r="E3422" s="3" t="s">
        <v>9761</v>
      </c>
      <c r="F3422" s="3" t="s">
        <v>9762</v>
      </c>
      <c r="G3422" s="3">
        <v>50911</v>
      </c>
      <c r="H3422" s="7" t="str">
        <f>HYPERLINK("http://www.ensembl.org/Mus_musculus/Gene/Summary?db=core;g=ENSMUSG00000027714","ENSMUSG00000027714")</f>
        <v>ENSMUSG00000027714</v>
      </c>
      <c r="I3422" s="7" t="str">
        <f>HYPERLINK("http://www.informatics.jax.org/marker/MGI:1355319","MGI:1355319")</f>
        <v>MGI:1355319</v>
      </c>
      <c r="J3422" s="4" t="s">
        <v>12</v>
      </c>
    </row>
    <row r="3423" spans="1:10" x14ac:dyDescent="0.25">
      <c r="A3423" s="2">
        <v>429.82775465831401</v>
      </c>
      <c r="B3423" s="3">
        <v>0.29120766817774701</v>
      </c>
      <c r="C3423" s="3">
        <v>1.9020959850716101E-4</v>
      </c>
      <c r="D3423" s="4">
        <v>6.1855759936695304E-4</v>
      </c>
      <c r="E3423" s="3" t="s">
        <v>12139</v>
      </c>
      <c r="F3423" s="3" t="s">
        <v>12140</v>
      </c>
      <c r="G3423" s="3">
        <v>386612</v>
      </c>
      <c r="H3423" s="7" t="str">
        <f>HYPERLINK("http://www.ensembl.org/Mus_musculus/Gene/Summary?db=core;g=ENSMUSG00000041319","ENSMUSG00000041319")</f>
        <v>ENSMUSG00000041319</v>
      </c>
      <c r="I3423" s="7" t="str">
        <f>HYPERLINK("http://www.informatics.jax.org/marker/MGI:2677480","MGI:2677480")</f>
        <v>MGI:2677480</v>
      </c>
      <c r="J3423" s="4" t="s">
        <v>12</v>
      </c>
    </row>
    <row r="3424" spans="1:10" x14ac:dyDescent="0.25">
      <c r="A3424" s="2">
        <v>280.17991291932498</v>
      </c>
      <c r="B3424" s="3">
        <v>0.29090775344535302</v>
      </c>
      <c r="C3424" s="3">
        <v>3.34984152091588E-3</v>
      </c>
      <c r="D3424" s="4">
        <v>9.1140831667302896E-3</v>
      </c>
      <c r="E3424" s="3" t="s">
        <v>14499</v>
      </c>
      <c r="F3424" s="3" t="s">
        <v>14500</v>
      </c>
      <c r="G3424" s="3">
        <v>14251</v>
      </c>
      <c r="H3424" s="7" t="str">
        <f>HYPERLINK("http://www.ensembl.org/Mus_musculus/Gene/Summary?db=core;g=ENSMUSG00000059714","ENSMUSG00000059714")</f>
        <v>ENSMUSG00000059714</v>
      </c>
      <c r="I3424" s="7" t="str">
        <f>HYPERLINK("http://www.informatics.jax.org/marker/MGI:1100500","MGI:1100500")</f>
        <v>MGI:1100500</v>
      </c>
      <c r="J3424" s="4" t="s">
        <v>12</v>
      </c>
    </row>
    <row r="3425" spans="1:10" x14ac:dyDescent="0.25">
      <c r="A3425" s="2">
        <v>149.34233546731301</v>
      </c>
      <c r="B3425" s="3">
        <v>0.29073351100627098</v>
      </c>
      <c r="C3425" s="3">
        <v>9.4397783009296E-3</v>
      </c>
      <c r="D3425" s="4">
        <v>2.3599445752323998E-2</v>
      </c>
      <c r="E3425" s="3" t="s">
        <v>15781</v>
      </c>
      <c r="F3425" s="3" t="s">
        <v>15782</v>
      </c>
      <c r="G3425" s="3">
        <v>13202</v>
      </c>
      <c r="H3425" s="7" t="str">
        <f>HYPERLINK("http://www.ensembl.org/Mus_musculus/Gene/Summary?db=core;g=ENSMUSG00000001666","ENSMUSG00000001666")</f>
        <v>ENSMUSG00000001666</v>
      </c>
      <c r="I3425" s="7" t="str">
        <f>HYPERLINK("http://www.informatics.jax.org/marker/MGI:1298381","MGI:1298381")</f>
        <v>MGI:1298381</v>
      </c>
      <c r="J3425" s="4" t="s">
        <v>12</v>
      </c>
    </row>
    <row r="3426" spans="1:10" x14ac:dyDescent="0.25">
      <c r="A3426" s="2">
        <v>1940.76657614337</v>
      </c>
      <c r="B3426" s="3">
        <v>0.29072204648657601</v>
      </c>
      <c r="C3426" s="5">
        <v>3.9895060542087602E-10</v>
      </c>
      <c r="D3426" s="6">
        <v>2.2049624268216599E-9</v>
      </c>
      <c r="E3426" s="3" t="s">
        <v>7154</v>
      </c>
      <c r="F3426" s="3" t="s">
        <v>7155</v>
      </c>
      <c r="G3426" s="3">
        <v>103136</v>
      </c>
      <c r="H3426" s="7" t="str">
        <f>HYPERLINK("http://www.ensembl.org/Mus_musculus/Gene/Summary?db=core;g=ENSMUSG00000001785","ENSMUSG00000001785")</f>
        <v>ENSMUSG00000001785</v>
      </c>
      <c r="I3426" s="7" t="str">
        <f>HYPERLINK("http://www.informatics.jax.org/marker/MGI:1914735","MGI:1914735")</f>
        <v>MGI:1914735</v>
      </c>
      <c r="J3426" s="4" t="s">
        <v>12</v>
      </c>
    </row>
    <row r="3427" spans="1:10" x14ac:dyDescent="0.25">
      <c r="A3427" s="2">
        <v>2909.43512166456</v>
      </c>
      <c r="B3427" s="3">
        <v>0.29066608382477599</v>
      </c>
      <c r="C3427" s="3">
        <v>2.8800528187935398E-4</v>
      </c>
      <c r="D3427" s="4">
        <v>9.1471479443724598E-4</v>
      </c>
      <c r="E3427" s="3" t="s">
        <v>12431</v>
      </c>
      <c r="F3427" s="3" t="s">
        <v>12432</v>
      </c>
      <c r="G3427" s="3">
        <v>229512</v>
      </c>
      <c r="H3427" s="7" t="str">
        <f>HYPERLINK("http://www.ensembl.org/Mus_musculus/Gene/Summary?db=core;g=ENSMUSG00000001415","ENSMUSG00000001415")</f>
        <v>ENSMUSG00000001415</v>
      </c>
      <c r="I3427" s="7" t="str">
        <f>HYPERLINK("http://www.informatics.jax.org/marker/MGI:2447364","MGI:2447364")</f>
        <v>MGI:2447364</v>
      </c>
      <c r="J3427" s="4" t="s">
        <v>12</v>
      </c>
    </row>
    <row r="3428" spans="1:10" x14ac:dyDescent="0.25">
      <c r="A3428" s="2">
        <v>12744.5660638838</v>
      </c>
      <c r="B3428" s="3">
        <v>0.29056324163880198</v>
      </c>
      <c r="C3428" s="5">
        <v>7.6339620498229399E-6</v>
      </c>
      <c r="D3428" s="6">
        <v>2.89949406052597E-5</v>
      </c>
      <c r="E3428" s="3" t="s">
        <v>10398</v>
      </c>
      <c r="F3428" s="3" t="s">
        <v>10399</v>
      </c>
      <c r="G3428" s="3">
        <v>53761</v>
      </c>
      <c r="H3428" s="7" t="str">
        <f>HYPERLINK("http://www.ensembl.org/Mus_musculus/Gene/Summary?db=core;g=ENSMUSG00000024393","ENSMUSG00000024393")</f>
        <v>ENSMUSG00000024393</v>
      </c>
      <c r="I3428" s="7" t="str">
        <f>HYPERLINK("http://www.informatics.jax.org/marker/MGI:1915467","MGI:1915467")</f>
        <v>MGI:1915467</v>
      </c>
      <c r="J3428" s="4" t="s">
        <v>12</v>
      </c>
    </row>
    <row r="3429" spans="1:10" x14ac:dyDescent="0.25">
      <c r="A3429" s="2">
        <v>1484.14409790164</v>
      </c>
      <c r="B3429" s="3">
        <v>0.290541863711204</v>
      </c>
      <c r="C3429" s="5">
        <v>1.5088958400324601E-7</v>
      </c>
      <c r="D3429" s="6">
        <v>6.7243900486870295E-7</v>
      </c>
      <c r="E3429" s="3" t="s">
        <v>8867</v>
      </c>
      <c r="F3429" s="3" t="s">
        <v>8868</v>
      </c>
      <c r="G3429" s="3">
        <v>106143</v>
      </c>
      <c r="H3429" s="7" t="str">
        <f>HYPERLINK("http://www.ensembl.org/Mus_musculus/Gene/Summary?db=core;g=ENSMUSG00000054604","ENSMUSG00000054604")</f>
        <v>ENSMUSG00000054604</v>
      </c>
      <c r="I3429" s="7" t="str">
        <f>HYPERLINK("http://www.informatics.jax.org/marker/MGI:2146370","MGI:2146370")</f>
        <v>MGI:2146370</v>
      </c>
      <c r="J3429" s="4" t="s">
        <v>12</v>
      </c>
    </row>
    <row r="3430" spans="1:10" x14ac:dyDescent="0.25">
      <c r="A3430" s="2">
        <v>4711.3216247499804</v>
      </c>
      <c r="B3430" s="3">
        <v>0.290428185607289</v>
      </c>
      <c r="C3430" s="5">
        <v>4.9961769750896898E-14</v>
      </c>
      <c r="D3430" s="6">
        <v>3.6208970947728298E-13</v>
      </c>
      <c r="E3430" s="3" t="s">
        <v>5459</v>
      </c>
      <c r="F3430" s="3" t="s">
        <v>5460</v>
      </c>
      <c r="G3430" s="3">
        <v>53421</v>
      </c>
      <c r="H3430" s="7" t="str">
        <f>HYPERLINK("http://www.ensembl.org/Mus_musculus/Gene/Summary?db=core;g=ENSMUSG00000030082","ENSMUSG00000030082")</f>
        <v>ENSMUSG00000030082</v>
      </c>
      <c r="I3430" s="7" t="str">
        <f>HYPERLINK("http://www.informatics.jax.org/marker/MGI:1858417","MGI:1858417")</f>
        <v>MGI:1858417</v>
      </c>
      <c r="J3430" s="4" t="s">
        <v>12</v>
      </c>
    </row>
    <row r="3431" spans="1:10" x14ac:dyDescent="0.25">
      <c r="A3431" s="2">
        <v>332.118666237215</v>
      </c>
      <c r="B3431" s="3">
        <v>0.29017252404483501</v>
      </c>
      <c r="C3431" s="5">
        <v>4.71090023260383E-5</v>
      </c>
      <c r="D3431" s="4">
        <v>1.6451027552142299E-4</v>
      </c>
      <c r="E3431" s="3" t="s">
        <v>11305</v>
      </c>
      <c r="F3431" s="3" t="s">
        <v>11306</v>
      </c>
      <c r="G3431" s="3">
        <v>15500</v>
      </c>
      <c r="H3431" s="7" t="str">
        <f>HYPERLINK("http://www.ensembl.org/Mus_musculus/Gene/Summary?db=core;g=ENSMUSG00000019878","ENSMUSG00000019878")</f>
        <v>ENSMUSG00000019878</v>
      </c>
      <c r="I3431" s="7" t="str">
        <f>HYPERLINK("http://www.informatics.jax.org/marker/MGI:96239","MGI:96239")</f>
        <v>MGI:96239</v>
      </c>
      <c r="J3431" s="4" t="s">
        <v>12</v>
      </c>
    </row>
    <row r="3432" spans="1:10" x14ac:dyDescent="0.25">
      <c r="A3432" s="2">
        <v>2203.6061286576901</v>
      </c>
      <c r="B3432" s="3">
        <v>0.29011158417280603</v>
      </c>
      <c r="C3432" s="3">
        <v>2.67164643317994E-4</v>
      </c>
      <c r="D3432" s="4">
        <v>8.5305809038711702E-4</v>
      </c>
      <c r="E3432" s="3" t="s">
        <v>12364</v>
      </c>
      <c r="F3432" s="3" t="s">
        <v>12365</v>
      </c>
      <c r="G3432" s="3">
        <v>20222</v>
      </c>
      <c r="H3432" s="7" t="str">
        <f>HYPERLINK("http://www.ensembl.org/Mus_musculus/Gene/Summary?db=core;g=ENSMUSG00000020211","ENSMUSG00000020211")</f>
        <v>ENSMUSG00000020211</v>
      </c>
      <c r="I3432" s="7" t="str">
        <f>HYPERLINK("http://www.informatics.jax.org/marker/MGI:104912","MGI:104912")</f>
        <v>MGI:104912</v>
      </c>
      <c r="J3432" s="4" t="s">
        <v>12</v>
      </c>
    </row>
    <row r="3433" spans="1:10" x14ac:dyDescent="0.25">
      <c r="A3433" s="2">
        <v>238.46450458330199</v>
      </c>
      <c r="B3433" s="3">
        <v>0.28992607103274998</v>
      </c>
      <c r="C3433" s="3">
        <v>1.35284749818249E-3</v>
      </c>
      <c r="D3433" s="4">
        <v>3.9134740595802601E-3</v>
      </c>
      <c r="E3433" s="3" t="s">
        <v>13643</v>
      </c>
      <c r="F3433" s="3" t="s">
        <v>13644</v>
      </c>
      <c r="G3433" s="3">
        <v>66536</v>
      </c>
      <c r="H3433" s="7" t="str">
        <f>HYPERLINK("http://www.ensembl.org/Mus_musculus/Gene/Summary?db=core;g=ENSMUSG00000015247","ENSMUSG00000015247")</f>
        <v>ENSMUSG00000015247</v>
      </c>
      <c r="I3433" s="7" t="str">
        <f>HYPERLINK("http://www.informatics.jax.org/marker/MGI:1913786","MGI:1913786")</f>
        <v>MGI:1913786</v>
      </c>
      <c r="J3433" s="4" t="s">
        <v>12</v>
      </c>
    </row>
    <row r="3434" spans="1:10" x14ac:dyDescent="0.25">
      <c r="A3434" s="2">
        <v>1292.22497398828</v>
      </c>
      <c r="B3434" s="3">
        <v>0.28974500082055599</v>
      </c>
      <c r="C3434" s="5">
        <v>4.07586990938508E-7</v>
      </c>
      <c r="D3434" s="6">
        <v>1.7545547830839099E-6</v>
      </c>
      <c r="E3434" s="3" t="s">
        <v>9177</v>
      </c>
      <c r="F3434" s="3" t="s">
        <v>9178</v>
      </c>
      <c r="G3434" s="3">
        <v>12675</v>
      </c>
      <c r="H3434" s="7" t="str">
        <f>HYPERLINK("http://www.ensembl.org/Mus_musculus/Gene/Summary?db=core;g=ENSMUSG00000025199","ENSMUSG00000025199")</f>
        <v>ENSMUSG00000025199</v>
      </c>
      <c r="I3434" s="7" t="str">
        <f>HYPERLINK("http://www.informatics.jax.org/marker/MGI:99484","MGI:99484")</f>
        <v>MGI:99484</v>
      </c>
      <c r="J3434" s="4" t="s">
        <v>12</v>
      </c>
    </row>
    <row r="3435" spans="1:10" x14ac:dyDescent="0.25">
      <c r="A3435" s="2">
        <v>3101.6328693455898</v>
      </c>
      <c r="B3435" s="3">
        <v>0.28968646040238799</v>
      </c>
      <c r="C3435" s="5">
        <v>1.11990184138648E-7</v>
      </c>
      <c r="D3435" s="6">
        <v>5.0594419959086999E-7</v>
      </c>
      <c r="E3435" s="3" t="s">
        <v>8747</v>
      </c>
      <c r="F3435" s="3" t="s">
        <v>8748</v>
      </c>
      <c r="G3435" s="3">
        <v>228545</v>
      </c>
      <c r="H3435" s="7" t="str">
        <f>HYPERLINK("http://www.ensembl.org/Mus_musculus/Gene/Summary?db=core;g=ENSMUSG00000034216","ENSMUSG00000034216")</f>
        <v>ENSMUSG00000034216</v>
      </c>
      <c r="I3435" s="7" t="str">
        <f>HYPERLINK("http://www.informatics.jax.org/marker/MGI:2443626","MGI:2443626")</f>
        <v>MGI:2443626</v>
      </c>
      <c r="J3435" s="4" t="s">
        <v>12</v>
      </c>
    </row>
    <row r="3436" spans="1:10" x14ac:dyDescent="0.25">
      <c r="A3436" s="2">
        <v>424.20912053934399</v>
      </c>
      <c r="B3436" s="3">
        <v>0.28959318121948902</v>
      </c>
      <c r="C3436" s="3">
        <v>1.8395212645536999E-3</v>
      </c>
      <c r="D3436" s="4">
        <v>5.2202272754351599E-3</v>
      </c>
      <c r="E3436" s="3" t="s">
        <v>13905</v>
      </c>
      <c r="F3436" s="3" t="s">
        <v>13906</v>
      </c>
      <c r="G3436" s="3">
        <v>72599</v>
      </c>
      <c r="H3436" s="7" t="str">
        <f>HYPERLINK("http://www.ensembl.org/Mus_musculus/Gene/Summary?db=core;g=ENSMUSG00000022844","ENSMUSG00000022844")</f>
        <v>ENSMUSG00000022844</v>
      </c>
      <c r="I3436" s="7" t="str">
        <f>HYPERLINK("http://www.informatics.jax.org/marker/MGI:1919849","MGI:1919849")</f>
        <v>MGI:1919849</v>
      </c>
      <c r="J3436" s="4" t="s">
        <v>12</v>
      </c>
    </row>
    <row r="3437" spans="1:10" x14ac:dyDescent="0.25">
      <c r="A3437" s="2">
        <v>1270.3642265372</v>
      </c>
      <c r="B3437" s="3">
        <v>0.28946326231839598</v>
      </c>
      <c r="C3437" s="5">
        <v>5.9575490265330099E-8</v>
      </c>
      <c r="D3437" s="6">
        <v>2.7500671068172002E-7</v>
      </c>
      <c r="E3437" s="3" t="s">
        <v>8561</v>
      </c>
      <c r="F3437" s="3" t="s">
        <v>8562</v>
      </c>
      <c r="G3437" s="3">
        <v>71667</v>
      </c>
      <c r="H3437" s="7" t="str">
        <f>HYPERLINK("http://www.ensembl.org/Mus_musculus/Gene/Summary?db=core;g=ENSMUSG00000053094","ENSMUSG00000053094")</f>
        <v>ENSMUSG00000053094</v>
      </c>
      <c r="I3437" s="7" t="str">
        <f>HYPERLINK("http://www.informatics.jax.org/marker/MGI:1918917","MGI:1918917")</f>
        <v>MGI:1918917</v>
      </c>
      <c r="J3437" s="4" t="s">
        <v>12</v>
      </c>
    </row>
    <row r="3438" spans="1:10" x14ac:dyDescent="0.25">
      <c r="A3438" s="2">
        <v>1502.3772073888699</v>
      </c>
      <c r="B3438" s="3">
        <v>0.28868652033751302</v>
      </c>
      <c r="C3438" s="5">
        <v>2.2160369275449698E-6</v>
      </c>
      <c r="D3438" s="6">
        <v>8.8641477101798607E-6</v>
      </c>
      <c r="E3438" s="3" t="s">
        <v>9875</v>
      </c>
      <c r="F3438" s="3" t="s">
        <v>9876</v>
      </c>
      <c r="G3438" s="3">
        <v>54383</v>
      </c>
      <c r="H3438" s="7" t="str">
        <f>HYPERLINK("http://www.ensembl.org/Mus_musculus/Gene/Summary?db=core;g=ENSMUSG00000028796","ENSMUSG00000028796")</f>
        <v>ENSMUSG00000028796</v>
      </c>
      <c r="I3438" s="7" t="str">
        <f>HYPERLINK("http://www.informatics.jax.org/marker/MGI:1860454","MGI:1860454")</f>
        <v>MGI:1860454</v>
      </c>
      <c r="J3438" s="4" t="s">
        <v>12</v>
      </c>
    </row>
    <row r="3439" spans="1:10" x14ac:dyDescent="0.25">
      <c r="A3439" s="2">
        <v>1030.24830347754</v>
      </c>
      <c r="B3439" s="3">
        <v>0.28864102069813402</v>
      </c>
      <c r="C3439" s="5">
        <v>5.9639790984851798E-6</v>
      </c>
      <c r="D3439" s="6">
        <v>2.2859021928499099E-5</v>
      </c>
      <c r="E3439" s="3" t="s">
        <v>10300</v>
      </c>
      <c r="F3439" s="3" t="s">
        <v>10301</v>
      </c>
      <c r="G3439" s="3">
        <v>76199</v>
      </c>
      <c r="H3439" s="7" t="str">
        <f>HYPERLINK("http://www.ensembl.org/Mus_musculus/Gene/Summary?db=core;g=ENSMUSG00000018076","ENSMUSG00000018076")</f>
        <v>ENSMUSG00000018076</v>
      </c>
      <c r="I3439" s="7" t="str">
        <f>HYPERLINK("http://www.informatics.jax.org/marker/MGI:2670178","MGI:2670178")</f>
        <v>MGI:2670178</v>
      </c>
      <c r="J3439" s="4" t="s">
        <v>12</v>
      </c>
    </row>
    <row r="3440" spans="1:10" x14ac:dyDescent="0.25">
      <c r="A3440" s="2">
        <v>863.109433335071</v>
      </c>
      <c r="B3440" s="3">
        <v>0.28836634603572098</v>
      </c>
      <c r="C3440" s="3">
        <v>1.53014894838615E-4</v>
      </c>
      <c r="D3440" s="4">
        <v>5.0391678794547295E-4</v>
      </c>
      <c r="E3440" s="3" t="s">
        <v>11987</v>
      </c>
      <c r="F3440" s="3" t="s">
        <v>11988</v>
      </c>
      <c r="G3440" s="3">
        <v>72649</v>
      </c>
      <c r="H3440" s="7" t="str">
        <f>HYPERLINK("http://www.ensembl.org/Mus_musculus/Gene/Summary?db=core;g=ENSMUSG00000029782","ENSMUSG00000029782")</f>
        <v>ENSMUSG00000029782</v>
      </c>
      <c r="I3440" s="7" t="str">
        <f>HYPERLINK("http://www.informatics.jax.org/marker/MGI:1919899","MGI:1919899")</f>
        <v>MGI:1919899</v>
      </c>
      <c r="J3440" s="4" t="s">
        <v>12</v>
      </c>
    </row>
    <row r="3441" spans="1:10" x14ac:dyDescent="0.25">
      <c r="A3441" s="2">
        <v>453.740243316136</v>
      </c>
      <c r="B3441" s="3">
        <v>0.288337727555395</v>
      </c>
      <c r="C3441" s="5">
        <v>3.1433392051774499E-6</v>
      </c>
      <c r="D3441" s="6">
        <v>1.2375054726711801E-5</v>
      </c>
      <c r="E3441" s="3" t="s">
        <v>10034</v>
      </c>
      <c r="F3441" s="3" t="s">
        <v>10035</v>
      </c>
      <c r="G3441" s="3">
        <v>101592</v>
      </c>
      <c r="H3441" s="7" t="str">
        <f>HYPERLINK("http://www.ensembl.org/Mus_musculus/Gene/Summary?db=core;g=ENSMUSG00000038563","ENSMUSG00000038563")</f>
        <v>ENSMUSG00000038563</v>
      </c>
      <c r="I3441" s="7" t="str">
        <f>HYPERLINK("http://www.informatics.jax.org/marker/MGI:2141969","MGI:2141969")</f>
        <v>MGI:2141969</v>
      </c>
      <c r="J3441" s="4" t="s">
        <v>12</v>
      </c>
    </row>
    <row r="3442" spans="1:10" x14ac:dyDescent="0.25">
      <c r="A3442" s="2">
        <v>1204.52670565734</v>
      </c>
      <c r="B3442" s="3">
        <v>0.28822969731545101</v>
      </c>
      <c r="C3442" s="5">
        <v>1.40741762325053E-8</v>
      </c>
      <c r="D3442" s="6">
        <v>6.8817940814531203E-8</v>
      </c>
      <c r="E3442" s="3" t="s">
        <v>8083</v>
      </c>
      <c r="F3442" s="3" t="s">
        <v>8084</v>
      </c>
      <c r="G3442" s="3">
        <v>67619</v>
      </c>
      <c r="H3442" s="7" t="str">
        <f>HYPERLINK("http://www.ensembl.org/Mus_musculus/Gene/Summary?db=core;g=ENSMUSG00000003848","ENSMUSG00000003848")</f>
        <v>ENSMUSG00000003848</v>
      </c>
      <c r="I3442" s="7" t="str">
        <f>HYPERLINK("http://www.informatics.jax.org/marker/MGI:1914869","MGI:1914869")</f>
        <v>MGI:1914869</v>
      </c>
      <c r="J3442" s="4" t="s">
        <v>12</v>
      </c>
    </row>
    <row r="3443" spans="1:10" x14ac:dyDescent="0.25">
      <c r="A3443" s="2">
        <v>6717.4425468760101</v>
      </c>
      <c r="B3443" s="3">
        <v>0.28818208072680501</v>
      </c>
      <c r="C3443" s="5">
        <v>9.26047251135933E-25</v>
      </c>
      <c r="D3443" s="6">
        <v>1.11897376178925E-23</v>
      </c>
      <c r="E3443" s="3" t="s">
        <v>3284</v>
      </c>
      <c r="F3443" s="3" t="s">
        <v>3285</v>
      </c>
      <c r="G3443" s="3">
        <v>66855</v>
      </c>
      <c r="H3443" s="7" t="str">
        <f>HYPERLINK("http://www.ensembl.org/Mus_musculus/Gene/Summary?db=core;g=ENSMUSG00000001472","ENSMUSG00000001472")</f>
        <v>ENSMUSG00000001472</v>
      </c>
      <c r="I3443" s="7" t="str">
        <f>HYPERLINK("http://www.informatics.jax.org/marker/MGI:1914105","MGI:1914105")</f>
        <v>MGI:1914105</v>
      </c>
      <c r="J3443" s="4" t="s">
        <v>12</v>
      </c>
    </row>
    <row r="3444" spans="1:10" x14ac:dyDescent="0.25">
      <c r="A3444" s="2">
        <v>120.15213147920301</v>
      </c>
      <c r="B3444" s="3">
        <v>0.28812283013770901</v>
      </c>
      <c r="C3444" s="3">
        <v>1.06867770404601E-2</v>
      </c>
      <c r="D3444" s="4">
        <v>2.64287990014891E-2</v>
      </c>
      <c r="E3444" s="3" t="s">
        <v>15953</v>
      </c>
      <c r="F3444" s="3" t="s">
        <v>15954</v>
      </c>
      <c r="G3444" s="3">
        <v>66408</v>
      </c>
      <c r="H3444" s="7" t="str">
        <f>HYPERLINK("http://www.ensembl.org/Mus_musculus/Gene/Summary?db=core;g=ENSMUSG00000028411","ENSMUSG00000028411")</f>
        <v>ENSMUSG00000028411</v>
      </c>
      <c r="I3444" s="7" t="str">
        <f>HYPERLINK("http://www.informatics.jax.org/marker/MGI:1913658","MGI:1913658")</f>
        <v>MGI:1913658</v>
      </c>
      <c r="J3444" s="4" t="s">
        <v>12</v>
      </c>
    </row>
    <row r="3445" spans="1:10" x14ac:dyDescent="0.25">
      <c r="A3445" s="2">
        <v>14814.795832211101</v>
      </c>
      <c r="B3445" s="3">
        <v>0.287673222150927</v>
      </c>
      <c r="C3445" s="5">
        <v>5.43054234944859E-17</v>
      </c>
      <c r="D3445" s="6">
        <v>4.61397221590376E-16</v>
      </c>
      <c r="E3445" s="3" t="s">
        <v>4659</v>
      </c>
      <c r="F3445" s="3" t="s">
        <v>4660</v>
      </c>
      <c r="G3445" s="3">
        <v>15526</v>
      </c>
      <c r="H3445" s="7" t="str">
        <f>HYPERLINK("http://www.ensembl.org/Mus_musculus/Gene/Summary?db=core;g=ENSMUSG00000024359","ENSMUSG00000024359")</f>
        <v>ENSMUSG00000024359</v>
      </c>
      <c r="I3445" s="7" t="str">
        <f>HYPERLINK("http://www.informatics.jax.org/marker/MGI:96245","MGI:96245")</f>
        <v>MGI:96245</v>
      </c>
      <c r="J3445" s="4" t="s">
        <v>12</v>
      </c>
    </row>
    <row r="3446" spans="1:10" x14ac:dyDescent="0.25">
      <c r="A3446" s="2">
        <v>1761.08599105285</v>
      </c>
      <c r="B3446" s="3">
        <v>0.28760805050084198</v>
      </c>
      <c r="C3446" s="3">
        <v>1.5923619204672999E-4</v>
      </c>
      <c r="D3446" s="4">
        <v>5.2292051742906201E-4</v>
      </c>
      <c r="E3446" s="3" t="s">
        <v>12021</v>
      </c>
      <c r="F3446" s="3" t="s">
        <v>12022</v>
      </c>
      <c r="G3446" s="3">
        <v>67231</v>
      </c>
      <c r="H3446" s="7" t="str">
        <f>HYPERLINK("http://www.ensembl.org/Mus_musculus/Gene/Summary?db=core;g=ENSMUSG00000027465","ENSMUSG00000027465")</f>
        <v>ENSMUSG00000027465</v>
      </c>
      <c r="I3446" s="7" t="str">
        <f>HYPERLINK("http://www.informatics.jax.org/marker/MGI:1914481","MGI:1914481")</f>
        <v>MGI:1914481</v>
      </c>
      <c r="J3446" s="4" t="s">
        <v>12</v>
      </c>
    </row>
    <row r="3447" spans="1:10" x14ac:dyDescent="0.25">
      <c r="A3447" s="2">
        <v>1110.42810420453</v>
      </c>
      <c r="B3447" s="3">
        <v>0.287542908204793</v>
      </c>
      <c r="C3447" s="5">
        <v>5.4855917833430399E-6</v>
      </c>
      <c r="D3447" s="6">
        <v>2.1103369092377E-5</v>
      </c>
      <c r="E3447" s="3" t="s">
        <v>10266</v>
      </c>
      <c r="F3447" s="3" t="s">
        <v>10267</v>
      </c>
      <c r="G3447" s="3">
        <v>20467</v>
      </c>
      <c r="H3447" s="7" t="str">
        <f>HYPERLINK("http://www.ensembl.org/Mus_musculus/Gene/Summary?db=core;g=ENSMUSG00000031622","ENSMUSG00000031622")</f>
        <v>ENSMUSG00000031622</v>
      </c>
      <c r="I3447" s="7" t="str">
        <f>HYPERLINK("http://www.informatics.jax.org/marker/MGI:107158","MGI:107158")</f>
        <v>MGI:107158</v>
      </c>
      <c r="J3447" s="4" t="s">
        <v>12</v>
      </c>
    </row>
    <row r="3448" spans="1:10" x14ac:dyDescent="0.25">
      <c r="A3448" s="2">
        <v>888.33078172475302</v>
      </c>
      <c r="B3448" s="3">
        <v>0.28727275647580702</v>
      </c>
      <c r="C3448" s="5">
        <v>4.8382785961703203E-7</v>
      </c>
      <c r="D3448" s="6">
        <v>2.0665118890292098E-6</v>
      </c>
      <c r="E3448" s="3" t="s">
        <v>9249</v>
      </c>
      <c r="F3448" s="3" t="s">
        <v>9250</v>
      </c>
      <c r="G3448" s="3">
        <v>227674</v>
      </c>
      <c r="H3448" s="7" t="str">
        <f>HYPERLINK("http://www.ensembl.org/Mus_musculus/Gene/Summary?db=core;g=ENSMUSG00000026806","ENSMUSG00000026806")</f>
        <v>ENSMUSG00000026806</v>
      </c>
      <c r="I3448" s="7" t="str">
        <f>HYPERLINK("http://www.informatics.jax.org/marker/MGI:2682639","MGI:2682639")</f>
        <v>MGI:2682639</v>
      </c>
      <c r="J3448" s="4" t="s">
        <v>12</v>
      </c>
    </row>
    <row r="3449" spans="1:10" x14ac:dyDescent="0.25">
      <c r="A3449" s="2">
        <v>7281.4250877608602</v>
      </c>
      <c r="B3449" s="3">
        <v>0.28724634935202797</v>
      </c>
      <c r="C3449" s="5">
        <v>2.3153674392602E-8</v>
      </c>
      <c r="D3449" s="6">
        <v>1.10903682055407E-7</v>
      </c>
      <c r="E3449" s="3" t="s">
        <v>8251</v>
      </c>
      <c r="F3449" s="3" t="s">
        <v>8252</v>
      </c>
      <c r="G3449" s="3">
        <v>11840</v>
      </c>
      <c r="H3449" s="7" t="str">
        <f>HYPERLINK("http://www.ensembl.org/Mus_musculus/Gene/Summary?db=core;g=ENSMUSG00000048076","ENSMUSG00000048076")</f>
        <v>ENSMUSG00000048076</v>
      </c>
      <c r="I3449" s="7" t="str">
        <f>HYPERLINK("http://www.informatics.jax.org/marker/MGI:99431","MGI:99431")</f>
        <v>MGI:99431</v>
      </c>
      <c r="J3449" s="4" t="s">
        <v>12</v>
      </c>
    </row>
    <row r="3450" spans="1:10" x14ac:dyDescent="0.25">
      <c r="A3450" s="2">
        <v>1921.4863444929999</v>
      </c>
      <c r="B3450" s="3">
        <v>0.28713340980739399</v>
      </c>
      <c r="C3450" s="5">
        <v>3.0030443535392099E-6</v>
      </c>
      <c r="D3450" s="6">
        <v>1.18487464289302E-5</v>
      </c>
      <c r="E3450" s="3" t="s">
        <v>10012</v>
      </c>
      <c r="F3450" s="3" t="s">
        <v>10013</v>
      </c>
      <c r="G3450" s="3">
        <v>56455</v>
      </c>
      <c r="H3450" s="7" t="str">
        <f>HYPERLINK("http://www.ensembl.org/Mus_musculus/Gene/Summary?db=core;g=ENSMUSG00000009013","ENSMUSG00000009013")</f>
        <v>ENSMUSG00000009013</v>
      </c>
      <c r="I3450" s="7" t="str">
        <f>HYPERLINK("http://www.informatics.jax.org/marker/MGI:1861457","MGI:1861457")</f>
        <v>MGI:1861457</v>
      </c>
      <c r="J3450" s="4" t="s">
        <v>12</v>
      </c>
    </row>
    <row r="3451" spans="1:10" x14ac:dyDescent="0.25">
      <c r="A3451" s="2">
        <v>1749.3597630880599</v>
      </c>
      <c r="B3451" s="3">
        <v>0.286881564548426</v>
      </c>
      <c r="C3451" s="5">
        <v>5.2334104260985798E-10</v>
      </c>
      <c r="D3451" s="6">
        <v>2.86197597345158E-9</v>
      </c>
      <c r="E3451" s="3" t="s">
        <v>7230</v>
      </c>
      <c r="F3451" s="3" t="s">
        <v>7231</v>
      </c>
      <c r="G3451" s="3">
        <v>13728</v>
      </c>
      <c r="H3451" s="7" t="str">
        <f>HYPERLINK("http://www.ensembl.org/Mus_musculus/Gene/Summary?db=core;g=ENSMUSG00000024969","ENSMUSG00000024969")</f>
        <v>ENSMUSG00000024969</v>
      </c>
      <c r="I3451" s="7" t="str">
        <f>HYPERLINK("http://www.informatics.jax.org/marker/MGI:99638","MGI:99638")</f>
        <v>MGI:99638</v>
      </c>
      <c r="J3451" s="4" t="s">
        <v>12</v>
      </c>
    </row>
    <row r="3452" spans="1:10" x14ac:dyDescent="0.25">
      <c r="A3452" s="2">
        <v>42592.506199386196</v>
      </c>
      <c r="B3452" s="3">
        <v>0.28641757941295298</v>
      </c>
      <c r="C3452" s="5">
        <v>1.9446909467708802E-9</v>
      </c>
      <c r="D3452" s="6">
        <v>1.01911521313637E-8</v>
      </c>
      <c r="E3452" s="3" t="s">
        <v>7544</v>
      </c>
      <c r="F3452" s="3" t="s">
        <v>7545</v>
      </c>
      <c r="G3452" s="3">
        <v>13629</v>
      </c>
      <c r="H3452" s="7" t="str">
        <f>HYPERLINK("http://www.ensembl.org/Mus_musculus/Gene/Summary?db=core;g=ENSMUSG00000034994","ENSMUSG00000034994")</f>
        <v>ENSMUSG00000034994</v>
      </c>
      <c r="I3452" s="7" t="str">
        <f>HYPERLINK("http://www.informatics.jax.org/marker/MGI:95288","MGI:95288")</f>
        <v>MGI:95288</v>
      </c>
      <c r="J3452" s="4" t="s">
        <v>12</v>
      </c>
    </row>
    <row r="3453" spans="1:10" x14ac:dyDescent="0.25">
      <c r="A3453" s="2">
        <v>246.640124021866</v>
      </c>
      <c r="B3453" s="3">
        <v>0.28640862517680199</v>
      </c>
      <c r="C3453" s="3">
        <v>5.0826038782043502E-4</v>
      </c>
      <c r="D3453" s="4">
        <v>1.5626590034017701E-3</v>
      </c>
      <c r="E3453" s="3" t="s">
        <v>12837</v>
      </c>
      <c r="F3453" s="3" t="s">
        <v>12838</v>
      </c>
      <c r="G3453" s="3">
        <v>12328</v>
      </c>
      <c r="H3453" s="7" t="str">
        <f>HYPERLINK("http://www.ensembl.org/Mus_musculus/Gene/Summary?db=core;g=ENSMUSG00000021501","ENSMUSG00000021501")</f>
        <v>ENSMUSG00000021501</v>
      </c>
      <c r="I3453" s="7" t="str">
        <f>HYPERLINK("http://www.informatics.jax.org/marker/MGI:104728","MGI:104728")</f>
        <v>MGI:104728</v>
      </c>
      <c r="J3453" s="4" t="s">
        <v>12</v>
      </c>
    </row>
    <row r="3454" spans="1:10" x14ac:dyDescent="0.25">
      <c r="A3454" s="2">
        <v>1802.9371886223</v>
      </c>
      <c r="B3454" s="3">
        <v>0.28639964337940199</v>
      </c>
      <c r="C3454" s="5">
        <v>8.3981934173580297E-7</v>
      </c>
      <c r="D3454" s="6">
        <v>3.4968829009776299E-6</v>
      </c>
      <c r="E3454" s="3" t="s">
        <v>9487</v>
      </c>
      <c r="F3454" s="3" t="s">
        <v>9488</v>
      </c>
      <c r="G3454" s="3">
        <v>70294</v>
      </c>
      <c r="H3454" s="7" t="str">
        <f>HYPERLINK("http://www.ensembl.org/Mus_musculus/Gene/Summary?db=core;g=ENSMUSG00000035890","ENSMUSG00000035890")</f>
        <v>ENSMUSG00000035890</v>
      </c>
      <c r="I3454" s="7" t="str">
        <f>HYPERLINK("http://www.informatics.jax.org/marker/MGI:1917544","MGI:1917544")</f>
        <v>MGI:1917544</v>
      </c>
      <c r="J3454" s="4" t="s">
        <v>12</v>
      </c>
    </row>
    <row r="3455" spans="1:10" x14ac:dyDescent="0.25">
      <c r="A3455" s="2">
        <v>319.45538595977803</v>
      </c>
      <c r="B3455" s="3">
        <v>0.28613396735486302</v>
      </c>
      <c r="C3455" s="3">
        <v>1.55150139666385E-3</v>
      </c>
      <c r="D3455" s="4">
        <v>4.4528609434159698E-3</v>
      </c>
      <c r="E3455" s="3" t="s">
        <v>13749</v>
      </c>
      <c r="F3455" s="3" t="s">
        <v>13750</v>
      </c>
      <c r="G3455" s="3">
        <v>76205</v>
      </c>
      <c r="H3455" s="7" t="str">
        <f>HYPERLINK("http://www.ensembl.org/Mus_musculus/Gene/Summary?db=core;g=ENSMUSG00000003062","ENSMUSG00000003062")</f>
        <v>ENSMUSG00000003062</v>
      </c>
      <c r="I3455" s="7" t="str">
        <f>HYPERLINK("http://www.informatics.jax.org/marker/MGI:1923455","MGI:1923455")</f>
        <v>MGI:1923455</v>
      </c>
      <c r="J3455" s="4" t="s">
        <v>12</v>
      </c>
    </row>
    <row r="3456" spans="1:10" x14ac:dyDescent="0.25">
      <c r="A3456" s="2">
        <v>8053.6299405582204</v>
      </c>
      <c r="B3456" s="3">
        <v>0.28609748893544601</v>
      </c>
      <c r="C3456" s="5">
        <v>7.7436676944175694E-12</v>
      </c>
      <c r="D3456" s="6">
        <v>4.88187745952412E-11</v>
      </c>
      <c r="E3456" s="3" t="s">
        <v>6273</v>
      </c>
      <c r="F3456" s="3" t="s">
        <v>6274</v>
      </c>
      <c r="G3456" s="3">
        <v>110611</v>
      </c>
      <c r="H3456" s="7" t="str">
        <f>HYPERLINK("http://www.ensembl.org/Mus_musculus/Gene/Summary?db=core;g=ENSMUSG00000034088","ENSMUSG00000034088")</f>
        <v>ENSMUSG00000034088</v>
      </c>
      <c r="I3456" s="7" t="str">
        <f>HYPERLINK("http://www.informatics.jax.org/marker/MGI:99256","MGI:99256")</f>
        <v>MGI:99256</v>
      </c>
      <c r="J3456" s="4" t="s">
        <v>12</v>
      </c>
    </row>
    <row r="3457" spans="1:10" x14ac:dyDescent="0.25">
      <c r="A3457" s="2">
        <v>1537.64418123583</v>
      </c>
      <c r="B3457" s="3">
        <v>0.285980019152695</v>
      </c>
      <c r="C3457" s="5">
        <v>7.2491281287313196E-12</v>
      </c>
      <c r="D3457" s="6">
        <v>4.5803526657668001E-11</v>
      </c>
      <c r="E3457" s="3" t="s">
        <v>6259</v>
      </c>
      <c r="F3457" s="3" t="s">
        <v>6260</v>
      </c>
      <c r="G3457" s="3">
        <v>140740</v>
      </c>
      <c r="H3457" s="7" t="str">
        <f>HYPERLINK("http://www.ensembl.org/Mus_musculus/Gene/Summary?db=core;g=ENSMUSG00000019802","ENSMUSG00000019802")</f>
        <v>ENSMUSG00000019802</v>
      </c>
      <c r="I3457" s="7" t="str">
        <f>HYPERLINK("http://www.informatics.jax.org/marker/MGI:2155302","MGI:2155302")</f>
        <v>MGI:2155302</v>
      </c>
      <c r="J3457" s="4" t="s">
        <v>12</v>
      </c>
    </row>
    <row r="3458" spans="1:10" x14ac:dyDescent="0.25">
      <c r="A3458" s="2">
        <v>2682.4343642171398</v>
      </c>
      <c r="B3458" s="3">
        <v>0.28596515498272002</v>
      </c>
      <c r="C3458" s="5">
        <v>2.6347107038507398E-11</v>
      </c>
      <c r="D3458" s="6">
        <v>1.6021120900381299E-10</v>
      </c>
      <c r="E3458" s="3" t="s">
        <v>6503</v>
      </c>
      <c r="F3458" s="3" t="s">
        <v>6504</v>
      </c>
      <c r="G3458" s="3">
        <v>226414</v>
      </c>
      <c r="H3458" s="7" t="str">
        <f>HYPERLINK("http://www.ensembl.org/Mus_musculus/Gene/Summary?db=core;g=ENSMUSG00000026356","ENSMUSG00000026356")</f>
        <v>ENSMUSG00000026356</v>
      </c>
      <c r="I3458" s="7" t="str">
        <f>HYPERLINK("http://www.informatics.jax.org/marker/MGI:2442544","MGI:2442544")</f>
        <v>MGI:2442544</v>
      </c>
      <c r="J3458" s="4" t="s">
        <v>12</v>
      </c>
    </row>
    <row r="3459" spans="1:10" x14ac:dyDescent="0.25">
      <c r="A3459" s="2">
        <v>116.36227887850001</v>
      </c>
      <c r="B3459" s="3">
        <v>0.28592559154779901</v>
      </c>
      <c r="C3459" s="3">
        <v>1.8204016261684899E-2</v>
      </c>
      <c r="D3459" s="4">
        <v>4.2853432097460502E-2</v>
      </c>
      <c r="E3459" s="3" t="s">
        <v>16758</v>
      </c>
      <c r="F3459" s="3" t="s">
        <v>16759</v>
      </c>
      <c r="G3459" s="3">
        <v>71673</v>
      </c>
      <c r="H3459" s="7" t="str">
        <f>HYPERLINK("http://www.ensembl.org/Mus_musculus/Gene/Summary?db=core;g=ENSMUSG00000003581","ENSMUSG00000003581")</f>
        <v>ENSMUSG00000003581</v>
      </c>
      <c r="I3459" s="7" t="str">
        <f>HYPERLINK("http://www.informatics.jax.org/marker/MGI:1918923","MGI:1918923")</f>
        <v>MGI:1918923</v>
      </c>
      <c r="J3459" s="4" t="s">
        <v>12</v>
      </c>
    </row>
    <row r="3460" spans="1:10" x14ac:dyDescent="0.25">
      <c r="A3460" s="2">
        <v>1262.9929260684701</v>
      </c>
      <c r="B3460" s="3">
        <v>0.28586669508746199</v>
      </c>
      <c r="C3460" s="5">
        <v>3.8908644660614098E-8</v>
      </c>
      <c r="D3460" s="6">
        <v>1.82381381675139E-7</v>
      </c>
      <c r="E3460" s="3" t="s">
        <v>8429</v>
      </c>
      <c r="F3460" s="3" t="s">
        <v>8430</v>
      </c>
      <c r="G3460" s="3">
        <v>108143</v>
      </c>
      <c r="H3460" s="7" t="str">
        <f>HYPERLINK("http://www.ensembl.org/Mus_musculus/Gene/Summary?db=core;g=ENSMUSG00000052293","ENSMUSG00000052293")</f>
        <v>ENSMUSG00000052293</v>
      </c>
      <c r="I3460" s="7" t="str">
        <f>HYPERLINK("http://www.informatics.jax.org/marker/MGI:1888697","MGI:1888697")</f>
        <v>MGI:1888697</v>
      </c>
      <c r="J3460" s="4" t="s">
        <v>12</v>
      </c>
    </row>
    <row r="3461" spans="1:10" x14ac:dyDescent="0.25">
      <c r="A3461" s="2">
        <v>932.88260337193901</v>
      </c>
      <c r="B3461" s="3">
        <v>0.285487337937742</v>
      </c>
      <c r="C3461" s="5">
        <v>2.9513955853211901E-9</v>
      </c>
      <c r="D3461" s="6">
        <v>1.5243981388825E-8</v>
      </c>
      <c r="E3461" s="3" t="s">
        <v>7652</v>
      </c>
      <c r="F3461" s="3" t="s">
        <v>7653</v>
      </c>
      <c r="G3461" s="3">
        <v>70285</v>
      </c>
      <c r="H3461" s="7" t="str">
        <f>HYPERLINK("http://www.ensembl.org/Mus_musculus/Gene/Summary?db=core;g=ENSMUSG00000028187","ENSMUSG00000028187")</f>
        <v>ENSMUSG00000028187</v>
      </c>
      <c r="I3461" s="7" t="str">
        <f>HYPERLINK("http://www.informatics.jax.org/marker/MGI:1917535","MGI:1917535")</f>
        <v>MGI:1917535</v>
      </c>
      <c r="J3461" s="4" t="s">
        <v>12</v>
      </c>
    </row>
    <row r="3462" spans="1:10" x14ac:dyDescent="0.25">
      <c r="A3462" s="2">
        <v>304.92330308642897</v>
      </c>
      <c r="B3462" s="3">
        <v>0.28547131089396799</v>
      </c>
      <c r="C3462" s="3">
        <v>1.40084795111001E-3</v>
      </c>
      <c r="D3462" s="4">
        <v>4.0446151677729697E-3</v>
      </c>
      <c r="E3462" s="3" t="s">
        <v>13669</v>
      </c>
      <c r="F3462" s="3" t="s">
        <v>13670</v>
      </c>
      <c r="G3462" s="3" t="s">
        <v>83</v>
      </c>
      <c r="H3462" s="7" t="str">
        <f>HYPERLINK("http://www.ensembl.org/Mus_musculus/Gene/Summary?db=core;g=ENSMUSG00000092345","ENSMUSG00000092345")</f>
        <v>ENSMUSG00000092345</v>
      </c>
      <c r="I3462" s="7" t="str">
        <f>HYPERLINK("http://www.informatics.jax.org/marker/MGI:5141968","MGI:5141968")</f>
        <v>MGI:5141968</v>
      </c>
      <c r="J3462" s="4" t="s">
        <v>12</v>
      </c>
    </row>
    <row r="3463" spans="1:10" x14ac:dyDescent="0.25">
      <c r="A3463" s="2">
        <v>655.79284388881501</v>
      </c>
      <c r="B3463" s="3">
        <v>0.28502790403232697</v>
      </c>
      <c r="C3463" s="5">
        <v>4.7323278029996601E-7</v>
      </c>
      <c r="D3463" s="6">
        <v>2.0230111483883199E-6</v>
      </c>
      <c r="E3463" s="3" t="s">
        <v>9241</v>
      </c>
      <c r="F3463" s="3" t="s">
        <v>9242</v>
      </c>
      <c r="G3463" s="3">
        <v>66818</v>
      </c>
      <c r="H3463" s="7" t="str">
        <f>HYPERLINK("http://www.ensembl.org/Mus_musculus/Gene/Summary?db=core;g=ENSMUSG00000044600","ENSMUSG00000044600")</f>
        <v>ENSMUSG00000044600</v>
      </c>
      <c r="I3463" s="7" t="str">
        <f>HYPERLINK("http://www.informatics.jax.org/marker/MGI:1914068","MGI:1914068")</f>
        <v>MGI:1914068</v>
      </c>
      <c r="J3463" s="4" t="s">
        <v>12</v>
      </c>
    </row>
    <row r="3464" spans="1:10" x14ac:dyDescent="0.25">
      <c r="A3464" s="2">
        <v>796.002690108509</v>
      </c>
      <c r="B3464" s="3">
        <v>0.28497692004783598</v>
      </c>
      <c r="C3464" s="3">
        <v>4.57496226304569E-4</v>
      </c>
      <c r="D3464" s="4">
        <v>1.4143009222019299E-3</v>
      </c>
      <c r="E3464" s="3" t="s">
        <v>12767</v>
      </c>
      <c r="F3464" s="3" t="s">
        <v>12768</v>
      </c>
      <c r="G3464" s="3">
        <v>67125</v>
      </c>
      <c r="H3464" s="7" t="str">
        <f>HYPERLINK("http://www.ensembl.org/Mus_musculus/Gene/Summary?db=core;g=ENSMUSG00000006736","ENSMUSG00000006736")</f>
        <v>ENSMUSG00000006736</v>
      </c>
      <c r="I3464" s="7" t="str">
        <f>HYPERLINK("http://www.informatics.jax.org/marker/MGI:1914375","MGI:1914375")</f>
        <v>MGI:1914375</v>
      </c>
      <c r="J3464" s="4" t="s">
        <v>12</v>
      </c>
    </row>
    <row r="3465" spans="1:10" x14ac:dyDescent="0.25">
      <c r="A3465" s="2">
        <v>991.26886437599796</v>
      </c>
      <c r="B3465" s="3">
        <v>0.284874298902551</v>
      </c>
      <c r="C3465" s="3">
        <v>2.5140835923854799E-3</v>
      </c>
      <c r="D3465" s="4">
        <v>6.9876995689699302E-3</v>
      </c>
      <c r="E3465" s="3" t="s">
        <v>14197</v>
      </c>
      <c r="F3465" s="3" t="s">
        <v>14198</v>
      </c>
      <c r="G3465" s="3">
        <v>219024</v>
      </c>
      <c r="H3465" s="7" t="str">
        <f>HYPERLINK("http://www.ensembl.org/Mus_musculus/Gene/Summary?db=core;g=ENSMUSG00000035953","ENSMUSG00000035953")</f>
        <v>ENSMUSG00000035953</v>
      </c>
      <c r="I3465" s="7" t="str">
        <f>HYPERLINK("http://www.informatics.jax.org/marker/MGI:2448501","MGI:2448501")</f>
        <v>MGI:2448501</v>
      </c>
      <c r="J3465" s="4" t="s">
        <v>12</v>
      </c>
    </row>
    <row r="3466" spans="1:10" x14ac:dyDescent="0.25">
      <c r="A3466" s="2">
        <v>239.447963484133</v>
      </c>
      <c r="B3466" s="3">
        <v>0.28479778243931198</v>
      </c>
      <c r="C3466" s="3">
        <v>4.4792975236051498E-3</v>
      </c>
      <c r="D3466" s="4">
        <v>1.1939949603337901E-2</v>
      </c>
      <c r="E3466" s="3" t="s">
        <v>14800</v>
      </c>
      <c r="F3466" s="3" t="s">
        <v>14801</v>
      </c>
      <c r="G3466" s="3">
        <v>212281</v>
      </c>
      <c r="H3466" s="7" t="str">
        <f>HYPERLINK("http://www.ensembl.org/Mus_musculus/Gene/Summary?db=core;g=ENSMUSG00000021510","ENSMUSG00000021510")</f>
        <v>ENSMUSG00000021510</v>
      </c>
      <c r="I3466" s="7" t="str">
        <f>HYPERLINK("http://www.informatics.jax.org/marker/MGI:3036250","MGI:3036250")</f>
        <v>MGI:3036250</v>
      </c>
      <c r="J3466" s="4" t="s">
        <v>12</v>
      </c>
    </row>
    <row r="3467" spans="1:10" x14ac:dyDescent="0.25">
      <c r="A3467" s="2">
        <v>688.48536375004403</v>
      </c>
      <c r="B3467" s="3">
        <v>0.28466500536574102</v>
      </c>
      <c r="C3467" s="5">
        <v>1.1054471329603801E-6</v>
      </c>
      <c r="D3467" s="6">
        <v>4.5519769183501102E-6</v>
      </c>
      <c r="E3467" s="3" t="s">
        <v>9593</v>
      </c>
      <c r="F3467" s="3" t="s">
        <v>9594</v>
      </c>
      <c r="G3467" s="3">
        <v>338337</v>
      </c>
      <c r="H3467" s="7" t="str">
        <f>HYPERLINK("http://www.ensembl.org/Mus_musculus/Gene/Summary?db=core;g=ENSMUSG00000034893","ENSMUSG00000034893")</f>
        <v>ENSMUSG00000034893</v>
      </c>
      <c r="I3467" s="7" t="str">
        <f>HYPERLINK("http://www.informatics.jax.org/marker/MGI:2450151","MGI:2450151")</f>
        <v>MGI:2450151</v>
      </c>
      <c r="J3467" s="4" t="s">
        <v>12</v>
      </c>
    </row>
    <row r="3468" spans="1:10" x14ac:dyDescent="0.25">
      <c r="A3468" s="2">
        <v>1179.47401147455</v>
      </c>
      <c r="B3468" s="3">
        <v>0.28465784820826801</v>
      </c>
      <c r="C3468" s="5">
        <v>3.1744634784064998E-9</v>
      </c>
      <c r="D3468" s="6">
        <v>1.6357569844310499E-8</v>
      </c>
      <c r="E3468" s="3" t="s">
        <v>7670</v>
      </c>
      <c r="F3468" s="3" t="s">
        <v>7671</v>
      </c>
      <c r="G3468" s="3">
        <v>244666</v>
      </c>
      <c r="H3468" s="7" t="str">
        <f>HYPERLINK("http://www.ensembl.org/Mus_musculus/Gene/Summary?db=core;g=ENSMUSG00000031986","ENSMUSG00000031986")</f>
        <v>ENSMUSG00000031986</v>
      </c>
      <c r="I3468" s="7" t="str">
        <f>HYPERLINK("http://www.informatics.jax.org/marker/MGI:2685351","MGI:2685351")</f>
        <v>MGI:2685351</v>
      </c>
      <c r="J3468" s="4" t="s">
        <v>12</v>
      </c>
    </row>
    <row r="3469" spans="1:10" x14ac:dyDescent="0.25">
      <c r="A3469" s="2">
        <v>3880.5729452779301</v>
      </c>
      <c r="B3469" s="3">
        <v>0.28456246524706202</v>
      </c>
      <c r="C3469" s="5">
        <v>3.6872827892104297E-7</v>
      </c>
      <c r="D3469" s="6">
        <v>1.59353970202125E-6</v>
      </c>
      <c r="E3469" s="3" t="s">
        <v>9141</v>
      </c>
      <c r="F3469" s="3" t="s">
        <v>9142</v>
      </c>
      <c r="G3469" s="3">
        <v>93687</v>
      </c>
      <c r="H3469" s="7" t="str">
        <f>HYPERLINK("http://www.ensembl.org/Mus_musculus/Gene/Summary?db=core;g=ENSMUSG00000024576","ENSMUSG00000024576")</f>
        <v>ENSMUSG00000024576</v>
      </c>
      <c r="I3469" s="7" t="str">
        <f>HYPERLINK("http://www.informatics.jax.org/marker/MGI:1934950","MGI:1934950")</f>
        <v>MGI:1934950</v>
      </c>
      <c r="J3469" s="4" t="s">
        <v>12</v>
      </c>
    </row>
    <row r="3470" spans="1:10" x14ac:dyDescent="0.25">
      <c r="A3470" s="2">
        <v>2237.4039456323799</v>
      </c>
      <c r="B3470" s="3">
        <v>0.284483030127267</v>
      </c>
      <c r="C3470" s="5">
        <v>9.2432626788477906E-6</v>
      </c>
      <c r="D3470" s="6">
        <v>3.4719455243214901E-5</v>
      </c>
      <c r="E3470" s="3" t="s">
        <v>10514</v>
      </c>
      <c r="F3470" s="3" t="s">
        <v>10515</v>
      </c>
      <c r="G3470" s="3">
        <v>66921</v>
      </c>
      <c r="H3470" s="7" t="str">
        <f>HYPERLINK("http://www.ensembl.org/Mus_musculus/Gene/Summary?db=core;g=ENSMUSG00000027881","ENSMUSG00000027881")</f>
        <v>ENSMUSG00000027881</v>
      </c>
      <c r="I3470" s="7" t="str">
        <f>HYPERLINK("http://www.informatics.jax.org/marker/MGI:1914171","MGI:1914171")</f>
        <v>MGI:1914171</v>
      </c>
      <c r="J3470" s="4" t="s">
        <v>12</v>
      </c>
    </row>
    <row r="3471" spans="1:10" x14ac:dyDescent="0.25">
      <c r="A3471" s="2">
        <v>479.46061238534497</v>
      </c>
      <c r="B3471" s="3">
        <v>0.28436405182239999</v>
      </c>
      <c r="C3471" s="5">
        <v>4.6029942309189197E-5</v>
      </c>
      <c r="D3471" s="4">
        <v>1.60884520088127E-4</v>
      </c>
      <c r="E3471" s="3" t="s">
        <v>11295</v>
      </c>
      <c r="F3471" s="3" t="s">
        <v>11296</v>
      </c>
      <c r="G3471" s="3">
        <v>72960</v>
      </c>
      <c r="H3471" s="7" t="str">
        <f>HYPERLINK("http://www.ensembl.org/Mus_musculus/Gene/Summary?db=core;g=ENSMUSG00000000934","ENSMUSG00000000934")</f>
        <v>ENSMUSG00000000934</v>
      </c>
      <c r="I3471" s="7" t="str">
        <f>HYPERLINK("http://www.informatics.jax.org/marker/MGI:1920210","MGI:1920210")</f>
        <v>MGI:1920210</v>
      </c>
      <c r="J3471" s="4" t="s">
        <v>12</v>
      </c>
    </row>
    <row r="3472" spans="1:10" x14ac:dyDescent="0.25">
      <c r="A3472" s="2">
        <v>1253.6579421178899</v>
      </c>
      <c r="B3472" s="3">
        <v>0.28435415934473002</v>
      </c>
      <c r="C3472" s="5">
        <v>5.7337277270075301E-7</v>
      </c>
      <c r="D3472" s="6">
        <v>2.4336872745714299E-6</v>
      </c>
      <c r="E3472" s="3" t="s">
        <v>9307</v>
      </c>
      <c r="F3472" s="3" t="s">
        <v>9308</v>
      </c>
      <c r="G3472" s="3">
        <v>17931</v>
      </c>
      <c r="H3472" s="7" t="str">
        <f>HYPERLINK("http://www.ensembl.org/Mus_musculus/Gene/Summary?db=core;g=ENSMUSG00000019907","ENSMUSG00000019907")</f>
        <v>ENSMUSG00000019907</v>
      </c>
      <c r="I3472" s="7" t="str">
        <f>HYPERLINK("http://www.informatics.jax.org/marker/MGI:1309528","MGI:1309528")</f>
        <v>MGI:1309528</v>
      </c>
      <c r="J3472" s="4" t="s">
        <v>12</v>
      </c>
    </row>
    <row r="3473" spans="1:10" x14ac:dyDescent="0.25">
      <c r="A3473" s="2">
        <v>24338.5503611727</v>
      </c>
      <c r="B3473" s="3">
        <v>0.28433203897033599</v>
      </c>
      <c r="C3473" s="5">
        <v>3.6832969385824602E-21</v>
      </c>
      <c r="D3473" s="6">
        <v>3.8269028255451102E-20</v>
      </c>
      <c r="E3473" s="3" t="s">
        <v>3814</v>
      </c>
      <c r="F3473" s="3" t="s">
        <v>3815</v>
      </c>
      <c r="G3473" s="3">
        <v>208643</v>
      </c>
      <c r="H3473" s="7" t="str">
        <f>HYPERLINK("http://www.ensembl.org/Mus_musculus/Gene/Summary?db=core;g=ENSMUSG00000045983","ENSMUSG00000045983")</f>
        <v>ENSMUSG00000045983</v>
      </c>
      <c r="I3473" s="7" t="str">
        <f>HYPERLINK("http://www.informatics.jax.org/marker/MGI:2384784","MGI:2384784")</f>
        <v>MGI:2384784</v>
      </c>
      <c r="J3473" s="4" t="s">
        <v>12</v>
      </c>
    </row>
    <row r="3474" spans="1:10" x14ac:dyDescent="0.25">
      <c r="A3474" s="2">
        <v>1650.75741526654</v>
      </c>
      <c r="B3474" s="3">
        <v>0.283938533433445</v>
      </c>
      <c r="C3474" s="5">
        <v>3.81354903060534E-14</v>
      </c>
      <c r="D3474" s="6">
        <v>2.7822118713850302E-13</v>
      </c>
      <c r="E3474" s="3" t="s">
        <v>5423</v>
      </c>
      <c r="F3474" s="3" t="s">
        <v>5424</v>
      </c>
      <c r="G3474" s="3">
        <v>66629</v>
      </c>
      <c r="H3474" s="7" t="str">
        <f>HYPERLINK("http://www.ensembl.org/Mus_musculus/Gene/Summary?db=core;g=ENSMUSG00000022200","ENSMUSG00000022200")</f>
        <v>ENSMUSG00000022200</v>
      </c>
      <c r="I3474" s="7" t="str">
        <f>HYPERLINK("http://www.informatics.jax.org/marker/MGI:1913879","MGI:1913879")</f>
        <v>MGI:1913879</v>
      </c>
      <c r="J3474" s="4" t="s">
        <v>12</v>
      </c>
    </row>
    <row r="3475" spans="1:10" x14ac:dyDescent="0.25">
      <c r="A3475" s="2">
        <v>2944.4771706843899</v>
      </c>
      <c r="B3475" s="3">
        <v>0.283748608499093</v>
      </c>
      <c r="C3475" s="5">
        <v>2.8964514397438102E-8</v>
      </c>
      <c r="D3475" s="6">
        <v>1.37600632116955E-7</v>
      </c>
      <c r="E3475" s="3" t="s">
        <v>8319</v>
      </c>
      <c r="F3475" s="3" t="s">
        <v>8320</v>
      </c>
      <c r="G3475" s="3">
        <v>75007</v>
      </c>
      <c r="H3475" s="7" t="str">
        <f>HYPERLINK("http://www.ensembl.org/Mus_musculus/Gene/Summary?db=core;g=ENSMUSG00000038712","ENSMUSG00000038712")</f>
        <v>ENSMUSG00000038712</v>
      </c>
      <c r="I3475" s="7" t="str">
        <f>HYPERLINK("http://www.informatics.jax.org/marker/MGI:1922257","MGI:1922257")</f>
        <v>MGI:1922257</v>
      </c>
      <c r="J3475" s="4" t="s">
        <v>12</v>
      </c>
    </row>
    <row r="3476" spans="1:10" x14ac:dyDescent="0.25">
      <c r="A3476" s="2">
        <v>965.09192871394396</v>
      </c>
      <c r="B3476" s="3">
        <v>0.28369282421514502</v>
      </c>
      <c r="C3476" s="3">
        <v>2.1294922178072799E-4</v>
      </c>
      <c r="D3476" s="4">
        <v>6.8909725197176697E-4</v>
      </c>
      <c r="E3476" s="3" t="s">
        <v>12199</v>
      </c>
      <c r="F3476" s="3" t="s">
        <v>12200</v>
      </c>
      <c r="G3476" s="3">
        <v>76479</v>
      </c>
      <c r="H3476" s="7" t="str">
        <f>HYPERLINK("http://www.ensembl.org/Mus_musculus/Gene/Summary?db=core;g=ENSMUSG00000025024","ENSMUSG00000025024")</f>
        <v>ENSMUSG00000025024</v>
      </c>
      <c r="I3476" s="7" t="str">
        <f>HYPERLINK("http://www.informatics.jax.org/marker/MGI:1923729","MGI:1923729")</f>
        <v>MGI:1923729</v>
      </c>
      <c r="J3476" s="4" t="s">
        <v>12</v>
      </c>
    </row>
    <row r="3477" spans="1:10" x14ac:dyDescent="0.25">
      <c r="A3477" s="2">
        <v>2366.2597537832398</v>
      </c>
      <c r="B3477" s="3">
        <v>0.28353455115922299</v>
      </c>
      <c r="C3477" s="5">
        <v>1.36572303606873E-6</v>
      </c>
      <c r="D3477" s="6">
        <v>5.5656247719106001E-6</v>
      </c>
      <c r="E3477" s="3" t="s">
        <v>9693</v>
      </c>
      <c r="F3477" s="3" t="s">
        <v>9694</v>
      </c>
      <c r="G3477" s="3">
        <v>12757</v>
      </c>
      <c r="H3477" s="7" t="str">
        <f>HYPERLINK("http://www.ensembl.org/Mus_musculus/Gene/Summary?db=core;g=ENSMUSG00000028478","ENSMUSG00000028478")</f>
        <v>ENSMUSG00000028478</v>
      </c>
      <c r="I3477" s="7" t="str">
        <f>HYPERLINK("http://www.informatics.jax.org/marker/MGI:894297","MGI:894297")</f>
        <v>MGI:894297</v>
      </c>
      <c r="J3477" s="4" t="s">
        <v>12</v>
      </c>
    </row>
    <row r="3478" spans="1:10" x14ac:dyDescent="0.25">
      <c r="A3478" s="2">
        <v>321.26253842751601</v>
      </c>
      <c r="B3478" s="3">
        <v>0.28321169943375102</v>
      </c>
      <c r="C3478" s="3">
        <v>2.53969057768976E-3</v>
      </c>
      <c r="D3478" s="4">
        <v>7.05489480096381E-3</v>
      </c>
      <c r="E3478" s="3" t="s">
        <v>14205</v>
      </c>
      <c r="F3478" s="3" t="s">
        <v>14206</v>
      </c>
      <c r="G3478" s="3">
        <v>114664</v>
      </c>
      <c r="H3478" s="7" t="str">
        <f>HYPERLINK("http://www.ensembl.org/Mus_musculus/Gene/Summary?db=core;g=ENSMUSG00000029311","ENSMUSG00000029311")</f>
        <v>ENSMUSG00000029311</v>
      </c>
      <c r="I3478" s="7" t="str">
        <f>HYPERLINK("http://www.informatics.jax.org/marker/MGI:2149821","MGI:2149821")</f>
        <v>MGI:2149821</v>
      </c>
      <c r="J3478" s="4" t="s">
        <v>12</v>
      </c>
    </row>
    <row r="3479" spans="1:10" x14ac:dyDescent="0.25">
      <c r="A3479" s="2">
        <v>201.17426810158099</v>
      </c>
      <c r="B3479" s="3">
        <v>0.28313088860365998</v>
      </c>
      <c r="C3479" s="3">
        <v>1.0317815476402999E-3</v>
      </c>
      <c r="D3479" s="4">
        <v>3.0345610916430702E-3</v>
      </c>
      <c r="E3479" s="3" t="s">
        <v>13419</v>
      </c>
      <c r="F3479" s="3" t="s">
        <v>13420</v>
      </c>
      <c r="G3479" s="3">
        <v>232236</v>
      </c>
      <c r="H3479" s="7" t="str">
        <f>HYPERLINK("http://www.ensembl.org/Mus_musculus/Gene/Summary?db=core;g=ENSMUSG00000034083","ENSMUSG00000034083")</f>
        <v>ENSMUSG00000034083</v>
      </c>
      <c r="I3479" s="7" t="str">
        <f>HYPERLINK("http://www.informatics.jax.org/marker/MGI:2444652","MGI:2444652")</f>
        <v>MGI:2444652</v>
      </c>
      <c r="J3479" s="4" t="s">
        <v>12</v>
      </c>
    </row>
    <row r="3480" spans="1:10" x14ac:dyDescent="0.25">
      <c r="A3480" s="2">
        <v>2450.6581063834901</v>
      </c>
      <c r="B3480" s="3">
        <v>0.282999226974952</v>
      </c>
      <c r="C3480" s="5">
        <v>1.34520169199748E-9</v>
      </c>
      <c r="D3480" s="6">
        <v>7.1425356397927797E-9</v>
      </c>
      <c r="E3480" s="3" t="s">
        <v>7446</v>
      </c>
      <c r="F3480" s="3" t="s">
        <v>7447</v>
      </c>
      <c r="G3480" s="3">
        <v>71990</v>
      </c>
      <c r="H3480" s="7" t="str">
        <f>HYPERLINK("http://www.ensembl.org/Mus_musculus/Gene/Summary?db=core;g=ENSMUSG00000029599","ENSMUSG00000029599")</f>
        <v>ENSMUSG00000029599</v>
      </c>
      <c r="I3480" s="7" t="str">
        <f>HYPERLINK("http://www.informatics.jax.org/marker/MGI:1919240","MGI:1919240")</f>
        <v>MGI:1919240</v>
      </c>
      <c r="J3480" s="4" t="s">
        <v>12</v>
      </c>
    </row>
    <row r="3481" spans="1:10" x14ac:dyDescent="0.25">
      <c r="A3481" s="2">
        <v>2975.7228932552898</v>
      </c>
      <c r="B3481" s="3">
        <v>0.28270862526438101</v>
      </c>
      <c r="C3481" s="5">
        <v>2.51623171853332E-8</v>
      </c>
      <c r="D3481" s="6">
        <v>1.2032029459136001E-7</v>
      </c>
      <c r="E3481" s="3" t="s">
        <v>8265</v>
      </c>
      <c r="F3481" s="3" t="s">
        <v>8266</v>
      </c>
      <c r="G3481" s="3">
        <v>67493</v>
      </c>
      <c r="H3481" s="7" t="str">
        <f>HYPERLINK("http://www.ensembl.org/Mus_musculus/Gene/Summary?db=core;g=ENSMUSG00000010554","ENSMUSG00000010554")</f>
        <v>ENSMUSG00000010554</v>
      </c>
      <c r="I3481" s="7" t="str">
        <f>HYPERLINK("http://www.informatics.jax.org/marker/MGI:1914743","MGI:1914743")</f>
        <v>MGI:1914743</v>
      </c>
      <c r="J3481" s="4" t="s">
        <v>12</v>
      </c>
    </row>
    <row r="3482" spans="1:10" x14ac:dyDescent="0.25">
      <c r="A3482" s="2">
        <v>684.13066385620698</v>
      </c>
      <c r="B3482" s="3">
        <v>0.28194109507824</v>
      </c>
      <c r="C3482" s="3">
        <v>1.17287949885708E-4</v>
      </c>
      <c r="D3482" s="4">
        <v>3.9208651834991598E-4</v>
      </c>
      <c r="E3482" s="3" t="s">
        <v>11809</v>
      </c>
      <c r="F3482" s="3" t="s">
        <v>11810</v>
      </c>
      <c r="G3482" s="3">
        <v>67710</v>
      </c>
      <c r="H3482" s="7" t="str">
        <f>HYPERLINK("http://www.ensembl.org/Mus_musculus/Gene/Summary?db=core;g=ENSMUSG00000071662","ENSMUSG00000071662")</f>
        <v>ENSMUSG00000071662</v>
      </c>
      <c r="I3482" s="7" t="str">
        <f>HYPERLINK("http://www.informatics.jax.org/marker/MGI:1914960","MGI:1914960")</f>
        <v>MGI:1914960</v>
      </c>
      <c r="J3482" s="4" t="s">
        <v>12</v>
      </c>
    </row>
    <row r="3483" spans="1:10" x14ac:dyDescent="0.25">
      <c r="A3483" s="2">
        <v>174.96481974049399</v>
      </c>
      <c r="B3483" s="3">
        <v>0.281744128867775</v>
      </c>
      <c r="C3483" s="3">
        <v>1.60502224274537E-2</v>
      </c>
      <c r="D3483" s="4">
        <v>3.82767428067948E-2</v>
      </c>
      <c r="E3483" s="3" t="s">
        <v>16542</v>
      </c>
      <c r="F3483" s="3" t="s">
        <v>16543</v>
      </c>
      <c r="G3483" s="3">
        <v>212974</v>
      </c>
      <c r="H3483" s="7" t="str">
        <f>HYPERLINK("http://www.ensembl.org/Mus_musculus/Gene/Summary?db=core;g=ENSMUSG00000062031","ENSMUSG00000062031")</f>
        <v>ENSMUSG00000062031</v>
      </c>
      <c r="I3483" s="7" t="str">
        <f>HYPERLINK("http://www.informatics.jax.org/marker/MGI:2444047","MGI:2444047")</f>
        <v>MGI:2444047</v>
      </c>
      <c r="J3483" s="4" t="s">
        <v>12</v>
      </c>
    </row>
    <row r="3484" spans="1:10" x14ac:dyDescent="0.25">
      <c r="A3484" s="2">
        <v>1269.6241976926799</v>
      </c>
      <c r="B3484" s="3">
        <v>0.28145769020962103</v>
      </c>
      <c r="C3484" s="5">
        <v>1.3819561117697699E-7</v>
      </c>
      <c r="D3484" s="6">
        <v>6.1838381039482303E-7</v>
      </c>
      <c r="E3484" s="3" t="s">
        <v>8831</v>
      </c>
      <c r="F3484" s="3" t="s">
        <v>8832</v>
      </c>
      <c r="G3484" s="3">
        <v>110593</v>
      </c>
      <c r="H3484" s="7" t="str">
        <f>HYPERLINK("http://www.ensembl.org/Mus_musculus/Gene/Summary?db=core;g=ENSMUSG00000057637","ENSMUSG00000057637")</f>
        <v>ENSMUSG00000057637</v>
      </c>
      <c r="I3484" s="7" t="str">
        <f>HYPERLINK("http://www.informatics.jax.org/marker/MGI:107628","MGI:107628")</f>
        <v>MGI:107628</v>
      </c>
      <c r="J3484" s="4" t="s">
        <v>12</v>
      </c>
    </row>
    <row r="3485" spans="1:10" x14ac:dyDescent="0.25">
      <c r="A3485" s="2">
        <v>6494.6465339119004</v>
      </c>
      <c r="B3485" s="3">
        <v>0.281377568854423</v>
      </c>
      <c r="C3485" s="5">
        <v>2.1533820178834201E-12</v>
      </c>
      <c r="D3485" s="6">
        <v>1.41785286786848E-11</v>
      </c>
      <c r="E3485" s="3" t="s">
        <v>6007</v>
      </c>
      <c r="F3485" s="3" t="s">
        <v>6008</v>
      </c>
      <c r="G3485" s="3">
        <v>70356</v>
      </c>
      <c r="H3485" s="7" t="str">
        <f>HYPERLINK("http://www.ensembl.org/Mus_musculus/Gene/Summary?db=core;g=ENSMUSG00000022403","ENSMUSG00000022403")</f>
        <v>ENSMUSG00000022403</v>
      </c>
      <c r="I3485" s="7" t="str">
        <f>HYPERLINK("http://www.informatics.jax.org/marker/MGI:1917606","MGI:1917606")</f>
        <v>MGI:1917606</v>
      </c>
      <c r="J3485" s="4" t="s">
        <v>12</v>
      </c>
    </row>
    <row r="3486" spans="1:10" x14ac:dyDescent="0.25">
      <c r="A3486" s="2">
        <v>20741.3167382641</v>
      </c>
      <c r="B3486" s="3">
        <v>0.281211956337513</v>
      </c>
      <c r="C3486" s="5">
        <v>2.3483237566553198E-10</v>
      </c>
      <c r="D3486" s="6">
        <v>1.32462655838796E-9</v>
      </c>
      <c r="E3486" s="3" t="s">
        <v>7010</v>
      </c>
      <c r="F3486" s="3" t="s">
        <v>7011</v>
      </c>
      <c r="G3486" s="3">
        <v>15384</v>
      </c>
      <c r="H3486" s="7" t="str">
        <f>HYPERLINK("http://www.ensembl.org/Mus_musculus/Gene/Summary?db=core;g=ENSMUSG00000020358","ENSMUSG00000020358")</f>
        <v>ENSMUSG00000020358</v>
      </c>
      <c r="I3486" s="7" t="str">
        <f>HYPERLINK("http://www.informatics.jax.org/marker/MGI:1330294","MGI:1330294")</f>
        <v>MGI:1330294</v>
      </c>
      <c r="J3486" s="4" t="s">
        <v>12</v>
      </c>
    </row>
    <row r="3487" spans="1:10" x14ac:dyDescent="0.25">
      <c r="A3487" s="2">
        <v>321.80128474915102</v>
      </c>
      <c r="B3487" s="3">
        <v>0.28113520156538002</v>
      </c>
      <c r="C3487" s="3">
        <v>1.5257026393520701E-3</v>
      </c>
      <c r="D3487" s="4">
        <v>4.3839219070410601E-3</v>
      </c>
      <c r="E3487" s="3" t="s">
        <v>13735</v>
      </c>
      <c r="F3487" s="3" t="s">
        <v>13736</v>
      </c>
      <c r="G3487" s="3">
        <v>67848</v>
      </c>
      <c r="H3487" s="7" t="str">
        <f>HYPERLINK("http://www.ensembl.org/Mus_musculus/Gene/Summary?db=core;g=ENSMUSG00000029389","ENSMUSG00000029389")</f>
        <v>ENSMUSG00000029389</v>
      </c>
      <c r="I3487" s="7" t="str">
        <f>HYPERLINK("http://www.informatics.jax.org/marker/MGI:1915098","MGI:1915098")</f>
        <v>MGI:1915098</v>
      </c>
      <c r="J3487" s="4" t="s">
        <v>12</v>
      </c>
    </row>
    <row r="3488" spans="1:10" x14ac:dyDescent="0.25">
      <c r="A3488" s="2">
        <v>1143.94205529077</v>
      </c>
      <c r="B3488" s="3">
        <v>0.28077509775784798</v>
      </c>
      <c r="C3488" s="3">
        <v>1.2887934619134001E-4</v>
      </c>
      <c r="D3488" s="4">
        <v>4.2851133146066801E-4</v>
      </c>
      <c r="E3488" s="3" t="s">
        <v>11873</v>
      </c>
      <c r="F3488" s="3" t="s">
        <v>11874</v>
      </c>
      <c r="G3488" s="3">
        <v>72141</v>
      </c>
      <c r="H3488" s="7" t="str">
        <f>HYPERLINK("http://www.ensembl.org/Mus_musculus/Gene/Summary?db=core;g=ENSMUSG00000025236","ENSMUSG00000025236")</f>
        <v>ENSMUSG00000025236</v>
      </c>
      <c r="I3488" s="7" t="str">
        <f>HYPERLINK("http://www.informatics.jax.org/marker/MGI:1919391","MGI:1919391")</f>
        <v>MGI:1919391</v>
      </c>
      <c r="J3488" s="4" t="s">
        <v>12</v>
      </c>
    </row>
    <row r="3489" spans="1:10" x14ac:dyDescent="0.25">
      <c r="A3489" s="2">
        <v>1740.4639048609199</v>
      </c>
      <c r="B3489" s="3">
        <v>0.28071365200716603</v>
      </c>
      <c r="C3489" s="5">
        <v>6.9095149365940397E-9</v>
      </c>
      <c r="D3489" s="6">
        <v>3.4705969065113203E-8</v>
      </c>
      <c r="E3489" s="3" t="s">
        <v>7868</v>
      </c>
      <c r="F3489" s="3" t="s">
        <v>7869</v>
      </c>
      <c r="G3489" s="3">
        <v>104718</v>
      </c>
      <c r="H3489" s="7" t="str">
        <f>HYPERLINK("http://www.ensembl.org/Mus_musculus/Gene/Summary?db=core;g=ENSMUSG00000033530","ENSMUSG00000033530")</f>
        <v>ENSMUSG00000033530</v>
      </c>
      <c r="I3489" s="7" t="str">
        <f>HYPERLINK("http://www.informatics.jax.org/marker/MGI:2144724","MGI:2144724")</f>
        <v>MGI:2144724</v>
      </c>
      <c r="J3489" s="4" t="s">
        <v>12</v>
      </c>
    </row>
    <row r="3490" spans="1:10" x14ac:dyDescent="0.25">
      <c r="A3490" s="2">
        <v>1027.4843864023601</v>
      </c>
      <c r="B3490" s="3">
        <v>0.280130737951368</v>
      </c>
      <c r="C3490" s="5">
        <v>8.25121958436675E-7</v>
      </c>
      <c r="D3490" s="6">
        <v>3.43931621652319E-6</v>
      </c>
      <c r="E3490" s="3" t="s">
        <v>9477</v>
      </c>
      <c r="F3490" s="3" t="s">
        <v>9478</v>
      </c>
      <c r="G3490" s="3">
        <v>56550</v>
      </c>
      <c r="H3490" s="7" t="str">
        <f>HYPERLINK("http://www.ensembl.org/Mus_musculus/Gene/Summary?db=core;g=ENSMUSG00000091896","ENSMUSG00000091896")</f>
        <v>ENSMUSG00000091896</v>
      </c>
      <c r="I3490" s="7" t="str">
        <f>HYPERLINK("http://www.informatics.jax.org/marker/MGI:1930715","MGI:1930715")</f>
        <v>MGI:1930715</v>
      </c>
      <c r="J3490" s="4" t="s">
        <v>12</v>
      </c>
    </row>
    <row r="3491" spans="1:10" x14ac:dyDescent="0.25">
      <c r="A3491" s="2">
        <v>580.66993939456495</v>
      </c>
      <c r="B3491" s="3">
        <v>0.27991143308245398</v>
      </c>
      <c r="C3491" s="5">
        <v>2.2659972006251899E-6</v>
      </c>
      <c r="D3491" s="6">
        <v>9.0529709879110003E-6</v>
      </c>
      <c r="E3491" s="3" t="s">
        <v>9887</v>
      </c>
      <c r="F3491" s="3" t="s">
        <v>9888</v>
      </c>
      <c r="G3491" s="3">
        <v>56217</v>
      </c>
      <c r="H3491" s="7" t="str">
        <f>HYPERLINK("http://www.ensembl.org/Mus_musculus/Gene/Summary?db=core;g=ENSMUSG00000021112","ENSMUSG00000021112")</f>
        <v>ENSMUSG00000021112</v>
      </c>
      <c r="I3491" s="7" t="str">
        <f>HYPERLINK("http://www.informatics.jax.org/marker/MGI:1927339","MGI:1927339")</f>
        <v>MGI:1927339</v>
      </c>
      <c r="J3491" s="4" t="s">
        <v>12</v>
      </c>
    </row>
    <row r="3492" spans="1:10" x14ac:dyDescent="0.25">
      <c r="A3492" s="2">
        <v>323.32857295052702</v>
      </c>
      <c r="B3492" s="3">
        <v>0.27982556274180298</v>
      </c>
      <c r="C3492" s="3">
        <v>9.4432455863746297E-4</v>
      </c>
      <c r="D3492" s="4">
        <v>2.79317238583032E-3</v>
      </c>
      <c r="E3492" s="3" t="s">
        <v>13343</v>
      </c>
      <c r="F3492" s="3" t="s">
        <v>13344</v>
      </c>
      <c r="G3492" s="3">
        <v>60507</v>
      </c>
      <c r="H3492" s="7" t="str">
        <f>HYPERLINK("http://www.ensembl.org/Mus_musculus/Gene/Summary?db=core;g=ENSMUSG00000002825","ENSMUSG00000002825")</f>
        <v>ENSMUSG00000002825</v>
      </c>
      <c r="I3492" s="7" t="str">
        <f>HYPERLINK("http://www.informatics.jax.org/marker/MGI:1931441","MGI:1931441")</f>
        <v>MGI:1931441</v>
      </c>
      <c r="J3492" s="4" t="s">
        <v>12</v>
      </c>
    </row>
    <row r="3493" spans="1:10" x14ac:dyDescent="0.25">
      <c r="A3493" s="2">
        <v>615.58344766983203</v>
      </c>
      <c r="B3493" s="3">
        <v>0.27982349390586297</v>
      </c>
      <c r="C3493" s="3">
        <v>2.17805233940959E-4</v>
      </c>
      <c r="D3493" s="4">
        <v>7.0423335191272603E-4</v>
      </c>
      <c r="E3493" s="3" t="s">
        <v>12209</v>
      </c>
      <c r="F3493" s="3" t="s">
        <v>12210</v>
      </c>
      <c r="G3493" s="3">
        <v>193670</v>
      </c>
      <c r="H3493" s="7" t="str">
        <f>HYPERLINK("http://www.ensembl.org/Mus_musculus/Gene/Summary?db=core;g=ENSMUSG00000020448","ENSMUSG00000020448")</f>
        <v>ENSMUSG00000020448</v>
      </c>
      <c r="I3493" s="7" t="str">
        <f>HYPERLINK("http://www.informatics.jax.org/marker/MGI:1922078","MGI:1922078")</f>
        <v>MGI:1922078</v>
      </c>
      <c r="J3493" s="4" t="s">
        <v>12</v>
      </c>
    </row>
    <row r="3494" spans="1:10" x14ac:dyDescent="0.25">
      <c r="A3494" s="2">
        <v>1230.4282250957899</v>
      </c>
      <c r="B3494" s="3">
        <v>0.279814042336263</v>
      </c>
      <c r="C3494" s="5">
        <v>2.9686665956112701E-10</v>
      </c>
      <c r="D3494" s="6">
        <v>1.6617117588831699E-9</v>
      </c>
      <c r="E3494" s="3" t="s">
        <v>7064</v>
      </c>
      <c r="F3494" s="3" t="s">
        <v>7065</v>
      </c>
      <c r="G3494" s="3">
        <v>18637</v>
      </c>
      <c r="H3494" s="7" t="str">
        <f>HYPERLINK("http://www.ensembl.org/Mus_musculus/Gene/Summary?db=core;g=ENSMUSG00000006412","ENSMUSG00000006412")</f>
        <v>ENSMUSG00000006412</v>
      </c>
      <c r="I3494" s="7" t="str">
        <f>HYPERLINK("http://www.informatics.jax.org/marker/MGI:1276111","MGI:1276111")</f>
        <v>MGI:1276111</v>
      </c>
      <c r="J3494" s="4" t="s">
        <v>12</v>
      </c>
    </row>
    <row r="3495" spans="1:10" x14ac:dyDescent="0.25">
      <c r="A3495" s="2">
        <v>10914.896512888999</v>
      </c>
      <c r="B3495" s="3">
        <v>0.279686994608424</v>
      </c>
      <c r="C3495" s="5">
        <v>7.0327639805309997E-14</v>
      </c>
      <c r="D3495" s="6">
        <v>5.0615367042361803E-13</v>
      </c>
      <c r="E3495" s="3" t="s">
        <v>5497</v>
      </c>
      <c r="F3495" s="3" t="s">
        <v>5498</v>
      </c>
      <c r="G3495" s="3">
        <v>15525</v>
      </c>
      <c r="H3495" s="7" t="str">
        <f>HYPERLINK("http://www.ensembl.org/Mus_musculus/Gene/Summary?db=core;g=ENSMUSG00000020361","ENSMUSG00000020361")</f>
        <v>ENSMUSG00000020361</v>
      </c>
      <c r="I3495" s="7" t="str">
        <f>HYPERLINK("http://www.informatics.jax.org/marker/MGI:1342292","MGI:1342292")</f>
        <v>MGI:1342292</v>
      </c>
      <c r="J3495" s="4" t="s">
        <v>12</v>
      </c>
    </row>
    <row r="3496" spans="1:10" x14ac:dyDescent="0.25">
      <c r="A3496" s="2">
        <v>2302.17769260246</v>
      </c>
      <c r="B3496" s="3">
        <v>0.27961735534222898</v>
      </c>
      <c r="C3496" s="5">
        <v>2.29659314012359E-9</v>
      </c>
      <c r="D3496" s="6">
        <v>1.1971667122187999E-8</v>
      </c>
      <c r="E3496" s="3" t="s">
        <v>7582</v>
      </c>
      <c r="F3496" s="3" t="s">
        <v>7583</v>
      </c>
      <c r="G3496" s="3">
        <v>16589</v>
      </c>
      <c r="H3496" s="7" t="str">
        <f>HYPERLINK("http://www.ensembl.org/Mus_musculus/Gene/Summary?db=core;g=ENSMUSG00000026667","ENSMUSG00000026667")</f>
        <v>ENSMUSG00000026667</v>
      </c>
      <c r="I3496" s="7" t="str">
        <f>HYPERLINK("http://www.informatics.jax.org/marker/MGI:1341908","MGI:1341908")</f>
        <v>MGI:1341908</v>
      </c>
      <c r="J3496" s="4" t="s">
        <v>12</v>
      </c>
    </row>
    <row r="3497" spans="1:10" x14ac:dyDescent="0.25">
      <c r="A3497" s="2">
        <v>170.18424272104701</v>
      </c>
      <c r="B3497" s="3">
        <v>0.27956177918679798</v>
      </c>
      <c r="C3497" s="3">
        <v>8.1370888666420001E-3</v>
      </c>
      <c r="D3497" s="4">
        <v>2.0577506084916701E-2</v>
      </c>
      <c r="E3497" s="3" t="s">
        <v>15601</v>
      </c>
      <c r="F3497" s="3" t="s">
        <v>15602</v>
      </c>
      <c r="G3497" s="3" t="s">
        <v>83</v>
      </c>
      <c r="H3497" s="7" t="str">
        <f>HYPERLINK("http://www.ensembl.org/Mus_musculus/Gene/Summary?db=core;g=ENSMUSG00000107383","ENSMUSG00000107383")</f>
        <v>ENSMUSG00000107383</v>
      </c>
      <c r="I3497" s="7" t="str">
        <f>HYPERLINK("http://www.informatics.jax.org/marker/MGI:3782551","MGI:3782551")</f>
        <v>MGI:3782551</v>
      </c>
      <c r="J3497" s="4" t="s">
        <v>1043</v>
      </c>
    </row>
    <row r="3498" spans="1:10" x14ac:dyDescent="0.25">
      <c r="A3498" s="2">
        <v>869.21272581233302</v>
      </c>
      <c r="B3498" s="3">
        <v>0.27948137373631898</v>
      </c>
      <c r="C3498" s="5">
        <v>1.9712257631156501E-7</v>
      </c>
      <c r="D3498" s="6">
        <v>8.7334468768008695E-7</v>
      </c>
      <c r="E3498" s="3" t="s">
        <v>8919</v>
      </c>
      <c r="F3498" s="3" t="s">
        <v>8920</v>
      </c>
      <c r="G3498" s="3">
        <v>116891</v>
      </c>
      <c r="H3498" s="7" t="str">
        <f>HYPERLINK("http://www.ensembl.org/Mus_musculus/Gene/Summary?db=core;g=ENSMUSG00000018442","ENSMUSG00000018442")</f>
        <v>ENSMUSG00000018442</v>
      </c>
      <c r="I3498" s="7" t="str">
        <f>HYPERLINK("http://www.informatics.jax.org/marker/MGI:2151483","MGI:2151483")</f>
        <v>MGI:2151483</v>
      </c>
      <c r="J3498" s="4" t="s">
        <v>12</v>
      </c>
    </row>
    <row r="3499" spans="1:10" x14ac:dyDescent="0.25">
      <c r="A3499" s="2">
        <v>6604.9723348534999</v>
      </c>
      <c r="B3499" s="3">
        <v>0.27935712912688598</v>
      </c>
      <c r="C3499" s="5">
        <v>5.3092356584998998E-14</v>
      </c>
      <c r="D3499" s="6">
        <v>3.8421331077291098E-13</v>
      </c>
      <c r="E3499" s="3" t="s">
        <v>5467</v>
      </c>
      <c r="F3499" s="3" t="s">
        <v>5468</v>
      </c>
      <c r="G3499" s="3">
        <v>24015</v>
      </c>
      <c r="H3499" s="7" t="str">
        <f>HYPERLINK("http://www.ensembl.org/Mus_musculus/Gene/Summary?db=core;g=ENSMUSG00000058355","ENSMUSG00000058355")</f>
        <v>ENSMUSG00000058355</v>
      </c>
      <c r="I3499" s="7" t="str">
        <f>HYPERLINK("http://www.informatics.jax.org/marker/MGI:1195458","MGI:1195458")</f>
        <v>MGI:1195458</v>
      </c>
      <c r="J3499" s="4" t="s">
        <v>12</v>
      </c>
    </row>
    <row r="3500" spans="1:10" x14ac:dyDescent="0.25">
      <c r="A3500" s="2">
        <v>378.69885322582599</v>
      </c>
      <c r="B3500" s="3">
        <v>0.27862096837267503</v>
      </c>
      <c r="C3500" s="3">
        <v>1.55218229093935E-4</v>
      </c>
      <c r="D3500" s="4">
        <v>5.1083168854012E-4</v>
      </c>
      <c r="E3500" s="3" t="s">
        <v>11995</v>
      </c>
      <c r="F3500" s="3" t="s">
        <v>11996</v>
      </c>
      <c r="G3500" s="3">
        <v>225280</v>
      </c>
      <c r="H3500" s="7" t="str">
        <f>HYPERLINK("http://www.ensembl.org/Mus_musculus/Gene/Summary?db=core;g=ENSMUSG00000047989","ENSMUSG00000047989")</f>
        <v>ENSMUSG00000047989</v>
      </c>
      <c r="I3500" s="7" t="str">
        <f>HYPERLINK("http://www.informatics.jax.org/marker/MGI:2443014","MGI:2443014")</f>
        <v>MGI:2443014</v>
      </c>
      <c r="J3500" s="4" t="s">
        <v>12</v>
      </c>
    </row>
    <row r="3501" spans="1:10" x14ac:dyDescent="0.25">
      <c r="A3501" s="2">
        <v>4604.1601018402798</v>
      </c>
      <c r="B3501" s="3">
        <v>0.27855788754046401</v>
      </c>
      <c r="C3501" s="5">
        <v>7.5675430445060503E-6</v>
      </c>
      <c r="D3501" s="6">
        <v>2.8764832081275902E-5</v>
      </c>
      <c r="E3501" s="3" t="s">
        <v>10390</v>
      </c>
      <c r="F3501" s="3" t="s">
        <v>10391</v>
      </c>
      <c r="G3501" s="3">
        <v>20926</v>
      </c>
      <c r="H3501" s="7" t="str">
        <f>HYPERLINK("http://www.ensembl.org/Mus_musculus/Gene/Summary?db=core;g=ENSMUSG00000002052","ENSMUSG00000002052")</f>
        <v>ENSMUSG00000002052</v>
      </c>
      <c r="I3501" s="7" t="str">
        <f>HYPERLINK("http://www.informatics.jax.org/marker/MGI:107726","MGI:107726")</f>
        <v>MGI:107726</v>
      </c>
      <c r="J3501" s="4" t="s">
        <v>12</v>
      </c>
    </row>
    <row r="3502" spans="1:10" x14ac:dyDescent="0.25">
      <c r="A3502" s="2">
        <v>821.73987587512204</v>
      </c>
      <c r="B3502" s="3">
        <v>0.27851287294111599</v>
      </c>
      <c r="C3502" s="3">
        <v>7.4002747577768297E-4</v>
      </c>
      <c r="D3502" s="4">
        <v>2.2232391563583001E-3</v>
      </c>
      <c r="E3502" s="3" t="s">
        <v>13137</v>
      </c>
      <c r="F3502" s="3" t="s">
        <v>13138</v>
      </c>
      <c r="G3502" s="3">
        <v>17311</v>
      </c>
      <c r="H3502" s="7" t="str">
        <f>HYPERLINK("http://www.ensembl.org/Mus_musculus/Gene/Summary?db=core;g=ENSMUSG00000019966","ENSMUSG00000019966")</f>
        <v>ENSMUSG00000019966</v>
      </c>
      <c r="I3502" s="7" t="str">
        <f>HYPERLINK("http://www.informatics.jax.org/marker/MGI:96974","MGI:96974")</f>
        <v>MGI:96974</v>
      </c>
      <c r="J3502" s="4" t="s">
        <v>12</v>
      </c>
    </row>
    <row r="3503" spans="1:10" x14ac:dyDescent="0.25">
      <c r="A3503" s="2">
        <v>1107.8814459943901</v>
      </c>
      <c r="B3503" s="3">
        <v>0.27835137520155201</v>
      </c>
      <c r="C3503" s="5">
        <v>1.5649862460041099E-11</v>
      </c>
      <c r="D3503" s="6">
        <v>9.6472425042829203E-11</v>
      </c>
      <c r="E3503" s="3" t="s">
        <v>6415</v>
      </c>
      <c r="F3503" s="3" t="s">
        <v>6416</v>
      </c>
      <c r="G3503" s="3">
        <v>56208</v>
      </c>
      <c r="H3503" s="7" t="str">
        <f>HYPERLINK("http://www.ensembl.org/Mus_musculus/Gene/Summary?db=core;g=ENSMUSG00000035086","ENSMUSG00000035086")</f>
        <v>ENSMUSG00000035086</v>
      </c>
      <c r="I3503" s="7" t="str">
        <f>HYPERLINK("http://www.informatics.jax.org/marker/MGI:1891828","MGI:1891828")</f>
        <v>MGI:1891828</v>
      </c>
      <c r="J3503" s="4" t="s">
        <v>12</v>
      </c>
    </row>
    <row r="3504" spans="1:10" x14ac:dyDescent="0.25">
      <c r="A3504" s="2">
        <v>10013.760368048201</v>
      </c>
      <c r="B3504" s="3">
        <v>0.278201905205744</v>
      </c>
      <c r="C3504" s="5">
        <v>2.4627547206973399E-7</v>
      </c>
      <c r="D3504" s="6">
        <v>1.08211949848823E-6</v>
      </c>
      <c r="E3504" s="3" t="s">
        <v>8993</v>
      </c>
      <c r="F3504" s="3" t="s">
        <v>8994</v>
      </c>
      <c r="G3504" s="3">
        <v>27041</v>
      </c>
      <c r="H3504" s="7" t="str">
        <f>HYPERLINK("http://www.ensembl.org/Mus_musculus/Gene/Summary?db=core;g=ENSMUSG00000018583","ENSMUSG00000018583")</f>
        <v>ENSMUSG00000018583</v>
      </c>
      <c r="I3504" s="7" t="str">
        <f>HYPERLINK("http://www.informatics.jax.org/marker/MGI:1351465","MGI:1351465")</f>
        <v>MGI:1351465</v>
      </c>
      <c r="J3504" s="4" t="s">
        <v>12</v>
      </c>
    </row>
    <row r="3505" spans="1:10" x14ac:dyDescent="0.25">
      <c r="A3505" s="2">
        <v>17918.8007125648</v>
      </c>
      <c r="B3505" s="3">
        <v>0.27814389661798999</v>
      </c>
      <c r="C3505" s="5">
        <v>4.4554159902414403E-6</v>
      </c>
      <c r="D3505" s="6">
        <v>1.7278427399717E-5</v>
      </c>
      <c r="E3505" s="3" t="s">
        <v>10184</v>
      </c>
      <c r="F3505" s="3" t="s">
        <v>10185</v>
      </c>
      <c r="G3505" s="3">
        <v>14433</v>
      </c>
      <c r="H3505" s="7" t="str">
        <f>HYPERLINK("http://www.ensembl.org/Mus_musculus/Gene/Summary?db=core;g=ENSMUSG00000057666","ENSMUSG00000057666")</f>
        <v>ENSMUSG00000057666</v>
      </c>
      <c r="I3505" s="7" t="str">
        <f>HYPERLINK("http://www.informatics.jax.org/marker/MGI:95640","MGI:95640")</f>
        <v>MGI:95640</v>
      </c>
      <c r="J3505" s="4" t="s">
        <v>12</v>
      </c>
    </row>
    <row r="3506" spans="1:10" x14ac:dyDescent="0.25">
      <c r="A3506" s="2">
        <v>1718.3213863318999</v>
      </c>
      <c r="B3506" s="3">
        <v>0.27806344349878498</v>
      </c>
      <c r="C3506" s="5">
        <v>1.4907001749006101E-6</v>
      </c>
      <c r="D3506" s="6">
        <v>6.05366710235585E-6</v>
      </c>
      <c r="E3506" s="3" t="s">
        <v>9727</v>
      </c>
      <c r="F3506" s="3" t="s">
        <v>9728</v>
      </c>
      <c r="G3506" s="3">
        <v>13830</v>
      </c>
      <c r="H3506" s="7" t="str">
        <f>HYPERLINK("http://www.ensembl.org/Mus_musculus/Gene/Summary?db=core;g=ENSMUSG00000026880","ENSMUSG00000026880")</f>
        <v>ENSMUSG00000026880</v>
      </c>
      <c r="I3506" s="7" t="str">
        <f>HYPERLINK("http://www.informatics.jax.org/marker/MGI:95403","MGI:95403")</f>
        <v>MGI:95403</v>
      </c>
      <c r="J3506" s="4" t="s">
        <v>12</v>
      </c>
    </row>
    <row r="3507" spans="1:10" x14ac:dyDescent="0.25">
      <c r="A3507" s="2">
        <v>503.02121196511303</v>
      </c>
      <c r="B3507" s="3">
        <v>0.27760936958217503</v>
      </c>
      <c r="C3507" s="3">
        <v>1.06792712611995E-2</v>
      </c>
      <c r="D3507" s="4">
        <v>2.64168626782307E-2</v>
      </c>
      <c r="E3507" s="3" t="s">
        <v>15947</v>
      </c>
      <c r="F3507" s="3" t="s">
        <v>15948</v>
      </c>
      <c r="G3507" s="3">
        <v>53325</v>
      </c>
      <c r="H3507" s="7" t="str">
        <f>HYPERLINK("http://www.ensembl.org/Mus_musculus/Gene/Summary?db=core;g=ENSMUSG00000025316","ENSMUSG00000025316")</f>
        <v>ENSMUSG00000025316</v>
      </c>
      <c r="I3507" s="7" t="str">
        <f>HYPERLINK("http://www.informatics.jax.org/marker/MGI:1889023","MGI:1889023")</f>
        <v>MGI:1889023</v>
      </c>
      <c r="J3507" s="4" t="s">
        <v>12</v>
      </c>
    </row>
    <row r="3508" spans="1:10" x14ac:dyDescent="0.25">
      <c r="A3508" s="2">
        <v>1103.0826907400201</v>
      </c>
      <c r="B3508" s="3">
        <v>0.277572490466303</v>
      </c>
      <c r="C3508" s="5">
        <v>1.7572921960575201E-7</v>
      </c>
      <c r="D3508" s="6">
        <v>7.8137096068217096E-7</v>
      </c>
      <c r="E3508" s="3" t="s">
        <v>8887</v>
      </c>
      <c r="F3508" s="3" t="s">
        <v>8888</v>
      </c>
      <c r="G3508" s="3">
        <v>104444</v>
      </c>
      <c r="H3508" s="7" t="str">
        <f>HYPERLINK("http://www.ensembl.org/Mus_musculus/Gene/Summary?db=core;g=ENSMUSG00000032026","ENSMUSG00000032026")</f>
        <v>ENSMUSG00000032026</v>
      </c>
      <c r="I3508" s="7" t="str">
        <f>HYPERLINK("http://www.informatics.jax.org/marker/MGI:1888981","MGI:1888981")</f>
        <v>MGI:1888981</v>
      </c>
      <c r="J3508" s="4" t="s">
        <v>12</v>
      </c>
    </row>
    <row r="3509" spans="1:10" x14ac:dyDescent="0.25">
      <c r="A3509" s="2">
        <v>1305.1621425119899</v>
      </c>
      <c r="B3509" s="3">
        <v>0.27751216047725602</v>
      </c>
      <c r="C3509" s="3">
        <v>5.2278846471940201E-3</v>
      </c>
      <c r="D3509" s="4">
        <v>1.3786291153071201E-2</v>
      </c>
      <c r="E3509" s="3" t="s">
        <v>14960</v>
      </c>
      <c r="F3509" s="3" t="s">
        <v>14961</v>
      </c>
      <c r="G3509" s="3">
        <v>68147</v>
      </c>
      <c r="H3509" s="7" t="str">
        <f>HYPERLINK("http://www.ensembl.org/Mus_musculus/Gene/Summary?db=core;g=ENSMUSG00000028010","ENSMUSG00000028010")</f>
        <v>ENSMUSG00000028010</v>
      </c>
      <c r="I3509" s="7" t="str">
        <f>HYPERLINK("http://www.informatics.jax.org/marker/MGI:1930948","MGI:1930948")</f>
        <v>MGI:1930948</v>
      </c>
      <c r="J3509" s="4" t="s">
        <v>12</v>
      </c>
    </row>
    <row r="3510" spans="1:10" x14ac:dyDescent="0.25">
      <c r="A3510" s="2">
        <v>10368.2649583538</v>
      </c>
      <c r="B3510" s="3">
        <v>0.27725546506478299</v>
      </c>
      <c r="C3510" s="5">
        <v>3.8027227107621799E-8</v>
      </c>
      <c r="D3510" s="6">
        <v>1.7850438432808901E-7</v>
      </c>
      <c r="E3510" s="3" t="s">
        <v>8419</v>
      </c>
      <c r="F3510" s="3" t="s">
        <v>8420</v>
      </c>
      <c r="G3510" s="3">
        <v>19989</v>
      </c>
      <c r="H3510" s="7" t="str">
        <f>HYPERLINK("http://www.ensembl.org/Mus_musculus/Gene/Summary?db=core;g=ENSMUSG00000043716","ENSMUSG00000043716")</f>
        <v>ENSMUSG00000043716</v>
      </c>
      <c r="I3510" s="7" t="str">
        <f>HYPERLINK("http://www.informatics.jax.org/marker/MGI:98073","MGI:98073")</f>
        <v>MGI:98073</v>
      </c>
      <c r="J3510" s="4" t="s">
        <v>12</v>
      </c>
    </row>
    <row r="3511" spans="1:10" x14ac:dyDescent="0.25">
      <c r="A3511" s="2">
        <v>10056.6715782384</v>
      </c>
      <c r="B3511" s="3">
        <v>0.27719690786324103</v>
      </c>
      <c r="C3511" s="5">
        <v>3.1668420087444001E-11</v>
      </c>
      <c r="D3511" s="6">
        <v>1.9121287327752499E-10</v>
      </c>
      <c r="E3511" s="3" t="s">
        <v>6549</v>
      </c>
      <c r="F3511" s="3" t="s">
        <v>6550</v>
      </c>
      <c r="G3511" s="3">
        <v>18521</v>
      </c>
      <c r="H3511" s="7" t="str">
        <f>HYPERLINK("http://www.ensembl.org/Mus_musculus/Gene/Summary?db=core;g=ENSMUSG00000056851","ENSMUSG00000056851")</f>
        <v>ENSMUSG00000056851</v>
      </c>
      <c r="I3511" s="7" t="str">
        <f>HYPERLINK("http://www.informatics.jax.org/marker/MGI:108202","MGI:108202")</f>
        <v>MGI:108202</v>
      </c>
      <c r="J3511" s="4" t="s">
        <v>12</v>
      </c>
    </row>
    <row r="3512" spans="1:10" x14ac:dyDescent="0.25">
      <c r="A3512" s="2">
        <v>1500.46100698697</v>
      </c>
      <c r="B3512" s="3">
        <v>0.27706896604235198</v>
      </c>
      <c r="C3512" s="5">
        <v>2.4544509745164601E-8</v>
      </c>
      <c r="D3512" s="6">
        <v>1.17394550612332E-7</v>
      </c>
      <c r="E3512" s="3" t="s">
        <v>8263</v>
      </c>
      <c r="F3512" s="3" t="s">
        <v>8264</v>
      </c>
      <c r="G3512" s="3">
        <v>75964</v>
      </c>
      <c r="H3512" s="7" t="str">
        <f>HYPERLINK("http://www.ensembl.org/Mus_musculus/Gene/Summary?db=core;g=ENSMUSG00000033382","ENSMUSG00000033382")</f>
        <v>ENSMUSG00000033382</v>
      </c>
      <c r="I3512" s="7" t="str">
        <f>HYPERLINK("http://www.informatics.jax.org/marker/MGI:2443008","MGI:2443008")</f>
        <v>MGI:2443008</v>
      </c>
      <c r="J3512" s="4" t="s">
        <v>12</v>
      </c>
    </row>
    <row r="3513" spans="1:10" x14ac:dyDescent="0.25">
      <c r="A3513" s="2">
        <v>1845.2931944829299</v>
      </c>
      <c r="B3513" s="3">
        <v>0.27688561028605801</v>
      </c>
      <c r="C3513" s="3">
        <v>3.1149975820741397E-4</v>
      </c>
      <c r="D3513" s="4">
        <v>9.8489261373259709E-4</v>
      </c>
      <c r="E3513" s="3" t="s">
        <v>12487</v>
      </c>
      <c r="F3513" s="3" t="s">
        <v>12488</v>
      </c>
      <c r="G3513" s="3">
        <v>73834</v>
      </c>
      <c r="H3513" s="7" t="str">
        <f>HYPERLINK("http://www.ensembl.org/Mus_musculus/Gene/Summary?db=core;g=ENSMUSG00000021114","ENSMUSG00000021114")</f>
        <v>ENSMUSG00000021114</v>
      </c>
      <c r="I3513" s="7" t="str">
        <f>HYPERLINK("http://www.informatics.jax.org/marker/MGI:1921084","MGI:1921084")</f>
        <v>MGI:1921084</v>
      </c>
      <c r="J3513" s="4" t="s">
        <v>12</v>
      </c>
    </row>
    <row r="3514" spans="1:10" x14ac:dyDescent="0.25">
      <c r="A3514" s="2">
        <v>239.67464306815901</v>
      </c>
      <c r="B3514" s="3">
        <v>0.27644769863084101</v>
      </c>
      <c r="C3514" s="3">
        <v>2.3298032965535401E-3</v>
      </c>
      <c r="D3514" s="4">
        <v>6.50945324568372E-3</v>
      </c>
      <c r="E3514" s="3" t="s">
        <v>14123</v>
      </c>
      <c r="F3514" s="3" t="s">
        <v>14124</v>
      </c>
      <c r="G3514" s="3">
        <v>17973</v>
      </c>
      <c r="H3514" s="7" t="str">
        <f>HYPERLINK("http://www.ensembl.org/Mus_musculus/Gene/Summary?db=core;g=ENSMUSG00000032475","ENSMUSG00000032475")</f>
        <v>ENSMUSG00000032475</v>
      </c>
      <c r="I3514" s="7" t="str">
        <f>HYPERLINK("http://www.informatics.jax.org/marker/MGI:109601","MGI:109601")</f>
        <v>MGI:109601</v>
      </c>
      <c r="J3514" s="4" t="s">
        <v>12</v>
      </c>
    </row>
    <row r="3515" spans="1:10" x14ac:dyDescent="0.25">
      <c r="A3515" s="2">
        <v>1876.1199328318201</v>
      </c>
      <c r="B3515" s="3">
        <v>0.27640530120519202</v>
      </c>
      <c r="C3515" s="5">
        <v>1.8950704761176001E-7</v>
      </c>
      <c r="D3515" s="6">
        <v>8.4073767804362203E-7</v>
      </c>
      <c r="E3515" s="3" t="s">
        <v>8907</v>
      </c>
      <c r="F3515" s="3" t="s">
        <v>8908</v>
      </c>
      <c r="G3515" s="3">
        <v>18475</v>
      </c>
      <c r="H3515" s="7" t="str">
        <f>HYPERLINK("http://www.ensembl.org/Mus_musculus/Gene/Summary?db=core;g=ENSMUSG00000003131","ENSMUSG00000003131")</f>
        <v>ENSMUSG00000003131</v>
      </c>
      <c r="I3515" s="7" t="str">
        <f>HYPERLINK("http://www.informatics.jax.org/marker/MGI:108415","MGI:108415")</f>
        <v>MGI:108415</v>
      </c>
      <c r="J3515" s="4" t="s">
        <v>12</v>
      </c>
    </row>
    <row r="3516" spans="1:10" x14ac:dyDescent="0.25">
      <c r="A3516" s="2">
        <v>151.555789435836</v>
      </c>
      <c r="B3516" s="3">
        <v>0.27623925331177901</v>
      </c>
      <c r="C3516" s="3">
        <v>5.4948497291322099E-3</v>
      </c>
      <c r="D3516" s="4">
        <v>1.44170352126779E-2</v>
      </c>
      <c r="E3516" s="3" t="s">
        <v>15036</v>
      </c>
      <c r="F3516" s="3" t="s">
        <v>15037</v>
      </c>
      <c r="G3516" s="3">
        <v>69713</v>
      </c>
      <c r="H3516" s="7" t="str">
        <f>HYPERLINK("http://www.ensembl.org/Mus_musculus/Gene/Summary?db=core;g=ENSMUSG00000079480","ENSMUSG00000079480")</f>
        <v>ENSMUSG00000079480</v>
      </c>
      <c r="I3516" s="7" t="str">
        <f>HYPERLINK("http://www.informatics.jax.org/marker/MGI:1916963","MGI:1916963")</f>
        <v>MGI:1916963</v>
      </c>
      <c r="J3516" s="4" t="s">
        <v>12</v>
      </c>
    </row>
    <row r="3517" spans="1:10" x14ac:dyDescent="0.25">
      <c r="A3517" s="2">
        <v>2091.41713043359</v>
      </c>
      <c r="B3517" s="3">
        <v>0.27622854861914597</v>
      </c>
      <c r="C3517" s="3">
        <v>4.2415105323166799E-3</v>
      </c>
      <c r="D3517" s="4">
        <v>1.13660263211421E-2</v>
      </c>
      <c r="E3517" s="3" t="s">
        <v>14722</v>
      </c>
      <c r="F3517" s="3" t="s">
        <v>14723</v>
      </c>
      <c r="G3517" s="3" t="s">
        <v>83</v>
      </c>
      <c r="H3517" s="7" t="str">
        <f>HYPERLINK("http://www.ensembl.org/Mus_musculus/Gene/Summary?db=core;g=ENSMUSG00000053332","ENSMUSG00000053332")</f>
        <v>ENSMUSG00000053332</v>
      </c>
      <c r="I3517" s="7" t="str">
        <f>HYPERLINK("http://www.informatics.jax.org/marker/MGI:95659","MGI:95659")</f>
        <v>MGI:95659</v>
      </c>
      <c r="J3517" s="4" t="s">
        <v>331</v>
      </c>
    </row>
    <row r="3518" spans="1:10" x14ac:dyDescent="0.25">
      <c r="A3518" s="2">
        <v>531.75311187093405</v>
      </c>
      <c r="B3518" s="3">
        <v>0.27613585775281602</v>
      </c>
      <c r="C3518" s="3">
        <v>7.8402979651146095E-4</v>
      </c>
      <c r="D3518" s="4">
        <v>2.3486355137788302E-3</v>
      </c>
      <c r="E3518" s="3" t="s">
        <v>13175</v>
      </c>
      <c r="F3518" s="3" t="s">
        <v>13176</v>
      </c>
      <c r="G3518" s="3">
        <v>68524</v>
      </c>
      <c r="H3518" s="7" t="str">
        <f>HYPERLINK("http://www.ensembl.org/Mus_musculus/Gene/Summary?db=core;g=ENSMUSG00000038013","ENSMUSG00000038013")</f>
        <v>ENSMUSG00000038013</v>
      </c>
      <c r="I3518" s="7" t="str">
        <f>HYPERLINK("http://www.informatics.jax.org/marker/MGI:1924462","MGI:1924462")</f>
        <v>MGI:1924462</v>
      </c>
      <c r="J3518" s="4" t="s">
        <v>12</v>
      </c>
    </row>
    <row r="3519" spans="1:10" x14ac:dyDescent="0.25">
      <c r="A3519" s="2">
        <v>2318.3629495137802</v>
      </c>
      <c r="B3519" s="3">
        <v>0.27604620048892697</v>
      </c>
      <c r="C3519" s="5">
        <v>2.22857572411147E-5</v>
      </c>
      <c r="D3519" s="6">
        <v>8.0652437657328103E-5</v>
      </c>
      <c r="E3519" s="3" t="s">
        <v>10910</v>
      </c>
      <c r="F3519" s="3" t="s">
        <v>10911</v>
      </c>
      <c r="G3519" s="3">
        <v>67838</v>
      </c>
      <c r="H3519" s="7" t="str">
        <f>HYPERLINK("http://www.ensembl.org/Mus_musculus/Gene/Summary?db=core;g=ENSMUSG00000004460","ENSMUSG00000004460")</f>
        <v>ENSMUSG00000004460</v>
      </c>
      <c r="I3519" s="7" t="str">
        <f>HYPERLINK("http://www.informatics.jax.org/marker/MGI:1915088","MGI:1915088")</f>
        <v>MGI:1915088</v>
      </c>
      <c r="J3519" s="4" t="s">
        <v>12</v>
      </c>
    </row>
    <row r="3520" spans="1:10" x14ac:dyDescent="0.25">
      <c r="A3520" s="2">
        <v>1105.11186594839</v>
      </c>
      <c r="B3520" s="3">
        <v>0.276035511095585</v>
      </c>
      <c r="C3520" s="5">
        <v>2.1383713044934799E-7</v>
      </c>
      <c r="D3520" s="6">
        <v>9.4527420140352701E-7</v>
      </c>
      <c r="E3520" s="3" t="s">
        <v>8939</v>
      </c>
      <c r="F3520" s="3" t="s">
        <v>8940</v>
      </c>
      <c r="G3520" s="3">
        <v>66965</v>
      </c>
      <c r="H3520" s="7" t="str">
        <f>HYPERLINK("http://www.ensembl.org/Mus_musculus/Gene/Summary?db=core;g=ENSMUSG00000049482","ENSMUSG00000049482")</f>
        <v>ENSMUSG00000049482</v>
      </c>
      <c r="I3520" s="7" t="str">
        <f>HYPERLINK("http://www.informatics.jax.org/marker/MGI:1914215","MGI:1914215")</f>
        <v>MGI:1914215</v>
      </c>
      <c r="J3520" s="4" t="s">
        <v>12</v>
      </c>
    </row>
    <row r="3521" spans="1:10" x14ac:dyDescent="0.25">
      <c r="A3521" s="2">
        <v>1967.83330421865</v>
      </c>
      <c r="B3521" s="3">
        <v>0.27592441780274601</v>
      </c>
      <c r="C3521" s="5">
        <v>2.3009612554044801E-17</v>
      </c>
      <c r="D3521" s="6">
        <v>2.0033093137561301E-16</v>
      </c>
      <c r="E3521" s="3" t="s">
        <v>4547</v>
      </c>
      <c r="F3521" s="3" t="s">
        <v>4548</v>
      </c>
      <c r="G3521" s="3">
        <v>107951</v>
      </c>
      <c r="H3521" s="7" t="str">
        <f>HYPERLINK("http://www.ensembl.org/Mus_musculus/Gene/Summary?db=core;g=ENSMUSG00000009555","ENSMUSG00000009555")</f>
        <v>ENSMUSG00000009555</v>
      </c>
      <c r="I3521" s="7" t="str">
        <f>HYPERLINK("http://www.informatics.jax.org/marker/MGI:1328368","MGI:1328368")</f>
        <v>MGI:1328368</v>
      </c>
      <c r="J3521" s="4" t="s">
        <v>12</v>
      </c>
    </row>
    <row r="3522" spans="1:10" x14ac:dyDescent="0.25">
      <c r="A3522" s="2">
        <v>579.32500933805102</v>
      </c>
      <c r="B3522" s="3">
        <v>0.27579658386059802</v>
      </c>
      <c r="C3522" s="5">
        <v>1.3261110008216601E-6</v>
      </c>
      <c r="D3522" s="6">
        <v>5.4173419567955104E-6</v>
      </c>
      <c r="E3522" s="3" t="s">
        <v>9669</v>
      </c>
      <c r="F3522" s="3" t="s">
        <v>9670</v>
      </c>
      <c r="G3522" s="3">
        <v>52715</v>
      </c>
      <c r="H3522" s="7" t="str">
        <f>HYPERLINK("http://www.ensembl.org/Mus_musculus/Gene/Summary?db=core;g=ENSMUSG00000020925","ENSMUSG00000020925")</f>
        <v>ENSMUSG00000020925</v>
      </c>
      <c r="I3522" s="7" t="str">
        <f>HYPERLINK("http://www.informatics.jax.org/marker/MGI:1289318","MGI:1289318")</f>
        <v>MGI:1289318</v>
      </c>
      <c r="J3522" s="4" t="s">
        <v>12</v>
      </c>
    </row>
    <row r="3523" spans="1:10" x14ac:dyDescent="0.25">
      <c r="A3523" s="2">
        <v>2451.2485709551902</v>
      </c>
      <c r="B3523" s="3">
        <v>0.27558161749146298</v>
      </c>
      <c r="C3523" s="5">
        <v>3.1006195342526498E-5</v>
      </c>
      <c r="D3523" s="4">
        <v>1.10488285535711E-4</v>
      </c>
      <c r="E3523" s="3" t="s">
        <v>11080</v>
      </c>
      <c r="F3523" s="3" t="s">
        <v>11081</v>
      </c>
      <c r="G3523" s="3">
        <v>213673</v>
      </c>
      <c r="H3523" s="7" t="str">
        <f>HYPERLINK("http://www.ensembl.org/Mus_musculus/Gene/Summary?db=core;g=ENSMUSG00000036275","ENSMUSG00000036275")</f>
        <v>ENSMUSG00000036275</v>
      </c>
      <c r="I3523" s="7" t="str">
        <f>HYPERLINK("http://www.informatics.jax.org/marker/MGI:2654705","MGI:2654705")</f>
        <v>MGI:2654705</v>
      </c>
      <c r="J3523" s="4" t="s">
        <v>12</v>
      </c>
    </row>
    <row r="3524" spans="1:10" x14ac:dyDescent="0.25">
      <c r="A3524" s="2">
        <v>373.03881264245098</v>
      </c>
      <c r="B3524" s="3">
        <v>0.27535523239898702</v>
      </c>
      <c r="C3524" s="3">
        <v>1.4416915332636799E-4</v>
      </c>
      <c r="D3524" s="4">
        <v>4.7661621183503201E-4</v>
      </c>
      <c r="E3524" s="3" t="s">
        <v>11941</v>
      </c>
      <c r="F3524" s="3" t="s">
        <v>11942</v>
      </c>
      <c r="G3524" s="3">
        <v>280668</v>
      </c>
      <c r="H3524" s="7" t="str">
        <f>HYPERLINK("http://www.ensembl.org/Mus_musculus/Gene/Summary?db=core;g=ENSMUSG00000072647","ENSMUSG00000072647")</f>
        <v>ENSMUSG00000072647</v>
      </c>
      <c r="I3524" s="7" t="str">
        <f>HYPERLINK("http://www.informatics.jax.org/marker/MGI:2429504","MGI:2429504")</f>
        <v>MGI:2429504</v>
      </c>
      <c r="J3524" s="4" t="s">
        <v>12</v>
      </c>
    </row>
    <row r="3525" spans="1:10" x14ac:dyDescent="0.25">
      <c r="A3525" s="2">
        <v>9184.6740068703202</v>
      </c>
      <c r="B3525" s="3">
        <v>0.275139153166511</v>
      </c>
      <c r="C3525" s="5">
        <v>3.8052598161810203E-11</v>
      </c>
      <c r="D3525" s="6">
        <v>2.2857058658266699E-10</v>
      </c>
      <c r="E3525" s="3" t="s">
        <v>6583</v>
      </c>
      <c r="F3525" s="3" t="s">
        <v>6584</v>
      </c>
      <c r="G3525" s="3">
        <v>28114</v>
      </c>
      <c r="H3525" s="7" t="str">
        <f>HYPERLINK("http://www.ensembl.org/Mus_musculus/Gene/Summary?db=core;g=ENSMUSG00000021595","ENSMUSG00000021595")</f>
        <v>ENSMUSG00000021595</v>
      </c>
      <c r="I3525" s="7" t="str">
        <f>HYPERLINK("http://www.informatics.jax.org/marker/MGI:107252","MGI:107252")</f>
        <v>MGI:107252</v>
      </c>
      <c r="J3525" s="4" t="s">
        <v>12</v>
      </c>
    </row>
    <row r="3526" spans="1:10" x14ac:dyDescent="0.25">
      <c r="A3526" s="2">
        <v>2492.35527940047</v>
      </c>
      <c r="B3526" s="3">
        <v>0.275065280050387</v>
      </c>
      <c r="C3526" s="5">
        <v>3.6146885983570303E-8</v>
      </c>
      <c r="D3526" s="6">
        <v>1.7004212585782601E-7</v>
      </c>
      <c r="E3526" s="3" t="s">
        <v>8401</v>
      </c>
      <c r="F3526" s="3" t="s">
        <v>8402</v>
      </c>
      <c r="G3526" s="3">
        <v>269966</v>
      </c>
      <c r="H3526" s="7" t="str">
        <f>HYPERLINK("http://www.ensembl.org/Mus_musculus/Gene/Summary?db=core;g=ENSMUSG00000063550","ENSMUSG00000063550")</f>
        <v>ENSMUSG00000063550</v>
      </c>
      <c r="I3526" s="7" t="str">
        <f>HYPERLINK("http://www.informatics.jax.org/marker/MGI:109404","MGI:109404")</f>
        <v>MGI:109404</v>
      </c>
      <c r="J3526" s="4" t="s">
        <v>12</v>
      </c>
    </row>
    <row r="3527" spans="1:10" x14ac:dyDescent="0.25">
      <c r="A3527" s="2">
        <v>2226.2174732016101</v>
      </c>
      <c r="B3527" s="3">
        <v>0.27478791296373301</v>
      </c>
      <c r="C3527" s="5">
        <v>1.28955194323154E-5</v>
      </c>
      <c r="D3527" s="6">
        <v>4.7809671593393503E-5</v>
      </c>
      <c r="E3527" s="3" t="s">
        <v>10648</v>
      </c>
      <c r="F3527" s="3" t="s">
        <v>10649</v>
      </c>
      <c r="G3527" s="3">
        <v>19703</v>
      </c>
      <c r="H3527" s="7" t="str">
        <f>HYPERLINK("http://www.ensembl.org/Mus_musculus/Gene/Summary?db=core;g=ENSMUSG00000031387","ENSMUSG00000031387")</f>
        <v>ENSMUSG00000031387</v>
      </c>
      <c r="I3527" s="7" t="str">
        <f>HYPERLINK("http://www.informatics.jax.org/marker/MGI:105940","MGI:105940")</f>
        <v>MGI:105940</v>
      </c>
      <c r="J3527" s="4" t="s">
        <v>12</v>
      </c>
    </row>
    <row r="3528" spans="1:10" x14ac:dyDescent="0.25">
      <c r="A3528" s="2">
        <v>1323.3932703092701</v>
      </c>
      <c r="B3528" s="3">
        <v>0.27476672500388399</v>
      </c>
      <c r="C3528" s="5">
        <v>5.74901428312219E-5</v>
      </c>
      <c r="D3528" s="4">
        <v>1.9903539617831701E-4</v>
      </c>
      <c r="E3528" s="3" t="s">
        <v>11403</v>
      </c>
      <c r="F3528" s="3" t="s">
        <v>11404</v>
      </c>
      <c r="G3528" s="3">
        <v>627352</v>
      </c>
      <c r="H3528" s="7" t="str">
        <f>HYPERLINK("http://www.ensembl.org/Mus_musculus/Gene/Summary?db=core;g=ENSMUSG00000062270","ENSMUSG00000062270")</f>
        <v>ENSMUSG00000062270</v>
      </c>
      <c r="I3528" s="7" t="str">
        <f>HYPERLINK("http://www.informatics.jax.org/marker/MGI:1096551","MGI:1096551")</f>
        <v>MGI:1096551</v>
      </c>
      <c r="J3528" s="4" t="s">
        <v>12</v>
      </c>
    </row>
    <row r="3529" spans="1:10" x14ac:dyDescent="0.25">
      <c r="A3529" s="2">
        <v>588.33664181338304</v>
      </c>
      <c r="B3529" s="3">
        <v>0.27470262168350401</v>
      </c>
      <c r="C3529" s="5">
        <v>4.4632494443820098E-5</v>
      </c>
      <c r="D3529" s="4">
        <v>1.56249385839186E-4</v>
      </c>
      <c r="E3529" s="3" t="s">
        <v>11277</v>
      </c>
      <c r="F3529" s="3" t="s">
        <v>11278</v>
      </c>
      <c r="G3529" s="3">
        <v>67778</v>
      </c>
      <c r="H3529" s="7" t="str">
        <f>HYPERLINK("http://www.ensembl.org/Mus_musculus/Gene/Summary?db=core;g=ENSMUSG00000027667","ENSMUSG00000027667")</f>
        <v>ENSMUSG00000027667</v>
      </c>
      <c r="I3529" s="7" t="str">
        <f>HYPERLINK("http://www.informatics.jax.org/marker/MGI:1915028","MGI:1915028")</f>
        <v>MGI:1915028</v>
      </c>
      <c r="J3529" s="4" t="s">
        <v>12</v>
      </c>
    </row>
    <row r="3530" spans="1:10" x14ac:dyDescent="0.25">
      <c r="A3530" s="2">
        <v>2615.3836793820801</v>
      </c>
      <c r="B3530" s="3">
        <v>0.27446213555937199</v>
      </c>
      <c r="C3530" s="5">
        <v>2.8536345455707599E-8</v>
      </c>
      <c r="D3530" s="6">
        <v>1.35730036755078E-7</v>
      </c>
      <c r="E3530" s="3" t="s">
        <v>8309</v>
      </c>
      <c r="F3530" s="3" t="s">
        <v>8310</v>
      </c>
      <c r="G3530" s="3">
        <v>114896</v>
      </c>
      <c r="H3530" s="7" t="str">
        <f>HYPERLINK("http://www.ensembl.org/Mus_musculus/Gene/Summary?db=core;g=ENSMUSG00000031967","ENSMUSG00000031967")</f>
        <v>ENSMUSG00000031967</v>
      </c>
      <c r="I3530" s="7" t="str">
        <f>HYPERLINK("http://www.informatics.jax.org/marker/MGI:1928277","MGI:1928277")</f>
        <v>MGI:1928277</v>
      </c>
      <c r="J3530" s="4" t="s">
        <v>12</v>
      </c>
    </row>
    <row r="3531" spans="1:10" x14ac:dyDescent="0.25">
      <c r="A3531" s="2">
        <v>2791.8877546158801</v>
      </c>
      <c r="B3531" s="3">
        <v>0.27444547420676202</v>
      </c>
      <c r="C3531" s="5">
        <v>1.74134479384862E-8</v>
      </c>
      <c r="D3531" s="6">
        <v>8.4454794231910399E-8</v>
      </c>
      <c r="E3531" s="3" t="s">
        <v>8149</v>
      </c>
      <c r="F3531" s="3" t="s">
        <v>8150</v>
      </c>
      <c r="G3531" s="3">
        <v>21379</v>
      </c>
      <c r="H3531" s="7" t="str">
        <f>HYPERLINK("http://www.ensembl.org/Mus_musculus/Gene/Summary?db=core;g=ENSMUSG00000000384","ENSMUSG00000000384")</f>
        <v>ENSMUSG00000000384</v>
      </c>
      <c r="I3531" s="7" t="str">
        <f>HYPERLINK("http://www.informatics.jax.org/marker/MGI:1100868","MGI:1100868")</f>
        <v>MGI:1100868</v>
      </c>
      <c r="J3531" s="4" t="s">
        <v>12</v>
      </c>
    </row>
    <row r="3532" spans="1:10" x14ac:dyDescent="0.25">
      <c r="A3532" s="2">
        <v>1661.2379804785101</v>
      </c>
      <c r="B3532" s="3">
        <v>0.27438128572892301</v>
      </c>
      <c r="C3532" s="5">
        <v>1.0844998874741501E-6</v>
      </c>
      <c r="D3532" s="6">
        <v>4.4694540817116397E-6</v>
      </c>
      <c r="E3532" s="3" t="s">
        <v>9585</v>
      </c>
      <c r="F3532" s="3" t="s">
        <v>9586</v>
      </c>
      <c r="G3532" s="3">
        <v>59022</v>
      </c>
      <c r="H3532" s="7" t="str">
        <f>HYPERLINK("http://www.ensembl.org/Mus_musculus/Gene/Summary?db=core;g=ENSMUSG00000015092","ENSMUSG00000015092")</f>
        <v>ENSMUSG00000015092</v>
      </c>
      <c r="I3532" s="7" t="str">
        <f>HYPERLINK("http://www.informatics.jax.org/marker/MGI:1891227","MGI:1891227")</f>
        <v>MGI:1891227</v>
      </c>
      <c r="J3532" s="4" t="s">
        <v>12</v>
      </c>
    </row>
    <row r="3533" spans="1:10" x14ac:dyDescent="0.25">
      <c r="A3533" s="2">
        <v>1264.92237477051</v>
      </c>
      <c r="B3533" s="3">
        <v>0.27436453446091802</v>
      </c>
      <c r="C3533" s="3">
        <v>6.0906350866293704E-4</v>
      </c>
      <c r="D3533" s="4">
        <v>1.85350808500511E-3</v>
      </c>
      <c r="E3533" s="3" t="s">
        <v>12969</v>
      </c>
      <c r="F3533" s="3" t="s">
        <v>12970</v>
      </c>
      <c r="G3533" s="3">
        <v>668661</v>
      </c>
      <c r="H3533" s="7" t="str">
        <f>HYPERLINK("http://www.ensembl.org/Mus_musculus/Gene/Summary?db=core;g=ENSMUSG00000045411","ENSMUSG00000045411")</f>
        <v>ENSMUSG00000045411</v>
      </c>
      <c r="I3533" s="7" t="str">
        <f>HYPERLINK("http://www.informatics.jax.org/marker/MGI:1914226","MGI:1914226")</f>
        <v>MGI:1914226</v>
      </c>
      <c r="J3533" s="4" t="s">
        <v>12</v>
      </c>
    </row>
    <row r="3534" spans="1:10" x14ac:dyDescent="0.25">
      <c r="A3534" s="2">
        <v>375.41958467591502</v>
      </c>
      <c r="B3534" s="3">
        <v>0.27435943012675101</v>
      </c>
      <c r="C3534" s="3">
        <v>3.2230494407541098E-4</v>
      </c>
      <c r="D3534" s="4">
        <v>1.0172620834134299E-3</v>
      </c>
      <c r="E3534" s="3" t="s">
        <v>12509</v>
      </c>
      <c r="F3534" s="3" t="s">
        <v>12510</v>
      </c>
      <c r="G3534" s="3">
        <v>381045</v>
      </c>
      <c r="H3534" s="7" t="str">
        <f>HYPERLINK("http://www.ensembl.org/Mus_musculus/Gene/Summary?db=core;g=ENSMUSG00000075229","ENSMUSG00000075229")</f>
        <v>ENSMUSG00000075229</v>
      </c>
      <c r="I3534" s="7" t="str">
        <f>HYPERLINK("http://www.informatics.jax.org/marker/MGI:2146423","MGI:2146423")</f>
        <v>MGI:2146423</v>
      </c>
      <c r="J3534" s="4" t="s">
        <v>12</v>
      </c>
    </row>
    <row r="3535" spans="1:10" x14ac:dyDescent="0.25">
      <c r="A3535" s="2">
        <v>859.08901302768402</v>
      </c>
      <c r="B3535" s="3">
        <v>0.274346402086592</v>
      </c>
      <c r="C3535" s="3">
        <v>1.1150412219932401E-4</v>
      </c>
      <c r="D3535" s="4">
        <v>3.7389241451635198E-4</v>
      </c>
      <c r="E3535" s="3" t="s">
        <v>11773</v>
      </c>
      <c r="F3535" s="3" t="s">
        <v>11774</v>
      </c>
      <c r="G3535" s="3">
        <v>74343</v>
      </c>
      <c r="H3535" s="7" t="str">
        <f>HYPERLINK("http://www.ensembl.org/Mus_musculus/Gene/Summary?db=core;g=ENSMUSG00000027936","ENSMUSG00000027936")</f>
        <v>ENSMUSG00000027936</v>
      </c>
      <c r="I3535" s="7" t="str">
        <f>HYPERLINK("http://www.informatics.jax.org/marker/MGI:1921593","MGI:1921593")</f>
        <v>MGI:1921593</v>
      </c>
      <c r="J3535" s="4" t="s">
        <v>12</v>
      </c>
    </row>
    <row r="3536" spans="1:10" x14ac:dyDescent="0.25">
      <c r="A3536" s="2">
        <v>3775.7438815581399</v>
      </c>
      <c r="B3536" s="3">
        <v>0.274226396614552</v>
      </c>
      <c r="C3536" s="3">
        <v>4.4199558250339601E-3</v>
      </c>
      <c r="D3536" s="4">
        <v>1.18009110302829E-2</v>
      </c>
      <c r="E3536" s="3" t="s">
        <v>14776</v>
      </c>
      <c r="F3536" s="3" t="s">
        <v>14777</v>
      </c>
      <c r="G3536" s="3">
        <v>67972</v>
      </c>
      <c r="H3536" s="7" t="str">
        <f>HYPERLINK("http://www.ensembl.org/Mus_musculus/Gene/Summary?db=core;g=ENSMUSG00000019943","ENSMUSG00000019943")</f>
        <v>ENSMUSG00000019943</v>
      </c>
      <c r="I3536" s="7" t="str">
        <f>HYPERLINK("http://www.informatics.jax.org/marker/MGI:104653","MGI:104653")</f>
        <v>MGI:104653</v>
      </c>
      <c r="J3536" s="4" t="s">
        <v>12</v>
      </c>
    </row>
    <row r="3537" spans="1:10" x14ac:dyDescent="0.25">
      <c r="A3537" s="2">
        <v>2190.05489608571</v>
      </c>
      <c r="B3537" s="3">
        <v>0.27402544186591299</v>
      </c>
      <c r="C3537" s="5">
        <v>2.2489835265078399E-9</v>
      </c>
      <c r="D3537" s="6">
        <v>1.17296892734024E-8</v>
      </c>
      <c r="E3537" s="3" t="s">
        <v>7580</v>
      </c>
      <c r="F3537" s="3" t="s">
        <v>7581</v>
      </c>
      <c r="G3537" s="3">
        <v>67683</v>
      </c>
      <c r="H3537" s="7" t="str">
        <f>HYPERLINK("http://www.ensembl.org/Mus_musculus/Gene/Summary?db=core;g=ENSMUSG00000031226","ENSMUSG00000031226")</f>
        <v>ENSMUSG00000031226</v>
      </c>
      <c r="I3537" s="7" t="str">
        <f>HYPERLINK("http://www.informatics.jax.org/marker/MGI:1914933","MGI:1914933")</f>
        <v>MGI:1914933</v>
      </c>
      <c r="J3537" s="4" t="s">
        <v>12</v>
      </c>
    </row>
    <row r="3538" spans="1:10" x14ac:dyDescent="0.25">
      <c r="A3538" s="2">
        <v>3968.13714343931</v>
      </c>
      <c r="B3538" s="3">
        <v>0.27378110536499101</v>
      </c>
      <c r="C3538" s="5">
        <v>4.0310515590321498E-8</v>
      </c>
      <c r="D3538" s="6">
        <v>1.8859391872862099E-7</v>
      </c>
      <c r="E3538" s="3" t="s">
        <v>8447</v>
      </c>
      <c r="F3538" s="3" t="s">
        <v>8448</v>
      </c>
      <c r="G3538" s="3">
        <v>67039</v>
      </c>
      <c r="H3538" s="7" t="str">
        <f>HYPERLINK("http://www.ensembl.org/Mus_musculus/Gene/Summary?db=core;g=ENSMUSG00000010608","ENSMUSG00000010608")</f>
        <v>ENSMUSG00000010608</v>
      </c>
      <c r="I3538" s="7" t="str">
        <f>HYPERLINK("http://www.informatics.jax.org/marker/MGI:1914289","MGI:1914289")</f>
        <v>MGI:1914289</v>
      </c>
      <c r="J3538" s="4" t="s">
        <v>12</v>
      </c>
    </row>
    <row r="3539" spans="1:10" x14ac:dyDescent="0.25">
      <c r="A3539" s="2">
        <v>412.55547701039399</v>
      </c>
      <c r="B3539" s="3">
        <v>0.27356351936767198</v>
      </c>
      <c r="C3539" s="3">
        <v>1.3359516053483701E-3</v>
      </c>
      <c r="D3539" s="4">
        <v>3.8668671154366298E-3</v>
      </c>
      <c r="E3539" s="3" t="s">
        <v>13635</v>
      </c>
      <c r="F3539" s="3" t="s">
        <v>13636</v>
      </c>
      <c r="G3539" s="3">
        <v>24068</v>
      </c>
      <c r="H3539" s="7" t="str">
        <f>HYPERLINK("http://www.ensembl.org/Mus_musculus/Gene/Summary?db=core;g=ENSMUSG00000006050","ENSMUSG00000006050")</f>
        <v>ENSMUSG00000006050</v>
      </c>
      <c r="I3539" s="7" t="str">
        <f>HYPERLINK("http://www.informatics.jax.org/marker/MGI:1344414","MGI:1344414")</f>
        <v>MGI:1344414</v>
      </c>
      <c r="J3539" s="4" t="s">
        <v>12</v>
      </c>
    </row>
    <row r="3540" spans="1:10" x14ac:dyDescent="0.25">
      <c r="A3540" s="2">
        <v>1033.16569909746</v>
      </c>
      <c r="B3540" s="3">
        <v>0.273354404894111</v>
      </c>
      <c r="C3540" s="5">
        <v>4.00367068895854E-7</v>
      </c>
      <c r="D3540" s="6">
        <v>1.7249811227061899E-6</v>
      </c>
      <c r="E3540" s="3" t="s">
        <v>9169</v>
      </c>
      <c r="F3540" s="3" t="s">
        <v>9170</v>
      </c>
      <c r="G3540" s="3">
        <v>71974</v>
      </c>
      <c r="H3540" s="7" t="str">
        <f>HYPERLINK("http://www.ensembl.org/Mus_musculus/Gene/Summary?db=core;g=ENSMUSG00000030505","ENSMUSG00000030505")</f>
        <v>ENSMUSG00000030505</v>
      </c>
      <c r="I3540" s="7" t="str">
        <f>HYPERLINK("http://www.informatics.jax.org/marker/MGI:1919224","MGI:1919224")</f>
        <v>MGI:1919224</v>
      </c>
      <c r="J3540" s="4" t="s">
        <v>12</v>
      </c>
    </row>
    <row r="3541" spans="1:10" x14ac:dyDescent="0.25">
      <c r="A3541" s="2">
        <v>401.77938500009498</v>
      </c>
      <c r="B3541" s="3">
        <v>0.27326126105016002</v>
      </c>
      <c r="C3541" s="3">
        <v>5.79933108608751E-3</v>
      </c>
      <c r="D3541" s="4">
        <v>1.5135363819169601E-2</v>
      </c>
      <c r="E3541" s="3" t="s">
        <v>15116</v>
      </c>
      <c r="F3541" s="3" t="s">
        <v>15117</v>
      </c>
      <c r="G3541" s="3">
        <v>99334</v>
      </c>
      <c r="H3541" s="7" t="str">
        <f>HYPERLINK("http://www.ensembl.org/Mus_musculus/Gene/Summary?db=core;g=ENSMUSG00000050619","ENSMUSG00000050619")</f>
        <v>ENSMUSG00000050619</v>
      </c>
      <c r="I3541" s="7" t="str">
        <f>HYPERLINK("http://www.informatics.jax.org/marker/MGI:2139317","MGI:2139317")</f>
        <v>MGI:2139317</v>
      </c>
      <c r="J3541" s="4" t="s">
        <v>12</v>
      </c>
    </row>
    <row r="3542" spans="1:10" x14ac:dyDescent="0.25">
      <c r="A3542" s="2">
        <v>5505.3327982669698</v>
      </c>
      <c r="B3542" s="3">
        <v>0.27308525629029301</v>
      </c>
      <c r="C3542" s="5">
        <v>8.2732690221101699E-6</v>
      </c>
      <c r="D3542" s="6">
        <v>3.12905379969338E-5</v>
      </c>
      <c r="E3542" s="3" t="s">
        <v>10442</v>
      </c>
      <c r="F3542" s="3" t="s">
        <v>10443</v>
      </c>
      <c r="G3542" s="3">
        <v>19291</v>
      </c>
      <c r="H3542" s="7" t="str">
        <f>HYPERLINK("http://www.ensembl.org/Mus_musculus/Gene/Summary?db=core;g=ENSMUSG00000094483","ENSMUSG00000094483")</f>
        <v>ENSMUSG00000094483</v>
      </c>
      <c r="I3542" s="7" t="str">
        <f>HYPERLINK("http://www.informatics.jax.org/marker/MGI:1338779","MGI:1338779")</f>
        <v>MGI:1338779</v>
      </c>
      <c r="J3542" s="4" t="s">
        <v>12</v>
      </c>
    </row>
    <row r="3543" spans="1:10" x14ac:dyDescent="0.25">
      <c r="A3543" s="2">
        <v>330.800868969639</v>
      </c>
      <c r="B3543" s="3">
        <v>0.27287860971801298</v>
      </c>
      <c r="C3543" s="3">
        <v>3.7867440419491502E-3</v>
      </c>
      <c r="D3543" s="4">
        <v>1.02350044554876E-2</v>
      </c>
      <c r="E3543" s="3" t="s">
        <v>14595</v>
      </c>
      <c r="F3543" s="3" t="s">
        <v>14596</v>
      </c>
      <c r="G3543" s="3">
        <v>26377</v>
      </c>
      <c r="H3543" s="7" t="str">
        <f>HYPERLINK("http://www.ensembl.org/Mus_musculus/Gene/Summary?db=core;g=ENSMUSG00000028159","ENSMUSG00000028159")</f>
        <v>ENSMUSG00000028159</v>
      </c>
      <c r="I3543" s="7" t="str">
        <f>HYPERLINK("http://www.informatics.jax.org/marker/MGI:1347063","MGI:1347063")</f>
        <v>MGI:1347063</v>
      </c>
      <c r="J3543" s="4" t="s">
        <v>12</v>
      </c>
    </row>
    <row r="3544" spans="1:10" x14ac:dyDescent="0.25">
      <c r="A3544" s="2">
        <v>294.82829839724002</v>
      </c>
      <c r="B3544" s="3">
        <v>0.272874378628158</v>
      </c>
      <c r="C3544" s="3">
        <v>1.6836653446222202E-2</v>
      </c>
      <c r="D3544" s="4">
        <v>3.9954128274308297E-2</v>
      </c>
      <c r="E3544" s="3" t="s">
        <v>16624</v>
      </c>
      <c r="F3544" s="3" t="s">
        <v>16625</v>
      </c>
      <c r="G3544" s="3">
        <v>69922</v>
      </c>
      <c r="H3544" s="7" t="str">
        <f>HYPERLINK("http://www.ensembl.org/Mus_musculus/Gene/Summary?db=core;g=ENSMUSG00000064090","ENSMUSG00000064090")</f>
        <v>ENSMUSG00000064090</v>
      </c>
      <c r="I3544" s="7" t="str">
        <f>HYPERLINK("http://www.informatics.jax.org/marker/MGI:1917172","MGI:1917172")</f>
        <v>MGI:1917172</v>
      </c>
      <c r="J3544" s="4" t="s">
        <v>12</v>
      </c>
    </row>
    <row r="3545" spans="1:10" x14ac:dyDescent="0.25">
      <c r="A3545" s="2">
        <v>274.90167952079298</v>
      </c>
      <c r="B3545" s="3">
        <v>0.27280382329757602</v>
      </c>
      <c r="C3545" s="3">
        <v>3.8877850090406199E-4</v>
      </c>
      <c r="D3545" s="4">
        <v>1.2134713576809301E-3</v>
      </c>
      <c r="E3545" s="3" t="s">
        <v>12649</v>
      </c>
      <c r="F3545" s="3" t="s">
        <v>12650</v>
      </c>
      <c r="G3545" s="3">
        <v>212090</v>
      </c>
      <c r="H3545" s="7" t="str">
        <f>HYPERLINK("http://www.ensembl.org/Mus_musculus/Gene/Summary?db=core;g=ENSMUSG00000045435","ENSMUSG00000045435")</f>
        <v>ENSMUSG00000045435</v>
      </c>
      <c r="I3545" s="7" t="str">
        <f>HYPERLINK("http://www.informatics.jax.org/marker/MGI:2673965","MGI:2673965")</f>
        <v>MGI:2673965</v>
      </c>
      <c r="J3545" s="4" t="s">
        <v>12</v>
      </c>
    </row>
    <row r="3546" spans="1:10" x14ac:dyDescent="0.25">
      <c r="A3546" s="2">
        <v>4087.9129972771402</v>
      </c>
      <c r="B3546" s="3">
        <v>0.27279767982411401</v>
      </c>
      <c r="C3546" s="3">
        <v>2.9065456171200102E-4</v>
      </c>
      <c r="D3546" s="4">
        <v>9.2283174319121998E-4</v>
      </c>
      <c r="E3546" s="3" t="s">
        <v>12435</v>
      </c>
      <c r="F3546" s="3" t="s">
        <v>12436</v>
      </c>
      <c r="G3546" s="3">
        <v>14109</v>
      </c>
      <c r="H3546" s="7" t="str">
        <f>HYPERLINK("http://www.ensembl.org/Mus_musculus/Gene/Summary?db=core;g=ENSMUSG00000038274","ENSMUSG00000038274")</f>
        <v>ENSMUSG00000038274</v>
      </c>
      <c r="I3546" s="7" t="str">
        <f>HYPERLINK("http://www.informatics.jax.org/marker/MGI:102547","MGI:102547")</f>
        <v>MGI:102547</v>
      </c>
      <c r="J3546" s="4" t="s">
        <v>12</v>
      </c>
    </row>
    <row r="3547" spans="1:10" x14ac:dyDescent="0.25">
      <c r="A3547" s="2">
        <v>12841.761510238701</v>
      </c>
      <c r="B3547" s="3">
        <v>0.27261504907995299</v>
      </c>
      <c r="C3547" s="5">
        <v>5.7876466909400499E-5</v>
      </c>
      <c r="D3547" s="4">
        <v>2.0030254957061701E-4</v>
      </c>
      <c r="E3547" s="3" t="s">
        <v>11407</v>
      </c>
      <c r="F3547" s="3" t="s">
        <v>11408</v>
      </c>
      <c r="G3547" s="3">
        <v>27176</v>
      </c>
      <c r="H3547" s="7" t="str">
        <f>HYPERLINK("http://www.ensembl.org/Mus_musculus/Gene/Summary?db=core;g=ENSMUSG00000062647","ENSMUSG00000062647")</f>
        <v>ENSMUSG00000062647</v>
      </c>
      <c r="I3547" s="7" t="str">
        <f>HYPERLINK("http://www.informatics.jax.org/marker/MGI:1353472","MGI:1353472")</f>
        <v>MGI:1353472</v>
      </c>
      <c r="J3547" s="4" t="s">
        <v>12</v>
      </c>
    </row>
    <row r="3548" spans="1:10" x14ac:dyDescent="0.25">
      <c r="A3548" s="2">
        <v>527.83693015200197</v>
      </c>
      <c r="B3548" s="3">
        <v>0.27189506345033898</v>
      </c>
      <c r="C3548" s="3">
        <v>5.5471750883047703E-3</v>
      </c>
      <c r="D3548" s="4">
        <v>1.45465814815652E-2</v>
      </c>
      <c r="E3548" s="3" t="s">
        <v>15042</v>
      </c>
      <c r="F3548" s="3" t="s">
        <v>15043</v>
      </c>
      <c r="G3548" s="3">
        <v>106952</v>
      </c>
      <c r="H3548" s="7" t="str">
        <f>HYPERLINK("http://www.ensembl.org/Mus_musculus/Gene/Summary?db=core;g=ENSMUSG00000024451","ENSMUSG00000024451")</f>
        <v>ENSMUSG00000024451</v>
      </c>
      <c r="I3548" s="7" t="str">
        <f>HYPERLINK("http://www.informatics.jax.org/marker/MGI:2147274","MGI:2147274")</f>
        <v>MGI:2147274</v>
      </c>
      <c r="J3548" s="4" t="s">
        <v>12</v>
      </c>
    </row>
    <row r="3549" spans="1:10" x14ac:dyDescent="0.25">
      <c r="A3549" s="2">
        <v>7259.8201559642903</v>
      </c>
      <c r="B3549" s="3">
        <v>0.271816341230328</v>
      </c>
      <c r="C3549" s="5">
        <v>2.1671105231439199E-7</v>
      </c>
      <c r="D3549" s="6">
        <v>9.5776377221869506E-7</v>
      </c>
      <c r="E3549" s="3" t="s">
        <v>8941</v>
      </c>
      <c r="F3549" s="3" t="s">
        <v>8942</v>
      </c>
      <c r="G3549" s="3">
        <v>76936</v>
      </c>
      <c r="H3549" s="7" t="str">
        <f>HYPERLINK("http://www.ensembl.org/Mus_musculus/Gene/Summary?db=core;g=ENSMUSG00000059208","ENSMUSG00000059208")</f>
        <v>ENSMUSG00000059208</v>
      </c>
      <c r="I3549" s="7" t="str">
        <f>HYPERLINK("http://www.informatics.jax.org/marker/MGI:1926465","MGI:1926465")</f>
        <v>MGI:1926465</v>
      </c>
      <c r="J3549" s="4" t="s">
        <v>12</v>
      </c>
    </row>
    <row r="3550" spans="1:10" x14ac:dyDescent="0.25">
      <c r="A3550" s="2">
        <v>217.09536730359901</v>
      </c>
      <c r="B3550" s="3">
        <v>0.271673840607906</v>
      </c>
      <c r="C3550" s="3">
        <v>6.2544701638688801E-3</v>
      </c>
      <c r="D3550" s="4">
        <v>1.6196736918121402E-2</v>
      </c>
      <c r="E3550" s="3" t="s">
        <v>15235</v>
      </c>
      <c r="F3550" s="3" t="s">
        <v>15236</v>
      </c>
      <c r="G3550" s="3">
        <v>70620</v>
      </c>
      <c r="H3550" s="7" t="str">
        <f>HYPERLINK("http://www.ensembl.org/Mus_musculus/Gene/Summary?db=core;g=ENSMUSG00000022674","ENSMUSG00000022674")</f>
        <v>ENSMUSG00000022674</v>
      </c>
      <c r="I3550" s="7" t="str">
        <f>HYPERLINK("http://www.informatics.jax.org/marker/MGI:1917870","MGI:1917870")</f>
        <v>MGI:1917870</v>
      </c>
      <c r="J3550" s="4" t="s">
        <v>12</v>
      </c>
    </row>
    <row r="3551" spans="1:10" x14ac:dyDescent="0.25">
      <c r="A3551" s="2">
        <v>215.88340594931299</v>
      </c>
      <c r="B3551" s="3">
        <v>0.27164361951377403</v>
      </c>
      <c r="C3551" s="3">
        <v>1.29145030571165E-3</v>
      </c>
      <c r="D3551" s="4">
        <v>3.7512741241174999E-3</v>
      </c>
      <c r="E3551" s="3" t="s">
        <v>13587</v>
      </c>
      <c r="F3551" s="3" t="s">
        <v>13588</v>
      </c>
      <c r="G3551" s="3">
        <v>100416706</v>
      </c>
      <c r="H3551" s="7" t="str">
        <f>HYPERLINK("http://www.ensembl.org/Mus_musculus/Gene/Summary?db=core;g=ENSMUSG00000058093","ENSMUSG00000058093")</f>
        <v>ENSMUSG00000058093</v>
      </c>
      <c r="I3551" s="7" t="str">
        <f>HYPERLINK("http://www.informatics.jax.org/marker/MGI:2145180","MGI:2145180")</f>
        <v>MGI:2145180</v>
      </c>
      <c r="J3551" s="4" t="s">
        <v>12</v>
      </c>
    </row>
    <row r="3552" spans="1:10" x14ac:dyDescent="0.25">
      <c r="A3552" s="2">
        <v>244.45422139375401</v>
      </c>
      <c r="B3552" s="3">
        <v>0.27110571793619698</v>
      </c>
      <c r="C3552" s="3">
        <v>5.2408647968466603E-3</v>
      </c>
      <c r="D3552" s="4">
        <v>1.3814978451252E-2</v>
      </c>
      <c r="E3552" s="3" t="s">
        <v>14966</v>
      </c>
      <c r="F3552" s="3" t="s">
        <v>14967</v>
      </c>
      <c r="G3552" s="3">
        <v>219103</v>
      </c>
      <c r="H3552" s="7" t="str">
        <f>HYPERLINK("http://www.ensembl.org/Mus_musculus/Gene/Summary?db=core;g=ENSMUSG00000064128","ENSMUSG00000064128")</f>
        <v>ENSMUSG00000064128</v>
      </c>
      <c r="I3552" s="7" t="str">
        <f>HYPERLINK("http://www.informatics.jax.org/marker/MGI:2684927","MGI:2684927")</f>
        <v>MGI:2684927</v>
      </c>
      <c r="J3552" s="4" t="s">
        <v>12</v>
      </c>
    </row>
    <row r="3553" spans="1:10" x14ac:dyDescent="0.25">
      <c r="A3553" s="2">
        <v>380.381944172565</v>
      </c>
      <c r="B3553" s="3">
        <v>0.27100412722310502</v>
      </c>
      <c r="C3553" s="3">
        <v>2.0647083407974798E-3</v>
      </c>
      <c r="D3553" s="4">
        <v>5.8199040137973503E-3</v>
      </c>
      <c r="E3553" s="3" t="s">
        <v>13999</v>
      </c>
      <c r="F3553" s="3" t="s">
        <v>14000</v>
      </c>
      <c r="G3553" s="3">
        <v>209224</v>
      </c>
      <c r="H3553" s="7" t="str">
        <f>HYPERLINK("http://www.ensembl.org/Mus_musculus/Gene/Summary?db=core;g=ENSMUSG00000031109","ENSMUSG00000031109")</f>
        <v>ENSMUSG00000031109</v>
      </c>
      <c r="I3553" s="7" t="str">
        <f>HYPERLINK("http://www.informatics.jax.org/marker/MGI:2384799","MGI:2384799")</f>
        <v>MGI:2384799</v>
      </c>
      <c r="J3553" s="4" t="s">
        <v>12</v>
      </c>
    </row>
    <row r="3554" spans="1:10" x14ac:dyDescent="0.25">
      <c r="A3554" s="2">
        <v>986.80272253007001</v>
      </c>
      <c r="B3554" s="3">
        <v>0.27091121735076901</v>
      </c>
      <c r="C3554" s="5">
        <v>4.1767710379867E-5</v>
      </c>
      <c r="D3554" s="4">
        <v>1.46636861080822E-4</v>
      </c>
      <c r="E3554" s="3" t="s">
        <v>11245</v>
      </c>
      <c r="F3554" s="3" t="s">
        <v>11246</v>
      </c>
      <c r="G3554" s="3">
        <v>13872</v>
      </c>
      <c r="H3554" s="7" t="str">
        <f>HYPERLINK("http://www.ensembl.org/Mus_musculus/Gene/Summary?db=core;g=ENSMUSG00000024382","ENSMUSG00000024382")</f>
        <v>ENSMUSG00000024382</v>
      </c>
      <c r="I3554" s="7" t="str">
        <f>HYPERLINK("http://www.informatics.jax.org/marker/MGI:95414","MGI:95414")</f>
        <v>MGI:95414</v>
      </c>
      <c r="J3554" s="4" t="s">
        <v>12</v>
      </c>
    </row>
    <row r="3555" spans="1:10" x14ac:dyDescent="0.25">
      <c r="A3555" s="2">
        <v>259.403147379811</v>
      </c>
      <c r="B3555" s="3">
        <v>0.27077124780970702</v>
      </c>
      <c r="C3555" s="3">
        <v>1.8173268410806201E-2</v>
      </c>
      <c r="D3555" s="4">
        <v>4.2791266037146003E-2</v>
      </c>
      <c r="E3555" s="3" t="s">
        <v>16754</v>
      </c>
      <c r="F3555" s="3" t="s">
        <v>16755</v>
      </c>
      <c r="G3555" s="3">
        <v>217198</v>
      </c>
      <c r="H3555" s="7" t="str">
        <f>HYPERLINK("http://www.ensembl.org/Mus_musculus/Gene/Summary?db=core;g=ENSMUSG00000035172","ENSMUSG00000035172")</f>
        <v>ENSMUSG00000035172</v>
      </c>
      <c r="I3555" s="7" t="str">
        <f>HYPERLINK("http://www.informatics.jax.org/marker/MGI:2384950","MGI:2384950")</f>
        <v>MGI:2384950</v>
      </c>
      <c r="J3555" s="4" t="s">
        <v>12</v>
      </c>
    </row>
    <row r="3556" spans="1:10" x14ac:dyDescent="0.25">
      <c r="A3556" s="2">
        <v>1775.3381467547899</v>
      </c>
      <c r="B3556" s="3">
        <v>0.27071904884250603</v>
      </c>
      <c r="C3556" s="5">
        <v>3.17948796978556E-6</v>
      </c>
      <c r="D3556" s="6">
        <v>1.25098768483981E-5</v>
      </c>
      <c r="E3556" s="3" t="s">
        <v>10040</v>
      </c>
      <c r="F3556" s="3" t="s">
        <v>10041</v>
      </c>
      <c r="G3556" s="3">
        <v>108946</v>
      </c>
      <c r="H3556" s="7" t="str">
        <f>HYPERLINK("http://www.ensembl.org/Mus_musculus/Gene/Summary?db=core;g=ENSMUSG00000039068","ENSMUSG00000039068")</f>
        <v>ENSMUSG00000039068</v>
      </c>
      <c r="I3556" s="7" t="str">
        <f>HYPERLINK("http://www.informatics.jax.org/marker/MGI:1920453","MGI:1920453")</f>
        <v>MGI:1920453</v>
      </c>
      <c r="J3556" s="4" t="s">
        <v>12</v>
      </c>
    </row>
    <row r="3557" spans="1:10" x14ac:dyDescent="0.25">
      <c r="A3557" s="2">
        <v>3960.7071180726002</v>
      </c>
      <c r="B3557" s="3">
        <v>0.27047835141173998</v>
      </c>
      <c r="C3557" s="5">
        <v>3.3366224386105798E-14</v>
      </c>
      <c r="D3557" s="6">
        <v>2.44876049458134E-13</v>
      </c>
      <c r="E3557" s="3" t="s">
        <v>5391</v>
      </c>
      <c r="F3557" s="3" t="s">
        <v>5392</v>
      </c>
      <c r="G3557" s="3">
        <v>378702</v>
      </c>
      <c r="H3557" s="7" t="str">
        <f>HYPERLINK("http://www.ensembl.org/Mus_musculus/Gene/Summary?db=core;g=ENSMUSG00000074884","ENSMUSG00000074884")</f>
        <v>ENSMUSG00000074884</v>
      </c>
      <c r="I3557" s="7" t="str">
        <f>HYPERLINK("http://www.informatics.jax.org/marker/MGI:1337041","MGI:1337041")</f>
        <v>MGI:1337041</v>
      </c>
      <c r="J3557" s="4" t="s">
        <v>12</v>
      </c>
    </row>
    <row r="3558" spans="1:10" x14ac:dyDescent="0.25">
      <c r="A3558" s="2">
        <v>213.93151292347099</v>
      </c>
      <c r="B3558" s="3">
        <v>0.270429534079976</v>
      </c>
      <c r="C3558" s="3">
        <v>4.7760584680830902E-3</v>
      </c>
      <c r="D3558" s="4">
        <v>1.26693399234058E-2</v>
      </c>
      <c r="E3558" s="3" t="s">
        <v>14872</v>
      </c>
      <c r="F3558" s="3" t="s">
        <v>14873</v>
      </c>
      <c r="G3558" s="3">
        <v>68550</v>
      </c>
      <c r="H3558" s="7" t="str">
        <f>HYPERLINK("http://www.ensembl.org/Mus_musculus/Gene/Summary?db=core;g=ENSMUSG00000046909","ENSMUSG00000046909")</f>
        <v>ENSMUSG00000046909</v>
      </c>
      <c r="I3558" s="7" t="str">
        <f>HYPERLINK("http://www.informatics.jax.org/marker/MGI:1915800","MGI:1915800")</f>
        <v>MGI:1915800</v>
      </c>
      <c r="J3558" s="4" t="s">
        <v>12</v>
      </c>
    </row>
    <row r="3559" spans="1:10" x14ac:dyDescent="0.25">
      <c r="A3559" s="2">
        <v>236.829163870088</v>
      </c>
      <c r="B3559" s="3">
        <v>0.27040890308253301</v>
      </c>
      <c r="C3559" s="3">
        <v>7.2678993759367396E-3</v>
      </c>
      <c r="D3559" s="4">
        <v>1.8579592389612699E-2</v>
      </c>
      <c r="E3559" s="3" t="s">
        <v>15433</v>
      </c>
      <c r="F3559" s="3" t="s">
        <v>15434</v>
      </c>
      <c r="G3559" s="3">
        <v>230767</v>
      </c>
      <c r="H3559" s="7" t="str">
        <f>HYPERLINK("http://www.ensembl.org/Mus_musculus/Gene/Summary?db=core;g=ENSMUSG00000040795","ENSMUSG00000040795")</f>
        <v>ENSMUSG00000040795</v>
      </c>
      <c r="I3559" s="7" t="str">
        <f>HYPERLINK("http://www.informatics.jax.org/marker/MGI:2446212","MGI:2446212")</f>
        <v>MGI:2446212</v>
      </c>
      <c r="J3559" s="4" t="s">
        <v>12</v>
      </c>
    </row>
    <row r="3560" spans="1:10" x14ac:dyDescent="0.25">
      <c r="A3560" s="2">
        <v>890.90108174796899</v>
      </c>
      <c r="B3560" s="3">
        <v>0.27030674368642998</v>
      </c>
      <c r="C3560" s="5">
        <v>8.9604948885955397E-5</v>
      </c>
      <c r="D3560" s="4">
        <v>3.03818705644952E-4</v>
      </c>
      <c r="E3560" s="3" t="s">
        <v>11643</v>
      </c>
      <c r="F3560" s="3" t="s">
        <v>11644</v>
      </c>
      <c r="G3560" s="3">
        <v>433956</v>
      </c>
      <c r="H3560" s="7" t="str">
        <f>HYPERLINK("http://www.ensembl.org/Mus_musculus/Gene/Summary?db=core;g=ENSMUSG00000025857","ENSMUSG00000025857")</f>
        <v>ENSMUSG00000025857</v>
      </c>
      <c r="I3560" s="7" t="str">
        <f>HYPERLINK("http://www.informatics.jax.org/marker/MGI:3616079","MGI:3616079")</f>
        <v>MGI:3616079</v>
      </c>
      <c r="J3560" s="4" t="s">
        <v>12</v>
      </c>
    </row>
    <row r="3561" spans="1:10" x14ac:dyDescent="0.25">
      <c r="A3561" s="2">
        <v>1557.3953124637501</v>
      </c>
      <c r="B3561" s="3">
        <v>0.27006415150812102</v>
      </c>
      <c r="C3561" s="5">
        <v>9.3374803200522806E-5</v>
      </c>
      <c r="D3561" s="4">
        <v>3.1600328112481698E-4</v>
      </c>
      <c r="E3561" s="3" t="s">
        <v>11665</v>
      </c>
      <c r="F3561" s="3" t="s">
        <v>11666</v>
      </c>
      <c r="G3561" s="3">
        <v>12793</v>
      </c>
      <c r="H3561" s="7" t="str">
        <f>HYPERLINK("http://www.ensembl.org/Mus_musculus/Gene/Summary?db=core;g=ENSMUSG00000015759","ENSMUSG00000015759")</f>
        <v>ENSMUSG00000015759</v>
      </c>
      <c r="I3561" s="7" t="str">
        <f>HYPERLINK("http://www.informatics.jax.org/marker/MGI:1277202","MGI:1277202")</f>
        <v>MGI:1277202</v>
      </c>
      <c r="J3561" s="4" t="s">
        <v>12</v>
      </c>
    </row>
    <row r="3562" spans="1:10" x14ac:dyDescent="0.25">
      <c r="A3562" s="2">
        <v>3858.1706236448599</v>
      </c>
      <c r="B3562" s="3">
        <v>0.26923596301097302</v>
      </c>
      <c r="C3562" s="5">
        <v>2.8999153052160899E-5</v>
      </c>
      <c r="D3562" s="4">
        <v>1.0369234781298501E-4</v>
      </c>
      <c r="E3562" s="3" t="s">
        <v>11042</v>
      </c>
      <c r="F3562" s="3" t="s">
        <v>11043</v>
      </c>
      <c r="G3562" s="3">
        <v>12282</v>
      </c>
      <c r="H3562" s="7" t="str">
        <f>HYPERLINK("http://www.ensembl.org/Mus_musculus/Gene/Summary?db=core;g=ENSMUSG00000032115","ENSMUSG00000032115")</f>
        <v>ENSMUSG00000032115</v>
      </c>
      <c r="I3562" s="7" t="str">
        <f>HYPERLINK("http://www.informatics.jax.org/marker/MGI:108030","MGI:108030")</f>
        <v>MGI:108030</v>
      </c>
      <c r="J3562" s="4" t="s">
        <v>12</v>
      </c>
    </row>
    <row r="3563" spans="1:10" x14ac:dyDescent="0.25">
      <c r="A3563" s="2">
        <v>316.885512692904</v>
      </c>
      <c r="B3563" s="3">
        <v>0.26918530014720898</v>
      </c>
      <c r="C3563" s="3">
        <v>2.0265037760071902E-3</v>
      </c>
      <c r="D3563" s="4">
        <v>5.7179359654974601E-3</v>
      </c>
      <c r="E3563" s="3" t="s">
        <v>13985</v>
      </c>
      <c r="F3563" s="3" t="s">
        <v>13986</v>
      </c>
      <c r="G3563" s="3">
        <v>109093</v>
      </c>
      <c r="H3563" s="7" t="str">
        <f>HYPERLINK("http://www.ensembl.org/Mus_musculus/Gene/Summary?db=core;g=ENSMUSG00000028292","ENSMUSG00000028292")</f>
        <v>ENSMUSG00000028292</v>
      </c>
      <c r="I3563" s="7" t="str">
        <f>HYPERLINK("http://www.informatics.jax.org/marker/MGI:1923596","MGI:1923596")</f>
        <v>MGI:1923596</v>
      </c>
      <c r="J3563" s="4" t="s">
        <v>12</v>
      </c>
    </row>
    <row r="3564" spans="1:10" x14ac:dyDescent="0.25">
      <c r="A3564" s="2">
        <v>340.76744452892598</v>
      </c>
      <c r="B3564" s="3">
        <v>0.26913981323425401</v>
      </c>
      <c r="C3564" s="3">
        <v>1.58878992386043E-2</v>
      </c>
      <c r="D3564" s="4">
        <v>3.7912557234423598E-2</v>
      </c>
      <c r="E3564" s="3" t="s">
        <v>16531</v>
      </c>
      <c r="F3564" s="3" t="s">
        <v>16532</v>
      </c>
      <c r="G3564" s="3">
        <v>239647</v>
      </c>
      <c r="H3564" s="7" t="str">
        <f>HYPERLINK("http://www.ensembl.org/Mus_musculus/Gene/Summary?db=core;g=ENSMUSG00000044250","ENSMUSG00000044250")</f>
        <v>ENSMUSG00000044250</v>
      </c>
      <c r="I3564" s="7" t="str">
        <f>HYPERLINK("http://www.informatics.jax.org/marker/MGI:2446270","MGI:2446270")</f>
        <v>MGI:2446270</v>
      </c>
      <c r="J3564" s="4" t="s">
        <v>12</v>
      </c>
    </row>
    <row r="3565" spans="1:10" x14ac:dyDescent="0.25">
      <c r="A3565" s="2">
        <v>5474.8525882431404</v>
      </c>
      <c r="B3565" s="3">
        <v>0.26907006631859798</v>
      </c>
      <c r="C3565" s="3">
        <v>1.0673251755865E-4</v>
      </c>
      <c r="D3565" s="4">
        <v>3.5892995331797102E-4</v>
      </c>
      <c r="E3565" s="3" t="s">
        <v>11739</v>
      </c>
      <c r="F3565" s="3" t="s">
        <v>11740</v>
      </c>
      <c r="G3565" s="3">
        <v>20005</v>
      </c>
      <c r="H3565" s="7" t="str">
        <f>HYPERLINK("http://www.ensembl.org/Mus_musculus/Gene/Summary?db=core;g=ENSMUSG00000047215","ENSMUSG00000047215")</f>
        <v>ENSMUSG00000047215</v>
      </c>
      <c r="I3565" s="7" t="str">
        <f>HYPERLINK("http://www.informatics.jax.org/marker/MGI:1298373","MGI:1298373")</f>
        <v>MGI:1298373</v>
      </c>
      <c r="J3565" s="4" t="s">
        <v>12</v>
      </c>
    </row>
    <row r="3566" spans="1:10" x14ac:dyDescent="0.25">
      <c r="A3566" s="2">
        <v>563.19674821625495</v>
      </c>
      <c r="B3566" s="3">
        <v>0.26904745011046599</v>
      </c>
      <c r="C3566" s="3">
        <v>6.4623105177886195E-4</v>
      </c>
      <c r="D3566" s="4">
        <v>1.95935983103923E-3</v>
      </c>
      <c r="E3566" s="3" t="s">
        <v>13017</v>
      </c>
      <c r="F3566" s="3" t="s">
        <v>13018</v>
      </c>
      <c r="G3566" s="3">
        <v>72046</v>
      </c>
      <c r="H3566" s="7" t="str">
        <f>HYPERLINK("http://www.ensembl.org/Mus_musculus/Gene/Summary?db=core;g=ENSMUSG00000049680","ENSMUSG00000049680")</f>
        <v>ENSMUSG00000049680</v>
      </c>
      <c r="I3566" s="7" t="str">
        <f>HYPERLINK("http://www.informatics.jax.org/marker/MGI:1919296","MGI:1919296")</f>
        <v>MGI:1919296</v>
      </c>
      <c r="J3566" s="4" t="s">
        <v>12</v>
      </c>
    </row>
    <row r="3567" spans="1:10" x14ac:dyDescent="0.25">
      <c r="A3567" s="2">
        <v>2898.0672649671201</v>
      </c>
      <c r="B3567" s="3">
        <v>0.26841278341991898</v>
      </c>
      <c r="C3567" s="5">
        <v>1.05387436570351E-6</v>
      </c>
      <c r="D3567" s="6">
        <v>4.3459645528384099E-6</v>
      </c>
      <c r="E3567" s="3" t="s">
        <v>9579</v>
      </c>
      <c r="F3567" s="3" t="s">
        <v>9580</v>
      </c>
      <c r="G3567" s="3">
        <v>20019</v>
      </c>
      <c r="H3567" s="7" t="str">
        <f>HYPERLINK("http://www.ensembl.org/Mus_musculus/Gene/Summary?db=core;g=ENSMUSG00000049553","ENSMUSG00000049553")</f>
        <v>ENSMUSG00000049553</v>
      </c>
      <c r="I3567" s="7" t="str">
        <f>HYPERLINK("http://www.informatics.jax.org/marker/MGI:1096397","MGI:1096397")</f>
        <v>MGI:1096397</v>
      </c>
      <c r="J3567" s="4" t="s">
        <v>12</v>
      </c>
    </row>
    <row r="3568" spans="1:10" x14ac:dyDescent="0.25">
      <c r="A3568" s="2">
        <v>7113.3181879193098</v>
      </c>
      <c r="B3568" s="3">
        <v>0.26758011814958699</v>
      </c>
      <c r="C3568" s="5">
        <v>3.3230321490040601E-6</v>
      </c>
      <c r="D3568" s="6">
        <v>1.30460270711448E-5</v>
      </c>
      <c r="E3568" s="3" t="s">
        <v>10062</v>
      </c>
      <c r="F3568" s="3" t="s">
        <v>10063</v>
      </c>
      <c r="G3568" s="3">
        <v>233908</v>
      </c>
      <c r="H3568" s="7" t="str">
        <f>HYPERLINK("http://www.ensembl.org/Mus_musculus/Gene/Summary?db=core;g=ENSMUSG00000030795","ENSMUSG00000030795")</f>
        <v>ENSMUSG00000030795</v>
      </c>
      <c r="I3568" s="7" t="str">
        <f>HYPERLINK("http://www.informatics.jax.org/marker/MGI:1353633","MGI:1353633")</f>
        <v>MGI:1353633</v>
      </c>
      <c r="J3568" s="4" t="s">
        <v>12</v>
      </c>
    </row>
    <row r="3569" spans="1:10" x14ac:dyDescent="0.25">
      <c r="A3569" s="2">
        <v>372.4972157716</v>
      </c>
      <c r="B3569" s="3">
        <v>0.26723328340471703</v>
      </c>
      <c r="C3569" s="3">
        <v>9.1913572751910503E-4</v>
      </c>
      <c r="D3569" s="4">
        <v>2.7247980376844199E-3</v>
      </c>
      <c r="E3569" s="3" t="s">
        <v>13310</v>
      </c>
      <c r="F3569" s="3" t="s">
        <v>13311</v>
      </c>
      <c r="G3569" s="3">
        <v>66191</v>
      </c>
      <c r="H3569" s="7" t="str">
        <f>HYPERLINK("http://www.ensembl.org/Mus_musculus/Gene/Summary?db=core;g=ENSMUSG00000090000","ENSMUSG00000090000")</f>
        <v>ENSMUSG00000090000</v>
      </c>
      <c r="I3569" s="7" t="str">
        <f>HYPERLINK("http://www.informatics.jax.org/marker/MGI:1913441","MGI:1913441")</f>
        <v>MGI:1913441</v>
      </c>
      <c r="J3569" s="4" t="s">
        <v>12</v>
      </c>
    </row>
    <row r="3570" spans="1:10" x14ac:dyDescent="0.25">
      <c r="A3570" s="2">
        <v>1416.07039170333</v>
      </c>
      <c r="B3570" s="3">
        <v>0.26721552910361401</v>
      </c>
      <c r="C3570" s="5">
        <v>2.4067105500070399E-5</v>
      </c>
      <c r="D3570" s="6">
        <v>8.6796510691548797E-5</v>
      </c>
      <c r="E3570" s="3" t="s">
        <v>10948</v>
      </c>
      <c r="F3570" s="3" t="s">
        <v>10949</v>
      </c>
      <c r="G3570" s="3">
        <v>67684</v>
      </c>
      <c r="H3570" s="7" t="str">
        <f>HYPERLINK("http://www.ensembl.org/Mus_musculus/Gene/Summary?db=core;g=ENSMUSG00000020863","ENSMUSG00000020863")</f>
        <v>ENSMUSG00000020863</v>
      </c>
      <c r="I3570" s="7" t="str">
        <f>HYPERLINK("http://www.informatics.jax.org/marker/MGI:1914934","MGI:1914934")</f>
        <v>MGI:1914934</v>
      </c>
      <c r="J3570" s="4" t="s">
        <v>12</v>
      </c>
    </row>
    <row r="3571" spans="1:10" x14ac:dyDescent="0.25">
      <c r="A3571" s="2">
        <v>2001.2821130686</v>
      </c>
      <c r="B3571" s="3">
        <v>0.26703719834496598</v>
      </c>
      <c r="C3571" s="5">
        <v>4.0363038646624698E-5</v>
      </c>
      <c r="D3571" s="4">
        <v>1.4195810988254699E-4</v>
      </c>
      <c r="E3571" s="3" t="s">
        <v>11225</v>
      </c>
      <c r="F3571" s="3" t="s">
        <v>11226</v>
      </c>
      <c r="G3571" s="3">
        <v>78618</v>
      </c>
      <c r="H3571" s="7" t="str">
        <f>HYPERLINK("http://www.ensembl.org/Mus_musculus/Gene/Summary?db=core;g=ENSMUSG00000049076","ENSMUSG00000049076")</f>
        <v>ENSMUSG00000049076</v>
      </c>
      <c r="I3571" s="7" t="str">
        <f>HYPERLINK("http://www.informatics.jax.org/marker/MGI:1925868","MGI:1925868")</f>
        <v>MGI:1925868</v>
      </c>
      <c r="J3571" s="4" t="s">
        <v>12</v>
      </c>
    </row>
    <row r="3572" spans="1:10" x14ac:dyDescent="0.25">
      <c r="A3572" s="2">
        <v>1401.5640697461299</v>
      </c>
      <c r="B3572" s="3">
        <v>0.26682781553927798</v>
      </c>
      <c r="C3572" s="5">
        <v>1.8764658637008301E-5</v>
      </c>
      <c r="D3572" s="6">
        <v>6.8399088414381306E-5</v>
      </c>
      <c r="E3572" s="3" t="s">
        <v>10832</v>
      </c>
      <c r="F3572" s="3" t="s">
        <v>10833</v>
      </c>
      <c r="G3572" s="3">
        <v>18983</v>
      </c>
      <c r="H3572" s="7" t="str">
        <f>HYPERLINK("http://www.ensembl.org/Mus_musculus/Gene/Summary?db=core;g=ENSMUSG00000031601","ENSMUSG00000031601")</f>
        <v>ENSMUSG00000031601</v>
      </c>
      <c r="I3572" s="7" t="str">
        <f>HYPERLINK("http://www.informatics.jax.org/marker/MGI:1298230","MGI:1298230")</f>
        <v>MGI:1298230</v>
      </c>
      <c r="J3572" s="4" t="s">
        <v>12</v>
      </c>
    </row>
    <row r="3573" spans="1:10" x14ac:dyDescent="0.25">
      <c r="A3573" s="2">
        <v>307.70712814228102</v>
      </c>
      <c r="B3573" s="3">
        <v>0.26677665365005199</v>
      </c>
      <c r="C3573" s="3">
        <v>2.4059733912719801E-3</v>
      </c>
      <c r="D3573" s="4">
        <v>6.7089642641237901E-3</v>
      </c>
      <c r="E3573" s="3" t="s">
        <v>14151</v>
      </c>
      <c r="F3573" s="3" t="s">
        <v>14152</v>
      </c>
      <c r="G3573" s="3">
        <v>14700</v>
      </c>
      <c r="H3573" s="7" t="str">
        <f>HYPERLINK("http://www.ensembl.org/Mus_musculus/Gene/Summary?db=core;g=ENSMUSG00000038607","ENSMUSG00000038607")</f>
        <v>ENSMUSG00000038607</v>
      </c>
      <c r="I3573" s="7" t="str">
        <f>HYPERLINK("http://www.informatics.jax.org/marker/MGI:1336169","MGI:1336169")</f>
        <v>MGI:1336169</v>
      </c>
      <c r="J3573" s="4" t="s">
        <v>12</v>
      </c>
    </row>
    <row r="3574" spans="1:10" x14ac:dyDescent="0.25">
      <c r="A3574" s="2">
        <v>349.65085878268002</v>
      </c>
      <c r="B3574" s="3">
        <v>0.26655504695691601</v>
      </c>
      <c r="C3574" s="3">
        <v>1.0397034681528001E-3</v>
      </c>
      <c r="D3574" s="4">
        <v>3.0574041741683699E-3</v>
      </c>
      <c r="E3574" s="3" t="s">
        <v>13421</v>
      </c>
      <c r="F3574" s="3" t="s">
        <v>13422</v>
      </c>
      <c r="G3574" s="3">
        <v>77106</v>
      </c>
      <c r="H3574" s="7" t="str">
        <f>HYPERLINK("http://www.ensembl.org/Mus_musculus/Gene/Summary?db=core;g=ENSMUSG00000038141","ENSMUSG00000038141")</f>
        <v>ENSMUSG00000038141</v>
      </c>
      <c r="I3574" s="7" t="str">
        <f>HYPERLINK("http://www.informatics.jax.org/marker/MGI:1924356","MGI:1924356")</f>
        <v>MGI:1924356</v>
      </c>
      <c r="J3574" s="4" t="s">
        <v>12</v>
      </c>
    </row>
    <row r="3575" spans="1:10" x14ac:dyDescent="0.25">
      <c r="A3575" s="2">
        <v>11537.761539446199</v>
      </c>
      <c r="B3575" s="3">
        <v>0.26642846283018001</v>
      </c>
      <c r="C3575" s="5">
        <v>2.3723252243339699E-8</v>
      </c>
      <c r="D3575" s="6">
        <v>1.13604306517402E-7</v>
      </c>
      <c r="E3575" s="3" t="s">
        <v>8253</v>
      </c>
      <c r="F3575" s="3" t="s">
        <v>8254</v>
      </c>
      <c r="G3575" s="3">
        <v>70572</v>
      </c>
      <c r="H3575" s="7" t="str">
        <f>HYPERLINK("http://www.ensembl.org/Mus_musculus/Gene/Summary?db=core;g=ENSMUSG00000030662","ENSMUSG00000030662")</f>
        <v>ENSMUSG00000030662</v>
      </c>
      <c r="I3575" s="7" t="str">
        <f>HYPERLINK("http://www.informatics.jax.org/marker/MGI:1917822","MGI:1917822")</f>
        <v>MGI:1917822</v>
      </c>
      <c r="J3575" s="4" t="s">
        <v>12</v>
      </c>
    </row>
    <row r="3576" spans="1:10" x14ac:dyDescent="0.25">
      <c r="A3576" s="2">
        <v>3198.1545394395198</v>
      </c>
      <c r="B3576" s="3">
        <v>0.26597538157878398</v>
      </c>
      <c r="C3576" s="5">
        <v>2.3773507417957999E-7</v>
      </c>
      <c r="D3576" s="6">
        <v>1.0462253208706399E-6</v>
      </c>
      <c r="E3576" s="3" t="s">
        <v>8979</v>
      </c>
      <c r="F3576" s="3" t="s">
        <v>8980</v>
      </c>
      <c r="G3576" s="3">
        <v>93736</v>
      </c>
      <c r="H3576" s="7" t="str">
        <f>HYPERLINK("http://www.ensembl.org/Mus_musculus/Gene/Summary?db=core;g=ENSMUSG00000049470","ENSMUSG00000049470")</f>
        <v>ENSMUSG00000049470</v>
      </c>
      <c r="I3576" s="7" t="str">
        <f>HYPERLINK("http://www.informatics.jax.org/marker/MGI:2136171","MGI:2136171")</f>
        <v>MGI:2136171</v>
      </c>
      <c r="J3576" s="4" t="s">
        <v>12</v>
      </c>
    </row>
    <row r="3577" spans="1:10" x14ac:dyDescent="0.25">
      <c r="A3577" s="2">
        <v>28482.6616211361</v>
      </c>
      <c r="B3577" s="3">
        <v>0.26511367648057699</v>
      </c>
      <c r="C3577" s="5">
        <v>4.6023817308473498E-9</v>
      </c>
      <c r="D3577" s="6">
        <v>2.3445871281919401E-8</v>
      </c>
      <c r="E3577" s="3" t="s">
        <v>7758</v>
      </c>
      <c r="F3577" s="3" t="s">
        <v>7759</v>
      </c>
      <c r="G3577" s="3">
        <v>276770</v>
      </c>
      <c r="H3577" s="7" t="str">
        <f>HYPERLINK("http://www.ensembl.org/Mus_musculus/Gene/Summary?db=core;g=ENSMUSG00000078812","ENSMUSG00000078812")</f>
        <v>ENSMUSG00000078812</v>
      </c>
      <c r="I3577" s="7" t="str">
        <f>HYPERLINK("http://www.informatics.jax.org/marker/MGI:106248","MGI:106248")</f>
        <v>MGI:106248</v>
      </c>
      <c r="J3577" s="4" t="s">
        <v>12</v>
      </c>
    </row>
    <row r="3578" spans="1:10" x14ac:dyDescent="0.25">
      <c r="A3578" s="2">
        <v>2944.43174895826</v>
      </c>
      <c r="B3578" s="3">
        <v>0.26509943944610698</v>
      </c>
      <c r="C3578" s="5">
        <v>1.2191643200592301E-5</v>
      </c>
      <c r="D3578" s="6">
        <v>4.5310818679924503E-5</v>
      </c>
      <c r="E3578" s="3" t="s">
        <v>10624</v>
      </c>
      <c r="F3578" s="3" t="s">
        <v>10625</v>
      </c>
      <c r="G3578" s="3">
        <v>114584</v>
      </c>
      <c r="H3578" s="7" t="str">
        <f>HYPERLINK("http://www.ensembl.org/Mus_musculus/Gene/Summary?db=core;g=ENSMUSG00000007041","ENSMUSG00000007041")</f>
        <v>ENSMUSG00000007041</v>
      </c>
      <c r="I3578" s="7" t="str">
        <f>HYPERLINK("http://www.informatics.jax.org/marker/MGI:2148924","MGI:2148924")</f>
        <v>MGI:2148924</v>
      </c>
      <c r="J3578" s="4" t="s">
        <v>12</v>
      </c>
    </row>
    <row r="3579" spans="1:10" x14ac:dyDescent="0.25">
      <c r="A3579" s="2">
        <v>2794.56319483467</v>
      </c>
      <c r="B3579" s="3">
        <v>0.26504840020875298</v>
      </c>
      <c r="C3579" s="5">
        <v>6.6079592640539602E-12</v>
      </c>
      <c r="D3579" s="6">
        <v>4.1899986073036698E-11</v>
      </c>
      <c r="E3579" s="3" t="s">
        <v>6237</v>
      </c>
      <c r="F3579" s="3" t="s">
        <v>6238</v>
      </c>
      <c r="G3579" s="3">
        <v>104721</v>
      </c>
      <c r="H3579" s="7" t="str">
        <f>HYPERLINK("http://www.ensembl.org/Mus_musculus/Gene/Summary?db=core;g=ENSMUSG00000037149","ENSMUSG00000037149")</f>
        <v>ENSMUSG00000037149</v>
      </c>
      <c r="I3579" s="7" t="str">
        <f>HYPERLINK("http://www.informatics.jax.org/marker/MGI:2144727","MGI:2144727")</f>
        <v>MGI:2144727</v>
      </c>
      <c r="J3579" s="4" t="s">
        <v>12</v>
      </c>
    </row>
    <row r="3580" spans="1:10" x14ac:dyDescent="0.25">
      <c r="A3580" s="2">
        <v>3911.7705520361901</v>
      </c>
      <c r="B3580" s="3">
        <v>0.26504519139134203</v>
      </c>
      <c r="C3580" s="5">
        <v>6.2537117158245701E-13</v>
      </c>
      <c r="D3580" s="6">
        <v>4.2408251387916302E-12</v>
      </c>
      <c r="E3580" s="3" t="s">
        <v>5833</v>
      </c>
      <c r="F3580" s="3" t="s">
        <v>5834</v>
      </c>
      <c r="G3580" s="3">
        <v>70465</v>
      </c>
      <c r="H3580" s="7" t="str">
        <f>HYPERLINK("http://www.ensembl.org/Mus_musculus/Gene/Summary?db=core;g=ENSMUSG00000000561","ENSMUSG00000000561")</f>
        <v>ENSMUSG00000000561</v>
      </c>
      <c r="I3580" s="7" t="str">
        <f>HYPERLINK("http://www.informatics.jax.org/marker/MGI:1917715","MGI:1917715")</f>
        <v>MGI:1917715</v>
      </c>
      <c r="J3580" s="4" t="s">
        <v>12</v>
      </c>
    </row>
    <row r="3581" spans="1:10" x14ac:dyDescent="0.25">
      <c r="A3581" s="2">
        <v>1189.7805483739</v>
      </c>
      <c r="B3581" s="3">
        <v>0.26469438999196399</v>
      </c>
      <c r="C3581" s="3">
        <v>9.6462547243638904E-4</v>
      </c>
      <c r="D3581" s="4">
        <v>2.8502268978791699E-3</v>
      </c>
      <c r="E3581" s="3" t="s">
        <v>13357</v>
      </c>
      <c r="F3581" s="3" t="s">
        <v>13358</v>
      </c>
      <c r="G3581" s="3">
        <v>19652</v>
      </c>
      <c r="H3581" s="7" t="str">
        <f>HYPERLINK("http://www.ensembl.org/Mus_musculus/Gene/Summary?db=core;g=ENSMUSG00000031167","ENSMUSG00000031167")</f>
        <v>ENSMUSG00000031167</v>
      </c>
      <c r="I3581" s="7" t="str">
        <f>HYPERLINK("http://www.informatics.jax.org/marker/MGI:1099460","MGI:1099460")</f>
        <v>MGI:1099460</v>
      </c>
      <c r="J3581" s="4" t="s">
        <v>12</v>
      </c>
    </row>
    <row r="3582" spans="1:10" x14ac:dyDescent="0.25">
      <c r="A3582" s="2">
        <v>389.64753610463498</v>
      </c>
      <c r="B3582" s="3">
        <v>0.26465036879387599</v>
      </c>
      <c r="C3582" s="3">
        <v>6.2650570266699801E-4</v>
      </c>
      <c r="D3582" s="4">
        <v>1.9021851357341299E-3</v>
      </c>
      <c r="E3582" s="3" t="s">
        <v>12999</v>
      </c>
      <c r="F3582" s="3" t="s">
        <v>13000</v>
      </c>
      <c r="G3582" s="3">
        <v>66628</v>
      </c>
      <c r="H3582" s="7" t="str">
        <f>HYPERLINK("http://www.ensembl.org/Mus_musculus/Gene/Summary?db=core;g=ENSMUSG00000011254","ENSMUSG00000011254")</f>
        <v>ENSMUSG00000011254</v>
      </c>
      <c r="I3582" s="7" t="str">
        <f>HYPERLINK("http://www.informatics.jax.org/marker/MGI:1913878","MGI:1913878")</f>
        <v>MGI:1913878</v>
      </c>
      <c r="J3582" s="4" t="s">
        <v>12</v>
      </c>
    </row>
    <row r="3583" spans="1:10" x14ac:dyDescent="0.25">
      <c r="A3583" s="2">
        <v>1162.1114195140699</v>
      </c>
      <c r="B3583" s="3">
        <v>0.26441832700248302</v>
      </c>
      <c r="C3583" s="5">
        <v>3.6860639113238301E-5</v>
      </c>
      <c r="D3583" s="4">
        <v>1.3026734826398901E-4</v>
      </c>
      <c r="E3583" s="3" t="s">
        <v>11171</v>
      </c>
      <c r="F3583" s="3" t="s">
        <v>11172</v>
      </c>
      <c r="G3583" s="3">
        <v>27397</v>
      </c>
      <c r="H3583" s="7" t="str">
        <f>HYPERLINK("http://www.ensembl.org/Mus_musculus/Gene/Summary?db=core;g=ENSMUSG00000030879","ENSMUSG00000030879")</f>
        <v>ENSMUSG00000030879</v>
      </c>
      <c r="I3583" s="7" t="str">
        <f>HYPERLINK("http://www.informatics.jax.org/marker/MGI:1351608","MGI:1351608")</f>
        <v>MGI:1351608</v>
      </c>
      <c r="J3583" s="4" t="s">
        <v>12</v>
      </c>
    </row>
    <row r="3584" spans="1:10" x14ac:dyDescent="0.25">
      <c r="A3584" s="2">
        <v>457.76419064980502</v>
      </c>
      <c r="B3584" s="3">
        <v>0.263881152310184</v>
      </c>
      <c r="C3584" s="3">
        <v>3.4504322881808499E-4</v>
      </c>
      <c r="D3584" s="4">
        <v>1.08520773082817E-3</v>
      </c>
      <c r="E3584" s="3" t="s">
        <v>12553</v>
      </c>
      <c r="F3584" s="3" t="s">
        <v>12554</v>
      </c>
      <c r="G3584" s="3">
        <v>66421</v>
      </c>
      <c r="H3584" s="7" t="str">
        <f>HYPERLINK("http://www.ensembl.org/Mus_musculus/Gene/Summary?db=core;g=ENSMUSG00000036873","ENSMUSG00000036873")</f>
        <v>ENSMUSG00000036873</v>
      </c>
      <c r="I3584" s="7" t="str">
        <f>HYPERLINK("http://www.informatics.jax.org/marker/MGI:1913671","MGI:1913671")</f>
        <v>MGI:1913671</v>
      </c>
      <c r="J3584" s="4" t="s">
        <v>12</v>
      </c>
    </row>
    <row r="3585" spans="1:10" x14ac:dyDescent="0.25">
      <c r="A3585" s="2">
        <v>989.68713302181504</v>
      </c>
      <c r="B3585" s="3">
        <v>0.26356436408755501</v>
      </c>
      <c r="C3585" s="5">
        <v>1.14523710706554E-5</v>
      </c>
      <c r="D3585" s="6">
        <v>4.2635597038573698E-5</v>
      </c>
      <c r="E3585" s="3" t="s">
        <v>10607</v>
      </c>
      <c r="F3585" s="3" t="s">
        <v>10608</v>
      </c>
      <c r="G3585" s="3">
        <v>75734</v>
      </c>
      <c r="H3585" s="7" t="str">
        <f>HYPERLINK("http://www.ensembl.org/Mus_musculus/Gene/Summary?db=core;g=ENSMUSG00000026150","ENSMUSG00000026150")</f>
        <v>ENSMUSG00000026150</v>
      </c>
      <c r="I3585" s="7" t="str">
        <f>HYPERLINK("http://www.informatics.jax.org/marker/MGI:1922984","MGI:1922984")</f>
        <v>MGI:1922984</v>
      </c>
      <c r="J3585" s="4" t="s">
        <v>12</v>
      </c>
    </row>
    <row r="3586" spans="1:10" x14ac:dyDescent="0.25">
      <c r="A3586" s="2">
        <v>891.64766226190795</v>
      </c>
      <c r="B3586" s="3">
        <v>0.26335620584547298</v>
      </c>
      <c r="C3586" s="5">
        <v>4.9880049200076403E-5</v>
      </c>
      <c r="D3586" s="4">
        <v>1.7378702654160901E-4</v>
      </c>
      <c r="E3586" s="3" t="s">
        <v>11331</v>
      </c>
      <c r="F3586" s="3" t="s">
        <v>11332</v>
      </c>
      <c r="G3586" s="3">
        <v>101314</v>
      </c>
      <c r="H3586" s="7" t="str">
        <f>HYPERLINK("http://www.ensembl.org/Mus_musculus/Gene/Summary?db=core;g=ENSMUSG00000033940","ENSMUSG00000033940")</f>
        <v>ENSMUSG00000033940</v>
      </c>
      <c r="I3586" s="7" t="str">
        <f>HYPERLINK("http://www.informatics.jax.org/marker/MGI:1915406","MGI:1915406")</f>
        <v>MGI:1915406</v>
      </c>
      <c r="J3586" s="4" t="s">
        <v>12</v>
      </c>
    </row>
    <row r="3587" spans="1:10" x14ac:dyDescent="0.25">
      <c r="A3587" s="2">
        <v>269.12449006110501</v>
      </c>
      <c r="B3587" s="3">
        <v>0.26297358824639799</v>
      </c>
      <c r="C3587" s="3">
        <v>6.2577386532226302E-3</v>
      </c>
      <c r="D3587" s="4">
        <v>1.6203073298522899E-2</v>
      </c>
      <c r="E3587" s="3" t="s">
        <v>15237</v>
      </c>
      <c r="F3587" s="3" t="s">
        <v>15238</v>
      </c>
      <c r="G3587" s="3">
        <v>229499</v>
      </c>
      <c r="H3587" s="7" t="str">
        <f>HYPERLINK("http://www.ensembl.org/Mus_musculus/Gene/Summary?db=core;g=ENSMUSG00000059994","ENSMUSG00000059994")</f>
        <v>ENSMUSG00000059994</v>
      </c>
      <c r="I3587" s="7" t="str">
        <f>HYPERLINK("http://www.informatics.jax.org/marker/MGI:2442862","MGI:2442862")</f>
        <v>MGI:2442862</v>
      </c>
      <c r="J3587" s="4" t="s">
        <v>12</v>
      </c>
    </row>
    <row r="3588" spans="1:10" x14ac:dyDescent="0.25">
      <c r="A3588" s="2">
        <v>537.163039311131</v>
      </c>
      <c r="B3588" s="3">
        <v>0.26289093436560101</v>
      </c>
      <c r="C3588" s="5">
        <v>5.1953996013081699E-5</v>
      </c>
      <c r="D3588" s="4">
        <v>1.8072548974739299E-4</v>
      </c>
      <c r="E3588" s="3" t="s">
        <v>11349</v>
      </c>
      <c r="F3588" s="3" t="s">
        <v>11350</v>
      </c>
      <c r="G3588" s="3">
        <v>52397</v>
      </c>
      <c r="H3588" s="7" t="str">
        <f>HYPERLINK("http://www.ensembl.org/Mus_musculus/Gene/Summary?db=core;g=ENSMUSG00000049606","ENSMUSG00000049606")</f>
        <v>ENSMUSG00000049606</v>
      </c>
      <c r="I3588" s="7" t="str">
        <f>HYPERLINK("http://www.informatics.jax.org/marker/MGI:1277212","MGI:1277212")</f>
        <v>MGI:1277212</v>
      </c>
      <c r="J3588" s="4" t="s">
        <v>12</v>
      </c>
    </row>
    <row r="3589" spans="1:10" x14ac:dyDescent="0.25">
      <c r="A3589" s="2">
        <v>635.27055045202997</v>
      </c>
      <c r="B3589" s="3">
        <v>0.262523781506806</v>
      </c>
      <c r="C3589" s="3">
        <v>3.5983392963519E-4</v>
      </c>
      <c r="D3589" s="4">
        <v>1.12920513882972E-3</v>
      </c>
      <c r="E3589" s="3" t="s">
        <v>12581</v>
      </c>
      <c r="F3589" s="3" t="s">
        <v>12582</v>
      </c>
      <c r="G3589" s="3">
        <v>227867</v>
      </c>
      <c r="H3589" s="7" t="str">
        <f>HYPERLINK("http://www.ensembl.org/Mus_musculus/Gene/Summary?db=core;g=ENSMUSG00000069495","ENSMUSG00000069495")</f>
        <v>ENSMUSG00000069495</v>
      </c>
      <c r="I3589" s="7" t="str">
        <f>HYPERLINK("http://www.informatics.jax.org/marker/MGI:1278321","MGI:1278321")</f>
        <v>MGI:1278321</v>
      </c>
      <c r="J3589" s="4" t="s">
        <v>12</v>
      </c>
    </row>
    <row r="3590" spans="1:10" x14ac:dyDescent="0.25">
      <c r="A3590" s="2">
        <v>259.96713213399499</v>
      </c>
      <c r="B3590" s="3">
        <v>0.26243876042196101</v>
      </c>
      <c r="C3590" s="3">
        <v>5.1030501894457998E-3</v>
      </c>
      <c r="D3590" s="4">
        <v>1.34841417306541E-2</v>
      </c>
      <c r="E3590" s="3" t="s">
        <v>14930</v>
      </c>
      <c r="F3590" s="3" t="s">
        <v>14931</v>
      </c>
      <c r="G3590" s="3">
        <v>76954</v>
      </c>
      <c r="H3590" s="7" t="str">
        <f>HYPERLINK("http://www.ensembl.org/Mus_musculus/Gene/Summary?db=core;g=ENSMUSG00000031024","ENSMUSG00000031024")</f>
        <v>ENSMUSG00000031024</v>
      </c>
      <c r="I3590" s="7" t="str">
        <f>HYPERLINK("http://www.informatics.jax.org/marker/MGI:108517","MGI:108517")</f>
        <v>MGI:108517</v>
      </c>
      <c r="J3590" s="4" t="s">
        <v>12</v>
      </c>
    </row>
    <row r="3591" spans="1:10" x14ac:dyDescent="0.25">
      <c r="A3591" s="2">
        <v>295.15391465803998</v>
      </c>
      <c r="B3591" s="3">
        <v>0.26232921511228302</v>
      </c>
      <c r="C3591" s="3">
        <v>1.7281342347706299E-3</v>
      </c>
      <c r="D3591" s="4">
        <v>4.9296697685052501E-3</v>
      </c>
      <c r="E3591" s="3" t="s">
        <v>13833</v>
      </c>
      <c r="F3591" s="3" t="s">
        <v>13834</v>
      </c>
      <c r="G3591" s="3" t="s">
        <v>83</v>
      </c>
      <c r="H3591" s="7" t="str">
        <f>HYPERLINK("http://www.ensembl.org/Mus_musculus/Gene/Summary?db=core;g=ENSMUSG00000075585","ENSMUSG00000075585")</f>
        <v>ENSMUSG00000075585</v>
      </c>
      <c r="I3591" s="7" t="str">
        <f>HYPERLINK("http://www.informatics.jax.org/marker/MGI:1917994","MGI:1917994")</f>
        <v>MGI:1917994</v>
      </c>
      <c r="J3591" s="4" t="s">
        <v>932</v>
      </c>
    </row>
    <row r="3592" spans="1:10" x14ac:dyDescent="0.25">
      <c r="A3592" s="2">
        <v>4971.4557364122502</v>
      </c>
      <c r="B3592" s="3">
        <v>0.26221339423081103</v>
      </c>
      <c r="C3592" s="5">
        <v>7.3740891046179293E-12</v>
      </c>
      <c r="D3592" s="6">
        <v>4.6563252367296001E-11</v>
      </c>
      <c r="E3592" s="3" t="s">
        <v>6263</v>
      </c>
      <c r="F3592" s="3" t="s">
        <v>6264</v>
      </c>
      <c r="G3592" s="3">
        <v>12847</v>
      </c>
      <c r="H3592" s="7" t="str">
        <f>HYPERLINK("http://www.ensembl.org/Mus_musculus/Gene/Summary?db=core;g=ENSMUSG00000026553","ENSMUSG00000026553")</f>
        <v>ENSMUSG00000026553</v>
      </c>
      <c r="I3592" s="7" t="str">
        <f>HYPERLINK("http://www.informatics.jax.org/marker/MGI:1334462","MGI:1334462")</f>
        <v>MGI:1334462</v>
      </c>
      <c r="J3592" s="4" t="s">
        <v>12</v>
      </c>
    </row>
    <row r="3593" spans="1:10" x14ac:dyDescent="0.25">
      <c r="A3593" s="2">
        <v>15089.9962264266</v>
      </c>
      <c r="B3593" s="3">
        <v>0.26177600340215001</v>
      </c>
      <c r="C3593" s="5">
        <v>5.75667503687726E-11</v>
      </c>
      <c r="D3593" s="6">
        <v>3.4080345760197999E-10</v>
      </c>
      <c r="E3593" s="3" t="s">
        <v>6679</v>
      </c>
      <c r="F3593" s="3" t="s">
        <v>6680</v>
      </c>
      <c r="G3593" s="3">
        <v>192662</v>
      </c>
      <c r="H3593" s="7" t="str">
        <f>HYPERLINK("http://www.ensembl.org/Mus_musculus/Gene/Summary?db=core;g=ENSMUSG00000025132","ENSMUSG00000025132")</f>
        <v>ENSMUSG00000025132</v>
      </c>
      <c r="I3593" s="7" t="str">
        <f>HYPERLINK("http://www.informatics.jax.org/marker/MGI:2178103","MGI:2178103")</f>
        <v>MGI:2178103</v>
      </c>
      <c r="J3593" s="4" t="s">
        <v>12</v>
      </c>
    </row>
    <row r="3594" spans="1:10" x14ac:dyDescent="0.25">
      <c r="A3594" s="2">
        <v>602.01704292278703</v>
      </c>
      <c r="B3594" s="3">
        <v>0.26159783557155802</v>
      </c>
      <c r="C3594" s="3">
        <v>6.08396379786317E-3</v>
      </c>
      <c r="D3594" s="4">
        <v>1.5798757715810099E-2</v>
      </c>
      <c r="E3594" s="3" t="s">
        <v>15193</v>
      </c>
      <c r="F3594" s="3" t="s">
        <v>15194</v>
      </c>
      <c r="G3594" s="3" t="s">
        <v>83</v>
      </c>
      <c r="H3594" s="7" t="str">
        <f>HYPERLINK("http://www.ensembl.org/Mus_musculus/Gene/Summary?db=core;g=ENSMUSG00000109926","ENSMUSG00000109926")</f>
        <v>ENSMUSG00000109926</v>
      </c>
      <c r="I3594" s="7" t="str">
        <f>HYPERLINK("http://www.informatics.jax.org/marker/MGI:5804923","MGI:5804923")</f>
        <v>MGI:5804923</v>
      </c>
      <c r="J3594" s="4" t="s">
        <v>12</v>
      </c>
    </row>
    <row r="3595" spans="1:10" x14ac:dyDescent="0.25">
      <c r="A3595" s="2">
        <v>1331.78721026259</v>
      </c>
      <c r="B3595" s="3">
        <v>0.26147244689389398</v>
      </c>
      <c r="C3595" s="5">
        <v>9.2849061813081304E-6</v>
      </c>
      <c r="D3595" s="6">
        <v>3.4855958479991702E-5</v>
      </c>
      <c r="E3595" s="3" t="s">
        <v>10520</v>
      </c>
      <c r="F3595" s="3" t="s">
        <v>10521</v>
      </c>
      <c r="G3595" s="3">
        <v>76295</v>
      </c>
      <c r="H3595" s="7" t="str">
        <f>HYPERLINK("http://www.ensembl.org/Mus_musculus/Gene/Summary?db=core;g=ENSMUSG00000037400","ENSMUSG00000037400")</f>
        <v>ENSMUSG00000037400</v>
      </c>
      <c r="I3595" s="7" t="str">
        <f>HYPERLINK("http://www.informatics.jax.org/marker/MGI:1923545","MGI:1923545")</f>
        <v>MGI:1923545</v>
      </c>
      <c r="J3595" s="4" t="s">
        <v>12</v>
      </c>
    </row>
    <row r="3596" spans="1:10" x14ac:dyDescent="0.25">
      <c r="A3596" s="2">
        <v>1329.76232498592</v>
      </c>
      <c r="B3596" s="3">
        <v>0.26122462300333998</v>
      </c>
      <c r="C3596" s="5">
        <v>3.2347549164944402E-5</v>
      </c>
      <c r="D3596" s="4">
        <v>1.1506018570214701E-4</v>
      </c>
      <c r="E3596" s="3" t="s">
        <v>11101</v>
      </c>
      <c r="F3596" s="3" t="s">
        <v>11102</v>
      </c>
      <c r="G3596" s="3">
        <v>20499</v>
      </c>
      <c r="H3596" s="7" t="str">
        <f>HYPERLINK("http://www.ensembl.org/Mus_musculus/Gene/Summary?db=core;g=ENSMUSG00000017756","ENSMUSG00000017756")</f>
        <v>ENSMUSG00000017756</v>
      </c>
      <c r="I3596" s="7" t="str">
        <f>HYPERLINK("http://www.informatics.jax.org/marker/MGI:1342283","MGI:1342283")</f>
        <v>MGI:1342283</v>
      </c>
      <c r="J3596" s="4" t="s">
        <v>12</v>
      </c>
    </row>
    <row r="3597" spans="1:10" x14ac:dyDescent="0.25">
      <c r="A3597" s="2">
        <v>1703.0684844366499</v>
      </c>
      <c r="B3597" s="3">
        <v>0.26110546025515602</v>
      </c>
      <c r="C3597" s="5">
        <v>2.35816594273022E-7</v>
      </c>
      <c r="D3597" s="6">
        <v>1.0384777219883901E-6</v>
      </c>
      <c r="E3597" s="3" t="s">
        <v>8973</v>
      </c>
      <c r="F3597" s="3" t="s">
        <v>8974</v>
      </c>
      <c r="G3597" s="3">
        <v>56354</v>
      </c>
      <c r="H3597" s="7" t="str">
        <f>HYPERLINK("http://www.ensembl.org/Mus_musculus/Gene/Summary?db=core;g=ENSMUSG00000014195","ENSMUSG00000014195")</f>
        <v>ENSMUSG00000014195</v>
      </c>
      <c r="I3597" s="7" t="str">
        <f>HYPERLINK("http://www.informatics.jax.org/marker/MGI:1928373","MGI:1928373")</f>
        <v>MGI:1928373</v>
      </c>
      <c r="J3597" s="4" t="s">
        <v>12</v>
      </c>
    </row>
    <row r="3598" spans="1:10" x14ac:dyDescent="0.25">
      <c r="A3598" s="2">
        <v>981.41175357015698</v>
      </c>
      <c r="B3598" s="3">
        <v>0.26100386233022999</v>
      </c>
      <c r="C3598" s="5">
        <v>9.4481629293248508E-6</v>
      </c>
      <c r="D3598" s="6">
        <v>3.5441843820864801E-5</v>
      </c>
      <c r="E3598" s="3" t="s">
        <v>10528</v>
      </c>
      <c r="F3598" s="3" t="s">
        <v>10529</v>
      </c>
      <c r="G3598" s="3">
        <v>107321</v>
      </c>
      <c r="H3598" s="7" t="str">
        <f>HYPERLINK("http://www.ensembl.org/Mus_musculus/Gene/Summary?db=core;g=ENSMUSG00000024696","ENSMUSG00000024696")</f>
        <v>ENSMUSG00000024696</v>
      </c>
      <c r="I3598" s="7" t="str">
        <f>HYPERLINK("http://www.informatics.jax.org/marker/MGI:2147677","MGI:2147677")</f>
        <v>MGI:2147677</v>
      </c>
      <c r="J3598" s="4" t="s">
        <v>12</v>
      </c>
    </row>
    <row r="3599" spans="1:10" x14ac:dyDescent="0.25">
      <c r="A3599" s="2">
        <v>538.59475253699702</v>
      </c>
      <c r="B3599" s="3">
        <v>0.26080119852247402</v>
      </c>
      <c r="C3599" s="5">
        <v>1.34014926746349E-5</v>
      </c>
      <c r="D3599" s="6">
        <v>4.9601620785247902E-5</v>
      </c>
      <c r="E3599" s="3" t="s">
        <v>10668</v>
      </c>
      <c r="F3599" s="3" t="s">
        <v>10669</v>
      </c>
      <c r="G3599" s="3">
        <v>56468</v>
      </c>
      <c r="H3599" s="7" t="str">
        <f>HYPERLINK("http://www.ensembl.org/Mus_musculus/Gene/Summary?db=core;g=ENSMUSG00000037104","ENSMUSG00000037104")</f>
        <v>ENSMUSG00000037104</v>
      </c>
      <c r="I3599" s="7" t="str">
        <f>HYPERLINK("http://www.informatics.jax.org/marker/MGI:2385459","MGI:2385459")</f>
        <v>MGI:2385459</v>
      </c>
      <c r="J3599" s="4" t="s">
        <v>12</v>
      </c>
    </row>
    <row r="3600" spans="1:10" x14ac:dyDescent="0.25">
      <c r="A3600" s="2">
        <v>355.82984691116002</v>
      </c>
      <c r="B3600" s="3">
        <v>0.26078559166056198</v>
      </c>
      <c r="C3600" s="3">
        <v>1.77155051224094E-4</v>
      </c>
      <c r="D3600" s="4">
        <v>5.7820218638516099E-4</v>
      </c>
      <c r="E3600" s="3" t="s">
        <v>12095</v>
      </c>
      <c r="F3600" s="3" t="s">
        <v>12096</v>
      </c>
      <c r="G3600" s="3">
        <v>71799</v>
      </c>
      <c r="H3600" s="7" t="str">
        <f>HYPERLINK("http://www.ensembl.org/Mus_musculus/Gene/Summary?db=core;g=ENSMUSG00000029624","ENSMUSG00000029624")</f>
        <v>ENSMUSG00000029624</v>
      </c>
      <c r="I3600" s="7" t="str">
        <f>HYPERLINK("http://www.informatics.jax.org/marker/MGI:1919049","MGI:1919049")</f>
        <v>MGI:1919049</v>
      </c>
      <c r="J3600" s="4" t="s">
        <v>12</v>
      </c>
    </row>
    <row r="3601" spans="1:10" x14ac:dyDescent="0.25">
      <c r="A3601" s="2">
        <v>1857.1078306567599</v>
      </c>
      <c r="B3601" s="3">
        <v>0.26074733201077399</v>
      </c>
      <c r="C3601" s="5">
        <v>1.31378624452952E-8</v>
      </c>
      <c r="D3601" s="6">
        <v>6.4463460418318299E-8</v>
      </c>
      <c r="E3601" s="3" t="s">
        <v>8055</v>
      </c>
      <c r="F3601" s="3" t="s">
        <v>8056</v>
      </c>
      <c r="G3601" s="3">
        <v>225348</v>
      </c>
      <c r="H3601" s="7" t="str">
        <f>HYPERLINK("http://www.ensembl.org/Mus_musculus/Gene/Summary?db=core;g=ENSMUSG00000038299","ENSMUSG00000038299")</f>
        <v>ENSMUSG00000038299</v>
      </c>
      <c r="I3601" s="7" t="str">
        <f>HYPERLINK("http://www.informatics.jax.org/marker/MGI:1917819","MGI:1917819")</f>
        <v>MGI:1917819</v>
      </c>
      <c r="J3601" s="4" t="s">
        <v>12</v>
      </c>
    </row>
    <row r="3602" spans="1:10" x14ac:dyDescent="0.25">
      <c r="A3602" s="2">
        <v>1311.55903877948</v>
      </c>
      <c r="B3602" s="3">
        <v>0.260632102397787</v>
      </c>
      <c r="C3602" s="3">
        <v>4.3105917353576297E-3</v>
      </c>
      <c r="D3602" s="4">
        <v>1.15417337435509E-2</v>
      </c>
      <c r="E3602" s="3" t="s">
        <v>14734</v>
      </c>
      <c r="F3602" s="3" t="s">
        <v>14735</v>
      </c>
      <c r="G3602" s="3">
        <v>68142</v>
      </c>
      <c r="H3602" s="7" t="str">
        <f>HYPERLINK("http://www.ensembl.org/Mus_musculus/Gene/Summary?db=core;g=ENSMUSG00000034154","ENSMUSG00000034154")</f>
        <v>ENSMUSG00000034154</v>
      </c>
      <c r="I3602" s="7" t="str">
        <f>HYPERLINK("http://www.informatics.jax.org/marker/MGI:1915392","MGI:1915392")</f>
        <v>MGI:1915392</v>
      </c>
      <c r="J3602" s="4" t="s">
        <v>12</v>
      </c>
    </row>
    <row r="3603" spans="1:10" x14ac:dyDescent="0.25">
      <c r="A3603" s="2">
        <v>5041.7487610155604</v>
      </c>
      <c r="B3603" s="3">
        <v>0.26049273262793199</v>
      </c>
      <c r="C3603" s="5">
        <v>1.01804543631591E-12</v>
      </c>
      <c r="D3603" s="6">
        <v>6.8285224503911004E-12</v>
      </c>
      <c r="E3603" s="3" t="s">
        <v>5897</v>
      </c>
      <c r="F3603" s="3" t="s">
        <v>5898</v>
      </c>
      <c r="G3603" s="3">
        <v>51792</v>
      </c>
      <c r="H3603" s="7" t="str">
        <f>HYPERLINK("http://www.ensembl.org/Mus_musculus/Gene/Summary?db=core;g=ENSMUSG00000007564","ENSMUSG00000007564")</f>
        <v>ENSMUSG00000007564</v>
      </c>
      <c r="I3603" s="7" t="str">
        <f>HYPERLINK("http://www.informatics.jax.org/marker/MGI:1926334","MGI:1926334")</f>
        <v>MGI:1926334</v>
      </c>
      <c r="J3603" s="4" t="s">
        <v>12</v>
      </c>
    </row>
    <row r="3604" spans="1:10" x14ac:dyDescent="0.25">
      <c r="A3604" s="2">
        <v>515.93245394865403</v>
      </c>
      <c r="B3604" s="3">
        <v>0.260368762164568</v>
      </c>
      <c r="C3604" s="3">
        <v>2.37315858279742E-4</v>
      </c>
      <c r="D3604" s="4">
        <v>7.6343698617887602E-4</v>
      </c>
      <c r="E3604" s="3" t="s">
        <v>12271</v>
      </c>
      <c r="F3604" s="3" t="s">
        <v>12272</v>
      </c>
      <c r="G3604" s="3">
        <v>67180</v>
      </c>
      <c r="H3604" s="7" t="str">
        <f>HYPERLINK("http://www.ensembl.org/Mus_musculus/Gene/Summary?db=core;g=ENSMUSG00000024487","ENSMUSG00000024487")</f>
        <v>ENSMUSG00000024487</v>
      </c>
      <c r="I3604" s="7" t="str">
        <f>HYPERLINK("http://www.informatics.jax.org/marker/MGI:1914430","MGI:1914430")</f>
        <v>MGI:1914430</v>
      </c>
      <c r="J3604" s="4" t="s">
        <v>12</v>
      </c>
    </row>
    <row r="3605" spans="1:10" x14ac:dyDescent="0.25">
      <c r="A3605" s="2">
        <v>2055.1761776448302</v>
      </c>
      <c r="B3605" s="3">
        <v>0.26031537166482399</v>
      </c>
      <c r="C3605" s="5">
        <v>2.06827361811078E-6</v>
      </c>
      <c r="D3605" s="6">
        <v>8.3051019648024098E-6</v>
      </c>
      <c r="E3605" s="3" t="s">
        <v>9837</v>
      </c>
      <c r="F3605" s="3" t="s">
        <v>9838</v>
      </c>
      <c r="G3605" s="3">
        <v>12399</v>
      </c>
      <c r="H3605" s="7" t="str">
        <f>HYPERLINK("http://www.ensembl.org/Mus_musculus/Gene/Summary?db=core;g=ENSMUSG00000070691","ENSMUSG00000070691")</f>
        <v>ENSMUSG00000070691</v>
      </c>
      <c r="I3605" s="7" t="str">
        <f>HYPERLINK("http://www.informatics.jax.org/marker/MGI:102672","MGI:102672")</f>
        <v>MGI:102672</v>
      </c>
      <c r="J3605" s="4" t="s">
        <v>12</v>
      </c>
    </row>
    <row r="3606" spans="1:10" x14ac:dyDescent="0.25">
      <c r="A3606" s="2">
        <v>462.99007212717498</v>
      </c>
      <c r="B3606" s="3">
        <v>0.26026162689091398</v>
      </c>
      <c r="C3606" s="3">
        <v>6.3800063866644502E-3</v>
      </c>
      <c r="D3606" s="4">
        <v>1.6500160779675099E-2</v>
      </c>
      <c r="E3606" s="3" t="s">
        <v>15255</v>
      </c>
      <c r="F3606" s="3" t="s">
        <v>15256</v>
      </c>
      <c r="G3606" s="3">
        <v>68090</v>
      </c>
      <c r="H3606" s="7" t="str">
        <f>HYPERLINK("http://www.ensembl.org/Mus_musculus/Gene/Summary?db=core;g=ENSMUSG00000024875","ENSMUSG00000024875")</f>
        <v>ENSMUSG00000024875</v>
      </c>
      <c r="I3606" s="7" t="str">
        <f>HYPERLINK("http://www.informatics.jax.org/marker/MGI:1915340","MGI:1915340")</f>
        <v>MGI:1915340</v>
      </c>
      <c r="J3606" s="4" t="s">
        <v>12</v>
      </c>
    </row>
    <row r="3607" spans="1:10" x14ac:dyDescent="0.25">
      <c r="A3607" s="2">
        <v>990.17011144062803</v>
      </c>
      <c r="B3607" s="3">
        <v>0.26017234810470602</v>
      </c>
      <c r="C3607" s="3">
        <v>1.3868270742933801E-4</v>
      </c>
      <c r="D3607" s="4">
        <v>4.5932532591644998E-4</v>
      </c>
      <c r="E3607" s="3" t="s">
        <v>11919</v>
      </c>
      <c r="F3607" s="3" t="s">
        <v>11920</v>
      </c>
      <c r="G3607" s="3">
        <v>229584</v>
      </c>
      <c r="H3607" s="7" t="str">
        <f>HYPERLINK("http://www.ensembl.org/Mus_musculus/Gene/Summary?db=core;g=ENSMUSG00000038902","ENSMUSG00000038902")</f>
        <v>ENSMUSG00000038902</v>
      </c>
      <c r="I3607" s="7" t="str">
        <f>HYPERLINK("http://www.informatics.jax.org/marker/MGI:2442117","MGI:2442117")</f>
        <v>MGI:2442117</v>
      </c>
      <c r="J3607" s="4" t="s">
        <v>12</v>
      </c>
    </row>
    <row r="3608" spans="1:10" x14ac:dyDescent="0.25">
      <c r="A3608" s="2">
        <v>318.19575793606202</v>
      </c>
      <c r="B3608" s="3">
        <v>0.26000661221773103</v>
      </c>
      <c r="C3608" s="3">
        <v>5.3666748108153603E-3</v>
      </c>
      <c r="D3608" s="4">
        <v>1.41180409939315E-2</v>
      </c>
      <c r="E3608" s="3" t="s">
        <v>14996</v>
      </c>
      <c r="F3608" s="3" t="s">
        <v>14997</v>
      </c>
      <c r="G3608" s="3">
        <v>66253</v>
      </c>
      <c r="H3608" s="7" t="str">
        <f>HYPERLINK("http://www.ensembl.org/Mus_musculus/Gene/Summary?db=core;g=ENSMUSG00000019806","ENSMUSG00000019806")</f>
        <v>ENSMUSG00000019806</v>
      </c>
      <c r="I3608" s="7" t="str">
        <f>HYPERLINK("http://www.informatics.jax.org/marker/MGI:1913503","MGI:1913503")</f>
        <v>MGI:1913503</v>
      </c>
      <c r="J3608" s="4" t="s">
        <v>12</v>
      </c>
    </row>
    <row r="3609" spans="1:10" x14ac:dyDescent="0.25">
      <c r="A3609" s="2">
        <v>1285.1435961873301</v>
      </c>
      <c r="B3609" s="3">
        <v>0.25995553425656598</v>
      </c>
      <c r="C3609" s="5">
        <v>3.4247884634174602E-5</v>
      </c>
      <c r="D3609" s="4">
        <v>1.21403610459451E-4</v>
      </c>
      <c r="E3609" s="3" t="s">
        <v>11139</v>
      </c>
      <c r="F3609" s="3" t="s">
        <v>11140</v>
      </c>
      <c r="G3609" s="3">
        <v>109333</v>
      </c>
      <c r="H3609" s="7" t="str">
        <f>HYPERLINK("http://www.ensembl.org/Mus_musculus/Gene/Summary?db=core;g=ENSMUSG00000004591","ENSMUSG00000004591")</f>
        <v>ENSMUSG00000004591</v>
      </c>
      <c r="I3609" s="7" t="str">
        <f>HYPERLINK("http://www.informatics.jax.org/marker/MGI:109211","MGI:109211")</f>
        <v>MGI:109211</v>
      </c>
      <c r="J3609" s="4" t="s">
        <v>12</v>
      </c>
    </row>
    <row r="3610" spans="1:10" x14ac:dyDescent="0.25">
      <c r="A3610" s="2">
        <v>3144.6349118137</v>
      </c>
      <c r="B3610" s="3">
        <v>0.259903172476318</v>
      </c>
      <c r="C3610" s="5">
        <v>1.1410249540493599E-5</v>
      </c>
      <c r="D3610" s="6">
        <v>4.2486805313167103E-5</v>
      </c>
      <c r="E3610" s="3" t="s">
        <v>10605</v>
      </c>
      <c r="F3610" s="3" t="s">
        <v>10606</v>
      </c>
      <c r="G3610" s="3">
        <v>98732</v>
      </c>
      <c r="H3610" s="7" t="str">
        <f>HYPERLINK("http://www.ensembl.org/Mus_musculus/Gene/Summary?db=core;g=ENSMUSG00000039318","ENSMUSG00000039318")</f>
        <v>ENSMUSG00000039318</v>
      </c>
      <c r="I3610" s="7" t="str">
        <f>HYPERLINK("http://www.informatics.jax.org/marker/MGI:1916043","MGI:1916043")</f>
        <v>MGI:1916043</v>
      </c>
      <c r="J3610" s="4" t="s">
        <v>12</v>
      </c>
    </row>
    <row r="3611" spans="1:10" x14ac:dyDescent="0.25">
      <c r="A3611" s="2">
        <v>518.64156719459095</v>
      </c>
      <c r="B3611" s="3">
        <v>0.25989508061449901</v>
      </c>
      <c r="C3611" s="3">
        <v>4.6104887570488301E-3</v>
      </c>
      <c r="D3611" s="4">
        <v>1.22631289842194E-2</v>
      </c>
      <c r="E3611" s="3" t="s">
        <v>14832</v>
      </c>
      <c r="F3611" s="3" t="s">
        <v>14833</v>
      </c>
      <c r="G3611" s="3">
        <v>19219</v>
      </c>
      <c r="H3611" s="7" t="str">
        <f>HYPERLINK("http://www.ensembl.org/Mus_musculus/Gene/Summary?db=core;g=ENSMUSG00000039942","ENSMUSG00000039942")</f>
        <v>ENSMUSG00000039942</v>
      </c>
      <c r="I3611" s="7" t="str">
        <f>HYPERLINK("http://www.informatics.jax.org/marker/MGI:104311","MGI:104311")</f>
        <v>MGI:104311</v>
      </c>
      <c r="J3611" s="4" t="s">
        <v>12</v>
      </c>
    </row>
    <row r="3612" spans="1:10" x14ac:dyDescent="0.25">
      <c r="A3612" s="2">
        <v>2759.9244609184898</v>
      </c>
      <c r="B3612" s="3">
        <v>0.25957685469828801</v>
      </c>
      <c r="C3612" s="3">
        <v>5.6456531582924196E-3</v>
      </c>
      <c r="D3612" s="4">
        <v>1.4775352393036E-2</v>
      </c>
      <c r="E3612" s="3" t="s">
        <v>15074</v>
      </c>
      <c r="F3612" s="3" t="s">
        <v>15075</v>
      </c>
      <c r="G3612" s="3">
        <v>57294</v>
      </c>
      <c r="H3612" s="7" t="str">
        <f>HYPERLINK("http://www.ensembl.org/Mus_musculus/Gene/Summary?db=core;g=ENSMUSG00000090733","ENSMUSG00000090733")</f>
        <v>ENSMUSG00000090733</v>
      </c>
      <c r="I3612" s="7" t="str">
        <f>HYPERLINK("http://www.informatics.jax.org/marker/MGI:1888676","MGI:1888676")</f>
        <v>MGI:1888676</v>
      </c>
      <c r="J3612" s="4" t="s">
        <v>12</v>
      </c>
    </row>
    <row r="3613" spans="1:10" x14ac:dyDescent="0.25">
      <c r="A3613" s="2">
        <v>412.55447536705998</v>
      </c>
      <c r="B3613" s="3">
        <v>0.25928768871424202</v>
      </c>
      <c r="C3613" s="3">
        <v>2.3031281388534801E-3</v>
      </c>
      <c r="D3613" s="4">
        <v>6.4403980286714003E-3</v>
      </c>
      <c r="E3613" s="3" t="s">
        <v>14111</v>
      </c>
      <c r="F3613" s="3" t="s">
        <v>14112</v>
      </c>
      <c r="G3613" s="3">
        <v>26432</v>
      </c>
      <c r="H3613" s="7" t="str">
        <f>HYPERLINK("http://www.ensembl.org/Mus_musculus/Gene/Summary?db=core;g=ENSMUSG00000032374","ENSMUSG00000032374")</f>
        <v>ENSMUSG00000032374</v>
      </c>
      <c r="I3613" s="7" t="str">
        <f>HYPERLINK("http://www.informatics.jax.org/marker/MGI:1347007","MGI:1347007")</f>
        <v>MGI:1347007</v>
      </c>
      <c r="J3613" s="4" t="s">
        <v>12</v>
      </c>
    </row>
    <row r="3614" spans="1:10" x14ac:dyDescent="0.25">
      <c r="A3614" s="2">
        <v>663.89123219904502</v>
      </c>
      <c r="B3614" s="3">
        <v>0.25916622314983601</v>
      </c>
      <c r="C3614" s="5">
        <v>5.3635615744365398E-5</v>
      </c>
      <c r="D3614" s="4">
        <v>1.8644356468868099E-4</v>
      </c>
      <c r="E3614" s="3" t="s">
        <v>11357</v>
      </c>
      <c r="F3614" s="3" t="s">
        <v>11358</v>
      </c>
      <c r="G3614" s="3">
        <v>71177</v>
      </c>
      <c r="H3614" s="7" t="str">
        <f>HYPERLINK("http://www.ensembl.org/Mus_musculus/Gene/Summary?db=core;g=ENSMUSG00000040250","ENSMUSG00000040250")</f>
        <v>ENSMUSG00000040250</v>
      </c>
      <c r="I3614" s="7" t="str">
        <f>HYPERLINK("http://www.informatics.jax.org/marker/MGI:1918427","MGI:1918427")</f>
        <v>MGI:1918427</v>
      </c>
      <c r="J3614" s="4" t="s">
        <v>12</v>
      </c>
    </row>
    <row r="3615" spans="1:10" x14ac:dyDescent="0.25">
      <c r="A3615" s="2">
        <v>1067.1931063491199</v>
      </c>
      <c r="B3615" s="3">
        <v>0.25891972477975</v>
      </c>
      <c r="C3615" s="3">
        <v>8.5127953227534905E-4</v>
      </c>
      <c r="D3615" s="4">
        <v>2.5358357064153899E-3</v>
      </c>
      <c r="E3615" s="3" t="s">
        <v>13249</v>
      </c>
      <c r="F3615" s="3" t="s">
        <v>13250</v>
      </c>
      <c r="G3615" s="3">
        <v>17524</v>
      </c>
      <c r="H3615" s="7" t="str">
        <f>HYPERLINK("http://www.ensembl.org/Mus_musculus/Gene/Summary?db=core;g=ENSMUSG00000031402","ENSMUSG00000031402")</f>
        <v>ENSMUSG00000031402</v>
      </c>
      <c r="I3615" s="7" t="str">
        <f>HYPERLINK("http://www.informatics.jax.org/marker/MGI:105941","MGI:105941")</f>
        <v>MGI:105941</v>
      </c>
      <c r="J3615" s="4" t="s">
        <v>12</v>
      </c>
    </row>
    <row r="3616" spans="1:10" x14ac:dyDescent="0.25">
      <c r="A3616" s="2">
        <v>2310.52061525114</v>
      </c>
      <c r="B3616" s="3">
        <v>0.25881366822692697</v>
      </c>
      <c r="C3616" s="5">
        <v>1.52172821950469E-5</v>
      </c>
      <c r="D3616" s="6">
        <v>5.60591826800532E-5</v>
      </c>
      <c r="E3616" s="3" t="s">
        <v>10718</v>
      </c>
      <c r="F3616" s="3" t="s">
        <v>10719</v>
      </c>
      <c r="G3616" s="3">
        <v>13664</v>
      </c>
      <c r="H3616" s="7" t="str">
        <f>HYPERLINK("http://www.ensembl.org/Mus_musculus/Gene/Summary?db=core;g=ENSMUSG00000057561","ENSMUSG00000057561")</f>
        <v>ENSMUSG00000057561</v>
      </c>
      <c r="I3616" s="7" t="str">
        <f>HYPERLINK("http://www.informatics.jax.org/marker/MGI:95298","MGI:95298")</f>
        <v>MGI:95298</v>
      </c>
      <c r="J3616" s="4" t="s">
        <v>12</v>
      </c>
    </row>
    <row r="3617" spans="1:10" x14ac:dyDescent="0.25">
      <c r="A3617" s="2">
        <v>1257.88184906126</v>
      </c>
      <c r="B3617" s="3">
        <v>0.25861022021056801</v>
      </c>
      <c r="C3617" s="3">
        <v>6.8438537602465901E-3</v>
      </c>
      <c r="D3617" s="4">
        <v>1.7595931701703101E-2</v>
      </c>
      <c r="E3617" s="3" t="s">
        <v>15345</v>
      </c>
      <c r="F3617" s="3" t="s">
        <v>15346</v>
      </c>
      <c r="G3617" s="3">
        <v>69368</v>
      </c>
      <c r="H3617" s="7" t="str">
        <f>HYPERLINK("http://www.ensembl.org/Mus_musculus/Gene/Summary?db=core;g=ENSMUSG00000073643","ENSMUSG00000073643")</f>
        <v>ENSMUSG00000073643</v>
      </c>
      <c r="I3617" s="7" t="str">
        <f>HYPERLINK("http://www.informatics.jax.org/marker/MGI:1916618","MGI:1916618")</f>
        <v>MGI:1916618</v>
      </c>
      <c r="J3617" s="4" t="s">
        <v>12</v>
      </c>
    </row>
    <row r="3618" spans="1:10" x14ac:dyDescent="0.25">
      <c r="A3618" s="2">
        <v>883.04042897414502</v>
      </c>
      <c r="B3618" s="3">
        <v>0.25856401793143502</v>
      </c>
      <c r="C3618" s="3">
        <v>2.2750056955418599E-4</v>
      </c>
      <c r="D3618" s="4">
        <v>7.3401688998830797E-4</v>
      </c>
      <c r="E3618" s="3" t="s">
        <v>12235</v>
      </c>
      <c r="F3618" s="3" t="s">
        <v>12236</v>
      </c>
      <c r="G3618" s="3">
        <v>66196</v>
      </c>
      <c r="H3618" s="7" t="str">
        <f>HYPERLINK("http://www.ensembl.org/Mus_musculus/Gene/Summary?db=core;g=ENSMUSG00000020527","ENSMUSG00000020527")</f>
        <v>ENSMUSG00000020527</v>
      </c>
      <c r="I3618" s="7" t="str">
        <f>HYPERLINK("http://www.informatics.jax.org/marker/MGI:1913446","MGI:1913446")</f>
        <v>MGI:1913446</v>
      </c>
      <c r="J3618" s="4" t="s">
        <v>12</v>
      </c>
    </row>
    <row r="3619" spans="1:10" x14ac:dyDescent="0.25">
      <c r="A3619" s="2">
        <v>1042.6270030084099</v>
      </c>
      <c r="B3619" s="3">
        <v>0.25824786190245103</v>
      </c>
      <c r="C3619" s="3">
        <v>1.39722527025852E-4</v>
      </c>
      <c r="D3619" s="4">
        <v>4.6253621503270198E-4</v>
      </c>
      <c r="E3619" s="3" t="s">
        <v>11925</v>
      </c>
      <c r="F3619" s="3" t="s">
        <v>11926</v>
      </c>
      <c r="G3619" s="3">
        <v>75965</v>
      </c>
      <c r="H3619" s="7" t="str">
        <f>HYPERLINK("http://www.ensembl.org/Mus_musculus/Gene/Summary?db=core;g=ENSMUSG00000021969","ENSMUSG00000021969")</f>
        <v>ENSMUSG00000021969</v>
      </c>
      <c r="I3619" s="7" t="str">
        <f>HYPERLINK("http://www.informatics.jax.org/marker/MGI:1923215","MGI:1923215")</f>
        <v>MGI:1923215</v>
      </c>
      <c r="J3619" s="4" t="s">
        <v>12</v>
      </c>
    </row>
    <row r="3620" spans="1:10" x14ac:dyDescent="0.25">
      <c r="A3620" s="2">
        <v>691.83055946035302</v>
      </c>
      <c r="B3620" s="3">
        <v>0.25822075827118302</v>
      </c>
      <c r="C3620" s="3">
        <v>2.4344570567812001E-4</v>
      </c>
      <c r="D3620" s="4">
        <v>7.8188099608673197E-4</v>
      </c>
      <c r="E3620" s="3" t="s">
        <v>12291</v>
      </c>
      <c r="F3620" s="3" t="s">
        <v>12292</v>
      </c>
      <c r="G3620" s="3">
        <v>236082</v>
      </c>
      <c r="H3620" s="7" t="str">
        <f>HYPERLINK("http://www.ensembl.org/Mus_musculus/Gene/Summary?db=core;g=ENSMUSG00000063897","ENSMUSG00000063897")</f>
        <v>ENSMUSG00000063897</v>
      </c>
      <c r="I3620" s="3" t="s">
        <v>83</v>
      </c>
      <c r="J3620" s="4" t="s">
        <v>12</v>
      </c>
    </row>
    <row r="3621" spans="1:10" x14ac:dyDescent="0.25">
      <c r="A3621" s="2">
        <v>2056.09478100263</v>
      </c>
      <c r="B3621" s="3">
        <v>0.25819139770477001</v>
      </c>
      <c r="C3621" s="5">
        <v>1.82684509772077E-6</v>
      </c>
      <c r="D3621" s="6">
        <v>7.36414254436909E-6</v>
      </c>
      <c r="E3621" s="3" t="s">
        <v>9799</v>
      </c>
      <c r="F3621" s="3" t="s">
        <v>9800</v>
      </c>
      <c r="G3621" s="3">
        <v>72124</v>
      </c>
      <c r="H3621" s="7" t="str">
        <f>HYPERLINK("http://www.ensembl.org/Mus_musculus/Gene/Summary?db=core;g=ENSMUSG00000079614","ENSMUSG00000079614")</f>
        <v>ENSMUSG00000079614</v>
      </c>
      <c r="I3621" s="7" t="str">
        <f>HYPERLINK("http://www.informatics.jax.org/marker/MGI:1919374","MGI:1919374")</f>
        <v>MGI:1919374</v>
      </c>
      <c r="J3621" s="4" t="s">
        <v>12</v>
      </c>
    </row>
    <row r="3622" spans="1:10" x14ac:dyDescent="0.25">
      <c r="A3622" s="2">
        <v>1207.2694277082301</v>
      </c>
      <c r="B3622" s="3">
        <v>0.25818783157317599</v>
      </c>
      <c r="C3622" s="5">
        <v>1.8368443009958899E-8</v>
      </c>
      <c r="D3622" s="6">
        <v>8.8889741388070895E-8</v>
      </c>
      <c r="E3622" s="3" t="s">
        <v>8167</v>
      </c>
      <c r="F3622" s="3" t="s">
        <v>8168</v>
      </c>
      <c r="G3622" s="3">
        <v>66978</v>
      </c>
      <c r="H3622" s="7" t="str">
        <f>HYPERLINK("http://www.ensembl.org/Mus_musculus/Gene/Summary?db=core;g=ENSMUSG00000024188","ENSMUSG00000024188")</f>
        <v>ENSMUSG00000024188</v>
      </c>
      <c r="I3622" s="7" t="str">
        <f>HYPERLINK("http://www.informatics.jax.org/marker/MGI:1914228","MGI:1914228")</f>
        <v>MGI:1914228</v>
      </c>
      <c r="J3622" s="4" t="s">
        <v>12</v>
      </c>
    </row>
    <row r="3623" spans="1:10" x14ac:dyDescent="0.25">
      <c r="A3623" s="2">
        <v>220.43725022603601</v>
      </c>
      <c r="B3623" s="3">
        <v>0.25792497482105903</v>
      </c>
      <c r="C3623" s="3">
        <v>1.12955462806257E-2</v>
      </c>
      <c r="D3623" s="4">
        <v>2.7774086365827799E-2</v>
      </c>
      <c r="E3623" s="3" t="s">
        <v>16045</v>
      </c>
      <c r="F3623" s="3" t="s">
        <v>16046</v>
      </c>
      <c r="G3623" s="3">
        <v>209003</v>
      </c>
      <c r="H3623" s="7" t="str">
        <f>HYPERLINK("http://www.ensembl.org/Mus_musculus/Gene/Summary?db=core;g=ENSMUSG00000031107","ENSMUSG00000031107")</f>
        <v>ENSMUSG00000031107</v>
      </c>
      <c r="I3623" s="7" t="str">
        <f>HYPERLINK("http://www.informatics.jax.org/marker/MGI:1919414","MGI:1919414")</f>
        <v>MGI:1919414</v>
      </c>
      <c r="J3623" s="4" t="s">
        <v>12</v>
      </c>
    </row>
    <row r="3624" spans="1:10" x14ac:dyDescent="0.25">
      <c r="A3624" s="2">
        <v>808.72933333110495</v>
      </c>
      <c r="B3624" s="3">
        <v>0.257749449177332</v>
      </c>
      <c r="C3624" s="3">
        <v>6.0458597231444005E-4</v>
      </c>
      <c r="D3624" s="4">
        <v>1.8418716783625501E-3</v>
      </c>
      <c r="E3624" s="3" t="s">
        <v>12955</v>
      </c>
      <c r="F3624" s="3" t="s">
        <v>12956</v>
      </c>
      <c r="G3624" s="3">
        <v>68480</v>
      </c>
      <c r="H3624" s="7" t="str">
        <f>HYPERLINK("http://www.ensembl.org/Mus_musculus/Gene/Summary?db=core;g=ENSMUSG00000037960","ENSMUSG00000037960")</f>
        <v>ENSMUSG00000037960</v>
      </c>
      <c r="I3624" s="7" t="str">
        <f>HYPERLINK("http://www.informatics.jax.org/marker/MGI:1915730","MGI:1915730")</f>
        <v>MGI:1915730</v>
      </c>
      <c r="J3624" s="4" t="s">
        <v>12</v>
      </c>
    </row>
    <row r="3625" spans="1:10" x14ac:dyDescent="0.25">
      <c r="A3625" s="2">
        <v>5136.3341831512598</v>
      </c>
      <c r="B3625" s="3">
        <v>0.257623262052187</v>
      </c>
      <c r="C3625" s="3">
        <v>1.20856349924828E-3</v>
      </c>
      <c r="D3625" s="4">
        <v>3.52192584678234E-3</v>
      </c>
      <c r="E3625" s="3" t="s">
        <v>13543</v>
      </c>
      <c r="F3625" s="3" t="s">
        <v>13544</v>
      </c>
      <c r="G3625" s="3">
        <v>19921</v>
      </c>
      <c r="H3625" s="7" t="str">
        <f>HYPERLINK("http://www.ensembl.org/Mus_musculus/Gene/Summary?db=core;g=ENSMUSG00000017404","ENSMUSG00000017404")</f>
        <v>ENSMUSG00000017404</v>
      </c>
      <c r="I3625" s="7" t="str">
        <f>HYPERLINK("http://www.informatics.jax.org/marker/MGI:98020","MGI:98020")</f>
        <v>MGI:98020</v>
      </c>
      <c r="J3625" s="4" t="s">
        <v>12</v>
      </c>
    </row>
    <row r="3626" spans="1:10" x14ac:dyDescent="0.25">
      <c r="A3626" s="2">
        <v>199.87303762284901</v>
      </c>
      <c r="B3626" s="3">
        <v>0.25746729912377297</v>
      </c>
      <c r="C3626" s="3">
        <v>8.2919278596382696E-3</v>
      </c>
      <c r="D3626" s="4">
        <v>2.09341719872061E-2</v>
      </c>
      <c r="E3626" s="3" t="s">
        <v>15627</v>
      </c>
      <c r="F3626" s="3" t="s">
        <v>15628</v>
      </c>
      <c r="G3626" s="3" t="s">
        <v>83</v>
      </c>
      <c r="H3626" s="7" t="str">
        <f>HYPERLINK("http://www.ensembl.org/Mus_musculus/Gene/Summary?db=core;g=ENSMUSG00000096056","ENSMUSG00000096056")</f>
        <v>ENSMUSG00000096056</v>
      </c>
      <c r="I3626" s="7" t="str">
        <f>HYPERLINK("http://www.informatics.jax.org/marker/MGI:5439455","MGI:5439455")</f>
        <v>MGI:5439455</v>
      </c>
      <c r="J3626" s="4" t="s">
        <v>331</v>
      </c>
    </row>
    <row r="3627" spans="1:10" x14ac:dyDescent="0.25">
      <c r="A3627" s="2">
        <v>4495.7401788484603</v>
      </c>
      <c r="B3627" s="3">
        <v>0.257404260601583</v>
      </c>
      <c r="C3627" s="5">
        <v>4.3689455902293697E-7</v>
      </c>
      <c r="D3627" s="6">
        <v>1.8741702640705499E-6</v>
      </c>
      <c r="E3627" s="3" t="s">
        <v>9209</v>
      </c>
      <c r="F3627" s="3" t="s">
        <v>9210</v>
      </c>
      <c r="G3627" s="3">
        <v>11637</v>
      </c>
      <c r="H3627" s="7" t="str">
        <f>HYPERLINK("http://www.ensembl.org/Mus_musculus/Gene/Summary?db=core;g=ENSMUSG00000028792","ENSMUSG00000028792")</f>
        <v>ENSMUSG00000028792</v>
      </c>
      <c r="I3627" s="7" t="str">
        <f>HYPERLINK("http://www.informatics.jax.org/marker/MGI:87978","MGI:87978")</f>
        <v>MGI:87978</v>
      </c>
      <c r="J3627" s="4" t="s">
        <v>12</v>
      </c>
    </row>
    <row r="3628" spans="1:10" x14ac:dyDescent="0.25">
      <c r="A3628" s="2">
        <v>19204.124712241799</v>
      </c>
      <c r="B3628" s="3">
        <v>0.25740037348956202</v>
      </c>
      <c r="C3628" s="3">
        <v>6.3555774697643596E-3</v>
      </c>
      <c r="D3628" s="4">
        <v>1.6443451548642501E-2</v>
      </c>
      <c r="E3628" s="3" t="s">
        <v>15249</v>
      </c>
      <c r="F3628" s="3" t="s">
        <v>15250</v>
      </c>
      <c r="G3628" s="3">
        <v>12317</v>
      </c>
      <c r="H3628" s="7" t="str">
        <f>HYPERLINK("http://www.ensembl.org/Mus_musculus/Gene/Summary?db=core;g=ENSMUSG00000003814","ENSMUSG00000003814")</f>
        <v>ENSMUSG00000003814</v>
      </c>
      <c r="I3628" s="7" t="str">
        <f>HYPERLINK("http://www.informatics.jax.org/marker/MGI:88252","MGI:88252")</f>
        <v>MGI:88252</v>
      </c>
      <c r="J3628" s="4" t="s">
        <v>12</v>
      </c>
    </row>
    <row r="3629" spans="1:10" x14ac:dyDescent="0.25">
      <c r="A3629" s="2">
        <v>15804.248789859001</v>
      </c>
      <c r="B3629" s="3">
        <v>0.25733646792852399</v>
      </c>
      <c r="C3629" s="5">
        <v>1.9372658002749401E-10</v>
      </c>
      <c r="D3629" s="6">
        <v>1.1003134096031601E-9</v>
      </c>
      <c r="E3629" s="3" t="s">
        <v>6962</v>
      </c>
      <c r="F3629" s="3" t="s">
        <v>6963</v>
      </c>
      <c r="G3629" s="3">
        <v>16211</v>
      </c>
      <c r="H3629" s="7" t="str">
        <f>HYPERLINK("http://www.ensembl.org/Mus_musculus/Gene/Summary?db=core;g=ENSMUSG00000001440","ENSMUSG00000001440")</f>
        <v>ENSMUSG00000001440</v>
      </c>
      <c r="I3629" s="7" t="str">
        <f>HYPERLINK("http://www.informatics.jax.org/marker/MGI:107532","MGI:107532")</f>
        <v>MGI:107532</v>
      </c>
      <c r="J3629" s="4" t="s">
        <v>12</v>
      </c>
    </row>
    <row r="3630" spans="1:10" x14ac:dyDescent="0.25">
      <c r="A3630" s="2">
        <v>166.61692582990099</v>
      </c>
      <c r="B3630" s="3">
        <v>0.25693140138480203</v>
      </c>
      <c r="C3630" s="3">
        <v>1.5385967707893E-2</v>
      </c>
      <c r="D3630" s="4">
        <v>3.68306971594623E-2</v>
      </c>
      <c r="E3630" s="3" t="s">
        <v>16479</v>
      </c>
      <c r="F3630" s="3" t="s">
        <v>16480</v>
      </c>
      <c r="G3630" s="3">
        <v>16588</v>
      </c>
      <c r="H3630" s="7" t="str">
        <f>HYPERLINK("http://www.ensembl.org/Mus_musculus/Gene/Summary?db=core;g=ENSMUSG00000037262","ENSMUSG00000037262")</f>
        <v>ENSMUSG00000037262</v>
      </c>
      <c r="I3630" s="7" t="str">
        <f>HYPERLINK("http://www.informatics.jax.org/marker/MGI:96676","MGI:96676")</f>
        <v>MGI:96676</v>
      </c>
      <c r="J3630" s="4" t="s">
        <v>12</v>
      </c>
    </row>
    <row r="3631" spans="1:10" x14ac:dyDescent="0.25">
      <c r="A3631" s="2">
        <v>357.87508375217999</v>
      </c>
      <c r="B3631" s="3">
        <v>0.25683287932955701</v>
      </c>
      <c r="C3631" s="3">
        <v>5.0141942100363995E-4</v>
      </c>
      <c r="D3631" s="4">
        <v>1.5425882967537901E-3</v>
      </c>
      <c r="E3631" s="3" t="s">
        <v>12827</v>
      </c>
      <c r="F3631" s="3" t="s">
        <v>12828</v>
      </c>
      <c r="G3631" s="3" t="s">
        <v>83</v>
      </c>
      <c r="H3631" s="7" t="str">
        <f>HYPERLINK("http://www.ensembl.org/Mus_musculus/Gene/Summary?db=core;g=ENSMUSG00000105340","ENSMUSG00000105340")</f>
        <v>ENSMUSG00000105340</v>
      </c>
      <c r="I3631" s="7" t="str">
        <f>HYPERLINK("http://www.informatics.jax.org/marker/MGI:5663015","MGI:5663015")</f>
        <v>MGI:5663015</v>
      </c>
      <c r="J3631" s="4" t="s">
        <v>12</v>
      </c>
    </row>
    <row r="3632" spans="1:10" x14ac:dyDescent="0.25">
      <c r="A3632" s="2">
        <v>396.96510480417498</v>
      </c>
      <c r="B3632" s="3">
        <v>0.25679360515236999</v>
      </c>
      <c r="C3632" s="3">
        <v>4.4645518144230201E-3</v>
      </c>
      <c r="D3632" s="4">
        <v>1.19075075173295E-2</v>
      </c>
      <c r="E3632" s="3" t="s">
        <v>14790</v>
      </c>
      <c r="F3632" s="3" t="s">
        <v>14791</v>
      </c>
      <c r="G3632" s="3">
        <v>75869</v>
      </c>
      <c r="H3632" s="7" t="str">
        <f>HYPERLINK("http://www.ensembl.org/Mus_musculus/Gene/Summary?db=core;g=ENSMUSG00000017418","ENSMUSG00000017418")</f>
        <v>ENSMUSG00000017418</v>
      </c>
      <c r="I3632" s="7" t="str">
        <f>HYPERLINK("http://www.informatics.jax.org/marker/MGI:1923119","MGI:1923119")</f>
        <v>MGI:1923119</v>
      </c>
      <c r="J3632" s="4" t="s">
        <v>12</v>
      </c>
    </row>
    <row r="3633" spans="1:10" x14ac:dyDescent="0.25">
      <c r="A3633" s="2">
        <v>950.245891538259</v>
      </c>
      <c r="B3633" s="3">
        <v>0.25655902104425898</v>
      </c>
      <c r="C3633" s="5">
        <v>7.9581918888868199E-7</v>
      </c>
      <c r="D3633" s="6">
        <v>3.32490559425526E-6</v>
      </c>
      <c r="E3633" s="3" t="s">
        <v>9455</v>
      </c>
      <c r="F3633" s="3" t="s">
        <v>9456</v>
      </c>
      <c r="G3633" s="3">
        <v>66500</v>
      </c>
      <c r="H3633" s="7" t="str">
        <f>HYPERLINK("http://www.ensembl.org/Mus_musculus/Gene/Summary?db=core;g=ENSMUSG00000054414","ENSMUSG00000054414")</f>
        <v>ENSMUSG00000054414</v>
      </c>
      <c r="I3633" s="7" t="str">
        <f>HYPERLINK("http://www.informatics.jax.org/marker/MGI:1913750","MGI:1913750")</f>
        <v>MGI:1913750</v>
      </c>
      <c r="J3633" s="4" t="s">
        <v>12</v>
      </c>
    </row>
    <row r="3634" spans="1:10" x14ac:dyDescent="0.25">
      <c r="A3634" s="2">
        <v>308.27268690772399</v>
      </c>
      <c r="B3634" s="3">
        <v>0.25655028057317703</v>
      </c>
      <c r="C3634" s="3">
        <v>8.2961663117806601E-4</v>
      </c>
      <c r="D3634" s="4">
        <v>2.4742952157942302E-3</v>
      </c>
      <c r="E3634" s="3" t="s">
        <v>13233</v>
      </c>
      <c r="F3634" s="3" t="s">
        <v>13234</v>
      </c>
      <c r="G3634" s="3">
        <v>102323</v>
      </c>
      <c r="H3634" s="7" t="str">
        <f>HYPERLINK("http://www.ensembl.org/Mus_musculus/Gene/Summary?db=core;g=ENSMUSG00000038506","ENSMUSG00000038506")</f>
        <v>ENSMUSG00000038506</v>
      </c>
      <c r="I3634" s="7" t="str">
        <f>HYPERLINK("http://www.informatics.jax.org/marker/MGI:2142792","MGI:2142792")</f>
        <v>MGI:2142792</v>
      </c>
      <c r="J3634" s="4" t="s">
        <v>12</v>
      </c>
    </row>
    <row r="3635" spans="1:10" x14ac:dyDescent="0.25">
      <c r="A3635" s="2">
        <v>699.80349445977004</v>
      </c>
      <c r="B3635" s="3">
        <v>0.25654550452120001</v>
      </c>
      <c r="C3635" s="3">
        <v>1.4745516077558599E-3</v>
      </c>
      <c r="D3635" s="4">
        <v>4.2431282219386598E-3</v>
      </c>
      <c r="E3635" s="3" t="s">
        <v>13715</v>
      </c>
      <c r="F3635" s="3" t="s">
        <v>13716</v>
      </c>
      <c r="G3635" s="3">
        <v>69577</v>
      </c>
      <c r="H3635" s="7" t="str">
        <f>HYPERLINK("http://www.ensembl.org/Mus_musculus/Gene/Summary?db=core;g=ENSMUSG00000021532","ENSMUSG00000021532")</f>
        <v>ENSMUSG00000021532</v>
      </c>
      <c r="I3635" s="7" t="str">
        <f>HYPERLINK("http://www.informatics.jax.org/marker/MGI:1916827","MGI:1916827")</f>
        <v>MGI:1916827</v>
      </c>
      <c r="J3635" s="4" t="s">
        <v>12</v>
      </c>
    </row>
    <row r="3636" spans="1:10" x14ac:dyDescent="0.25">
      <c r="A3636" s="2">
        <v>1401.2619166698501</v>
      </c>
      <c r="B3636" s="3">
        <v>0.25626539160474598</v>
      </c>
      <c r="C3636" s="5">
        <v>2.81739090372153E-5</v>
      </c>
      <c r="D3636" s="4">
        <v>1.00924520656473E-4</v>
      </c>
      <c r="E3636" s="3" t="s">
        <v>11022</v>
      </c>
      <c r="F3636" s="3" t="s">
        <v>11023</v>
      </c>
      <c r="G3636" s="3" t="s">
        <v>83</v>
      </c>
      <c r="H3636" s="7" t="str">
        <f>HYPERLINK("http://www.ensembl.org/Mus_musculus/Gene/Summary?db=core;g=ENSMUSG00000118491","ENSMUSG00000118491")</f>
        <v>ENSMUSG00000118491</v>
      </c>
      <c r="I3636" s="7" t="str">
        <f>HYPERLINK("http://www.informatics.jax.org/marker/MGI:104854","MGI:104854")</f>
        <v>MGI:104854</v>
      </c>
      <c r="J3636" s="4" t="s">
        <v>12</v>
      </c>
    </row>
    <row r="3637" spans="1:10" x14ac:dyDescent="0.25">
      <c r="A3637" s="2">
        <v>6768.6149552550496</v>
      </c>
      <c r="B3637" s="3">
        <v>0.25605763533047099</v>
      </c>
      <c r="C3637" s="3">
        <v>1.55393058358432E-2</v>
      </c>
      <c r="D3637" s="4">
        <v>3.7152656532835698E-2</v>
      </c>
      <c r="E3637" s="3" t="s">
        <v>16499</v>
      </c>
      <c r="F3637" s="3" t="s">
        <v>16500</v>
      </c>
      <c r="G3637" s="3">
        <v>20539</v>
      </c>
      <c r="H3637" s="7" t="str">
        <f>HYPERLINK("http://www.ensembl.org/Mus_musculus/Gene/Summary?db=core;g=ENSMUSG00000040010","ENSMUSG00000040010")</f>
        <v>ENSMUSG00000040010</v>
      </c>
      <c r="I3637" s="7" t="str">
        <f>HYPERLINK("http://www.informatics.jax.org/marker/MGI:1298205","MGI:1298205")</f>
        <v>MGI:1298205</v>
      </c>
      <c r="J3637" s="4" t="s">
        <v>12</v>
      </c>
    </row>
    <row r="3638" spans="1:10" x14ac:dyDescent="0.25">
      <c r="A3638" s="2">
        <v>1764.42599771959</v>
      </c>
      <c r="B3638" s="3">
        <v>0.25577605270741</v>
      </c>
      <c r="C3638" s="5">
        <v>3.2942355422504E-7</v>
      </c>
      <c r="D3638" s="6">
        <v>1.43183435955869E-6</v>
      </c>
      <c r="E3638" s="3" t="s">
        <v>9089</v>
      </c>
      <c r="F3638" s="3" t="s">
        <v>9090</v>
      </c>
      <c r="G3638" s="3">
        <v>67832</v>
      </c>
      <c r="H3638" s="7" t="str">
        <f>HYPERLINK("http://www.ensembl.org/Mus_musculus/Gene/Summary?db=core;g=ENSMUSG00000022247","ENSMUSG00000022247")</f>
        <v>ENSMUSG00000022247</v>
      </c>
      <c r="I3638" s="7" t="str">
        <f>HYPERLINK("http://www.informatics.jax.org/marker/MGI:1915082","MGI:1915082")</f>
        <v>MGI:1915082</v>
      </c>
      <c r="J3638" s="4" t="s">
        <v>12</v>
      </c>
    </row>
    <row r="3639" spans="1:10" x14ac:dyDescent="0.25">
      <c r="A3639" s="2">
        <v>801.18151658008799</v>
      </c>
      <c r="B3639" s="3">
        <v>0.255694054102448</v>
      </c>
      <c r="C3639" s="3">
        <v>9.2974331244778002E-4</v>
      </c>
      <c r="D3639" s="4">
        <v>2.7541742709133602E-3</v>
      </c>
      <c r="E3639" s="3" t="s">
        <v>13322</v>
      </c>
      <c r="F3639" s="3" t="s">
        <v>13323</v>
      </c>
      <c r="G3639" s="3">
        <v>56334</v>
      </c>
      <c r="H3639" s="7" t="str">
        <f>HYPERLINK("http://www.ensembl.org/Mus_musculus/Gene/Summary?db=core;g=ENSMUSG00000029390","ENSMUSG00000029390")</f>
        <v>ENSMUSG00000029390</v>
      </c>
      <c r="I3639" s="7" t="str">
        <f>HYPERLINK("http://www.informatics.jax.org/marker/MGI:1929269","MGI:1929269")</f>
        <v>MGI:1929269</v>
      </c>
      <c r="J3639" s="4" t="s">
        <v>12</v>
      </c>
    </row>
    <row r="3640" spans="1:10" x14ac:dyDescent="0.25">
      <c r="A3640" s="2">
        <v>1844.8785443331999</v>
      </c>
      <c r="B3640" s="3">
        <v>0.25528971838957398</v>
      </c>
      <c r="C3640" s="3">
        <v>1.6083321925187101E-4</v>
      </c>
      <c r="D3640" s="4">
        <v>5.2790131219156004E-4</v>
      </c>
      <c r="E3640" s="3" t="s">
        <v>12027</v>
      </c>
      <c r="F3640" s="3" t="s">
        <v>12028</v>
      </c>
      <c r="G3640" s="3">
        <v>238317</v>
      </c>
      <c r="H3640" s="7" t="str">
        <f>HYPERLINK("http://www.ensembl.org/Mus_musculus/Gene/Summary?db=core;g=ENSMUSG00000042507","ENSMUSG00000042507")</f>
        <v>ENSMUSG00000042507</v>
      </c>
      <c r="I3640" s="7" t="str">
        <f>HYPERLINK("http://www.informatics.jax.org/marker/MGI:2685106","MGI:2685106")</f>
        <v>MGI:2685106</v>
      </c>
      <c r="J3640" s="4" t="s">
        <v>12</v>
      </c>
    </row>
    <row r="3641" spans="1:10" x14ac:dyDescent="0.25">
      <c r="A3641" s="2">
        <v>385.80010780406002</v>
      </c>
      <c r="B3641" s="3">
        <v>0.255250646384309</v>
      </c>
      <c r="C3641" s="3">
        <v>1.62238303421996E-2</v>
      </c>
      <c r="D3641" s="4">
        <v>3.8630033125836398E-2</v>
      </c>
      <c r="E3641" s="3" t="s">
        <v>16568</v>
      </c>
      <c r="F3641" s="3" t="s">
        <v>16569</v>
      </c>
      <c r="G3641" s="3">
        <v>78895</v>
      </c>
      <c r="H3641" s="7" t="str">
        <f>HYPERLINK("http://www.ensembl.org/Mus_musculus/Gene/Summary?db=core;g=ENSMUSG00000033356","ENSMUSG00000033356")</f>
        <v>ENSMUSG00000033356</v>
      </c>
      <c r="I3641" s="7" t="str">
        <f>HYPERLINK("http://www.informatics.jax.org/marker/MGI:1926145","MGI:1926145")</f>
        <v>MGI:1926145</v>
      </c>
      <c r="J3641" s="4" t="s">
        <v>12</v>
      </c>
    </row>
    <row r="3642" spans="1:10" x14ac:dyDescent="0.25">
      <c r="A3642" s="2">
        <v>1352.13047197777</v>
      </c>
      <c r="B3642" s="3">
        <v>0.25488202284825301</v>
      </c>
      <c r="C3642" s="5">
        <v>5.39447473128461E-8</v>
      </c>
      <c r="D3642" s="6">
        <v>2.50009498709595E-7</v>
      </c>
      <c r="E3642" s="3" t="s">
        <v>8527</v>
      </c>
      <c r="F3642" s="3" t="s">
        <v>8528</v>
      </c>
      <c r="G3642" s="3">
        <v>50875</v>
      </c>
      <c r="H3642" s="7" t="str">
        <f>HYPERLINK("http://www.ensembl.org/Mus_musculus/Gene/Summary?db=core;g=ENSMUSG00000058587","ENSMUSG00000058587")</f>
        <v>ENSMUSG00000058587</v>
      </c>
      <c r="I3642" s="7" t="str">
        <f>HYPERLINK("http://www.informatics.jax.org/marker/MGI:1355315","MGI:1355315")</f>
        <v>MGI:1355315</v>
      </c>
      <c r="J3642" s="4" t="s">
        <v>12</v>
      </c>
    </row>
    <row r="3643" spans="1:10" x14ac:dyDescent="0.25">
      <c r="A3643" s="2">
        <v>1834.5924779264701</v>
      </c>
      <c r="B3643" s="3">
        <v>0.25484686970550602</v>
      </c>
      <c r="C3643" s="3">
        <v>1.7328311960072899E-4</v>
      </c>
      <c r="D3643" s="4">
        <v>5.6603331431611195E-4</v>
      </c>
      <c r="E3643" s="3" t="s">
        <v>12085</v>
      </c>
      <c r="F3643" s="3" t="s">
        <v>12086</v>
      </c>
      <c r="G3643" s="3">
        <v>544971</v>
      </c>
      <c r="H3643" s="7" t="str">
        <f>HYPERLINK("http://www.ensembl.org/Mus_musculus/Gene/Summary?db=core;g=ENSMUSG00000049658","ENSMUSG00000049658")</f>
        <v>ENSMUSG00000049658</v>
      </c>
      <c r="I3643" s="7" t="str">
        <f>HYPERLINK("http://www.informatics.jax.org/marker/MGI:1347077","MGI:1347077")</f>
        <v>MGI:1347077</v>
      </c>
      <c r="J3643" s="4" t="s">
        <v>12</v>
      </c>
    </row>
    <row r="3644" spans="1:10" x14ac:dyDescent="0.25">
      <c r="A3644" s="2">
        <v>4152.0607846044704</v>
      </c>
      <c r="B3644" s="3">
        <v>0.254584988059332</v>
      </c>
      <c r="C3644" s="3">
        <v>1.02481079640668E-4</v>
      </c>
      <c r="D3644" s="4">
        <v>3.4551665079739701E-4</v>
      </c>
      <c r="E3644" s="3" t="s">
        <v>11709</v>
      </c>
      <c r="F3644" s="3" t="s">
        <v>11710</v>
      </c>
      <c r="G3644" s="3">
        <v>20085</v>
      </c>
      <c r="H3644" s="7" t="str">
        <f>HYPERLINK("http://www.ensembl.org/Mus_musculus/Gene/Summary?db=core;g=ENSMUSG00000040952","ENSMUSG00000040952")</f>
        <v>ENSMUSG00000040952</v>
      </c>
      <c r="I3644" s="7" t="str">
        <f>HYPERLINK("http://www.informatics.jax.org/marker/MGI:1333780","MGI:1333780")</f>
        <v>MGI:1333780</v>
      </c>
      <c r="J3644" s="4" t="s">
        <v>12</v>
      </c>
    </row>
    <row r="3645" spans="1:10" x14ac:dyDescent="0.25">
      <c r="A3645" s="2">
        <v>389.73055369955802</v>
      </c>
      <c r="B3645" s="3">
        <v>0.25452464816263698</v>
      </c>
      <c r="C3645" s="3">
        <v>2.5132865427324601E-3</v>
      </c>
      <c r="D3645" s="4">
        <v>6.9864689346890397E-3</v>
      </c>
      <c r="E3645" s="3" t="s">
        <v>14195</v>
      </c>
      <c r="F3645" s="3" t="s">
        <v>14196</v>
      </c>
      <c r="G3645" s="3">
        <v>103742</v>
      </c>
      <c r="H3645" s="7" t="str">
        <f>HYPERLINK("http://www.ensembl.org/Mus_musculus/Gene/Summary?db=core;g=ENSMUSG00000002580","ENSMUSG00000002580")</f>
        <v>ENSMUSG00000002580</v>
      </c>
      <c r="I3645" s="7" t="str">
        <f>HYPERLINK("http://www.informatics.jax.org/marker/MGI:1913678","MGI:1913678")</f>
        <v>MGI:1913678</v>
      </c>
      <c r="J3645" s="4" t="s">
        <v>12</v>
      </c>
    </row>
    <row r="3646" spans="1:10" x14ac:dyDescent="0.25">
      <c r="A3646" s="2">
        <v>19510.554449580999</v>
      </c>
      <c r="B3646" s="3">
        <v>0.25423768563858901</v>
      </c>
      <c r="C3646" s="5">
        <v>2.24351257541535E-8</v>
      </c>
      <c r="D3646" s="6">
        <v>1.0761874966477899E-7</v>
      </c>
      <c r="E3646" s="3" t="s">
        <v>8237</v>
      </c>
      <c r="F3646" s="3" t="s">
        <v>8238</v>
      </c>
      <c r="G3646" s="3">
        <v>15510</v>
      </c>
      <c r="H3646" s="7" t="str">
        <f>HYPERLINK("http://www.ensembl.org/Mus_musculus/Gene/Summary?db=core;g=ENSMUSG00000025980","ENSMUSG00000025980")</f>
        <v>ENSMUSG00000025980</v>
      </c>
      <c r="I3646" s="7" t="str">
        <f>HYPERLINK("http://www.informatics.jax.org/marker/MGI:96242","MGI:96242")</f>
        <v>MGI:96242</v>
      </c>
      <c r="J3646" s="4" t="s">
        <v>12</v>
      </c>
    </row>
    <row r="3647" spans="1:10" x14ac:dyDescent="0.25">
      <c r="A3647" s="2">
        <v>696.13044877326297</v>
      </c>
      <c r="B3647" s="3">
        <v>0.25418740585932598</v>
      </c>
      <c r="C3647" s="3">
        <v>9.5102432812037502E-4</v>
      </c>
      <c r="D3647" s="4">
        <v>2.8117241005298E-3</v>
      </c>
      <c r="E3647" s="3" t="s">
        <v>13349</v>
      </c>
      <c r="F3647" s="3" t="s">
        <v>13350</v>
      </c>
      <c r="G3647" s="3">
        <v>30931</v>
      </c>
      <c r="H3647" s="7" t="str">
        <f>HYPERLINK("http://www.ensembl.org/Mus_musculus/Gene/Summary?db=core;g=ENSMUSG00000026849","ENSMUSG00000026849")</f>
        <v>ENSMUSG00000026849</v>
      </c>
      <c r="I3647" s="7" t="str">
        <f>HYPERLINK("http://www.informatics.jax.org/marker/MGI:1353568","MGI:1353568")</f>
        <v>MGI:1353568</v>
      </c>
      <c r="J3647" s="4" t="s">
        <v>12</v>
      </c>
    </row>
    <row r="3648" spans="1:10" x14ac:dyDescent="0.25">
      <c r="A3648" s="2">
        <v>181.39875317132899</v>
      </c>
      <c r="B3648" s="3">
        <v>0.25418711410313</v>
      </c>
      <c r="C3648" s="3">
        <v>9.8123949556743299E-3</v>
      </c>
      <c r="D3648" s="4">
        <v>2.4453485217477301E-2</v>
      </c>
      <c r="E3648" s="3" t="s">
        <v>15831</v>
      </c>
      <c r="F3648" s="3" t="s">
        <v>15832</v>
      </c>
      <c r="G3648" s="3">
        <v>100041677</v>
      </c>
      <c r="H3648" s="7" t="str">
        <f>HYPERLINK("http://www.ensembl.org/Mus_musculus/Gene/Summary?db=core;g=ENSMUSG00000078495","ENSMUSG00000078495")</f>
        <v>ENSMUSG00000078495</v>
      </c>
      <c r="I3648" s="7" t="str">
        <f>HYPERLINK("http://www.informatics.jax.org/marker/MGI:3651978","MGI:3651978")</f>
        <v>MGI:3651978</v>
      </c>
      <c r="J3648" s="4" t="s">
        <v>12</v>
      </c>
    </row>
    <row r="3649" spans="1:10" x14ac:dyDescent="0.25">
      <c r="A3649" s="2">
        <v>949.13340971444995</v>
      </c>
      <c r="B3649" s="3">
        <v>0.25398075057921699</v>
      </c>
      <c r="C3649" s="3">
        <v>1.1056160939446401E-3</v>
      </c>
      <c r="D3649" s="4">
        <v>3.2396358651691401E-3</v>
      </c>
      <c r="E3649" s="3" t="s">
        <v>13469</v>
      </c>
      <c r="F3649" s="3" t="s">
        <v>13470</v>
      </c>
      <c r="G3649" s="3">
        <v>74200</v>
      </c>
      <c r="H3649" s="7" t="str">
        <f>HYPERLINK("http://www.ensembl.org/Mus_musculus/Gene/Summary?db=core;g=ENSMUSG00000028060","ENSMUSG00000028060")</f>
        <v>ENSMUSG00000028060</v>
      </c>
      <c r="I3649" s="7" t="str">
        <f>HYPERLINK("http://www.informatics.jax.org/marker/MGI:1921450","MGI:1921450")</f>
        <v>MGI:1921450</v>
      </c>
      <c r="J3649" s="4" t="s">
        <v>12</v>
      </c>
    </row>
    <row r="3650" spans="1:10" x14ac:dyDescent="0.25">
      <c r="A3650" s="2">
        <v>221.00360589802099</v>
      </c>
      <c r="B3650" s="3">
        <v>0.25379713984746699</v>
      </c>
      <c r="C3650" s="3">
        <v>1.07034042695409E-2</v>
      </c>
      <c r="D3650" s="4">
        <v>2.6463281368524001E-2</v>
      </c>
      <c r="E3650" s="3" t="s">
        <v>15957</v>
      </c>
      <c r="F3650" s="3" t="s">
        <v>15958</v>
      </c>
      <c r="G3650" s="3">
        <v>55943</v>
      </c>
      <c r="H3650" s="7" t="str">
        <f>HYPERLINK("http://www.ensembl.org/Mus_musculus/Gene/Summary?db=core;g=ENSMUSG00000020903","ENSMUSG00000020903")</f>
        <v>ENSMUSG00000020903</v>
      </c>
      <c r="I3650" s="7" t="str">
        <f>HYPERLINK("http://www.informatics.jax.org/marker/MGI:1890156","MGI:1890156")</f>
        <v>MGI:1890156</v>
      </c>
      <c r="J3650" s="4" t="s">
        <v>12</v>
      </c>
    </row>
    <row r="3651" spans="1:10" x14ac:dyDescent="0.25">
      <c r="A3651" s="2">
        <v>812.69694997611202</v>
      </c>
      <c r="B3651" s="3">
        <v>0.25372052492288799</v>
      </c>
      <c r="C3651" s="3">
        <v>7.9248151717378301E-4</v>
      </c>
      <c r="D3651" s="4">
        <v>2.3717917011180701E-3</v>
      </c>
      <c r="E3651" s="3" t="s">
        <v>13187</v>
      </c>
      <c r="F3651" s="3" t="s">
        <v>13188</v>
      </c>
      <c r="G3651" s="3">
        <v>20868</v>
      </c>
      <c r="H3651" s="7" t="str">
        <f>HYPERLINK("http://www.ensembl.org/Mus_musculus/Gene/Summary?db=core;g=ENSMUSG00000020272","ENSMUSG00000020272")</f>
        <v>ENSMUSG00000020272</v>
      </c>
      <c r="I3651" s="7" t="str">
        <f>HYPERLINK("http://www.informatics.jax.org/marker/MGI:1099439","MGI:1099439")</f>
        <v>MGI:1099439</v>
      </c>
      <c r="J3651" s="4" t="s">
        <v>12</v>
      </c>
    </row>
    <row r="3652" spans="1:10" x14ac:dyDescent="0.25">
      <c r="A3652" s="2">
        <v>1701.85517535691</v>
      </c>
      <c r="B3652" s="3">
        <v>0.25367663917850303</v>
      </c>
      <c r="C3652" s="5">
        <v>2.07624802248471E-5</v>
      </c>
      <c r="D3652" s="6">
        <v>7.5388714791748107E-5</v>
      </c>
      <c r="E3652" s="3" t="s">
        <v>10874</v>
      </c>
      <c r="F3652" s="3" t="s">
        <v>10875</v>
      </c>
      <c r="G3652" s="3">
        <v>12321</v>
      </c>
      <c r="H3652" s="7" t="str">
        <f>HYPERLINK("http://www.ensembl.org/Mus_musculus/Gene/Summary?db=core;g=ENSMUSG00000029767","ENSMUSG00000029767")</f>
        <v>ENSMUSG00000029767</v>
      </c>
      <c r="I3652" s="7" t="str">
        <f>HYPERLINK("http://www.informatics.jax.org/marker/MGI:1097158","MGI:1097158")</f>
        <v>MGI:1097158</v>
      </c>
      <c r="J3652" s="4" t="s">
        <v>12</v>
      </c>
    </row>
    <row r="3653" spans="1:10" x14ac:dyDescent="0.25">
      <c r="A3653" s="2">
        <v>1758.90797103005</v>
      </c>
      <c r="B3653" s="3">
        <v>0.25332763427509603</v>
      </c>
      <c r="C3653" s="5">
        <v>1.74207299867085E-6</v>
      </c>
      <c r="D3653" s="6">
        <v>7.0339229184662603E-6</v>
      </c>
      <c r="E3653" s="3" t="s">
        <v>9783</v>
      </c>
      <c r="F3653" s="3" t="s">
        <v>9784</v>
      </c>
      <c r="G3653" s="3">
        <v>70829</v>
      </c>
      <c r="H3653" s="7" t="str">
        <f>HYPERLINK("http://www.ensembl.org/Mus_musculus/Gene/Summary?db=core;g=ENSMUSG00000026339","ENSMUSG00000026339")</f>
        <v>ENSMUSG00000026339</v>
      </c>
      <c r="I3653" s="7" t="str">
        <f>HYPERLINK("http://www.informatics.jax.org/marker/MGI:1918079","MGI:1918079")</f>
        <v>MGI:1918079</v>
      </c>
      <c r="J3653" s="4" t="s">
        <v>12</v>
      </c>
    </row>
    <row r="3654" spans="1:10" x14ac:dyDescent="0.25">
      <c r="A3654" s="2">
        <v>660.88478034217803</v>
      </c>
      <c r="B3654" s="3">
        <v>0.25326272424602803</v>
      </c>
      <c r="C3654" s="3">
        <v>1.26589368458345E-3</v>
      </c>
      <c r="D3654" s="4">
        <v>3.68409437130838E-3</v>
      </c>
      <c r="E3654" s="3" t="s">
        <v>13559</v>
      </c>
      <c r="F3654" s="3" t="s">
        <v>13560</v>
      </c>
      <c r="G3654" s="3">
        <v>17299</v>
      </c>
      <c r="H3654" s="7" t="str">
        <f>HYPERLINK("http://www.ensembl.org/Mus_musculus/Gene/Summary?db=core;g=ENSMUSG00000006732","ENSMUSG00000006732")</f>
        <v>ENSMUSG00000006732</v>
      </c>
      <c r="I3654" s="7" t="str">
        <f>HYPERLINK("http://www.informatics.jax.org/marker/MGI:1339986","MGI:1339986")</f>
        <v>MGI:1339986</v>
      </c>
      <c r="J3654" s="4" t="s">
        <v>12</v>
      </c>
    </row>
    <row r="3655" spans="1:10" x14ac:dyDescent="0.25">
      <c r="A3655" s="2">
        <v>4102.5638653299302</v>
      </c>
      <c r="B3655" s="3">
        <v>0.25320216368961801</v>
      </c>
      <c r="C3655" s="5">
        <v>9.4552718469104305E-14</v>
      </c>
      <c r="D3655" s="6">
        <v>6.76107180263645E-13</v>
      </c>
      <c r="E3655" s="3" t="s">
        <v>5531</v>
      </c>
      <c r="F3655" s="3" t="s">
        <v>5532</v>
      </c>
      <c r="G3655" s="3">
        <v>19192</v>
      </c>
      <c r="H3655" s="7" t="str">
        <f>HYPERLINK("http://www.ensembl.org/Mus_musculus/Gene/Summary?db=core;g=ENSMUSG00000078652","ENSMUSG00000078652")</f>
        <v>ENSMUSG00000078652</v>
      </c>
      <c r="I3655" s="7" t="str">
        <f>HYPERLINK("http://www.informatics.jax.org/marker/MGI:1096366","MGI:1096366")</f>
        <v>MGI:1096366</v>
      </c>
      <c r="J3655" s="4" t="s">
        <v>12</v>
      </c>
    </row>
    <row r="3656" spans="1:10" x14ac:dyDescent="0.25">
      <c r="A3656" s="2">
        <v>351.46655345811001</v>
      </c>
      <c r="B3656" s="3">
        <v>0.25301412841985799</v>
      </c>
      <c r="C3656" s="3">
        <v>1.55644734926682E-2</v>
      </c>
      <c r="D3656" s="4">
        <v>3.7208318253778197E-2</v>
      </c>
      <c r="E3656" s="3" t="s">
        <v>16501</v>
      </c>
      <c r="F3656" s="3" t="s">
        <v>16502</v>
      </c>
      <c r="G3656" s="3">
        <v>171486</v>
      </c>
      <c r="H3656" s="7" t="str">
        <f>HYPERLINK("http://www.ensembl.org/Mus_musculus/Gene/Summary?db=core;g=ENSMUSG00000035776","ENSMUSG00000035776")</f>
        <v>ENSMUSG00000035776</v>
      </c>
      <c r="I3656" s="7" t="str">
        <f>HYPERLINK("http://www.informatics.jax.org/marker/MGI:2177151","MGI:2177151")</f>
        <v>MGI:2177151</v>
      </c>
      <c r="J3656" s="4" t="s">
        <v>12</v>
      </c>
    </row>
    <row r="3657" spans="1:10" x14ac:dyDescent="0.25">
      <c r="A3657" s="2">
        <v>4696.4393224670002</v>
      </c>
      <c r="B3657" s="3">
        <v>0.25300136108257698</v>
      </c>
      <c r="C3657" s="5">
        <v>7.4304070924552499E-7</v>
      </c>
      <c r="D3657" s="6">
        <v>3.1149580753235E-6</v>
      </c>
      <c r="E3657" s="3" t="s">
        <v>9423</v>
      </c>
      <c r="F3657" s="3" t="s">
        <v>9424</v>
      </c>
      <c r="G3657" s="3">
        <v>17319</v>
      </c>
      <c r="H3657" s="7" t="str">
        <f>HYPERLINK("http://www.ensembl.org/Mus_musculus/Gene/Summary?db=core;g=ENSMUSG00000033307","ENSMUSG00000033307")</f>
        <v>ENSMUSG00000033307</v>
      </c>
      <c r="I3657" s="7" t="str">
        <f>HYPERLINK("http://www.informatics.jax.org/marker/MGI:96982","MGI:96982")</f>
        <v>MGI:96982</v>
      </c>
      <c r="J3657" s="4" t="s">
        <v>12</v>
      </c>
    </row>
    <row r="3658" spans="1:10" x14ac:dyDescent="0.25">
      <c r="A3658" s="2">
        <v>2867.92005617012</v>
      </c>
      <c r="B3658" s="3">
        <v>0.252926802691258</v>
      </c>
      <c r="C3658" s="5">
        <v>5.7119462482599904E-9</v>
      </c>
      <c r="D3658" s="6">
        <v>2.8867139932262201E-8</v>
      </c>
      <c r="E3658" s="3" t="s">
        <v>7820</v>
      </c>
      <c r="F3658" s="3" t="s">
        <v>7821</v>
      </c>
      <c r="G3658" s="3" t="s">
        <v>83</v>
      </c>
      <c r="H3658" s="7" t="str">
        <f>HYPERLINK("http://www.ensembl.org/Mus_musculus/Gene/Summary?db=core;g=ENSMUSG00000092595","ENSMUSG00000092595")</f>
        <v>ENSMUSG00000092595</v>
      </c>
      <c r="I3658" s="7" t="str">
        <f>HYPERLINK("http://www.informatics.jax.org/marker/MGI:5141892","MGI:5141892")</f>
        <v>MGI:5141892</v>
      </c>
      <c r="J3658" s="4" t="s">
        <v>331</v>
      </c>
    </row>
    <row r="3659" spans="1:10" x14ac:dyDescent="0.25">
      <c r="A3659" s="2">
        <v>596.77090720954402</v>
      </c>
      <c r="B3659" s="3">
        <v>0.25292237180551302</v>
      </c>
      <c r="C3659" s="3">
        <v>6.0551753166368499E-3</v>
      </c>
      <c r="D3659" s="4">
        <v>1.5732286856927399E-2</v>
      </c>
      <c r="E3659" s="3" t="s">
        <v>15185</v>
      </c>
      <c r="F3659" s="3" t="s">
        <v>15186</v>
      </c>
      <c r="G3659" s="3">
        <v>268390</v>
      </c>
      <c r="H3659" s="7" t="str">
        <f>HYPERLINK("http://www.ensembl.org/Mus_musculus/Gene/Summary?db=core;g=ENSMUSG00000020288","ENSMUSG00000020288")</f>
        <v>ENSMUSG00000020288</v>
      </c>
      <c r="I3659" s="7" t="str">
        <f>HYPERLINK("http://www.informatics.jax.org/marker/MGI:1916133","MGI:1916133")</f>
        <v>MGI:1916133</v>
      </c>
      <c r="J3659" s="4" t="s">
        <v>12</v>
      </c>
    </row>
    <row r="3660" spans="1:10" x14ac:dyDescent="0.25">
      <c r="A3660" s="2">
        <v>10445.202714336399</v>
      </c>
      <c r="B3660" s="3">
        <v>0.25291078213743001</v>
      </c>
      <c r="C3660" s="5">
        <v>3.0272122607962602E-19</v>
      </c>
      <c r="D3660" s="6">
        <v>2.9049452935718802E-18</v>
      </c>
      <c r="E3660" s="3" t="s">
        <v>4127</v>
      </c>
      <c r="F3660" s="3" t="s">
        <v>4128</v>
      </c>
      <c r="G3660" s="3">
        <v>15191</v>
      </c>
      <c r="H3660" s="7" t="str">
        <f>HYPERLINK("http://www.ensembl.org/Mus_musculus/Gene/Summary?db=core;g=ENSMUSG00000004897","ENSMUSG00000004897")</f>
        <v>ENSMUSG00000004897</v>
      </c>
      <c r="I3660" s="7" t="str">
        <f>HYPERLINK("http://www.informatics.jax.org/marker/MGI:1194494","MGI:1194494")</f>
        <v>MGI:1194494</v>
      </c>
      <c r="J3660" s="4" t="s">
        <v>12</v>
      </c>
    </row>
    <row r="3661" spans="1:10" x14ac:dyDescent="0.25">
      <c r="A3661" s="2">
        <v>1284.8786091264201</v>
      </c>
      <c r="B3661" s="3">
        <v>0.25279479138061101</v>
      </c>
      <c r="C3661" s="3">
        <v>1.6696620523694501E-4</v>
      </c>
      <c r="D3661" s="4">
        <v>5.4684829218943005E-4</v>
      </c>
      <c r="E3661" s="3" t="s">
        <v>12053</v>
      </c>
      <c r="F3661" s="3" t="s">
        <v>12054</v>
      </c>
      <c r="G3661" s="3">
        <v>233575</v>
      </c>
      <c r="H3661" s="7" t="str">
        <f>HYPERLINK("http://www.ensembl.org/Mus_musculus/Gene/Summary?db=core;g=ENSMUSG00000030990","ENSMUSG00000030990")</f>
        <v>ENSMUSG00000030990</v>
      </c>
      <c r="I3661" s="7" t="str">
        <f>HYPERLINK("http://www.informatics.jax.org/marker/MGI:2385286","MGI:2385286")</f>
        <v>MGI:2385286</v>
      </c>
      <c r="J3661" s="4" t="s">
        <v>12</v>
      </c>
    </row>
    <row r="3662" spans="1:10" x14ac:dyDescent="0.25">
      <c r="A3662" s="2">
        <v>810.346567159502</v>
      </c>
      <c r="B3662" s="3">
        <v>0.25254359234591001</v>
      </c>
      <c r="C3662" s="3">
        <v>2.8787576500888599E-3</v>
      </c>
      <c r="D3662" s="4">
        <v>7.9175872886683794E-3</v>
      </c>
      <c r="E3662" s="3" t="s">
        <v>14345</v>
      </c>
      <c r="F3662" s="3" t="s">
        <v>14346</v>
      </c>
      <c r="G3662" s="3">
        <v>72949</v>
      </c>
      <c r="H3662" s="7" t="str">
        <f>HYPERLINK("http://www.ensembl.org/Mus_musculus/Gene/Summary?db=core;g=ENSMUSG00000026349","ENSMUSG00000026349")</f>
        <v>ENSMUSG00000026349</v>
      </c>
      <c r="I3662" s="7" t="str">
        <f>HYPERLINK("http://www.informatics.jax.org/marker/MGI:1920199","MGI:1920199")</f>
        <v>MGI:1920199</v>
      </c>
      <c r="J3662" s="4" t="s">
        <v>12</v>
      </c>
    </row>
    <row r="3663" spans="1:10" x14ac:dyDescent="0.25">
      <c r="A3663" s="2">
        <v>9145.58775814826</v>
      </c>
      <c r="B3663" s="3">
        <v>0.252371480643858</v>
      </c>
      <c r="C3663" s="5">
        <v>1.5261429700413801E-7</v>
      </c>
      <c r="D3663" s="6">
        <v>6.7951093631104202E-7</v>
      </c>
      <c r="E3663" s="3" t="s">
        <v>8875</v>
      </c>
      <c r="F3663" s="3" t="s">
        <v>8876</v>
      </c>
      <c r="G3663" s="3">
        <v>11966</v>
      </c>
      <c r="H3663" s="7" t="str">
        <f>HYPERLINK("http://www.ensembl.org/Mus_musculus/Gene/Summary?db=core;g=ENSMUSG00000006273","ENSMUSG00000006273")</f>
        <v>ENSMUSG00000006273</v>
      </c>
      <c r="I3663" s="7" t="str">
        <f>HYPERLINK("http://www.informatics.jax.org/marker/MGI:109618","MGI:109618")</f>
        <v>MGI:109618</v>
      </c>
      <c r="J3663" s="4" t="s">
        <v>12</v>
      </c>
    </row>
    <row r="3664" spans="1:10" x14ac:dyDescent="0.25">
      <c r="A3664" s="2">
        <v>1935.8115960070299</v>
      </c>
      <c r="B3664" s="3">
        <v>0.25227883642190102</v>
      </c>
      <c r="C3664" s="3">
        <v>2.8672707123159503E-4</v>
      </c>
      <c r="D3664" s="4">
        <v>9.1124219898260301E-4</v>
      </c>
      <c r="E3664" s="3" t="s">
        <v>12423</v>
      </c>
      <c r="F3664" s="3" t="s">
        <v>12424</v>
      </c>
      <c r="G3664" s="3">
        <v>51797</v>
      </c>
      <c r="H3664" s="7" t="str">
        <f>HYPERLINK("http://www.ensembl.org/Mus_musculus/Gene/Summary?db=core;g=ENSMUSG00000028633","ENSMUSG00000028633")</f>
        <v>ENSMUSG00000028633</v>
      </c>
      <c r="I3664" s="7" t="str">
        <f>HYPERLINK("http://www.informatics.jax.org/marker/MGI:1858304","MGI:1858304")</f>
        <v>MGI:1858304</v>
      </c>
      <c r="J3664" s="4" t="s">
        <v>12</v>
      </c>
    </row>
    <row r="3665" spans="1:10" x14ac:dyDescent="0.25">
      <c r="A3665" s="2">
        <v>1478.5346230488799</v>
      </c>
      <c r="B3665" s="3">
        <v>0.25222537147348401</v>
      </c>
      <c r="C3665" s="3">
        <v>1.5420358931618201E-4</v>
      </c>
      <c r="D3665" s="4">
        <v>5.07661900052605E-4</v>
      </c>
      <c r="E3665" s="3" t="s">
        <v>11991</v>
      </c>
      <c r="F3665" s="3" t="s">
        <v>11992</v>
      </c>
      <c r="G3665" s="3">
        <v>70495</v>
      </c>
      <c r="H3665" s="7" t="str">
        <f>HYPERLINK("http://www.ensembl.org/Mus_musculus/Gene/Summary?db=core;g=ENSMUSG00000031007","ENSMUSG00000031007")</f>
        <v>ENSMUSG00000031007</v>
      </c>
      <c r="I3665" s="7" t="str">
        <f>HYPERLINK("http://www.informatics.jax.org/marker/MGI:1917745","MGI:1917745")</f>
        <v>MGI:1917745</v>
      </c>
      <c r="J3665" s="4" t="s">
        <v>12</v>
      </c>
    </row>
    <row r="3666" spans="1:10" x14ac:dyDescent="0.25">
      <c r="A3666" s="2">
        <v>595.31254709726102</v>
      </c>
      <c r="B3666" s="3">
        <v>0.25204631559701801</v>
      </c>
      <c r="C3666" s="3">
        <v>2.7191305353806898E-4</v>
      </c>
      <c r="D3666" s="4">
        <v>8.6653610468175805E-4</v>
      </c>
      <c r="E3666" s="3" t="s">
        <v>12388</v>
      </c>
      <c r="F3666" s="3" t="s">
        <v>12389</v>
      </c>
      <c r="G3666" s="3">
        <v>104836</v>
      </c>
      <c r="H3666" s="7" t="str">
        <f>HYPERLINK("http://www.ensembl.org/Mus_musculus/Gene/Summary?db=core;g=ENSMUSG00000020659","ENSMUSG00000020659")</f>
        <v>ENSMUSG00000020659</v>
      </c>
      <c r="I3666" s="7" t="str">
        <f>HYPERLINK("http://www.informatics.jax.org/marker/MGI:2144842","MGI:2144842")</f>
        <v>MGI:2144842</v>
      </c>
      <c r="J3666" s="4" t="s">
        <v>12</v>
      </c>
    </row>
    <row r="3667" spans="1:10" x14ac:dyDescent="0.25">
      <c r="A3667" s="2">
        <v>1854.36052735979</v>
      </c>
      <c r="B3667" s="3">
        <v>0.25185268307970099</v>
      </c>
      <c r="C3667" s="5">
        <v>9.8922034807923505E-9</v>
      </c>
      <c r="D3667" s="6">
        <v>4.9087632773332999E-8</v>
      </c>
      <c r="E3667" s="3" t="s">
        <v>7965</v>
      </c>
      <c r="F3667" s="3" t="s">
        <v>7966</v>
      </c>
      <c r="G3667" s="3">
        <v>66899</v>
      </c>
      <c r="H3667" s="7" t="str">
        <f>HYPERLINK("http://www.ensembl.org/Mus_musculus/Gene/Summary?db=core;g=ENSMUSG00000029227","ENSMUSG00000029227")</f>
        <v>ENSMUSG00000029227</v>
      </c>
      <c r="I3667" s="7" t="str">
        <f>HYPERLINK("http://www.informatics.jax.org/marker/MGI:1914149","MGI:1914149")</f>
        <v>MGI:1914149</v>
      </c>
      <c r="J3667" s="4" t="s">
        <v>12</v>
      </c>
    </row>
    <row r="3668" spans="1:10" x14ac:dyDescent="0.25">
      <c r="A3668" s="2">
        <v>1368.65746610377</v>
      </c>
      <c r="B3668" s="3">
        <v>0.250922081377765</v>
      </c>
      <c r="C3668" s="5">
        <v>3.9197295301874199E-5</v>
      </c>
      <c r="D3668" s="4">
        <v>1.38079789809389E-4</v>
      </c>
      <c r="E3668" s="3" t="s">
        <v>11207</v>
      </c>
      <c r="F3668" s="3" t="s">
        <v>11208</v>
      </c>
      <c r="G3668" s="3">
        <v>110379</v>
      </c>
      <c r="H3668" s="7" t="str">
        <f>HYPERLINK("http://www.ensembl.org/Mus_musculus/Gene/Summary?db=core;g=ENSMUSG00000030298","ENSMUSG00000030298")</f>
        <v>ENSMUSG00000030298</v>
      </c>
      <c r="I3668" s="7" t="str">
        <f>HYPERLINK("http://www.informatics.jax.org/marker/MGI:99832","MGI:99832")</f>
        <v>MGI:99832</v>
      </c>
      <c r="J3668" s="4" t="s">
        <v>12</v>
      </c>
    </row>
    <row r="3669" spans="1:10" x14ac:dyDescent="0.25">
      <c r="A3669" s="2">
        <v>297.87748998618702</v>
      </c>
      <c r="B3669" s="3">
        <v>0.25036149772837701</v>
      </c>
      <c r="C3669" s="3">
        <v>3.9710005912337197E-3</v>
      </c>
      <c r="D3669" s="4">
        <v>1.07007558976672E-2</v>
      </c>
      <c r="E3669" s="3" t="s">
        <v>14639</v>
      </c>
      <c r="F3669" s="3" t="s">
        <v>14640</v>
      </c>
      <c r="G3669" s="3">
        <v>68277</v>
      </c>
      <c r="H3669" s="7" t="str">
        <f>HYPERLINK("http://www.ensembl.org/Mus_musculus/Gene/Summary?db=core;g=ENSMUSG00000040177","ENSMUSG00000040177")</f>
        <v>ENSMUSG00000040177</v>
      </c>
      <c r="I3669" s="7" t="str">
        <f>HYPERLINK("http://www.informatics.jax.org/marker/MGI:1915527","MGI:1915527")</f>
        <v>MGI:1915527</v>
      </c>
      <c r="J3669" s="4" t="s">
        <v>12</v>
      </c>
    </row>
    <row r="3670" spans="1:10" x14ac:dyDescent="0.25">
      <c r="A3670" s="2">
        <v>259.37178916933601</v>
      </c>
      <c r="B3670" s="3">
        <v>0.25024801874592101</v>
      </c>
      <c r="C3670" s="3">
        <v>1.6636296007404999E-2</v>
      </c>
      <c r="D3670" s="4">
        <v>3.9535762504944102E-2</v>
      </c>
      <c r="E3670" s="3" t="s">
        <v>16600</v>
      </c>
      <c r="F3670" s="3" t="s">
        <v>16601</v>
      </c>
      <c r="G3670" s="3">
        <v>171508</v>
      </c>
      <c r="H3670" s="7" t="str">
        <f>HYPERLINK("http://www.ensembl.org/Mus_musculus/Gene/Summary?db=core;g=ENSMUSG00000030284","ENSMUSG00000030284")</f>
        <v>ENSMUSG00000030284</v>
      </c>
      <c r="I3670" s="7" t="str">
        <f>HYPERLINK("http://www.informatics.jax.org/marker/MGI:2152539","MGI:2152539")</f>
        <v>MGI:2152539</v>
      </c>
      <c r="J3670" s="4" t="s">
        <v>12</v>
      </c>
    </row>
    <row r="3671" spans="1:10" x14ac:dyDescent="0.25">
      <c r="A3671" s="2">
        <v>1841.8151015922599</v>
      </c>
      <c r="B3671" s="3">
        <v>0.25018623831593201</v>
      </c>
      <c r="C3671" s="5">
        <v>2.30872118171358E-7</v>
      </c>
      <c r="D3671" s="6">
        <v>1.0173850659975801E-6</v>
      </c>
      <c r="E3671" s="3" t="s">
        <v>8967</v>
      </c>
      <c r="F3671" s="3" t="s">
        <v>8968</v>
      </c>
      <c r="G3671" s="3">
        <v>105372</v>
      </c>
      <c r="H3671" s="7" t="str">
        <f>HYPERLINK("http://www.ensembl.org/Mus_musculus/Gene/Summary?db=core;g=ENSMUSG00000041747","ENSMUSG00000041747")</f>
        <v>ENSMUSG00000041747</v>
      </c>
      <c r="I3671" s="7" t="str">
        <f>HYPERLINK("http://www.informatics.jax.org/marker/MGI:2145443","MGI:2145443")</f>
        <v>MGI:2145443</v>
      </c>
      <c r="J3671" s="4" t="s">
        <v>12</v>
      </c>
    </row>
    <row r="3672" spans="1:10" x14ac:dyDescent="0.25">
      <c r="A3672" s="2">
        <v>68380.890500836205</v>
      </c>
      <c r="B3672" s="3">
        <v>0.25001431481687297</v>
      </c>
      <c r="C3672" s="3">
        <v>2.3853927129549601E-4</v>
      </c>
      <c r="D3672" s="4">
        <v>7.6662229953506896E-4</v>
      </c>
      <c r="E3672" s="3" t="s">
        <v>12283</v>
      </c>
      <c r="F3672" s="3" t="s">
        <v>12284</v>
      </c>
      <c r="G3672" s="3">
        <v>13627</v>
      </c>
      <c r="H3672" s="7" t="str">
        <f>HYPERLINK("http://www.ensembl.org/Mus_musculus/Gene/Summary?db=core;g=ENSMUSG00000037742","ENSMUSG00000037742")</f>
        <v>ENSMUSG00000037742</v>
      </c>
      <c r="I3672" s="7" t="str">
        <f>HYPERLINK("http://www.informatics.jax.org/marker/MGI:1096881","MGI:1096881")</f>
        <v>MGI:1096881</v>
      </c>
      <c r="J3672" s="4" t="s">
        <v>12</v>
      </c>
    </row>
    <row r="3673" spans="1:10" x14ac:dyDescent="0.25">
      <c r="A3673" s="2">
        <v>416.57264786052502</v>
      </c>
      <c r="B3673" s="3">
        <v>0.24987320678493799</v>
      </c>
      <c r="C3673" s="3">
        <v>2.7324405287439802E-4</v>
      </c>
      <c r="D3673" s="4">
        <v>8.7049640107966396E-4</v>
      </c>
      <c r="E3673" s="3" t="s">
        <v>12392</v>
      </c>
      <c r="F3673" s="3" t="s">
        <v>12393</v>
      </c>
      <c r="G3673" s="3">
        <v>56031</v>
      </c>
      <c r="H3673" s="7" t="str">
        <f>HYPERLINK("http://www.ensembl.org/Mus_musculus/Gene/Summary?db=core;g=ENSMUSG00000028651","ENSMUSG00000028651")</f>
        <v>ENSMUSG00000028651</v>
      </c>
      <c r="I3673" s="7" t="str">
        <f>HYPERLINK("http://www.informatics.jax.org/marker/MGI:1917118","MGI:1917118")</f>
        <v>MGI:1917118</v>
      </c>
      <c r="J3673" s="4" t="s">
        <v>12</v>
      </c>
    </row>
    <row r="3674" spans="1:10" x14ac:dyDescent="0.25">
      <c r="A3674" s="2">
        <v>4633.8635749318</v>
      </c>
      <c r="B3674" s="3">
        <v>0.24975115288283001</v>
      </c>
      <c r="C3674" s="5">
        <v>9.7069973727293591E-7</v>
      </c>
      <c r="D3674" s="6">
        <v>4.0197813563675502E-6</v>
      </c>
      <c r="E3674" s="3" t="s">
        <v>9539</v>
      </c>
      <c r="F3674" s="3" t="s">
        <v>9540</v>
      </c>
      <c r="G3674" s="3">
        <v>19933</v>
      </c>
      <c r="H3674" s="7" t="str">
        <f>HYPERLINK("http://www.ensembl.org/Mus_musculus/Gene/Summary?db=core;g=ENSMUSG00000041453","ENSMUSG00000041453")</f>
        <v>ENSMUSG00000041453</v>
      </c>
      <c r="I3674" s="7" t="str">
        <f>HYPERLINK("http://www.informatics.jax.org/marker/MGI:1278340","MGI:1278340")</f>
        <v>MGI:1278340</v>
      </c>
      <c r="J3674" s="4" t="s">
        <v>12</v>
      </c>
    </row>
    <row r="3675" spans="1:10" x14ac:dyDescent="0.25">
      <c r="A3675" s="2">
        <v>953.56552164828804</v>
      </c>
      <c r="B3675" s="3">
        <v>0.249591602929634</v>
      </c>
      <c r="C3675" s="5">
        <v>1.4915573726544701E-7</v>
      </c>
      <c r="D3675" s="6">
        <v>6.6516307979977805E-7</v>
      </c>
      <c r="E3675" s="3" t="s">
        <v>8861</v>
      </c>
      <c r="F3675" s="3" t="s">
        <v>8862</v>
      </c>
      <c r="G3675" s="3">
        <v>72612</v>
      </c>
      <c r="H3675" s="7" t="str">
        <f>HYPERLINK("http://www.ensembl.org/Mus_musculus/Gene/Summary?db=core;g=ENSMUSG00000038005","ENSMUSG00000038005")</f>
        <v>ENSMUSG00000038005</v>
      </c>
      <c r="I3675" s="7" t="str">
        <f>HYPERLINK("http://www.informatics.jax.org/marker/MGI:1919862","MGI:1919862")</f>
        <v>MGI:1919862</v>
      </c>
      <c r="J3675" s="4" t="s">
        <v>12</v>
      </c>
    </row>
    <row r="3676" spans="1:10" x14ac:dyDescent="0.25">
      <c r="A3676" s="2">
        <v>1665.2373183242601</v>
      </c>
      <c r="B3676" s="3">
        <v>0.249584616181839</v>
      </c>
      <c r="C3676" s="5">
        <v>5.4813369170847098E-7</v>
      </c>
      <c r="D3676" s="6">
        <v>2.3310753505479898E-6</v>
      </c>
      <c r="E3676" s="3" t="s">
        <v>9289</v>
      </c>
      <c r="F3676" s="3" t="s">
        <v>9290</v>
      </c>
      <c r="G3676" s="3">
        <v>232187</v>
      </c>
      <c r="H3676" s="7" t="str">
        <f>HYPERLINK("http://www.ensembl.org/Mus_musculus/Gene/Summary?db=core;g=ENSMUSG00000033706","ENSMUSG00000033706")</f>
        <v>ENSMUSG00000033706</v>
      </c>
      <c r="I3676" s="7" t="str">
        <f>HYPERLINK("http://www.informatics.jax.org/marker/MGI:108048","MGI:108048")</f>
        <v>MGI:108048</v>
      </c>
      <c r="J3676" s="4" t="s">
        <v>12</v>
      </c>
    </row>
    <row r="3677" spans="1:10" x14ac:dyDescent="0.25">
      <c r="A3677" s="2">
        <v>1191.1434882707199</v>
      </c>
      <c r="B3677" s="3">
        <v>0.24957742574261901</v>
      </c>
      <c r="C3677" s="5">
        <v>4.2215216815590701E-8</v>
      </c>
      <c r="D3677" s="6">
        <v>1.9717765883549199E-7</v>
      </c>
      <c r="E3677" s="3" t="s">
        <v>8461</v>
      </c>
      <c r="F3677" s="3" t="s">
        <v>8462</v>
      </c>
      <c r="G3677" s="3">
        <v>67897</v>
      </c>
      <c r="H3677" s="7" t="str">
        <f>HYPERLINK("http://www.ensembl.org/Mus_musculus/Gene/Summary?db=core;g=ENSMUSG00000009535","ENSMUSG00000009535")</f>
        <v>ENSMUSG00000009535</v>
      </c>
      <c r="I3677" s="7" t="str">
        <f>HYPERLINK("http://www.informatics.jax.org/marker/MGI:1915147","MGI:1915147")</f>
        <v>MGI:1915147</v>
      </c>
      <c r="J3677" s="4" t="s">
        <v>12</v>
      </c>
    </row>
    <row r="3678" spans="1:10" x14ac:dyDescent="0.25">
      <c r="A3678" s="2">
        <v>443.78881368972202</v>
      </c>
      <c r="B3678" s="3">
        <v>0.24945730064876301</v>
      </c>
      <c r="C3678" s="3">
        <v>8.2532766869784996E-4</v>
      </c>
      <c r="D3678" s="4">
        <v>2.4626209149223202E-3</v>
      </c>
      <c r="E3678" s="3" t="s">
        <v>13227</v>
      </c>
      <c r="F3678" s="3" t="s">
        <v>13228</v>
      </c>
      <c r="G3678" s="3">
        <v>56330</v>
      </c>
      <c r="H3678" s="7" t="str">
        <f>HYPERLINK("http://www.ensembl.org/Mus_musculus/Gene/Summary?db=core;g=ENSMUSG00000030417","ENSMUSG00000030417")</f>
        <v>ENSMUSG00000030417</v>
      </c>
      <c r="I3678" s="7" t="str">
        <f>HYPERLINK("http://www.informatics.jax.org/marker/MGI:1913538","MGI:1913538")</f>
        <v>MGI:1913538</v>
      </c>
      <c r="J3678" s="4" t="s">
        <v>12</v>
      </c>
    </row>
    <row r="3679" spans="1:10" x14ac:dyDescent="0.25">
      <c r="A3679" s="2">
        <v>983.62531841503505</v>
      </c>
      <c r="B3679" s="3">
        <v>0.24944547679826301</v>
      </c>
      <c r="C3679" s="3">
        <v>6.2125375570158898E-4</v>
      </c>
      <c r="D3679" s="4">
        <v>1.8874016426491001E-3</v>
      </c>
      <c r="E3679" s="3" t="s">
        <v>12991</v>
      </c>
      <c r="F3679" s="3" t="s">
        <v>12992</v>
      </c>
      <c r="G3679" s="3">
        <v>67429</v>
      </c>
      <c r="H3679" s="7" t="str">
        <f>HYPERLINK("http://www.ensembl.org/Mus_musculus/Gene/Summary?db=core;g=ENSMUSG00000038736","ENSMUSG00000038736")</f>
        <v>ENSMUSG00000038736</v>
      </c>
      <c r="I3679" s="7" t="str">
        <f>HYPERLINK("http://www.informatics.jax.org/marker/MGI:1914679","MGI:1914679")</f>
        <v>MGI:1914679</v>
      </c>
      <c r="J3679" s="4" t="s">
        <v>12</v>
      </c>
    </row>
    <row r="3680" spans="1:10" x14ac:dyDescent="0.25">
      <c r="A3680" s="2">
        <v>601.37427554406395</v>
      </c>
      <c r="B3680" s="3">
        <v>0.24937728675832699</v>
      </c>
      <c r="C3680" s="5">
        <v>4.7459834785121902E-6</v>
      </c>
      <c r="D3680" s="6">
        <v>1.83547350845774E-5</v>
      </c>
      <c r="E3680" s="3" t="s">
        <v>10212</v>
      </c>
      <c r="F3680" s="3" t="s">
        <v>10213</v>
      </c>
      <c r="G3680" s="3">
        <v>67889</v>
      </c>
      <c r="H3680" s="7" t="str">
        <f>HYPERLINK("http://www.ensembl.org/Mus_musculus/Gene/Summary?db=core;g=ENSMUSG00000026889","ENSMUSG00000026889")</f>
        <v>ENSMUSG00000026889</v>
      </c>
      <c r="I3680" s="7" t="str">
        <f>HYPERLINK("http://www.informatics.jax.org/marker/MGI:1915139","MGI:1915139")</f>
        <v>MGI:1915139</v>
      </c>
      <c r="J3680" s="4" t="s">
        <v>12</v>
      </c>
    </row>
    <row r="3681" spans="1:10" x14ac:dyDescent="0.25">
      <c r="A3681" s="2">
        <v>1064.26808953974</v>
      </c>
      <c r="B3681" s="3">
        <v>0.249317486034733</v>
      </c>
      <c r="C3681" s="5">
        <v>1.90930088617208E-5</v>
      </c>
      <c r="D3681" s="6">
        <v>6.9518857967713104E-5</v>
      </c>
      <c r="E3681" s="3" t="s">
        <v>10844</v>
      </c>
      <c r="F3681" s="3" t="s">
        <v>10845</v>
      </c>
      <c r="G3681" s="3">
        <v>67763</v>
      </c>
      <c r="H3681" s="7" t="str">
        <f>HYPERLINK("http://www.ensembl.org/Mus_musculus/Gene/Summary?db=core;g=ENSMUSG00000015869","ENSMUSG00000015869")</f>
        <v>ENSMUSG00000015869</v>
      </c>
      <c r="I3681" s="7" t="str">
        <f>HYPERLINK("http://www.informatics.jax.org/marker/MGI:1915013","MGI:1915013")</f>
        <v>MGI:1915013</v>
      </c>
      <c r="J3681" s="4" t="s">
        <v>12</v>
      </c>
    </row>
    <row r="3682" spans="1:10" x14ac:dyDescent="0.25">
      <c r="A3682" s="2">
        <v>662.33797196798503</v>
      </c>
      <c r="B3682" s="3">
        <v>0.24928720345100999</v>
      </c>
      <c r="C3682" s="3">
        <v>9.2928040993053005E-4</v>
      </c>
      <c r="D3682" s="4">
        <v>2.75321659913312E-3</v>
      </c>
      <c r="E3682" s="3" t="s">
        <v>13320</v>
      </c>
      <c r="F3682" s="3" t="s">
        <v>13321</v>
      </c>
      <c r="G3682" s="3">
        <v>66384</v>
      </c>
      <c r="H3682" s="7" t="str">
        <f>HYPERLINK("http://www.ensembl.org/Mus_musculus/Gene/Summary?db=core;g=ENSMUSG00000014504","ENSMUSG00000014504")</f>
        <v>ENSMUSG00000014504</v>
      </c>
      <c r="I3682" s="7" t="str">
        <f>HYPERLINK("http://www.informatics.jax.org/marker/MGI:1913634","MGI:1913634")</f>
        <v>MGI:1913634</v>
      </c>
      <c r="J3682" s="4" t="s">
        <v>12</v>
      </c>
    </row>
    <row r="3683" spans="1:10" x14ac:dyDescent="0.25">
      <c r="A3683" s="2">
        <v>1451.8714244125599</v>
      </c>
      <c r="B3683" s="3">
        <v>0.24925114113006</v>
      </c>
      <c r="C3683" s="5">
        <v>2.1773414634397101E-7</v>
      </c>
      <c r="D3683" s="6">
        <v>9.6185424863421095E-7</v>
      </c>
      <c r="E3683" s="3" t="s">
        <v>8945</v>
      </c>
      <c r="F3683" s="3" t="s">
        <v>8946</v>
      </c>
      <c r="G3683" s="3">
        <v>19744</v>
      </c>
      <c r="H3683" s="7" t="str">
        <f>HYPERLINK("http://www.ensembl.org/Mus_musculus/Gene/Summary?db=core;g=ENSMUSG00000028945","ENSMUSG00000028945")</f>
        <v>ENSMUSG00000028945</v>
      </c>
      <c r="I3683" s="7" t="str">
        <f>HYPERLINK("http://www.informatics.jax.org/marker/MGI:97912","MGI:97912")</f>
        <v>MGI:97912</v>
      </c>
      <c r="J3683" s="4" t="s">
        <v>12</v>
      </c>
    </row>
    <row r="3684" spans="1:10" x14ac:dyDescent="0.25">
      <c r="A3684" s="2">
        <v>5645.7023208307901</v>
      </c>
      <c r="B3684" s="3">
        <v>0.24921501241748201</v>
      </c>
      <c r="C3684" s="5">
        <v>2.9087471534521899E-6</v>
      </c>
      <c r="D3684" s="6">
        <v>1.1502003983572699E-5</v>
      </c>
      <c r="E3684" s="3" t="s">
        <v>9990</v>
      </c>
      <c r="F3684" s="3" t="s">
        <v>9991</v>
      </c>
      <c r="G3684" s="3">
        <v>16796</v>
      </c>
      <c r="H3684" s="7" t="str">
        <f>HYPERLINK("http://www.ensembl.org/Mus_musculus/Gene/Summary?db=core;g=ENSMUSG00000038366","ENSMUSG00000038366")</f>
        <v>ENSMUSG00000038366</v>
      </c>
      <c r="I3684" s="7" t="str">
        <f>HYPERLINK("http://www.informatics.jax.org/marker/MGI:109656","MGI:109656")</f>
        <v>MGI:109656</v>
      </c>
      <c r="J3684" s="4" t="s">
        <v>12</v>
      </c>
    </row>
    <row r="3685" spans="1:10" x14ac:dyDescent="0.25">
      <c r="A3685" s="2">
        <v>325.71535695208303</v>
      </c>
      <c r="B3685" s="3">
        <v>0.24900927420205299</v>
      </c>
      <c r="C3685" s="3">
        <v>1.19399581246936E-2</v>
      </c>
      <c r="D3685" s="4">
        <v>2.924918934397E-2</v>
      </c>
      <c r="E3685" s="3" t="s">
        <v>16105</v>
      </c>
      <c r="F3685" s="3" t="s">
        <v>16106</v>
      </c>
      <c r="G3685" s="3">
        <v>56404</v>
      </c>
      <c r="H3685" s="7" t="str">
        <f>HYPERLINK("http://www.ensembl.org/Mus_musculus/Gene/Summary?db=core;g=ENSMUSG00000032386","ENSMUSG00000032386")</f>
        <v>ENSMUSG00000032386</v>
      </c>
      <c r="I3685" s="7" t="str">
        <f>HYPERLINK("http://www.informatics.jax.org/marker/MGI:1928469","MGI:1928469")</f>
        <v>MGI:1928469</v>
      </c>
      <c r="J3685" s="4" t="s">
        <v>12</v>
      </c>
    </row>
    <row r="3686" spans="1:10" x14ac:dyDescent="0.25">
      <c r="A3686" s="2">
        <v>183.75229599116</v>
      </c>
      <c r="B3686" s="3">
        <v>0.24887223442450099</v>
      </c>
      <c r="C3686" s="3">
        <v>7.8076106555266403E-3</v>
      </c>
      <c r="D3686" s="4">
        <v>1.98307679194984E-2</v>
      </c>
      <c r="E3686" s="3" t="s">
        <v>15533</v>
      </c>
      <c r="F3686" s="3" t="s">
        <v>15534</v>
      </c>
      <c r="G3686" s="3">
        <v>53322</v>
      </c>
      <c r="H3686" s="7" t="str">
        <f>HYPERLINK("http://www.ensembl.org/Mus_musculus/Gene/Summary?db=core;g=ENSMUSG00000030659","ENSMUSG00000030659")</f>
        <v>ENSMUSG00000030659</v>
      </c>
      <c r="I3686" s="7" t="str">
        <f>HYPERLINK("http://www.informatics.jax.org/marker/MGI:1858179","MGI:1858179")</f>
        <v>MGI:1858179</v>
      </c>
      <c r="J3686" s="4" t="s">
        <v>12</v>
      </c>
    </row>
    <row r="3687" spans="1:10" x14ac:dyDescent="0.25">
      <c r="A3687" s="2">
        <v>2115.2973293555501</v>
      </c>
      <c r="B3687" s="3">
        <v>0.24882159373860999</v>
      </c>
      <c r="C3687" s="5">
        <v>5.8310757312272101E-11</v>
      </c>
      <c r="D3687" s="6">
        <v>3.4510448205222298E-10</v>
      </c>
      <c r="E3687" s="3" t="s">
        <v>6681</v>
      </c>
      <c r="F3687" s="3" t="s">
        <v>6682</v>
      </c>
      <c r="G3687" s="3">
        <v>20479</v>
      </c>
      <c r="H3687" s="7" t="str">
        <f>HYPERLINK("http://www.ensembl.org/Mus_musculus/Gene/Summary?db=core;g=ENSMUSG00000009907","ENSMUSG00000009907")</f>
        <v>ENSMUSG00000009907</v>
      </c>
      <c r="I3687" s="7" t="str">
        <f>HYPERLINK("http://www.informatics.jax.org/marker/MGI:1100499","MGI:1100499")</f>
        <v>MGI:1100499</v>
      </c>
      <c r="J3687" s="4" t="s">
        <v>12</v>
      </c>
    </row>
    <row r="3688" spans="1:10" x14ac:dyDescent="0.25">
      <c r="A3688" s="2">
        <v>1515.34353166028</v>
      </c>
      <c r="B3688" s="3">
        <v>0.24861624665735499</v>
      </c>
      <c r="C3688" s="5">
        <v>5.7917935593749698E-5</v>
      </c>
      <c r="D3688" s="4">
        <v>2.00410894877829E-4</v>
      </c>
      <c r="E3688" s="3" t="s">
        <v>11409</v>
      </c>
      <c r="F3688" s="3" t="s">
        <v>11410</v>
      </c>
      <c r="G3688" s="3">
        <v>68979</v>
      </c>
      <c r="H3688" s="7" t="str">
        <f>HYPERLINK("http://www.ensembl.org/Mus_musculus/Gene/Summary?db=core;g=ENSMUSG00000018433","ENSMUSG00000018433")</f>
        <v>ENSMUSG00000018433</v>
      </c>
      <c r="I3688" s="7" t="str">
        <f>HYPERLINK("http://www.informatics.jax.org/marker/MGI:1916229","MGI:1916229")</f>
        <v>MGI:1916229</v>
      </c>
      <c r="J3688" s="4" t="s">
        <v>12</v>
      </c>
    </row>
    <row r="3689" spans="1:10" x14ac:dyDescent="0.25">
      <c r="A3689" s="2">
        <v>500.85883353914897</v>
      </c>
      <c r="B3689" s="3">
        <v>0.248497884318371</v>
      </c>
      <c r="C3689" s="5">
        <v>1.6405080289363401E-5</v>
      </c>
      <c r="D3689" s="6">
        <v>6.0165181942764597E-5</v>
      </c>
      <c r="E3689" s="3" t="s">
        <v>10766</v>
      </c>
      <c r="F3689" s="3" t="s">
        <v>10767</v>
      </c>
      <c r="G3689" s="3">
        <v>52856</v>
      </c>
      <c r="H3689" s="7" t="str">
        <f>HYPERLINK("http://www.ensembl.org/Mus_musculus/Gene/Summary?db=core;g=ENSMUSG00000039069","ENSMUSG00000039069")</f>
        <v>ENSMUSG00000039069</v>
      </c>
      <c r="I3689" s="7" t="str">
        <f>HYPERLINK("http://www.informatics.jax.org/marker/MGI:106565","MGI:106565")</f>
        <v>MGI:106565</v>
      </c>
      <c r="J3689" s="4" t="s">
        <v>12</v>
      </c>
    </row>
    <row r="3690" spans="1:10" x14ac:dyDescent="0.25">
      <c r="A3690" s="2">
        <v>29702.4706405738</v>
      </c>
      <c r="B3690" s="3">
        <v>0.24847119746400101</v>
      </c>
      <c r="C3690" s="5">
        <v>2.9443733001064502E-7</v>
      </c>
      <c r="D3690" s="6">
        <v>1.2860031335127199E-6</v>
      </c>
      <c r="E3690" s="3" t="s">
        <v>9045</v>
      </c>
      <c r="F3690" s="3" t="s">
        <v>9046</v>
      </c>
      <c r="G3690" s="3">
        <v>18746</v>
      </c>
      <c r="H3690" s="7" t="str">
        <f>HYPERLINK("http://www.ensembl.org/Mus_musculus/Gene/Summary?db=core;g=ENSMUSG00000032294","ENSMUSG00000032294")</f>
        <v>ENSMUSG00000032294</v>
      </c>
      <c r="I3690" s="7" t="str">
        <f>HYPERLINK("http://www.informatics.jax.org/marker/MGI:97591","MGI:97591")</f>
        <v>MGI:97591</v>
      </c>
      <c r="J3690" s="4" t="s">
        <v>12</v>
      </c>
    </row>
    <row r="3691" spans="1:10" x14ac:dyDescent="0.25">
      <c r="A3691" s="2">
        <v>3035.5652125025499</v>
      </c>
      <c r="B3691" s="3">
        <v>0.24840462728342599</v>
      </c>
      <c r="C3691" s="3">
        <v>3.49521324910096E-3</v>
      </c>
      <c r="D3691" s="4">
        <v>9.4886571134734192E-3</v>
      </c>
      <c r="E3691" s="3" t="s">
        <v>14531</v>
      </c>
      <c r="F3691" s="3" t="s">
        <v>14532</v>
      </c>
      <c r="G3691" s="3">
        <v>19946</v>
      </c>
      <c r="H3691" s="7" t="str">
        <f>HYPERLINK("http://www.ensembl.org/Mus_musculus/Gene/Summary?db=core;g=ENSMUSG00000058600","ENSMUSG00000058600")</f>
        <v>ENSMUSG00000058600</v>
      </c>
      <c r="I3691" s="7" t="str">
        <f>HYPERLINK("http://www.informatics.jax.org/marker/MGI:98037","MGI:98037")</f>
        <v>MGI:98037</v>
      </c>
      <c r="J3691" s="4" t="s">
        <v>12</v>
      </c>
    </row>
    <row r="3692" spans="1:10" x14ac:dyDescent="0.25">
      <c r="A3692" s="2">
        <v>1325.2427885653001</v>
      </c>
      <c r="B3692" s="3">
        <v>0.248332520532907</v>
      </c>
      <c r="C3692" s="5">
        <v>7.0993353019893594E-5</v>
      </c>
      <c r="D3692" s="4">
        <v>2.43095836352197E-4</v>
      </c>
      <c r="E3692" s="3" t="s">
        <v>11529</v>
      </c>
      <c r="F3692" s="3" t="s">
        <v>11530</v>
      </c>
      <c r="G3692" s="3">
        <v>67830</v>
      </c>
      <c r="H3692" s="7" t="str">
        <f>HYPERLINK("http://www.ensembl.org/Mus_musculus/Gene/Summary?db=core;g=ENSMUSG00000029048","ENSMUSG00000029048")</f>
        <v>ENSMUSG00000029048</v>
      </c>
      <c r="I3692" s="7" t="str">
        <f>HYPERLINK("http://www.informatics.jax.org/marker/MGI:1915080","MGI:1915080")</f>
        <v>MGI:1915080</v>
      </c>
      <c r="J3692" s="4" t="s">
        <v>12</v>
      </c>
    </row>
    <row r="3693" spans="1:10" x14ac:dyDescent="0.25">
      <c r="A3693" s="2">
        <v>343.88608173705097</v>
      </c>
      <c r="B3693" s="3">
        <v>0.24806400497739201</v>
      </c>
      <c r="C3693" s="3">
        <v>2.1564955643350102E-3</v>
      </c>
      <c r="D3693" s="4">
        <v>6.0613016717055903E-3</v>
      </c>
      <c r="E3693" s="3" t="s">
        <v>14039</v>
      </c>
      <c r="F3693" s="3" t="s">
        <v>14040</v>
      </c>
      <c r="G3693" s="3">
        <v>67282</v>
      </c>
      <c r="H3693" s="7" t="str">
        <f>HYPERLINK("http://www.ensembl.org/Mus_musculus/Gene/Summary?db=core;g=ENSMUSG00000020056","ENSMUSG00000020056")</f>
        <v>ENSMUSG00000020056</v>
      </c>
      <c r="I3693" s="7" t="str">
        <f>HYPERLINK("http://www.informatics.jax.org/marker/MGI:1914532","MGI:1914532")</f>
        <v>MGI:1914532</v>
      </c>
      <c r="J3693" s="4" t="s">
        <v>12</v>
      </c>
    </row>
    <row r="3694" spans="1:10" x14ac:dyDescent="0.25">
      <c r="A3694" s="2">
        <v>1383.80254044507</v>
      </c>
      <c r="B3694" s="3">
        <v>0.24802252955776799</v>
      </c>
      <c r="C3694" s="5">
        <v>2.99293001162097E-5</v>
      </c>
      <c r="D3694" s="4">
        <v>1.06901973970595E-4</v>
      </c>
      <c r="E3694" s="3" t="s">
        <v>11054</v>
      </c>
      <c r="F3694" s="3" t="s">
        <v>11055</v>
      </c>
      <c r="G3694" s="3">
        <v>66074</v>
      </c>
      <c r="H3694" s="7" t="str">
        <f>HYPERLINK("http://www.ensembl.org/Mus_musculus/Gene/Summary?db=core;g=ENSMUSG00000012422","ENSMUSG00000012422")</f>
        <v>ENSMUSG00000012422</v>
      </c>
      <c r="I3694" s="7" t="str">
        <f>HYPERLINK("http://www.informatics.jax.org/marker/MGI:1913324","MGI:1913324")</f>
        <v>MGI:1913324</v>
      </c>
      <c r="J3694" s="4" t="s">
        <v>12</v>
      </c>
    </row>
    <row r="3695" spans="1:10" x14ac:dyDescent="0.25">
      <c r="A3695" s="2">
        <v>1736.7400895165799</v>
      </c>
      <c r="B3695" s="3">
        <v>0.247839195124166</v>
      </c>
      <c r="C3695" s="3">
        <v>5.7886797464152297E-3</v>
      </c>
      <c r="D3695" s="4">
        <v>1.51115653427731E-2</v>
      </c>
      <c r="E3695" s="3" t="s">
        <v>15110</v>
      </c>
      <c r="F3695" s="3" t="s">
        <v>15111</v>
      </c>
      <c r="G3695" s="3">
        <v>14594</v>
      </c>
      <c r="H3695" s="7" t="str">
        <f>HYPERLINK("http://www.ensembl.org/Mus_musculus/Gene/Summary?db=core;g=ENSMUSG00000035778","ENSMUSG00000035778")</f>
        <v>ENSMUSG00000035778</v>
      </c>
      <c r="I3695" s="7" t="str">
        <f>HYPERLINK("http://www.informatics.jax.org/marker/MGI:95704","MGI:95704")</f>
        <v>MGI:95704</v>
      </c>
      <c r="J3695" s="4" t="s">
        <v>12</v>
      </c>
    </row>
    <row r="3696" spans="1:10" x14ac:dyDescent="0.25">
      <c r="A3696" s="2">
        <v>2208.0693914253602</v>
      </c>
      <c r="B3696" s="3">
        <v>0.24774941268679601</v>
      </c>
      <c r="C3696" s="5">
        <v>7.74651535476979E-7</v>
      </c>
      <c r="D3696" s="6">
        <v>3.2392129515703999E-6</v>
      </c>
      <c r="E3696" s="3" t="s">
        <v>9447</v>
      </c>
      <c r="F3696" s="3" t="s">
        <v>9448</v>
      </c>
      <c r="G3696" s="3">
        <v>228994</v>
      </c>
      <c r="H3696" s="7" t="str">
        <f>HYPERLINK("http://www.ensembl.org/Mus_musculus/Gene/Summary?db=core;g=ENSMUSG00000038848","ENSMUSG00000038848")</f>
        <v>ENSMUSG00000038848</v>
      </c>
      <c r="I3696" s="7" t="str">
        <f>HYPERLINK("http://www.informatics.jax.org/marker/MGI:1917431","MGI:1917431")</f>
        <v>MGI:1917431</v>
      </c>
      <c r="J3696" s="4" t="s">
        <v>12</v>
      </c>
    </row>
    <row r="3697" spans="1:10" x14ac:dyDescent="0.25">
      <c r="A3697" s="2">
        <v>2182.8007884896201</v>
      </c>
      <c r="B3697" s="3">
        <v>0.247546177788807</v>
      </c>
      <c r="C3697" s="5">
        <v>3.5490078110667803E-5</v>
      </c>
      <c r="D3697" s="4">
        <v>1.2562634003632499E-4</v>
      </c>
      <c r="E3697" s="3" t="s">
        <v>11155</v>
      </c>
      <c r="F3697" s="3" t="s">
        <v>11156</v>
      </c>
      <c r="G3697" s="3">
        <v>18102</v>
      </c>
      <c r="H3697" s="7" t="str">
        <f>HYPERLINK("http://www.ensembl.org/Mus_musculus/Gene/Summary?db=core;g=ENSMUSG00000037601","ENSMUSG00000037601")</f>
        <v>ENSMUSG00000037601</v>
      </c>
      <c r="I3697" s="7" t="str">
        <f>HYPERLINK("http://www.informatics.jax.org/marker/MGI:97355","MGI:97355")</f>
        <v>MGI:97355</v>
      </c>
      <c r="J3697" s="4" t="s">
        <v>12</v>
      </c>
    </row>
    <row r="3698" spans="1:10" x14ac:dyDescent="0.25">
      <c r="A3698" s="2">
        <v>1190.5160574456299</v>
      </c>
      <c r="B3698" s="3">
        <v>0.247518998989919</v>
      </c>
      <c r="C3698" s="3">
        <v>2.0921423433921101E-4</v>
      </c>
      <c r="D3698" s="4">
        <v>6.7745561595553905E-4</v>
      </c>
      <c r="E3698" s="3" t="s">
        <v>12191</v>
      </c>
      <c r="F3698" s="3" t="s">
        <v>12192</v>
      </c>
      <c r="G3698" s="3">
        <v>231380</v>
      </c>
      <c r="H3698" s="7" t="str">
        <f>HYPERLINK("http://www.ensembl.org/Mus_musculus/Gene/Summary?db=core;g=ENSMUSG00000035898","ENSMUSG00000035898")</f>
        <v>ENSMUSG00000035898</v>
      </c>
      <c r="I3698" s="7" t="str">
        <f>HYPERLINK("http://www.informatics.jax.org/marker/MGI:1913894","MGI:1913894")</f>
        <v>MGI:1913894</v>
      </c>
      <c r="J3698" s="4" t="s">
        <v>12</v>
      </c>
    </row>
    <row r="3699" spans="1:10" x14ac:dyDescent="0.25">
      <c r="A3699" s="2">
        <v>4056.5867054974201</v>
      </c>
      <c r="B3699" s="3">
        <v>0.247514115801972</v>
      </c>
      <c r="C3699" s="5">
        <v>2.3981112120597001E-6</v>
      </c>
      <c r="D3699" s="6">
        <v>9.5633474422279606E-6</v>
      </c>
      <c r="E3699" s="3" t="s">
        <v>9905</v>
      </c>
      <c r="F3699" s="3" t="s">
        <v>9906</v>
      </c>
      <c r="G3699" s="3">
        <v>68135</v>
      </c>
      <c r="H3699" s="7" t="str">
        <f>HYPERLINK("http://www.ensembl.org/Mus_musculus/Gene/Summary?db=core;g=ENSMUSG00000022312","ENSMUSG00000022312")</f>
        <v>ENSMUSG00000022312</v>
      </c>
      <c r="I3699" s="7" t="str">
        <f>HYPERLINK("http://www.informatics.jax.org/marker/MGI:1915385","MGI:1915385")</f>
        <v>MGI:1915385</v>
      </c>
      <c r="J3699" s="4" t="s">
        <v>12</v>
      </c>
    </row>
    <row r="3700" spans="1:10" x14ac:dyDescent="0.25">
      <c r="A3700" s="2">
        <v>6765.2771978540704</v>
      </c>
      <c r="B3700" s="3">
        <v>0.247257923820597</v>
      </c>
      <c r="C3700" s="3">
        <v>3.2769986208446998E-4</v>
      </c>
      <c r="D3700" s="4">
        <v>1.03296695657061E-3</v>
      </c>
      <c r="E3700" s="3" t="s">
        <v>12525</v>
      </c>
      <c r="F3700" s="3" t="s">
        <v>12526</v>
      </c>
      <c r="G3700" s="3">
        <v>20091</v>
      </c>
      <c r="H3700" s="7" t="str">
        <f>HYPERLINK("http://www.ensembl.org/Mus_musculus/Gene/Summary?db=core;g=ENSMUSG00000028081","ENSMUSG00000028081")</f>
        <v>ENSMUSG00000028081</v>
      </c>
      <c r="I3700" s="7" t="str">
        <f>HYPERLINK("http://www.informatics.jax.org/marker/MGI:1202063","MGI:1202063")</f>
        <v>MGI:1202063</v>
      </c>
      <c r="J3700" s="4" t="s">
        <v>12</v>
      </c>
    </row>
    <row r="3701" spans="1:10" x14ac:dyDescent="0.25">
      <c r="A3701" s="2">
        <v>823.69107560493399</v>
      </c>
      <c r="B3701" s="3">
        <v>0.247163775545306</v>
      </c>
      <c r="C3701" s="3">
        <v>1.0532701342214E-4</v>
      </c>
      <c r="D3701" s="4">
        <v>3.5438469624374502E-4</v>
      </c>
      <c r="E3701" s="3" t="s">
        <v>11733</v>
      </c>
      <c r="F3701" s="3" t="s">
        <v>11734</v>
      </c>
      <c r="G3701" s="3">
        <v>74392</v>
      </c>
      <c r="H3701" s="7" t="str">
        <f>HYPERLINK("http://www.ensembl.org/Mus_musculus/Gene/Summary?db=core;g=ENSMUSG00000033444","ENSMUSG00000033444")</f>
        <v>ENSMUSG00000033444</v>
      </c>
      <c r="I3701" s="7" t="str">
        <f>HYPERLINK("http://www.informatics.jax.org/marker/MGI:1921642","MGI:1921642")</f>
        <v>MGI:1921642</v>
      </c>
      <c r="J3701" s="4" t="s">
        <v>12</v>
      </c>
    </row>
    <row r="3702" spans="1:10" x14ac:dyDescent="0.25">
      <c r="A3702" s="2">
        <v>417.18146440434703</v>
      </c>
      <c r="B3702" s="3">
        <v>0.24696520008634101</v>
      </c>
      <c r="C3702" s="3">
        <v>7.3984129137784497E-3</v>
      </c>
      <c r="D3702" s="4">
        <v>1.88740883130286E-2</v>
      </c>
      <c r="E3702" s="3" t="s">
        <v>15465</v>
      </c>
      <c r="F3702" s="3" t="s">
        <v>15466</v>
      </c>
      <c r="G3702" s="3">
        <v>21897</v>
      </c>
      <c r="H3702" s="7" t="str">
        <f>HYPERLINK("http://www.ensembl.org/Mus_musculus/Gene/Summary?db=core;g=ENSMUSG00000044827","ENSMUSG00000044827")</f>
        <v>ENSMUSG00000044827</v>
      </c>
      <c r="I3702" s="7" t="str">
        <f>HYPERLINK("http://www.informatics.jax.org/marker/MGI:1341295","MGI:1341295")</f>
        <v>MGI:1341295</v>
      </c>
      <c r="J3702" s="4" t="s">
        <v>12</v>
      </c>
    </row>
    <row r="3703" spans="1:10" x14ac:dyDescent="0.25">
      <c r="A3703" s="2">
        <v>3077.2060390694901</v>
      </c>
      <c r="B3703" s="3">
        <v>0.246779799072633</v>
      </c>
      <c r="C3703" s="5">
        <v>1.69979353806655E-6</v>
      </c>
      <c r="D3703" s="6">
        <v>6.8688378218590804E-6</v>
      </c>
      <c r="E3703" s="3" t="s">
        <v>9775</v>
      </c>
      <c r="F3703" s="3" t="s">
        <v>9776</v>
      </c>
      <c r="G3703" s="3">
        <v>68988</v>
      </c>
      <c r="H3703" s="7" t="str">
        <f>HYPERLINK("http://www.ensembl.org/Mus_musculus/Gene/Summary?db=core;g=ENSMUSG00000008373","ENSMUSG00000008373")</f>
        <v>ENSMUSG00000008373</v>
      </c>
      <c r="I3703" s="7" t="str">
        <f>HYPERLINK("http://www.informatics.jax.org/marker/MGI:1916238","MGI:1916238")</f>
        <v>MGI:1916238</v>
      </c>
      <c r="J3703" s="4" t="s">
        <v>12</v>
      </c>
    </row>
    <row r="3704" spans="1:10" x14ac:dyDescent="0.25">
      <c r="A3704" s="2">
        <v>565.23644647599895</v>
      </c>
      <c r="B3704" s="3">
        <v>0.246552728363754</v>
      </c>
      <c r="C3704" s="3">
        <v>1.59459317715285E-3</v>
      </c>
      <c r="D3704" s="4">
        <v>4.5685569451480897E-3</v>
      </c>
      <c r="E3704" s="3" t="s">
        <v>13773</v>
      </c>
      <c r="F3704" s="3" t="s">
        <v>13774</v>
      </c>
      <c r="G3704" s="3">
        <v>77593</v>
      </c>
      <c r="H3704" s="7" t="str">
        <f>HYPERLINK("http://www.ensembl.org/Mus_musculus/Gene/Summary?db=core;g=ENSMUSG00000040455","ENSMUSG00000040455")</f>
        <v>ENSMUSG00000040455</v>
      </c>
      <c r="I3704" s="7" t="str">
        <f>HYPERLINK("http://www.informatics.jax.org/marker/MGI:101850","MGI:101850")</f>
        <v>MGI:101850</v>
      </c>
      <c r="J3704" s="4" t="s">
        <v>12</v>
      </c>
    </row>
    <row r="3705" spans="1:10" x14ac:dyDescent="0.25">
      <c r="A3705" s="2">
        <v>706.61184635370705</v>
      </c>
      <c r="B3705" s="3">
        <v>0.246520778024864</v>
      </c>
      <c r="C3705" s="3">
        <v>1.0590803249125201E-3</v>
      </c>
      <c r="D3705" s="4">
        <v>3.1111371975681302E-3</v>
      </c>
      <c r="E3705" s="3" t="s">
        <v>13435</v>
      </c>
      <c r="F3705" s="3" t="s">
        <v>13436</v>
      </c>
      <c r="G3705" s="3">
        <v>14707</v>
      </c>
      <c r="H3705" s="7" t="str">
        <f>HYPERLINK("http://www.ensembl.org/Mus_musculus/Gene/Summary?db=core;g=ENSMUSG00000068523","ENSMUSG00000068523")</f>
        <v>ENSMUSG00000068523</v>
      </c>
      <c r="I3705" s="7" t="str">
        <f>HYPERLINK("http://www.informatics.jax.org/marker/MGI:109164","MGI:109164")</f>
        <v>MGI:109164</v>
      </c>
      <c r="J3705" s="4" t="s">
        <v>12</v>
      </c>
    </row>
    <row r="3706" spans="1:10" x14ac:dyDescent="0.25">
      <c r="A3706" s="2">
        <v>273.59737169882499</v>
      </c>
      <c r="B3706" s="3">
        <v>0.24638659179186101</v>
      </c>
      <c r="C3706" s="3">
        <v>2.0393658296844401E-3</v>
      </c>
      <c r="D3706" s="4">
        <v>5.7525810558399504E-3</v>
      </c>
      <c r="E3706" s="3" t="s">
        <v>13989</v>
      </c>
      <c r="F3706" s="3" t="s">
        <v>13990</v>
      </c>
      <c r="G3706" s="3">
        <v>72709</v>
      </c>
      <c r="H3706" s="7" t="str">
        <f>HYPERLINK("http://www.ensembl.org/Mus_musculus/Gene/Summary?db=core;g=ENSMUSG00000022440","ENSMUSG00000022440")</f>
        <v>ENSMUSG00000022440</v>
      </c>
      <c r="I3706" s="7" t="str">
        <f>HYPERLINK("http://www.informatics.jax.org/marker/MGI:1919959","MGI:1919959")</f>
        <v>MGI:1919959</v>
      </c>
      <c r="J3706" s="4" t="s">
        <v>12</v>
      </c>
    </row>
    <row r="3707" spans="1:10" x14ac:dyDescent="0.25">
      <c r="A3707" s="2">
        <v>1655.3333573381899</v>
      </c>
      <c r="B3707" s="3">
        <v>0.24631933010712501</v>
      </c>
      <c r="C3707" s="5">
        <v>5.9308917263123096E-7</v>
      </c>
      <c r="D3707" s="6">
        <v>2.5130465157472899E-6</v>
      </c>
      <c r="E3707" s="3" t="s">
        <v>9323</v>
      </c>
      <c r="F3707" s="3" t="s">
        <v>9324</v>
      </c>
      <c r="G3707" s="3">
        <v>60365</v>
      </c>
      <c r="H3707" s="7" t="str">
        <f>HYPERLINK("http://www.ensembl.org/Mus_musculus/Gene/Summary?db=core;g=ENSMUSG00000038374","ENSMUSG00000038374")</f>
        <v>ENSMUSG00000038374</v>
      </c>
      <c r="I3707" s="7" t="str">
        <f>HYPERLINK("http://www.informatics.jax.org/marker/MGI:1913129","MGI:1913129")</f>
        <v>MGI:1913129</v>
      </c>
      <c r="J3707" s="4" t="s">
        <v>12</v>
      </c>
    </row>
    <row r="3708" spans="1:10" x14ac:dyDescent="0.25">
      <c r="A3708" s="2">
        <v>647.745455803195</v>
      </c>
      <c r="B3708" s="3">
        <v>0.24616109303903899</v>
      </c>
      <c r="C3708" s="3">
        <v>4.3388363287153097E-3</v>
      </c>
      <c r="D3708" s="4">
        <v>1.16094779378922E-2</v>
      </c>
      <c r="E3708" s="3" t="s">
        <v>14744</v>
      </c>
      <c r="F3708" s="3" t="s">
        <v>14745</v>
      </c>
      <c r="G3708" s="3">
        <v>19367</v>
      </c>
      <c r="H3708" s="7" t="str">
        <f>HYPERLINK("http://www.ensembl.org/Mus_musculus/Gene/Summary?db=core;g=ENSMUSG00000024824","ENSMUSG00000024824")</f>
        <v>ENSMUSG00000024824</v>
      </c>
      <c r="I3708" s="7" t="str">
        <f>HYPERLINK("http://www.informatics.jax.org/marker/MGI:1328356","MGI:1328356")</f>
        <v>MGI:1328356</v>
      </c>
      <c r="J3708" s="4" t="s">
        <v>12</v>
      </c>
    </row>
    <row r="3709" spans="1:10" x14ac:dyDescent="0.25">
      <c r="A3709" s="2">
        <v>7149.8156919384401</v>
      </c>
      <c r="B3709" s="3">
        <v>0.24614043538565</v>
      </c>
      <c r="C3709" s="5">
        <v>1.0111836801036901E-12</v>
      </c>
      <c r="D3709" s="6">
        <v>6.7871144219348902E-12</v>
      </c>
      <c r="E3709" s="3" t="s">
        <v>5893</v>
      </c>
      <c r="F3709" s="3" t="s">
        <v>5894</v>
      </c>
      <c r="G3709" s="3">
        <v>22201</v>
      </c>
      <c r="H3709" s="7" t="str">
        <f>HYPERLINK("http://www.ensembl.org/Mus_musculus/Gene/Summary?db=core;g=ENSMUSG00000001924","ENSMUSG00000001924")</f>
        <v>ENSMUSG00000001924</v>
      </c>
      <c r="I3709" s="7" t="str">
        <f>HYPERLINK("http://www.informatics.jax.org/marker/MGI:98890","MGI:98890")</f>
        <v>MGI:98890</v>
      </c>
      <c r="J3709" s="4" t="s">
        <v>12</v>
      </c>
    </row>
    <row r="3710" spans="1:10" x14ac:dyDescent="0.25">
      <c r="A3710" s="2">
        <v>1510.7927493700099</v>
      </c>
      <c r="B3710" s="3">
        <v>0.245797091681171</v>
      </c>
      <c r="C3710" s="3">
        <v>8.9557774893368595E-4</v>
      </c>
      <c r="D3710" s="4">
        <v>2.6597580133994399E-3</v>
      </c>
      <c r="E3710" s="3" t="s">
        <v>13288</v>
      </c>
      <c r="F3710" s="3" t="s">
        <v>13289</v>
      </c>
      <c r="G3710" s="3">
        <v>22378</v>
      </c>
      <c r="H3710" s="7" t="str">
        <f>HYPERLINK("http://www.ensembl.org/Mus_musculus/Gene/Summary?db=core;g=ENSMUSG00000034341","ENSMUSG00000034341")</f>
        <v>ENSMUSG00000034341</v>
      </c>
      <c r="I3710" s="7" t="str">
        <f>HYPERLINK("http://www.informatics.jax.org/marker/MGI:104709","MGI:104709")</f>
        <v>MGI:104709</v>
      </c>
      <c r="J3710" s="4" t="s">
        <v>12</v>
      </c>
    </row>
    <row r="3711" spans="1:10" x14ac:dyDescent="0.25">
      <c r="A3711" s="2">
        <v>2316.1946496947098</v>
      </c>
      <c r="B3711" s="3">
        <v>0.24570322803608299</v>
      </c>
      <c r="C3711" s="5">
        <v>1.1350394241869601E-7</v>
      </c>
      <c r="D3711" s="6">
        <v>5.1219628020519002E-7</v>
      </c>
      <c r="E3711" s="3" t="s">
        <v>8757</v>
      </c>
      <c r="F3711" s="3" t="s">
        <v>8758</v>
      </c>
      <c r="G3711" s="3">
        <v>50912</v>
      </c>
      <c r="H3711" s="7" t="str">
        <f>HYPERLINK("http://www.ensembl.org/Mus_musculus/Gene/Summary?db=core;g=ENSMUSG00000017264","ENSMUSG00000017264")</f>
        <v>ENSMUSG00000017264</v>
      </c>
      <c r="I3711" s="7" t="str">
        <f>HYPERLINK("http://www.informatics.jax.org/marker/MGI:1355322","MGI:1355322")</f>
        <v>MGI:1355322</v>
      </c>
      <c r="J3711" s="4" t="s">
        <v>12</v>
      </c>
    </row>
    <row r="3712" spans="1:10" x14ac:dyDescent="0.25">
      <c r="A3712" s="2">
        <v>2161.9709893162399</v>
      </c>
      <c r="B3712" s="3">
        <v>0.24553081475939101</v>
      </c>
      <c r="C3712" s="5">
        <v>4.7827515809069502E-7</v>
      </c>
      <c r="D3712" s="6">
        <v>2.04368063218819E-6</v>
      </c>
      <c r="E3712" s="3" t="s">
        <v>9245</v>
      </c>
      <c r="F3712" s="3" t="s">
        <v>9246</v>
      </c>
      <c r="G3712" s="3">
        <v>26396</v>
      </c>
      <c r="H3712" s="7" t="str">
        <f>HYPERLINK("http://www.ensembl.org/Mus_musculus/Gene/Summary?db=core;g=ENSMUSG00000035027","ENSMUSG00000035027")</f>
        <v>ENSMUSG00000035027</v>
      </c>
      <c r="I3712" s="7" t="str">
        <f>HYPERLINK("http://www.informatics.jax.org/marker/MGI:1346867","MGI:1346867")</f>
        <v>MGI:1346867</v>
      </c>
      <c r="J3712" s="4" t="s">
        <v>12</v>
      </c>
    </row>
    <row r="3713" spans="1:10" x14ac:dyDescent="0.25">
      <c r="A3713" s="2">
        <v>963.96451695885605</v>
      </c>
      <c r="B3713" s="3">
        <v>0.24543034524465401</v>
      </c>
      <c r="C3713" s="5">
        <v>9.1045839416483405E-5</v>
      </c>
      <c r="D3713" s="4">
        <v>3.08386113585203E-4</v>
      </c>
      <c r="E3713" s="3" t="s">
        <v>11655</v>
      </c>
      <c r="F3713" s="3" t="s">
        <v>11656</v>
      </c>
      <c r="G3713" s="3">
        <v>229603</v>
      </c>
      <c r="H3713" s="7" t="str">
        <f>HYPERLINK("http://www.ensembl.org/Mus_musculus/Gene/Summary?db=core;g=ENSMUSG00000038495","ENSMUSG00000038495")</f>
        <v>ENSMUSG00000038495</v>
      </c>
      <c r="I3713" s="7" t="str">
        <f>HYPERLINK("http://www.informatics.jax.org/marker/MGI:2654703","MGI:2654703")</f>
        <v>MGI:2654703</v>
      </c>
      <c r="J3713" s="4" t="s">
        <v>12</v>
      </c>
    </row>
    <row r="3714" spans="1:10" x14ac:dyDescent="0.25">
      <c r="A3714" s="2">
        <v>965.61030065222997</v>
      </c>
      <c r="B3714" s="3">
        <v>0.245272559975105</v>
      </c>
      <c r="C3714" s="3">
        <v>4.0153498476891997E-3</v>
      </c>
      <c r="D3714" s="4">
        <v>1.0815831033524299E-2</v>
      </c>
      <c r="E3714" s="3" t="s">
        <v>14645</v>
      </c>
      <c r="F3714" s="3" t="s">
        <v>14646</v>
      </c>
      <c r="G3714" s="3">
        <v>107767</v>
      </c>
      <c r="H3714" s="7" t="str">
        <f>HYPERLINK("http://www.ensembl.org/Mus_musculus/Gene/Summary?db=core;g=ENSMUSG00000021687","ENSMUSG00000021687")</f>
        <v>ENSMUSG00000021687</v>
      </c>
      <c r="I3714" s="7" t="str">
        <f>HYPERLINK("http://www.informatics.jax.org/marker/MGI:1349480","MGI:1349480")</f>
        <v>MGI:1349480</v>
      </c>
      <c r="J3714" s="4" t="s">
        <v>12</v>
      </c>
    </row>
    <row r="3715" spans="1:10" x14ac:dyDescent="0.25">
      <c r="A3715" s="2">
        <v>419.83290472606097</v>
      </c>
      <c r="B3715" s="3">
        <v>0.24522901512693299</v>
      </c>
      <c r="C3715" s="3">
        <v>6.3323859159771399E-3</v>
      </c>
      <c r="D3715" s="4">
        <v>1.63855990372745E-2</v>
      </c>
      <c r="E3715" s="3" t="s">
        <v>15247</v>
      </c>
      <c r="F3715" s="3" t="s">
        <v>15248</v>
      </c>
      <c r="G3715" s="3">
        <v>231130</v>
      </c>
      <c r="H3715" s="7" t="str">
        <f>HYPERLINK("http://www.ensembl.org/Mus_musculus/Gene/Summary?db=core;g=ENSMUSG00000059866","ENSMUSG00000059866")</f>
        <v>ENSMUSG00000059866</v>
      </c>
      <c r="I3715" s="7" t="str">
        <f>HYPERLINK("http://www.informatics.jax.org/marker/MGI:2386643","MGI:2386643")</f>
        <v>MGI:2386643</v>
      </c>
      <c r="J3715" s="4" t="s">
        <v>12</v>
      </c>
    </row>
    <row r="3716" spans="1:10" x14ac:dyDescent="0.25">
      <c r="A3716" s="2">
        <v>2207.1649355755098</v>
      </c>
      <c r="B3716" s="3">
        <v>0.244895911605712</v>
      </c>
      <c r="C3716" s="3">
        <v>6.8225102984125396E-4</v>
      </c>
      <c r="D3716" s="4">
        <v>2.0606509891973501E-3</v>
      </c>
      <c r="E3716" s="3" t="s">
        <v>13067</v>
      </c>
      <c r="F3716" s="3" t="s">
        <v>13068</v>
      </c>
      <c r="G3716" s="3">
        <v>71592</v>
      </c>
      <c r="H3716" s="7" t="str">
        <f>HYPERLINK("http://www.ensembl.org/Mus_musculus/Gene/Summary?db=core;g=ENSMUSG00000040596","ENSMUSG00000040596")</f>
        <v>ENSMUSG00000040596</v>
      </c>
      <c r="I3716" s="7" t="str">
        <f>HYPERLINK("http://www.informatics.jax.org/marker/MGI:1918842","MGI:1918842")</f>
        <v>MGI:1918842</v>
      </c>
      <c r="J3716" s="4" t="s">
        <v>12</v>
      </c>
    </row>
    <row r="3717" spans="1:10" x14ac:dyDescent="0.25">
      <c r="A3717" s="2">
        <v>887.87868733047003</v>
      </c>
      <c r="B3717" s="3">
        <v>0.24487829379629</v>
      </c>
      <c r="C3717" s="3">
        <v>7.1828983585090602E-3</v>
      </c>
      <c r="D3717" s="4">
        <v>1.8404108954057599E-2</v>
      </c>
      <c r="E3717" s="3" t="s">
        <v>15395</v>
      </c>
      <c r="F3717" s="3" t="s">
        <v>15396</v>
      </c>
      <c r="G3717" s="3">
        <v>399558</v>
      </c>
      <c r="H3717" s="7" t="str">
        <f>HYPERLINK("http://www.ensembl.org/Mus_musculus/Gene/Summary?db=core;g=ENSMUSG00000047414","ENSMUSG00000047414")</f>
        <v>ENSMUSG00000047414</v>
      </c>
      <c r="I3717" s="7" t="str">
        <f>HYPERLINK("http://www.informatics.jax.org/marker/MGI:3603594","MGI:3603594")</f>
        <v>MGI:3603594</v>
      </c>
      <c r="J3717" s="4" t="s">
        <v>12</v>
      </c>
    </row>
    <row r="3718" spans="1:10" x14ac:dyDescent="0.25">
      <c r="A3718" s="2">
        <v>4847.0707898086202</v>
      </c>
      <c r="B3718" s="3">
        <v>0.244783984583165</v>
      </c>
      <c r="C3718" s="3">
        <v>1.27955120392013E-2</v>
      </c>
      <c r="D3718" s="4">
        <v>3.1151542890500001E-2</v>
      </c>
      <c r="E3718" s="3" t="s">
        <v>16205</v>
      </c>
      <c r="F3718" s="3" t="s">
        <v>16206</v>
      </c>
      <c r="G3718" s="3">
        <v>12512</v>
      </c>
      <c r="H3718" s="7" t="str">
        <f>HYPERLINK("http://www.ensembl.org/Mus_musculus/Gene/Summary?db=core;g=ENSMUSG00000025351","ENSMUSG00000025351")</f>
        <v>ENSMUSG00000025351</v>
      </c>
      <c r="I3718" s="7" t="str">
        <f>HYPERLINK("http://www.informatics.jax.org/marker/MGI:99529","MGI:99529")</f>
        <v>MGI:99529</v>
      </c>
      <c r="J3718" s="4" t="s">
        <v>12</v>
      </c>
    </row>
    <row r="3719" spans="1:10" x14ac:dyDescent="0.25">
      <c r="A3719" s="2">
        <v>4193.9909193855001</v>
      </c>
      <c r="B3719" s="3">
        <v>0.24477299306452499</v>
      </c>
      <c r="C3719" s="5">
        <v>6.9038385733115903E-8</v>
      </c>
      <c r="D3719" s="6">
        <v>3.1705565129414199E-7</v>
      </c>
      <c r="E3719" s="3" t="s">
        <v>8605</v>
      </c>
      <c r="F3719" s="3" t="s">
        <v>8606</v>
      </c>
      <c r="G3719" s="3">
        <v>67437</v>
      </c>
      <c r="H3719" s="7" t="str">
        <f>HYPERLINK("http://www.ensembl.org/Mus_musculus/Gene/Summary?db=core;g=ENSMUSG00000027828","ENSMUSG00000027828")</f>
        <v>ENSMUSG00000027828</v>
      </c>
      <c r="I3719" s="7" t="str">
        <f>HYPERLINK("http://www.informatics.jax.org/marker/MGI:1914687","MGI:1914687")</f>
        <v>MGI:1914687</v>
      </c>
      <c r="J3719" s="4" t="s">
        <v>12</v>
      </c>
    </row>
    <row r="3720" spans="1:10" x14ac:dyDescent="0.25">
      <c r="A3720" s="2">
        <v>1356.34981950466</v>
      </c>
      <c r="B3720" s="3">
        <v>0.24476997197978201</v>
      </c>
      <c r="C3720" s="5">
        <v>3.3542234732304102E-5</v>
      </c>
      <c r="D3720" s="4">
        <v>1.1913776457511501E-4</v>
      </c>
      <c r="E3720" s="3" t="s">
        <v>11117</v>
      </c>
      <c r="F3720" s="3" t="s">
        <v>11118</v>
      </c>
      <c r="G3720" s="3">
        <v>60441</v>
      </c>
      <c r="H3720" s="7" t="str">
        <f>HYPERLINK("http://www.ensembl.org/Mus_musculus/Gene/Summary?db=core;g=ENSMUSG00000020775","ENSMUSG00000020775")</f>
        <v>ENSMUSG00000020775</v>
      </c>
      <c r="I3720" s="7" t="str">
        <f>HYPERLINK("http://www.informatics.jax.org/marker/MGI:1926269","MGI:1926269")</f>
        <v>MGI:1926269</v>
      </c>
      <c r="J3720" s="4" t="s">
        <v>12</v>
      </c>
    </row>
    <row r="3721" spans="1:10" x14ac:dyDescent="0.25">
      <c r="A3721" s="2">
        <v>1517.19671819624</v>
      </c>
      <c r="B3721" s="3">
        <v>0.24463331335611299</v>
      </c>
      <c r="C3721" s="3">
        <v>3.9185692479175099E-4</v>
      </c>
      <c r="D3721" s="4">
        <v>1.22249937618942E-3</v>
      </c>
      <c r="E3721" s="3" t="s">
        <v>12655</v>
      </c>
      <c r="F3721" s="3" t="s">
        <v>12656</v>
      </c>
      <c r="G3721" s="3">
        <v>76179</v>
      </c>
      <c r="H3721" s="7" t="str">
        <f>HYPERLINK("http://www.ensembl.org/Mus_musculus/Gene/Summary?db=core;g=ENSMUSG00000063317","ENSMUSG00000063317")</f>
        <v>ENSMUSG00000063317</v>
      </c>
      <c r="I3721" s="7" t="str">
        <f>HYPERLINK("http://www.informatics.jax.org/marker/MGI:1923429","MGI:1923429")</f>
        <v>MGI:1923429</v>
      </c>
      <c r="J3721" s="4" t="s">
        <v>12</v>
      </c>
    </row>
    <row r="3722" spans="1:10" x14ac:dyDescent="0.25">
      <c r="A3722" s="2">
        <v>745.358424104547</v>
      </c>
      <c r="B3722" s="3">
        <v>0.244590099718686</v>
      </c>
      <c r="C3722" s="5">
        <v>7.7725879539805894E-6</v>
      </c>
      <c r="D3722" s="6">
        <v>2.9504414716553901E-5</v>
      </c>
      <c r="E3722" s="3" t="s">
        <v>10404</v>
      </c>
      <c r="F3722" s="3" t="s">
        <v>10405</v>
      </c>
      <c r="G3722" s="3">
        <v>66840</v>
      </c>
      <c r="H3722" s="7" t="str">
        <f>HYPERLINK("http://www.ensembl.org/Mus_musculus/Gene/Summary?db=core;g=ENSMUSG00000025173","ENSMUSG00000025173")</f>
        <v>ENSMUSG00000025173</v>
      </c>
      <c r="I3722" s="7" t="str">
        <f>HYPERLINK("http://www.informatics.jax.org/marker/MGI:1914090","MGI:1914090")</f>
        <v>MGI:1914090</v>
      </c>
      <c r="J3722" s="4" t="s">
        <v>12</v>
      </c>
    </row>
    <row r="3723" spans="1:10" x14ac:dyDescent="0.25">
      <c r="A3723" s="2">
        <v>3750.4747422339601</v>
      </c>
      <c r="B3723" s="3">
        <v>0.244507319801999</v>
      </c>
      <c r="C3723" s="3">
        <v>4.9938338307836997E-4</v>
      </c>
      <c r="D3723" s="4">
        <v>1.5377639466435801E-3</v>
      </c>
      <c r="E3723" s="3" t="s">
        <v>12817</v>
      </c>
      <c r="F3723" s="3" t="s">
        <v>12818</v>
      </c>
      <c r="G3723" s="3">
        <v>26444</v>
      </c>
      <c r="H3723" s="7" t="str">
        <f>HYPERLINK("http://www.ensembl.org/Mus_musculus/Gene/Summary?db=core;g=ENSMUSG00000027566","ENSMUSG00000027566")</f>
        <v>ENSMUSG00000027566</v>
      </c>
      <c r="I3723" s="7" t="str">
        <f>HYPERLINK("http://www.informatics.jax.org/marker/MGI:1347070","MGI:1347070")</f>
        <v>MGI:1347070</v>
      </c>
      <c r="J3723" s="4" t="s">
        <v>12</v>
      </c>
    </row>
    <row r="3724" spans="1:10" x14ac:dyDescent="0.25">
      <c r="A3724" s="2">
        <v>1681.9438883150401</v>
      </c>
      <c r="B3724" s="3">
        <v>0.24446183894213</v>
      </c>
      <c r="C3724" s="5">
        <v>3.9109815827131603E-7</v>
      </c>
      <c r="D3724" s="6">
        <v>1.68578266253778E-6</v>
      </c>
      <c r="E3724" s="3" t="s">
        <v>9165</v>
      </c>
      <c r="F3724" s="3" t="s">
        <v>9166</v>
      </c>
      <c r="G3724" s="3">
        <v>26754</v>
      </c>
      <c r="H3724" s="7" t="str">
        <f>HYPERLINK("http://www.ensembl.org/Mus_musculus/Gene/Summary?db=core;g=ENSMUSG00000025917","ENSMUSG00000025917")</f>
        <v>ENSMUSG00000025917</v>
      </c>
      <c r="I3724" s="7" t="str">
        <f>HYPERLINK("http://www.informatics.jax.org/marker/MGI:1349415","MGI:1349415")</f>
        <v>MGI:1349415</v>
      </c>
      <c r="J3724" s="4" t="s">
        <v>12</v>
      </c>
    </row>
    <row r="3725" spans="1:10" x14ac:dyDescent="0.25">
      <c r="A3725" s="2">
        <v>2015.9726789665799</v>
      </c>
      <c r="B3725" s="3">
        <v>0.24384839440002201</v>
      </c>
      <c r="C3725" s="5">
        <v>2.8944788623916199E-9</v>
      </c>
      <c r="D3725" s="6">
        <v>1.4957841500619199E-8</v>
      </c>
      <c r="E3725" s="3" t="s">
        <v>7648</v>
      </c>
      <c r="F3725" s="3" t="s">
        <v>7649</v>
      </c>
      <c r="G3725" s="3">
        <v>15115</v>
      </c>
      <c r="H3725" s="7" t="str">
        <f>HYPERLINK("http://www.ensembl.org/Mus_musculus/Gene/Summary?db=core;g=ENSMUSG00000001380","ENSMUSG00000001380")</f>
        <v>ENSMUSG00000001380</v>
      </c>
      <c r="I3725" s="7" t="str">
        <f>HYPERLINK("http://www.informatics.jax.org/marker/MGI:108087","MGI:108087")</f>
        <v>MGI:108087</v>
      </c>
      <c r="J3725" s="4" t="s">
        <v>12</v>
      </c>
    </row>
    <row r="3726" spans="1:10" x14ac:dyDescent="0.25">
      <c r="A3726" s="2">
        <v>452.56717810149701</v>
      </c>
      <c r="B3726" s="3">
        <v>0.24376982424237001</v>
      </c>
      <c r="C3726" s="3">
        <v>8.3353091604809696E-3</v>
      </c>
      <c r="D3726" s="4">
        <v>2.10329234350204E-2</v>
      </c>
      <c r="E3726" s="3" t="s">
        <v>15635</v>
      </c>
      <c r="F3726" s="3" t="s">
        <v>15636</v>
      </c>
      <c r="G3726" s="3">
        <v>231807</v>
      </c>
      <c r="H3726" s="7" t="str">
        <f>HYPERLINK("http://www.ensembl.org/Mus_musculus/Gene/Summary?db=core;g=ENSMUSG00000036948","ENSMUSG00000036948")</f>
        <v>ENSMUSG00000036948</v>
      </c>
      <c r="I3726" s="7" t="str">
        <f>HYPERLINK("http://www.informatics.jax.org/marker/MGI:2385896","MGI:2385896")</f>
        <v>MGI:2385896</v>
      </c>
      <c r="J3726" s="4" t="s">
        <v>12</v>
      </c>
    </row>
    <row r="3727" spans="1:10" x14ac:dyDescent="0.25">
      <c r="A3727" s="2">
        <v>5175.8969003853499</v>
      </c>
      <c r="B3727" s="3">
        <v>0.24371631756249501</v>
      </c>
      <c r="C3727" s="3">
        <v>1.8730538858884099E-3</v>
      </c>
      <c r="D3727" s="4">
        <v>5.30851144434026E-3</v>
      </c>
      <c r="E3727" s="3" t="s">
        <v>13923</v>
      </c>
      <c r="F3727" s="3" t="s">
        <v>13924</v>
      </c>
      <c r="G3727" s="3">
        <v>20088</v>
      </c>
      <c r="H3727" s="7" t="str">
        <f>HYPERLINK("http://www.ensembl.org/Mus_musculus/Gene/Summary?db=core;g=ENSMUSG00000025290","ENSMUSG00000025290")</f>
        <v>ENSMUSG00000025290</v>
      </c>
      <c r="I3727" s="7" t="str">
        <f>HYPERLINK("http://www.informatics.jax.org/marker/MGI:98147","MGI:98147")</f>
        <v>MGI:98147</v>
      </c>
      <c r="J3727" s="4" t="s">
        <v>12</v>
      </c>
    </row>
    <row r="3728" spans="1:10" x14ac:dyDescent="0.25">
      <c r="A3728" s="2">
        <v>484.13477505870497</v>
      </c>
      <c r="B3728" s="3">
        <v>0.24296186101652401</v>
      </c>
      <c r="C3728" s="3">
        <v>8.11737004029134E-4</v>
      </c>
      <c r="D3728" s="4">
        <v>2.4253717756749301E-3</v>
      </c>
      <c r="E3728" s="3" t="s">
        <v>13209</v>
      </c>
      <c r="F3728" s="3" t="s">
        <v>13210</v>
      </c>
      <c r="G3728" s="3">
        <v>98710</v>
      </c>
      <c r="H3728" s="7" t="str">
        <f>HYPERLINK("http://www.ensembl.org/Mus_musculus/Gene/Summary?db=core;g=ENSMUSG00000042229","ENSMUSG00000042229")</f>
        <v>ENSMUSG00000042229</v>
      </c>
      <c r="I3728" s="7" t="str">
        <f>HYPERLINK("http://www.informatics.jax.org/marker/MGI:2138605","MGI:2138605")</f>
        <v>MGI:2138605</v>
      </c>
      <c r="J3728" s="4" t="s">
        <v>12</v>
      </c>
    </row>
    <row r="3729" spans="1:10" x14ac:dyDescent="0.25">
      <c r="A3729" s="2">
        <v>711.35730015077797</v>
      </c>
      <c r="B3729" s="3">
        <v>0.24291409044621901</v>
      </c>
      <c r="C3729" s="3">
        <v>3.3145319112332398E-4</v>
      </c>
      <c r="D3729" s="4">
        <v>1.0441304998325799E-3</v>
      </c>
      <c r="E3729" s="3" t="s">
        <v>12533</v>
      </c>
      <c r="F3729" s="3" t="s">
        <v>12534</v>
      </c>
      <c r="G3729" s="3">
        <v>68421</v>
      </c>
      <c r="H3729" s="7" t="str">
        <f>HYPERLINK("http://www.ensembl.org/Mus_musculus/Gene/Summary?db=core;g=ENSMUSG00000073725","ENSMUSG00000073725")</f>
        <v>ENSMUSG00000073725</v>
      </c>
      <c r="I3729" s="7" t="str">
        <f>HYPERLINK("http://www.informatics.jax.org/marker/MGI:1915671","MGI:1915671")</f>
        <v>MGI:1915671</v>
      </c>
      <c r="J3729" s="4" t="s">
        <v>12</v>
      </c>
    </row>
    <row r="3730" spans="1:10" x14ac:dyDescent="0.25">
      <c r="A3730" s="2">
        <v>444.74701938561401</v>
      </c>
      <c r="B3730" s="3">
        <v>0.242792526084218</v>
      </c>
      <c r="C3730" s="3">
        <v>5.2848846291087001E-3</v>
      </c>
      <c r="D3730" s="4">
        <v>1.3917992105505299E-2</v>
      </c>
      <c r="E3730" s="3" t="s">
        <v>14980</v>
      </c>
      <c r="F3730" s="3" t="s">
        <v>14981</v>
      </c>
      <c r="G3730" s="3">
        <v>217331</v>
      </c>
      <c r="H3730" s="7" t="str">
        <f>HYPERLINK("http://www.ensembl.org/Mus_musculus/Gene/Summary?db=core;g=ENSMUSG00000020770","ENSMUSG00000020770")</f>
        <v>ENSMUSG00000020770</v>
      </c>
      <c r="I3730" s="7" t="str">
        <f>HYPERLINK("http://www.informatics.jax.org/marker/MGI:2442456","MGI:2442456")</f>
        <v>MGI:2442456</v>
      </c>
      <c r="J3730" s="4" t="s">
        <v>12</v>
      </c>
    </row>
    <row r="3731" spans="1:10" x14ac:dyDescent="0.25">
      <c r="A3731" s="2">
        <v>3762.3077868534101</v>
      </c>
      <c r="B3731" s="3">
        <v>0.24278480156190199</v>
      </c>
      <c r="C3731" s="3">
        <v>3.45399184932977E-4</v>
      </c>
      <c r="D3731" s="4">
        <v>1.08615403075718E-3</v>
      </c>
      <c r="E3731" s="3" t="s">
        <v>12555</v>
      </c>
      <c r="F3731" s="3" t="s">
        <v>12556</v>
      </c>
      <c r="G3731" s="3">
        <v>66480</v>
      </c>
      <c r="H3731" s="7" t="str">
        <f>HYPERLINK("http://www.ensembl.org/Mus_musculus/Gene/Summary?db=core;g=ENSMUSG00000012405","ENSMUSG00000012405")</f>
        <v>ENSMUSG00000012405</v>
      </c>
      <c r="I3731" s="7" t="str">
        <f>HYPERLINK("http://www.informatics.jax.org/marker/MGI:1913730","MGI:1913730")</f>
        <v>MGI:1913730</v>
      </c>
      <c r="J3731" s="4" t="s">
        <v>12</v>
      </c>
    </row>
    <row r="3732" spans="1:10" x14ac:dyDescent="0.25">
      <c r="A3732" s="2">
        <v>5627.2702790045996</v>
      </c>
      <c r="B3732" s="3">
        <v>0.24271043420319299</v>
      </c>
      <c r="C3732" s="5">
        <v>4.2610648540305803E-5</v>
      </c>
      <c r="D3732" s="4">
        <v>1.4948976858474101E-4</v>
      </c>
      <c r="E3732" s="3" t="s">
        <v>11253</v>
      </c>
      <c r="F3732" s="3" t="s">
        <v>11254</v>
      </c>
      <c r="G3732" s="3">
        <v>19899</v>
      </c>
      <c r="H3732" s="7" t="str">
        <f>HYPERLINK("http://www.ensembl.org/Mus_musculus/Gene/Summary?db=core;g=ENSMUSG00000059070","ENSMUSG00000059070")</f>
        <v>ENSMUSG00000059070</v>
      </c>
      <c r="I3732" s="7" t="str">
        <f>HYPERLINK("http://www.informatics.jax.org/marker/MGI:98003","MGI:98003")</f>
        <v>MGI:98003</v>
      </c>
      <c r="J3732" s="4" t="s">
        <v>12</v>
      </c>
    </row>
    <row r="3733" spans="1:10" x14ac:dyDescent="0.25">
      <c r="A3733" s="2">
        <v>3051.6132359787998</v>
      </c>
      <c r="B3733" s="3">
        <v>0.24217151251855601</v>
      </c>
      <c r="C3733" s="3">
        <v>1.8332321537013201E-3</v>
      </c>
      <c r="D3733" s="4">
        <v>5.2046268458090898E-3</v>
      </c>
      <c r="E3733" s="3" t="s">
        <v>13899</v>
      </c>
      <c r="F3733" s="3" t="s">
        <v>13900</v>
      </c>
      <c r="G3733" s="3">
        <v>59015</v>
      </c>
      <c r="H3733" s="7" t="str">
        <f>HYPERLINK("http://www.ensembl.org/Mus_musculus/Gene/Summary?db=core;g=ENSMUSG00000051329","ENSMUSG00000051329")</f>
        <v>ENSMUSG00000051329</v>
      </c>
      <c r="I3733" s="7" t="str">
        <f>HYPERLINK("http://www.informatics.jax.org/marker/MGI:1926227","MGI:1926227")</f>
        <v>MGI:1926227</v>
      </c>
      <c r="J3733" s="4" t="s">
        <v>12</v>
      </c>
    </row>
    <row r="3734" spans="1:10" x14ac:dyDescent="0.25">
      <c r="A3734" s="2">
        <v>8389.0280847908707</v>
      </c>
      <c r="B3734" s="3">
        <v>0.242051944766424</v>
      </c>
      <c r="C3734" s="3">
        <v>4.6512324993682499E-4</v>
      </c>
      <c r="D3734" s="4">
        <v>1.4374283793691001E-3</v>
      </c>
      <c r="E3734" s="3" t="s">
        <v>12771</v>
      </c>
      <c r="F3734" s="3" t="s">
        <v>12772</v>
      </c>
      <c r="G3734" s="3">
        <v>11964</v>
      </c>
      <c r="H3734" s="7" t="str">
        <f>HYPERLINK("http://www.ensembl.org/Mus_musculus/Gene/Summary?db=core;g=ENSMUSG00000052459","ENSMUSG00000052459")</f>
        <v>ENSMUSG00000052459</v>
      </c>
      <c r="I3734" s="7" t="str">
        <f>HYPERLINK("http://www.informatics.jax.org/marker/MGI:1201780","MGI:1201780")</f>
        <v>MGI:1201780</v>
      </c>
      <c r="J3734" s="4" t="s">
        <v>12</v>
      </c>
    </row>
    <row r="3735" spans="1:10" x14ac:dyDescent="0.25">
      <c r="A3735" s="2">
        <v>1651.3970951019</v>
      </c>
      <c r="B3735" s="3">
        <v>0.242047794195699</v>
      </c>
      <c r="C3735" s="5">
        <v>9.6630184832613002E-5</v>
      </c>
      <c r="D3735" s="4">
        <v>3.2640411868775702E-4</v>
      </c>
      <c r="E3735" s="3" t="s">
        <v>11687</v>
      </c>
      <c r="F3735" s="3" t="s">
        <v>11688</v>
      </c>
      <c r="G3735" s="3">
        <v>72102</v>
      </c>
      <c r="H3735" s="7" t="str">
        <f>HYPERLINK("http://www.ensembl.org/Mus_musculus/Gene/Summary?db=core;g=ENSMUSG00000030002","ENSMUSG00000030002")</f>
        <v>ENSMUSG00000030002</v>
      </c>
      <c r="I3735" s="7" t="str">
        <f>HYPERLINK("http://www.informatics.jax.org/marker/MGI:1919352","MGI:1919352")</f>
        <v>MGI:1919352</v>
      </c>
      <c r="J3735" s="4" t="s">
        <v>12</v>
      </c>
    </row>
    <row r="3736" spans="1:10" x14ac:dyDescent="0.25">
      <c r="A3736" s="2">
        <v>866.53949697519795</v>
      </c>
      <c r="B3736" s="3">
        <v>0.241468830581507</v>
      </c>
      <c r="C3736" s="3">
        <v>1.2646474307400599E-4</v>
      </c>
      <c r="D3736" s="4">
        <v>4.21193165583414E-4</v>
      </c>
      <c r="E3736" s="3" t="s">
        <v>11853</v>
      </c>
      <c r="F3736" s="3" t="s">
        <v>11854</v>
      </c>
      <c r="G3736" s="3">
        <v>77371</v>
      </c>
      <c r="H3736" s="7" t="str">
        <f>HYPERLINK("http://www.ensembl.org/Mus_musculus/Gene/Summary?db=core;g=ENSMUSG00000036391","ENSMUSG00000036391")</f>
        <v>ENSMUSG00000036391</v>
      </c>
      <c r="I3736" s="7" t="str">
        <f>HYPERLINK("http://www.informatics.jax.org/marker/MGI:1924621","MGI:1924621")</f>
        <v>MGI:1924621</v>
      </c>
      <c r="J3736" s="4" t="s">
        <v>12</v>
      </c>
    </row>
    <row r="3737" spans="1:10" x14ac:dyDescent="0.25">
      <c r="A3737" s="2">
        <v>5627.6075606267696</v>
      </c>
      <c r="B3737" s="3">
        <v>0.24142843726312699</v>
      </c>
      <c r="C3737" s="3">
        <v>2.4473676212455899E-3</v>
      </c>
      <c r="D3737" s="4">
        <v>6.8147542348154398E-3</v>
      </c>
      <c r="E3737" s="3" t="s">
        <v>14171</v>
      </c>
      <c r="F3737" s="3" t="s">
        <v>14172</v>
      </c>
      <c r="G3737" s="3" t="s">
        <v>83</v>
      </c>
      <c r="H3737" s="7" t="str">
        <f>HYPERLINK("http://www.ensembl.org/Mus_musculus/Gene/Summary?db=core;g=ENSMUSG00000026276","ENSMUSG00000026276")</f>
        <v>ENSMUSG00000026276</v>
      </c>
      <c r="I3737" s="7" t="str">
        <f>HYPERLINK("http://www.informatics.jax.org/marker/MGI:97298","MGI:97298")</f>
        <v>MGI:97298</v>
      </c>
      <c r="J3737" s="4" t="s">
        <v>12</v>
      </c>
    </row>
    <row r="3738" spans="1:10" x14ac:dyDescent="0.25">
      <c r="A3738" s="2">
        <v>5573.4019466610198</v>
      </c>
      <c r="B3738" s="3">
        <v>0.24141627696638299</v>
      </c>
      <c r="C3738" s="3">
        <v>2.6903433988861702E-3</v>
      </c>
      <c r="D3738" s="4">
        <v>7.4398502069885301E-3</v>
      </c>
      <c r="E3738" s="3" t="s">
        <v>14171</v>
      </c>
      <c r="F3738" s="3" t="s">
        <v>14172</v>
      </c>
      <c r="G3738" s="3">
        <v>18000</v>
      </c>
      <c r="H3738" s="7" t="str">
        <f>HYPERLINK("http://www.ensembl.org/Mus_musculus/Gene/Summary?db=core;g=ENSMUSG00000116048","ENSMUSG00000116048")</f>
        <v>ENSMUSG00000116048</v>
      </c>
      <c r="I3738" s="7" t="str">
        <f>HYPERLINK("http://www.informatics.jax.org/marker/MGI:97298","MGI:97298")</f>
        <v>MGI:97298</v>
      </c>
      <c r="J3738" s="4" t="s">
        <v>12</v>
      </c>
    </row>
    <row r="3739" spans="1:10" x14ac:dyDescent="0.25">
      <c r="A3739" s="2">
        <v>3499.4599042796399</v>
      </c>
      <c r="B3739" s="3">
        <v>0.24136748795385399</v>
      </c>
      <c r="C3739" s="3">
        <v>1.3030318949529701E-3</v>
      </c>
      <c r="D3739" s="4">
        <v>3.7810166227888E-3</v>
      </c>
      <c r="E3739" s="3" t="s">
        <v>13601</v>
      </c>
      <c r="F3739" s="3" t="s">
        <v>13602</v>
      </c>
      <c r="G3739" s="3">
        <v>223593</v>
      </c>
      <c r="H3739" s="7" t="str">
        <f>HYPERLINK("http://www.ensembl.org/Mus_musculus/Gene/Summary?db=core;g=ENSMUSG00000022350","ENSMUSG00000022350")</f>
        <v>ENSMUSG00000022350</v>
      </c>
      <c r="I3739" s="7" t="str">
        <f>HYPERLINK("http://www.informatics.jax.org/marker/MGI:2146110","MGI:2146110")</f>
        <v>MGI:2146110</v>
      </c>
      <c r="J3739" s="4" t="s">
        <v>12</v>
      </c>
    </row>
    <row r="3740" spans="1:10" x14ac:dyDescent="0.25">
      <c r="A3740" s="2">
        <v>3171.1266665918802</v>
      </c>
      <c r="B3740" s="3">
        <v>0.24129989818435901</v>
      </c>
      <c r="C3740" s="5">
        <v>1.8279663689872E-5</v>
      </c>
      <c r="D3740" s="6">
        <v>6.6742264018565994E-5</v>
      </c>
      <c r="E3740" s="3" t="s">
        <v>10814</v>
      </c>
      <c r="F3740" s="3" t="s">
        <v>10815</v>
      </c>
      <c r="G3740" s="3">
        <v>66229</v>
      </c>
      <c r="H3740" s="7" t="str">
        <f>HYPERLINK("http://www.ensembl.org/Mus_musculus/Gene/Summary?db=core;g=ENSMUSG00000063888","ENSMUSG00000063888")</f>
        <v>ENSMUSG00000063888</v>
      </c>
      <c r="I3740" s="7" t="str">
        <f>HYPERLINK("http://www.informatics.jax.org/marker/MGI:1913479","MGI:1913479")</f>
        <v>MGI:1913479</v>
      </c>
      <c r="J3740" s="4" t="s">
        <v>12</v>
      </c>
    </row>
    <row r="3741" spans="1:10" x14ac:dyDescent="0.25">
      <c r="A3741" s="2">
        <v>8627.2075338007107</v>
      </c>
      <c r="B3741" s="3">
        <v>0.24122367729372399</v>
      </c>
      <c r="C3741" s="3">
        <v>3.87067896752256E-4</v>
      </c>
      <c r="D3741" s="4">
        <v>1.2083234009742699E-3</v>
      </c>
      <c r="E3741" s="3" t="s">
        <v>12647</v>
      </c>
      <c r="F3741" s="3" t="s">
        <v>12648</v>
      </c>
      <c r="G3741" s="3">
        <v>20103</v>
      </c>
      <c r="H3741" s="7" t="str">
        <f>HYPERLINK("http://www.ensembl.org/Mus_musculus/Gene/Summary?db=core;g=ENSMUSG00000012848","ENSMUSG00000012848")</f>
        <v>ENSMUSG00000012848</v>
      </c>
      <c r="I3741" s="7" t="str">
        <f>HYPERLINK("http://www.informatics.jax.org/marker/MGI:1097682","MGI:1097682")</f>
        <v>MGI:1097682</v>
      </c>
      <c r="J3741" s="4" t="s">
        <v>12</v>
      </c>
    </row>
    <row r="3742" spans="1:10" x14ac:dyDescent="0.25">
      <c r="A3742" s="2">
        <v>1093.7982174693</v>
      </c>
      <c r="B3742" s="3">
        <v>0.24111023390337399</v>
      </c>
      <c r="C3742" s="5">
        <v>7.8625104562862594E-6</v>
      </c>
      <c r="D3742" s="6">
        <v>2.9811607668705698E-5</v>
      </c>
      <c r="E3742" s="3" t="s">
        <v>10416</v>
      </c>
      <c r="F3742" s="3" t="s">
        <v>10417</v>
      </c>
      <c r="G3742" s="3">
        <v>209354</v>
      </c>
      <c r="H3742" s="7" t="str">
        <f>HYPERLINK("http://www.ensembl.org/Mus_musculus/Gene/Summary?db=core;g=ENSMUSG00000029388","ENSMUSG00000029388")</f>
        <v>ENSMUSG00000029388</v>
      </c>
      <c r="I3742" s="7" t="str">
        <f>HYPERLINK("http://www.informatics.jax.org/marker/MGI:2384802","MGI:2384802")</f>
        <v>MGI:2384802</v>
      </c>
      <c r="J3742" s="4" t="s">
        <v>12</v>
      </c>
    </row>
    <row r="3743" spans="1:10" x14ac:dyDescent="0.25">
      <c r="A3743" s="2">
        <v>2088.1153313147101</v>
      </c>
      <c r="B3743" s="3">
        <v>0.24095088260995501</v>
      </c>
      <c r="C3743" s="5">
        <v>1.78242558704736E-5</v>
      </c>
      <c r="D3743" s="6">
        <v>6.5151867611814505E-5</v>
      </c>
      <c r="E3743" s="3" t="s">
        <v>10802</v>
      </c>
      <c r="F3743" s="3" t="s">
        <v>10803</v>
      </c>
      <c r="G3743" s="3">
        <v>54519</v>
      </c>
      <c r="H3743" s="7" t="str">
        <f>HYPERLINK("http://www.ensembl.org/Mus_musculus/Gene/Summary?db=core;g=ENSMUSG00000026786","ENSMUSG00000026786")</f>
        <v>ENSMUSG00000026786</v>
      </c>
      <c r="I3743" s="7" t="str">
        <f>HYPERLINK("http://www.informatics.jax.org/marker/MGI:1861354","MGI:1861354")</f>
        <v>MGI:1861354</v>
      </c>
      <c r="J3743" s="4" t="s">
        <v>12</v>
      </c>
    </row>
    <row r="3744" spans="1:10" x14ac:dyDescent="0.25">
      <c r="A3744" s="2">
        <v>18011.455380860301</v>
      </c>
      <c r="B3744" s="3">
        <v>0.24084620619404201</v>
      </c>
      <c r="C3744" s="3">
        <v>1.61269422158427E-3</v>
      </c>
      <c r="D3744" s="4">
        <v>4.6163928073220898E-3</v>
      </c>
      <c r="E3744" s="3" t="s">
        <v>13785</v>
      </c>
      <c r="F3744" s="3" t="s">
        <v>13786</v>
      </c>
      <c r="G3744" s="3">
        <v>11837</v>
      </c>
      <c r="H3744" s="7" t="str">
        <f>HYPERLINK("http://www.ensembl.org/Mus_musculus/Gene/Summary?db=core;g=ENSMUSG00000067274","ENSMUSG00000067274")</f>
        <v>ENSMUSG00000067274</v>
      </c>
      <c r="I3744" s="7" t="str">
        <f>HYPERLINK("http://www.informatics.jax.org/marker/MGI:1927636","MGI:1927636")</f>
        <v>MGI:1927636</v>
      </c>
      <c r="J3744" s="4" t="s">
        <v>12</v>
      </c>
    </row>
    <row r="3745" spans="1:10" x14ac:dyDescent="0.25">
      <c r="A3745" s="2">
        <v>1177.22117456608</v>
      </c>
      <c r="B3745" s="3">
        <v>0.240728467728684</v>
      </c>
      <c r="C3745" s="5">
        <v>6.1061166557908094E-5</v>
      </c>
      <c r="D3745" s="4">
        <v>2.1080640835468301E-4</v>
      </c>
      <c r="E3745" s="3" t="s">
        <v>11435</v>
      </c>
      <c r="F3745" s="3" t="s">
        <v>11436</v>
      </c>
      <c r="G3745" s="3">
        <v>245945</v>
      </c>
      <c r="H3745" s="7" t="str">
        <f>HYPERLINK("http://www.ensembl.org/Mus_musculus/Gene/Summary?db=core;g=ENSMUSG00000070780","ENSMUSG00000070780")</f>
        <v>ENSMUSG00000070780</v>
      </c>
      <c r="I3745" s="7" t="str">
        <f>HYPERLINK("http://www.informatics.jax.org/marker/MGI:2384294","MGI:2384294")</f>
        <v>MGI:2384294</v>
      </c>
      <c r="J3745" s="4" t="s">
        <v>12</v>
      </c>
    </row>
    <row r="3746" spans="1:10" x14ac:dyDescent="0.25">
      <c r="A3746" s="2">
        <v>970.99677248322996</v>
      </c>
      <c r="B3746" s="3">
        <v>0.24049247973205201</v>
      </c>
      <c r="C3746" s="3">
        <v>3.98524560564722E-3</v>
      </c>
      <c r="D3746" s="4">
        <v>1.07362081070168E-2</v>
      </c>
      <c r="E3746" s="3" t="s">
        <v>14643</v>
      </c>
      <c r="F3746" s="3" t="s">
        <v>14644</v>
      </c>
      <c r="G3746" s="3">
        <v>18739</v>
      </c>
      <c r="H3746" s="7" t="str">
        <f>HYPERLINK("http://www.ensembl.org/Mus_musculus/Gene/Summary?db=core;g=ENSMUSG00000024851","ENSMUSG00000024851")</f>
        <v>ENSMUSG00000024851</v>
      </c>
      <c r="I3746" s="7" t="str">
        <f>HYPERLINK("http://www.informatics.jax.org/marker/MGI:1197524","MGI:1197524")</f>
        <v>MGI:1197524</v>
      </c>
      <c r="J3746" s="4" t="s">
        <v>12</v>
      </c>
    </row>
    <row r="3747" spans="1:10" x14ac:dyDescent="0.25">
      <c r="A3747" s="2">
        <v>586.77855766118705</v>
      </c>
      <c r="B3747" s="3">
        <v>0.24033667860933799</v>
      </c>
      <c r="C3747" s="5">
        <v>7.1074286719050397E-6</v>
      </c>
      <c r="D3747" s="6">
        <v>2.7052401739040199E-5</v>
      </c>
      <c r="E3747" s="3" t="s">
        <v>10376</v>
      </c>
      <c r="F3747" s="3" t="s">
        <v>10377</v>
      </c>
      <c r="G3747" s="3">
        <v>57437</v>
      </c>
      <c r="H3747" s="7" t="str">
        <f>HYPERLINK("http://www.ensembl.org/Mus_musculus/Gene/Summary?db=core;g=ENSMUSG00000015341","ENSMUSG00000015341")</f>
        <v>ENSMUSG00000015341</v>
      </c>
      <c r="I3747" s="7" t="str">
        <f>HYPERLINK("http://www.informatics.jax.org/marker/MGI:1931029","MGI:1931029")</f>
        <v>MGI:1931029</v>
      </c>
      <c r="J3747" s="4" t="s">
        <v>12</v>
      </c>
    </row>
    <row r="3748" spans="1:10" x14ac:dyDescent="0.25">
      <c r="A3748" s="2">
        <v>5469.3398326405804</v>
      </c>
      <c r="B3748" s="3">
        <v>0.240266027113304</v>
      </c>
      <c r="C3748" s="5">
        <v>1.49273046462769E-5</v>
      </c>
      <c r="D3748" s="6">
        <v>5.5042342487767597E-5</v>
      </c>
      <c r="E3748" s="3" t="s">
        <v>10708</v>
      </c>
      <c r="F3748" s="3" t="s">
        <v>10709</v>
      </c>
      <c r="G3748" s="3">
        <v>27370</v>
      </c>
      <c r="H3748" s="7" t="str">
        <f>HYPERLINK("http://www.ensembl.org/Mus_musculus/Gene/Summary?db=core;g=ENSMUSG00000025362","ENSMUSG00000025362")</f>
        <v>ENSMUSG00000025362</v>
      </c>
      <c r="I3748" s="7" t="str">
        <f>HYPERLINK("http://www.informatics.jax.org/marker/MGI:1351628","MGI:1351628")</f>
        <v>MGI:1351628</v>
      </c>
      <c r="J3748" s="4" t="s">
        <v>12</v>
      </c>
    </row>
    <row r="3749" spans="1:10" x14ac:dyDescent="0.25">
      <c r="A3749" s="2">
        <v>363.18108694304198</v>
      </c>
      <c r="B3749" s="3">
        <v>0.24024864515477801</v>
      </c>
      <c r="C3749" s="3">
        <v>9.8166874510241097E-4</v>
      </c>
      <c r="D3749" s="4">
        <v>2.89624590865044E-3</v>
      </c>
      <c r="E3749" s="3" t="s">
        <v>13377</v>
      </c>
      <c r="F3749" s="3" t="s">
        <v>13378</v>
      </c>
      <c r="G3749" s="3">
        <v>66410</v>
      </c>
      <c r="H3749" s="7" t="str">
        <f>HYPERLINK("http://www.ensembl.org/Mus_musculus/Gene/Summary?db=core;g=ENSMUSG00000021519","ENSMUSG00000021519")</f>
        <v>ENSMUSG00000021519</v>
      </c>
      <c r="I3749" s="7" t="str">
        <f>HYPERLINK("http://www.informatics.jax.org/marker/MGI:1913660","MGI:1913660")</f>
        <v>MGI:1913660</v>
      </c>
      <c r="J3749" s="4" t="s">
        <v>12</v>
      </c>
    </row>
    <row r="3750" spans="1:10" x14ac:dyDescent="0.25">
      <c r="A3750" s="2">
        <v>1965.75104555904</v>
      </c>
      <c r="B3750" s="3">
        <v>0.24014163342223799</v>
      </c>
      <c r="C3750" s="5">
        <v>6.0346518332512099E-5</v>
      </c>
      <c r="D3750" s="4">
        <v>2.08448649766533E-4</v>
      </c>
      <c r="E3750" s="3" t="s">
        <v>11429</v>
      </c>
      <c r="F3750" s="3" t="s">
        <v>11430</v>
      </c>
      <c r="G3750" s="3">
        <v>73078</v>
      </c>
      <c r="H3750" s="7" t="str">
        <f>HYPERLINK("http://www.ensembl.org/Mus_musculus/Gene/Summary?db=core;g=ENSMUSG00000029017","ENSMUSG00000029017")</f>
        <v>ENSMUSG00000029017</v>
      </c>
      <c r="I3750" s="7" t="str">
        <f>HYPERLINK("http://www.informatics.jax.org/marker/MGI:1920328","MGI:1920328")</f>
        <v>MGI:1920328</v>
      </c>
      <c r="J3750" s="4" t="s">
        <v>12</v>
      </c>
    </row>
    <row r="3751" spans="1:10" x14ac:dyDescent="0.25">
      <c r="A3751" s="2">
        <v>2184.8663872868801</v>
      </c>
      <c r="B3751" s="3">
        <v>0.23986012618859601</v>
      </c>
      <c r="C3751" s="5">
        <v>6.3175690519207803E-5</v>
      </c>
      <c r="D3751" s="4">
        <v>2.1777534960575799E-4</v>
      </c>
      <c r="E3751" s="3" t="s">
        <v>11453</v>
      </c>
      <c r="F3751" s="3" t="s">
        <v>11454</v>
      </c>
      <c r="G3751" s="3">
        <v>12648</v>
      </c>
      <c r="H3751" s="7" t="str">
        <f>HYPERLINK("http://www.ensembl.org/Mus_musculus/Gene/Summary?db=core;g=ENSMUSG00000023852","ENSMUSG00000023852")</f>
        <v>ENSMUSG00000023852</v>
      </c>
      <c r="I3751" s="7" t="str">
        <f>HYPERLINK("http://www.informatics.jax.org/marker/MGI:88393","MGI:88393")</f>
        <v>MGI:88393</v>
      </c>
      <c r="J3751" s="4" t="s">
        <v>12</v>
      </c>
    </row>
    <row r="3752" spans="1:10" x14ac:dyDescent="0.25">
      <c r="A3752" s="2">
        <v>272.20259993771901</v>
      </c>
      <c r="B3752" s="3">
        <v>0.239488574288927</v>
      </c>
      <c r="C3752" s="3">
        <v>4.3799921971063999E-3</v>
      </c>
      <c r="D3752" s="4">
        <v>1.17053050720881E-2</v>
      </c>
      <c r="E3752" s="3" t="s">
        <v>14762</v>
      </c>
      <c r="F3752" s="3" t="s">
        <v>14763</v>
      </c>
      <c r="G3752" s="3">
        <v>276852</v>
      </c>
      <c r="H3752" s="7" t="str">
        <f>HYPERLINK("http://www.ensembl.org/Mus_musculus/Gene/Summary?db=core;g=ENSMUSG00000041623","ENSMUSG00000041623")</f>
        <v>ENSMUSG00000041623</v>
      </c>
      <c r="I3752" s="7" t="str">
        <f>HYPERLINK("http://www.informatics.jax.org/marker/MGI:106356","MGI:106356")</f>
        <v>MGI:106356</v>
      </c>
      <c r="J3752" s="4" t="s">
        <v>12</v>
      </c>
    </row>
    <row r="3753" spans="1:10" x14ac:dyDescent="0.25">
      <c r="A3753" s="2">
        <v>8464.5901729921006</v>
      </c>
      <c r="B3753" s="3">
        <v>0.23941718792879799</v>
      </c>
      <c r="C3753" s="5">
        <v>2.33734242533181E-6</v>
      </c>
      <c r="D3753" s="6">
        <v>9.3304438517294203E-6</v>
      </c>
      <c r="E3753" s="3" t="s">
        <v>9895</v>
      </c>
      <c r="F3753" s="3" t="s">
        <v>9896</v>
      </c>
      <c r="G3753" s="3">
        <v>67160</v>
      </c>
      <c r="H3753" s="7" t="str">
        <f>HYPERLINK("http://www.ensembl.org/Mus_musculus/Gene/Summary?db=core;g=ENSMUSG00000071644","ENSMUSG00000071644")</f>
        <v>ENSMUSG00000071644</v>
      </c>
      <c r="I3753" s="7" t="str">
        <f>HYPERLINK("http://www.informatics.jax.org/marker/MGI:1914410","MGI:1914410")</f>
        <v>MGI:1914410</v>
      </c>
      <c r="J3753" s="4" t="s">
        <v>12</v>
      </c>
    </row>
    <row r="3754" spans="1:10" x14ac:dyDescent="0.25">
      <c r="A3754" s="2">
        <v>506.71690760810702</v>
      </c>
      <c r="B3754" s="3">
        <v>0.23937928934689701</v>
      </c>
      <c r="C3754" s="3">
        <v>3.2046120183941598E-3</v>
      </c>
      <c r="D3754" s="4">
        <v>8.7479165286175001E-3</v>
      </c>
      <c r="E3754" s="3" t="s">
        <v>14451</v>
      </c>
      <c r="F3754" s="3" t="s">
        <v>14452</v>
      </c>
      <c r="G3754" s="3">
        <v>242083</v>
      </c>
      <c r="H3754" s="7" t="str">
        <f>HYPERLINK("http://www.ensembl.org/Mus_musculus/Gene/Summary?db=core;g=ENSMUSG00000027784","ENSMUSG00000027784")</f>
        <v>ENSMUSG00000027784</v>
      </c>
      <c r="I3754" s="7" t="str">
        <f>HYPERLINK("http://www.informatics.jax.org/marker/MGI:2139740","MGI:2139740")</f>
        <v>MGI:2139740</v>
      </c>
      <c r="J3754" s="4" t="s">
        <v>12</v>
      </c>
    </row>
    <row r="3755" spans="1:10" x14ac:dyDescent="0.25">
      <c r="A3755" s="2">
        <v>468.37974898531598</v>
      </c>
      <c r="B3755" s="3">
        <v>0.239213219730875</v>
      </c>
      <c r="C3755" s="3">
        <v>1.0909013090783499E-2</v>
      </c>
      <c r="D3755" s="4">
        <v>2.6917706136793298E-2</v>
      </c>
      <c r="E3755" s="3" t="s">
        <v>15987</v>
      </c>
      <c r="F3755" s="3" t="s">
        <v>15988</v>
      </c>
      <c r="G3755" s="3">
        <v>52120</v>
      </c>
      <c r="H3755" s="7" t="str">
        <f>HYPERLINK("http://www.ensembl.org/Mus_musculus/Gene/Summary?db=core;g=ENSMUSG00000037260","ENSMUSG00000037260")</f>
        <v>ENSMUSG00000037260</v>
      </c>
      <c r="I3755" s="7" t="str">
        <f>HYPERLINK("http://www.informatics.jax.org/marker/MGI:1196297","MGI:1196297")</f>
        <v>MGI:1196297</v>
      </c>
      <c r="J3755" s="4" t="s">
        <v>12</v>
      </c>
    </row>
    <row r="3756" spans="1:10" x14ac:dyDescent="0.25">
      <c r="A3756" s="2">
        <v>2418.9949521356998</v>
      </c>
      <c r="B3756" s="3">
        <v>0.23917730047580399</v>
      </c>
      <c r="C3756" s="5">
        <v>1.17240153959546E-7</v>
      </c>
      <c r="D3756" s="6">
        <v>5.2857243623279501E-7</v>
      </c>
      <c r="E3756" s="3" t="s">
        <v>8765</v>
      </c>
      <c r="F3756" s="3" t="s">
        <v>8766</v>
      </c>
      <c r="G3756" s="3">
        <v>13001</v>
      </c>
      <c r="H3756" s="7" t="str">
        <f>HYPERLINK("http://www.ensembl.org/Mus_musculus/Gene/Summary?db=core;g=ENSMUSG00000024387","ENSMUSG00000024387")</f>
        <v>ENSMUSG00000024387</v>
      </c>
      <c r="I3756" s="7" t="str">
        <f>HYPERLINK("http://www.informatics.jax.org/marker/MGI:88548","MGI:88548")</f>
        <v>MGI:88548</v>
      </c>
      <c r="J3756" s="4" t="s">
        <v>12</v>
      </c>
    </row>
    <row r="3757" spans="1:10" x14ac:dyDescent="0.25">
      <c r="A3757" s="2">
        <v>4220.3260699778402</v>
      </c>
      <c r="B3757" s="3">
        <v>0.23890291545753101</v>
      </c>
      <c r="C3757" s="5">
        <v>2.0985069979947E-11</v>
      </c>
      <c r="D3757" s="6">
        <v>1.2851726087097999E-10</v>
      </c>
      <c r="E3757" s="3" t="s">
        <v>6457</v>
      </c>
      <c r="F3757" s="3" t="s">
        <v>6458</v>
      </c>
      <c r="G3757" s="3">
        <v>64934</v>
      </c>
      <c r="H3757" s="7" t="str">
        <f>HYPERLINK("http://www.ensembl.org/Mus_musculus/Gene/Summary?db=core;g=ENSMUSG00000020430","ENSMUSG00000020430")</f>
        <v>ENSMUSG00000020430</v>
      </c>
      <c r="I3757" s="7" t="str">
        <f>HYPERLINK("http://www.informatics.jax.org/marker/MGI:1890613","MGI:1890613")</f>
        <v>MGI:1890613</v>
      </c>
      <c r="J3757" s="4" t="s">
        <v>12</v>
      </c>
    </row>
    <row r="3758" spans="1:10" x14ac:dyDescent="0.25">
      <c r="A3758" s="2">
        <v>365.15127671695802</v>
      </c>
      <c r="B3758" s="3">
        <v>0.238758464694768</v>
      </c>
      <c r="C3758" s="3">
        <v>1.43213403801564E-3</v>
      </c>
      <c r="D3758" s="4">
        <v>4.1270909293684597E-3</v>
      </c>
      <c r="E3758" s="3" t="s">
        <v>13695</v>
      </c>
      <c r="F3758" s="3" t="s">
        <v>13696</v>
      </c>
      <c r="G3758" s="3">
        <v>71787</v>
      </c>
      <c r="H3758" s="7" t="str">
        <f>HYPERLINK("http://www.ensembl.org/Mus_musculus/Gene/Summary?db=core;g=ENSMUSG00000028898","ENSMUSG00000028898")</f>
        <v>ENSMUSG00000028898</v>
      </c>
      <c r="I3758" s="7" t="str">
        <f>HYPERLINK("http://www.informatics.jax.org/marker/MGI:1919037","MGI:1919037")</f>
        <v>MGI:1919037</v>
      </c>
      <c r="J3758" s="4" t="s">
        <v>12</v>
      </c>
    </row>
    <row r="3759" spans="1:10" x14ac:dyDescent="0.25">
      <c r="A3759" s="2">
        <v>569.95986789943299</v>
      </c>
      <c r="B3759" s="3">
        <v>0.23865708993669299</v>
      </c>
      <c r="C3759" s="3">
        <v>1.3594936458874E-3</v>
      </c>
      <c r="D3759" s="4">
        <v>3.9303935928602296E-3</v>
      </c>
      <c r="E3759" s="3" t="s">
        <v>13651</v>
      </c>
      <c r="F3759" s="3" t="s">
        <v>13652</v>
      </c>
      <c r="G3759" s="3">
        <v>320661</v>
      </c>
      <c r="H3759" s="7" t="str">
        <f>HYPERLINK("http://www.ensembl.org/Mus_musculus/Gene/Summary?db=core;g=ENSMUSG00000029190","ENSMUSG00000029190")</f>
        <v>ENSMUSG00000029190</v>
      </c>
      <c r="I3759" s="7" t="str">
        <f>HYPERLINK("http://www.informatics.jax.org/marker/MGI:1261849","MGI:1261849")</f>
        <v>MGI:1261849</v>
      </c>
      <c r="J3759" s="4" t="s">
        <v>12</v>
      </c>
    </row>
    <row r="3760" spans="1:10" x14ac:dyDescent="0.25">
      <c r="A3760" s="2">
        <v>2294.1876471553301</v>
      </c>
      <c r="B3760" s="3">
        <v>0.23857814672887201</v>
      </c>
      <c r="C3760" s="5">
        <v>8.0336363732521894E-8</v>
      </c>
      <c r="D3760" s="6">
        <v>3.6680553202253598E-7</v>
      </c>
      <c r="E3760" s="3" t="s">
        <v>8655</v>
      </c>
      <c r="F3760" s="3" t="s">
        <v>8656</v>
      </c>
      <c r="G3760" s="3">
        <v>69082</v>
      </c>
      <c r="H3760" s="7" t="str">
        <f>HYPERLINK("http://www.ensembl.org/Mus_musculus/Gene/Summary?db=core;g=ENSMUSG00000027091","ENSMUSG00000027091")</f>
        <v>ENSMUSG00000027091</v>
      </c>
      <c r="I3760" s="7" t="str">
        <f>HYPERLINK("http://www.informatics.jax.org/marker/MGI:1919747","MGI:1919747")</f>
        <v>MGI:1919747</v>
      </c>
      <c r="J3760" s="4" t="s">
        <v>12</v>
      </c>
    </row>
    <row r="3761" spans="1:10" x14ac:dyDescent="0.25">
      <c r="A3761" s="2">
        <v>364.197176200939</v>
      </c>
      <c r="B3761" s="3">
        <v>0.23853800177283399</v>
      </c>
      <c r="C3761" s="3">
        <v>5.0633809679780496E-4</v>
      </c>
      <c r="D3761" s="4">
        <v>1.5574773465688199E-3</v>
      </c>
      <c r="E3761" s="3" t="s">
        <v>12831</v>
      </c>
      <c r="F3761" s="3" t="s">
        <v>12832</v>
      </c>
      <c r="G3761" s="3">
        <v>17165</v>
      </c>
      <c r="H3761" s="7" t="str">
        <f>HYPERLINK("http://www.ensembl.org/Mus_musculus/Gene/Summary?db=core;g=ENSMUSG00000029454","ENSMUSG00000029454")</f>
        <v>ENSMUSG00000029454</v>
      </c>
      <c r="I3761" s="7" t="str">
        <f>HYPERLINK("http://www.informatics.jax.org/marker/MGI:1333110","MGI:1333110")</f>
        <v>MGI:1333110</v>
      </c>
      <c r="J3761" s="4" t="s">
        <v>12</v>
      </c>
    </row>
    <row r="3762" spans="1:10" x14ac:dyDescent="0.25">
      <c r="A3762" s="2">
        <v>4943.4406457338901</v>
      </c>
      <c r="B3762" s="3">
        <v>0.23844379107559999</v>
      </c>
      <c r="C3762" s="5">
        <v>1.65673889834393E-5</v>
      </c>
      <c r="D3762" s="6">
        <v>6.0726563337067398E-5</v>
      </c>
      <c r="E3762" s="3" t="s">
        <v>10772</v>
      </c>
      <c r="F3762" s="3" t="s">
        <v>10773</v>
      </c>
      <c r="G3762" s="3">
        <v>105148</v>
      </c>
      <c r="H3762" s="7" t="str">
        <f>HYPERLINK("http://www.ensembl.org/Mus_musculus/Gene/Summary?db=core;g=ENSMUSG00000037851","ENSMUSG00000037851")</f>
        <v>ENSMUSG00000037851</v>
      </c>
      <c r="I3762" s="7" t="str">
        <f>HYPERLINK("http://www.informatics.jax.org/marker/MGI:2145219","MGI:2145219")</f>
        <v>MGI:2145219</v>
      </c>
      <c r="J3762" s="4" t="s">
        <v>12</v>
      </c>
    </row>
    <row r="3763" spans="1:10" x14ac:dyDescent="0.25">
      <c r="A3763" s="2">
        <v>202.33297753343601</v>
      </c>
      <c r="B3763" s="3">
        <v>0.23840931168524901</v>
      </c>
      <c r="C3763" s="3">
        <v>1.51591911130696E-2</v>
      </c>
      <c r="D3763" s="4">
        <v>3.6331945642893999E-2</v>
      </c>
      <c r="E3763" s="3" t="s">
        <v>16459</v>
      </c>
      <c r="F3763" s="3" t="s">
        <v>16460</v>
      </c>
      <c r="G3763" s="3">
        <v>30058</v>
      </c>
      <c r="H3763" s="7" t="str">
        <f>HYPERLINK("http://www.ensembl.org/Mus_musculus/Gene/Summary?db=core;g=ENSMUSG00000048007","ENSMUSG00000048007")</f>
        <v>ENSMUSG00000048007</v>
      </c>
      <c r="I3763" s="7" t="str">
        <f>HYPERLINK("http://www.informatics.jax.org/marker/MGI:1353433","MGI:1353433")</f>
        <v>MGI:1353433</v>
      </c>
      <c r="J3763" s="4" t="s">
        <v>12</v>
      </c>
    </row>
    <row r="3764" spans="1:10" x14ac:dyDescent="0.25">
      <c r="A3764" s="2">
        <v>670.627377202567</v>
      </c>
      <c r="B3764" s="3">
        <v>0.238304577849141</v>
      </c>
      <c r="C3764" s="3">
        <v>1.11187484414412E-4</v>
      </c>
      <c r="D3764" s="4">
        <v>3.73084429581794E-4</v>
      </c>
      <c r="E3764" s="3" t="s">
        <v>11765</v>
      </c>
      <c r="F3764" s="3" t="s">
        <v>11766</v>
      </c>
      <c r="G3764" s="3">
        <v>225160</v>
      </c>
      <c r="H3764" s="7" t="str">
        <f>HYPERLINK("http://www.ensembl.org/Mus_musculus/Gene/Summary?db=core;g=ENSMUSG00000024287","ENSMUSG00000024287")</f>
        <v>ENSMUSG00000024287</v>
      </c>
      <c r="I3764" s="7" t="str">
        <f>HYPERLINK("http://www.informatics.jax.org/marker/MGI:1919668","MGI:1919668")</f>
        <v>MGI:1919668</v>
      </c>
      <c r="J3764" s="4" t="s">
        <v>12</v>
      </c>
    </row>
    <row r="3765" spans="1:10" x14ac:dyDescent="0.25">
      <c r="A3765" s="2">
        <v>578.81009902737696</v>
      </c>
      <c r="B3765" s="3">
        <v>0.23827481167758099</v>
      </c>
      <c r="C3765" s="3">
        <v>1.8110231317611101E-4</v>
      </c>
      <c r="D3765" s="4">
        <v>5.9049894441681695E-4</v>
      </c>
      <c r="E3765" s="3" t="s">
        <v>12107</v>
      </c>
      <c r="F3765" s="3" t="s">
        <v>12108</v>
      </c>
      <c r="G3765" s="3">
        <v>72590</v>
      </c>
      <c r="H3765" s="7" t="str">
        <f>HYPERLINK("http://www.ensembl.org/Mus_musculus/Gene/Summary?db=core;g=ENSMUSG00000030718","ENSMUSG00000030718")</f>
        <v>ENSMUSG00000030718</v>
      </c>
      <c r="I3765" s="7" t="str">
        <f>HYPERLINK("http://www.informatics.jax.org/marker/MGI:1919840","MGI:1919840")</f>
        <v>MGI:1919840</v>
      </c>
      <c r="J3765" s="4" t="s">
        <v>12</v>
      </c>
    </row>
    <row r="3766" spans="1:10" x14ac:dyDescent="0.25">
      <c r="A3766" s="2">
        <v>3405.5759473246399</v>
      </c>
      <c r="B3766" s="3">
        <v>0.23803166467123299</v>
      </c>
      <c r="C3766" s="3">
        <v>4.6267966213187801E-3</v>
      </c>
      <c r="D3766" s="4">
        <v>1.23031862692026E-2</v>
      </c>
      <c r="E3766" s="3" t="s">
        <v>14836</v>
      </c>
      <c r="F3766" s="3" t="s">
        <v>14837</v>
      </c>
      <c r="G3766" s="3">
        <v>66475</v>
      </c>
      <c r="H3766" s="7" t="str">
        <f>HYPERLINK("http://www.ensembl.org/Mus_musculus/Gene/Summary?db=core;g=ENSMUSG00000049517","ENSMUSG00000049517")</f>
        <v>ENSMUSG00000049517</v>
      </c>
      <c r="I3766" s="7" t="str">
        <f>HYPERLINK("http://www.informatics.jax.org/marker/MGI:1913725","MGI:1913725")</f>
        <v>MGI:1913725</v>
      </c>
      <c r="J3766" s="4" t="s">
        <v>12</v>
      </c>
    </row>
    <row r="3767" spans="1:10" x14ac:dyDescent="0.25">
      <c r="A3767" s="2">
        <v>5067.6671329839301</v>
      </c>
      <c r="B3767" s="3">
        <v>0.238023656469768</v>
      </c>
      <c r="C3767" s="5">
        <v>6.5408359154917904E-5</v>
      </c>
      <c r="D3767" s="4">
        <v>2.25065929599543E-4</v>
      </c>
      <c r="E3767" s="3" t="s">
        <v>11473</v>
      </c>
      <c r="F3767" s="3" t="s">
        <v>11474</v>
      </c>
      <c r="G3767" s="3">
        <v>232341</v>
      </c>
      <c r="H3767" s="7" t="str">
        <f>HYPERLINK("http://www.ensembl.org/Mus_musculus/Gene/Summary?db=core;g=ENSMUSG00000045962","ENSMUSG00000045962")</f>
        <v>ENSMUSG00000045962</v>
      </c>
      <c r="I3767" s="7" t="str">
        <f>HYPERLINK("http://www.informatics.jax.org/marker/MGI:2442092","MGI:2442092")</f>
        <v>MGI:2442092</v>
      </c>
      <c r="J3767" s="4" t="s">
        <v>12</v>
      </c>
    </row>
    <row r="3768" spans="1:10" x14ac:dyDescent="0.25">
      <c r="A3768" s="2">
        <v>2192.3822148416598</v>
      </c>
      <c r="B3768" s="3">
        <v>0.23791222396516601</v>
      </c>
      <c r="C3768" s="3">
        <v>2.2686391821864801E-4</v>
      </c>
      <c r="D3768" s="4">
        <v>7.3220236780224899E-4</v>
      </c>
      <c r="E3768" s="3" t="s">
        <v>12231</v>
      </c>
      <c r="F3768" s="3" t="s">
        <v>12232</v>
      </c>
      <c r="G3768" s="3">
        <v>66537</v>
      </c>
      <c r="H3768" s="7" t="str">
        <f>HYPERLINK("http://www.ensembl.org/Mus_musculus/Gene/Summary?db=core;g=ENSMUSG00000029649","ENSMUSG00000029649")</f>
        <v>ENSMUSG00000029649</v>
      </c>
      <c r="I3768" s="7" t="str">
        <f>HYPERLINK("http://www.informatics.jax.org/marker/MGI:1913787","MGI:1913787")</f>
        <v>MGI:1913787</v>
      </c>
      <c r="J3768" s="4" t="s">
        <v>12</v>
      </c>
    </row>
    <row r="3769" spans="1:10" x14ac:dyDescent="0.25">
      <c r="A3769" s="2">
        <v>2114.2920144470399</v>
      </c>
      <c r="B3769" s="3">
        <v>0.23783504942852099</v>
      </c>
      <c r="C3769" s="5">
        <v>4.3983260748745499E-6</v>
      </c>
      <c r="D3769" s="6">
        <v>1.7073816967820099E-5</v>
      </c>
      <c r="E3769" s="3" t="s">
        <v>10174</v>
      </c>
      <c r="F3769" s="3" t="s">
        <v>10175</v>
      </c>
      <c r="G3769" s="3">
        <v>54196</v>
      </c>
      <c r="H3769" s="7" t="str">
        <f>HYPERLINK("http://www.ensembl.org/Mus_musculus/Gene/Summary?db=core;g=ENSMUSG00000022194","ENSMUSG00000022194")</f>
        <v>ENSMUSG00000022194</v>
      </c>
      <c r="I3769" s="7" t="str">
        <f>HYPERLINK("http://www.informatics.jax.org/marker/MGI:1859158","MGI:1859158")</f>
        <v>MGI:1859158</v>
      </c>
      <c r="J3769" s="4" t="s">
        <v>12</v>
      </c>
    </row>
    <row r="3770" spans="1:10" x14ac:dyDescent="0.25">
      <c r="A3770" s="2">
        <v>619.276190836453</v>
      </c>
      <c r="B3770" s="3">
        <v>0.23782979386314701</v>
      </c>
      <c r="C3770" s="5">
        <v>9.1799254033974608E-6</v>
      </c>
      <c r="D3770" s="6">
        <v>3.4501263380026299E-5</v>
      </c>
      <c r="E3770" s="3" t="s">
        <v>10508</v>
      </c>
      <c r="F3770" s="3" t="s">
        <v>10509</v>
      </c>
      <c r="G3770" s="3">
        <v>23807</v>
      </c>
      <c r="H3770" s="7" t="str">
        <f>HYPERLINK("http://www.ensembl.org/Mus_musculus/Gene/Summary?db=core;g=ENSMUSG00000064145","ENSMUSG00000064145")</f>
        <v>ENSMUSG00000064145</v>
      </c>
      <c r="I3770" s="7" t="str">
        <f>HYPERLINK("http://www.informatics.jax.org/marker/MGI:1344361","MGI:1344361")</f>
        <v>MGI:1344361</v>
      </c>
      <c r="J3770" s="4" t="s">
        <v>12</v>
      </c>
    </row>
    <row r="3771" spans="1:10" x14ac:dyDescent="0.25">
      <c r="A3771" s="2">
        <v>952.37309307624798</v>
      </c>
      <c r="B3771" s="3">
        <v>0.237819854356947</v>
      </c>
      <c r="C3771" s="5">
        <v>8.5431129459496199E-7</v>
      </c>
      <c r="D3771" s="6">
        <v>3.55497335501428E-6</v>
      </c>
      <c r="E3771" s="3" t="s">
        <v>9493</v>
      </c>
      <c r="F3771" s="3" t="s">
        <v>9494</v>
      </c>
      <c r="G3771" s="3">
        <v>66980</v>
      </c>
      <c r="H3771" s="7" t="str">
        <f>HYPERLINK("http://www.ensembl.org/Mus_musculus/Gene/Summary?db=core;g=ENSMUSG00000024982","ENSMUSG00000024982")</f>
        <v>ENSMUSG00000024982</v>
      </c>
      <c r="I3771" s="7" t="str">
        <f>HYPERLINK("http://www.informatics.jax.org/marker/MGI:1914230","MGI:1914230")</f>
        <v>MGI:1914230</v>
      </c>
      <c r="J3771" s="4" t="s">
        <v>12</v>
      </c>
    </row>
    <row r="3772" spans="1:10" x14ac:dyDescent="0.25">
      <c r="A3772" s="2">
        <v>5070.2517663257304</v>
      </c>
      <c r="B3772" s="3">
        <v>0.23777088515647099</v>
      </c>
      <c r="C3772" s="5">
        <v>2.6512052920262701E-6</v>
      </c>
      <c r="D3772" s="6">
        <v>1.0523705386223399E-5</v>
      </c>
      <c r="E3772" s="3" t="s">
        <v>9952</v>
      </c>
      <c r="F3772" s="3" t="s">
        <v>9953</v>
      </c>
      <c r="G3772" s="3">
        <v>13046</v>
      </c>
      <c r="H3772" s="7" t="str">
        <f>HYPERLINK("http://www.ensembl.org/Mus_musculus/Gene/Summary?db=core;g=ENSMUSG00000005506","ENSMUSG00000005506")</f>
        <v>ENSMUSG00000005506</v>
      </c>
      <c r="I3772" s="7" t="str">
        <f>HYPERLINK("http://www.informatics.jax.org/marker/MGI:1342295","MGI:1342295")</f>
        <v>MGI:1342295</v>
      </c>
      <c r="J3772" s="4" t="s">
        <v>12</v>
      </c>
    </row>
    <row r="3773" spans="1:10" x14ac:dyDescent="0.25">
      <c r="A3773" s="2">
        <v>153.76050746806499</v>
      </c>
      <c r="B3773" s="3">
        <v>0.23730579851629699</v>
      </c>
      <c r="C3773" s="3">
        <v>1.48257050961727E-2</v>
      </c>
      <c r="D3773" s="4">
        <v>3.5601912383892501E-2</v>
      </c>
      <c r="E3773" s="3" t="s">
        <v>16429</v>
      </c>
      <c r="F3773" s="3" t="s">
        <v>16430</v>
      </c>
      <c r="G3773" s="3">
        <v>234138</v>
      </c>
      <c r="H3773" s="7" t="str">
        <f>HYPERLINK("http://www.ensembl.org/Mus_musculus/Gene/Summary?db=core;g=ENSMUSG00000031577","ENSMUSG00000031577")</f>
        <v>ENSMUSG00000031577</v>
      </c>
      <c r="I3773" s="7" t="str">
        <f>HYPERLINK("http://www.informatics.jax.org/marker/MGI:2384576","MGI:2384576")</f>
        <v>MGI:2384576</v>
      </c>
      <c r="J3773" s="4" t="s">
        <v>12</v>
      </c>
    </row>
    <row r="3774" spans="1:10" x14ac:dyDescent="0.25">
      <c r="A3774" s="2">
        <v>1273.17027910088</v>
      </c>
      <c r="B3774" s="3">
        <v>0.23719820623188501</v>
      </c>
      <c r="C3774" s="3">
        <v>2.7080909211800198E-4</v>
      </c>
      <c r="D3774" s="4">
        <v>8.6329700882104704E-4</v>
      </c>
      <c r="E3774" s="3" t="s">
        <v>12384</v>
      </c>
      <c r="F3774" s="3" t="s">
        <v>12385</v>
      </c>
      <c r="G3774" s="3">
        <v>71452</v>
      </c>
      <c r="H3774" s="7" t="str">
        <f>HYPERLINK("http://www.ensembl.org/Mus_musculus/Gene/Summary?db=core;g=ENSMUSG00000020864","ENSMUSG00000020864")</f>
        <v>ENSMUSG00000020864</v>
      </c>
      <c r="I3774" s="7" t="str">
        <f>HYPERLINK("http://www.informatics.jax.org/marker/MGI:1918702","MGI:1918702")</f>
        <v>MGI:1918702</v>
      </c>
      <c r="J3774" s="4" t="s">
        <v>12</v>
      </c>
    </row>
    <row r="3775" spans="1:10" x14ac:dyDescent="0.25">
      <c r="A3775" s="2">
        <v>446.182401798196</v>
      </c>
      <c r="B3775" s="3">
        <v>0.237137183019732</v>
      </c>
      <c r="C3775" s="3">
        <v>8.9654288139007004E-4</v>
      </c>
      <c r="D3775" s="4">
        <v>2.66222340325436E-3</v>
      </c>
      <c r="E3775" s="3" t="s">
        <v>13290</v>
      </c>
      <c r="F3775" s="3" t="s">
        <v>13291</v>
      </c>
      <c r="G3775" s="3">
        <v>66118</v>
      </c>
      <c r="H3775" s="7" t="str">
        <f>HYPERLINK("http://www.ensembl.org/Mus_musculus/Gene/Summary?db=core;g=ENSMUSG00000078427","ENSMUSG00000078427")</f>
        <v>ENSMUSG00000078427</v>
      </c>
      <c r="I3775" s="7" t="str">
        <f>HYPERLINK("http://www.informatics.jax.org/marker/MGI:1913368","MGI:1913368")</f>
        <v>MGI:1913368</v>
      </c>
      <c r="J3775" s="4" t="s">
        <v>12</v>
      </c>
    </row>
    <row r="3776" spans="1:10" x14ac:dyDescent="0.25">
      <c r="A3776" s="2">
        <v>1124.68235491664</v>
      </c>
      <c r="B3776" s="3">
        <v>0.23704678516497199</v>
      </c>
      <c r="C3776" s="3">
        <v>9.2055086462182797E-3</v>
      </c>
      <c r="D3776" s="4">
        <v>2.30634773857737E-2</v>
      </c>
      <c r="E3776" s="3" t="s">
        <v>15747</v>
      </c>
      <c r="F3776" s="3" t="s">
        <v>15748</v>
      </c>
      <c r="G3776" s="3">
        <v>75089</v>
      </c>
      <c r="H3776" s="7" t="str">
        <f>HYPERLINK("http://www.ensembl.org/Mus_musculus/Gene/Summary?db=core;g=ENSMUSG00000019951","ENSMUSG00000019951")</f>
        <v>ENSMUSG00000019951</v>
      </c>
      <c r="I3776" s="7" t="str">
        <f>HYPERLINK("http://www.informatics.jax.org/marker/MGI:2442888","MGI:2442888")</f>
        <v>MGI:2442888</v>
      </c>
      <c r="J3776" s="4" t="s">
        <v>12</v>
      </c>
    </row>
    <row r="3777" spans="1:10" x14ac:dyDescent="0.25">
      <c r="A3777" s="2">
        <v>21447.637960173</v>
      </c>
      <c r="B3777" s="3">
        <v>0.23685323012255899</v>
      </c>
      <c r="C3777" s="3">
        <v>1.70172484634698E-4</v>
      </c>
      <c r="D3777" s="4">
        <v>5.5660995140093504E-4</v>
      </c>
      <c r="E3777" s="3" t="s">
        <v>12069</v>
      </c>
      <c r="F3777" s="3" t="s">
        <v>12070</v>
      </c>
      <c r="G3777" s="3">
        <v>14694</v>
      </c>
      <c r="H3777" s="7" t="str">
        <f>HYPERLINK("http://www.ensembl.org/Mus_musculus/Gene/Summary?db=core;g=ENSMUSG00000020372","ENSMUSG00000020372")</f>
        <v>ENSMUSG00000020372</v>
      </c>
      <c r="I3777" s="7" t="str">
        <f>HYPERLINK("http://www.informatics.jax.org/marker/MGI:101849","MGI:101849")</f>
        <v>MGI:101849</v>
      </c>
      <c r="J3777" s="4" t="s">
        <v>12</v>
      </c>
    </row>
    <row r="3778" spans="1:10" x14ac:dyDescent="0.25">
      <c r="A3778" s="2">
        <v>4062.1199249596498</v>
      </c>
      <c r="B3778" s="3">
        <v>0.236734307625104</v>
      </c>
      <c r="C3778" s="3">
        <v>4.5507768708990103E-3</v>
      </c>
      <c r="D3778" s="4">
        <v>1.2119016866188799E-2</v>
      </c>
      <c r="E3778" s="3" t="s">
        <v>14814</v>
      </c>
      <c r="F3778" s="3" t="s">
        <v>14815</v>
      </c>
      <c r="G3778" s="3">
        <v>16562</v>
      </c>
      <c r="H3778" s="7" t="str">
        <f>HYPERLINK("http://www.ensembl.org/Mus_musculus/Gene/Summary?db=core;g=ENSMUSG00000020821","ENSMUSG00000020821")</f>
        <v>ENSMUSG00000020821</v>
      </c>
      <c r="I3778" s="7" t="str">
        <f>HYPERLINK("http://www.informatics.jax.org/marker/MGI:1098260","MGI:1098260")</f>
        <v>MGI:1098260</v>
      </c>
      <c r="J3778" s="4" t="s">
        <v>12</v>
      </c>
    </row>
    <row r="3779" spans="1:10" x14ac:dyDescent="0.25">
      <c r="A3779" s="2">
        <v>15950.490445245699</v>
      </c>
      <c r="B3779" s="3">
        <v>0.23658753278203501</v>
      </c>
      <c r="C3779" s="5">
        <v>3.8004845515310001E-10</v>
      </c>
      <c r="D3779" s="6">
        <v>2.1046210434201402E-9</v>
      </c>
      <c r="E3779" s="3" t="s">
        <v>7140</v>
      </c>
      <c r="F3779" s="3" t="s">
        <v>7141</v>
      </c>
      <c r="G3779" s="3">
        <v>53872</v>
      </c>
      <c r="H3779" s="7" t="str">
        <f>HYPERLINK("http://www.ensembl.org/Mus_musculus/Gene/Summary?db=core;g=ENSMUSG00000027184","ENSMUSG00000027184")</f>
        <v>ENSMUSG00000027184</v>
      </c>
      <c r="I3779" s="7" t="str">
        <f>HYPERLINK("http://www.informatics.jax.org/marker/MGI:1858234","MGI:1858234")</f>
        <v>MGI:1858234</v>
      </c>
      <c r="J3779" s="4" t="s">
        <v>12</v>
      </c>
    </row>
    <row r="3780" spans="1:10" x14ac:dyDescent="0.25">
      <c r="A3780" s="2">
        <v>2185.1517549202799</v>
      </c>
      <c r="B3780" s="3">
        <v>0.236168976510756</v>
      </c>
      <c r="C3780" s="3">
        <v>2.3437033602906501E-3</v>
      </c>
      <c r="D3780" s="4">
        <v>6.5455077559738901E-3</v>
      </c>
      <c r="E3780" s="3" t="s">
        <v>14129</v>
      </c>
      <c r="F3780" s="3" t="s">
        <v>14130</v>
      </c>
      <c r="G3780" s="3">
        <v>217732</v>
      </c>
      <c r="H3780" s="7" t="str">
        <f>HYPERLINK("http://www.ensembl.org/Mus_musculus/Gene/Summary?db=core;g=ENSMUSG00000034157","ENSMUSG00000034157")</f>
        <v>ENSMUSG00000034157</v>
      </c>
      <c r="I3780" s="7" t="str">
        <f>HYPERLINK("http://www.informatics.jax.org/marker/MGI:1919185","MGI:1919185")</f>
        <v>MGI:1919185</v>
      </c>
      <c r="J3780" s="4" t="s">
        <v>12</v>
      </c>
    </row>
    <row r="3781" spans="1:10" x14ac:dyDescent="0.25">
      <c r="A3781" s="2">
        <v>362.13757179005</v>
      </c>
      <c r="B3781" s="3">
        <v>0.23589925403123099</v>
      </c>
      <c r="C3781" s="3">
        <v>1.2000519244187101E-2</v>
      </c>
      <c r="D3781" s="4">
        <v>2.9372004405531799E-2</v>
      </c>
      <c r="E3781" s="3" t="s">
        <v>16119</v>
      </c>
      <c r="F3781" s="3" t="s">
        <v>16120</v>
      </c>
      <c r="G3781" s="3">
        <v>67043</v>
      </c>
      <c r="H3781" s="7" t="str">
        <f>HYPERLINK("http://www.ensembl.org/Mus_musculus/Gene/Summary?db=core;g=ENSMUSG00000031357","ENSMUSG00000031357")</f>
        <v>ENSMUSG00000031357</v>
      </c>
      <c r="I3781" s="7" t="str">
        <f>HYPERLINK("http://www.informatics.jax.org/marker/MGI:1914293","MGI:1914293")</f>
        <v>MGI:1914293</v>
      </c>
      <c r="J3781" s="4" t="s">
        <v>12</v>
      </c>
    </row>
    <row r="3782" spans="1:10" x14ac:dyDescent="0.25">
      <c r="A3782" s="2">
        <v>2392.3314652751501</v>
      </c>
      <c r="B3782" s="3">
        <v>0.23533642166551</v>
      </c>
      <c r="C3782" s="5">
        <v>5.8574803970447201E-5</v>
      </c>
      <c r="D3782" s="4">
        <v>2.0250615958927401E-4</v>
      </c>
      <c r="E3782" s="3" t="s">
        <v>11419</v>
      </c>
      <c r="F3782" s="3" t="s">
        <v>11420</v>
      </c>
      <c r="G3782" s="3">
        <v>71765</v>
      </c>
      <c r="H3782" s="7" t="str">
        <f>HYPERLINK("http://www.ensembl.org/Mus_musculus/Gene/Summary?db=core;g=ENSMUSG00000063576","ENSMUSG00000063576")</f>
        <v>ENSMUSG00000063576</v>
      </c>
      <c r="I3782" s="7" t="str">
        <f>HYPERLINK("http://www.informatics.jax.org/marker/MGI:2651568","MGI:2651568")</f>
        <v>MGI:2651568</v>
      </c>
      <c r="J3782" s="4" t="s">
        <v>12</v>
      </c>
    </row>
    <row r="3783" spans="1:10" x14ac:dyDescent="0.25">
      <c r="A3783" s="2">
        <v>8574.2756051469605</v>
      </c>
      <c r="B3783" s="3">
        <v>0.235244129226615</v>
      </c>
      <c r="C3783" s="5">
        <v>5.3100548911021701E-5</v>
      </c>
      <c r="D3783" s="4">
        <v>1.8461615383028E-4</v>
      </c>
      <c r="E3783" s="3" t="s">
        <v>11355</v>
      </c>
      <c r="F3783" s="3" t="s">
        <v>11356</v>
      </c>
      <c r="G3783" s="3">
        <v>71514</v>
      </c>
      <c r="H3783" s="7" t="str">
        <f>HYPERLINK("http://www.ensembl.org/Mus_musculus/Gene/Summary?db=core;g=ENSMUSG00000028820","ENSMUSG00000028820")</f>
        <v>ENSMUSG00000028820</v>
      </c>
      <c r="I3783" s="7" t="str">
        <f>HYPERLINK("http://www.informatics.jax.org/marker/MGI:1918764","MGI:1918764")</f>
        <v>MGI:1918764</v>
      </c>
      <c r="J3783" s="4" t="s">
        <v>12</v>
      </c>
    </row>
    <row r="3784" spans="1:10" x14ac:dyDescent="0.25">
      <c r="A3784" s="2">
        <v>505.312299297577</v>
      </c>
      <c r="B3784" s="3">
        <v>0.23523710665647901</v>
      </c>
      <c r="C3784" s="3">
        <v>8.3315734865518892E-3</v>
      </c>
      <c r="D3784" s="4">
        <v>2.10261875038141E-2</v>
      </c>
      <c r="E3784" s="3" t="s">
        <v>15633</v>
      </c>
      <c r="F3784" s="3" t="s">
        <v>15634</v>
      </c>
      <c r="G3784" s="3">
        <v>69786</v>
      </c>
      <c r="H3784" s="7" t="str">
        <f>HYPERLINK("http://www.ensembl.org/Mus_musculus/Gene/Summary?db=core;g=ENSMUSG00000054226","ENSMUSG00000054226")</f>
        <v>ENSMUSG00000054226</v>
      </c>
      <c r="I3784" s="7" t="str">
        <f>HYPERLINK("http://www.informatics.jax.org/marker/MGI:1917036","MGI:1917036")</f>
        <v>MGI:1917036</v>
      </c>
      <c r="J3784" s="4" t="s">
        <v>12</v>
      </c>
    </row>
    <row r="3785" spans="1:10" x14ac:dyDescent="0.25">
      <c r="A3785" s="2">
        <v>1843.87428227584</v>
      </c>
      <c r="B3785" s="3">
        <v>0.235199158540044</v>
      </c>
      <c r="C3785" s="5">
        <v>1.3899711377833399E-7</v>
      </c>
      <c r="D3785" s="6">
        <v>6.2154718451445695E-7</v>
      </c>
      <c r="E3785" s="3" t="s">
        <v>8837</v>
      </c>
      <c r="F3785" s="3" t="s">
        <v>8838</v>
      </c>
      <c r="G3785" s="3">
        <v>18107</v>
      </c>
      <c r="H3785" s="7" t="str">
        <f>HYPERLINK("http://www.ensembl.org/Mus_musculus/Gene/Summary?db=core;g=ENSMUSG00000020936","ENSMUSG00000020936")</f>
        <v>ENSMUSG00000020936</v>
      </c>
      <c r="I3785" s="7" t="str">
        <f>HYPERLINK("http://www.informatics.jax.org/marker/MGI:102579","MGI:102579")</f>
        <v>MGI:102579</v>
      </c>
      <c r="J3785" s="4" t="s">
        <v>12</v>
      </c>
    </row>
    <row r="3786" spans="1:10" x14ac:dyDescent="0.25">
      <c r="A3786" s="2">
        <v>5833.42875276423</v>
      </c>
      <c r="B3786" s="3">
        <v>0.23518260695290599</v>
      </c>
      <c r="C3786" s="3">
        <v>1.88196657443514E-4</v>
      </c>
      <c r="D3786" s="4">
        <v>6.1231448354827399E-4</v>
      </c>
      <c r="E3786" s="3" t="s">
        <v>12133</v>
      </c>
      <c r="F3786" s="3" t="s">
        <v>12134</v>
      </c>
      <c r="G3786" s="3">
        <v>100862455</v>
      </c>
      <c r="H3786" s="7" t="str">
        <f>HYPERLINK("http://www.ensembl.org/Mus_musculus/Gene/Summary?db=core;g=ENSMUSG00000071415","ENSMUSG00000071415")</f>
        <v>ENSMUSG00000071415</v>
      </c>
      <c r="I3786" s="7" t="str">
        <f>HYPERLINK("http://www.informatics.jax.org/marker/MGI:1929455","MGI:1929455")</f>
        <v>MGI:1929455</v>
      </c>
      <c r="J3786" s="4" t="s">
        <v>12</v>
      </c>
    </row>
    <row r="3787" spans="1:10" x14ac:dyDescent="0.25">
      <c r="A3787" s="2">
        <v>8805.0181445210892</v>
      </c>
      <c r="B3787" s="3">
        <v>0.23517653739973901</v>
      </c>
      <c r="C3787" s="5">
        <v>7.9940798402020603E-13</v>
      </c>
      <c r="D3787" s="6">
        <v>5.3913561712990699E-12</v>
      </c>
      <c r="E3787" s="3" t="s">
        <v>5865</v>
      </c>
      <c r="F3787" s="3" t="s">
        <v>5866</v>
      </c>
      <c r="G3787" s="3">
        <v>21762</v>
      </c>
      <c r="H3787" s="7" t="str">
        <f>HYPERLINK("http://www.ensembl.org/Mus_musculus/Gene/Summary?db=core;g=ENSMUSG00000006998","ENSMUSG00000006998")</f>
        <v>ENSMUSG00000006998</v>
      </c>
      <c r="I3787" s="7" t="str">
        <f>HYPERLINK("http://www.informatics.jax.org/marker/MGI:1096584","MGI:1096584")</f>
        <v>MGI:1096584</v>
      </c>
      <c r="J3787" s="4" t="s">
        <v>12</v>
      </c>
    </row>
    <row r="3788" spans="1:10" x14ac:dyDescent="0.25">
      <c r="A3788" s="2">
        <v>3070.6447934657499</v>
      </c>
      <c r="B3788" s="3">
        <v>0.23495504786340601</v>
      </c>
      <c r="C3788" s="5">
        <v>2.50798336970346E-5</v>
      </c>
      <c r="D3788" s="6">
        <v>9.0283738683008807E-5</v>
      </c>
      <c r="E3788" s="3" t="s">
        <v>10968</v>
      </c>
      <c r="F3788" s="3" t="s">
        <v>10969</v>
      </c>
      <c r="G3788" s="3">
        <v>15469</v>
      </c>
      <c r="H3788" s="7" t="str">
        <f>HYPERLINK("http://www.ensembl.org/Mus_musculus/Gene/Summary?db=core;g=ENSMUSG00000109324","ENSMUSG00000109324")</f>
        <v>ENSMUSG00000109324</v>
      </c>
      <c r="I3788" s="7" t="str">
        <f>HYPERLINK("http://www.informatics.jax.org/marker/MGI:107846","MGI:107846")</f>
        <v>MGI:107846</v>
      </c>
      <c r="J3788" s="4" t="s">
        <v>12</v>
      </c>
    </row>
    <row r="3789" spans="1:10" x14ac:dyDescent="0.25">
      <c r="A3789" s="2">
        <v>823.84264118811598</v>
      </c>
      <c r="B3789" s="3">
        <v>0.234937567861247</v>
      </c>
      <c r="C3789" s="5">
        <v>4.9302892641693397E-6</v>
      </c>
      <c r="D3789" s="6">
        <v>1.90376550400273E-5</v>
      </c>
      <c r="E3789" s="3" t="s">
        <v>10228</v>
      </c>
      <c r="F3789" s="3" t="s">
        <v>10229</v>
      </c>
      <c r="G3789" s="3">
        <v>17126</v>
      </c>
      <c r="H3789" s="7" t="str">
        <f>HYPERLINK("http://www.ensembl.org/Mus_musculus/Gene/Summary?db=core;g=ENSMUSG00000024563","ENSMUSG00000024563")</f>
        <v>ENSMUSG00000024563</v>
      </c>
      <c r="I3789" s="7" t="str">
        <f>HYPERLINK("http://www.informatics.jax.org/marker/MGI:108051","MGI:108051")</f>
        <v>MGI:108051</v>
      </c>
      <c r="J3789" s="4" t="s">
        <v>12</v>
      </c>
    </row>
    <row r="3790" spans="1:10" x14ac:dyDescent="0.25">
      <c r="A3790" s="2">
        <v>1002.16856475442</v>
      </c>
      <c r="B3790" s="3">
        <v>0.23489440760512401</v>
      </c>
      <c r="C3790" s="3">
        <v>2.1091382016730198E-3</v>
      </c>
      <c r="D3790" s="4">
        <v>5.9366550580919096E-3</v>
      </c>
      <c r="E3790" s="3" t="s">
        <v>14019</v>
      </c>
      <c r="F3790" s="3" t="s">
        <v>14020</v>
      </c>
      <c r="G3790" s="3">
        <v>72157</v>
      </c>
      <c r="H3790" s="7" t="str">
        <f>HYPERLINK("http://www.ensembl.org/Mus_musculus/Gene/Summary?db=core;g=ENSMUSG00000025791","ENSMUSG00000025791")</f>
        <v>ENSMUSG00000025791</v>
      </c>
      <c r="I3790" s="7" t="str">
        <f>HYPERLINK("http://www.informatics.jax.org/marker/MGI:97565","MGI:97565")</f>
        <v>MGI:97565</v>
      </c>
      <c r="J3790" s="4" t="s">
        <v>12</v>
      </c>
    </row>
    <row r="3791" spans="1:10" x14ac:dyDescent="0.25">
      <c r="A3791" s="2">
        <v>2287.4073779760201</v>
      </c>
      <c r="B3791" s="3">
        <v>0.23476354035274899</v>
      </c>
      <c r="C3791" s="5">
        <v>7.9898776600620502E-8</v>
      </c>
      <c r="D3791" s="6">
        <v>3.6497657506699898E-7</v>
      </c>
      <c r="E3791" s="3" t="s">
        <v>8651</v>
      </c>
      <c r="F3791" s="3" t="s">
        <v>8652</v>
      </c>
      <c r="G3791" s="3">
        <v>57750</v>
      </c>
      <c r="H3791" s="7" t="str">
        <f>HYPERLINK("http://www.ensembl.org/Mus_musculus/Gene/Summary?db=core;g=ENSMUSG00000026019","ENSMUSG00000026019")</f>
        <v>ENSMUSG00000026019</v>
      </c>
      <c r="I3791" s="7" t="str">
        <f>HYPERLINK("http://www.informatics.jax.org/marker/MGI:1927241","MGI:1927241")</f>
        <v>MGI:1927241</v>
      </c>
      <c r="J3791" s="4" t="s">
        <v>12</v>
      </c>
    </row>
    <row r="3792" spans="1:10" x14ac:dyDescent="0.25">
      <c r="A3792" s="2">
        <v>1629.6364877229601</v>
      </c>
      <c r="B3792" s="3">
        <v>0.23454938489212801</v>
      </c>
      <c r="C3792" s="3">
        <v>1.24212134626451E-4</v>
      </c>
      <c r="D3792" s="4">
        <v>4.1390052295262199E-4</v>
      </c>
      <c r="E3792" s="3" t="s">
        <v>11847</v>
      </c>
      <c r="F3792" s="3" t="s">
        <v>11848</v>
      </c>
      <c r="G3792" s="3">
        <v>68077</v>
      </c>
      <c r="H3792" s="7" t="str">
        <f>HYPERLINK("http://www.ensembl.org/Mus_musculus/Gene/Summary?db=core;g=ENSMUSG00000041560","ENSMUSG00000041560")</f>
        <v>ENSMUSG00000041560</v>
      </c>
      <c r="I3792" s="7" t="str">
        <f>HYPERLINK("http://www.informatics.jax.org/marker/MGI:2154441","MGI:2154441")</f>
        <v>MGI:2154441</v>
      </c>
      <c r="J3792" s="4" t="s">
        <v>12</v>
      </c>
    </row>
    <row r="3793" spans="1:10" x14ac:dyDescent="0.25">
      <c r="A3793" s="2">
        <v>683.11726472452801</v>
      </c>
      <c r="B3793" s="3">
        <v>0.234439663173206</v>
      </c>
      <c r="C3793" s="3">
        <v>6.6461703644147001E-4</v>
      </c>
      <c r="D3793" s="4">
        <v>2.0104840820111798E-3</v>
      </c>
      <c r="E3793" s="3" t="s">
        <v>13045</v>
      </c>
      <c r="F3793" s="3" t="s">
        <v>13046</v>
      </c>
      <c r="G3793" s="3">
        <v>83925</v>
      </c>
      <c r="H3793" s="7" t="str">
        <f>HYPERLINK("http://www.ensembl.org/Mus_musculus/Gene/Summary?db=core;g=ENSMUSG00000038679","ENSMUSG00000038679")</f>
        <v>ENSMUSG00000038679</v>
      </c>
      <c r="I3793" s="7" t="str">
        <f>HYPERLINK("http://www.informatics.jax.org/marker/MGI:1927616","MGI:1927616")</f>
        <v>MGI:1927616</v>
      </c>
      <c r="J3793" s="4" t="s">
        <v>12</v>
      </c>
    </row>
    <row r="3794" spans="1:10" x14ac:dyDescent="0.25">
      <c r="A3794" s="2">
        <v>857.24361229541103</v>
      </c>
      <c r="B3794" s="3">
        <v>0.23431602711539001</v>
      </c>
      <c r="C3794" s="3">
        <v>2.1524381149891299E-2</v>
      </c>
      <c r="D3794" s="4">
        <v>4.9913075761507102E-2</v>
      </c>
      <c r="E3794" s="3" t="s">
        <v>17012</v>
      </c>
      <c r="F3794" s="3" t="s">
        <v>17013</v>
      </c>
      <c r="G3794" s="3">
        <v>212114</v>
      </c>
      <c r="H3794" s="7" t="str">
        <f>HYPERLINK("http://www.ensembl.org/Mus_musculus/Gene/Summary?db=core;g=ENSMUSG00000042997","ENSMUSG00000042997")</f>
        <v>ENSMUSG00000042997</v>
      </c>
      <c r="I3794" s="7" t="str">
        <f>HYPERLINK("http://www.informatics.jax.org/marker/MGI:2444520","MGI:2444520")</f>
        <v>MGI:2444520</v>
      </c>
      <c r="J3794" s="4" t="s">
        <v>12</v>
      </c>
    </row>
    <row r="3795" spans="1:10" x14ac:dyDescent="0.25">
      <c r="A3795" s="2">
        <v>2064.3610095731001</v>
      </c>
      <c r="B3795" s="3">
        <v>0.23415924382425399</v>
      </c>
      <c r="C3795" s="5">
        <v>8.0569386035143604E-8</v>
      </c>
      <c r="D3795" s="6">
        <v>3.67784326993758E-7</v>
      </c>
      <c r="E3795" s="3" t="s">
        <v>8657</v>
      </c>
      <c r="F3795" s="3" t="s">
        <v>8658</v>
      </c>
      <c r="G3795" s="3">
        <v>70579</v>
      </c>
      <c r="H3795" s="7" t="str">
        <f>HYPERLINK("http://www.ensembl.org/Mus_musculus/Gene/Summary?db=core;g=ENSMUSG00000116275","ENSMUSG00000116275")</f>
        <v>ENSMUSG00000116275</v>
      </c>
      <c r="I3795" s="7" t="str">
        <f>HYPERLINK("http://www.informatics.jax.org/marker/MGI:1917829","MGI:1917829")</f>
        <v>MGI:1917829</v>
      </c>
      <c r="J3795" s="4" t="s">
        <v>12</v>
      </c>
    </row>
    <row r="3796" spans="1:10" x14ac:dyDescent="0.25">
      <c r="A3796" s="2">
        <v>531.080365798765</v>
      </c>
      <c r="B3796" s="3">
        <v>0.23408002801849201</v>
      </c>
      <c r="C3796" s="3">
        <v>7.8354796568947394E-3</v>
      </c>
      <c r="D3796" s="4">
        <v>1.9891305205196198E-2</v>
      </c>
      <c r="E3796" s="3" t="s">
        <v>15541</v>
      </c>
      <c r="F3796" s="3" t="s">
        <v>15542</v>
      </c>
      <c r="G3796" s="3">
        <v>27681</v>
      </c>
      <c r="H3796" s="7" t="str">
        <f>HYPERLINK("http://www.ensembl.org/Mus_musculus/Gene/Summary?db=core;g=ENSMUSG00000006058","ENSMUSG00000006058")</f>
        <v>ENSMUSG00000006058</v>
      </c>
      <c r="I3796" s="7" t="str">
        <f>HYPERLINK("http://www.informatics.jax.org/marker/MGI:1343161","MGI:1343161")</f>
        <v>MGI:1343161</v>
      </c>
      <c r="J3796" s="4" t="s">
        <v>12</v>
      </c>
    </row>
    <row r="3797" spans="1:10" x14ac:dyDescent="0.25">
      <c r="A3797" s="2">
        <v>536.46700549320997</v>
      </c>
      <c r="B3797" s="3">
        <v>0.233754112204487</v>
      </c>
      <c r="C3797" s="3">
        <v>9.0578563728058495E-4</v>
      </c>
      <c r="D3797" s="4">
        <v>2.6884546609231099E-3</v>
      </c>
      <c r="E3797" s="3" t="s">
        <v>13296</v>
      </c>
      <c r="F3797" s="3" t="s">
        <v>13297</v>
      </c>
      <c r="G3797" s="3">
        <v>66374</v>
      </c>
      <c r="H3797" s="7" t="str">
        <f>HYPERLINK("http://www.ensembl.org/Mus_musculus/Gene/Summary?db=core;g=ENSMUSG00000020133","ENSMUSG00000020133")</f>
        <v>ENSMUSG00000020133</v>
      </c>
      <c r="I3797" s="7" t="str">
        <f>HYPERLINK("http://www.informatics.jax.org/marker/MGI:1913624","MGI:1913624")</f>
        <v>MGI:1913624</v>
      </c>
      <c r="J3797" s="4" t="s">
        <v>12</v>
      </c>
    </row>
    <row r="3798" spans="1:10" x14ac:dyDescent="0.25">
      <c r="A3798" s="2">
        <v>454.54272303016899</v>
      </c>
      <c r="B3798" s="3">
        <v>0.233733370498827</v>
      </c>
      <c r="C3798" s="3">
        <v>6.5576431233484904E-3</v>
      </c>
      <c r="D3798" s="4">
        <v>1.69126813603863E-2</v>
      </c>
      <c r="E3798" s="3" t="s">
        <v>15299</v>
      </c>
      <c r="F3798" s="3" t="s">
        <v>15300</v>
      </c>
      <c r="G3798" s="3">
        <v>76357</v>
      </c>
      <c r="H3798" s="7" t="str">
        <f>HYPERLINK("http://www.ensembl.org/Mus_musculus/Gene/Summary?db=core;g=ENSMUSG00000034442","ENSMUSG00000034442")</f>
        <v>ENSMUSG00000034442</v>
      </c>
      <c r="I3798" s="7" t="str">
        <f>HYPERLINK("http://www.informatics.jax.org/marker/MGI:1923607","MGI:1923607")</f>
        <v>MGI:1923607</v>
      </c>
      <c r="J3798" s="4" t="s">
        <v>12</v>
      </c>
    </row>
    <row r="3799" spans="1:10" x14ac:dyDescent="0.25">
      <c r="A3799" s="2">
        <v>1195.9181972003</v>
      </c>
      <c r="B3799" s="3">
        <v>0.23324749185799001</v>
      </c>
      <c r="C3799" s="5">
        <v>2.2512450132262699E-6</v>
      </c>
      <c r="D3799" s="6">
        <v>8.9976797042606493E-6</v>
      </c>
      <c r="E3799" s="3" t="s">
        <v>9883</v>
      </c>
      <c r="F3799" s="3" t="s">
        <v>9884</v>
      </c>
      <c r="G3799" s="3">
        <v>19826</v>
      </c>
      <c r="H3799" s="7" t="str">
        <f>HYPERLINK("http://www.ensembl.org/Mus_musculus/Gene/Summary?db=core;g=ENSMUSG00000034681","ENSMUSG00000034681")</f>
        <v>ENSMUSG00000034681</v>
      </c>
      <c r="I3799" s="7" t="str">
        <f>HYPERLINK("http://www.informatics.jax.org/marker/MGI:97960","MGI:97960")</f>
        <v>MGI:97960</v>
      </c>
      <c r="J3799" s="4" t="s">
        <v>12</v>
      </c>
    </row>
    <row r="3800" spans="1:10" x14ac:dyDescent="0.25">
      <c r="A3800" s="2">
        <v>1567.9242295518</v>
      </c>
      <c r="B3800" s="3">
        <v>0.23311932182748901</v>
      </c>
      <c r="C3800" s="5">
        <v>5.2516564512797404E-9</v>
      </c>
      <c r="D3800" s="6">
        <v>2.6622793115484899E-8</v>
      </c>
      <c r="E3800" s="3" t="s">
        <v>7796</v>
      </c>
      <c r="F3800" s="3" t="s">
        <v>7797</v>
      </c>
      <c r="G3800" s="3">
        <v>72183</v>
      </c>
      <c r="H3800" s="7" t="str">
        <f>HYPERLINK("http://www.ensembl.org/Mus_musculus/Gene/Summary?db=core;g=ENSMUSG00000005656","ENSMUSG00000005656")</f>
        <v>ENSMUSG00000005656</v>
      </c>
      <c r="I3800" s="7" t="str">
        <f>HYPERLINK("http://www.informatics.jax.org/marker/MGI:1919433","MGI:1919433")</f>
        <v>MGI:1919433</v>
      </c>
      <c r="J3800" s="4" t="s">
        <v>12</v>
      </c>
    </row>
    <row r="3801" spans="1:10" x14ac:dyDescent="0.25">
      <c r="A3801" s="2">
        <v>2425.25571374319</v>
      </c>
      <c r="B3801" s="3">
        <v>0.23297144211988899</v>
      </c>
      <c r="C3801" s="3">
        <v>8.0258555839975501E-4</v>
      </c>
      <c r="D3801" s="4">
        <v>2.40021037483214E-3</v>
      </c>
      <c r="E3801" s="3" t="s">
        <v>13197</v>
      </c>
      <c r="F3801" s="3" t="s">
        <v>13198</v>
      </c>
      <c r="G3801" s="3">
        <v>26440</v>
      </c>
      <c r="H3801" s="7" t="str">
        <f>HYPERLINK("http://www.ensembl.org/Mus_musculus/Gene/Summary?db=core;g=ENSMUSG00000030751","ENSMUSG00000030751")</f>
        <v>ENSMUSG00000030751</v>
      </c>
      <c r="I3801" s="7" t="str">
        <f>HYPERLINK("http://www.informatics.jax.org/marker/MGI:1347005","MGI:1347005")</f>
        <v>MGI:1347005</v>
      </c>
      <c r="J3801" s="4" t="s">
        <v>12</v>
      </c>
    </row>
    <row r="3802" spans="1:10" x14ac:dyDescent="0.25">
      <c r="A3802" s="2">
        <v>3478.2062611301499</v>
      </c>
      <c r="B3802" s="3">
        <v>0.23273774095851099</v>
      </c>
      <c r="C3802" s="5">
        <v>1.27083910570416E-8</v>
      </c>
      <c r="D3802" s="6">
        <v>6.2480546408591696E-8</v>
      </c>
      <c r="E3802" s="3" t="s">
        <v>8039</v>
      </c>
      <c r="F3802" s="3" t="s">
        <v>8040</v>
      </c>
      <c r="G3802" s="3">
        <v>51786</v>
      </c>
      <c r="H3802" s="7" t="str">
        <f>HYPERLINK("http://www.ensembl.org/Mus_musculus/Gene/Summary?db=core;g=ENSMUSG00000041781","ENSMUSG00000041781")</f>
        <v>ENSMUSG00000041781</v>
      </c>
      <c r="I3802" s="7" t="str">
        <f>HYPERLINK("http://www.informatics.jax.org/marker/MGI:1861601","MGI:1861601")</f>
        <v>MGI:1861601</v>
      </c>
      <c r="J3802" s="4" t="s">
        <v>12</v>
      </c>
    </row>
    <row r="3803" spans="1:10" x14ac:dyDescent="0.25">
      <c r="A3803" s="2">
        <v>1035.69289712724</v>
      </c>
      <c r="B3803" s="3">
        <v>0.23272501264422801</v>
      </c>
      <c r="C3803" s="5">
        <v>2.7474088258256699E-5</v>
      </c>
      <c r="D3803" s="6">
        <v>9.8578788291998196E-5</v>
      </c>
      <c r="E3803" s="3" t="s">
        <v>11004</v>
      </c>
      <c r="F3803" s="3" t="s">
        <v>11005</v>
      </c>
      <c r="G3803" s="3">
        <v>53334</v>
      </c>
      <c r="H3803" s="7" t="str">
        <f>HYPERLINK("http://www.ensembl.org/Mus_musculus/Gene/Summary?db=core;g=ENSMUSG00000010392","ENSMUSG00000010392")</f>
        <v>ENSMUSG00000010392</v>
      </c>
      <c r="I3803" s="7" t="str">
        <f>HYPERLINK("http://www.informatics.jax.org/marker/MGI:1858260","MGI:1858260")</f>
        <v>MGI:1858260</v>
      </c>
      <c r="J3803" s="4" t="s">
        <v>12</v>
      </c>
    </row>
    <row r="3804" spans="1:10" x14ac:dyDescent="0.25">
      <c r="A3804" s="2">
        <v>439.58609657765498</v>
      </c>
      <c r="B3804" s="3">
        <v>0.232655841851761</v>
      </c>
      <c r="C3804" s="3">
        <v>1.1251750334689401E-2</v>
      </c>
      <c r="D3804" s="4">
        <v>2.7683657716790499E-2</v>
      </c>
      <c r="E3804" s="3" t="s">
        <v>16035</v>
      </c>
      <c r="F3804" s="3" t="s">
        <v>16036</v>
      </c>
      <c r="G3804" s="3">
        <v>78937</v>
      </c>
      <c r="H3804" s="7" t="str">
        <f>HYPERLINK("http://www.ensembl.org/Mus_musculus/Gene/Summary?db=core;g=ENSMUSG00000029787","ENSMUSG00000029787")</f>
        <v>ENSMUSG00000029787</v>
      </c>
      <c r="I3804" s="7" t="str">
        <f>HYPERLINK("http://www.informatics.jax.org/marker/MGI:1926187","MGI:1926187")</f>
        <v>MGI:1926187</v>
      </c>
      <c r="J3804" s="4" t="s">
        <v>12</v>
      </c>
    </row>
    <row r="3805" spans="1:10" x14ac:dyDescent="0.25">
      <c r="A3805" s="2">
        <v>8473.9984934197</v>
      </c>
      <c r="B3805" s="3">
        <v>0.23245909287323999</v>
      </c>
      <c r="C3805" s="5">
        <v>6.2812069313010496E-7</v>
      </c>
      <c r="D3805" s="6">
        <v>2.6563457148886302E-6</v>
      </c>
      <c r="E3805" s="3" t="s">
        <v>9341</v>
      </c>
      <c r="F3805" s="3" t="s">
        <v>9342</v>
      </c>
      <c r="G3805" s="3">
        <v>12465</v>
      </c>
      <c r="H3805" s="7" t="str">
        <f>HYPERLINK("http://www.ensembl.org/Mus_musculus/Gene/Summary?db=core;g=ENSMUSG00000022234","ENSMUSG00000022234")</f>
        <v>ENSMUSG00000022234</v>
      </c>
      <c r="I3805" s="7" t="str">
        <f>HYPERLINK("http://www.informatics.jax.org/marker/MGI:107185","MGI:107185")</f>
        <v>MGI:107185</v>
      </c>
      <c r="J3805" s="4" t="s">
        <v>12</v>
      </c>
    </row>
    <row r="3806" spans="1:10" x14ac:dyDescent="0.25">
      <c r="A3806" s="2">
        <v>2208.7215735468999</v>
      </c>
      <c r="B3806" s="3">
        <v>0.23241412728927899</v>
      </c>
      <c r="C3806" s="3">
        <v>7.3797191189316101E-3</v>
      </c>
      <c r="D3806" s="4">
        <v>1.8831270836611201E-2</v>
      </c>
      <c r="E3806" s="3" t="s">
        <v>15461</v>
      </c>
      <c r="F3806" s="3" t="s">
        <v>15462</v>
      </c>
      <c r="G3806" s="3">
        <v>18783</v>
      </c>
      <c r="H3806" s="7" t="str">
        <f>HYPERLINK("http://www.ensembl.org/Mus_musculus/Gene/Summary?db=core;g=ENSMUSG00000056220","ENSMUSG00000056220")</f>
        <v>ENSMUSG00000056220</v>
      </c>
      <c r="I3806" s="7" t="str">
        <f>HYPERLINK("http://www.informatics.jax.org/marker/MGI:1195256","MGI:1195256")</f>
        <v>MGI:1195256</v>
      </c>
      <c r="J3806" s="4" t="s">
        <v>12</v>
      </c>
    </row>
    <row r="3807" spans="1:10" x14ac:dyDescent="0.25">
      <c r="A3807" s="2">
        <v>8072.0100425897799</v>
      </c>
      <c r="B3807" s="3">
        <v>0.232408625309596</v>
      </c>
      <c r="C3807" s="3">
        <v>3.8345906112961401E-4</v>
      </c>
      <c r="D3807" s="4">
        <v>1.1974366881197099E-3</v>
      </c>
      <c r="E3807" s="3" t="s">
        <v>12643</v>
      </c>
      <c r="F3807" s="3" t="s">
        <v>12644</v>
      </c>
      <c r="G3807" s="3">
        <v>16784</v>
      </c>
      <c r="H3807" s="7" t="str">
        <f>HYPERLINK("http://www.ensembl.org/Mus_musculus/Gene/Summary?db=core;g=ENSMUSG00000016534","ENSMUSG00000016534")</f>
        <v>ENSMUSG00000016534</v>
      </c>
      <c r="I3807" s="7" t="str">
        <f>HYPERLINK("http://www.informatics.jax.org/marker/MGI:96748","MGI:96748")</f>
        <v>MGI:96748</v>
      </c>
      <c r="J3807" s="4" t="s">
        <v>12</v>
      </c>
    </row>
    <row r="3808" spans="1:10" x14ac:dyDescent="0.25">
      <c r="A3808" s="2">
        <v>583.801025285533</v>
      </c>
      <c r="B3808" s="3">
        <v>0.23226172205654699</v>
      </c>
      <c r="C3808" s="3">
        <v>2.2535030726442201E-3</v>
      </c>
      <c r="D3808" s="4">
        <v>6.3114728863150104E-3</v>
      </c>
      <c r="E3808" s="3" t="s">
        <v>14089</v>
      </c>
      <c r="F3808" s="3" t="s">
        <v>14090</v>
      </c>
      <c r="G3808" s="3">
        <v>105638</v>
      </c>
      <c r="H3808" s="7" t="str">
        <f>HYPERLINK("http://www.ensembl.org/Mus_musculus/Gene/Summary?db=core;g=ENSMUSG00000021905","ENSMUSG00000021905")</f>
        <v>ENSMUSG00000021905</v>
      </c>
      <c r="I3808" s="7" t="str">
        <f>HYPERLINK("http://www.informatics.jax.org/marker/MGI:1922658","MGI:1922658")</f>
        <v>MGI:1922658</v>
      </c>
      <c r="J3808" s="4" t="s">
        <v>12</v>
      </c>
    </row>
    <row r="3809" spans="1:10" x14ac:dyDescent="0.25">
      <c r="A3809" s="2">
        <v>1551.3869392485201</v>
      </c>
      <c r="B3809" s="3">
        <v>0.232147203323015</v>
      </c>
      <c r="C3809" s="3">
        <v>1.2907836252244299E-3</v>
      </c>
      <c r="D3809" s="4">
        <v>3.74988996603209E-3</v>
      </c>
      <c r="E3809" s="3" t="s">
        <v>13585</v>
      </c>
      <c r="F3809" s="3" t="s">
        <v>13586</v>
      </c>
      <c r="G3809" s="3">
        <v>20639</v>
      </c>
      <c r="H3809" s="7" t="str">
        <f>HYPERLINK("http://www.ensembl.org/Mus_musculus/Gene/Summary?db=core;g=ENSMUSG00000008333","ENSMUSG00000008333")</f>
        <v>ENSMUSG00000008333</v>
      </c>
      <c r="I3809" s="7" t="str">
        <f>HYPERLINK("http://www.informatics.jax.org/marker/MGI:104805","MGI:104805")</f>
        <v>MGI:104805</v>
      </c>
      <c r="J3809" s="4" t="s">
        <v>12</v>
      </c>
    </row>
    <row r="3810" spans="1:10" x14ac:dyDescent="0.25">
      <c r="A3810" s="2">
        <v>194.329904885546</v>
      </c>
      <c r="B3810" s="3">
        <v>0.23214583864096999</v>
      </c>
      <c r="C3810" s="3">
        <v>5.8498751983642999E-3</v>
      </c>
      <c r="D3810" s="4">
        <v>1.5251128888385E-2</v>
      </c>
      <c r="E3810" s="3" t="s">
        <v>15132</v>
      </c>
      <c r="F3810" s="3" t="s">
        <v>15133</v>
      </c>
      <c r="G3810" s="3">
        <v>13870</v>
      </c>
      <c r="H3810" s="7" t="str">
        <f>HYPERLINK("http://www.ensembl.org/Mus_musculus/Gene/Summary?db=core;g=ENSMUSG00000003549","ENSMUSG00000003549")</f>
        <v>ENSMUSG00000003549</v>
      </c>
      <c r="I3810" s="7" t="str">
        <f>HYPERLINK("http://www.informatics.jax.org/marker/MGI:95412","MGI:95412")</f>
        <v>MGI:95412</v>
      </c>
      <c r="J3810" s="4" t="s">
        <v>12</v>
      </c>
    </row>
    <row r="3811" spans="1:10" x14ac:dyDescent="0.25">
      <c r="A3811" s="2">
        <v>2678.9004582180801</v>
      </c>
      <c r="B3811" s="3">
        <v>0.231999271662506</v>
      </c>
      <c r="C3811" s="3">
        <v>4.3172767857858099E-4</v>
      </c>
      <c r="D3811" s="4">
        <v>1.34010228578146E-3</v>
      </c>
      <c r="E3811" s="3" t="s">
        <v>12717</v>
      </c>
      <c r="F3811" s="3" t="s">
        <v>12718</v>
      </c>
      <c r="G3811" s="3">
        <v>231887</v>
      </c>
      <c r="H3811" s="7" t="str">
        <f>HYPERLINK("http://www.ensembl.org/Mus_musculus/Gene/Summary?db=core;g=ENSMUSG00000029623","ENSMUSG00000029623")</f>
        <v>ENSMUSG00000029623</v>
      </c>
      <c r="I3811" s="7" t="str">
        <f>HYPERLINK("http://www.informatics.jax.org/marker/MGI:2448536","MGI:2448536")</f>
        <v>MGI:2448536</v>
      </c>
      <c r="J3811" s="4" t="s">
        <v>12</v>
      </c>
    </row>
    <row r="3812" spans="1:10" x14ac:dyDescent="0.25">
      <c r="A3812" s="2">
        <v>803.85598680050305</v>
      </c>
      <c r="B3812" s="3">
        <v>0.23183288922633599</v>
      </c>
      <c r="C3812" s="3">
        <v>1.3352112341067901E-2</v>
      </c>
      <c r="D3812" s="4">
        <v>3.2358812260766798E-2</v>
      </c>
      <c r="E3812" s="3" t="s">
        <v>16279</v>
      </c>
      <c r="F3812" s="3" t="s">
        <v>16280</v>
      </c>
      <c r="G3812" s="3">
        <v>240442</v>
      </c>
      <c r="H3812" s="7" t="str">
        <f>HYPERLINK("http://www.ensembl.org/Mus_musculus/Gene/Summary?db=core;g=ENSMUSG00000053950","ENSMUSG00000053950")</f>
        <v>ENSMUSG00000053950</v>
      </c>
      <c r="I3812" s="7" t="str">
        <f>HYPERLINK("http://www.informatics.jax.org/marker/MGI:2448562","MGI:2448562")</f>
        <v>MGI:2448562</v>
      </c>
      <c r="J3812" s="4" t="s">
        <v>12</v>
      </c>
    </row>
    <row r="3813" spans="1:10" x14ac:dyDescent="0.25">
      <c r="A3813" s="2">
        <v>315.218676473605</v>
      </c>
      <c r="B3813" s="3">
        <v>0.231816440347557</v>
      </c>
      <c r="C3813" s="3">
        <v>1.3108940905240201E-3</v>
      </c>
      <c r="D3813" s="4">
        <v>3.8015928625196602E-3</v>
      </c>
      <c r="E3813" s="3" t="s">
        <v>13609</v>
      </c>
      <c r="F3813" s="3" t="s">
        <v>13610</v>
      </c>
      <c r="G3813" s="3">
        <v>114585</v>
      </c>
      <c r="H3813" s="7" t="str">
        <f>HYPERLINK("http://www.ensembl.org/Mus_musculus/Gene/Summary?db=core;g=ENSMUSG00000043311","ENSMUSG00000043311")</f>
        <v>ENSMUSG00000043311</v>
      </c>
      <c r="I3813" s="7" t="str">
        <f>HYPERLINK("http://www.informatics.jax.org/marker/MGI:90673","MGI:90673")</f>
        <v>MGI:90673</v>
      </c>
      <c r="J3813" s="4" t="s">
        <v>12</v>
      </c>
    </row>
    <row r="3814" spans="1:10" x14ac:dyDescent="0.25">
      <c r="A3814" s="2">
        <v>1098.5459015361</v>
      </c>
      <c r="B3814" s="3">
        <v>0.23146393017888101</v>
      </c>
      <c r="C3814" s="5">
        <v>4.2509207079746699E-6</v>
      </c>
      <c r="D3814" s="6">
        <v>1.6521291914210499E-5</v>
      </c>
      <c r="E3814" s="3" t="s">
        <v>10162</v>
      </c>
      <c r="F3814" s="3" t="s">
        <v>10163</v>
      </c>
      <c r="G3814" s="3">
        <v>74414</v>
      </c>
      <c r="H3814" s="7" t="str">
        <f>HYPERLINK("http://www.ensembl.org/Mus_musculus/Gene/Summary?db=core;g=ENSMUSG00000028099","ENSMUSG00000028099")</f>
        <v>ENSMUSG00000028099</v>
      </c>
      <c r="I3814" s="7" t="str">
        <f>HYPERLINK("http://www.informatics.jax.org/marker/MGI:1921664","MGI:1921664")</f>
        <v>MGI:1921664</v>
      </c>
      <c r="J3814" s="4" t="s">
        <v>12</v>
      </c>
    </row>
    <row r="3815" spans="1:10" x14ac:dyDescent="0.25">
      <c r="A3815" s="2">
        <v>1656.6887230170601</v>
      </c>
      <c r="B3815" s="3">
        <v>0.23113715330577</v>
      </c>
      <c r="C3815" s="3">
        <v>1.8116534798287699E-3</v>
      </c>
      <c r="D3815" s="4">
        <v>5.1448454237072701E-3</v>
      </c>
      <c r="E3815" s="3" t="s">
        <v>13895</v>
      </c>
      <c r="F3815" s="3" t="s">
        <v>13896</v>
      </c>
      <c r="G3815" s="3">
        <v>67671</v>
      </c>
      <c r="H3815" s="7" t="str">
        <f>HYPERLINK("http://www.ensembl.org/Mus_musculus/Gene/Summary?db=core;g=ENSMUSG00000057322","ENSMUSG00000057322")</f>
        <v>ENSMUSG00000057322</v>
      </c>
      <c r="I3815" s="7" t="str">
        <f>HYPERLINK("http://www.informatics.jax.org/marker/MGI:1914921","MGI:1914921")</f>
        <v>MGI:1914921</v>
      </c>
      <c r="J3815" s="4" t="s">
        <v>12</v>
      </c>
    </row>
    <row r="3816" spans="1:10" x14ac:dyDescent="0.25">
      <c r="A3816" s="2">
        <v>589.49813029647305</v>
      </c>
      <c r="B3816" s="3">
        <v>0.23113443345807</v>
      </c>
      <c r="C3816" s="3">
        <v>6.13603701725842E-3</v>
      </c>
      <c r="D3816" s="4">
        <v>1.5917212573051301E-2</v>
      </c>
      <c r="E3816" s="3" t="s">
        <v>15209</v>
      </c>
      <c r="F3816" s="3" t="s">
        <v>15210</v>
      </c>
      <c r="G3816" s="3">
        <v>12506</v>
      </c>
      <c r="H3816" s="7" t="str">
        <f>HYPERLINK("http://www.ensembl.org/Mus_musculus/Gene/Summary?db=core;g=ENSMUSG00000015355","ENSMUSG00000015355")</f>
        <v>ENSMUSG00000015355</v>
      </c>
      <c r="I3816" s="7" t="str">
        <f>HYPERLINK("http://www.informatics.jax.org/marker/MGI:88339","MGI:88339")</f>
        <v>MGI:88339</v>
      </c>
      <c r="J3816" s="4" t="s">
        <v>12</v>
      </c>
    </row>
    <row r="3817" spans="1:10" x14ac:dyDescent="0.25">
      <c r="A3817" s="2">
        <v>834.89847097670201</v>
      </c>
      <c r="B3817" s="3">
        <v>0.23113335201959001</v>
      </c>
      <c r="C3817" s="3">
        <v>3.0083351838087498E-4</v>
      </c>
      <c r="D3817" s="4">
        <v>9.5376800361267799E-4</v>
      </c>
      <c r="E3817" s="3" t="s">
        <v>12453</v>
      </c>
      <c r="F3817" s="3" t="s">
        <v>12454</v>
      </c>
      <c r="G3817" s="3">
        <v>380601</v>
      </c>
      <c r="H3817" s="7" t="str">
        <f>HYPERLINK("http://www.ensembl.org/Mus_musculus/Gene/Summary?db=core;g=ENSMUSG00000079043","ENSMUSG00000079043")</f>
        <v>ENSMUSG00000079043</v>
      </c>
      <c r="I3817" s="7" t="str">
        <f>HYPERLINK("http://www.informatics.jax.org/marker/MGI:2139469","MGI:2139469")</f>
        <v>MGI:2139469</v>
      </c>
      <c r="J3817" s="4" t="s">
        <v>12</v>
      </c>
    </row>
    <row r="3818" spans="1:10" x14ac:dyDescent="0.25">
      <c r="A3818" s="2">
        <v>3289.36808300546</v>
      </c>
      <c r="B3818" s="3">
        <v>0.23097892938345899</v>
      </c>
      <c r="C3818" s="5">
        <v>3.39914847778926E-5</v>
      </c>
      <c r="D3818" s="4">
        <v>1.20538047081468E-4</v>
      </c>
      <c r="E3818" s="3" t="s">
        <v>11135</v>
      </c>
      <c r="F3818" s="3" t="s">
        <v>11136</v>
      </c>
      <c r="G3818" s="3">
        <v>70683</v>
      </c>
      <c r="H3818" s="7" t="str">
        <f>HYPERLINK("http://www.ensembl.org/Mus_musculus/Gene/Summary?db=core;g=ENSMUSG00000004356","ENSMUSG00000004356")</f>
        <v>ENSMUSG00000004356</v>
      </c>
      <c r="I3818" s="7" t="str">
        <f>HYPERLINK("http://www.informatics.jax.org/marker/MGI:1917933","MGI:1917933")</f>
        <v>MGI:1917933</v>
      </c>
      <c r="J3818" s="4" t="s">
        <v>12</v>
      </c>
    </row>
    <row r="3819" spans="1:10" x14ac:dyDescent="0.25">
      <c r="A3819" s="2">
        <v>303.65258865505501</v>
      </c>
      <c r="B3819" s="3">
        <v>0.230823775448567</v>
      </c>
      <c r="C3819" s="3">
        <v>5.2158748226964003E-3</v>
      </c>
      <c r="D3819" s="4">
        <v>1.3758300094110901E-2</v>
      </c>
      <c r="E3819" s="3" t="s">
        <v>14956</v>
      </c>
      <c r="F3819" s="3" t="s">
        <v>14957</v>
      </c>
      <c r="G3819" s="3">
        <v>94064</v>
      </c>
      <c r="H3819" s="7" t="str">
        <f>HYPERLINK("http://www.ensembl.org/Mus_musculus/Gene/Summary?db=core;g=ENSMUSG00000024414","ENSMUSG00000024414")</f>
        <v>ENSMUSG00000024414</v>
      </c>
      <c r="I3819" s="7" t="str">
        <f>HYPERLINK("http://www.informatics.jax.org/marker/MGI:2137224","MGI:2137224")</f>
        <v>MGI:2137224</v>
      </c>
      <c r="J3819" s="4" t="s">
        <v>12</v>
      </c>
    </row>
    <row r="3820" spans="1:10" x14ac:dyDescent="0.25">
      <c r="A3820" s="2">
        <v>827.88574061733902</v>
      </c>
      <c r="B3820" s="3">
        <v>0.230670773615574</v>
      </c>
      <c r="C3820" s="3">
        <v>1.84666608064882E-4</v>
      </c>
      <c r="D3820" s="4">
        <v>6.0152387034018205E-4</v>
      </c>
      <c r="E3820" s="3" t="s">
        <v>12119</v>
      </c>
      <c r="F3820" s="3" t="s">
        <v>12120</v>
      </c>
      <c r="G3820" s="3">
        <v>67841</v>
      </c>
      <c r="H3820" s="7" t="str">
        <f>HYPERLINK("http://www.ensembl.org/Mus_musculus/Gene/Summary?db=core;g=ENSMUSG00000022663","ENSMUSG00000022663")</f>
        <v>ENSMUSG00000022663</v>
      </c>
      <c r="I3820" s="7" t="str">
        <f>HYPERLINK("http://www.informatics.jax.org/marker/MGI:1915091","MGI:1915091")</f>
        <v>MGI:1915091</v>
      </c>
      <c r="J3820" s="4" t="s">
        <v>12</v>
      </c>
    </row>
    <row r="3821" spans="1:10" x14ac:dyDescent="0.25">
      <c r="A3821" s="2">
        <v>13023.230639006</v>
      </c>
      <c r="B3821" s="3">
        <v>0.230600259047229</v>
      </c>
      <c r="C3821" s="5">
        <v>6.6692427319224099E-7</v>
      </c>
      <c r="D3821" s="6">
        <v>2.8119472731819499E-6</v>
      </c>
      <c r="E3821" s="3" t="s">
        <v>9367</v>
      </c>
      <c r="F3821" s="3" t="s">
        <v>9368</v>
      </c>
      <c r="G3821" s="3">
        <v>19261</v>
      </c>
      <c r="H3821" s="7" t="str">
        <f>HYPERLINK("http://www.ensembl.org/Mus_musculus/Gene/Summary?db=core;g=ENSMUSG00000037902","ENSMUSG00000037902")</f>
        <v>ENSMUSG00000037902</v>
      </c>
      <c r="I3821" s="7" t="str">
        <f>HYPERLINK("http://www.informatics.jax.org/marker/MGI:108563","MGI:108563")</f>
        <v>MGI:108563</v>
      </c>
      <c r="J3821" s="4" t="s">
        <v>12</v>
      </c>
    </row>
    <row r="3822" spans="1:10" x14ac:dyDescent="0.25">
      <c r="A3822" s="2">
        <v>2964.4102045949398</v>
      </c>
      <c r="B3822" s="3">
        <v>0.229902872277089</v>
      </c>
      <c r="C3822" s="5">
        <v>1.6823685635879101E-5</v>
      </c>
      <c r="D3822" s="6">
        <v>6.1608742941418005E-5</v>
      </c>
      <c r="E3822" s="3" t="s">
        <v>10782</v>
      </c>
      <c r="F3822" s="3" t="s">
        <v>10783</v>
      </c>
      <c r="G3822" s="3">
        <v>20901</v>
      </c>
      <c r="H3822" s="7" t="str">
        <f>HYPERLINK("http://www.ensembl.org/Mus_musculus/Gene/Summary?db=core;g=ENSMUSG00000030224","ENSMUSG00000030224")</f>
        <v>ENSMUSG00000030224</v>
      </c>
      <c r="I3822" s="7" t="str">
        <f>HYPERLINK("http://www.informatics.jax.org/marker/MGI:1329037","MGI:1329037")</f>
        <v>MGI:1329037</v>
      </c>
      <c r="J3822" s="4" t="s">
        <v>12</v>
      </c>
    </row>
    <row r="3823" spans="1:10" x14ac:dyDescent="0.25">
      <c r="A3823" s="2">
        <v>862.83899540702396</v>
      </c>
      <c r="B3823" s="3">
        <v>0.22987386632217999</v>
      </c>
      <c r="C3823" s="3">
        <v>7.9916251987103399E-4</v>
      </c>
      <c r="D3823" s="4">
        <v>2.3906985576239098E-3</v>
      </c>
      <c r="E3823" s="3" t="s">
        <v>13193</v>
      </c>
      <c r="F3823" s="3" t="s">
        <v>13194</v>
      </c>
      <c r="G3823" s="3">
        <v>72465</v>
      </c>
      <c r="H3823" s="7" t="str">
        <f>HYPERLINK("http://www.ensembl.org/Mus_musculus/Gene/Summary?db=core;g=ENSMUSG00000094870","ENSMUSG00000094870")</f>
        <v>ENSMUSG00000094870</v>
      </c>
      <c r="I3823" s="7" t="str">
        <f>HYPERLINK("http://www.informatics.jax.org/marker/MGI:1919715","MGI:1919715")</f>
        <v>MGI:1919715</v>
      </c>
      <c r="J3823" s="4" t="s">
        <v>12</v>
      </c>
    </row>
    <row r="3824" spans="1:10" x14ac:dyDescent="0.25">
      <c r="A3824" s="2">
        <v>1586.68529074853</v>
      </c>
      <c r="B3824" s="3">
        <v>0.22984260669405801</v>
      </c>
      <c r="C3824" s="5">
        <v>9.1166480134269703E-7</v>
      </c>
      <c r="D3824" s="6">
        <v>3.7848483963111601E-6</v>
      </c>
      <c r="E3824" s="3" t="s">
        <v>9515</v>
      </c>
      <c r="F3824" s="3" t="s">
        <v>9516</v>
      </c>
      <c r="G3824" s="3">
        <v>108121</v>
      </c>
      <c r="H3824" s="7" t="str">
        <f>HYPERLINK("http://www.ensembl.org/Mus_musculus/Gene/Summary?db=core;g=ENSMUSG00000061613","ENSMUSG00000061613")</f>
        <v>ENSMUSG00000061613</v>
      </c>
      <c r="I3824" s="7" t="str">
        <f>HYPERLINK("http://www.informatics.jax.org/marker/MGI:98884","MGI:98884")</f>
        <v>MGI:98884</v>
      </c>
      <c r="J3824" s="4" t="s">
        <v>12</v>
      </c>
    </row>
    <row r="3825" spans="1:10" x14ac:dyDescent="0.25">
      <c r="A3825" s="2">
        <v>871.11387839536098</v>
      </c>
      <c r="B3825" s="3">
        <v>0.229494731652963</v>
      </c>
      <c r="C3825" s="5">
        <v>9.0196802978086694E-5</v>
      </c>
      <c r="D3825" s="4">
        <v>3.0566780455883701E-4</v>
      </c>
      <c r="E3825" s="3" t="s">
        <v>11649</v>
      </c>
      <c r="F3825" s="3" t="s">
        <v>11650</v>
      </c>
      <c r="G3825" s="3">
        <v>68942</v>
      </c>
      <c r="H3825" s="7" t="str">
        <f>HYPERLINK("http://www.ensembl.org/Mus_musculus/Gene/Summary?db=core;g=ENSMUSG00000004843","ENSMUSG00000004843")</f>
        <v>ENSMUSG00000004843</v>
      </c>
      <c r="I3825" s="7" t="str">
        <f>HYPERLINK("http://www.informatics.jax.org/marker/MGI:1916192","MGI:1916192")</f>
        <v>MGI:1916192</v>
      </c>
      <c r="J3825" s="4" t="s">
        <v>12</v>
      </c>
    </row>
    <row r="3826" spans="1:10" x14ac:dyDescent="0.25">
      <c r="A3826" s="2">
        <v>1080.89155031419</v>
      </c>
      <c r="B3826" s="3">
        <v>0.229188633870887</v>
      </c>
      <c r="C3826" s="3">
        <v>7.8564716918547205E-4</v>
      </c>
      <c r="D3826" s="4">
        <v>2.3527657063534598E-3</v>
      </c>
      <c r="E3826" s="3" t="s">
        <v>13179</v>
      </c>
      <c r="F3826" s="3" t="s">
        <v>13180</v>
      </c>
      <c r="G3826" s="3">
        <v>215351</v>
      </c>
      <c r="H3826" s="7" t="str">
        <f>HYPERLINK("http://www.ensembl.org/Mus_musculus/Gene/Summary?db=core;g=ENSMUSG00000034252","ENSMUSG00000034252")</f>
        <v>ENSMUSG00000034252</v>
      </c>
      <c r="I3826" s="7" t="str">
        <f>HYPERLINK("http://www.informatics.jax.org/marker/MGI:1922075","MGI:1922075")</f>
        <v>MGI:1922075</v>
      </c>
      <c r="J3826" s="4" t="s">
        <v>12</v>
      </c>
    </row>
    <row r="3827" spans="1:10" x14ac:dyDescent="0.25">
      <c r="A3827" s="2">
        <v>839.95078765756602</v>
      </c>
      <c r="B3827" s="3">
        <v>0.22878889762960999</v>
      </c>
      <c r="C3827" s="5">
        <v>9.7041221681828701E-6</v>
      </c>
      <c r="D3827" s="6">
        <v>3.6374318410295798E-5</v>
      </c>
      <c r="E3827" s="3" t="s">
        <v>10536</v>
      </c>
      <c r="F3827" s="3" t="s">
        <v>10537</v>
      </c>
      <c r="G3827" s="3">
        <v>69612</v>
      </c>
      <c r="H3827" s="7" t="str">
        <f>HYPERLINK("http://www.ensembl.org/Mus_musculus/Gene/Summary?db=core;g=ENSMUSG00000022992","ENSMUSG00000022992")</f>
        <v>ENSMUSG00000022992</v>
      </c>
      <c r="I3827" s="7" t="str">
        <f>HYPERLINK("http://www.informatics.jax.org/marker/MGI:1916862","MGI:1916862")</f>
        <v>MGI:1916862</v>
      </c>
      <c r="J3827" s="4" t="s">
        <v>12</v>
      </c>
    </row>
    <row r="3828" spans="1:10" x14ac:dyDescent="0.25">
      <c r="A3828" s="2">
        <v>922.55255998678797</v>
      </c>
      <c r="B3828" s="3">
        <v>0.228712975853962</v>
      </c>
      <c r="C3828" s="3">
        <v>8.8991873892314693E-3</v>
      </c>
      <c r="D3828" s="4">
        <v>2.23642124780992E-2</v>
      </c>
      <c r="E3828" s="3" t="s">
        <v>15699</v>
      </c>
      <c r="F3828" s="3" t="s">
        <v>15700</v>
      </c>
      <c r="G3828" s="3">
        <v>68032</v>
      </c>
      <c r="H3828" s="7" t="str">
        <f>HYPERLINK("http://www.ensembl.org/Mus_musculus/Gene/Summary?db=core;g=ENSMUSG00000027131","ENSMUSG00000027131")</f>
        <v>ENSMUSG00000027131</v>
      </c>
      <c r="I3828" s="7" t="str">
        <f>HYPERLINK("http://www.informatics.jax.org/marker/MGI:1915282","MGI:1915282")</f>
        <v>MGI:1915282</v>
      </c>
      <c r="J3828" s="4" t="s">
        <v>12</v>
      </c>
    </row>
    <row r="3829" spans="1:10" x14ac:dyDescent="0.25">
      <c r="A3829" s="2">
        <v>5589.2007209089898</v>
      </c>
      <c r="B3829" s="3">
        <v>0.228581213061052</v>
      </c>
      <c r="C3829" s="5">
        <v>1.22418320068273E-7</v>
      </c>
      <c r="D3829" s="6">
        <v>5.5053347132185805E-7</v>
      </c>
      <c r="E3829" s="3" t="s">
        <v>8787</v>
      </c>
      <c r="F3829" s="3" t="s">
        <v>8788</v>
      </c>
      <c r="G3829" s="3">
        <v>14693</v>
      </c>
      <c r="H3829" s="7" t="str">
        <f>HYPERLINK("http://www.ensembl.org/Mus_musculus/Gene/Summary?db=core;g=ENSMUSG00000029713","ENSMUSG00000029713")</f>
        <v>ENSMUSG00000029713</v>
      </c>
      <c r="I3829" s="7" t="str">
        <f>HYPERLINK("http://www.informatics.jax.org/marker/MGI:95784","MGI:95784")</f>
        <v>MGI:95784</v>
      </c>
      <c r="J3829" s="4" t="s">
        <v>12</v>
      </c>
    </row>
    <row r="3830" spans="1:10" x14ac:dyDescent="0.25">
      <c r="A3830" s="2">
        <v>2684.7290813139798</v>
      </c>
      <c r="B3830" s="3">
        <v>0.22841282585637701</v>
      </c>
      <c r="C3830" s="3">
        <v>1.21111503051076E-2</v>
      </c>
      <c r="D3830" s="4">
        <v>2.9628071457228899E-2</v>
      </c>
      <c r="E3830" s="3" t="s">
        <v>16127</v>
      </c>
      <c r="F3830" s="3" t="s">
        <v>16128</v>
      </c>
      <c r="G3830" s="3">
        <v>114641</v>
      </c>
      <c r="H3830" s="7" t="str">
        <f>HYPERLINK("http://www.ensembl.org/Mus_musculus/Gene/Summary?db=core;g=ENSMUSG00000073702","ENSMUSG00000073702")</f>
        <v>ENSMUSG00000073702</v>
      </c>
      <c r="I3830" s="7" t="str">
        <f>HYPERLINK("http://www.informatics.jax.org/marker/MGI:2149632","MGI:2149632")</f>
        <v>MGI:2149632</v>
      </c>
      <c r="J3830" s="4" t="s">
        <v>12</v>
      </c>
    </row>
    <row r="3831" spans="1:10" x14ac:dyDescent="0.25">
      <c r="A3831" s="2">
        <v>995.67406187146503</v>
      </c>
      <c r="B3831" s="3">
        <v>0.228215606720369</v>
      </c>
      <c r="C3831" s="3">
        <v>8.6738455823928999E-4</v>
      </c>
      <c r="D3831" s="4">
        <v>2.58108095495379E-3</v>
      </c>
      <c r="E3831" s="3" t="s">
        <v>13263</v>
      </c>
      <c r="F3831" s="3" t="s">
        <v>13264</v>
      </c>
      <c r="G3831" s="3">
        <v>107734</v>
      </c>
      <c r="H3831" s="7" t="str">
        <f>HYPERLINK("http://www.ensembl.org/Mus_musculus/Gene/Summary?db=core;g=ENSMUSG00000026087","ENSMUSG00000026087")</f>
        <v>ENSMUSG00000026087</v>
      </c>
      <c r="I3831" s="7" t="str">
        <f>HYPERLINK("http://www.informatics.jax.org/marker/MGI:1333820","MGI:1333820")</f>
        <v>MGI:1333820</v>
      </c>
      <c r="J3831" s="4" t="s">
        <v>12</v>
      </c>
    </row>
    <row r="3832" spans="1:10" x14ac:dyDescent="0.25">
      <c r="A3832" s="2">
        <v>4858.7469190249503</v>
      </c>
      <c r="B3832" s="3">
        <v>0.22783670141124199</v>
      </c>
      <c r="C3832" s="3">
        <v>2.3781687662613899E-4</v>
      </c>
      <c r="D3832" s="4">
        <v>7.6479921837369004E-4</v>
      </c>
      <c r="E3832" s="3" t="s">
        <v>12275</v>
      </c>
      <c r="F3832" s="3" t="s">
        <v>12276</v>
      </c>
      <c r="G3832" s="3">
        <v>57741</v>
      </c>
      <c r="H3832" s="7" t="str">
        <f>HYPERLINK("http://www.ensembl.org/Mus_musculus/Gene/Summary?db=core;g=ENSMUSG00000095567","ENSMUSG00000095567")</f>
        <v>ENSMUSG00000095567</v>
      </c>
      <c r="I3832" s="7" t="str">
        <f>HYPERLINK("http://www.informatics.jax.org/marker/MGI:1931051","MGI:1931051")</f>
        <v>MGI:1931051</v>
      </c>
      <c r="J3832" s="4" t="s">
        <v>12</v>
      </c>
    </row>
    <row r="3833" spans="1:10" x14ac:dyDescent="0.25">
      <c r="A3833" s="2">
        <v>1176.6229760272699</v>
      </c>
      <c r="B3833" s="3">
        <v>0.227721800973293</v>
      </c>
      <c r="C3833" s="3">
        <v>1.6827350917053201E-3</v>
      </c>
      <c r="D3833" s="4">
        <v>4.80711806583063E-3</v>
      </c>
      <c r="E3833" s="3" t="s">
        <v>13813</v>
      </c>
      <c r="F3833" s="3" t="s">
        <v>13814</v>
      </c>
      <c r="G3833" s="3">
        <v>70385</v>
      </c>
      <c r="H3833" s="7" t="str">
        <f>HYPERLINK("http://www.ensembl.org/Mus_musculus/Gene/Summary?db=core;g=ENSMUSG00000069910","ENSMUSG00000069910")</f>
        <v>ENSMUSG00000069910</v>
      </c>
      <c r="I3833" s="7" t="str">
        <f>HYPERLINK("http://www.informatics.jax.org/marker/MGI:1917635","MGI:1917635")</f>
        <v>MGI:1917635</v>
      </c>
      <c r="J3833" s="4" t="s">
        <v>12</v>
      </c>
    </row>
    <row r="3834" spans="1:10" x14ac:dyDescent="0.25">
      <c r="A3834" s="2">
        <v>5828.5108547547197</v>
      </c>
      <c r="B3834" s="3">
        <v>0.227326221216507</v>
      </c>
      <c r="C3834" s="5">
        <v>4.9537695392235001E-10</v>
      </c>
      <c r="D3834" s="6">
        <v>2.7143188472766702E-9</v>
      </c>
      <c r="E3834" s="3" t="s">
        <v>7216</v>
      </c>
      <c r="F3834" s="3" t="s">
        <v>7217</v>
      </c>
      <c r="G3834" s="3">
        <v>223691</v>
      </c>
      <c r="H3834" s="7" t="str">
        <f>HYPERLINK("http://www.ensembl.org/Mus_musculus/Gene/Summary?db=core;g=ENSMUSG00000033047","ENSMUSG00000033047")</f>
        <v>ENSMUSG00000033047</v>
      </c>
      <c r="I3834" s="7" t="str">
        <f>HYPERLINK("http://www.informatics.jax.org/marker/MGI:2386251","MGI:2386251")</f>
        <v>MGI:2386251</v>
      </c>
      <c r="J3834" s="4" t="s">
        <v>12</v>
      </c>
    </row>
    <row r="3835" spans="1:10" x14ac:dyDescent="0.25">
      <c r="A3835" s="2">
        <v>2788.7852099721699</v>
      </c>
      <c r="B3835" s="3">
        <v>0.227271804002769</v>
      </c>
      <c r="C3835" s="5">
        <v>3.6823879396681901E-5</v>
      </c>
      <c r="D3835" s="4">
        <v>1.3016076388287599E-4</v>
      </c>
      <c r="E3835" s="3" t="s">
        <v>11169</v>
      </c>
      <c r="F3835" s="3" t="s">
        <v>11170</v>
      </c>
      <c r="G3835" s="3">
        <v>22791</v>
      </c>
      <c r="H3835" s="7" t="str">
        <f>HYPERLINK("http://www.ensembl.org/Mus_musculus/Gene/Summary?db=core;g=ENSMUSG00000029014","ENSMUSG00000029014")</f>
        <v>ENSMUSG00000029014</v>
      </c>
      <c r="I3835" s="7" t="str">
        <f>HYPERLINK("http://www.informatics.jax.org/marker/MGI:99470","MGI:99470")</f>
        <v>MGI:99470</v>
      </c>
      <c r="J3835" s="4" t="s">
        <v>12</v>
      </c>
    </row>
    <row r="3836" spans="1:10" x14ac:dyDescent="0.25">
      <c r="A3836" s="2">
        <v>3245.1490696812298</v>
      </c>
      <c r="B3836" s="3">
        <v>0.226914767307479</v>
      </c>
      <c r="C3836" s="5">
        <v>1.19753041123511E-9</v>
      </c>
      <c r="D3836" s="6">
        <v>6.38942091708777E-9</v>
      </c>
      <c r="E3836" s="3" t="s">
        <v>7410</v>
      </c>
      <c r="F3836" s="3" t="s">
        <v>7411</v>
      </c>
      <c r="G3836" s="3">
        <v>76893</v>
      </c>
      <c r="H3836" s="7" t="str">
        <f>HYPERLINK("http://www.ensembl.org/Mus_musculus/Gene/Summary?db=core;g=ENSMUSG00000015714","ENSMUSG00000015714")</f>
        <v>ENSMUSG00000015714</v>
      </c>
      <c r="I3836" s="7" t="str">
        <f>HYPERLINK("http://www.informatics.jax.org/marker/MGI:1924143","MGI:1924143")</f>
        <v>MGI:1924143</v>
      </c>
      <c r="J3836" s="4" t="s">
        <v>12</v>
      </c>
    </row>
    <row r="3837" spans="1:10" x14ac:dyDescent="0.25">
      <c r="A3837" s="2">
        <v>960.80798175143104</v>
      </c>
      <c r="B3837" s="3">
        <v>0.22666971978869099</v>
      </c>
      <c r="C3837" s="5">
        <v>6.6161976839584894E-5</v>
      </c>
      <c r="D3837" s="4">
        <v>2.27420983663346E-4</v>
      </c>
      <c r="E3837" s="3" t="s">
        <v>11485</v>
      </c>
      <c r="F3837" s="3" t="s">
        <v>11486</v>
      </c>
      <c r="G3837" s="3">
        <v>75901</v>
      </c>
      <c r="H3837" s="7" t="str">
        <f>HYPERLINK("http://www.ensembl.org/Mus_musculus/Gene/Summary?db=core;g=ENSMUSG00000021962","ENSMUSG00000021962")</f>
        <v>ENSMUSG00000021962</v>
      </c>
      <c r="I3837" s="7" t="str">
        <f>HYPERLINK("http://www.informatics.jax.org/marker/MGI:1923151","MGI:1923151")</f>
        <v>MGI:1923151</v>
      </c>
      <c r="J3837" s="4" t="s">
        <v>12</v>
      </c>
    </row>
    <row r="3838" spans="1:10" x14ac:dyDescent="0.25">
      <c r="A3838" s="2">
        <v>332.89632656047797</v>
      </c>
      <c r="B3838" s="3">
        <v>0.22663032169320399</v>
      </c>
      <c r="C3838" s="3">
        <v>2.4716342749304299E-3</v>
      </c>
      <c r="D3838" s="4">
        <v>6.8755293978880099E-3</v>
      </c>
      <c r="E3838" s="3" t="s">
        <v>14185</v>
      </c>
      <c r="F3838" s="3" t="s">
        <v>14186</v>
      </c>
      <c r="G3838" s="3">
        <v>69792</v>
      </c>
      <c r="H3838" s="7" t="str">
        <f>HYPERLINK("http://www.ensembl.org/Mus_musculus/Gene/Summary?db=core;g=ENSMUSG00000002679","ENSMUSG00000002679")</f>
        <v>ENSMUSG00000002679</v>
      </c>
      <c r="I3838" s="7" t="str">
        <f>HYPERLINK("http://www.informatics.jax.org/marker/MGI:1917042","MGI:1917042")</f>
        <v>MGI:1917042</v>
      </c>
      <c r="J3838" s="4" t="s">
        <v>12</v>
      </c>
    </row>
    <row r="3839" spans="1:10" x14ac:dyDescent="0.25">
      <c r="A3839" s="2">
        <v>1106.43570634649</v>
      </c>
      <c r="B3839" s="3">
        <v>0.22620460579915899</v>
      </c>
      <c r="C3839" s="5">
        <v>3.5574534466953898E-5</v>
      </c>
      <c r="D3839" s="4">
        <v>1.25880104017285E-4</v>
      </c>
      <c r="E3839" s="3" t="s">
        <v>11159</v>
      </c>
      <c r="F3839" s="3" t="s">
        <v>11160</v>
      </c>
      <c r="G3839" s="3">
        <v>26919</v>
      </c>
      <c r="H3839" s="7" t="str">
        <f>HYPERLINK("http://www.ensembl.org/Mus_musculus/Gene/Summary?db=core;g=ENSMUSG00000021481","ENSMUSG00000021481")</f>
        <v>ENSMUSG00000021481</v>
      </c>
      <c r="I3839" s="7" t="str">
        <f>HYPERLINK("http://www.informatics.jax.org/marker/MGI:1349417","MGI:1349417")</f>
        <v>MGI:1349417</v>
      </c>
      <c r="J3839" s="4" t="s">
        <v>12</v>
      </c>
    </row>
    <row r="3840" spans="1:10" x14ac:dyDescent="0.25">
      <c r="A3840" s="2">
        <v>1485.5253376682399</v>
      </c>
      <c r="B3840" s="3">
        <v>0.226202156670959</v>
      </c>
      <c r="C3840" s="3">
        <v>1.2999890746263399E-4</v>
      </c>
      <c r="D3840" s="4">
        <v>4.3194245242849998E-4</v>
      </c>
      <c r="E3840" s="3" t="s">
        <v>11881</v>
      </c>
      <c r="F3840" s="3" t="s">
        <v>11882</v>
      </c>
      <c r="G3840" s="3">
        <v>266781</v>
      </c>
      <c r="H3840" s="7" t="str">
        <f>HYPERLINK("http://www.ensembl.org/Mus_musculus/Gene/Summary?db=core;g=ENSMUSG00000029146","ENSMUSG00000029146")</f>
        <v>ENSMUSG00000029146</v>
      </c>
      <c r="I3840" s="7" t="str">
        <f>HYPERLINK("http://www.informatics.jax.org/marker/MGI:2387801","MGI:2387801")</f>
        <v>MGI:2387801</v>
      </c>
      <c r="J3840" s="4" t="s">
        <v>12</v>
      </c>
    </row>
    <row r="3841" spans="1:10" x14ac:dyDescent="0.25">
      <c r="A3841" s="2">
        <v>2987.3599299327602</v>
      </c>
      <c r="B3841" s="3">
        <v>0.22611739554990201</v>
      </c>
      <c r="C3841" s="3">
        <v>4.3000800475584199E-4</v>
      </c>
      <c r="D3841" s="4">
        <v>1.3353842251261599E-3</v>
      </c>
      <c r="E3841" s="3" t="s">
        <v>12713</v>
      </c>
      <c r="F3841" s="3" t="s">
        <v>12714</v>
      </c>
      <c r="G3841" s="3">
        <v>67952</v>
      </c>
      <c r="H3841" s="7" t="str">
        <f>HYPERLINK("http://www.ensembl.org/Mus_musculus/Gene/Summary?db=core;g=ENSMUSG00000093904","ENSMUSG00000093904")</f>
        <v>ENSMUSG00000093904</v>
      </c>
      <c r="I3841" s="7" t="str">
        <f>HYPERLINK("http://www.informatics.jax.org/marker/MGI:1915202","MGI:1915202")</f>
        <v>MGI:1915202</v>
      </c>
      <c r="J3841" s="4" t="s">
        <v>12</v>
      </c>
    </row>
    <row r="3842" spans="1:10" x14ac:dyDescent="0.25">
      <c r="A3842" s="2">
        <v>364.74532935574598</v>
      </c>
      <c r="B3842" s="3">
        <v>0.2257033250347</v>
      </c>
      <c r="C3842" s="3">
        <v>4.1685285739380398E-3</v>
      </c>
      <c r="D3842" s="4">
        <v>1.11871779365893E-2</v>
      </c>
      <c r="E3842" s="3" t="s">
        <v>14700</v>
      </c>
      <c r="F3842" s="3" t="s">
        <v>14701</v>
      </c>
      <c r="G3842" s="3" t="s">
        <v>83</v>
      </c>
      <c r="H3842" s="7" t="str">
        <f>HYPERLINK("http://www.ensembl.org/Mus_musculus/Gene/Summary?db=core;g=ENSMUSG00000111339","ENSMUSG00000111339")</f>
        <v>ENSMUSG00000111339</v>
      </c>
      <c r="I3842" s="3" t="s">
        <v>83</v>
      </c>
      <c r="J3842" s="4" t="s">
        <v>331</v>
      </c>
    </row>
    <row r="3843" spans="1:10" x14ac:dyDescent="0.25">
      <c r="A3843" s="2">
        <v>2335.7537221378602</v>
      </c>
      <c r="B3843" s="3">
        <v>0.225551829646325</v>
      </c>
      <c r="C3843" s="3">
        <v>3.2345152843035298E-3</v>
      </c>
      <c r="D3843" s="4">
        <v>8.8173405317204193E-3</v>
      </c>
      <c r="E3843" s="3" t="s">
        <v>14471</v>
      </c>
      <c r="F3843" s="3" t="s">
        <v>14472</v>
      </c>
      <c r="G3843" s="3">
        <v>75560</v>
      </c>
      <c r="H3843" s="7" t="str">
        <f>HYPERLINK("http://www.ensembl.org/Mus_musculus/Gene/Summary?db=core;g=ENSMUSG00000029505","ENSMUSG00000029505")</f>
        <v>ENSMUSG00000029505</v>
      </c>
      <c r="I3843" s="7" t="str">
        <f>HYPERLINK("http://www.informatics.jax.org/marker/MGI:1276124","MGI:1276124")</f>
        <v>MGI:1276124</v>
      </c>
      <c r="J3843" s="4" t="s">
        <v>12</v>
      </c>
    </row>
    <row r="3844" spans="1:10" x14ac:dyDescent="0.25">
      <c r="A3844" s="2">
        <v>601.898278746492</v>
      </c>
      <c r="B3844" s="3">
        <v>0.22551517429759799</v>
      </c>
      <c r="C3844" s="3">
        <v>4.5545414309347398E-3</v>
      </c>
      <c r="D3844" s="4">
        <v>1.21274044042713E-2</v>
      </c>
      <c r="E3844" s="3" t="s">
        <v>14816</v>
      </c>
      <c r="F3844" s="3" t="s">
        <v>14817</v>
      </c>
      <c r="G3844" s="3">
        <v>83704</v>
      </c>
      <c r="H3844" s="7" t="str">
        <f>HYPERLINK("http://www.ensembl.org/Mus_musculus/Gene/Summary?db=core;g=ENSMUSG00000037344","ENSMUSG00000037344")</f>
        <v>ENSMUSG00000037344</v>
      </c>
      <c r="I3844" s="7" t="str">
        <f>HYPERLINK("http://www.informatics.jax.org/marker/MGI:1933532","MGI:1933532")</f>
        <v>MGI:1933532</v>
      </c>
      <c r="J3844" s="4" t="s">
        <v>12</v>
      </c>
    </row>
    <row r="3845" spans="1:10" x14ac:dyDescent="0.25">
      <c r="A3845" s="2">
        <v>1026.76728407822</v>
      </c>
      <c r="B3845" s="3">
        <v>0.22521173761992</v>
      </c>
      <c r="C3845" s="3">
        <v>1.12993732238547E-4</v>
      </c>
      <c r="D3845" s="4">
        <v>3.7837262688812098E-4</v>
      </c>
      <c r="E3845" s="3" t="s">
        <v>11789</v>
      </c>
      <c r="F3845" s="3" t="s">
        <v>11790</v>
      </c>
      <c r="G3845" s="3">
        <v>67673</v>
      </c>
      <c r="H3845" s="7" t="str">
        <f>HYPERLINK("http://www.ensembl.org/Mus_musculus/Gene/Summary?db=core;g=ENSMUSG00000055839","ENSMUSG00000055839")</f>
        <v>ENSMUSG00000055839</v>
      </c>
      <c r="I3845" s="7" t="str">
        <f>HYPERLINK("http://www.informatics.jax.org/marker/MGI:1914923","MGI:1914923")</f>
        <v>MGI:1914923</v>
      </c>
      <c r="J3845" s="4" t="s">
        <v>12</v>
      </c>
    </row>
    <row r="3846" spans="1:10" x14ac:dyDescent="0.25">
      <c r="A3846" s="2">
        <v>1395.5187730371899</v>
      </c>
      <c r="B3846" s="3">
        <v>0.22510985097674999</v>
      </c>
      <c r="C3846" s="5">
        <v>2.3159379289601401E-5</v>
      </c>
      <c r="D3846" s="6">
        <v>8.3706554177224795E-5</v>
      </c>
      <c r="E3846" s="3" t="s">
        <v>10924</v>
      </c>
      <c r="F3846" s="3" t="s">
        <v>10925</v>
      </c>
      <c r="G3846" s="3">
        <v>217109</v>
      </c>
      <c r="H3846" s="7" t="str">
        <f>HYPERLINK("http://www.ensembl.org/Mus_musculus/Gene/Summary?db=core;g=ENSMUSG00000054079","ENSMUSG00000054079")</f>
        <v>ENSMUSG00000054079</v>
      </c>
      <c r="I3846" s="7" t="str">
        <f>HYPERLINK("http://www.informatics.jax.org/marker/MGI:1923402","MGI:1923402")</f>
        <v>MGI:1923402</v>
      </c>
      <c r="J3846" s="4" t="s">
        <v>12</v>
      </c>
    </row>
    <row r="3847" spans="1:10" x14ac:dyDescent="0.25">
      <c r="A3847" s="2">
        <v>691.72662880502401</v>
      </c>
      <c r="B3847" s="3">
        <v>0.22467407679944301</v>
      </c>
      <c r="C3847" s="3">
        <v>5.9801623132757096E-4</v>
      </c>
      <c r="D3847" s="4">
        <v>1.82326531876619E-3</v>
      </c>
      <c r="E3847" s="3" t="s">
        <v>12945</v>
      </c>
      <c r="F3847" s="3" t="s">
        <v>12946</v>
      </c>
      <c r="G3847" s="3">
        <v>20333</v>
      </c>
      <c r="H3847" s="7" t="str">
        <f>HYPERLINK("http://www.ensembl.org/Mus_musculus/Gene/Summary?db=core;g=ENSMUSG00000027879","ENSMUSG00000027879")</f>
        <v>ENSMUSG00000027879</v>
      </c>
      <c r="I3847" s="7" t="str">
        <f>HYPERLINK("http://www.informatics.jax.org/marker/MGI:1338759","MGI:1338759")</f>
        <v>MGI:1338759</v>
      </c>
      <c r="J3847" s="4" t="s">
        <v>12</v>
      </c>
    </row>
    <row r="3848" spans="1:10" x14ac:dyDescent="0.25">
      <c r="A3848" s="2">
        <v>1026.1645868953301</v>
      </c>
      <c r="B3848" s="3">
        <v>0.2243303668843</v>
      </c>
      <c r="C3848" s="5">
        <v>1.43834270333118E-6</v>
      </c>
      <c r="D3848" s="6">
        <v>5.8494778531018503E-6</v>
      </c>
      <c r="E3848" s="3" t="s">
        <v>9713</v>
      </c>
      <c r="F3848" s="3" t="s">
        <v>9714</v>
      </c>
      <c r="G3848" s="3">
        <v>107650</v>
      </c>
      <c r="H3848" s="7" t="str">
        <f>HYPERLINK("http://www.ensembl.org/Mus_musculus/Gene/Summary?db=core;g=ENSMUSG00000038861","ENSMUSG00000038861")</f>
        <v>ENSMUSG00000038861</v>
      </c>
      <c r="I3848" s="7" t="str">
        <f>HYPERLINK("http://www.informatics.jax.org/marker/MGI:1334433","MGI:1334433")</f>
        <v>MGI:1334433</v>
      </c>
      <c r="J3848" s="4" t="s">
        <v>12</v>
      </c>
    </row>
    <row r="3849" spans="1:10" x14ac:dyDescent="0.25">
      <c r="A3849" s="2">
        <v>815.75675572601995</v>
      </c>
      <c r="B3849" s="3">
        <v>0.22420766811522899</v>
      </c>
      <c r="C3849" s="3">
        <v>3.7530565791608502E-3</v>
      </c>
      <c r="D3849" s="4">
        <v>1.01481250159128E-2</v>
      </c>
      <c r="E3849" s="3" t="s">
        <v>14589</v>
      </c>
      <c r="F3849" s="3" t="s">
        <v>14590</v>
      </c>
      <c r="G3849" s="3">
        <v>52857</v>
      </c>
      <c r="H3849" s="7" t="str">
        <f>HYPERLINK("http://www.ensembl.org/Mus_musculus/Gene/Summary?db=core;g=ENSMUSG00000001248","ENSMUSG00000001248")</f>
        <v>ENSMUSG00000001248</v>
      </c>
      <c r="I3849" s="7" t="str">
        <f>HYPERLINK("http://www.informatics.jax.org/marker/MGI:105490","MGI:105490")</f>
        <v>MGI:105490</v>
      </c>
      <c r="J3849" s="4" t="s">
        <v>12</v>
      </c>
    </row>
    <row r="3850" spans="1:10" x14ac:dyDescent="0.25">
      <c r="A3850" s="2">
        <v>3126.3046189290699</v>
      </c>
      <c r="B3850" s="3">
        <v>0.223896383204509</v>
      </c>
      <c r="C3850" s="3">
        <v>1.30365805020406E-3</v>
      </c>
      <c r="D3850" s="4">
        <v>3.7822769972081999E-3</v>
      </c>
      <c r="E3850" s="3" t="s">
        <v>13603</v>
      </c>
      <c r="F3850" s="3" t="s">
        <v>13604</v>
      </c>
      <c r="G3850" s="3">
        <v>19944</v>
      </c>
      <c r="H3850" s="7" t="str">
        <f>HYPERLINK("http://www.ensembl.org/Mus_musculus/Gene/Summary?db=core;g=ENSMUSG00000048758","ENSMUSG00000048758")</f>
        <v>ENSMUSG00000048758</v>
      </c>
      <c r="I3850" s="7" t="str">
        <f>HYPERLINK("http://www.informatics.jax.org/marker/MGI:99687","MGI:99687")</f>
        <v>MGI:99687</v>
      </c>
      <c r="J3850" s="4" t="s">
        <v>12</v>
      </c>
    </row>
    <row r="3851" spans="1:10" x14ac:dyDescent="0.25">
      <c r="A3851" s="2">
        <v>1324.96701711182</v>
      </c>
      <c r="B3851" s="3">
        <v>0.223852354730844</v>
      </c>
      <c r="C3851" s="3">
        <v>5.0904290778035297E-4</v>
      </c>
      <c r="D3851" s="4">
        <v>1.56448766038825E-3</v>
      </c>
      <c r="E3851" s="3" t="s">
        <v>12841</v>
      </c>
      <c r="F3851" s="3" t="s">
        <v>12842</v>
      </c>
      <c r="G3851" s="3">
        <v>22404</v>
      </c>
      <c r="H3851" s="7" t="str">
        <f>HYPERLINK("http://www.ensembl.org/Mus_musculus/Gene/Summary?db=core;g=ENSMUSG00000024050","ENSMUSG00000024050")</f>
        <v>ENSMUSG00000024050</v>
      </c>
      <c r="I3851" s="7" t="str">
        <f>HYPERLINK("http://www.informatics.jax.org/marker/MGI:1332638","MGI:1332638")</f>
        <v>MGI:1332638</v>
      </c>
      <c r="J3851" s="4" t="s">
        <v>12</v>
      </c>
    </row>
    <row r="3852" spans="1:10" x14ac:dyDescent="0.25">
      <c r="A3852" s="2">
        <v>2495.3825830474302</v>
      </c>
      <c r="B3852" s="3">
        <v>0.223724858877971</v>
      </c>
      <c r="C3852" s="5">
        <v>7.1534389947385305E-5</v>
      </c>
      <c r="D3852" s="4">
        <v>2.4486342123979099E-4</v>
      </c>
      <c r="E3852" s="3" t="s">
        <v>11533</v>
      </c>
      <c r="F3852" s="3" t="s">
        <v>11534</v>
      </c>
      <c r="G3852" s="3">
        <v>76742</v>
      </c>
      <c r="H3852" s="7" t="str">
        <f>HYPERLINK("http://www.ensembl.org/Mus_musculus/Gene/Summary?db=core;g=ENSMUSG00000028136","ENSMUSG00000028136")</f>
        <v>ENSMUSG00000028136</v>
      </c>
      <c r="I3852" s="7" t="str">
        <f>HYPERLINK("http://www.informatics.jax.org/marker/MGI:1923992","MGI:1923992")</f>
        <v>MGI:1923992</v>
      </c>
      <c r="J3852" s="4" t="s">
        <v>12</v>
      </c>
    </row>
    <row r="3853" spans="1:10" x14ac:dyDescent="0.25">
      <c r="A3853" s="2">
        <v>1440.5663339161699</v>
      </c>
      <c r="B3853" s="3">
        <v>0.22364241423491699</v>
      </c>
      <c r="C3853" s="5">
        <v>3.2382925866006898E-5</v>
      </c>
      <c r="D3853" s="4">
        <v>1.15165247624465E-4</v>
      </c>
      <c r="E3853" s="3" t="s">
        <v>11103</v>
      </c>
      <c r="F3853" s="3" t="s">
        <v>11104</v>
      </c>
      <c r="G3853" s="3">
        <v>233802</v>
      </c>
      <c r="H3853" s="7" t="str">
        <f>HYPERLINK("http://www.ensembl.org/Mus_musculus/Gene/Summary?db=core;g=ENSMUSG00000030942","ENSMUSG00000030942")</f>
        <v>ENSMUSG00000030942</v>
      </c>
      <c r="I3853" s="7" t="str">
        <f>HYPERLINK("http://www.informatics.jax.org/marker/MGI:2444479","MGI:2444479")</f>
        <v>MGI:2444479</v>
      </c>
      <c r="J3853" s="4" t="s">
        <v>12</v>
      </c>
    </row>
    <row r="3854" spans="1:10" x14ac:dyDescent="0.25">
      <c r="A3854" s="2">
        <v>391.27774612966198</v>
      </c>
      <c r="B3854" s="3">
        <v>0.22364213818514</v>
      </c>
      <c r="C3854" s="3">
        <v>9.2996347606110492E-3</v>
      </c>
      <c r="D3854" s="4">
        <v>2.3275643797341001E-2</v>
      </c>
      <c r="E3854" s="3" t="s">
        <v>15763</v>
      </c>
      <c r="F3854" s="3" t="s">
        <v>15764</v>
      </c>
      <c r="G3854" s="3">
        <v>74137</v>
      </c>
      <c r="H3854" s="7" t="str">
        <f>HYPERLINK("http://www.ensembl.org/Mus_musculus/Gene/Summary?db=core;g=ENSMUSG00000009772","ENSMUSG00000009772")</f>
        <v>ENSMUSG00000009772</v>
      </c>
      <c r="I3854" s="7" t="str">
        <f>HYPERLINK("http://www.informatics.jax.org/marker/MGI:1921387","MGI:1921387")</f>
        <v>MGI:1921387</v>
      </c>
      <c r="J3854" s="4" t="s">
        <v>12</v>
      </c>
    </row>
    <row r="3855" spans="1:10" x14ac:dyDescent="0.25">
      <c r="A3855" s="2">
        <v>356.01406996780798</v>
      </c>
      <c r="B3855" s="3">
        <v>0.22353055807490599</v>
      </c>
      <c r="C3855" s="3">
        <v>5.2503492345018E-4</v>
      </c>
      <c r="D3855" s="4">
        <v>1.6117199082250201E-3</v>
      </c>
      <c r="E3855" s="3" t="s">
        <v>12857</v>
      </c>
      <c r="F3855" s="3" t="s">
        <v>12858</v>
      </c>
      <c r="G3855" s="3">
        <v>67480</v>
      </c>
      <c r="H3855" s="7" t="str">
        <f>HYPERLINK("http://www.ensembl.org/Mus_musculus/Gene/Summary?db=core;g=ENSMUSG00000018541","ENSMUSG00000018541")</f>
        <v>ENSMUSG00000018541</v>
      </c>
      <c r="I3855" s="7" t="str">
        <f>HYPERLINK("http://www.informatics.jax.org/marker/MGI:1914730","MGI:1914730")</f>
        <v>MGI:1914730</v>
      </c>
      <c r="J3855" s="4" t="s">
        <v>12</v>
      </c>
    </row>
    <row r="3856" spans="1:10" x14ac:dyDescent="0.25">
      <c r="A3856" s="2">
        <v>3383.3727795936202</v>
      </c>
      <c r="B3856" s="3">
        <v>0.22348820267753</v>
      </c>
      <c r="C3856" s="5">
        <v>3.5923150078450699E-5</v>
      </c>
      <c r="D3856" s="4">
        <v>1.27090871824013E-4</v>
      </c>
      <c r="E3856" s="3" t="s">
        <v>11022</v>
      </c>
      <c r="F3856" s="3" t="s">
        <v>11023</v>
      </c>
      <c r="G3856" s="3">
        <v>109910</v>
      </c>
      <c r="H3856" s="7" t="str">
        <f>HYPERLINK("http://www.ensembl.org/Mus_musculus/Gene/Summary?db=core;g=ENSMUSG00000024695","ENSMUSG00000024695")</f>
        <v>ENSMUSG00000024695</v>
      </c>
      <c r="I3856" s="7" t="str">
        <f>HYPERLINK("http://www.informatics.jax.org/marker/MGI:104854","MGI:104854")</f>
        <v>MGI:104854</v>
      </c>
      <c r="J3856" s="4" t="s">
        <v>12</v>
      </c>
    </row>
    <row r="3857" spans="1:10" x14ac:dyDescent="0.25">
      <c r="A3857" s="2">
        <v>1023.2801984635501</v>
      </c>
      <c r="B3857" s="3">
        <v>0.22348120340529501</v>
      </c>
      <c r="C3857" s="3">
        <v>2.1335826260134701E-2</v>
      </c>
      <c r="D3857" s="4">
        <v>4.9499116923512401E-2</v>
      </c>
      <c r="E3857" s="3" t="s">
        <v>17004</v>
      </c>
      <c r="F3857" s="3" t="s">
        <v>17005</v>
      </c>
      <c r="G3857" s="3">
        <v>71728</v>
      </c>
      <c r="H3857" s="7" t="str">
        <f>HYPERLINK("http://www.ensembl.org/Mus_musculus/Gene/Summary?db=core;g=ENSMUSG00000026213","ENSMUSG00000026213")</f>
        <v>ENSMUSG00000026213</v>
      </c>
      <c r="I3857" s="7" t="str">
        <f>HYPERLINK("http://www.informatics.jax.org/marker/MGI:1918978","MGI:1918978")</f>
        <v>MGI:1918978</v>
      </c>
      <c r="J3857" s="4" t="s">
        <v>12</v>
      </c>
    </row>
    <row r="3858" spans="1:10" x14ac:dyDescent="0.25">
      <c r="A3858" s="2">
        <v>2557.3136191397298</v>
      </c>
      <c r="B3858" s="3">
        <v>0.22346560051477801</v>
      </c>
      <c r="C3858" s="5">
        <v>3.2734258690311103E-8</v>
      </c>
      <c r="D3858" s="6">
        <v>1.5457844381535801E-7</v>
      </c>
      <c r="E3858" s="3" t="s">
        <v>8369</v>
      </c>
      <c r="F3858" s="3" t="s">
        <v>8370</v>
      </c>
      <c r="G3858" s="3">
        <v>22195</v>
      </c>
      <c r="H3858" s="7" t="str">
        <f>HYPERLINK("http://www.ensembl.org/Mus_musculus/Gene/Summary?db=core;g=ENSMUSG00000038965","ENSMUSG00000038965")</f>
        <v>ENSMUSG00000038965</v>
      </c>
      <c r="I3858" s="7" t="str">
        <f>HYPERLINK("http://www.informatics.jax.org/marker/MGI:109240","MGI:109240")</f>
        <v>MGI:109240</v>
      </c>
      <c r="J3858" s="4" t="s">
        <v>12</v>
      </c>
    </row>
    <row r="3859" spans="1:10" x14ac:dyDescent="0.25">
      <c r="A3859" s="2">
        <v>1213.8936571350901</v>
      </c>
      <c r="B3859" s="3">
        <v>0.22330866453023701</v>
      </c>
      <c r="C3859" s="5">
        <v>8.0617469602350808E-6</v>
      </c>
      <c r="D3859" s="6">
        <v>3.0537389561243902E-5</v>
      </c>
      <c r="E3859" s="3" t="s">
        <v>10426</v>
      </c>
      <c r="F3859" s="3" t="s">
        <v>10427</v>
      </c>
      <c r="G3859" s="3">
        <v>106073</v>
      </c>
      <c r="H3859" s="7" t="str">
        <f>HYPERLINK("http://www.ensembl.org/Mus_musculus/Gene/Summary?db=core;g=ENSMUSG00000045665","ENSMUSG00000045665")</f>
        <v>ENSMUSG00000045665</v>
      </c>
      <c r="I3859" s="7" t="str">
        <f>HYPERLINK("http://www.informatics.jax.org/marker/MGI:2145901","MGI:2145901")</f>
        <v>MGI:2145901</v>
      </c>
      <c r="J3859" s="4" t="s">
        <v>12</v>
      </c>
    </row>
    <row r="3860" spans="1:10" x14ac:dyDescent="0.25">
      <c r="A3860" s="2">
        <v>2976.9289402069198</v>
      </c>
      <c r="B3860" s="3">
        <v>0.22322339277752601</v>
      </c>
      <c r="C3860" s="5">
        <v>1.5549006776923399E-8</v>
      </c>
      <c r="D3860" s="6">
        <v>7.57289240901284E-8</v>
      </c>
      <c r="E3860" s="3" t="s">
        <v>8115</v>
      </c>
      <c r="F3860" s="3" t="s">
        <v>8116</v>
      </c>
      <c r="G3860" s="3">
        <v>27374</v>
      </c>
      <c r="H3860" s="7" t="str">
        <f>HYPERLINK("http://www.ensembl.org/Mus_musculus/Gene/Summary?db=core;g=ENSMUSG00000023110","ENSMUSG00000023110")</f>
        <v>ENSMUSG00000023110</v>
      </c>
      <c r="I3860" s="7" t="str">
        <f>HYPERLINK("http://www.informatics.jax.org/marker/MGI:1351645","MGI:1351645")</f>
        <v>MGI:1351645</v>
      </c>
      <c r="J3860" s="4" t="s">
        <v>12</v>
      </c>
    </row>
    <row r="3861" spans="1:10" x14ac:dyDescent="0.25">
      <c r="A3861" s="2">
        <v>734.28930874656203</v>
      </c>
      <c r="B3861" s="3">
        <v>0.22312052883069999</v>
      </c>
      <c r="C3861" s="3">
        <v>2.5516022594051701E-3</v>
      </c>
      <c r="D3861" s="4">
        <v>7.0849896586130598E-3</v>
      </c>
      <c r="E3861" s="3" t="s">
        <v>14211</v>
      </c>
      <c r="F3861" s="3" t="s">
        <v>14212</v>
      </c>
      <c r="G3861" s="3">
        <v>14815</v>
      </c>
      <c r="H3861" s="7" t="str">
        <f>HYPERLINK("http://www.ensembl.org/Mus_musculus/Gene/Summary?db=core;g=ENSMUSG00000024431","ENSMUSG00000024431")</f>
        <v>ENSMUSG00000024431</v>
      </c>
      <c r="I3861" s="7" t="str">
        <f>HYPERLINK("http://www.informatics.jax.org/marker/MGI:95824","MGI:95824")</f>
        <v>MGI:95824</v>
      </c>
      <c r="J3861" s="4" t="s">
        <v>12</v>
      </c>
    </row>
    <row r="3862" spans="1:10" x14ac:dyDescent="0.25">
      <c r="A3862" s="2">
        <v>1429.0604741505799</v>
      </c>
      <c r="B3862" s="3">
        <v>0.22301213550837801</v>
      </c>
      <c r="C3862" s="3">
        <v>4.49519041849831E-4</v>
      </c>
      <c r="D3862" s="4">
        <v>1.3907303899087899E-3</v>
      </c>
      <c r="E3862" s="3" t="s">
        <v>12757</v>
      </c>
      <c r="F3862" s="3" t="s">
        <v>12758</v>
      </c>
      <c r="G3862" s="3">
        <v>67332</v>
      </c>
      <c r="H3862" s="7" t="str">
        <f>HYPERLINK("http://www.ensembl.org/Mus_musculus/Gene/Summary?db=core;g=ENSMUSG00000020180","ENSMUSG00000020180")</f>
        <v>ENSMUSG00000020180</v>
      </c>
      <c r="I3862" s="7" t="str">
        <f>HYPERLINK("http://www.informatics.jax.org/marker/MGI:1914582","MGI:1914582")</f>
        <v>MGI:1914582</v>
      </c>
      <c r="J3862" s="4" t="s">
        <v>12</v>
      </c>
    </row>
    <row r="3863" spans="1:10" x14ac:dyDescent="0.25">
      <c r="A3863" s="2">
        <v>1234.2595948778501</v>
      </c>
      <c r="B3863" s="3">
        <v>0.22293654546091499</v>
      </c>
      <c r="C3863" s="3">
        <v>2.0192637016614799E-2</v>
      </c>
      <c r="D3863" s="4">
        <v>4.70628533232057E-2</v>
      </c>
      <c r="E3863" s="3" t="s">
        <v>16926</v>
      </c>
      <c r="F3863" s="3" t="s">
        <v>16927</v>
      </c>
      <c r="G3863" s="3">
        <v>108079</v>
      </c>
      <c r="H3863" s="7" t="str">
        <f>HYPERLINK("http://www.ensembl.org/Mus_musculus/Gene/Summary?db=core;g=ENSMUSG00000028518","ENSMUSG00000028518")</f>
        <v>ENSMUSG00000028518</v>
      </c>
      <c r="I3863" s="7" t="str">
        <f>HYPERLINK("http://www.informatics.jax.org/marker/MGI:1336173","MGI:1336173")</f>
        <v>MGI:1336173</v>
      </c>
      <c r="J3863" s="4" t="s">
        <v>12</v>
      </c>
    </row>
    <row r="3864" spans="1:10" x14ac:dyDescent="0.25">
      <c r="A3864" s="2">
        <v>1024.08891749548</v>
      </c>
      <c r="B3864" s="3">
        <v>0.222857334002945</v>
      </c>
      <c r="C3864" s="5">
        <v>3.2834873402851098E-6</v>
      </c>
      <c r="D3864" s="6">
        <v>1.2898480149486499E-5</v>
      </c>
      <c r="E3864" s="3" t="s">
        <v>10056</v>
      </c>
      <c r="F3864" s="3" t="s">
        <v>10057</v>
      </c>
      <c r="G3864" s="3">
        <v>68832</v>
      </c>
      <c r="H3864" s="7" t="str">
        <f>HYPERLINK("http://www.ensembl.org/Mus_musculus/Gene/Summary?db=core;g=ENSMUSG00000037669","ENSMUSG00000037669")</f>
        <v>ENSMUSG00000037669</v>
      </c>
      <c r="I3864" s="7" t="str">
        <f>HYPERLINK("http://www.informatics.jax.org/marker/MGI:1916082","MGI:1916082")</f>
        <v>MGI:1916082</v>
      </c>
      <c r="J3864" s="4" t="s">
        <v>12</v>
      </c>
    </row>
    <row r="3865" spans="1:10" x14ac:dyDescent="0.25">
      <c r="A3865" s="2">
        <v>603.47256903165805</v>
      </c>
      <c r="B3865" s="3">
        <v>0.22273148149642</v>
      </c>
      <c r="C3865" s="3">
        <v>1.9910765019713998E-3</v>
      </c>
      <c r="D3865" s="4">
        <v>5.6268312724098704E-3</v>
      </c>
      <c r="E3865" s="3" t="s">
        <v>13963</v>
      </c>
      <c r="F3865" s="3" t="s">
        <v>13964</v>
      </c>
      <c r="G3865" s="3">
        <v>12753</v>
      </c>
      <c r="H3865" s="7" t="str">
        <f>HYPERLINK("http://www.ensembl.org/Mus_musculus/Gene/Summary?db=core;g=ENSMUSG00000029238","ENSMUSG00000029238")</f>
        <v>ENSMUSG00000029238</v>
      </c>
      <c r="I3865" s="7" t="str">
        <f>HYPERLINK("http://www.informatics.jax.org/marker/MGI:99698","MGI:99698")</f>
        <v>MGI:99698</v>
      </c>
      <c r="J3865" s="4" t="s">
        <v>12</v>
      </c>
    </row>
    <row r="3866" spans="1:10" x14ac:dyDescent="0.25">
      <c r="A3866" s="2">
        <v>2354.2043556032299</v>
      </c>
      <c r="B3866" s="3">
        <v>0.22261846023461601</v>
      </c>
      <c r="C3866" s="3">
        <v>6.9389057117490497E-4</v>
      </c>
      <c r="D3866" s="4">
        <v>2.0913223389223798E-3</v>
      </c>
      <c r="E3866" s="3" t="s">
        <v>13095</v>
      </c>
      <c r="F3866" s="3" t="s">
        <v>13096</v>
      </c>
      <c r="G3866" s="3">
        <v>50926</v>
      </c>
      <c r="H3866" s="7" t="str">
        <f>HYPERLINK("http://www.ensembl.org/Mus_musculus/Gene/Summary?db=core;g=ENSMUSG00000029328","ENSMUSG00000029328")</f>
        <v>ENSMUSG00000029328</v>
      </c>
      <c r="I3866" s="7" t="str">
        <f>HYPERLINK("http://www.informatics.jax.org/marker/MGI:1355299","MGI:1355299")</f>
        <v>MGI:1355299</v>
      </c>
      <c r="J3866" s="4" t="s">
        <v>12</v>
      </c>
    </row>
    <row r="3867" spans="1:10" x14ac:dyDescent="0.25">
      <c r="A3867" s="2">
        <v>3017.4620101217902</v>
      </c>
      <c r="B3867" s="3">
        <v>0.22244917688576801</v>
      </c>
      <c r="C3867" s="3">
        <v>6.7774117491856101E-4</v>
      </c>
      <c r="D3867" s="4">
        <v>2.0485984011946699E-3</v>
      </c>
      <c r="E3867" s="3" t="s">
        <v>13057</v>
      </c>
      <c r="F3867" s="3" t="s">
        <v>13058</v>
      </c>
      <c r="G3867" s="3">
        <v>228005</v>
      </c>
      <c r="H3867" s="7" t="str">
        <f>HYPERLINK("http://www.ensembl.org/Mus_musculus/Gene/Summary?db=core;g=ENSMUSG00000042133","ENSMUSG00000042133")</f>
        <v>ENSMUSG00000042133</v>
      </c>
      <c r="I3867" s="7" t="str">
        <f>HYPERLINK("http://www.informatics.jax.org/marker/MGI:2445173","MGI:2445173")</f>
        <v>MGI:2445173</v>
      </c>
      <c r="J3867" s="4" t="s">
        <v>12</v>
      </c>
    </row>
    <row r="3868" spans="1:10" x14ac:dyDescent="0.25">
      <c r="A3868" s="2">
        <v>992.10067691199299</v>
      </c>
      <c r="B3868" s="3">
        <v>0.22243758903131</v>
      </c>
      <c r="C3868" s="5">
        <v>2.7980276078436101E-6</v>
      </c>
      <c r="D3868" s="6">
        <v>1.1079619952084199E-5</v>
      </c>
      <c r="E3868" s="3" t="s">
        <v>9976</v>
      </c>
      <c r="F3868" s="3" t="s">
        <v>9977</v>
      </c>
      <c r="G3868" s="3">
        <v>12175</v>
      </c>
      <c r="H3868" s="7" t="str">
        <f>HYPERLINK("http://www.ensembl.org/Mus_musculus/Gene/Summary?db=core;g=ENSMUSG00000011958","ENSMUSG00000011958")</f>
        <v>ENSMUSG00000011958</v>
      </c>
      <c r="I3868" s="7" t="str">
        <f>HYPERLINK("http://www.informatics.jax.org/marker/MGI:109327","MGI:109327")</f>
        <v>MGI:109327</v>
      </c>
      <c r="J3868" s="4" t="s">
        <v>12</v>
      </c>
    </row>
    <row r="3869" spans="1:10" x14ac:dyDescent="0.25">
      <c r="A3869" s="2">
        <v>2790.5007116915599</v>
      </c>
      <c r="B3869" s="3">
        <v>0.222159589927762</v>
      </c>
      <c r="C3869" s="3">
        <v>6.6233701001699899E-4</v>
      </c>
      <c r="D3869" s="4">
        <v>2.0044944502049101E-3</v>
      </c>
      <c r="E3869" s="3" t="s">
        <v>13041</v>
      </c>
      <c r="F3869" s="3" t="s">
        <v>13042</v>
      </c>
      <c r="G3869" s="3">
        <v>20104</v>
      </c>
      <c r="H3869" s="7" t="str">
        <f>HYPERLINK("http://www.ensembl.org/Mus_musculus/Gene/Summary?db=core;g=ENSMUSG00000028495","ENSMUSG00000028495")</f>
        <v>ENSMUSG00000028495</v>
      </c>
      <c r="I3869" s="7" t="str">
        <f>HYPERLINK("http://www.informatics.jax.org/marker/MGI:98159","MGI:98159")</f>
        <v>MGI:98159</v>
      </c>
      <c r="J3869" s="4" t="s">
        <v>12</v>
      </c>
    </row>
    <row r="3870" spans="1:10" x14ac:dyDescent="0.25">
      <c r="A3870" s="2">
        <v>484.50050286996299</v>
      </c>
      <c r="B3870" s="3">
        <v>0.22195234173945899</v>
      </c>
      <c r="C3870" s="3">
        <v>2.6978067895481398E-4</v>
      </c>
      <c r="D3870" s="4">
        <v>8.6043587077291503E-4</v>
      </c>
      <c r="E3870" s="3" t="s">
        <v>12378</v>
      </c>
      <c r="F3870" s="3" t="s">
        <v>12379</v>
      </c>
      <c r="G3870" s="3">
        <v>105940408</v>
      </c>
      <c r="H3870" s="7" t="str">
        <f>HYPERLINK("http://www.ensembl.org/Mus_musculus/Gene/Summary?db=core;g=ENSMUSG00000021139","ENSMUSG00000021139")</f>
        <v>ENSMUSG00000021139</v>
      </c>
      <c r="I3870" s="7" t="str">
        <f>HYPERLINK("http://www.informatics.jax.org/marker/MGI:5141963","MGI:5141963")</f>
        <v>MGI:5141963</v>
      </c>
      <c r="J3870" s="4" t="s">
        <v>12</v>
      </c>
    </row>
    <row r="3871" spans="1:10" x14ac:dyDescent="0.25">
      <c r="A3871" s="2">
        <v>1081.7736438040999</v>
      </c>
      <c r="B3871" s="3">
        <v>0.22131334011874301</v>
      </c>
      <c r="C3871" s="3">
        <v>3.5717164506007901E-4</v>
      </c>
      <c r="D3871" s="4">
        <v>1.12138590042744E-3</v>
      </c>
      <c r="E3871" s="3" t="s">
        <v>12575</v>
      </c>
      <c r="F3871" s="3" t="s">
        <v>12576</v>
      </c>
      <c r="G3871" s="3">
        <v>56372</v>
      </c>
      <c r="H3871" s="7" t="str">
        <f>HYPERLINK("http://www.ensembl.org/Mus_musculus/Gene/Summary?db=core;g=ENSMUSG00000030663","ENSMUSG00000030663")</f>
        <v>ENSMUSG00000030663</v>
      </c>
      <c r="I3871" s="7" t="str">
        <f>HYPERLINK("http://www.informatics.jax.org/marker/MGI:1929274","MGI:1929274")</f>
        <v>MGI:1929274</v>
      </c>
      <c r="J3871" s="4" t="s">
        <v>12</v>
      </c>
    </row>
    <row r="3872" spans="1:10" x14ac:dyDescent="0.25">
      <c r="A3872" s="2">
        <v>788.78128254042804</v>
      </c>
      <c r="B3872" s="3">
        <v>0.22122525808597901</v>
      </c>
      <c r="C3872" s="3">
        <v>2.9421639031914E-4</v>
      </c>
      <c r="D3872" s="4">
        <v>9.3353937523627298E-4</v>
      </c>
      <c r="E3872" s="3" t="s">
        <v>12443</v>
      </c>
      <c r="F3872" s="3" t="s">
        <v>12444</v>
      </c>
      <c r="G3872" s="3" t="s">
        <v>83</v>
      </c>
      <c r="H3872" s="7" t="str">
        <f>HYPERLINK("http://www.ensembl.org/Mus_musculus/Gene/Summary?db=core;g=ENSMUSG00000093574","ENSMUSG00000093574")</f>
        <v>ENSMUSG00000093574</v>
      </c>
      <c r="I3872" s="7" t="str">
        <f>HYPERLINK("http://www.informatics.jax.org/marker/MGI:5313118","MGI:5313118")</f>
        <v>MGI:5313118</v>
      </c>
      <c r="J3872" s="4" t="s">
        <v>12</v>
      </c>
    </row>
    <row r="3873" spans="1:10" x14ac:dyDescent="0.25">
      <c r="A3873" s="2">
        <v>3812.2277331799</v>
      </c>
      <c r="B3873" s="3">
        <v>0.22106288634358301</v>
      </c>
      <c r="C3873" s="5">
        <v>9.1092145682200096E-5</v>
      </c>
      <c r="D3873" s="4">
        <v>3.08489973012706E-4</v>
      </c>
      <c r="E3873" s="3" t="s">
        <v>11657</v>
      </c>
      <c r="F3873" s="3" t="s">
        <v>11658</v>
      </c>
      <c r="G3873" s="3">
        <v>14660</v>
      </c>
      <c r="H3873" s="7" t="str">
        <f>HYPERLINK("http://www.ensembl.org/Mus_musculus/Gene/Summary?db=core;g=ENSMUSG00000026103","ENSMUSG00000026103")</f>
        <v>ENSMUSG00000026103</v>
      </c>
      <c r="I3873" s="7" t="str">
        <f>HYPERLINK("http://www.informatics.jax.org/marker/MGI:95752","MGI:95752")</f>
        <v>MGI:95752</v>
      </c>
      <c r="J3873" s="4" t="s">
        <v>12</v>
      </c>
    </row>
    <row r="3874" spans="1:10" x14ac:dyDescent="0.25">
      <c r="A3874" s="2">
        <v>3382.1599675474299</v>
      </c>
      <c r="B3874" s="3">
        <v>0.220842389690943</v>
      </c>
      <c r="C3874" s="5">
        <v>2.34081899654444E-9</v>
      </c>
      <c r="D3874" s="6">
        <v>1.2189318883511E-8</v>
      </c>
      <c r="E3874" s="3" t="s">
        <v>7592</v>
      </c>
      <c r="F3874" s="3" t="s">
        <v>7593</v>
      </c>
      <c r="G3874" s="3">
        <v>19072</v>
      </c>
      <c r="H3874" s="7" t="str">
        <f>HYPERLINK("http://www.ensembl.org/Mus_musculus/Gene/Summary?db=core;g=ENSMUSG00000019849","ENSMUSG00000019849")</f>
        <v>ENSMUSG00000019849</v>
      </c>
      <c r="I3874" s="7" t="str">
        <f>HYPERLINK("http://www.informatics.jax.org/marker/MGI:1270863","MGI:1270863")</f>
        <v>MGI:1270863</v>
      </c>
      <c r="J3874" s="4" t="s">
        <v>12</v>
      </c>
    </row>
    <row r="3875" spans="1:10" x14ac:dyDescent="0.25">
      <c r="A3875" s="2">
        <v>644.06195919340598</v>
      </c>
      <c r="B3875" s="3">
        <v>0.22078127886913901</v>
      </c>
      <c r="C3875" s="3">
        <v>4.76764754586391E-4</v>
      </c>
      <c r="D3875" s="4">
        <v>1.4717910082097099E-3</v>
      </c>
      <c r="E3875" s="3" t="s">
        <v>12785</v>
      </c>
      <c r="F3875" s="3" t="s">
        <v>12786</v>
      </c>
      <c r="G3875" s="3">
        <v>19356</v>
      </c>
      <c r="H3875" s="7" t="str">
        <f>HYPERLINK("http://www.ensembl.org/Mus_musculus/Gene/Summary?db=core;g=ENSMUSG00000021635","ENSMUSG00000021635")</f>
        <v>ENSMUSG00000021635</v>
      </c>
      <c r="I3875" s="7" t="str">
        <f>HYPERLINK("http://www.informatics.jax.org/marker/MGI:1333807","MGI:1333807")</f>
        <v>MGI:1333807</v>
      </c>
      <c r="J3875" s="4" t="s">
        <v>12</v>
      </c>
    </row>
    <row r="3876" spans="1:10" x14ac:dyDescent="0.25">
      <c r="A3876" s="2">
        <v>3871.8437175967301</v>
      </c>
      <c r="B3876" s="3">
        <v>0.22066111769935801</v>
      </c>
      <c r="C3876" s="5">
        <v>9.4533100860048203E-5</v>
      </c>
      <c r="D3876" s="4">
        <v>3.1964896244172702E-4</v>
      </c>
      <c r="E3876" s="3" t="s">
        <v>11675</v>
      </c>
      <c r="F3876" s="3" t="s">
        <v>11676</v>
      </c>
      <c r="G3876" s="3">
        <v>66656</v>
      </c>
      <c r="H3876" s="7" t="str">
        <f>HYPERLINK("http://www.ensembl.org/Mus_musculus/Gene/Summary?db=core;g=ENSMUSG00000055762","ENSMUSG00000055762")</f>
        <v>ENSMUSG00000055762</v>
      </c>
      <c r="I3876" s="7" t="str">
        <f>HYPERLINK("http://www.informatics.jax.org/marker/MGI:1913906","MGI:1913906")</f>
        <v>MGI:1913906</v>
      </c>
      <c r="J3876" s="4" t="s">
        <v>12</v>
      </c>
    </row>
    <row r="3877" spans="1:10" x14ac:dyDescent="0.25">
      <c r="A3877" s="2">
        <v>779.68797174107101</v>
      </c>
      <c r="B3877" s="3">
        <v>0.220160144834633</v>
      </c>
      <c r="C3877" s="3">
        <v>1.65659122142898E-3</v>
      </c>
      <c r="D3877" s="4">
        <v>4.7365490628649498E-3</v>
      </c>
      <c r="E3877" s="3" t="s">
        <v>13801</v>
      </c>
      <c r="F3877" s="3" t="s">
        <v>13802</v>
      </c>
      <c r="G3877" s="3">
        <v>13011</v>
      </c>
      <c r="H3877" s="7" t="str">
        <f>HYPERLINK("http://www.ensembl.org/Mus_musculus/Gene/Summary?db=core;g=ENSMUSG00000068129","ENSMUSG00000068129")</f>
        <v>ENSMUSG00000068129</v>
      </c>
      <c r="I3877" s="7" t="str">
        <f>HYPERLINK("http://www.informatics.jax.org/marker/MGI:1298217","MGI:1298217")</f>
        <v>MGI:1298217</v>
      </c>
      <c r="J3877" s="4" t="s">
        <v>12</v>
      </c>
    </row>
    <row r="3878" spans="1:10" x14ac:dyDescent="0.25">
      <c r="A3878" s="2">
        <v>434.429292551657</v>
      </c>
      <c r="B3878" s="3">
        <v>0.220152224120923</v>
      </c>
      <c r="C3878" s="3">
        <v>1.43289836977316E-2</v>
      </c>
      <c r="D3878" s="4">
        <v>3.4524827268317099E-2</v>
      </c>
      <c r="E3878" s="3" t="s">
        <v>16371</v>
      </c>
      <c r="F3878" s="3" t="s">
        <v>16372</v>
      </c>
      <c r="G3878" s="3">
        <v>76457</v>
      </c>
      <c r="H3878" s="7" t="str">
        <f>HYPERLINK("http://www.ensembl.org/Mus_musculus/Gene/Summary?db=core;g=ENSMUSG00000068114","ENSMUSG00000068114")</f>
        <v>ENSMUSG00000068114</v>
      </c>
      <c r="I3878" s="7" t="str">
        <f>HYPERLINK("http://www.informatics.jax.org/marker/MGI:1923707","MGI:1923707")</f>
        <v>MGI:1923707</v>
      </c>
      <c r="J3878" s="4" t="s">
        <v>12</v>
      </c>
    </row>
    <row r="3879" spans="1:10" x14ac:dyDescent="0.25">
      <c r="A3879" s="2">
        <v>3110.86914004032</v>
      </c>
      <c r="B3879" s="3">
        <v>0.220057920069648</v>
      </c>
      <c r="C3879" s="5">
        <v>2.5076469459038899E-6</v>
      </c>
      <c r="D3879" s="6">
        <v>9.9779656523859408E-6</v>
      </c>
      <c r="E3879" s="3" t="s">
        <v>9925</v>
      </c>
      <c r="F3879" s="3" t="s">
        <v>9926</v>
      </c>
      <c r="G3879" s="3">
        <v>54325</v>
      </c>
      <c r="H3879" s="7" t="str">
        <f>HYPERLINK("http://www.ensembl.org/Mus_musculus/Gene/Summary?db=core;g=ENSMUSG00000006390","ENSMUSG00000006390")</f>
        <v>ENSMUSG00000006390</v>
      </c>
      <c r="I3879" s="7" t="str">
        <f>HYPERLINK("http://www.informatics.jax.org/marker/MGI:1858959","MGI:1858959")</f>
        <v>MGI:1858959</v>
      </c>
      <c r="J3879" s="4" t="s">
        <v>12</v>
      </c>
    </row>
    <row r="3880" spans="1:10" x14ac:dyDescent="0.25">
      <c r="A3880" s="2">
        <v>3845.9552830518601</v>
      </c>
      <c r="B3880" s="3">
        <v>0.21987548500226001</v>
      </c>
      <c r="C3880" s="5">
        <v>3.3709425320602701E-6</v>
      </c>
      <c r="D3880" s="6">
        <v>1.3226220997260001E-5</v>
      </c>
      <c r="E3880" s="3" t="s">
        <v>10068</v>
      </c>
      <c r="F3880" s="3" t="s">
        <v>10069</v>
      </c>
      <c r="G3880" s="3" t="s">
        <v>83</v>
      </c>
      <c r="H3880" s="7" t="str">
        <f>HYPERLINK("http://www.ensembl.org/Mus_musculus/Gene/Summary?db=core;g=ENSMUSG00000111497","ENSMUSG00000111497")</f>
        <v>ENSMUSG00000111497</v>
      </c>
      <c r="I3880" s="7" t="str">
        <f>HYPERLINK("http://www.informatics.jax.org/marker/MGI:5621316","MGI:5621316")</f>
        <v>MGI:5621316</v>
      </c>
      <c r="J3880" s="4" t="s">
        <v>12</v>
      </c>
    </row>
    <row r="3881" spans="1:10" x14ac:dyDescent="0.25">
      <c r="A3881" s="2">
        <v>366.84321553757798</v>
      </c>
      <c r="B3881" s="3">
        <v>0.219819381178364</v>
      </c>
      <c r="C3881" s="3">
        <v>6.1400009685797698E-3</v>
      </c>
      <c r="D3881" s="4">
        <v>1.5923306036348402E-2</v>
      </c>
      <c r="E3881" s="3" t="s">
        <v>15213</v>
      </c>
      <c r="F3881" s="3" t="s">
        <v>15214</v>
      </c>
      <c r="G3881" s="3">
        <v>433693</v>
      </c>
      <c r="H3881" s="7" t="str">
        <f>HYPERLINK("http://www.ensembl.org/Mus_musculus/Gene/Summary?db=core;g=ENSMUSG00000028291","ENSMUSG00000028291")</f>
        <v>ENSMUSG00000028291</v>
      </c>
      <c r="I3881" s="7" t="str">
        <f>HYPERLINK("http://www.informatics.jax.org/marker/MGI:1889364","MGI:1889364")</f>
        <v>MGI:1889364</v>
      </c>
      <c r="J3881" s="4" t="s">
        <v>12</v>
      </c>
    </row>
    <row r="3882" spans="1:10" x14ac:dyDescent="0.25">
      <c r="A3882" s="2">
        <v>304.364720884696</v>
      </c>
      <c r="B3882" s="3">
        <v>0.219399793820648</v>
      </c>
      <c r="C3882" s="3">
        <v>5.4195311650838502E-3</v>
      </c>
      <c r="D3882" s="4">
        <v>1.4232674733713299E-2</v>
      </c>
      <c r="E3882" s="3" t="s">
        <v>15022</v>
      </c>
      <c r="F3882" s="3" t="s">
        <v>15023</v>
      </c>
      <c r="G3882" s="3">
        <v>17420</v>
      </c>
      <c r="H3882" s="7" t="str">
        <f>HYPERLINK("http://www.ensembl.org/Mus_musculus/Gene/Summary?db=core;g=ENSMUSG00000021103","ENSMUSG00000021103")</f>
        <v>ENSMUSG00000021103</v>
      </c>
      <c r="I3882" s="7" t="str">
        <f>HYPERLINK("http://www.informatics.jax.org/marker/MGI:106207","MGI:106207")</f>
        <v>MGI:106207</v>
      </c>
      <c r="J3882" s="4" t="s">
        <v>12</v>
      </c>
    </row>
    <row r="3883" spans="1:10" x14ac:dyDescent="0.25">
      <c r="A3883" s="2">
        <v>1362.51858850806</v>
      </c>
      <c r="B3883" s="3">
        <v>0.219388714612753</v>
      </c>
      <c r="C3883" s="5">
        <v>7.7103902069742299E-7</v>
      </c>
      <c r="D3883" s="6">
        <v>3.2254750717338098E-6</v>
      </c>
      <c r="E3883" s="3" t="s">
        <v>9443</v>
      </c>
      <c r="F3883" s="3" t="s">
        <v>9444</v>
      </c>
      <c r="G3883" s="3">
        <v>381038</v>
      </c>
      <c r="H3883" s="7" t="str">
        <f>HYPERLINK("http://www.ensembl.org/Mus_musculus/Gene/Summary?db=core;g=ENSMUSG00000033918","ENSMUSG00000033918")</f>
        <v>ENSMUSG00000033918</v>
      </c>
      <c r="I3883" s="7" t="str">
        <f>HYPERLINK("http://www.informatics.jax.org/marker/MGI:1277152","MGI:1277152")</f>
        <v>MGI:1277152</v>
      </c>
      <c r="J3883" s="4" t="s">
        <v>12</v>
      </c>
    </row>
    <row r="3884" spans="1:10" x14ac:dyDescent="0.25">
      <c r="A3884" s="2">
        <v>261.412905348165</v>
      </c>
      <c r="B3884" s="3">
        <v>0.219053699513098</v>
      </c>
      <c r="C3884" s="3">
        <v>1.90024491382439E-2</v>
      </c>
      <c r="D3884" s="4">
        <v>4.45680657714283E-2</v>
      </c>
      <c r="E3884" s="3" t="s">
        <v>16820</v>
      </c>
      <c r="F3884" s="3" t="s">
        <v>16821</v>
      </c>
      <c r="G3884" s="3">
        <v>68121</v>
      </c>
      <c r="H3884" s="7" t="str">
        <f>HYPERLINK("http://www.ensembl.org/Mus_musculus/Gene/Summary?db=core;g=ENSMUSG00000056267","ENSMUSG00000056267")</f>
        <v>ENSMUSG00000056267</v>
      </c>
      <c r="I3884" s="7" t="str">
        <f>HYPERLINK("http://www.informatics.jax.org/marker/MGI:1915371","MGI:1915371")</f>
        <v>MGI:1915371</v>
      </c>
      <c r="J3884" s="4" t="s">
        <v>12</v>
      </c>
    </row>
    <row r="3885" spans="1:10" x14ac:dyDescent="0.25">
      <c r="A3885" s="2">
        <v>654.07356149138502</v>
      </c>
      <c r="B3885" s="3">
        <v>0.21897126551430901</v>
      </c>
      <c r="C3885" s="3">
        <v>1.8670591777235901E-3</v>
      </c>
      <c r="D3885" s="4">
        <v>5.2922821596534698E-3</v>
      </c>
      <c r="E3885" s="3" t="s">
        <v>13921</v>
      </c>
      <c r="F3885" s="3" t="s">
        <v>13922</v>
      </c>
      <c r="G3885" s="3">
        <v>226499</v>
      </c>
      <c r="H3885" s="7" t="str">
        <f>HYPERLINK("http://www.ensembl.org/Mus_musculus/Gene/Summary?db=core;g=ENSMUSG00000006010","ENSMUSG00000006010")</f>
        <v>ENSMUSG00000006010</v>
      </c>
      <c r="I3885" s="7" t="str">
        <f>HYPERLINK("http://www.informatics.jax.org/marker/MGI:2385108","MGI:2385108")</f>
        <v>MGI:2385108</v>
      </c>
      <c r="J3885" s="4" t="s">
        <v>12</v>
      </c>
    </row>
    <row r="3886" spans="1:10" x14ac:dyDescent="0.25">
      <c r="A3886" s="2">
        <v>1581.7851613713799</v>
      </c>
      <c r="B3886" s="3">
        <v>0.218557833007156</v>
      </c>
      <c r="C3886" s="3">
        <v>1.39067865657531E-4</v>
      </c>
      <c r="D3886" s="4">
        <v>4.60523645804621E-4</v>
      </c>
      <c r="E3886" s="3" t="s">
        <v>11921</v>
      </c>
      <c r="F3886" s="3" t="s">
        <v>11922</v>
      </c>
      <c r="G3886" s="3">
        <v>106039</v>
      </c>
      <c r="H3886" s="7" t="str">
        <f>HYPERLINK("http://www.ensembl.org/Mus_musculus/Gene/Summary?db=core;g=ENSMUSG00000033128","ENSMUSG00000033128")</f>
        <v>ENSMUSG00000033128</v>
      </c>
      <c r="I3886" s="7" t="str">
        <f>HYPERLINK("http://www.informatics.jax.org/marker/MGI:2146207","MGI:2146207")</f>
        <v>MGI:2146207</v>
      </c>
      <c r="J3886" s="4" t="s">
        <v>12</v>
      </c>
    </row>
    <row r="3887" spans="1:10" x14ac:dyDescent="0.25">
      <c r="A3887" s="2">
        <v>379.63214555191797</v>
      </c>
      <c r="B3887" s="3">
        <v>0.21853269200940301</v>
      </c>
      <c r="C3887" s="3">
        <v>6.5690770575431803E-4</v>
      </c>
      <c r="D3887" s="4">
        <v>1.9892843915041698E-3</v>
      </c>
      <c r="E3887" s="3" t="s">
        <v>13033</v>
      </c>
      <c r="F3887" s="3" t="s">
        <v>13034</v>
      </c>
      <c r="G3887" s="3">
        <v>78890</v>
      </c>
      <c r="H3887" s="7" t="str">
        <f>HYPERLINK("http://www.ensembl.org/Mus_musculus/Gene/Summary?db=core;g=ENSMUSG00000029097","ENSMUSG00000029097")</f>
        <v>ENSMUSG00000029097</v>
      </c>
      <c r="I3887" s="7" t="str">
        <f>HYPERLINK("http://www.informatics.jax.org/marker/MGI:1926140","MGI:1926140")</f>
        <v>MGI:1926140</v>
      </c>
      <c r="J3887" s="4" t="s">
        <v>12</v>
      </c>
    </row>
    <row r="3888" spans="1:10" x14ac:dyDescent="0.25">
      <c r="A3888" s="2">
        <v>1382.2392986442801</v>
      </c>
      <c r="B3888" s="3">
        <v>0.21852361762612799</v>
      </c>
      <c r="C3888" s="3">
        <v>1.34671278298427E-2</v>
      </c>
      <c r="D3888" s="4">
        <v>3.2613503721539802E-2</v>
      </c>
      <c r="E3888" s="3" t="s">
        <v>16291</v>
      </c>
      <c r="F3888" s="3" t="s">
        <v>16292</v>
      </c>
      <c r="G3888" s="3">
        <v>17775</v>
      </c>
      <c r="H3888" s="7" t="str">
        <f>HYPERLINK("http://www.ensembl.org/Mus_musculus/Gene/Summary?db=core;g=ENSMUSG00000020585","ENSMUSG00000020585")</f>
        <v>ENSMUSG00000020585</v>
      </c>
      <c r="I3888" s="7" t="str">
        <f>HYPERLINK("http://www.informatics.jax.org/marker/MGI:108017","MGI:108017")</f>
        <v>MGI:108017</v>
      </c>
      <c r="J3888" s="4" t="s">
        <v>12</v>
      </c>
    </row>
    <row r="3889" spans="1:10" x14ac:dyDescent="0.25">
      <c r="A3889" s="2">
        <v>2301.0833228746001</v>
      </c>
      <c r="B3889" s="3">
        <v>0.21850405662253899</v>
      </c>
      <c r="C3889" s="5">
        <v>2.5888614899033299E-7</v>
      </c>
      <c r="D3889" s="6">
        <v>1.1355059737743299E-6</v>
      </c>
      <c r="E3889" s="3" t="s">
        <v>8657</v>
      </c>
      <c r="F3889" s="3" t="s">
        <v>8658</v>
      </c>
      <c r="G3889" s="3">
        <v>70579</v>
      </c>
      <c r="H3889" s="7" t="str">
        <f>HYPERLINK("http://www.ensembl.org/Mus_musculus/Gene/Summary?db=core;g=ENSMUSG00000102976","ENSMUSG00000102976")</f>
        <v>ENSMUSG00000102976</v>
      </c>
      <c r="I3889" s="7" t="str">
        <f>HYPERLINK("http://www.informatics.jax.org/marker/MGI:1917829","MGI:1917829")</f>
        <v>MGI:1917829</v>
      </c>
      <c r="J3889" s="4" t="s">
        <v>12</v>
      </c>
    </row>
    <row r="3890" spans="1:10" x14ac:dyDescent="0.25">
      <c r="A3890" s="2">
        <v>1043.0339332037599</v>
      </c>
      <c r="B3890" s="3">
        <v>0.218219664858607</v>
      </c>
      <c r="C3890" s="5">
        <v>1.3980024964928199E-5</v>
      </c>
      <c r="D3890" s="6">
        <v>5.1665309652995703E-5</v>
      </c>
      <c r="E3890" s="3" t="s">
        <v>10684</v>
      </c>
      <c r="F3890" s="3" t="s">
        <v>10685</v>
      </c>
      <c r="G3890" s="3">
        <v>216873</v>
      </c>
      <c r="H3890" s="7" t="str">
        <f>HYPERLINK("http://www.ensembl.org/Mus_musculus/Gene/Summary?db=core;g=ENSMUSG00000018287","ENSMUSG00000018287")</f>
        <v>ENSMUSG00000018287</v>
      </c>
      <c r="I3890" s="7" t="str">
        <f>HYPERLINK("http://www.informatics.jax.org/marker/MGI:107380","MGI:107380")</f>
        <v>MGI:107380</v>
      </c>
      <c r="J3890" s="4" t="s">
        <v>12</v>
      </c>
    </row>
    <row r="3891" spans="1:10" x14ac:dyDescent="0.25">
      <c r="A3891" s="2">
        <v>1911.68696852422</v>
      </c>
      <c r="B3891" s="3">
        <v>0.21812271273988501</v>
      </c>
      <c r="C3891" s="5">
        <v>2.30558465377517E-6</v>
      </c>
      <c r="D3891" s="6">
        <v>9.2055333817465808E-6</v>
      </c>
      <c r="E3891" s="3" t="s">
        <v>9893</v>
      </c>
      <c r="F3891" s="3" t="s">
        <v>9894</v>
      </c>
      <c r="G3891" s="3">
        <v>72895</v>
      </c>
      <c r="H3891" s="7" t="str">
        <f>HYPERLINK("http://www.ensembl.org/Mus_musculus/Gene/Summary?db=core;g=ENSMUSG00000034269","ENSMUSG00000034269")</f>
        <v>ENSMUSG00000034269</v>
      </c>
      <c r="I3891" s="7" t="str">
        <f>HYPERLINK("http://www.informatics.jax.org/marker/MGI:1920145","MGI:1920145")</f>
        <v>MGI:1920145</v>
      </c>
      <c r="J3891" s="4" t="s">
        <v>12</v>
      </c>
    </row>
    <row r="3892" spans="1:10" x14ac:dyDescent="0.25">
      <c r="A3892" s="2">
        <v>332.77443159776601</v>
      </c>
      <c r="B3892" s="3">
        <v>0.21789529018387299</v>
      </c>
      <c r="C3892" s="3">
        <v>4.3993062630405802E-3</v>
      </c>
      <c r="D3892" s="4">
        <v>1.17505511996696E-2</v>
      </c>
      <c r="E3892" s="3" t="s">
        <v>14770</v>
      </c>
      <c r="F3892" s="3" t="s">
        <v>14771</v>
      </c>
      <c r="G3892" s="3">
        <v>68192</v>
      </c>
      <c r="H3892" s="7" t="str">
        <f>HYPERLINK("http://www.ensembl.org/Mus_musculus/Gene/Summary?db=core;g=ENSMUSG00000031513","ENSMUSG00000031513")</f>
        <v>ENSMUSG00000031513</v>
      </c>
      <c r="I3892" s="7" t="str">
        <f>HYPERLINK("http://www.informatics.jax.org/marker/MGI:1915442","MGI:1915442")</f>
        <v>MGI:1915442</v>
      </c>
      <c r="J3892" s="4" t="s">
        <v>12</v>
      </c>
    </row>
    <row r="3893" spans="1:10" x14ac:dyDescent="0.25">
      <c r="A3893" s="2">
        <v>2349.7011171734398</v>
      </c>
      <c r="B3893" s="3">
        <v>0.21774811249822401</v>
      </c>
      <c r="C3893" s="5">
        <v>8.1936713684728097E-7</v>
      </c>
      <c r="D3893" s="6">
        <v>3.4174957569010899E-6</v>
      </c>
      <c r="E3893" s="3" t="s">
        <v>9471</v>
      </c>
      <c r="F3893" s="3" t="s">
        <v>9472</v>
      </c>
      <c r="G3893" s="3">
        <v>56878</v>
      </c>
      <c r="H3893" s="7" t="str">
        <f>HYPERLINK("http://www.ensembl.org/Mus_musculus/Gene/Summary?db=core;g=ENSMUSG00000026970","ENSMUSG00000026970")</f>
        <v>ENSMUSG00000026970</v>
      </c>
      <c r="I3893" s="7" t="str">
        <f>HYPERLINK("http://www.informatics.jax.org/marker/MGI:1861774","MGI:1861774")</f>
        <v>MGI:1861774</v>
      </c>
      <c r="J3893" s="4" t="s">
        <v>12</v>
      </c>
    </row>
    <row r="3894" spans="1:10" x14ac:dyDescent="0.25">
      <c r="A3894" s="2">
        <v>320.95830359972399</v>
      </c>
      <c r="B3894" s="3">
        <v>0.217287936399295</v>
      </c>
      <c r="C3894" s="3">
        <v>1.5826369340774301E-3</v>
      </c>
      <c r="D3894" s="4">
        <v>4.5369385579309297E-3</v>
      </c>
      <c r="E3894" s="3" t="s">
        <v>13765</v>
      </c>
      <c r="F3894" s="3" t="s">
        <v>13766</v>
      </c>
      <c r="G3894" s="3">
        <v>235315</v>
      </c>
      <c r="H3894" s="7" t="str">
        <f>HYPERLINK("http://www.ensembl.org/Mus_musculus/Gene/Summary?db=core;g=ENSMUSG00000042790","ENSMUSG00000042790")</f>
        <v>ENSMUSG00000042790</v>
      </c>
      <c r="I3894" s="7" t="str">
        <f>HYPERLINK("http://www.informatics.jax.org/marker/MGI:2444451","MGI:2444451")</f>
        <v>MGI:2444451</v>
      </c>
      <c r="J3894" s="4" t="s">
        <v>12</v>
      </c>
    </row>
    <row r="3895" spans="1:10" x14ac:dyDescent="0.25">
      <c r="A3895" s="2">
        <v>1631.71919423281</v>
      </c>
      <c r="B3895" s="3">
        <v>0.21724886477469699</v>
      </c>
      <c r="C3895" s="5">
        <v>4.4218699024204799E-9</v>
      </c>
      <c r="D3895" s="6">
        <v>2.2561261183889202E-8</v>
      </c>
      <c r="E3895" s="3" t="s">
        <v>7746</v>
      </c>
      <c r="F3895" s="3" t="s">
        <v>7747</v>
      </c>
      <c r="G3895" s="3">
        <v>234825</v>
      </c>
      <c r="H3895" s="7" t="str">
        <f>HYPERLINK("http://www.ensembl.org/Mus_musculus/Gene/Summary?db=core;g=ENSMUSG00000040263","ENSMUSG00000040263")</f>
        <v>ENSMUSG00000040263</v>
      </c>
      <c r="I3895" s="7" t="str">
        <f>HYPERLINK("http://www.informatics.jax.org/marker/MGI:2384569","MGI:2384569")</f>
        <v>MGI:2384569</v>
      </c>
      <c r="J3895" s="4" t="s">
        <v>12</v>
      </c>
    </row>
    <row r="3896" spans="1:10" x14ac:dyDescent="0.25">
      <c r="A3896" s="2">
        <v>1118.8152261749301</v>
      </c>
      <c r="B3896" s="3">
        <v>0.21712928222797301</v>
      </c>
      <c r="C3896" s="3">
        <v>6.4056762024506904E-4</v>
      </c>
      <c r="D3896" s="4">
        <v>1.9430846748550599E-3</v>
      </c>
      <c r="E3896" s="3" t="s">
        <v>13011</v>
      </c>
      <c r="F3896" s="3" t="s">
        <v>13012</v>
      </c>
      <c r="G3896" s="3">
        <v>12914</v>
      </c>
      <c r="H3896" s="7" t="str">
        <f>HYPERLINK("http://www.ensembl.org/Mus_musculus/Gene/Summary?db=core;g=ENSMUSG00000022521","ENSMUSG00000022521")</f>
        <v>ENSMUSG00000022521</v>
      </c>
      <c r="I3896" s="7" t="str">
        <f>HYPERLINK("http://www.informatics.jax.org/marker/MGI:1098280","MGI:1098280")</f>
        <v>MGI:1098280</v>
      </c>
      <c r="J3896" s="4" t="s">
        <v>12</v>
      </c>
    </row>
    <row r="3897" spans="1:10" x14ac:dyDescent="0.25">
      <c r="A3897" s="2">
        <v>634.90389427414902</v>
      </c>
      <c r="B3897" s="3">
        <v>0.21695164372893599</v>
      </c>
      <c r="C3897" s="3">
        <v>9.1254846967603798E-4</v>
      </c>
      <c r="D3897" s="4">
        <v>2.7068976868248299E-3</v>
      </c>
      <c r="E3897" s="3" t="s">
        <v>13304</v>
      </c>
      <c r="F3897" s="3" t="s">
        <v>13305</v>
      </c>
      <c r="G3897" s="3">
        <v>353242</v>
      </c>
      <c r="H3897" s="7" t="str">
        <f>HYPERLINK("http://www.ensembl.org/Mus_musculus/Gene/Summary?db=core;g=ENSMUSG00000024829","ENSMUSG00000024829")</f>
        <v>ENSMUSG00000024829</v>
      </c>
      <c r="I3897" s="7" t="str">
        <f>HYPERLINK("http://www.informatics.jax.org/marker/MGI:2660674","MGI:2660674")</f>
        <v>MGI:2660674</v>
      </c>
      <c r="J3897" s="4" t="s">
        <v>12</v>
      </c>
    </row>
    <row r="3898" spans="1:10" x14ac:dyDescent="0.25">
      <c r="A3898" s="2">
        <v>310.91205710721403</v>
      </c>
      <c r="B3898" s="3">
        <v>0.21663958050055401</v>
      </c>
      <c r="C3898" s="3">
        <v>4.4647114900169503E-3</v>
      </c>
      <c r="D3898" s="4">
        <v>1.19075075173295E-2</v>
      </c>
      <c r="E3898" s="3" t="s">
        <v>14792</v>
      </c>
      <c r="F3898" s="3" t="s">
        <v>14793</v>
      </c>
      <c r="G3898" s="3">
        <v>67471</v>
      </c>
      <c r="H3898" s="7" t="str">
        <f>HYPERLINK("http://www.ensembl.org/Mus_musculus/Gene/Summary?db=core;g=ENSMUSG00000063808","ENSMUSG00000063808")</f>
        <v>ENSMUSG00000063808</v>
      </c>
      <c r="I3898" s="7" t="str">
        <f>HYPERLINK("http://www.informatics.jax.org/marker/MGI:1914721","MGI:1914721")</f>
        <v>MGI:1914721</v>
      </c>
      <c r="J3898" s="4" t="s">
        <v>12</v>
      </c>
    </row>
    <row r="3899" spans="1:10" x14ac:dyDescent="0.25">
      <c r="A3899" s="2">
        <v>1751.3834599657</v>
      </c>
      <c r="B3899" s="3">
        <v>0.216634351127514</v>
      </c>
      <c r="C3899" s="3">
        <v>4.9899011555222105E-4</v>
      </c>
      <c r="D3899" s="4">
        <v>1.53679292186316E-3</v>
      </c>
      <c r="E3899" s="3" t="s">
        <v>12815</v>
      </c>
      <c r="F3899" s="3" t="s">
        <v>12816</v>
      </c>
      <c r="G3899" s="3">
        <v>19035</v>
      </c>
      <c r="H3899" s="7" t="str">
        <f>HYPERLINK("http://www.ensembl.org/Mus_musculus/Gene/Summary?db=core;g=ENSMUSG00000032383","ENSMUSG00000032383")</f>
        <v>ENSMUSG00000032383</v>
      </c>
      <c r="I3899" s="7" t="str">
        <f>HYPERLINK("http://www.informatics.jax.org/marker/MGI:97750","MGI:97750")</f>
        <v>MGI:97750</v>
      </c>
      <c r="J3899" s="4" t="s">
        <v>12</v>
      </c>
    </row>
    <row r="3900" spans="1:10" x14ac:dyDescent="0.25">
      <c r="A3900" s="2">
        <v>2298.8205330620799</v>
      </c>
      <c r="B3900" s="3">
        <v>0.216465016791134</v>
      </c>
      <c r="C3900" s="3">
        <v>7.1820913639397098E-3</v>
      </c>
      <c r="D3900" s="4">
        <v>1.8404108954057599E-2</v>
      </c>
      <c r="E3900" s="3" t="s">
        <v>15401</v>
      </c>
      <c r="F3900" s="3" t="s">
        <v>15402</v>
      </c>
      <c r="G3900" s="3">
        <v>15374</v>
      </c>
      <c r="H3900" s="7" t="str">
        <f>HYPERLINK("http://www.ensembl.org/Mus_musculus/Gene/Summary?db=core;g=ENSMUSG00000020737","ENSMUSG00000020737")</f>
        <v>ENSMUSG00000020737</v>
      </c>
      <c r="I3900" s="7" t="str">
        <f>HYPERLINK("http://www.informatics.jax.org/marker/MGI:1096361","MGI:1096361")</f>
        <v>MGI:1096361</v>
      </c>
      <c r="J3900" s="4" t="s">
        <v>12</v>
      </c>
    </row>
    <row r="3901" spans="1:10" x14ac:dyDescent="0.25">
      <c r="A3901" s="2">
        <v>264.39954732313703</v>
      </c>
      <c r="B3901" s="3">
        <v>0.21629581097849301</v>
      </c>
      <c r="C3901" s="3">
        <v>3.2238855738810101E-3</v>
      </c>
      <c r="D3901" s="4">
        <v>8.79079418099191E-3</v>
      </c>
      <c r="E3901" s="3" t="s">
        <v>14467</v>
      </c>
      <c r="F3901" s="3" t="s">
        <v>14468</v>
      </c>
      <c r="G3901" s="3">
        <v>21968</v>
      </c>
      <c r="H3901" s="7" t="str">
        <f>HYPERLINK("http://www.ensembl.org/Mus_musculus/Gene/Summary?db=core;g=ENSMUSG00000042870","ENSMUSG00000042870")</f>
        <v>ENSMUSG00000042870</v>
      </c>
      <c r="I3901" s="7" t="str">
        <f>HYPERLINK("http://www.informatics.jax.org/marker/MGI:1338026","MGI:1338026")</f>
        <v>MGI:1338026</v>
      </c>
      <c r="J3901" s="4" t="s">
        <v>12</v>
      </c>
    </row>
    <row r="3902" spans="1:10" x14ac:dyDescent="0.25">
      <c r="A3902" s="2">
        <v>1945.7316190210399</v>
      </c>
      <c r="B3902" s="3">
        <v>0.21577973797658501</v>
      </c>
      <c r="C3902" s="5">
        <v>4.2000262957208098E-7</v>
      </c>
      <c r="D3902" s="6">
        <v>1.8056358960456601E-6</v>
      </c>
      <c r="E3902" s="3" t="s">
        <v>9189</v>
      </c>
      <c r="F3902" s="3" t="s">
        <v>9190</v>
      </c>
      <c r="G3902" s="3">
        <v>66590</v>
      </c>
      <c r="H3902" s="7" t="str">
        <f>HYPERLINK("http://www.ensembl.org/Mus_musculus/Gene/Summary?db=core;g=ENSMUSG00000003808","ENSMUSG00000003808")</f>
        <v>ENSMUSG00000003808</v>
      </c>
      <c r="I3902" s="7" t="str">
        <f>HYPERLINK("http://www.informatics.jax.org/marker/MGI:1913840","MGI:1913840")</f>
        <v>MGI:1913840</v>
      </c>
      <c r="J3902" s="4" t="s">
        <v>12</v>
      </c>
    </row>
    <row r="3903" spans="1:10" x14ac:dyDescent="0.25">
      <c r="A3903" s="2">
        <v>2275.3577544661198</v>
      </c>
      <c r="B3903" s="3">
        <v>0.21541695435564701</v>
      </c>
      <c r="C3903" s="5">
        <v>3.3627743596565597E-5</v>
      </c>
      <c r="D3903" s="4">
        <v>1.1937697636800599E-4</v>
      </c>
      <c r="E3903" s="3" t="s">
        <v>11123</v>
      </c>
      <c r="F3903" s="3" t="s">
        <v>11124</v>
      </c>
      <c r="G3903" s="3">
        <v>269470</v>
      </c>
      <c r="H3903" s="7" t="str">
        <f>HYPERLINK("http://www.ensembl.org/Mus_musculus/Gene/Summary?db=core;g=ENSMUSG00000033285","ENSMUSG00000033285")</f>
        <v>ENSMUSG00000033285</v>
      </c>
      <c r="I3903" s="7" t="str">
        <f>HYPERLINK("http://www.informatics.jax.org/marker/MGI:2443143","MGI:2443143")</f>
        <v>MGI:2443143</v>
      </c>
      <c r="J3903" s="4" t="s">
        <v>12</v>
      </c>
    </row>
    <row r="3904" spans="1:10" x14ac:dyDescent="0.25">
      <c r="A3904" s="2">
        <v>821.75432305225695</v>
      </c>
      <c r="B3904" s="3">
        <v>0.21538338611754401</v>
      </c>
      <c r="C3904" s="3">
        <v>2.9025494804932198E-3</v>
      </c>
      <c r="D3904" s="4">
        <v>7.9719047012989097E-3</v>
      </c>
      <c r="E3904" s="3" t="s">
        <v>14365</v>
      </c>
      <c r="F3904" s="3" t="s">
        <v>14366</v>
      </c>
      <c r="G3904" s="3">
        <v>234388</v>
      </c>
      <c r="H3904" s="7" t="str">
        <f>HYPERLINK("http://www.ensembl.org/Mus_musculus/Gene/Summary?db=core;g=ENSMUSG00000007721","ENSMUSG00000007721")</f>
        <v>ENSMUSG00000007721</v>
      </c>
      <c r="I3904" s="7" t="str">
        <f>HYPERLINK("http://www.informatics.jax.org/marker/MGI:1916403","MGI:1916403")</f>
        <v>MGI:1916403</v>
      </c>
      <c r="J3904" s="4" t="s">
        <v>12</v>
      </c>
    </row>
    <row r="3905" spans="1:10" x14ac:dyDescent="0.25">
      <c r="A3905" s="2">
        <v>1127.9629801247099</v>
      </c>
      <c r="B3905" s="3">
        <v>0.215381136011119</v>
      </c>
      <c r="C3905" s="3">
        <v>1.54939797436264E-2</v>
      </c>
      <c r="D3905" s="4">
        <v>3.7062261104356301E-2</v>
      </c>
      <c r="E3905" s="3" t="s">
        <v>16491</v>
      </c>
      <c r="F3905" s="3" t="s">
        <v>16492</v>
      </c>
      <c r="G3905" s="3">
        <v>66048</v>
      </c>
      <c r="H3905" s="7" t="str">
        <f>HYPERLINK("http://www.ensembl.org/Mus_musculus/Gene/Summary?db=core;g=ENSMUSG00000047260","ENSMUSG00000047260")</f>
        <v>ENSMUSG00000047260</v>
      </c>
      <c r="I3905" s="7" t="str">
        <f>HYPERLINK("http://www.informatics.jax.org/marker/MGI:1913298","MGI:1913298")</f>
        <v>MGI:1913298</v>
      </c>
      <c r="J3905" s="4" t="s">
        <v>12</v>
      </c>
    </row>
    <row r="3906" spans="1:10" x14ac:dyDescent="0.25">
      <c r="A3906" s="2">
        <v>1033.6430955923499</v>
      </c>
      <c r="B3906" s="3">
        <v>0.21522074313678499</v>
      </c>
      <c r="C3906" s="3">
        <v>5.93567969794699E-4</v>
      </c>
      <c r="D3906" s="4">
        <v>1.81082307616823E-3</v>
      </c>
      <c r="E3906" s="3" t="s">
        <v>12937</v>
      </c>
      <c r="F3906" s="3" t="s">
        <v>12938</v>
      </c>
      <c r="G3906" s="3">
        <v>70233</v>
      </c>
      <c r="H3906" s="7" t="str">
        <f>HYPERLINK("http://www.ensembl.org/Mus_musculus/Gene/Summary?db=core;g=ENSMUSG00000042502","ENSMUSG00000042502")</f>
        <v>ENSMUSG00000042502</v>
      </c>
      <c r="I3906" s="7" t="str">
        <f>HYPERLINK("http://www.informatics.jax.org/marker/MGI:1917483","MGI:1917483")</f>
        <v>MGI:1917483</v>
      </c>
      <c r="J3906" s="4" t="s">
        <v>12</v>
      </c>
    </row>
    <row r="3907" spans="1:10" x14ac:dyDescent="0.25">
      <c r="A3907" s="2">
        <v>718.562735165802</v>
      </c>
      <c r="B3907" s="3">
        <v>0.215159718406574</v>
      </c>
      <c r="C3907" s="3">
        <v>1.4952618406797501E-3</v>
      </c>
      <c r="D3907" s="4">
        <v>4.3002134312680098E-3</v>
      </c>
      <c r="E3907" s="3" t="s">
        <v>13723</v>
      </c>
      <c r="F3907" s="3" t="s">
        <v>13724</v>
      </c>
      <c r="G3907" s="3">
        <v>75758</v>
      </c>
      <c r="H3907" s="7" t="str">
        <f>HYPERLINK("http://www.ensembl.org/Mus_musculus/Gene/Summary?db=core;g=ENSMUSG00000101892","ENSMUSG00000101892")</f>
        <v>ENSMUSG00000101892</v>
      </c>
      <c r="I3907" s="7" t="str">
        <f>HYPERLINK("http://www.informatics.jax.org/marker/MGI:1923008","MGI:1923008")</f>
        <v>MGI:1923008</v>
      </c>
      <c r="J3907" s="4" t="s">
        <v>12</v>
      </c>
    </row>
    <row r="3908" spans="1:10" x14ac:dyDescent="0.25">
      <c r="A3908" s="2">
        <v>6852.9048356112198</v>
      </c>
      <c r="B3908" s="3">
        <v>0.21494609262896</v>
      </c>
      <c r="C3908" s="3">
        <v>9.8719533785949498E-3</v>
      </c>
      <c r="D3908" s="4">
        <v>2.4595694330498099E-2</v>
      </c>
      <c r="E3908" s="3" t="s">
        <v>15835</v>
      </c>
      <c r="F3908" s="3" t="s">
        <v>15836</v>
      </c>
      <c r="G3908" s="3">
        <v>12331</v>
      </c>
      <c r="H3908" s="7" t="str">
        <f>HYPERLINK("http://www.ensembl.org/Mus_musculus/Gene/Summary?db=core;g=ENSMUSG00000028656","ENSMUSG00000028656")</f>
        <v>ENSMUSG00000028656</v>
      </c>
      <c r="I3908" s="7" t="str">
        <f>HYPERLINK("http://www.informatics.jax.org/marker/MGI:88262","MGI:88262")</f>
        <v>MGI:88262</v>
      </c>
      <c r="J3908" s="4" t="s">
        <v>12</v>
      </c>
    </row>
    <row r="3909" spans="1:10" x14ac:dyDescent="0.25">
      <c r="A3909" s="2">
        <v>1091.34021748954</v>
      </c>
      <c r="B3909" s="3">
        <v>0.21480479179499601</v>
      </c>
      <c r="C3909" s="3">
        <v>2.3213532332263799E-4</v>
      </c>
      <c r="D3909" s="4">
        <v>7.4793942937286895E-4</v>
      </c>
      <c r="E3909" s="3" t="s">
        <v>12249</v>
      </c>
      <c r="F3909" s="3" t="s">
        <v>12250</v>
      </c>
      <c r="G3909" s="3">
        <v>192174</v>
      </c>
      <c r="H3909" s="7" t="str">
        <f>HYPERLINK("http://www.ensembl.org/Mus_musculus/Gene/Summary?db=core;g=ENSMUSG00000031568","ENSMUSG00000031568")</f>
        <v>ENSMUSG00000031568</v>
      </c>
      <c r="I3909" s="7" t="str">
        <f>HYPERLINK("http://www.informatics.jax.org/marker/MGI:2681000","MGI:2681000")</f>
        <v>MGI:2681000</v>
      </c>
      <c r="J3909" s="4" t="s">
        <v>12</v>
      </c>
    </row>
    <row r="3910" spans="1:10" x14ac:dyDescent="0.25">
      <c r="A3910" s="2">
        <v>2172.9586346952801</v>
      </c>
      <c r="B3910" s="3">
        <v>0.21475027981375799</v>
      </c>
      <c r="C3910" s="3">
        <v>1.2238806977240001E-4</v>
      </c>
      <c r="D3910" s="4">
        <v>4.0823625438290599E-4</v>
      </c>
      <c r="E3910" s="3" t="s">
        <v>11835</v>
      </c>
      <c r="F3910" s="3" t="s">
        <v>11836</v>
      </c>
      <c r="G3910" s="3">
        <v>229877</v>
      </c>
      <c r="H3910" s="7" t="str">
        <f>HYPERLINK("http://www.ensembl.org/Mus_musculus/Gene/Summary?db=core;g=ENSMUSG00000028149","ENSMUSG00000028149")</f>
        <v>ENSMUSG00000028149</v>
      </c>
      <c r="I3910" s="7" t="str">
        <f>HYPERLINK("http://www.informatics.jax.org/marker/MGI:2385189","MGI:2385189")</f>
        <v>MGI:2385189</v>
      </c>
      <c r="J3910" s="4" t="s">
        <v>12</v>
      </c>
    </row>
    <row r="3911" spans="1:10" x14ac:dyDescent="0.25">
      <c r="A3911" s="2">
        <v>1290.0927495993801</v>
      </c>
      <c r="B3911" s="3">
        <v>0.21449363271941099</v>
      </c>
      <c r="C3911" s="5">
        <v>6.4296262581499396E-6</v>
      </c>
      <c r="D3911" s="6">
        <v>2.4557859734789202E-5</v>
      </c>
      <c r="E3911" s="3" t="s">
        <v>10340</v>
      </c>
      <c r="F3911" s="3" t="s">
        <v>10341</v>
      </c>
      <c r="G3911" s="3">
        <v>74996</v>
      </c>
      <c r="H3911" s="7" t="str">
        <f>HYPERLINK("http://www.ensembl.org/Mus_musculus/Gene/Summary?db=core;g=ENSMUSG00000059263","ENSMUSG00000059263")</f>
        <v>ENSMUSG00000059263</v>
      </c>
      <c r="I3911" s="7" t="str">
        <f>HYPERLINK("http://www.informatics.jax.org/marker/MGI:1922246","MGI:1922246")</f>
        <v>MGI:1922246</v>
      </c>
      <c r="J3911" s="4" t="s">
        <v>12</v>
      </c>
    </row>
    <row r="3912" spans="1:10" x14ac:dyDescent="0.25">
      <c r="A3912" s="2">
        <v>1497.9211684281699</v>
      </c>
      <c r="B3912" s="3">
        <v>0.21440572062788599</v>
      </c>
      <c r="C3912" s="5">
        <v>9.0641871276237601E-5</v>
      </c>
      <c r="D3912" s="4">
        <v>3.0707055515674398E-4</v>
      </c>
      <c r="E3912" s="3" t="s">
        <v>11653</v>
      </c>
      <c r="F3912" s="3" t="s">
        <v>11654</v>
      </c>
      <c r="G3912" s="3">
        <v>56430</v>
      </c>
      <c r="H3912" s="7" t="str">
        <f>HYPERLINK("http://www.ensembl.org/Mus_musculus/Gene/Summary?db=core;g=ENSMUSG00000049550","ENSMUSG00000049550")</f>
        <v>ENSMUSG00000049550</v>
      </c>
      <c r="I3912" s="7" t="str">
        <f>HYPERLINK("http://www.informatics.jax.org/marker/MGI:1928401","MGI:1928401")</f>
        <v>MGI:1928401</v>
      </c>
      <c r="J3912" s="4" t="s">
        <v>12</v>
      </c>
    </row>
    <row r="3913" spans="1:10" x14ac:dyDescent="0.25">
      <c r="A3913" s="2">
        <v>1338.1599504834001</v>
      </c>
      <c r="B3913" s="3">
        <v>0.21439803195575999</v>
      </c>
      <c r="C3913" s="5">
        <v>3.9273744873036699E-7</v>
      </c>
      <c r="D3913" s="6">
        <v>1.6924786907698499E-6</v>
      </c>
      <c r="E3913" s="3" t="s">
        <v>9167</v>
      </c>
      <c r="F3913" s="3" t="s">
        <v>9168</v>
      </c>
      <c r="G3913" s="3">
        <v>105504</v>
      </c>
      <c r="H3913" s="7" t="str">
        <f>HYPERLINK("http://www.ensembl.org/Mus_musculus/Gene/Summary?db=core;g=ENSMUSG00000061244","ENSMUSG00000061244")</f>
        <v>ENSMUSG00000061244</v>
      </c>
      <c r="I3913" s="7" t="str">
        <f>HYPERLINK("http://www.informatics.jax.org/marker/MGI:2145645","MGI:2145645")</f>
        <v>MGI:2145645</v>
      </c>
      <c r="J3913" s="4" t="s">
        <v>12</v>
      </c>
    </row>
    <row r="3914" spans="1:10" x14ac:dyDescent="0.25">
      <c r="A3914" s="2">
        <v>770.55268271709497</v>
      </c>
      <c r="B3914" s="3">
        <v>0.214378051888369</v>
      </c>
      <c r="C3914" s="3">
        <v>4.4460662234727198E-4</v>
      </c>
      <c r="D3914" s="4">
        <v>1.3757480923722301E-3</v>
      </c>
      <c r="E3914" s="3" t="s">
        <v>12755</v>
      </c>
      <c r="F3914" s="3" t="s">
        <v>12756</v>
      </c>
      <c r="G3914" s="3">
        <v>109108</v>
      </c>
      <c r="H3914" s="7" t="str">
        <f>HYPERLINK("http://www.ensembl.org/Mus_musculus/Gene/Summary?db=core;g=ENSMUSG00000029221","ENSMUSG00000029221")</f>
        <v>ENSMUSG00000029221</v>
      </c>
      <c r="I3914" s="7" t="str">
        <f>HYPERLINK("http://www.informatics.jax.org/marker/MGI:1923690","MGI:1923690")</f>
        <v>MGI:1923690</v>
      </c>
      <c r="J3914" s="4" t="s">
        <v>12</v>
      </c>
    </row>
    <row r="3915" spans="1:10" x14ac:dyDescent="0.25">
      <c r="A3915" s="2">
        <v>1130.99978115822</v>
      </c>
      <c r="B3915" s="3">
        <v>0.214226060856269</v>
      </c>
      <c r="C3915" s="3">
        <v>4.3845656644479402E-3</v>
      </c>
      <c r="D3915" s="4">
        <v>1.1714352378121301E-2</v>
      </c>
      <c r="E3915" s="3" t="s">
        <v>14766</v>
      </c>
      <c r="F3915" s="3" t="s">
        <v>14767</v>
      </c>
      <c r="G3915" s="3">
        <v>52700</v>
      </c>
      <c r="H3915" s="7" t="str">
        <f>HYPERLINK("http://www.ensembl.org/Mus_musculus/Gene/Summary?db=core;g=ENSMUSG00000020803","ENSMUSG00000020803")</f>
        <v>ENSMUSG00000020803</v>
      </c>
      <c r="I3915" s="7" t="str">
        <f>HYPERLINK("http://www.informatics.jax.org/marker/MGI:1289248","MGI:1289248")</f>
        <v>MGI:1289248</v>
      </c>
      <c r="J3915" s="4" t="s">
        <v>12</v>
      </c>
    </row>
    <row r="3916" spans="1:10" x14ac:dyDescent="0.25">
      <c r="A3916" s="2">
        <v>11532.0747084058</v>
      </c>
      <c r="B3916" s="3">
        <v>0.214061811444716</v>
      </c>
      <c r="C3916" s="5">
        <v>3.1048900058138598E-8</v>
      </c>
      <c r="D3916" s="6">
        <v>1.4706155940337399E-7</v>
      </c>
      <c r="E3916" s="3" t="s">
        <v>8343</v>
      </c>
      <c r="F3916" s="3" t="s">
        <v>8344</v>
      </c>
      <c r="G3916" s="3">
        <v>67300</v>
      </c>
      <c r="H3916" s="7" t="str">
        <f>HYPERLINK("http://www.ensembl.org/Mus_musculus/Gene/Summary?db=core;g=ENSMUSG00000047126","ENSMUSG00000047126")</f>
        <v>ENSMUSG00000047126</v>
      </c>
      <c r="I3916" s="7" t="str">
        <f>HYPERLINK("http://www.informatics.jax.org/marker/MGI:2388633","MGI:2388633")</f>
        <v>MGI:2388633</v>
      </c>
      <c r="J3916" s="4" t="s">
        <v>12</v>
      </c>
    </row>
    <row r="3917" spans="1:10" x14ac:dyDescent="0.25">
      <c r="A3917" s="2">
        <v>1555.8245252077099</v>
      </c>
      <c r="B3917" s="3">
        <v>0.21395770602893899</v>
      </c>
      <c r="C3917" s="5">
        <v>1.7522285844992701E-5</v>
      </c>
      <c r="D3917" s="6">
        <v>6.4083730872265503E-5</v>
      </c>
      <c r="E3917" s="3" t="s">
        <v>10796</v>
      </c>
      <c r="F3917" s="3" t="s">
        <v>10797</v>
      </c>
      <c r="G3917" s="3">
        <v>77038</v>
      </c>
      <c r="H3917" s="7" t="str">
        <f>HYPERLINK("http://www.ensembl.org/Mus_musculus/Gene/Summary?db=core;g=ENSMUSG00000027255","ENSMUSG00000027255")</f>
        <v>ENSMUSG00000027255</v>
      </c>
      <c r="I3917" s="7" t="str">
        <f>HYPERLINK("http://www.informatics.jax.org/marker/MGI:1924288","MGI:1924288")</f>
        <v>MGI:1924288</v>
      </c>
      <c r="J3917" s="4" t="s">
        <v>12</v>
      </c>
    </row>
    <row r="3918" spans="1:10" x14ac:dyDescent="0.25">
      <c r="A3918" s="2">
        <v>1860.9403141950299</v>
      </c>
      <c r="B3918" s="3">
        <v>0.21389489543986701</v>
      </c>
      <c r="C3918" s="3">
        <v>1.4528814498594099E-4</v>
      </c>
      <c r="D3918" s="4">
        <v>4.79913269534801E-4</v>
      </c>
      <c r="E3918" s="3" t="s">
        <v>11951</v>
      </c>
      <c r="F3918" s="3" t="s">
        <v>11952</v>
      </c>
      <c r="G3918" s="3">
        <v>68652</v>
      </c>
      <c r="H3918" s="7" t="str">
        <f>HYPERLINK("http://www.ensembl.org/Mus_musculus/Gene/Summary?db=core;g=ENSMUSG00000015755","ENSMUSG00000015755")</f>
        <v>ENSMUSG00000015755</v>
      </c>
      <c r="I3918" s="7" t="str">
        <f>HYPERLINK("http://www.informatics.jax.org/marker/MGI:1915902","MGI:1915902")</f>
        <v>MGI:1915902</v>
      </c>
      <c r="J3918" s="4" t="s">
        <v>12</v>
      </c>
    </row>
    <row r="3919" spans="1:10" x14ac:dyDescent="0.25">
      <c r="A3919" s="2">
        <v>1417.0269188196</v>
      </c>
      <c r="B3919" s="3">
        <v>0.213863432374091</v>
      </c>
      <c r="C3919" s="3">
        <v>1.4272018502155101E-3</v>
      </c>
      <c r="D3919" s="4">
        <v>4.1146813576388797E-3</v>
      </c>
      <c r="E3919" s="3" t="s">
        <v>13689</v>
      </c>
      <c r="F3919" s="3" t="s">
        <v>13690</v>
      </c>
      <c r="G3919" s="3">
        <v>12864</v>
      </c>
      <c r="H3919" s="7" t="str">
        <f>HYPERLINK("http://www.ensembl.org/Mus_musculus/Gene/Summary?db=core;g=ENSMUSG00000014313","ENSMUSG00000014313")</f>
        <v>ENSMUSG00000014313</v>
      </c>
      <c r="I3919" s="7" t="str">
        <f>HYPERLINK("http://www.informatics.jax.org/marker/MGI:104614","MGI:104614")</f>
        <v>MGI:104614</v>
      </c>
      <c r="J3919" s="4" t="s">
        <v>12</v>
      </c>
    </row>
    <row r="3920" spans="1:10" x14ac:dyDescent="0.25">
      <c r="A3920" s="2">
        <v>2797.7541588383101</v>
      </c>
      <c r="B3920" s="3">
        <v>0.21331693535405799</v>
      </c>
      <c r="C3920" s="5">
        <v>1.6285307695339999E-5</v>
      </c>
      <c r="D3920" s="6">
        <v>5.9748142837600801E-5</v>
      </c>
      <c r="E3920" s="3" t="s">
        <v>10762</v>
      </c>
      <c r="F3920" s="3" t="s">
        <v>10763</v>
      </c>
      <c r="G3920" s="3">
        <v>667118</v>
      </c>
      <c r="H3920" s="7" t="str">
        <f>HYPERLINK("http://www.ensembl.org/Mus_musculus/Gene/Summary?db=core;g=ENSMUSG00000094410","ENSMUSG00000094410")</f>
        <v>ENSMUSG00000094410</v>
      </c>
      <c r="I3920" s="7" t="str">
        <f>HYPERLINK("http://www.informatics.jax.org/marker/MGI:5614057","MGI:5614057")</f>
        <v>MGI:5614057</v>
      </c>
      <c r="J3920" s="4" t="s">
        <v>12</v>
      </c>
    </row>
    <row r="3921" spans="1:10" x14ac:dyDescent="0.25">
      <c r="A3921" s="2">
        <v>2043.1562607097701</v>
      </c>
      <c r="B3921" s="3">
        <v>0.21323041194485101</v>
      </c>
      <c r="C3921" s="3">
        <v>8.31782203215445E-4</v>
      </c>
      <c r="D3921" s="4">
        <v>2.4796288809385602E-3</v>
      </c>
      <c r="E3921" s="3" t="s">
        <v>13239</v>
      </c>
      <c r="F3921" s="3" t="s">
        <v>13240</v>
      </c>
      <c r="G3921" s="3">
        <v>194388</v>
      </c>
      <c r="H3921" s="7" t="str">
        <f>HYPERLINK("http://www.ensembl.org/Mus_musculus/Gene/Summary?db=core;g=ENSMUSG00000034832","ENSMUSG00000034832")</f>
        <v>ENSMUSG00000034832</v>
      </c>
      <c r="I3921" s="7" t="str">
        <f>HYPERLINK("http://www.informatics.jax.org/marker/MGI:2446229","MGI:2446229")</f>
        <v>MGI:2446229</v>
      </c>
      <c r="J3921" s="4" t="s">
        <v>12</v>
      </c>
    </row>
    <row r="3922" spans="1:10" x14ac:dyDescent="0.25">
      <c r="A3922" s="2">
        <v>324.05376341089999</v>
      </c>
      <c r="B3922" s="3">
        <v>0.21319385841010599</v>
      </c>
      <c r="C3922" s="3">
        <v>1.52889706046844E-2</v>
      </c>
      <c r="D3922" s="4">
        <v>3.6616286170072398E-2</v>
      </c>
      <c r="E3922" s="3" t="s">
        <v>16471</v>
      </c>
      <c r="F3922" s="3" t="s">
        <v>16472</v>
      </c>
      <c r="G3922" s="3">
        <v>193838</v>
      </c>
      <c r="H3922" s="7" t="str">
        <f>HYPERLINK("http://www.ensembl.org/Mus_musculus/Gene/Summary?db=core;g=ENSMUSG00000073436","ENSMUSG00000073436")</f>
        <v>ENSMUSG00000073436</v>
      </c>
      <c r="I3922" s="7" t="str">
        <f>HYPERLINK("http://www.informatics.jax.org/marker/MGI:1919889","MGI:1919889")</f>
        <v>MGI:1919889</v>
      </c>
      <c r="J3922" s="4" t="s">
        <v>12</v>
      </c>
    </row>
    <row r="3923" spans="1:10" x14ac:dyDescent="0.25">
      <c r="A3923" s="2">
        <v>1350.2281368804099</v>
      </c>
      <c r="B3923" s="3">
        <v>0.21316322024926401</v>
      </c>
      <c r="C3923" s="5">
        <v>2.1566509420046999E-6</v>
      </c>
      <c r="D3923" s="6">
        <v>8.6441375155147705E-6</v>
      </c>
      <c r="E3923" s="3" t="s">
        <v>9855</v>
      </c>
      <c r="F3923" s="3" t="s">
        <v>9856</v>
      </c>
      <c r="G3923" s="3">
        <v>67755</v>
      </c>
      <c r="H3923" s="7" t="str">
        <f>HYPERLINK("http://www.ensembl.org/Mus_musculus/Gene/Summary?db=core;g=ENSMUSG00000030204","ENSMUSG00000030204")</f>
        <v>ENSMUSG00000030204</v>
      </c>
      <c r="I3923" s="7" t="str">
        <f>HYPERLINK("http://www.informatics.jax.org/marker/MGI:1915005","MGI:1915005")</f>
        <v>MGI:1915005</v>
      </c>
      <c r="J3923" s="4" t="s">
        <v>12</v>
      </c>
    </row>
    <row r="3924" spans="1:10" x14ac:dyDescent="0.25">
      <c r="A3924" s="2">
        <v>10657.855488129901</v>
      </c>
      <c r="B3924" s="3">
        <v>0.21255231103449801</v>
      </c>
      <c r="C3924" s="5">
        <v>2.8082387064379801E-5</v>
      </c>
      <c r="D3924" s="4">
        <v>1.0065152179381501E-4</v>
      </c>
      <c r="E3924" s="3" t="s">
        <v>11016</v>
      </c>
      <c r="F3924" s="3" t="s">
        <v>11017</v>
      </c>
      <c r="G3924" s="3">
        <v>20102</v>
      </c>
      <c r="H3924" s="7" t="str">
        <f>HYPERLINK("http://www.ensembl.org/Mus_musculus/Gene/Summary?db=core;g=ENSMUSG00000031320","ENSMUSG00000031320")</f>
        <v>ENSMUSG00000031320</v>
      </c>
      <c r="I3924" s="7" t="str">
        <f>HYPERLINK("http://www.informatics.jax.org/marker/MGI:98158","MGI:98158")</f>
        <v>MGI:98158</v>
      </c>
      <c r="J3924" s="4" t="s">
        <v>12</v>
      </c>
    </row>
    <row r="3925" spans="1:10" x14ac:dyDescent="0.25">
      <c r="A3925" s="2">
        <v>2484.14969618856</v>
      </c>
      <c r="B3925" s="3">
        <v>0.21253586276033601</v>
      </c>
      <c r="C3925" s="5">
        <v>1.9877397994563302E-6</v>
      </c>
      <c r="D3925" s="6">
        <v>7.9931135492004204E-6</v>
      </c>
      <c r="E3925" s="3" t="s">
        <v>9823</v>
      </c>
      <c r="F3925" s="3" t="s">
        <v>9824</v>
      </c>
      <c r="G3925" s="3">
        <v>52513</v>
      </c>
      <c r="H3925" s="7" t="str">
        <f>HYPERLINK("http://www.ensembl.org/Mus_musculus/Gene/Summary?db=core;g=ENSMUSG00000004393","ENSMUSG00000004393")</f>
        <v>ENSMUSG00000004393</v>
      </c>
      <c r="I3925" s="7" t="str">
        <f>HYPERLINK("http://www.informatics.jax.org/marker/MGI:1277172","MGI:1277172")</f>
        <v>MGI:1277172</v>
      </c>
      <c r="J3925" s="4" t="s">
        <v>12</v>
      </c>
    </row>
    <row r="3926" spans="1:10" x14ac:dyDescent="0.25">
      <c r="A3926" s="2">
        <v>1216.48158164706</v>
      </c>
      <c r="B3926" s="3">
        <v>0.212480050114945</v>
      </c>
      <c r="C3926" s="3">
        <v>1.27869443124057E-2</v>
      </c>
      <c r="D3926" s="4">
        <v>3.1136796883686899E-2</v>
      </c>
      <c r="E3926" s="3" t="s">
        <v>16201</v>
      </c>
      <c r="F3926" s="3" t="s">
        <v>16202</v>
      </c>
      <c r="G3926" s="3">
        <v>231798</v>
      </c>
      <c r="H3926" s="7" t="str">
        <f>HYPERLINK("http://www.ensembl.org/Mus_musculus/Gene/Summary?db=core;g=ENSMUSG00000093445","ENSMUSG00000093445")</f>
        <v>ENSMUSG00000093445</v>
      </c>
      <c r="I3926" s="7" t="str">
        <f>HYPERLINK("http://www.informatics.jax.org/marker/MGI:1917193","MGI:1917193")</f>
        <v>MGI:1917193</v>
      </c>
      <c r="J3926" s="4" t="s">
        <v>12</v>
      </c>
    </row>
    <row r="3927" spans="1:10" x14ac:dyDescent="0.25">
      <c r="A3927" s="2">
        <v>803.13362151051001</v>
      </c>
      <c r="B3927" s="3">
        <v>0.21243700939158799</v>
      </c>
      <c r="C3927" s="5">
        <v>7.8752339787305694E-5</v>
      </c>
      <c r="D3927" s="4">
        <v>2.6863797623346598E-4</v>
      </c>
      <c r="E3927" s="3" t="s">
        <v>11573</v>
      </c>
      <c r="F3927" s="3" t="s">
        <v>11574</v>
      </c>
      <c r="G3927" s="3">
        <v>226442</v>
      </c>
      <c r="H3927" s="7" t="str">
        <f>HYPERLINK("http://www.ensembl.org/Mus_musculus/Gene/Summary?db=core;g=ENSMUSG00000041483","ENSMUSG00000041483")</f>
        <v>ENSMUSG00000041483</v>
      </c>
      <c r="I3927" s="7" t="str">
        <f>HYPERLINK("http://www.informatics.jax.org/marker/MGI:3029290","MGI:3029290")</f>
        <v>MGI:3029290</v>
      </c>
      <c r="J3927" s="4" t="s">
        <v>12</v>
      </c>
    </row>
    <row r="3928" spans="1:10" x14ac:dyDescent="0.25">
      <c r="A3928" s="2">
        <v>358.45492699935897</v>
      </c>
      <c r="B3928" s="3">
        <v>0.21220177187721301</v>
      </c>
      <c r="C3928" s="3">
        <v>4.7977652225447403E-3</v>
      </c>
      <c r="D3928" s="4">
        <v>1.2721787036248801E-2</v>
      </c>
      <c r="E3928" s="3" t="s">
        <v>14878</v>
      </c>
      <c r="F3928" s="3" t="s">
        <v>14879</v>
      </c>
      <c r="G3928" s="3">
        <v>234857</v>
      </c>
      <c r="H3928" s="7" t="str">
        <f>HYPERLINK("http://www.ensembl.org/Mus_musculus/Gene/Summary?db=core;g=ENSMUSG00000010154","ENSMUSG00000010154")</f>
        <v>ENSMUSG00000010154</v>
      </c>
      <c r="I3928" s="7" t="str">
        <f>HYPERLINK("http://www.informatics.jax.org/marker/MGI:2446256","MGI:2446256")</f>
        <v>MGI:2446256</v>
      </c>
      <c r="J3928" s="4" t="s">
        <v>12</v>
      </c>
    </row>
    <row r="3929" spans="1:10" x14ac:dyDescent="0.25">
      <c r="A3929" s="2">
        <v>437.517708569511</v>
      </c>
      <c r="B3929" s="3">
        <v>0.21219557055410199</v>
      </c>
      <c r="C3929" s="3">
        <v>3.42018582393198E-3</v>
      </c>
      <c r="D3929" s="4">
        <v>9.2939319895188992E-3</v>
      </c>
      <c r="E3929" s="3" t="s">
        <v>14517</v>
      </c>
      <c r="F3929" s="3" t="s">
        <v>14518</v>
      </c>
      <c r="G3929" s="3">
        <v>23924</v>
      </c>
      <c r="H3929" s="7" t="str">
        <f>HYPERLINK("http://www.ensembl.org/Mus_musculus/Gene/Summary?db=core;g=ENSMUSG00000019794","ENSMUSG00000019794")</f>
        <v>ENSMUSG00000019794</v>
      </c>
      <c r="I3929" s="7" t="str">
        <f>HYPERLINK("http://www.informatics.jax.org/marker/MGI:1344353","MGI:1344353")</f>
        <v>MGI:1344353</v>
      </c>
      <c r="J3929" s="4" t="s">
        <v>12</v>
      </c>
    </row>
    <row r="3930" spans="1:10" x14ac:dyDescent="0.25">
      <c r="A3930" s="2">
        <v>3475.82322589573</v>
      </c>
      <c r="B3930" s="3">
        <v>0.21217119354290501</v>
      </c>
      <c r="C3930" s="3">
        <v>3.05798733907334E-3</v>
      </c>
      <c r="D3930" s="4">
        <v>8.36851378386432E-3</v>
      </c>
      <c r="E3930" s="3" t="s">
        <v>14417</v>
      </c>
      <c r="F3930" s="3" t="s">
        <v>14418</v>
      </c>
      <c r="G3930" s="3">
        <v>20068</v>
      </c>
      <c r="H3930" s="7" t="str">
        <f>HYPERLINK("http://www.ensembl.org/Mus_musculus/Gene/Summary?db=core;g=ENSMUSG00000061787","ENSMUSG00000061787")</f>
        <v>ENSMUSG00000061787</v>
      </c>
      <c r="I3930" s="7" t="str">
        <f>HYPERLINK("http://www.informatics.jax.org/marker/MGI:1309526","MGI:1309526")</f>
        <v>MGI:1309526</v>
      </c>
      <c r="J3930" s="4" t="s">
        <v>12</v>
      </c>
    </row>
    <row r="3931" spans="1:10" x14ac:dyDescent="0.25">
      <c r="A3931" s="2">
        <v>468.92000945007999</v>
      </c>
      <c r="B3931" s="3">
        <v>0.211929203747898</v>
      </c>
      <c r="C3931" s="3">
        <v>8.8307859513939505E-3</v>
      </c>
      <c r="D3931" s="4">
        <v>2.22064650550228E-2</v>
      </c>
      <c r="E3931" s="3" t="s">
        <v>15689</v>
      </c>
      <c r="F3931" s="3" t="s">
        <v>15690</v>
      </c>
      <c r="G3931" s="3">
        <v>11477</v>
      </c>
      <c r="H3931" s="7" t="str">
        <f>HYPERLINK("http://www.ensembl.org/Mus_musculus/Gene/Summary?db=core;g=ENSMUSG00000026836","ENSMUSG00000026836")</f>
        <v>ENSMUSG00000026836</v>
      </c>
      <c r="I3931" s="7" t="str">
        <f>HYPERLINK("http://www.informatics.jax.org/marker/MGI:87911","MGI:87911")</f>
        <v>MGI:87911</v>
      </c>
      <c r="J3931" s="4" t="s">
        <v>12</v>
      </c>
    </row>
    <row r="3932" spans="1:10" x14ac:dyDescent="0.25">
      <c r="A3932" s="2">
        <v>2581.1442001885798</v>
      </c>
      <c r="B3932" s="3">
        <v>0.21170214452097899</v>
      </c>
      <c r="C3932" s="5">
        <v>9.3602873034907694E-8</v>
      </c>
      <c r="D3932" s="6">
        <v>4.25604947255794E-7</v>
      </c>
      <c r="E3932" s="3" t="s">
        <v>8691</v>
      </c>
      <c r="F3932" s="3" t="s">
        <v>8692</v>
      </c>
      <c r="G3932" s="3">
        <v>230721</v>
      </c>
      <c r="H3932" s="7" t="str">
        <f>HYPERLINK("http://www.ensembl.org/Mus_musculus/Gene/Summary?db=core;g=ENSMUSG00000011257","ENSMUSG00000011257")</f>
        <v>ENSMUSG00000011257</v>
      </c>
      <c r="I3932" s="7" t="str">
        <f>HYPERLINK("http://www.informatics.jax.org/marker/MGI:2385206","MGI:2385206")</f>
        <v>MGI:2385206</v>
      </c>
      <c r="J3932" s="4" t="s">
        <v>12</v>
      </c>
    </row>
    <row r="3933" spans="1:10" x14ac:dyDescent="0.25">
      <c r="A3933" s="2">
        <v>5810.1411650672999</v>
      </c>
      <c r="B3933" s="3">
        <v>0.2116607771815</v>
      </c>
      <c r="C3933" s="5">
        <v>5.0242856197668104E-6</v>
      </c>
      <c r="D3933" s="6">
        <v>1.9393014762537E-5</v>
      </c>
      <c r="E3933" s="3" t="s">
        <v>10232</v>
      </c>
      <c r="F3933" s="3" t="s">
        <v>10233</v>
      </c>
      <c r="G3933" s="3">
        <v>11821</v>
      </c>
      <c r="H3933" s="7" t="str">
        <f>HYPERLINK("http://www.ensembl.org/Mus_musculus/Gene/Summary?db=core;g=ENSMUSG00000006589","ENSMUSG00000006589")</f>
        <v>ENSMUSG00000006589</v>
      </c>
      <c r="I3933" s="7" t="str">
        <f>HYPERLINK("http://www.informatics.jax.org/marker/MGI:88061","MGI:88061")</f>
        <v>MGI:88061</v>
      </c>
      <c r="J3933" s="4" t="s">
        <v>12</v>
      </c>
    </row>
    <row r="3934" spans="1:10" x14ac:dyDescent="0.25">
      <c r="A3934" s="2">
        <v>6506.0421794040003</v>
      </c>
      <c r="B3934" s="3">
        <v>0.211608707715957</v>
      </c>
      <c r="C3934" s="5">
        <v>3.0822442027702002E-5</v>
      </c>
      <c r="D3934" s="4">
        <v>1.0991293974435501E-4</v>
      </c>
      <c r="E3934" s="3" t="s">
        <v>11072</v>
      </c>
      <c r="F3934" s="3" t="s">
        <v>11073</v>
      </c>
      <c r="G3934" s="3">
        <v>19988</v>
      </c>
      <c r="H3934" s="7" t="str">
        <f>HYPERLINK("http://www.ensembl.org/Mus_musculus/Gene/Summary?db=core;g=ENSMUSG00000029614","ENSMUSG00000029614")</f>
        <v>ENSMUSG00000029614</v>
      </c>
      <c r="I3934" s="7" t="str">
        <f>HYPERLINK("http://www.informatics.jax.org/marker/MGI:108057","MGI:108057")</f>
        <v>MGI:108057</v>
      </c>
      <c r="J3934" s="4" t="s">
        <v>12</v>
      </c>
    </row>
    <row r="3935" spans="1:10" x14ac:dyDescent="0.25">
      <c r="A3935" s="2">
        <v>6615.6184983643898</v>
      </c>
      <c r="B3935" s="3">
        <v>0.21112481342657899</v>
      </c>
      <c r="C3935" s="3">
        <v>7.7127428936322399E-4</v>
      </c>
      <c r="D3935" s="4">
        <v>2.3135882242535399E-3</v>
      </c>
      <c r="E3935" s="3" t="s">
        <v>13157</v>
      </c>
      <c r="F3935" s="3" t="s">
        <v>13158</v>
      </c>
      <c r="G3935" s="3">
        <v>19384</v>
      </c>
      <c r="H3935" s="7" t="str">
        <f>HYPERLINK("http://www.ensembl.org/Mus_musculus/Gene/Summary?db=core;g=ENSMUSG00000029430","ENSMUSG00000029430")</f>
        <v>ENSMUSG00000029430</v>
      </c>
      <c r="I3935" s="7" t="str">
        <f>HYPERLINK("http://www.informatics.jax.org/marker/MGI:1333112","MGI:1333112")</f>
        <v>MGI:1333112</v>
      </c>
      <c r="J3935" s="4" t="s">
        <v>12</v>
      </c>
    </row>
    <row r="3936" spans="1:10" x14ac:dyDescent="0.25">
      <c r="A3936" s="2">
        <v>551.691332357291</v>
      </c>
      <c r="B3936" s="3">
        <v>0.210863742663743</v>
      </c>
      <c r="C3936" s="3">
        <v>8.2476519787748996E-3</v>
      </c>
      <c r="D3936" s="4">
        <v>2.0830391524262401E-2</v>
      </c>
      <c r="E3936" s="3" t="s">
        <v>15621</v>
      </c>
      <c r="F3936" s="3" t="s">
        <v>15622</v>
      </c>
      <c r="G3936" s="3">
        <v>66320</v>
      </c>
      <c r="H3936" s="7" t="str">
        <f>HYPERLINK("http://www.ensembl.org/Mus_musculus/Gene/Summary?db=core;g=ENSMUSG00000014856","ENSMUSG00000014856")</f>
        <v>ENSMUSG00000014856</v>
      </c>
      <c r="I3936" s="7" t="str">
        <f>HYPERLINK("http://www.informatics.jax.org/marker/MGI:1913570","MGI:1913570")</f>
        <v>MGI:1913570</v>
      </c>
      <c r="J3936" s="4" t="s">
        <v>12</v>
      </c>
    </row>
    <row r="3937" spans="1:10" x14ac:dyDescent="0.25">
      <c r="A3937" s="2">
        <v>420.39544090539101</v>
      </c>
      <c r="B3937" s="3">
        <v>0.21075502370829699</v>
      </c>
      <c r="C3937" s="3">
        <v>7.5740474002449704E-3</v>
      </c>
      <c r="D3937" s="4">
        <v>1.9283534210957399E-2</v>
      </c>
      <c r="E3937" s="3" t="s">
        <v>15497</v>
      </c>
      <c r="F3937" s="3" t="s">
        <v>15498</v>
      </c>
      <c r="G3937" s="3">
        <v>76800</v>
      </c>
      <c r="H3937" s="7" t="str">
        <f>HYPERLINK("http://www.ensembl.org/Mus_musculus/Gene/Summary?db=core;g=ENSMUSG00000051306","ENSMUSG00000051306")</f>
        <v>ENSMUSG00000051306</v>
      </c>
      <c r="I3937" s="7" t="str">
        <f>HYPERLINK("http://www.informatics.jax.org/marker/MGI:1924050","MGI:1924050")</f>
        <v>MGI:1924050</v>
      </c>
      <c r="J3937" s="4" t="s">
        <v>12</v>
      </c>
    </row>
    <row r="3938" spans="1:10" x14ac:dyDescent="0.25">
      <c r="A3938" s="2">
        <v>3384.4743326726202</v>
      </c>
      <c r="B3938" s="3">
        <v>0.210642980550934</v>
      </c>
      <c r="C3938" s="3">
        <v>4.33647694111659E-4</v>
      </c>
      <c r="D3938" s="4">
        <v>1.3447920314329201E-3</v>
      </c>
      <c r="E3938" s="3" t="s">
        <v>12729</v>
      </c>
      <c r="F3938" s="3" t="s">
        <v>12730</v>
      </c>
      <c r="G3938" s="3">
        <v>20017</v>
      </c>
      <c r="H3938" s="7" t="str">
        <f>HYPERLINK("http://www.ensembl.org/Mus_musculus/Gene/Summary?db=core;g=ENSMUSG00000027395","ENSMUSG00000027395")</f>
        <v>ENSMUSG00000027395</v>
      </c>
      <c r="I3938" s="7" t="str">
        <f>HYPERLINK("http://www.informatics.jax.org/marker/MGI:108014","MGI:108014")</f>
        <v>MGI:108014</v>
      </c>
      <c r="J3938" s="4" t="s">
        <v>12</v>
      </c>
    </row>
    <row r="3939" spans="1:10" x14ac:dyDescent="0.25">
      <c r="A3939" s="2">
        <v>5295.0131824455802</v>
      </c>
      <c r="B3939" s="3">
        <v>0.21033325619812099</v>
      </c>
      <c r="C3939" s="3">
        <v>2.08352242849448E-2</v>
      </c>
      <c r="D3939" s="4">
        <v>4.8411761859209597E-2</v>
      </c>
      <c r="E3939" s="3" t="s">
        <v>16978</v>
      </c>
      <c r="F3939" s="3" t="s">
        <v>16979</v>
      </c>
      <c r="G3939" s="3">
        <v>67025</v>
      </c>
      <c r="H3939" s="7" t="str">
        <f>HYPERLINK("http://www.ensembl.org/Mus_musculus/Gene/Summary?db=core;g=ENSMUSG00000059291","ENSMUSG00000059291")</f>
        <v>ENSMUSG00000059291</v>
      </c>
      <c r="I3939" s="7" t="str">
        <f>HYPERLINK("http://www.informatics.jax.org/marker/MGI:1914275","MGI:1914275")</f>
        <v>MGI:1914275</v>
      </c>
      <c r="J3939" s="4" t="s">
        <v>12</v>
      </c>
    </row>
    <row r="3940" spans="1:10" x14ac:dyDescent="0.25">
      <c r="A3940" s="2">
        <v>3305.7300210876101</v>
      </c>
      <c r="B3940" s="3">
        <v>0.21030458877993999</v>
      </c>
      <c r="C3940" s="5">
        <v>3.8377479730780902E-8</v>
      </c>
      <c r="D3940" s="6">
        <v>1.8006278855365201E-7</v>
      </c>
      <c r="E3940" s="3" t="s">
        <v>8423</v>
      </c>
      <c r="F3940" s="3" t="s">
        <v>8424</v>
      </c>
      <c r="G3940" s="3">
        <v>11848</v>
      </c>
      <c r="H3940" s="7" t="str">
        <f>HYPERLINK("http://www.ensembl.org/Mus_musculus/Gene/Summary?db=core;g=ENSMUSG00000007815","ENSMUSG00000007815")</f>
        <v>ENSMUSG00000007815</v>
      </c>
      <c r="I3940" s="7" t="str">
        <f>HYPERLINK("http://www.informatics.jax.org/marker/MGI:1096342","MGI:1096342")</f>
        <v>MGI:1096342</v>
      </c>
      <c r="J3940" s="4" t="s">
        <v>12</v>
      </c>
    </row>
    <row r="3941" spans="1:10" x14ac:dyDescent="0.25">
      <c r="A3941" s="2">
        <v>4875.9707601135296</v>
      </c>
      <c r="B3941" s="3">
        <v>0.210287342915118</v>
      </c>
      <c r="C3941" s="3">
        <v>4.0355342612369603E-4</v>
      </c>
      <c r="D3941" s="4">
        <v>1.2566040680813699E-3</v>
      </c>
      <c r="E3941" s="3" t="s">
        <v>12679</v>
      </c>
      <c r="F3941" s="3" t="s">
        <v>12680</v>
      </c>
      <c r="G3941" s="3">
        <v>14254</v>
      </c>
      <c r="H3941" s="7" t="str">
        <f>HYPERLINK("http://www.ensembl.org/Mus_musculus/Gene/Summary?db=core;g=ENSMUSG00000029648","ENSMUSG00000029648")</f>
        <v>ENSMUSG00000029648</v>
      </c>
      <c r="I3941" s="7" t="str">
        <f>HYPERLINK("http://www.informatics.jax.org/marker/MGI:95558","MGI:95558")</f>
        <v>MGI:95558</v>
      </c>
      <c r="J3941" s="4" t="s">
        <v>12</v>
      </c>
    </row>
    <row r="3942" spans="1:10" x14ac:dyDescent="0.25">
      <c r="A3942" s="2">
        <v>5649.5709175742104</v>
      </c>
      <c r="B3942" s="3">
        <v>0.210251773565196</v>
      </c>
      <c r="C3942" s="5">
        <v>2.0862706049283399E-10</v>
      </c>
      <c r="D3942" s="6">
        <v>1.1818803886580601E-9</v>
      </c>
      <c r="E3942" s="3" t="s">
        <v>6980</v>
      </c>
      <c r="F3942" s="3" t="s">
        <v>6981</v>
      </c>
      <c r="G3942" s="3">
        <v>108147</v>
      </c>
      <c r="H3942" s="7" t="str">
        <f>HYPERLINK("http://www.ensembl.org/Mus_musculus/Gene/Summary?db=core;g=ENSMUSG00000026192","ENSMUSG00000026192")</f>
        <v>ENSMUSG00000026192</v>
      </c>
      <c r="I3942" s="7" t="str">
        <f>HYPERLINK("http://www.informatics.jax.org/marker/MGI:1351352","MGI:1351352")</f>
        <v>MGI:1351352</v>
      </c>
      <c r="J3942" s="4" t="s">
        <v>12</v>
      </c>
    </row>
    <row r="3943" spans="1:10" x14ac:dyDescent="0.25">
      <c r="A3943" s="2">
        <v>1672.9107280020901</v>
      </c>
      <c r="B3943" s="3">
        <v>0.21009791644142001</v>
      </c>
      <c r="C3943" s="3">
        <v>6.1392338744497297E-4</v>
      </c>
      <c r="D3943" s="4">
        <v>1.8668572398480899E-3</v>
      </c>
      <c r="E3943" s="3" t="s">
        <v>12979</v>
      </c>
      <c r="F3943" s="3" t="s">
        <v>12980</v>
      </c>
      <c r="G3943" s="3">
        <v>226144</v>
      </c>
      <c r="H3943" s="7" t="str">
        <f>HYPERLINK("http://www.ensembl.org/Mus_musculus/Gene/Summary?db=core;g=ENSMUSG00000025198","ENSMUSG00000025198")</f>
        <v>ENSMUSG00000025198</v>
      </c>
      <c r="I3943" s="7" t="str">
        <f>HYPERLINK("http://www.informatics.jax.org/marker/MGI:2387613","MGI:2387613")</f>
        <v>MGI:2387613</v>
      </c>
      <c r="J3943" s="4" t="s">
        <v>12</v>
      </c>
    </row>
    <row r="3944" spans="1:10" x14ac:dyDescent="0.25">
      <c r="A3944" s="2">
        <v>4795.3344532239798</v>
      </c>
      <c r="B3944" s="3">
        <v>0.21002328960497399</v>
      </c>
      <c r="C3944" s="5">
        <v>6.40389024664451E-9</v>
      </c>
      <c r="D3944" s="6">
        <v>3.2264873700518602E-8</v>
      </c>
      <c r="E3944" s="3" t="s">
        <v>7844</v>
      </c>
      <c r="F3944" s="3" t="s">
        <v>7845</v>
      </c>
      <c r="G3944" s="3">
        <v>19349</v>
      </c>
      <c r="H3944" s="7" t="str">
        <f>HYPERLINK("http://www.ensembl.org/Mus_musculus/Gene/Summary?db=core;g=ENSMUSG00000079477","ENSMUSG00000079477")</f>
        <v>ENSMUSG00000079477</v>
      </c>
      <c r="I3944" s="7" t="str">
        <f>HYPERLINK("http://www.informatics.jax.org/marker/MGI:105068","MGI:105068")</f>
        <v>MGI:105068</v>
      </c>
      <c r="J3944" s="4" t="s">
        <v>12</v>
      </c>
    </row>
    <row r="3945" spans="1:10" x14ac:dyDescent="0.25">
      <c r="A3945" s="2">
        <v>7463.9041843498198</v>
      </c>
      <c r="B3945" s="3">
        <v>0.20971705882705299</v>
      </c>
      <c r="C3945" s="5">
        <v>2.7668694525432401E-5</v>
      </c>
      <c r="D3945" s="6">
        <v>9.9240934165428801E-5</v>
      </c>
      <c r="E3945" s="3" t="s">
        <v>11008</v>
      </c>
      <c r="F3945" s="3" t="s">
        <v>11009</v>
      </c>
      <c r="G3945" s="3">
        <v>20382</v>
      </c>
      <c r="H3945" s="7" t="str">
        <f>HYPERLINK("http://www.ensembl.org/Mus_musculus/Gene/Summary?db=core;g=ENSMUSG00000034120","ENSMUSG00000034120")</f>
        <v>ENSMUSG00000034120</v>
      </c>
      <c r="I3945" s="7" t="str">
        <f>HYPERLINK("http://www.informatics.jax.org/marker/MGI:98284","MGI:98284")</f>
        <v>MGI:98284</v>
      </c>
      <c r="J3945" s="4" t="s">
        <v>12</v>
      </c>
    </row>
    <row r="3946" spans="1:10" x14ac:dyDescent="0.25">
      <c r="A3946" s="2">
        <v>785.87224523888995</v>
      </c>
      <c r="B3946" s="3">
        <v>0.20970674533300199</v>
      </c>
      <c r="C3946" s="3">
        <v>2.6239814964616501E-3</v>
      </c>
      <c r="D3946" s="4">
        <v>7.2685651229419503E-3</v>
      </c>
      <c r="E3946" s="3" t="s">
        <v>14245</v>
      </c>
      <c r="F3946" s="3" t="s">
        <v>14246</v>
      </c>
      <c r="G3946" s="3">
        <v>20603</v>
      </c>
      <c r="H3946" s="7" t="str">
        <f>HYPERLINK("http://www.ensembl.org/Mus_musculus/Gene/Summary?db=core;g=ENSMUSG00000071708","ENSMUSG00000071708")</f>
        <v>ENSMUSG00000071708</v>
      </c>
      <c r="I3946" s="7" t="str">
        <f>HYPERLINK("http://www.informatics.jax.org/marker/MGI:109490","MGI:109490")</f>
        <v>MGI:109490</v>
      </c>
      <c r="J3946" s="4" t="s">
        <v>12</v>
      </c>
    </row>
    <row r="3947" spans="1:10" x14ac:dyDescent="0.25">
      <c r="A3947" s="2">
        <v>559.988620652338</v>
      </c>
      <c r="B3947" s="3">
        <v>0.20966411383859099</v>
      </c>
      <c r="C3947" s="3">
        <v>7.3451221769106102E-3</v>
      </c>
      <c r="D3947" s="4">
        <v>1.8750428319181198E-2</v>
      </c>
      <c r="E3947" s="3" t="s">
        <v>15455</v>
      </c>
      <c r="F3947" s="3" t="s">
        <v>15456</v>
      </c>
      <c r="G3947" s="3">
        <v>66520</v>
      </c>
      <c r="H3947" s="7" t="str">
        <f>HYPERLINK("http://www.ensembl.org/Mus_musculus/Gene/Summary?db=core;g=ENSMUSG00000052419","ENSMUSG00000052419")</f>
        <v>ENSMUSG00000052419</v>
      </c>
      <c r="I3947" s="7" t="str">
        <f>HYPERLINK("http://www.informatics.jax.org/marker/MGI:1913770","MGI:1913770")</f>
        <v>MGI:1913770</v>
      </c>
      <c r="J3947" s="4" t="s">
        <v>12</v>
      </c>
    </row>
    <row r="3948" spans="1:10" x14ac:dyDescent="0.25">
      <c r="A3948" s="2">
        <v>758.71629894475302</v>
      </c>
      <c r="B3948" s="3">
        <v>0.209562644288909</v>
      </c>
      <c r="C3948" s="3">
        <v>1.7304692953322E-3</v>
      </c>
      <c r="D3948" s="4">
        <v>4.9349030374477203E-3</v>
      </c>
      <c r="E3948" s="3" t="s">
        <v>13837</v>
      </c>
      <c r="F3948" s="3" t="s">
        <v>13838</v>
      </c>
      <c r="G3948" s="3">
        <v>224807</v>
      </c>
      <c r="H3948" s="7" t="str">
        <f>HYPERLINK("http://www.ensembl.org/Mus_musculus/Gene/Summary?db=core;g=ENSMUSG00000036026","ENSMUSG00000036026")</f>
        <v>ENSMUSG00000036026</v>
      </c>
      <c r="I3948" s="7" t="str">
        <f>HYPERLINK("http://www.informatics.jax.org/marker/MGI:2387609","MGI:2387609")</f>
        <v>MGI:2387609</v>
      </c>
      <c r="J3948" s="4" t="s">
        <v>12</v>
      </c>
    </row>
    <row r="3949" spans="1:10" x14ac:dyDescent="0.25">
      <c r="A3949" s="2">
        <v>3450.9134667056201</v>
      </c>
      <c r="B3949" s="3">
        <v>0.208928042261664</v>
      </c>
      <c r="C3949" s="3">
        <v>1.43048082244781E-4</v>
      </c>
      <c r="D3949" s="4">
        <v>4.7310906905373299E-4</v>
      </c>
      <c r="E3949" s="3" t="s">
        <v>11935</v>
      </c>
      <c r="F3949" s="3" t="s">
        <v>11936</v>
      </c>
      <c r="G3949" s="3">
        <v>26451</v>
      </c>
      <c r="H3949" s="7" t="str">
        <f>HYPERLINK("http://www.ensembl.org/Mus_musculus/Gene/Summary?db=core;g=ENSMUSG00000046364","ENSMUSG00000046364")</f>
        <v>ENSMUSG00000046364</v>
      </c>
      <c r="I3949" s="7" t="str">
        <f>HYPERLINK("http://www.informatics.jax.org/marker/MGI:1347076","MGI:1347076")</f>
        <v>MGI:1347076</v>
      </c>
      <c r="J3949" s="4" t="s">
        <v>12</v>
      </c>
    </row>
    <row r="3950" spans="1:10" x14ac:dyDescent="0.25">
      <c r="A3950" s="2">
        <v>1039.8444506314199</v>
      </c>
      <c r="B3950" s="3">
        <v>0.208818010765318</v>
      </c>
      <c r="C3950" s="5">
        <v>3.9157155152621102E-5</v>
      </c>
      <c r="D3950" s="4">
        <v>1.3796303369835401E-4</v>
      </c>
      <c r="E3950" s="3" t="s">
        <v>11205</v>
      </c>
      <c r="F3950" s="3" t="s">
        <v>11206</v>
      </c>
      <c r="G3950" s="3">
        <v>108707</v>
      </c>
      <c r="H3950" s="7" t="str">
        <f>HYPERLINK("http://www.ensembl.org/Mus_musculus/Gene/Summary?db=core;g=ENSMUSG00000032977","ENSMUSG00000032977")</f>
        <v>ENSMUSG00000032977</v>
      </c>
      <c r="I3950" s="7" t="str">
        <f>HYPERLINK("http://www.informatics.jax.org/marker/MGI:1916334","MGI:1916334")</f>
        <v>MGI:1916334</v>
      </c>
      <c r="J3950" s="4" t="s">
        <v>12</v>
      </c>
    </row>
    <row r="3951" spans="1:10" x14ac:dyDescent="0.25">
      <c r="A3951" s="2">
        <v>4086.42592686424</v>
      </c>
      <c r="B3951" s="3">
        <v>0.20856629676875299</v>
      </c>
      <c r="C3951" s="3">
        <v>2.8774457430255601E-3</v>
      </c>
      <c r="D3951" s="4">
        <v>7.9150830035519606E-3</v>
      </c>
      <c r="E3951" s="3" t="s">
        <v>14343</v>
      </c>
      <c r="F3951" s="3" t="s">
        <v>14344</v>
      </c>
      <c r="G3951" s="3">
        <v>75612</v>
      </c>
      <c r="H3951" s="7" t="str">
        <f>HYPERLINK("http://www.ensembl.org/Mus_musculus/Gene/Summary?db=core;g=ENSMUSG00000034707","ENSMUSG00000034707")</f>
        <v>ENSMUSG00000034707</v>
      </c>
      <c r="I3951" s="7" t="str">
        <f>HYPERLINK("http://www.informatics.jax.org/marker/MGI:1922862","MGI:1922862")</f>
        <v>MGI:1922862</v>
      </c>
      <c r="J3951" s="4" t="s">
        <v>12</v>
      </c>
    </row>
    <row r="3952" spans="1:10" x14ac:dyDescent="0.25">
      <c r="A3952" s="2">
        <v>260.44260815827698</v>
      </c>
      <c r="B3952" s="3">
        <v>0.20845541641290799</v>
      </c>
      <c r="C3952" s="3">
        <v>9.7736659224683595E-3</v>
      </c>
      <c r="D3952" s="4">
        <v>2.4381618215189901E-2</v>
      </c>
      <c r="E3952" s="3" t="s">
        <v>15815</v>
      </c>
      <c r="F3952" s="3" t="s">
        <v>15816</v>
      </c>
      <c r="G3952" s="3">
        <v>74098</v>
      </c>
      <c r="H3952" s="7" t="str">
        <f>HYPERLINK("http://www.ensembl.org/Mus_musculus/Gene/Summary?db=core;g=ENSMUSG00000028608","ENSMUSG00000028608")</f>
        <v>ENSMUSG00000028608</v>
      </c>
      <c r="I3952" s="7" t="str">
        <f>HYPERLINK("http://www.informatics.jax.org/marker/MGI:1921348","MGI:1921348")</f>
        <v>MGI:1921348</v>
      </c>
      <c r="J3952" s="4" t="s">
        <v>12</v>
      </c>
    </row>
    <row r="3953" spans="1:10" x14ac:dyDescent="0.25">
      <c r="A3953" s="2">
        <v>1895.4373343212701</v>
      </c>
      <c r="B3953" s="3">
        <v>0.20844262053608201</v>
      </c>
      <c r="C3953" s="5">
        <v>4.1852274521869099E-6</v>
      </c>
      <c r="D3953" s="6">
        <v>1.6278636165113602E-5</v>
      </c>
      <c r="E3953" s="3" t="s">
        <v>10154</v>
      </c>
      <c r="F3953" s="3" t="s">
        <v>10155</v>
      </c>
      <c r="G3953" s="3">
        <v>16978</v>
      </c>
      <c r="H3953" s="7" t="str">
        <f>HYPERLINK("http://www.ensembl.org/Mus_musculus/Gene/Summary?db=core;g=ENSMUSG00000026305","ENSMUSG00000026305")</f>
        <v>ENSMUSG00000026305</v>
      </c>
      <c r="I3953" s="7" t="str">
        <f>HYPERLINK("http://www.informatics.jax.org/marker/MGI:1342770","MGI:1342770")</f>
        <v>MGI:1342770</v>
      </c>
      <c r="J3953" s="4" t="s">
        <v>12</v>
      </c>
    </row>
    <row r="3954" spans="1:10" x14ac:dyDescent="0.25">
      <c r="A3954" s="2">
        <v>2891.7444619784801</v>
      </c>
      <c r="B3954" s="3">
        <v>0.20824421399832399</v>
      </c>
      <c r="C3954" s="5">
        <v>6.4237012031788597E-7</v>
      </c>
      <c r="D3954" s="6">
        <v>2.7142787170920701E-6</v>
      </c>
      <c r="E3954" s="3" t="s">
        <v>9349</v>
      </c>
      <c r="F3954" s="3" t="s">
        <v>9350</v>
      </c>
      <c r="G3954" s="3">
        <v>245474</v>
      </c>
      <c r="H3954" s="7" t="str">
        <f>HYPERLINK("http://www.ensembl.org/Mus_musculus/Gene/Summary?db=core;g=ENSMUSG00000031403","ENSMUSG00000031403")</f>
        <v>ENSMUSG00000031403</v>
      </c>
      <c r="I3954" s="7" t="str">
        <f>HYPERLINK("http://www.informatics.jax.org/marker/MGI:1861727","MGI:1861727")</f>
        <v>MGI:1861727</v>
      </c>
      <c r="J3954" s="4" t="s">
        <v>12</v>
      </c>
    </row>
    <row r="3955" spans="1:10" x14ac:dyDescent="0.25">
      <c r="A3955" s="2">
        <v>1319.0123381528099</v>
      </c>
      <c r="B3955" s="3">
        <v>0.208117391658736</v>
      </c>
      <c r="C3955" s="3">
        <v>2.9427328961030802E-3</v>
      </c>
      <c r="D3955" s="4">
        <v>8.0750200911610601E-3</v>
      </c>
      <c r="E3955" s="3" t="s">
        <v>14377</v>
      </c>
      <c r="F3955" s="3" t="s">
        <v>14378</v>
      </c>
      <c r="G3955" s="3">
        <v>230709</v>
      </c>
      <c r="H3955" s="7" t="str">
        <f>HYPERLINK("http://www.ensembl.org/Mus_musculus/Gene/Summary?db=core;g=ENSMUSG00000043207","ENSMUSG00000043207")</f>
        <v>ENSMUSG00000043207</v>
      </c>
      <c r="I3955" s="7" t="str">
        <f>HYPERLINK("http://www.informatics.jax.org/marker/MGI:1890508","MGI:1890508")</f>
        <v>MGI:1890508</v>
      </c>
      <c r="J3955" s="4" t="s">
        <v>12</v>
      </c>
    </row>
    <row r="3956" spans="1:10" x14ac:dyDescent="0.25">
      <c r="A3956" s="2">
        <v>675.66464256228096</v>
      </c>
      <c r="B3956" s="3">
        <v>0.20792355835363599</v>
      </c>
      <c r="C3956" s="3">
        <v>2.5791763993077998E-3</v>
      </c>
      <c r="D3956" s="4">
        <v>7.1545025452735599E-3</v>
      </c>
      <c r="E3956" s="3" t="s">
        <v>14225</v>
      </c>
      <c r="F3956" s="3" t="s">
        <v>14226</v>
      </c>
      <c r="G3956" s="3">
        <v>74569</v>
      </c>
      <c r="H3956" s="7" t="str">
        <f>HYPERLINK("http://www.ensembl.org/Mus_musculus/Gene/Summary?db=core;g=ENSMUSG00000027194","ENSMUSG00000027194")</f>
        <v>ENSMUSG00000027194</v>
      </c>
      <c r="I3956" s="7" t="str">
        <f>HYPERLINK("http://www.informatics.jax.org/marker/MGI:1921819","MGI:1921819")</f>
        <v>MGI:1921819</v>
      </c>
      <c r="J3956" s="4" t="s">
        <v>12</v>
      </c>
    </row>
    <row r="3957" spans="1:10" x14ac:dyDescent="0.25">
      <c r="A3957" s="2">
        <v>1007.13242392124</v>
      </c>
      <c r="B3957" s="3">
        <v>0.207881502610404</v>
      </c>
      <c r="C3957" s="3">
        <v>1.39003706774644E-3</v>
      </c>
      <c r="D3957" s="4">
        <v>4.0151649298315103E-3</v>
      </c>
      <c r="E3957" s="3" t="s">
        <v>13663</v>
      </c>
      <c r="F3957" s="3" t="s">
        <v>13664</v>
      </c>
      <c r="G3957" s="3">
        <v>22194</v>
      </c>
      <c r="H3957" s="7" t="str">
        <f>HYPERLINK("http://www.ensembl.org/Mus_musculus/Gene/Summary?db=core;g=ENSMUSG00000021774","ENSMUSG00000021774")</f>
        <v>ENSMUSG00000021774</v>
      </c>
      <c r="I3957" s="7" t="str">
        <f>HYPERLINK("http://www.informatics.jax.org/marker/MGI:107411","MGI:107411")</f>
        <v>MGI:107411</v>
      </c>
      <c r="J3957" s="4" t="s">
        <v>12</v>
      </c>
    </row>
    <row r="3958" spans="1:10" x14ac:dyDescent="0.25">
      <c r="A3958" s="2">
        <v>606.77721483981702</v>
      </c>
      <c r="B3958" s="3">
        <v>0.20776269714867401</v>
      </c>
      <c r="C3958" s="3">
        <v>5.5528756141132504E-3</v>
      </c>
      <c r="D3958" s="4">
        <v>1.4555948080278E-2</v>
      </c>
      <c r="E3958" s="3" t="s">
        <v>15050</v>
      </c>
      <c r="F3958" s="3" t="s">
        <v>15051</v>
      </c>
      <c r="G3958" s="3">
        <v>67728</v>
      </c>
      <c r="H3958" s="7" t="str">
        <f>HYPERLINK("http://www.ensembl.org/Mus_musculus/Gene/Summary?db=core;g=ENSMUSG00000028540","ENSMUSG00000028540")</f>
        <v>ENSMUSG00000028540</v>
      </c>
      <c r="I3958" s="7" t="str">
        <f>HYPERLINK("http://www.informatics.jax.org/marker/MGI:1914978","MGI:1914978")</f>
        <v>MGI:1914978</v>
      </c>
      <c r="J3958" s="4" t="s">
        <v>12</v>
      </c>
    </row>
    <row r="3959" spans="1:10" x14ac:dyDescent="0.25">
      <c r="A3959" s="2">
        <v>318.73523249953598</v>
      </c>
      <c r="B3959" s="3">
        <v>0.20752642841111199</v>
      </c>
      <c r="C3959" s="3">
        <v>4.6916028786904897E-3</v>
      </c>
      <c r="D3959" s="4">
        <v>1.24570363225766E-2</v>
      </c>
      <c r="E3959" s="3" t="s">
        <v>14858</v>
      </c>
      <c r="F3959" s="3" t="s">
        <v>14859</v>
      </c>
      <c r="G3959" s="3">
        <v>320150</v>
      </c>
      <c r="H3959" s="7" t="str">
        <f>HYPERLINK("http://www.ensembl.org/Mus_musculus/Gene/Summary?db=core;g=ENSMUSG00000035798","ENSMUSG00000035798")</f>
        <v>ENSMUSG00000035798</v>
      </c>
      <c r="I3959" s="7" t="str">
        <f>HYPERLINK("http://www.informatics.jax.org/marker/MGI:2445110","MGI:2445110")</f>
        <v>MGI:2445110</v>
      </c>
      <c r="J3959" s="4" t="s">
        <v>12</v>
      </c>
    </row>
    <row r="3960" spans="1:10" x14ac:dyDescent="0.25">
      <c r="A3960" s="2">
        <v>541.08211475622602</v>
      </c>
      <c r="B3960" s="3">
        <v>0.20729653270370901</v>
      </c>
      <c r="C3960" s="3">
        <v>2.3485719069032702E-3</v>
      </c>
      <c r="D3960" s="4">
        <v>6.5572473459057697E-3</v>
      </c>
      <c r="E3960" s="3" t="s">
        <v>14133</v>
      </c>
      <c r="F3960" s="3" t="s">
        <v>14134</v>
      </c>
      <c r="G3960" s="3">
        <v>66521</v>
      </c>
      <c r="H3960" s="7" t="str">
        <f>HYPERLINK("http://www.ensembl.org/Mus_musculus/Gene/Summary?db=core;g=ENSMUSG00000019782","ENSMUSG00000019782")</f>
        <v>ENSMUSG00000019782</v>
      </c>
      <c r="I3960" s="7" t="str">
        <f>HYPERLINK("http://www.informatics.jax.org/marker/MGI:1913771","MGI:1913771")</f>
        <v>MGI:1913771</v>
      </c>
      <c r="J3960" s="4" t="s">
        <v>12</v>
      </c>
    </row>
    <row r="3961" spans="1:10" x14ac:dyDescent="0.25">
      <c r="A3961" s="2">
        <v>1671.32364338857</v>
      </c>
      <c r="B3961" s="3">
        <v>0.20709672237051299</v>
      </c>
      <c r="C3961" s="3">
        <v>1.55047439826109E-2</v>
      </c>
      <c r="D3961" s="4">
        <v>3.7079014229576303E-2</v>
      </c>
      <c r="E3961" s="3" t="s">
        <v>16495</v>
      </c>
      <c r="F3961" s="3" t="s">
        <v>16496</v>
      </c>
      <c r="G3961" s="3">
        <v>67979</v>
      </c>
      <c r="H3961" s="7" t="str">
        <f>HYPERLINK("http://www.ensembl.org/Mus_musculus/Gene/Summary?db=core;g=ENSMUSG00000013662","ENSMUSG00000013662")</f>
        <v>ENSMUSG00000013662</v>
      </c>
      <c r="I3961" s="7" t="str">
        <f>HYPERLINK("http://www.informatics.jax.org/marker/MGI:1915229","MGI:1915229")</f>
        <v>MGI:1915229</v>
      </c>
      <c r="J3961" s="4" t="s">
        <v>12</v>
      </c>
    </row>
    <row r="3962" spans="1:10" x14ac:dyDescent="0.25">
      <c r="A3962" s="2">
        <v>851.21590527552598</v>
      </c>
      <c r="B3962" s="3">
        <v>0.206848444400062</v>
      </c>
      <c r="C3962" s="3">
        <v>6.1191617174963997E-3</v>
      </c>
      <c r="D3962" s="4">
        <v>1.5877614351188001E-2</v>
      </c>
      <c r="E3962" s="3" t="s">
        <v>15205</v>
      </c>
      <c r="F3962" s="3" t="s">
        <v>15206</v>
      </c>
      <c r="G3962" s="3">
        <v>77264</v>
      </c>
      <c r="H3962" s="7" t="str">
        <f>HYPERLINK("http://www.ensembl.org/Mus_musculus/Gene/Summary?db=core;g=ENSMUSG00000026135","ENSMUSG00000026135")</f>
        <v>ENSMUSG00000026135</v>
      </c>
      <c r="I3962" s="7" t="str">
        <f>HYPERLINK("http://www.informatics.jax.org/marker/MGI:1924514","MGI:1924514")</f>
        <v>MGI:1924514</v>
      </c>
      <c r="J3962" s="4" t="s">
        <v>12</v>
      </c>
    </row>
    <row r="3963" spans="1:10" x14ac:dyDescent="0.25">
      <c r="A3963" s="2">
        <v>742.38620669970203</v>
      </c>
      <c r="B3963" s="3">
        <v>0.20673692489131301</v>
      </c>
      <c r="C3963" s="3">
        <v>7.5322595319373504E-4</v>
      </c>
      <c r="D3963" s="4">
        <v>2.2622016139172202E-3</v>
      </c>
      <c r="E3963" s="3" t="s">
        <v>13141</v>
      </c>
      <c r="F3963" s="3" t="s">
        <v>13142</v>
      </c>
      <c r="G3963" s="3">
        <v>17256</v>
      </c>
      <c r="H3963" s="7" t="str">
        <f>HYPERLINK("http://www.ensembl.org/Mus_musculus/Gene/Summary?db=core;g=ENSMUSG00000002768","ENSMUSG00000002768")</f>
        <v>ENSMUSG00000002768</v>
      </c>
      <c r="I3963" s="7" t="str">
        <f>HYPERLINK("http://www.informatics.jax.org/marker/MGI:96957","MGI:96957")</f>
        <v>MGI:96957</v>
      </c>
      <c r="J3963" s="4" t="s">
        <v>12</v>
      </c>
    </row>
    <row r="3964" spans="1:10" x14ac:dyDescent="0.25">
      <c r="A3964" s="2">
        <v>1867.4149296052201</v>
      </c>
      <c r="B3964" s="3">
        <v>0.20656814603635601</v>
      </c>
      <c r="C3964" s="3">
        <v>4.4977637299567696E-3</v>
      </c>
      <c r="D3964" s="4">
        <v>1.19859325344253E-2</v>
      </c>
      <c r="E3964" s="3" t="s">
        <v>14804</v>
      </c>
      <c r="F3964" s="3" t="s">
        <v>14805</v>
      </c>
      <c r="G3964" s="3">
        <v>54353</v>
      </c>
      <c r="H3964" s="7" t="str">
        <f>HYPERLINK("http://www.ensembl.org/Mus_musculus/Gene/Summary?db=core;g=ENSMUSG00000059182","ENSMUSG00000059182")</f>
        <v>ENSMUSG00000059182</v>
      </c>
      <c r="I3964" s="7" t="str">
        <f>HYPERLINK("http://www.informatics.jax.org/marker/MGI:1889206","MGI:1889206")</f>
        <v>MGI:1889206</v>
      </c>
      <c r="J3964" s="4" t="s">
        <v>12</v>
      </c>
    </row>
    <row r="3965" spans="1:10" x14ac:dyDescent="0.25">
      <c r="A3965" s="2">
        <v>536.31696525198004</v>
      </c>
      <c r="B3965" s="3">
        <v>0.206534067444055</v>
      </c>
      <c r="C3965" s="3">
        <v>1.9685337486282E-3</v>
      </c>
      <c r="D3965" s="4">
        <v>5.5679124387475699E-3</v>
      </c>
      <c r="E3965" s="3" t="s">
        <v>13951</v>
      </c>
      <c r="F3965" s="3" t="s">
        <v>13952</v>
      </c>
      <c r="G3965" s="3">
        <v>229937</v>
      </c>
      <c r="H3965" s="7" t="str">
        <f>HYPERLINK("http://www.ensembl.org/Mus_musculus/Gene/Summary?db=core;g=ENSMUSG00000074182","ENSMUSG00000074182")</f>
        <v>ENSMUSG00000074182</v>
      </c>
      <c r="I3965" s="7" t="str">
        <f>HYPERLINK("http://www.informatics.jax.org/marker/MGI:1916996","MGI:1916996")</f>
        <v>MGI:1916996</v>
      </c>
      <c r="J3965" s="4" t="s">
        <v>12</v>
      </c>
    </row>
    <row r="3966" spans="1:10" x14ac:dyDescent="0.25">
      <c r="A3966" s="2">
        <v>3538.9180889142099</v>
      </c>
      <c r="B3966" s="3">
        <v>0.20640583217563599</v>
      </c>
      <c r="C3966" s="3">
        <v>2.07381482146294E-4</v>
      </c>
      <c r="D3966" s="4">
        <v>6.7196234438463899E-4</v>
      </c>
      <c r="E3966" s="3" t="s">
        <v>12183</v>
      </c>
      <c r="F3966" s="3" t="s">
        <v>12184</v>
      </c>
      <c r="G3966" s="3">
        <v>226982</v>
      </c>
      <c r="H3966" s="7" t="str">
        <f>HYPERLINK("http://www.ensembl.org/Mus_musculus/Gene/Summary?db=core;g=ENSMUSG00000026083","ENSMUSG00000026083")</f>
        <v>ENSMUSG00000026083</v>
      </c>
      <c r="I3966" s="7" t="str">
        <f>HYPERLINK("http://www.informatics.jax.org/marker/MGI:2441772","MGI:2441772")</f>
        <v>MGI:2441772</v>
      </c>
      <c r="J3966" s="4" t="s">
        <v>12</v>
      </c>
    </row>
    <row r="3967" spans="1:10" x14ac:dyDescent="0.25">
      <c r="A3967" s="2">
        <v>736.38931323813097</v>
      </c>
      <c r="B3967" s="3">
        <v>0.20611536346076501</v>
      </c>
      <c r="C3967" s="5">
        <v>5.5167502744283801E-5</v>
      </c>
      <c r="D3967" s="4">
        <v>1.9149853091309199E-4</v>
      </c>
      <c r="E3967" s="3" t="s">
        <v>11373</v>
      </c>
      <c r="F3967" s="3" t="s">
        <v>11374</v>
      </c>
      <c r="G3967" s="3">
        <v>18457</v>
      </c>
      <c r="H3967" s="7" t="str">
        <f>HYPERLINK("http://www.ensembl.org/Mus_musculus/Gene/Summary?db=core;g=ENSMUSG00000005804","ENSMUSG00000005804")</f>
        <v>ENSMUSG00000005804</v>
      </c>
      <c r="I3967" s="7" t="str">
        <f>HYPERLINK("http://www.informatics.jax.org/marker/MGI:1927580","MGI:1927580")</f>
        <v>MGI:1927580</v>
      </c>
      <c r="J3967" s="4" t="s">
        <v>12</v>
      </c>
    </row>
    <row r="3968" spans="1:10" x14ac:dyDescent="0.25">
      <c r="A3968" s="2">
        <v>1504.4339285682499</v>
      </c>
      <c r="B3968" s="3">
        <v>0.206086766135753</v>
      </c>
      <c r="C3968" s="3">
        <v>1.5875727030322499E-4</v>
      </c>
      <c r="D3968" s="4">
        <v>5.2143460532638199E-4</v>
      </c>
      <c r="E3968" s="3" t="s">
        <v>12019</v>
      </c>
      <c r="F3968" s="3" t="s">
        <v>12020</v>
      </c>
      <c r="G3968" s="3">
        <v>20224</v>
      </c>
      <c r="H3968" s="7" t="str">
        <f>HYPERLINK("http://www.ensembl.org/Mus_musculus/Gene/Summary?db=core;g=ENSMUSG00000020088","ENSMUSG00000020088")</f>
        <v>ENSMUSG00000020088</v>
      </c>
      <c r="I3968" s="7" t="str">
        <f>HYPERLINK("http://www.informatics.jax.org/marker/MGI:98230","MGI:98230")</f>
        <v>MGI:98230</v>
      </c>
      <c r="J3968" s="4" t="s">
        <v>12</v>
      </c>
    </row>
    <row r="3969" spans="1:10" x14ac:dyDescent="0.25">
      <c r="A3969" s="2">
        <v>863.10780921159005</v>
      </c>
      <c r="B3969" s="3">
        <v>0.205445945064723</v>
      </c>
      <c r="C3969" s="3">
        <v>5.2799021378452599E-4</v>
      </c>
      <c r="D3969" s="4">
        <v>1.62003532220801E-3</v>
      </c>
      <c r="E3969" s="3" t="s">
        <v>12863</v>
      </c>
      <c r="F3969" s="3" t="s">
        <v>12864</v>
      </c>
      <c r="G3969" s="3">
        <v>26922</v>
      </c>
      <c r="H3969" s="7" t="str">
        <f>HYPERLINK("http://www.ensembl.org/Mus_musculus/Gene/Summary?db=core;g=ENSMUSG00000028910","ENSMUSG00000028910")</f>
        <v>ENSMUSG00000028910</v>
      </c>
      <c r="I3969" s="7" t="str">
        <f>HYPERLINK("http://www.informatics.jax.org/marker/MGI:1349441","MGI:1349441")</f>
        <v>MGI:1349441</v>
      </c>
      <c r="J3969" s="4" t="s">
        <v>12</v>
      </c>
    </row>
    <row r="3970" spans="1:10" x14ac:dyDescent="0.25">
      <c r="A3970" s="2">
        <v>1933.1919517182</v>
      </c>
      <c r="B3970" s="3">
        <v>0.20525492085730801</v>
      </c>
      <c r="C3970" s="3">
        <v>7.64162738150532E-4</v>
      </c>
      <c r="D3970" s="4">
        <v>2.2929533165442001E-3</v>
      </c>
      <c r="E3970" s="3" t="s">
        <v>13153</v>
      </c>
      <c r="F3970" s="3" t="s">
        <v>13154</v>
      </c>
      <c r="G3970" s="3">
        <v>53323</v>
      </c>
      <c r="H3970" s="7" t="str">
        <f>HYPERLINK("http://www.ensembl.org/Mus_musculus/Gene/Summary?db=core;g=ENSMUSG00000029203","ENSMUSG00000029203")</f>
        <v>ENSMUSG00000029203</v>
      </c>
      <c r="I3970" s="7" t="str">
        <f>HYPERLINK("http://www.informatics.jax.org/marker/MGI:1858216","MGI:1858216")</f>
        <v>MGI:1858216</v>
      </c>
      <c r="J3970" s="4" t="s">
        <v>12</v>
      </c>
    </row>
    <row r="3971" spans="1:10" x14ac:dyDescent="0.25">
      <c r="A3971" s="2">
        <v>210.37721597067599</v>
      </c>
      <c r="B3971" s="3">
        <v>0.20524426498217199</v>
      </c>
      <c r="C3971" s="3">
        <v>1.8498411736774301E-2</v>
      </c>
      <c r="D3971" s="4">
        <v>4.3484167296363001E-2</v>
      </c>
      <c r="E3971" s="3" t="s">
        <v>16782</v>
      </c>
      <c r="F3971" s="3" t="s">
        <v>16783</v>
      </c>
      <c r="G3971" s="3">
        <v>68327</v>
      </c>
      <c r="H3971" s="7" t="str">
        <f>HYPERLINK("http://www.ensembl.org/Mus_musculus/Gene/Summary?db=core;g=ENSMUSG00000015126","ENSMUSG00000015126")</f>
        <v>ENSMUSG00000015126</v>
      </c>
      <c r="I3971" s="7" t="str">
        <f>HYPERLINK("http://www.informatics.jax.org/marker/MGI:1915577","MGI:1915577")</f>
        <v>MGI:1915577</v>
      </c>
      <c r="J3971" s="4" t="s">
        <v>12</v>
      </c>
    </row>
    <row r="3972" spans="1:10" x14ac:dyDescent="0.25">
      <c r="A3972" s="2">
        <v>619.60857538577602</v>
      </c>
      <c r="B3972" s="3">
        <v>0.20524390097285999</v>
      </c>
      <c r="C3972" s="3">
        <v>1.26283781405518E-2</v>
      </c>
      <c r="D3972" s="4">
        <v>3.07750391660505E-2</v>
      </c>
      <c r="E3972" s="3" t="s">
        <v>16189</v>
      </c>
      <c r="F3972" s="3" t="s">
        <v>16190</v>
      </c>
      <c r="G3972" s="3">
        <v>227638</v>
      </c>
      <c r="H3972" s="7" t="str">
        <f>HYPERLINK("http://www.ensembl.org/Mus_musculus/Gene/Summary?db=core;g=ENSMUSG00000036327","ENSMUSG00000036327")</f>
        <v>ENSMUSG00000036327</v>
      </c>
      <c r="I3972" s="7" t="str">
        <f>HYPERLINK("http://www.informatics.jax.org/marker/MGI:2387194","MGI:2387194")</f>
        <v>MGI:2387194</v>
      </c>
      <c r="J3972" s="4" t="s">
        <v>12</v>
      </c>
    </row>
    <row r="3973" spans="1:10" x14ac:dyDescent="0.25">
      <c r="A3973" s="2">
        <v>1910.16775113428</v>
      </c>
      <c r="B3973" s="3">
        <v>0.20508821163242399</v>
      </c>
      <c r="C3973" s="5">
        <v>2.0230746753995101E-5</v>
      </c>
      <c r="D3973" s="6">
        <v>7.3498586217535594E-5</v>
      </c>
      <c r="E3973" s="3" t="s">
        <v>10868</v>
      </c>
      <c r="F3973" s="3" t="s">
        <v>10869</v>
      </c>
      <c r="G3973" s="3">
        <v>68544</v>
      </c>
      <c r="H3973" s="7" t="str">
        <f>HYPERLINK("http://www.ensembl.org/Mus_musculus/Gene/Summary?db=core;g=ENSMUSG00000041203","ENSMUSG00000041203")</f>
        <v>ENSMUSG00000041203</v>
      </c>
      <c r="I3973" s="7" t="str">
        <f>HYPERLINK("http://www.informatics.jax.org/marker/MGI:1922833","MGI:1922833")</f>
        <v>MGI:1922833</v>
      </c>
      <c r="J3973" s="4" t="s">
        <v>12</v>
      </c>
    </row>
    <row r="3974" spans="1:10" x14ac:dyDescent="0.25">
      <c r="A3974" s="2">
        <v>322.72695089382898</v>
      </c>
      <c r="B3974" s="3">
        <v>0.20507993546853301</v>
      </c>
      <c r="C3974" s="3">
        <v>1.40162252297587E-2</v>
      </c>
      <c r="D3974" s="4">
        <v>3.3839368453825E-2</v>
      </c>
      <c r="E3974" s="3" t="s">
        <v>16341</v>
      </c>
      <c r="F3974" s="3" t="s">
        <v>16342</v>
      </c>
      <c r="G3974" s="3">
        <v>103724</v>
      </c>
      <c r="H3974" s="7" t="str">
        <f>HYPERLINK("http://www.ensembl.org/Mus_musculus/Gene/Summary?db=core;g=ENSMUSG00000034412","ENSMUSG00000034412")</f>
        <v>ENSMUSG00000034412</v>
      </c>
      <c r="I3974" s="7" t="str">
        <f>HYPERLINK("http://www.informatics.jax.org/marker/MGI:2144164","MGI:2144164")</f>
        <v>MGI:2144164</v>
      </c>
      <c r="J3974" s="4" t="s">
        <v>12</v>
      </c>
    </row>
    <row r="3975" spans="1:10" x14ac:dyDescent="0.25">
      <c r="A3975" s="2">
        <v>1054.4181271243201</v>
      </c>
      <c r="B3975" s="3">
        <v>0.204820160135917</v>
      </c>
      <c r="C3975" s="5">
        <v>8.6268224272722706E-6</v>
      </c>
      <c r="D3975" s="6">
        <v>3.2540592049392398E-5</v>
      </c>
      <c r="E3975" s="3" t="s">
        <v>10468</v>
      </c>
      <c r="F3975" s="3" t="s">
        <v>10469</v>
      </c>
      <c r="G3975" s="3">
        <v>215015</v>
      </c>
      <c r="H3975" s="7" t="str">
        <f>HYPERLINK("http://www.ensembl.org/Mus_musculus/Gene/Summary?db=core;g=ENSMUSG00000033557","ENSMUSG00000033557")</f>
        <v>ENSMUSG00000033557</v>
      </c>
      <c r="I3975" s="7" t="str">
        <f>HYPERLINK("http://www.informatics.jax.org/marker/MGI:2443990","MGI:2443990")</f>
        <v>MGI:2443990</v>
      </c>
      <c r="J3975" s="4" t="s">
        <v>12</v>
      </c>
    </row>
    <row r="3976" spans="1:10" x14ac:dyDescent="0.25">
      <c r="A3976" s="2">
        <v>3653.12325328827</v>
      </c>
      <c r="B3976" s="3">
        <v>0.204787371624394</v>
      </c>
      <c r="C3976" s="3">
        <v>1.7458401624320101E-2</v>
      </c>
      <c r="D3976" s="4">
        <v>4.1285487472309798E-2</v>
      </c>
      <c r="E3976" s="3" t="s">
        <v>16682</v>
      </c>
      <c r="F3976" s="3" t="s">
        <v>16683</v>
      </c>
      <c r="G3976" s="3">
        <v>19941</v>
      </c>
      <c r="H3976" s="7" t="str">
        <f>HYPERLINK("http://www.ensembl.org/Mus_musculus/Gene/Summary?db=core;g=ENSMUSG00000060938","ENSMUSG00000060938")</f>
        <v>ENSMUSG00000060938</v>
      </c>
      <c r="I3976" s="7" t="str">
        <f>HYPERLINK("http://www.informatics.jax.org/marker/MGI:106022","MGI:106022")</f>
        <v>MGI:106022</v>
      </c>
      <c r="J3976" s="4" t="s">
        <v>12</v>
      </c>
    </row>
    <row r="3977" spans="1:10" x14ac:dyDescent="0.25">
      <c r="A3977" s="2">
        <v>1939.9506575430501</v>
      </c>
      <c r="B3977" s="3">
        <v>0.20476094720975499</v>
      </c>
      <c r="C3977" s="5">
        <v>1.6873077235532699E-6</v>
      </c>
      <c r="D3977" s="6">
        <v>6.82257705730375E-6</v>
      </c>
      <c r="E3977" s="3" t="s">
        <v>9769</v>
      </c>
      <c r="F3977" s="3" t="s">
        <v>9770</v>
      </c>
      <c r="G3977" s="3">
        <v>56470</v>
      </c>
      <c r="H3977" s="7" t="str">
        <f>HYPERLINK("http://www.ensembl.org/Mus_musculus/Gene/Summary?db=core;g=ENSMUSG00000002458","ENSMUSG00000002458")</f>
        <v>ENSMUSG00000002458</v>
      </c>
      <c r="I3977" s="7" t="str">
        <f>HYPERLINK("http://www.informatics.jax.org/marker/MGI:1915153","MGI:1915153")</f>
        <v>MGI:1915153</v>
      </c>
      <c r="J3977" s="4" t="s">
        <v>12</v>
      </c>
    </row>
    <row r="3978" spans="1:10" x14ac:dyDescent="0.25">
      <c r="A3978" s="2">
        <v>1058.60053643481</v>
      </c>
      <c r="B3978" s="3">
        <v>0.204590321703841</v>
      </c>
      <c r="C3978" s="3">
        <v>8.6961789304716404E-4</v>
      </c>
      <c r="D3978" s="4">
        <v>2.5873362780461798E-3</v>
      </c>
      <c r="E3978" s="3" t="s">
        <v>13265</v>
      </c>
      <c r="F3978" s="3" t="s">
        <v>13266</v>
      </c>
      <c r="G3978" s="3">
        <v>223701</v>
      </c>
      <c r="H3978" s="7" t="str">
        <f>HYPERLINK("http://www.ensembl.org/Mus_musculus/Gene/Summary?db=core;g=ENSMUSG00000042292","ENSMUSG00000042292")</f>
        <v>ENSMUSG00000042292</v>
      </c>
      <c r="I3978" s="7" t="str">
        <f>HYPERLINK("http://www.informatics.jax.org/marker/MGI:2384495","MGI:2384495")</f>
        <v>MGI:2384495</v>
      </c>
      <c r="J3978" s="4" t="s">
        <v>12</v>
      </c>
    </row>
    <row r="3979" spans="1:10" x14ac:dyDescent="0.25">
      <c r="A3979" s="2">
        <v>995.08687713339702</v>
      </c>
      <c r="B3979" s="3">
        <v>0.20441785363592499</v>
      </c>
      <c r="C3979" s="3">
        <v>1.29563326790968E-4</v>
      </c>
      <c r="D3979" s="4">
        <v>4.3071288002661802E-4</v>
      </c>
      <c r="E3979" s="3" t="s">
        <v>11875</v>
      </c>
      <c r="F3979" s="3" t="s">
        <v>11876</v>
      </c>
      <c r="G3979" s="3">
        <v>192160</v>
      </c>
      <c r="H3979" s="7" t="str">
        <f>HYPERLINK("http://www.ensembl.org/Mus_musculus/Gene/Summary?db=core;g=ENSMUSG00000078676","ENSMUSG00000078676")</f>
        <v>ENSMUSG00000078676</v>
      </c>
      <c r="I3979" s="7" t="str">
        <f>HYPERLINK("http://www.informatics.jax.org/marker/MGI:2179723","MGI:2179723")</f>
        <v>MGI:2179723</v>
      </c>
      <c r="J3979" s="4" t="s">
        <v>12</v>
      </c>
    </row>
    <row r="3980" spans="1:10" x14ac:dyDescent="0.25">
      <c r="A3980" s="2">
        <v>898.94540867852595</v>
      </c>
      <c r="B3980" s="3">
        <v>0.204413884887506</v>
      </c>
      <c r="C3980" s="3">
        <v>8.2386479336477199E-4</v>
      </c>
      <c r="D3980" s="4">
        <v>2.4586279850413598E-3</v>
      </c>
      <c r="E3980" s="3" t="s">
        <v>13225</v>
      </c>
      <c r="F3980" s="3" t="s">
        <v>13226</v>
      </c>
      <c r="G3980" s="3">
        <v>229707</v>
      </c>
      <c r="H3980" s="7" t="str">
        <f>HYPERLINK("http://www.ensembl.org/Mus_musculus/Gene/Summary?db=core;g=ENSMUSG00000014601","ENSMUSG00000014601")</f>
        <v>ENSMUSG00000014601</v>
      </c>
      <c r="I3980" s="7" t="str">
        <f>HYPERLINK("http://www.informatics.jax.org/marker/MGI:2443884","MGI:2443884")</f>
        <v>MGI:2443884</v>
      </c>
      <c r="J3980" s="4" t="s">
        <v>12</v>
      </c>
    </row>
    <row r="3981" spans="1:10" x14ac:dyDescent="0.25">
      <c r="A3981" s="2">
        <v>3078.9799005858699</v>
      </c>
      <c r="B3981" s="3">
        <v>0.20439930336178999</v>
      </c>
      <c r="C3981" s="3">
        <v>9.9617991578078609E-4</v>
      </c>
      <c r="D3981" s="4">
        <v>2.9368255230821198E-3</v>
      </c>
      <c r="E3981" s="3" t="s">
        <v>13385</v>
      </c>
      <c r="F3981" s="3" t="s">
        <v>13386</v>
      </c>
      <c r="G3981" s="3">
        <v>18648</v>
      </c>
      <c r="H3981" s="7" t="str">
        <f>HYPERLINK("http://www.ensembl.org/Mus_musculus/Gene/Summary?db=core;g=ENSMUSG00000011752","ENSMUSG00000011752")</f>
        <v>ENSMUSG00000011752</v>
      </c>
      <c r="I3981" s="7" t="str">
        <f>HYPERLINK("http://www.informatics.jax.org/marker/MGI:97552","MGI:97552")</f>
        <v>MGI:97552</v>
      </c>
      <c r="J3981" s="4" t="s">
        <v>12</v>
      </c>
    </row>
    <row r="3982" spans="1:10" x14ac:dyDescent="0.25">
      <c r="A3982" s="2">
        <v>3386.8217959407202</v>
      </c>
      <c r="B3982" s="3">
        <v>0.20431577534592199</v>
      </c>
      <c r="C3982" s="3">
        <v>1.5062024351581799E-4</v>
      </c>
      <c r="D3982" s="4">
        <v>4.9652811804278202E-4</v>
      </c>
      <c r="E3982" s="3" t="s">
        <v>11975</v>
      </c>
      <c r="F3982" s="3" t="s">
        <v>11976</v>
      </c>
      <c r="G3982" s="3">
        <v>71766</v>
      </c>
      <c r="H3982" s="7" t="str">
        <f>HYPERLINK("http://www.ensembl.org/Mus_musculus/Gene/Summary?db=core;g=ENSMUSG00000010205","ENSMUSG00000010205")</f>
        <v>ENSMUSG00000010205</v>
      </c>
      <c r="I3982" s="7" t="str">
        <f>HYPERLINK("http://www.informatics.jax.org/marker/MGI:1919016","MGI:1919016")</f>
        <v>MGI:1919016</v>
      </c>
      <c r="J3982" s="4" t="s">
        <v>12</v>
      </c>
    </row>
    <row r="3983" spans="1:10" x14ac:dyDescent="0.25">
      <c r="A3983" s="2">
        <v>690.42325914558398</v>
      </c>
      <c r="B3983" s="3">
        <v>0.204081288868243</v>
      </c>
      <c r="C3983" s="3">
        <v>6.6261728627836098E-3</v>
      </c>
      <c r="D3983" s="4">
        <v>1.7071874686973201E-2</v>
      </c>
      <c r="E3983" s="3" t="s">
        <v>15313</v>
      </c>
      <c r="F3983" s="3" t="s">
        <v>15314</v>
      </c>
      <c r="G3983" s="3">
        <v>66397</v>
      </c>
      <c r="H3983" s="7" t="str">
        <f>HYPERLINK("http://www.ensembl.org/Mus_musculus/Gene/Summary?db=core;g=ENSMUSG00000020386","ENSMUSG00000020386")</f>
        <v>ENSMUSG00000020386</v>
      </c>
      <c r="I3983" s="7" t="str">
        <f>HYPERLINK("http://www.informatics.jax.org/marker/MGI:1913647","MGI:1913647")</f>
        <v>MGI:1913647</v>
      </c>
      <c r="J3983" s="4" t="s">
        <v>12</v>
      </c>
    </row>
    <row r="3984" spans="1:10" x14ac:dyDescent="0.25">
      <c r="A3984" s="2">
        <v>1484.5847510724</v>
      </c>
      <c r="B3984" s="3">
        <v>0.20403865100674301</v>
      </c>
      <c r="C3984" s="5">
        <v>1.9905325252229301E-6</v>
      </c>
      <c r="D3984" s="6">
        <v>8.0027118037504807E-6</v>
      </c>
      <c r="E3984" s="3" t="s">
        <v>9825</v>
      </c>
      <c r="F3984" s="3" t="s">
        <v>9826</v>
      </c>
      <c r="G3984" s="3">
        <v>66244</v>
      </c>
      <c r="H3984" s="7" t="str">
        <f>HYPERLINK("http://www.ensembl.org/Mus_musculus/Gene/Summary?db=core;g=ENSMUSG00000020982","ENSMUSG00000020982")</f>
        <v>ENSMUSG00000020982</v>
      </c>
      <c r="I3984" s="7" t="str">
        <f>HYPERLINK("http://www.informatics.jax.org/marker/MGI:1918305","MGI:1918305")</f>
        <v>MGI:1918305</v>
      </c>
      <c r="J3984" s="4" t="s">
        <v>12</v>
      </c>
    </row>
    <row r="3985" spans="1:10" x14ac:dyDescent="0.25">
      <c r="A3985" s="2">
        <v>536.96530191607803</v>
      </c>
      <c r="B3985" s="3">
        <v>0.20396870371113801</v>
      </c>
      <c r="C3985" s="3">
        <v>8.3705904792329908E-3</v>
      </c>
      <c r="D3985" s="4">
        <v>2.1113845516816901E-2</v>
      </c>
      <c r="E3985" s="3" t="s">
        <v>15639</v>
      </c>
      <c r="F3985" s="3" t="s">
        <v>15640</v>
      </c>
      <c r="G3985" s="3">
        <v>74094</v>
      </c>
      <c r="H3985" s="7" t="str">
        <f>HYPERLINK("http://www.ensembl.org/Mus_musculus/Gene/Summary?db=core;g=ENSMUSG00000012296","ENSMUSG00000012296")</f>
        <v>ENSMUSG00000012296</v>
      </c>
      <c r="I3985" s="7" t="str">
        <f>HYPERLINK("http://www.informatics.jax.org/marker/MGI:1921344","MGI:1921344")</f>
        <v>MGI:1921344</v>
      </c>
      <c r="J3985" s="4" t="s">
        <v>12</v>
      </c>
    </row>
    <row r="3986" spans="1:10" x14ac:dyDescent="0.25">
      <c r="A3986" s="2">
        <v>3247.90088790253</v>
      </c>
      <c r="B3986" s="3">
        <v>0.203878965764072</v>
      </c>
      <c r="C3986" s="3">
        <v>4.2180366738892999E-3</v>
      </c>
      <c r="D3986" s="4">
        <v>1.1307732899551001E-2</v>
      </c>
      <c r="E3986" s="3" t="s">
        <v>14716</v>
      </c>
      <c r="F3986" s="3" t="s">
        <v>14717</v>
      </c>
      <c r="G3986" s="3">
        <v>107271</v>
      </c>
      <c r="H3986" s="7" t="str">
        <f>HYPERLINK("http://www.ensembl.org/Mus_musculus/Gene/Summary?db=core;g=ENSMUSG00000028811","ENSMUSG00000028811")</f>
        <v>ENSMUSG00000028811</v>
      </c>
      <c r="I3986" s="7" t="str">
        <f>HYPERLINK("http://www.informatics.jax.org/marker/MGI:2147627","MGI:2147627")</f>
        <v>MGI:2147627</v>
      </c>
      <c r="J3986" s="4" t="s">
        <v>12</v>
      </c>
    </row>
    <row r="3987" spans="1:10" x14ac:dyDescent="0.25">
      <c r="A3987" s="2">
        <v>535.26842331259195</v>
      </c>
      <c r="B3987" s="3">
        <v>0.203625521809363</v>
      </c>
      <c r="C3987" s="3">
        <v>8.8506344996849597E-3</v>
      </c>
      <c r="D3987" s="4">
        <v>2.2253539759503699E-2</v>
      </c>
      <c r="E3987" s="3" t="s">
        <v>15691</v>
      </c>
      <c r="F3987" s="3" t="s">
        <v>15692</v>
      </c>
      <c r="G3987" s="3">
        <v>98402</v>
      </c>
      <c r="H3987" s="7" t="str">
        <f>HYPERLINK("http://www.ensembl.org/Mus_musculus/Gene/Summary?db=core;g=ENSMUSG00000036206","ENSMUSG00000036206")</f>
        <v>ENSMUSG00000036206</v>
      </c>
      <c r="I3987" s="7" t="str">
        <f>HYPERLINK("http://www.informatics.jax.org/marker/MGI:2138297","MGI:2138297")</f>
        <v>MGI:2138297</v>
      </c>
      <c r="J3987" s="4" t="s">
        <v>12</v>
      </c>
    </row>
    <row r="3988" spans="1:10" x14ac:dyDescent="0.25">
      <c r="A3988" s="2">
        <v>804.25799259396399</v>
      </c>
      <c r="B3988" s="3">
        <v>0.20345026345324199</v>
      </c>
      <c r="C3988" s="3">
        <v>4.7546829746655302E-3</v>
      </c>
      <c r="D3988" s="4">
        <v>1.26160317896131E-2</v>
      </c>
      <c r="E3988" s="3" t="s">
        <v>14868</v>
      </c>
      <c r="F3988" s="3" t="s">
        <v>14869</v>
      </c>
      <c r="G3988" s="3">
        <v>64383</v>
      </c>
      <c r="H3988" s="7" t="str">
        <f>HYPERLINK("http://www.ensembl.org/Mus_musculus/Gene/Summary?db=core;g=ENSMUSG00000015149","ENSMUSG00000015149")</f>
        <v>ENSMUSG00000015149</v>
      </c>
      <c r="I3988" s="7" t="str">
        <f>HYPERLINK("http://www.informatics.jax.org/marker/MGI:1927664","MGI:1927664")</f>
        <v>MGI:1927664</v>
      </c>
      <c r="J3988" s="4" t="s">
        <v>12</v>
      </c>
    </row>
    <row r="3989" spans="1:10" x14ac:dyDescent="0.25">
      <c r="A3989" s="2">
        <v>1380.6476707911499</v>
      </c>
      <c r="B3989" s="3">
        <v>0.20332219185421499</v>
      </c>
      <c r="C3989" s="5">
        <v>7.0308466259966803E-7</v>
      </c>
      <c r="D3989" s="6">
        <v>2.95499350947687E-6</v>
      </c>
      <c r="E3989" s="3" t="s">
        <v>9399</v>
      </c>
      <c r="F3989" s="3" t="s">
        <v>9400</v>
      </c>
      <c r="G3989" s="3">
        <v>97387</v>
      </c>
      <c r="H3989" s="7" t="str">
        <f>HYPERLINK("http://www.ensembl.org/Mus_musculus/Gene/Summary?db=core;g=ENSMUSG00000030374","ENSMUSG00000030374")</f>
        <v>ENSMUSG00000030374</v>
      </c>
      <c r="I3989" s="7" t="str">
        <f>HYPERLINK("http://www.informatics.jax.org/marker/MGI:2142346","MGI:2142346")</f>
        <v>MGI:2142346</v>
      </c>
      <c r="J3989" s="4" t="s">
        <v>12</v>
      </c>
    </row>
    <row r="3990" spans="1:10" x14ac:dyDescent="0.25">
      <c r="A3990" s="2">
        <v>932.51666988061095</v>
      </c>
      <c r="B3990" s="3">
        <v>0.20331664885071299</v>
      </c>
      <c r="C3990" s="3">
        <v>1.08685985667635E-3</v>
      </c>
      <c r="D3990" s="4">
        <v>3.1891924453454601E-3</v>
      </c>
      <c r="E3990" s="3" t="s">
        <v>13451</v>
      </c>
      <c r="F3990" s="3" t="s">
        <v>13452</v>
      </c>
      <c r="G3990" s="3">
        <v>66810</v>
      </c>
      <c r="H3990" s="7" t="str">
        <f>HYPERLINK("http://www.ensembl.org/Mus_musculus/Gene/Summary?db=core;g=ENSMUSG00000024604","ENSMUSG00000024604")</f>
        <v>ENSMUSG00000024604</v>
      </c>
      <c r="I3990" s="7" t="str">
        <f>HYPERLINK("http://www.informatics.jax.org/marker/MGI:1914060","MGI:1914060")</f>
        <v>MGI:1914060</v>
      </c>
      <c r="J3990" s="4" t="s">
        <v>12</v>
      </c>
    </row>
    <row r="3991" spans="1:10" x14ac:dyDescent="0.25">
      <c r="A3991" s="2">
        <v>4304.9698403401198</v>
      </c>
      <c r="B3991" s="3">
        <v>0.20323915937067799</v>
      </c>
      <c r="C3991" s="5">
        <v>1.9314256169289599E-5</v>
      </c>
      <c r="D3991" s="6">
        <v>7.0259570495921601E-5</v>
      </c>
      <c r="E3991" s="3" t="s">
        <v>10854</v>
      </c>
      <c r="F3991" s="3" t="s">
        <v>10855</v>
      </c>
      <c r="G3991" s="3">
        <v>56194</v>
      </c>
      <c r="H3991" s="7" t="str">
        <f>HYPERLINK("http://www.ensembl.org/Mus_musculus/Gene/Summary?db=core;g=ENSMUSG00000061136","ENSMUSG00000061136")</f>
        <v>ENSMUSG00000061136</v>
      </c>
      <c r="I3991" s="7" t="str">
        <f>HYPERLINK("http://www.informatics.jax.org/marker/MGI:1860512","MGI:1860512")</f>
        <v>MGI:1860512</v>
      </c>
      <c r="J3991" s="4" t="s">
        <v>12</v>
      </c>
    </row>
    <row r="3992" spans="1:10" x14ac:dyDescent="0.25">
      <c r="A3992" s="2">
        <v>818.09100731130695</v>
      </c>
      <c r="B3992" s="3">
        <v>0.20318143157868701</v>
      </c>
      <c r="C3992" s="3">
        <v>2.7097763916091298E-3</v>
      </c>
      <c r="D3992" s="4">
        <v>7.4904388060740099E-3</v>
      </c>
      <c r="E3992" s="3" t="s">
        <v>14273</v>
      </c>
      <c r="F3992" s="3" t="s">
        <v>14274</v>
      </c>
      <c r="G3992" s="3">
        <v>67223</v>
      </c>
      <c r="H3992" s="7" t="str">
        <f>HYPERLINK("http://www.ensembl.org/Mus_musculus/Gene/Summary?db=core;g=ENSMUSG00000001305","ENSMUSG00000001305")</f>
        <v>ENSMUSG00000001305</v>
      </c>
      <c r="I3992" s="7" t="str">
        <f>HYPERLINK("http://www.informatics.jax.org/marker/MGI:1914473","MGI:1914473")</f>
        <v>MGI:1914473</v>
      </c>
      <c r="J3992" s="4" t="s">
        <v>12</v>
      </c>
    </row>
    <row r="3993" spans="1:10" x14ac:dyDescent="0.25">
      <c r="A3993" s="2">
        <v>1970.13284558073</v>
      </c>
      <c r="B3993" s="3">
        <v>0.20316536822878001</v>
      </c>
      <c r="C3993" s="5">
        <v>3.42779993048776E-5</v>
      </c>
      <c r="D3993" s="4">
        <v>1.21488523776453E-4</v>
      </c>
      <c r="E3993" s="3" t="s">
        <v>11141</v>
      </c>
      <c r="F3993" s="3" t="s">
        <v>11142</v>
      </c>
      <c r="G3993" s="3">
        <v>70361</v>
      </c>
      <c r="H3993" s="7" t="str">
        <f>HYPERLINK("http://www.ensembl.org/Mus_musculus/Gene/Summary?db=core;g=ENSMUSG00000041891","ENSMUSG00000041891")</f>
        <v>ENSMUSG00000041891</v>
      </c>
      <c r="I3993" s="7" t="str">
        <f>HYPERLINK("http://www.informatics.jax.org/marker/MGI:1917611","MGI:1917611")</f>
        <v>MGI:1917611</v>
      </c>
      <c r="J3993" s="4" t="s">
        <v>12</v>
      </c>
    </row>
    <row r="3994" spans="1:10" x14ac:dyDescent="0.25">
      <c r="A3994" s="2">
        <v>227.222194224991</v>
      </c>
      <c r="B3994" s="3">
        <v>0.203163509177407</v>
      </c>
      <c r="C3994" s="3">
        <v>1.2443643120961301E-2</v>
      </c>
      <c r="D3994" s="4">
        <v>3.03586097173521E-2</v>
      </c>
      <c r="E3994" s="3" t="s">
        <v>16169</v>
      </c>
      <c r="F3994" s="3" t="s">
        <v>16170</v>
      </c>
      <c r="G3994" s="3">
        <v>71726</v>
      </c>
      <c r="H3994" s="7" t="str">
        <f>HYPERLINK("http://www.ensembl.org/Mus_musculus/Gene/Summary?db=core;g=ENSMUSG00000036061","ENSMUSG00000036061")</f>
        <v>ENSMUSG00000036061</v>
      </c>
      <c r="I3994" s="7" t="str">
        <f>HYPERLINK("http://www.informatics.jax.org/marker/MGI:1918976","MGI:1918976")</f>
        <v>MGI:1918976</v>
      </c>
      <c r="J3994" s="4" t="s">
        <v>12</v>
      </c>
    </row>
    <row r="3995" spans="1:10" x14ac:dyDescent="0.25">
      <c r="A3995" s="2">
        <v>675.20786364427204</v>
      </c>
      <c r="B3995" s="3">
        <v>0.20315549700485999</v>
      </c>
      <c r="C3995" s="3">
        <v>2.7634685507859301E-4</v>
      </c>
      <c r="D3995" s="4">
        <v>8.7980100141569096E-4</v>
      </c>
      <c r="E3995" s="3" t="s">
        <v>12402</v>
      </c>
      <c r="F3995" s="3" t="s">
        <v>12403</v>
      </c>
      <c r="G3995" s="3">
        <v>227682</v>
      </c>
      <c r="H3995" s="7" t="str">
        <f>HYPERLINK("http://www.ensembl.org/Mus_musculus/Gene/Summary?db=core;g=ENSMUSG00000039826","ENSMUSG00000039826")</f>
        <v>ENSMUSG00000039826</v>
      </c>
      <c r="I3995" s="7" t="str">
        <f>HYPERLINK("http://www.informatics.jax.org/marker/MGI:2442186","MGI:2442186")</f>
        <v>MGI:2442186</v>
      </c>
      <c r="J3995" s="4" t="s">
        <v>12</v>
      </c>
    </row>
    <row r="3996" spans="1:10" x14ac:dyDescent="0.25">
      <c r="A3996" s="2">
        <v>1904.92031460673</v>
      </c>
      <c r="B3996" s="3">
        <v>0.20311223192392999</v>
      </c>
      <c r="C3996" s="5">
        <v>4.1231935246626199E-6</v>
      </c>
      <c r="D3996" s="6">
        <v>1.60500150624451E-5</v>
      </c>
      <c r="E3996" s="3" t="s">
        <v>10148</v>
      </c>
      <c r="F3996" s="3" t="s">
        <v>10149</v>
      </c>
      <c r="G3996" s="3">
        <v>54161</v>
      </c>
      <c r="H3996" s="7" t="str">
        <f>HYPERLINK("http://www.ensembl.org/Mus_musculus/Gene/Summary?db=core;g=ENSMUSG00000030058","ENSMUSG00000030058")</f>
        <v>ENSMUSG00000030058</v>
      </c>
      <c r="I3996" s="7" t="str">
        <f>HYPERLINK("http://www.informatics.jax.org/marker/MGI:1858696","MGI:1858696")</f>
        <v>MGI:1858696</v>
      </c>
      <c r="J3996" s="4" t="s">
        <v>12</v>
      </c>
    </row>
    <row r="3997" spans="1:10" x14ac:dyDescent="0.25">
      <c r="A3997" s="2">
        <v>2226.2468619515598</v>
      </c>
      <c r="B3997" s="3">
        <v>0.20302674889809799</v>
      </c>
      <c r="C3997" s="5">
        <v>1.20077279914564E-6</v>
      </c>
      <c r="D3997" s="6">
        <v>4.9300936079850297E-6</v>
      </c>
      <c r="E3997" s="3" t="s">
        <v>9621</v>
      </c>
      <c r="F3997" s="3" t="s">
        <v>9622</v>
      </c>
      <c r="G3997" s="3">
        <v>53860</v>
      </c>
      <c r="H3997" s="7" t="str">
        <f>HYPERLINK("http://www.ensembl.org/Mus_musculus/Gene/Summary?db=core;g=ENSMUSG00000059248","ENSMUSG00000059248")</f>
        <v>ENSMUSG00000059248</v>
      </c>
      <c r="I3997" s="7" t="str">
        <f>HYPERLINK("http://www.informatics.jax.org/marker/MGI:1858222","MGI:1858222")</f>
        <v>MGI:1858222</v>
      </c>
      <c r="J3997" s="4" t="s">
        <v>12</v>
      </c>
    </row>
    <row r="3998" spans="1:10" x14ac:dyDescent="0.25">
      <c r="A3998" s="2">
        <v>1332.58285445466</v>
      </c>
      <c r="B3998" s="3">
        <v>0.202682661161836</v>
      </c>
      <c r="C3998" s="3">
        <v>2.9047115671832799E-3</v>
      </c>
      <c r="D3998" s="4">
        <v>7.9756212900103304E-3</v>
      </c>
      <c r="E3998" s="3" t="s">
        <v>14369</v>
      </c>
      <c r="F3998" s="3" t="s">
        <v>14370</v>
      </c>
      <c r="G3998" s="3">
        <v>74325</v>
      </c>
      <c r="H3998" s="7" t="str">
        <f>HYPERLINK("http://www.ensembl.org/Mus_musculus/Gene/Summary?db=core;g=ENSMUSG00000047547","ENSMUSG00000047547")</f>
        <v>ENSMUSG00000047547</v>
      </c>
      <c r="I3998" s="7" t="str">
        <f>HYPERLINK("http://www.informatics.jax.org/marker/MGI:1921575","MGI:1921575")</f>
        <v>MGI:1921575</v>
      </c>
      <c r="J3998" s="4" t="s">
        <v>12</v>
      </c>
    </row>
    <row r="3999" spans="1:10" x14ac:dyDescent="0.25">
      <c r="A3999" s="2">
        <v>636.45175602134896</v>
      </c>
      <c r="B3999" s="3">
        <v>0.20266665766314401</v>
      </c>
      <c r="C3999" s="3">
        <v>1.6808622779833401E-2</v>
      </c>
      <c r="D3999" s="4">
        <v>3.9901147359676002E-2</v>
      </c>
      <c r="E3999" s="3" t="s">
        <v>16618</v>
      </c>
      <c r="F3999" s="3" t="s">
        <v>16619</v>
      </c>
      <c r="G3999" s="3" t="s">
        <v>83</v>
      </c>
      <c r="H3999" s="7" t="str">
        <f>HYPERLINK("http://www.ensembl.org/Mus_musculus/Gene/Summary?db=core;g=ENSMUSG00000082536","ENSMUSG00000082536")</f>
        <v>ENSMUSG00000082536</v>
      </c>
      <c r="I3999" s="7" t="str">
        <f>HYPERLINK("http://www.informatics.jax.org/marker/MGI:3651389","MGI:3651389")</f>
        <v>MGI:3651389</v>
      </c>
      <c r="J3999" s="4" t="s">
        <v>1043</v>
      </c>
    </row>
    <row r="4000" spans="1:10" x14ac:dyDescent="0.25">
      <c r="A4000" s="2">
        <v>879.54039612121403</v>
      </c>
      <c r="B4000" s="3">
        <v>0.20241486205824699</v>
      </c>
      <c r="C4000" s="3">
        <v>5.9234786231343302E-4</v>
      </c>
      <c r="D4000" s="4">
        <v>1.8073804494539499E-3</v>
      </c>
      <c r="E4000" s="3" t="s">
        <v>12935</v>
      </c>
      <c r="F4000" s="3" t="s">
        <v>12936</v>
      </c>
      <c r="G4000" s="3">
        <v>68449</v>
      </c>
      <c r="H4000" s="7" t="str">
        <f>HYPERLINK("http://www.ensembl.org/Mus_musculus/Gene/Summary?db=core;g=ENSMUSG00000042492","ENSMUSG00000042492")</f>
        <v>ENSMUSG00000042492</v>
      </c>
      <c r="I4000" s="7" t="str">
        <f>HYPERLINK("http://www.informatics.jax.org/marker/MGI:1915699","MGI:1915699")</f>
        <v>MGI:1915699</v>
      </c>
      <c r="J4000" s="4" t="s">
        <v>12</v>
      </c>
    </row>
    <row r="4001" spans="1:10" x14ac:dyDescent="0.25">
      <c r="A4001" s="2">
        <v>3272.28785323898</v>
      </c>
      <c r="B4001" s="3">
        <v>0.202276659783825</v>
      </c>
      <c r="C4001" s="3">
        <v>4.3924542276392901E-4</v>
      </c>
      <c r="D4001" s="4">
        <v>1.3601419669507101E-3</v>
      </c>
      <c r="E4001" s="3" t="s">
        <v>12747</v>
      </c>
      <c r="F4001" s="3" t="s">
        <v>12748</v>
      </c>
      <c r="G4001" s="3">
        <v>57261</v>
      </c>
      <c r="H4001" s="7" t="str">
        <f>HYPERLINK("http://www.ensembl.org/Mus_musculus/Gene/Summary?db=core;g=ENSMUSG00000024002","ENSMUSG00000024002")</f>
        <v>ENSMUSG00000024002</v>
      </c>
      <c r="I4001" s="7" t="str">
        <f>HYPERLINK("http://www.informatics.jax.org/marker/MGI:1888520","MGI:1888520")</f>
        <v>MGI:1888520</v>
      </c>
      <c r="J4001" s="4" t="s">
        <v>12</v>
      </c>
    </row>
    <row r="4002" spans="1:10" x14ac:dyDescent="0.25">
      <c r="A4002" s="2">
        <v>892.30784616394999</v>
      </c>
      <c r="B4002" s="3">
        <v>0.20193625983394201</v>
      </c>
      <c r="C4002" s="3">
        <v>2.0666688508169201E-4</v>
      </c>
      <c r="D4002" s="4">
        <v>6.6986702396630105E-4</v>
      </c>
      <c r="E4002" s="3" t="s">
        <v>12179</v>
      </c>
      <c r="F4002" s="3" t="s">
        <v>12180</v>
      </c>
      <c r="G4002" s="3">
        <v>71745</v>
      </c>
      <c r="H4002" s="7" t="str">
        <f>HYPERLINK("http://www.ensembl.org/Mus_musculus/Gene/Summary?db=core;g=ENSMUSG00000024231","ENSMUSG00000024231")</f>
        <v>ENSMUSG00000024231</v>
      </c>
      <c r="I4002" s="7" t="str">
        <f>HYPERLINK("http://www.informatics.jax.org/marker/MGI:1918995","MGI:1918995")</f>
        <v>MGI:1918995</v>
      </c>
      <c r="J4002" s="4" t="s">
        <v>12</v>
      </c>
    </row>
    <row r="4003" spans="1:10" x14ac:dyDescent="0.25">
      <c r="A4003" s="2">
        <v>512.432279157935</v>
      </c>
      <c r="B4003" s="3">
        <v>0.20173577337071</v>
      </c>
      <c r="C4003" s="3">
        <v>8.1975397485135205E-3</v>
      </c>
      <c r="D4003" s="4">
        <v>2.0711785245443499E-2</v>
      </c>
      <c r="E4003" s="3" t="s">
        <v>15615</v>
      </c>
      <c r="F4003" s="3" t="s">
        <v>15616</v>
      </c>
      <c r="G4003" s="3">
        <v>216527</v>
      </c>
      <c r="H4003" s="7" t="str">
        <f>HYPERLINK("http://www.ensembl.org/Mus_musculus/Gene/Summary?db=core;g=ENSMUSG00000000378","ENSMUSG00000000378")</f>
        <v>ENSMUSG00000000378</v>
      </c>
      <c r="I4003" s="7" t="str">
        <f>HYPERLINK("http://www.informatics.jax.org/marker/MGI:2384924","MGI:2384924")</f>
        <v>MGI:2384924</v>
      </c>
      <c r="J4003" s="4" t="s">
        <v>12</v>
      </c>
    </row>
    <row r="4004" spans="1:10" x14ac:dyDescent="0.25">
      <c r="A4004" s="2">
        <v>816.35513428340698</v>
      </c>
      <c r="B4004" s="3">
        <v>0.201203624721258</v>
      </c>
      <c r="C4004" s="3">
        <v>8.9975210008857098E-4</v>
      </c>
      <c r="D4004" s="4">
        <v>2.67135070968784E-3</v>
      </c>
      <c r="E4004" s="3" t="s">
        <v>13292</v>
      </c>
      <c r="F4004" s="3" t="s">
        <v>13293</v>
      </c>
      <c r="G4004" s="3">
        <v>192169</v>
      </c>
      <c r="H4004" s="7" t="str">
        <f>HYPERLINK("http://www.ensembl.org/Mus_musculus/Gene/Summary?db=core;g=ENSMUSG00000031634","ENSMUSG00000031634")</f>
        <v>ENSMUSG00000031634</v>
      </c>
      <c r="I4004" s="7" t="str">
        <f>HYPERLINK("http://www.informatics.jax.org/marker/MGI:1913679","MGI:1913679")</f>
        <v>MGI:1913679</v>
      </c>
      <c r="J4004" s="4" t="s">
        <v>12</v>
      </c>
    </row>
    <row r="4005" spans="1:10" x14ac:dyDescent="0.25">
      <c r="A4005" s="2">
        <v>5402.7296526523596</v>
      </c>
      <c r="B4005" s="3">
        <v>0.20115748273534501</v>
      </c>
      <c r="C4005" s="3">
        <v>1.5935642828742E-3</v>
      </c>
      <c r="D4005" s="4">
        <v>4.56627254552154E-3</v>
      </c>
      <c r="E4005" s="3" t="s">
        <v>13771</v>
      </c>
      <c r="F4005" s="3" t="s">
        <v>13772</v>
      </c>
      <c r="G4005" s="3">
        <v>268449</v>
      </c>
      <c r="H4005" s="7" t="str">
        <f>HYPERLINK("http://www.ensembl.org/Mus_musculus/Gene/Summary?db=core;g=ENSMUSG00000058546","ENSMUSG00000058546")</f>
        <v>ENSMUSG00000058546</v>
      </c>
      <c r="I4005" s="7" t="str">
        <f>HYPERLINK("http://www.informatics.jax.org/marker/MGI:3040672","MGI:3040672")</f>
        <v>MGI:3040672</v>
      </c>
      <c r="J4005" s="4" t="s">
        <v>12</v>
      </c>
    </row>
    <row r="4006" spans="1:10" x14ac:dyDescent="0.25">
      <c r="A4006" s="2">
        <v>1115.4673442799599</v>
      </c>
      <c r="B4006" s="3">
        <v>0.20112547107015799</v>
      </c>
      <c r="C4006" s="3">
        <v>1.2749163728991699E-2</v>
      </c>
      <c r="D4006" s="4">
        <v>3.1057876310774099E-2</v>
      </c>
      <c r="E4006" s="3" t="s">
        <v>16195</v>
      </c>
      <c r="F4006" s="3" t="s">
        <v>16196</v>
      </c>
      <c r="G4006" s="3">
        <v>66932</v>
      </c>
      <c r="H4006" s="7" t="str">
        <f>HYPERLINK("http://www.ensembl.org/Mus_musculus/Gene/Summary?db=core;g=ENSMUSG00000047417","ENSMUSG00000047417")</f>
        <v>ENSMUSG00000047417</v>
      </c>
      <c r="I4006" s="7" t="str">
        <f>HYPERLINK("http://www.informatics.jax.org/marker/MGI:1914182","MGI:1914182")</f>
        <v>MGI:1914182</v>
      </c>
      <c r="J4006" s="4" t="s">
        <v>12</v>
      </c>
    </row>
    <row r="4007" spans="1:10" x14ac:dyDescent="0.25">
      <c r="A4007" s="2">
        <v>1242.8466508768499</v>
      </c>
      <c r="B4007" s="3">
        <v>0.20107811037373599</v>
      </c>
      <c r="C4007" s="3">
        <v>3.61800343373997E-3</v>
      </c>
      <c r="D4007" s="4">
        <v>9.8031090565199493E-3</v>
      </c>
      <c r="E4007" s="3" t="s">
        <v>14559</v>
      </c>
      <c r="F4007" s="3" t="s">
        <v>14560</v>
      </c>
      <c r="G4007" s="3">
        <v>70767</v>
      </c>
      <c r="H4007" s="7" t="str">
        <f>HYPERLINK("http://www.ensembl.org/Mus_musculus/Gene/Summary?db=core;g=ENSMUSG00000015748","ENSMUSG00000015748")</f>
        <v>ENSMUSG00000015748</v>
      </c>
      <c r="I4007" s="7" t="str">
        <f>HYPERLINK("http://www.informatics.jax.org/marker/MGI:1918017","MGI:1918017")</f>
        <v>MGI:1918017</v>
      </c>
      <c r="J4007" s="4" t="s">
        <v>12</v>
      </c>
    </row>
    <row r="4008" spans="1:10" x14ac:dyDescent="0.25">
      <c r="A4008" s="2">
        <v>683.16203018724696</v>
      </c>
      <c r="B4008" s="3">
        <v>0.20102482943898101</v>
      </c>
      <c r="C4008" s="3">
        <v>3.9610086390014397E-3</v>
      </c>
      <c r="D4008" s="4">
        <v>1.06752891022425E-2</v>
      </c>
      <c r="E4008" s="3" t="s">
        <v>14637</v>
      </c>
      <c r="F4008" s="3" t="s">
        <v>14638</v>
      </c>
      <c r="G4008" s="3">
        <v>110920</v>
      </c>
      <c r="H4008" s="7" t="str">
        <f>HYPERLINK("http://www.ensembl.org/Mus_musculus/Gene/Summary?db=core;g=ENSMUSG00000032932","ENSMUSG00000032932")</f>
        <v>ENSMUSG00000032932</v>
      </c>
      <c r="I4008" s="7" t="str">
        <f>HYPERLINK("http://www.informatics.jax.org/marker/MGI:1309463","MGI:1309463")</f>
        <v>MGI:1309463</v>
      </c>
      <c r="J4008" s="4" t="s">
        <v>12</v>
      </c>
    </row>
    <row r="4009" spans="1:10" x14ac:dyDescent="0.25">
      <c r="A4009" s="2">
        <v>699.97602569324397</v>
      </c>
      <c r="B4009" s="3">
        <v>0.200969131679891</v>
      </c>
      <c r="C4009" s="3">
        <v>2.4651903847834802E-3</v>
      </c>
      <c r="D4009" s="4">
        <v>6.8595392109397704E-3</v>
      </c>
      <c r="E4009" s="3" t="s">
        <v>14181</v>
      </c>
      <c r="F4009" s="3" t="s">
        <v>14182</v>
      </c>
      <c r="G4009" s="3">
        <v>329002</v>
      </c>
      <c r="H4009" s="7" t="str">
        <f>HYPERLINK("http://www.ensembl.org/Mus_musculus/Gene/Summary?db=core;g=ENSMUSG00000041258","ENSMUSG00000041258")</f>
        <v>ENSMUSG00000041258</v>
      </c>
      <c r="I4009" s="7" t="str">
        <f>HYPERLINK("http://www.informatics.jax.org/marker/MGI:1926950","MGI:1926950")</f>
        <v>MGI:1926950</v>
      </c>
      <c r="J4009" s="4" t="s">
        <v>12</v>
      </c>
    </row>
    <row r="4010" spans="1:10" x14ac:dyDescent="0.25">
      <c r="A4010" s="2">
        <v>2121.40668920295</v>
      </c>
      <c r="B4010" s="3">
        <v>0.200951285198151</v>
      </c>
      <c r="C4010" s="3">
        <v>2.0837480040831499E-3</v>
      </c>
      <c r="D4010" s="4">
        <v>5.8668633124671302E-3</v>
      </c>
      <c r="E4010" s="3" t="s">
        <v>14015</v>
      </c>
      <c r="F4010" s="3" t="s">
        <v>14016</v>
      </c>
      <c r="G4010" s="3">
        <v>74006</v>
      </c>
      <c r="H4010" s="7" t="str">
        <f>HYPERLINK("http://www.ensembl.org/Mus_musculus/Gene/Summary?db=core;g=ENSMUSG00000022789","ENSMUSG00000022789")</f>
        <v>ENSMUSG00000022789</v>
      </c>
      <c r="I4010" s="7" t="str">
        <f>HYPERLINK("http://www.informatics.jax.org/marker/MGI:1921256","MGI:1921256")</f>
        <v>MGI:1921256</v>
      </c>
      <c r="J4010" s="4" t="s">
        <v>12</v>
      </c>
    </row>
    <row r="4011" spans="1:10" x14ac:dyDescent="0.25">
      <c r="A4011" s="2">
        <v>877.80894739662699</v>
      </c>
      <c r="B4011" s="3">
        <v>0.20092027629593101</v>
      </c>
      <c r="C4011" s="3">
        <v>2.6863481385210998E-3</v>
      </c>
      <c r="D4011" s="4">
        <v>7.4298436594160003E-3</v>
      </c>
      <c r="E4011" s="3" t="s">
        <v>14267</v>
      </c>
      <c r="F4011" s="3" t="s">
        <v>14268</v>
      </c>
      <c r="G4011" s="3">
        <v>118445</v>
      </c>
      <c r="H4011" s="7" t="str">
        <f>HYPERLINK("http://www.ensembl.org/Mus_musculus/Gene/Summary?db=core;g=ENSMUSG00000035397","ENSMUSG00000035397")</f>
        <v>ENSMUSG00000035397</v>
      </c>
      <c r="I4011" s="7" t="str">
        <f>HYPERLINK("http://www.informatics.jax.org/marker/MGI:2153049","MGI:2153049")</f>
        <v>MGI:2153049</v>
      </c>
      <c r="J4011" s="4" t="s">
        <v>12</v>
      </c>
    </row>
    <row r="4012" spans="1:10" x14ac:dyDescent="0.25">
      <c r="A4012" s="2">
        <v>1514.7184658256001</v>
      </c>
      <c r="B4012" s="3">
        <v>0.200772757089896</v>
      </c>
      <c r="C4012" s="3">
        <v>1.80910755570549E-3</v>
      </c>
      <c r="D4012" s="4">
        <v>5.1398359023933603E-3</v>
      </c>
      <c r="E4012" s="3" t="s">
        <v>13889</v>
      </c>
      <c r="F4012" s="3" t="s">
        <v>13890</v>
      </c>
      <c r="G4012" s="3">
        <v>12340</v>
      </c>
      <c r="H4012" s="7" t="str">
        <f>HYPERLINK("http://www.ensembl.org/Mus_musculus/Gene/Summary?db=core;g=ENSMUSG00000070372","ENSMUSG00000070372")</f>
        <v>ENSMUSG00000070372</v>
      </c>
      <c r="I4012" s="7" t="str">
        <f>HYPERLINK("http://www.informatics.jax.org/marker/MGI:106227","MGI:106227")</f>
        <v>MGI:106227</v>
      </c>
      <c r="J4012" s="4" t="s">
        <v>12</v>
      </c>
    </row>
    <row r="4013" spans="1:10" x14ac:dyDescent="0.25">
      <c r="A4013" s="2">
        <v>2816.2475573135798</v>
      </c>
      <c r="B4013" s="3">
        <v>0.20073860123380499</v>
      </c>
      <c r="C4013" s="3">
        <v>6.6671678275508801E-3</v>
      </c>
      <c r="D4013" s="4">
        <v>1.7164040412441701E-2</v>
      </c>
      <c r="E4013" s="3" t="s">
        <v>15325</v>
      </c>
      <c r="F4013" s="3" t="s">
        <v>15326</v>
      </c>
      <c r="G4013" s="3">
        <v>619547</v>
      </c>
      <c r="H4013" s="7" t="str">
        <f>HYPERLINK("http://www.ensembl.org/Mus_musculus/Gene/Summary?db=core;g=ENSMUSG00000062006","ENSMUSG00000062006")</f>
        <v>ENSMUSG00000062006</v>
      </c>
      <c r="I4013" s="7" t="str">
        <f>HYPERLINK("http://www.informatics.jax.org/marker/MGI:1915686","MGI:1915686")</f>
        <v>MGI:1915686</v>
      </c>
      <c r="J4013" s="4" t="s">
        <v>12</v>
      </c>
    </row>
    <row r="4014" spans="1:10" x14ac:dyDescent="0.25">
      <c r="A4014" s="2">
        <v>13061.030143149201</v>
      </c>
      <c r="B4014" s="3">
        <v>0.20070523597939</v>
      </c>
      <c r="C4014" s="3">
        <v>3.8304983103951899E-3</v>
      </c>
      <c r="D4014" s="4">
        <v>1.03461754117235E-2</v>
      </c>
      <c r="E4014" s="3" t="s">
        <v>14605</v>
      </c>
      <c r="F4014" s="3" t="s">
        <v>14606</v>
      </c>
      <c r="G4014" s="3">
        <v>16898</v>
      </c>
      <c r="H4014" s="7" t="str">
        <f>HYPERLINK("http://www.ensembl.org/Mus_musculus/Gene/Summary?db=core;g=ENSMUSG00000044533","ENSMUSG00000044533")</f>
        <v>ENSMUSG00000044533</v>
      </c>
      <c r="I4014" s="7" t="str">
        <f>HYPERLINK("http://www.informatics.jax.org/marker/MGI:105110","MGI:105110")</f>
        <v>MGI:105110</v>
      </c>
      <c r="J4014" s="4" t="s">
        <v>12</v>
      </c>
    </row>
    <row r="4015" spans="1:10" x14ac:dyDescent="0.25">
      <c r="A4015" s="2">
        <v>718.85367563332397</v>
      </c>
      <c r="B4015" s="3">
        <v>0.20064515810987901</v>
      </c>
      <c r="C4015" s="3">
        <v>9.0531863544021998E-3</v>
      </c>
      <c r="D4015" s="4">
        <v>2.2702039027061499E-2</v>
      </c>
      <c r="E4015" s="3" t="s">
        <v>15733</v>
      </c>
      <c r="F4015" s="3" t="s">
        <v>15734</v>
      </c>
      <c r="G4015" s="3">
        <v>107976</v>
      </c>
      <c r="H4015" s="7" t="str">
        <f>HYPERLINK("http://www.ensembl.org/Mus_musculus/Gene/Summary?db=core;g=ENSMUSG00000052139","ENSMUSG00000052139")</f>
        <v>ENSMUSG00000052139</v>
      </c>
      <c r="I4015" s="7" t="str">
        <f>HYPERLINK("http://www.informatics.jax.org/marker/MGI:1333875","MGI:1333875")</f>
        <v>MGI:1333875</v>
      </c>
      <c r="J4015" s="4" t="s">
        <v>12</v>
      </c>
    </row>
    <row r="4016" spans="1:10" x14ac:dyDescent="0.25">
      <c r="A4016" s="2">
        <v>383.44482370576901</v>
      </c>
      <c r="B4016" s="3">
        <v>0.200580606664925</v>
      </c>
      <c r="C4016" s="3">
        <v>6.3665842498923202E-3</v>
      </c>
      <c r="D4016" s="4">
        <v>1.6467607739753001E-2</v>
      </c>
      <c r="E4016" s="3" t="s">
        <v>15253</v>
      </c>
      <c r="F4016" s="3" t="s">
        <v>15254</v>
      </c>
      <c r="G4016" s="3">
        <v>68115</v>
      </c>
      <c r="H4016" s="7" t="str">
        <f>HYPERLINK("http://www.ensembl.org/Mus_musculus/Gene/Summary?db=core;g=ENSMUSG00000025971","ENSMUSG00000025971")</f>
        <v>ENSMUSG00000025971</v>
      </c>
      <c r="I4016" s="7" t="str">
        <f>HYPERLINK("http://www.informatics.jax.org/marker/MGI:1915365","MGI:1915365")</f>
        <v>MGI:1915365</v>
      </c>
      <c r="J4016" s="4" t="s">
        <v>12</v>
      </c>
    </row>
    <row r="4017" spans="1:10" x14ac:dyDescent="0.25">
      <c r="A4017" s="2">
        <v>1480.76055722313</v>
      </c>
      <c r="B4017" s="3">
        <v>0.20034351811555401</v>
      </c>
      <c r="C4017" s="3">
        <v>2.0753933326339001E-3</v>
      </c>
      <c r="D4017" s="4">
        <v>5.8466795027915103E-3</v>
      </c>
      <c r="E4017" s="3" t="s">
        <v>14007</v>
      </c>
      <c r="F4017" s="3" t="s">
        <v>14008</v>
      </c>
      <c r="G4017" s="3">
        <v>12537</v>
      </c>
      <c r="H4017" s="7" t="str">
        <f>HYPERLINK("http://www.ensembl.org/Mus_musculus/Gene/Summary?db=core;g=ENSMUSG00000029062","ENSMUSG00000029062")</f>
        <v>ENSMUSG00000029062</v>
      </c>
      <c r="I4017" s="7" t="str">
        <f>HYPERLINK("http://www.informatics.jax.org/marker/MGI:88353","MGI:88353")</f>
        <v>MGI:88353</v>
      </c>
      <c r="J4017" s="4" t="s">
        <v>12</v>
      </c>
    </row>
    <row r="4018" spans="1:10" x14ac:dyDescent="0.25">
      <c r="A4018" s="2">
        <v>1124.7703427272199</v>
      </c>
      <c r="B4018" s="3">
        <v>0.20001024875996801</v>
      </c>
      <c r="C4018" s="3">
        <v>2.15651380263636E-2</v>
      </c>
      <c r="D4018" s="4">
        <v>4.9995829047718203E-2</v>
      </c>
      <c r="E4018" s="3" t="s">
        <v>17016</v>
      </c>
      <c r="F4018" s="3" t="s">
        <v>17017</v>
      </c>
      <c r="G4018" s="3">
        <v>57436</v>
      </c>
      <c r="H4018" s="7" t="str">
        <f>HYPERLINK("http://www.ensembl.org/Mus_musculus/Gene/Summary?db=core;g=ENSMUSG00000030161","ENSMUSG00000030161")</f>
        <v>ENSMUSG00000030161</v>
      </c>
      <c r="I4018" s="7" t="str">
        <f>HYPERLINK("http://www.informatics.jax.org/marker/MGI:1914980","MGI:1914980")</f>
        <v>MGI:1914980</v>
      </c>
      <c r="J4018" s="4" t="s">
        <v>12</v>
      </c>
    </row>
    <row r="4019" spans="1:10" x14ac:dyDescent="0.25">
      <c r="A4019" s="2">
        <v>5457.1859191642097</v>
      </c>
      <c r="B4019" s="3">
        <v>0.19993785705495701</v>
      </c>
      <c r="C4019" s="3">
        <v>2.8883683425015801E-3</v>
      </c>
      <c r="D4019" s="4">
        <v>7.9373778865845998E-3</v>
      </c>
      <c r="E4019" s="3" t="s">
        <v>14357</v>
      </c>
      <c r="F4019" s="3" t="s">
        <v>14358</v>
      </c>
      <c r="G4019" s="3">
        <v>67115</v>
      </c>
      <c r="H4019" s="7" t="str">
        <f>HYPERLINK("http://www.ensembl.org/Mus_musculus/Gene/Summary?db=core;g=ENSMUSG00000025794","ENSMUSG00000025794")</f>
        <v>ENSMUSG00000025794</v>
      </c>
      <c r="I4019" s="7" t="str">
        <f>HYPERLINK("http://www.informatics.jax.org/marker/MGI:1914365","MGI:1914365")</f>
        <v>MGI:1914365</v>
      </c>
      <c r="J4019" s="4" t="s">
        <v>12</v>
      </c>
    </row>
    <row r="4020" spans="1:10" x14ac:dyDescent="0.25">
      <c r="A4020" s="2">
        <v>462.86010998531799</v>
      </c>
      <c r="B4020" s="3">
        <v>0.19986249548579299</v>
      </c>
      <c r="C4020" s="3">
        <v>1.21735019072405E-2</v>
      </c>
      <c r="D4020" s="4">
        <v>2.97547666845294E-2</v>
      </c>
      <c r="E4020" s="3" t="s">
        <v>16141</v>
      </c>
      <c r="F4020" s="3" t="s">
        <v>16142</v>
      </c>
      <c r="G4020" s="3">
        <v>71458</v>
      </c>
      <c r="H4020" s="7" t="str">
        <f>HYPERLINK("http://www.ensembl.org/Mus_musculus/Gene/Summary?db=core;g=ENSMUSG00000040363","ENSMUSG00000040363")</f>
        <v>ENSMUSG00000040363</v>
      </c>
      <c r="I4020" s="7" t="str">
        <f>HYPERLINK("http://www.informatics.jax.org/marker/MGI:1918708","MGI:1918708")</f>
        <v>MGI:1918708</v>
      </c>
      <c r="J4020" s="4" t="s">
        <v>12</v>
      </c>
    </row>
    <row r="4021" spans="1:10" x14ac:dyDescent="0.25">
      <c r="A4021" s="2">
        <v>1000.80774147255</v>
      </c>
      <c r="B4021" s="3">
        <v>0.19976660064530299</v>
      </c>
      <c r="C4021" s="5">
        <v>7.3894402164601999E-6</v>
      </c>
      <c r="D4021" s="6">
        <v>2.8104100495389599E-5</v>
      </c>
      <c r="E4021" s="3" t="s">
        <v>10384</v>
      </c>
      <c r="F4021" s="3" t="s">
        <v>10385</v>
      </c>
      <c r="G4021" s="3">
        <v>67955</v>
      </c>
      <c r="H4021" s="7" t="str">
        <f>HYPERLINK("http://www.ensembl.org/Mus_musculus/Gene/Summary?db=core;g=ENSMUSG00000022024","ENSMUSG00000022024")</f>
        <v>ENSMUSG00000022024</v>
      </c>
      <c r="I4021" s="7" t="str">
        <f>HYPERLINK("http://www.informatics.jax.org/marker/MGI:1915205","MGI:1915205")</f>
        <v>MGI:1915205</v>
      </c>
      <c r="J4021" s="4" t="s">
        <v>12</v>
      </c>
    </row>
    <row r="4022" spans="1:10" x14ac:dyDescent="0.25">
      <c r="A4022" s="2">
        <v>569.81557079824199</v>
      </c>
      <c r="B4022" s="3">
        <v>0.19960322681544601</v>
      </c>
      <c r="C4022" s="3">
        <v>1.2777904370166399E-3</v>
      </c>
      <c r="D4022" s="4">
        <v>3.7143318717523699E-3</v>
      </c>
      <c r="E4022" s="3" t="s">
        <v>13577</v>
      </c>
      <c r="F4022" s="3" t="s">
        <v>13578</v>
      </c>
      <c r="G4022" s="3">
        <v>105246</v>
      </c>
      <c r="H4022" s="7" t="str">
        <f>HYPERLINK("http://www.ensembl.org/Mus_musculus/Gene/Summary?db=core;g=ENSMUSG00000057649","ENSMUSG00000057649")</f>
        <v>ENSMUSG00000057649</v>
      </c>
      <c r="I4022" s="7" t="str">
        <f>HYPERLINK("http://www.informatics.jax.org/marker/MGI:2145317","MGI:2145317")</f>
        <v>MGI:2145317</v>
      </c>
      <c r="J4022" s="4" t="s">
        <v>12</v>
      </c>
    </row>
    <row r="4023" spans="1:10" x14ac:dyDescent="0.25">
      <c r="A4023" s="2">
        <v>2339.79030175875</v>
      </c>
      <c r="B4023" s="3">
        <v>0.19955782310951101</v>
      </c>
      <c r="C4023" s="5">
        <v>2.1820602003597601E-5</v>
      </c>
      <c r="D4023" s="6">
        <v>7.90415634663748E-5</v>
      </c>
      <c r="E4023" s="3" t="s">
        <v>10900</v>
      </c>
      <c r="F4023" s="3" t="s">
        <v>10901</v>
      </c>
      <c r="G4023" s="3">
        <v>12385</v>
      </c>
      <c r="H4023" s="7" t="str">
        <f>HYPERLINK("http://www.ensembl.org/Mus_musculus/Gene/Summary?db=core;g=ENSMUSG00000037815","ENSMUSG00000037815")</f>
        <v>ENSMUSG00000037815</v>
      </c>
      <c r="I4023" s="7" t="str">
        <f>HYPERLINK("http://www.informatics.jax.org/marker/MGI:88274","MGI:88274")</f>
        <v>MGI:88274</v>
      </c>
      <c r="J4023" s="4" t="s">
        <v>12</v>
      </c>
    </row>
    <row r="4024" spans="1:10" x14ac:dyDescent="0.25">
      <c r="A4024" s="2">
        <v>665.73755386873802</v>
      </c>
      <c r="B4024" s="3">
        <v>0.19921786928983001</v>
      </c>
      <c r="C4024" s="3">
        <v>1.9626289438186401E-3</v>
      </c>
      <c r="D4024" s="4">
        <v>5.5536006273645602E-3</v>
      </c>
      <c r="E4024" s="3" t="s">
        <v>13945</v>
      </c>
      <c r="F4024" s="3" t="s">
        <v>13946</v>
      </c>
      <c r="G4024" s="3">
        <v>237500</v>
      </c>
      <c r="H4024" s="7" t="str">
        <f>HYPERLINK("http://www.ensembl.org/Mus_musculus/Gene/Summary?db=core;g=ENSMUSG00000036676","ENSMUSG00000036676")</f>
        <v>ENSMUSG00000036676</v>
      </c>
      <c r="I4024" s="7" t="str">
        <f>HYPERLINK("http://www.informatics.jax.org/marker/MGI:3036255","MGI:3036255")</f>
        <v>MGI:3036255</v>
      </c>
      <c r="J4024" s="4" t="s">
        <v>12</v>
      </c>
    </row>
    <row r="4025" spans="1:10" x14ac:dyDescent="0.25">
      <c r="A4025" s="2">
        <v>2318.0026613831501</v>
      </c>
      <c r="B4025" s="3">
        <v>0.19917666670585801</v>
      </c>
      <c r="C4025" s="5">
        <v>5.70290710067027E-5</v>
      </c>
      <c r="D4025" s="4">
        <v>1.9747379811276201E-4</v>
      </c>
      <c r="E4025" s="3" t="s">
        <v>11401</v>
      </c>
      <c r="F4025" s="3" t="s">
        <v>11402</v>
      </c>
      <c r="G4025" s="3">
        <v>23837</v>
      </c>
      <c r="H4025" s="7" t="str">
        <f>HYPERLINK("http://www.ensembl.org/Mus_musculus/Gene/Summary?db=core;g=ENSMUSG00000031954","ENSMUSG00000031954")</f>
        <v>ENSMUSG00000031954</v>
      </c>
      <c r="I4025" s="7" t="str">
        <f>HYPERLINK("http://www.informatics.jax.org/marker/MGI:1344403","MGI:1344403")</f>
        <v>MGI:1344403</v>
      </c>
      <c r="J4025" s="4" t="s">
        <v>12</v>
      </c>
    </row>
    <row r="4026" spans="1:10" x14ac:dyDescent="0.25">
      <c r="A4026" s="2">
        <v>824.85379434082699</v>
      </c>
      <c r="B4026" s="3">
        <v>0.19891908126296901</v>
      </c>
      <c r="C4026" s="3">
        <v>1.2687384877179301E-4</v>
      </c>
      <c r="D4026" s="4">
        <v>4.2241301667731801E-4</v>
      </c>
      <c r="E4026" s="3" t="s">
        <v>11857</v>
      </c>
      <c r="F4026" s="3" t="s">
        <v>11858</v>
      </c>
      <c r="G4026" s="3">
        <v>212442</v>
      </c>
      <c r="H4026" s="7" t="str">
        <f>HYPERLINK("http://www.ensembl.org/Mus_musculus/Gene/Summary?db=core;g=ENSMUSG00000025937","ENSMUSG00000025937")</f>
        <v>ENSMUSG00000025937</v>
      </c>
      <c r="I4026" s="7" t="str">
        <f>HYPERLINK("http://www.informatics.jax.org/marker/MGI:2442551","MGI:2442551")</f>
        <v>MGI:2442551</v>
      </c>
      <c r="J4026" s="4" t="s">
        <v>12</v>
      </c>
    </row>
    <row r="4027" spans="1:10" x14ac:dyDescent="0.25">
      <c r="A4027" s="2">
        <v>2125.2210830393401</v>
      </c>
      <c r="B4027" s="3">
        <v>0.19879908303437299</v>
      </c>
      <c r="C4027" s="3">
        <v>1.7688951637699101E-3</v>
      </c>
      <c r="D4027" s="4">
        <v>5.0350191439870904E-3</v>
      </c>
      <c r="E4027" s="3" t="s">
        <v>13863</v>
      </c>
      <c r="F4027" s="3" t="s">
        <v>13864</v>
      </c>
      <c r="G4027" s="3">
        <v>64144</v>
      </c>
      <c r="H4027" s="7" t="str">
        <f>HYPERLINK("http://www.ensembl.org/Mus_musculus/Gene/Summary?db=core;g=ENSMUSG00000024212","ENSMUSG00000024212")</f>
        <v>ENSMUSG00000024212</v>
      </c>
      <c r="I4027" s="7" t="str">
        <f>HYPERLINK("http://www.informatics.jax.org/marker/MGI:1927238","MGI:1927238")</f>
        <v>MGI:1927238</v>
      </c>
      <c r="J4027" s="4" t="s">
        <v>12</v>
      </c>
    </row>
    <row r="4028" spans="1:10" x14ac:dyDescent="0.25">
      <c r="A4028" s="2">
        <v>614.96989290520798</v>
      </c>
      <c r="B4028" s="3">
        <v>0.19853216083095501</v>
      </c>
      <c r="C4028" s="3">
        <v>1.3256876027075299E-2</v>
      </c>
      <c r="D4028" s="4">
        <v>3.2147761344555402E-2</v>
      </c>
      <c r="E4028" s="3" t="s">
        <v>16269</v>
      </c>
      <c r="F4028" s="3" t="s">
        <v>16270</v>
      </c>
      <c r="G4028" s="3">
        <v>74256</v>
      </c>
      <c r="H4028" s="7" t="str">
        <f>HYPERLINK("http://www.ensembl.org/Mus_musculus/Gene/Summary?db=core;g=ENSMUSG00000036712","ENSMUSG00000036712")</f>
        <v>ENSMUSG00000036712</v>
      </c>
      <c r="I4028" s="7" t="str">
        <f>HYPERLINK("http://www.informatics.jax.org/marker/MGI:1921506","MGI:1921506")</f>
        <v>MGI:1921506</v>
      </c>
      <c r="J4028" s="4" t="s">
        <v>12</v>
      </c>
    </row>
    <row r="4029" spans="1:10" x14ac:dyDescent="0.25">
      <c r="A4029" s="2">
        <v>7599.5058086449098</v>
      </c>
      <c r="B4029" s="3">
        <v>0.19851816114319401</v>
      </c>
      <c r="C4029" s="3">
        <v>2.5041084038060399E-3</v>
      </c>
      <c r="D4029" s="4">
        <v>6.9629184606676796E-3</v>
      </c>
      <c r="E4029" s="3" t="s">
        <v>14191</v>
      </c>
      <c r="F4029" s="3" t="s">
        <v>14192</v>
      </c>
      <c r="G4029" s="3">
        <v>270106</v>
      </c>
      <c r="H4029" s="7" t="str">
        <f>HYPERLINK("http://www.ensembl.org/Mus_musculus/Gene/Summary?db=core;g=ENSMUSG00000000740","ENSMUSG00000000740")</f>
        <v>ENSMUSG00000000740</v>
      </c>
      <c r="I4029" s="7" t="str">
        <f>HYPERLINK("http://www.informatics.jax.org/marker/MGI:105922","MGI:105922")</f>
        <v>MGI:105922</v>
      </c>
      <c r="J4029" s="4" t="s">
        <v>12</v>
      </c>
    </row>
    <row r="4030" spans="1:10" x14ac:dyDescent="0.25">
      <c r="A4030" s="2">
        <v>9563.1474444912001</v>
      </c>
      <c r="B4030" s="3">
        <v>0.19819289936762099</v>
      </c>
      <c r="C4030" s="3">
        <v>1.79560274579189E-2</v>
      </c>
      <c r="D4030" s="4">
        <v>4.23353492910283E-2</v>
      </c>
      <c r="E4030" s="3" t="s">
        <v>16732</v>
      </c>
      <c r="F4030" s="3" t="s">
        <v>16733</v>
      </c>
      <c r="G4030" s="3">
        <v>56040</v>
      </c>
      <c r="H4030" s="7" t="str">
        <f>HYPERLINK("http://www.ensembl.org/Mus_musculus/Gene/Summary?db=core;g=ENSMUSG00000007892","ENSMUSG00000007892")</f>
        <v>ENSMUSG00000007892</v>
      </c>
      <c r="I4030" s="7" t="str">
        <f>HYPERLINK("http://www.informatics.jax.org/marker/MGI:1927099","MGI:1927099")</f>
        <v>MGI:1927099</v>
      </c>
      <c r="J4030" s="4" t="s">
        <v>12</v>
      </c>
    </row>
    <row r="4031" spans="1:10" x14ac:dyDescent="0.25">
      <c r="A4031" s="2">
        <v>1829.5725930608901</v>
      </c>
      <c r="B4031" s="3">
        <v>0.19784586523963801</v>
      </c>
      <c r="C4031" s="5">
        <v>3.0269711501028499E-5</v>
      </c>
      <c r="D4031" s="4">
        <v>1.08039585665209E-4</v>
      </c>
      <c r="E4031" s="3" t="s">
        <v>11062</v>
      </c>
      <c r="F4031" s="3" t="s">
        <v>11063</v>
      </c>
      <c r="G4031" s="3">
        <v>23806</v>
      </c>
      <c r="H4031" s="7" t="str">
        <f>HYPERLINK("http://www.ensembl.org/Mus_musculus/Gene/Summary?db=core;g=ENSMUSG00000025234","ENSMUSG00000025234")</f>
        <v>ENSMUSG00000025234</v>
      </c>
      <c r="I4031" s="7" t="str">
        <f>HYPERLINK("http://www.informatics.jax.org/marker/MGI:1344363","MGI:1344363")</f>
        <v>MGI:1344363</v>
      </c>
      <c r="J4031" s="4" t="s">
        <v>12</v>
      </c>
    </row>
    <row r="4032" spans="1:10" x14ac:dyDescent="0.25">
      <c r="A4032" s="2">
        <v>897.07168740602503</v>
      </c>
      <c r="B4032" s="3">
        <v>0.19781334711694301</v>
      </c>
      <c r="C4032" s="3">
        <v>6.2822479041652404E-4</v>
      </c>
      <c r="D4032" s="4">
        <v>1.9071109709073099E-3</v>
      </c>
      <c r="E4032" s="3" t="s">
        <v>13001</v>
      </c>
      <c r="F4032" s="3" t="s">
        <v>13002</v>
      </c>
      <c r="G4032" s="3">
        <v>13667</v>
      </c>
      <c r="H4032" s="7" t="str">
        <f>HYPERLINK("http://www.ensembl.org/Mus_musculus/Gene/Summary?db=core;g=ENSMUSG00000029145","ENSMUSG00000029145")</f>
        <v>ENSMUSG00000029145</v>
      </c>
      <c r="I4032" s="7" t="str">
        <f>HYPERLINK("http://www.informatics.jax.org/marker/MGI:95300","MGI:95300")</f>
        <v>MGI:95300</v>
      </c>
      <c r="J4032" s="4" t="s">
        <v>12</v>
      </c>
    </row>
    <row r="4033" spans="1:10" x14ac:dyDescent="0.25">
      <c r="A4033" s="2">
        <v>1960.6510127583699</v>
      </c>
      <c r="B4033" s="3">
        <v>0.19778040340233199</v>
      </c>
      <c r="C4033" s="5">
        <v>1.8612662583182399E-7</v>
      </c>
      <c r="D4033" s="6">
        <v>8.2629830288238896E-7</v>
      </c>
      <c r="E4033" s="3" t="s">
        <v>8901</v>
      </c>
      <c r="F4033" s="3" t="s">
        <v>8902</v>
      </c>
      <c r="G4033" s="3">
        <v>14479</v>
      </c>
      <c r="H4033" s="7" t="str">
        <f>HYPERLINK("http://www.ensembl.org/Mus_musculus/Gene/Summary?db=core;g=ENSMUSG00000020124","ENSMUSG00000020124")</f>
        <v>ENSMUSG00000020124</v>
      </c>
      <c r="I4033" s="7" t="str">
        <f>HYPERLINK("http://www.informatics.jax.org/marker/MGI:101857","MGI:101857")</f>
        <v>MGI:101857</v>
      </c>
      <c r="J4033" s="4" t="s">
        <v>12</v>
      </c>
    </row>
    <row r="4034" spans="1:10" x14ac:dyDescent="0.25">
      <c r="A4034" s="2">
        <v>10977.839835754499</v>
      </c>
      <c r="B4034" s="3">
        <v>0.19776083111212001</v>
      </c>
      <c r="C4034" s="5">
        <v>4.9095453559107396E-7</v>
      </c>
      <c r="D4034" s="6">
        <v>2.0955894895792098E-6</v>
      </c>
      <c r="E4034" s="3" t="s">
        <v>9255</v>
      </c>
      <c r="F4034" s="3" t="s">
        <v>9256</v>
      </c>
      <c r="G4034" s="3">
        <v>66870</v>
      </c>
      <c r="H4034" s="7" t="str">
        <f>HYPERLINK("http://www.ensembl.org/Mus_musculus/Gene/Summary?db=core;g=ENSMUSG00000036371","ENSMUSG00000036371")</f>
        <v>ENSMUSG00000036371</v>
      </c>
      <c r="I4034" s="7" t="str">
        <f>HYPERLINK("http://www.informatics.jax.org/marker/MGI:1914120","MGI:1914120")</f>
        <v>MGI:1914120</v>
      </c>
      <c r="J4034" s="4" t="s">
        <v>12</v>
      </c>
    </row>
    <row r="4035" spans="1:10" x14ac:dyDescent="0.25">
      <c r="A4035" s="2">
        <v>6574.0812728804203</v>
      </c>
      <c r="B4035" s="3">
        <v>0.19754951231606099</v>
      </c>
      <c r="C4035" s="3">
        <v>5.5596615035820199E-4</v>
      </c>
      <c r="D4035" s="4">
        <v>1.70216619858155E-3</v>
      </c>
      <c r="E4035" s="3" t="s">
        <v>12891</v>
      </c>
      <c r="F4035" s="3" t="s">
        <v>12892</v>
      </c>
      <c r="G4035" s="3">
        <v>55949</v>
      </c>
      <c r="H4035" s="7" t="str">
        <f>HYPERLINK("http://www.ensembl.org/Mus_musculus/Gene/Summary?db=core;g=ENSMUSG00000025967","ENSMUSG00000025967")</f>
        <v>ENSMUSG00000025967</v>
      </c>
      <c r="I4035" s="7" t="str">
        <f>HYPERLINK("http://www.informatics.jax.org/marker/MGI:1929520","MGI:1929520")</f>
        <v>MGI:1929520</v>
      </c>
      <c r="J4035" s="4" t="s">
        <v>12</v>
      </c>
    </row>
    <row r="4036" spans="1:10" x14ac:dyDescent="0.25">
      <c r="A4036" s="2">
        <v>1065.31612278281</v>
      </c>
      <c r="B4036" s="3">
        <v>0.19732142196435801</v>
      </c>
      <c r="C4036" s="5">
        <v>4.6252403885009499E-5</v>
      </c>
      <c r="D4036" s="4">
        <v>1.6163342275605E-4</v>
      </c>
      <c r="E4036" s="3" t="s">
        <v>11297</v>
      </c>
      <c r="F4036" s="3" t="s">
        <v>11298</v>
      </c>
      <c r="G4036" s="3">
        <v>26398</v>
      </c>
      <c r="H4036" s="7" t="str">
        <f>HYPERLINK("http://www.ensembl.org/Mus_musculus/Gene/Summary?db=core;g=ENSMUSG00000033352","ENSMUSG00000033352")</f>
        <v>ENSMUSG00000033352</v>
      </c>
      <c r="I4036" s="7" t="str">
        <f>HYPERLINK("http://www.informatics.jax.org/marker/MGI:1346869","MGI:1346869")</f>
        <v>MGI:1346869</v>
      </c>
      <c r="J4036" s="4" t="s">
        <v>12</v>
      </c>
    </row>
    <row r="4037" spans="1:10" x14ac:dyDescent="0.25">
      <c r="A4037" s="2">
        <v>1857.8706760484599</v>
      </c>
      <c r="B4037" s="3">
        <v>0.197314072798352</v>
      </c>
      <c r="C4037" s="3">
        <v>8.2133450581650398E-4</v>
      </c>
      <c r="D4037" s="4">
        <v>2.4521902278124802E-3</v>
      </c>
      <c r="E4037" s="3" t="s">
        <v>13219</v>
      </c>
      <c r="F4037" s="3" t="s">
        <v>13220</v>
      </c>
      <c r="G4037" s="3">
        <v>12454</v>
      </c>
      <c r="H4037" s="7" t="str">
        <f>HYPERLINK("http://www.ensembl.org/Mus_musculus/Gene/Summary?db=core;g=ENSMUSG00000021258","ENSMUSG00000021258")</f>
        <v>ENSMUSG00000021258</v>
      </c>
      <c r="I4037" s="7" t="str">
        <f>HYPERLINK("http://www.informatics.jax.org/marker/MGI:1276106","MGI:1276106")</f>
        <v>MGI:1276106</v>
      </c>
      <c r="J4037" s="4" t="s">
        <v>12</v>
      </c>
    </row>
    <row r="4038" spans="1:10" x14ac:dyDescent="0.25">
      <c r="A4038" s="2">
        <v>2034.99355204582</v>
      </c>
      <c r="B4038" s="3">
        <v>0.19713490586610199</v>
      </c>
      <c r="C4038" s="3">
        <v>3.20389742130517E-4</v>
      </c>
      <c r="D4038" s="4">
        <v>1.01154110067464E-3</v>
      </c>
      <c r="E4038" s="3" t="s">
        <v>12505</v>
      </c>
      <c r="F4038" s="3" t="s">
        <v>12506</v>
      </c>
      <c r="G4038" s="3">
        <v>223696</v>
      </c>
      <c r="H4038" s="7" t="str">
        <f>HYPERLINK("http://www.ensembl.org/Mus_musculus/Gene/Summary?db=core;g=ENSMUSG00000022427","ENSMUSG00000022427")</f>
        <v>ENSMUSG00000022427</v>
      </c>
      <c r="I4038" s="7" t="str">
        <f>HYPERLINK("http://www.informatics.jax.org/marker/MGI:2450248","MGI:2450248")</f>
        <v>MGI:2450248</v>
      </c>
      <c r="J4038" s="4" t="s">
        <v>12</v>
      </c>
    </row>
    <row r="4039" spans="1:10" x14ac:dyDescent="0.25">
      <c r="A4039" s="2">
        <v>6116.6658983055604</v>
      </c>
      <c r="B4039" s="3">
        <v>0.19693433351651399</v>
      </c>
      <c r="C4039" s="3">
        <v>2.3049891777884E-4</v>
      </c>
      <c r="D4039" s="4">
        <v>7.43326027571338E-4</v>
      </c>
      <c r="E4039" s="3" t="s">
        <v>12241</v>
      </c>
      <c r="F4039" s="3" t="s">
        <v>12242</v>
      </c>
      <c r="G4039" s="3">
        <v>22668</v>
      </c>
      <c r="H4039" s="7" t="str">
        <f>HYPERLINK("http://www.ensembl.org/Mus_musculus/Gene/Summary?db=core;g=ENSMUSG00000024949","ENSMUSG00000024949")</f>
        <v>ENSMUSG00000024949</v>
      </c>
      <c r="I4039" s="7" t="str">
        <f>HYPERLINK("http://www.informatics.jax.org/marker/MGI:1095403","MGI:1095403")</f>
        <v>MGI:1095403</v>
      </c>
      <c r="J4039" s="4" t="s">
        <v>12</v>
      </c>
    </row>
    <row r="4040" spans="1:10" x14ac:dyDescent="0.25">
      <c r="A4040" s="2">
        <v>1004.79520225291</v>
      </c>
      <c r="B4040" s="3">
        <v>0.19689438209594401</v>
      </c>
      <c r="C4040" s="3">
        <v>4.3639851911575798E-4</v>
      </c>
      <c r="D4040" s="4">
        <v>1.3531098737362801E-3</v>
      </c>
      <c r="E4040" s="3" t="s">
        <v>12731</v>
      </c>
      <c r="F4040" s="3" t="s">
        <v>12732</v>
      </c>
      <c r="G4040" s="3">
        <v>271377</v>
      </c>
      <c r="H4040" s="7" t="str">
        <f>HYPERLINK("http://www.ensembl.org/Mus_musculus/Gene/Summary?db=core;g=ENSMUSG00000022601","ENSMUSG00000022601")</f>
        <v>ENSMUSG00000022601</v>
      </c>
      <c r="I4040" s="7" t="str">
        <f>HYPERLINK("http://www.informatics.jax.org/marker/MGI:2443876","MGI:2443876")</f>
        <v>MGI:2443876</v>
      </c>
      <c r="J4040" s="4" t="s">
        <v>12</v>
      </c>
    </row>
    <row r="4041" spans="1:10" x14ac:dyDescent="0.25">
      <c r="A4041" s="2">
        <v>1797.4447722356199</v>
      </c>
      <c r="B4041" s="3">
        <v>0.19666958091120801</v>
      </c>
      <c r="C4041" s="5">
        <v>1.25728880416653E-5</v>
      </c>
      <c r="D4041" s="6">
        <v>4.6683741702436197E-5</v>
      </c>
      <c r="E4041" s="3" t="s">
        <v>10634</v>
      </c>
      <c r="F4041" s="3" t="s">
        <v>10635</v>
      </c>
      <c r="G4041" s="3">
        <v>94184</v>
      </c>
      <c r="H4041" s="7" t="str">
        <f>HYPERLINK("http://www.ensembl.org/Mus_musculus/Gene/Summary?db=core;g=ENSMUSG00000022680","ENSMUSG00000022680")</f>
        <v>ENSMUSG00000022680</v>
      </c>
      <c r="I4041" s="7" t="str">
        <f>HYPERLINK("http://www.informatics.jax.org/marker/MGI:1920909","MGI:1920909")</f>
        <v>MGI:1920909</v>
      </c>
      <c r="J4041" s="4" t="s">
        <v>12</v>
      </c>
    </row>
    <row r="4042" spans="1:10" x14ac:dyDescent="0.25">
      <c r="A4042" s="2">
        <v>683.93314050214099</v>
      </c>
      <c r="B4042" s="3">
        <v>0.19664674457453599</v>
      </c>
      <c r="C4042" s="3">
        <v>5.0390400503671599E-3</v>
      </c>
      <c r="D4042" s="4">
        <v>1.3323929980321799E-2</v>
      </c>
      <c r="E4042" s="3" t="s">
        <v>14920</v>
      </c>
      <c r="F4042" s="3" t="s">
        <v>14921</v>
      </c>
      <c r="G4042" s="3">
        <v>193742</v>
      </c>
      <c r="H4042" s="7" t="str">
        <f>HYPERLINK("http://www.ensembl.org/Mus_musculus/Gene/Summary?db=core;g=ENSMUSG00000007036","ENSMUSG00000007036")</f>
        <v>ENSMUSG00000007036</v>
      </c>
      <c r="I4042" s="7" t="str">
        <f>HYPERLINK("http://www.informatics.jax.org/marker/MGI:99476","MGI:99476")</f>
        <v>MGI:99476</v>
      </c>
      <c r="J4042" s="4" t="s">
        <v>12</v>
      </c>
    </row>
    <row r="4043" spans="1:10" x14ac:dyDescent="0.25">
      <c r="A4043" s="2">
        <v>5707.51793292818</v>
      </c>
      <c r="B4043" s="3">
        <v>0.19614203915921499</v>
      </c>
      <c r="C4043" s="3">
        <v>1.6387233268963801E-3</v>
      </c>
      <c r="D4043" s="4">
        <v>4.6868200154309798E-3</v>
      </c>
      <c r="E4043" s="3" t="s">
        <v>13797</v>
      </c>
      <c r="F4043" s="3" t="s">
        <v>13798</v>
      </c>
      <c r="G4043" s="3">
        <v>19943</v>
      </c>
      <c r="H4043" s="7" t="str">
        <f>HYPERLINK("http://www.ensembl.org/Mus_musculus/Gene/Summary?db=core;g=ENSMUSG00000030432","ENSMUSG00000030432")</f>
        <v>ENSMUSG00000030432</v>
      </c>
      <c r="I4043" s="7" t="str">
        <f>HYPERLINK("http://www.informatics.jax.org/marker/MGI:101839","MGI:101839")</f>
        <v>MGI:101839</v>
      </c>
      <c r="J4043" s="4" t="s">
        <v>12</v>
      </c>
    </row>
    <row r="4044" spans="1:10" x14ac:dyDescent="0.25">
      <c r="A4044" s="2">
        <v>6131.0091029526702</v>
      </c>
      <c r="B4044" s="3">
        <v>0.19603503783632201</v>
      </c>
      <c r="C4044" s="3">
        <v>1.2008638188003801E-3</v>
      </c>
      <c r="D4044" s="4">
        <v>3.5000051000212001E-3</v>
      </c>
      <c r="E4044" s="3" t="s">
        <v>13541</v>
      </c>
      <c r="F4044" s="3" t="s">
        <v>13542</v>
      </c>
      <c r="G4044" s="3">
        <v>20084</v>
      </c>
      <c r="H4044" s="7" t="str">
        <f>HYPERLINK("http://www.ensembl.org/Mus_musculus/Gene/Summary?db=core;g=ENSMUSG00000008668","ENSMUSG00000008668")</f>
        <v>ENSMUSG00000008668</v>
      </c>
      <c r="I4044" s="7" t="str">
        <f>HYPERLINK("http://www.informatics.jax.org/marker/MGI:98146","MGI:98146")</f>
        <v>MGI:98146</v>
      </c>
      <c r="J4044" s="4" t="s">
        <v>12</v>
      </c>
    </row>
    <row r="4045" spans="1:10" x14ac:dyDescent="0.25">
      <c r="A4045" s="2">
        <v>1033.9902644358699</v>
      </c>
      <c r="B4045" s="3">
        <v>0.19597032248628399</v>
      </c>
      <c r="C4045" s="3">
        <v>1.79809022114249E-3</v>
      </c>
      <c r="D4045" s="4">
        <v>5.1122172954051201E-3</v>
      </c>
      <c r="E4045" s="3" t="s">
        <v>13879</v>
      </c>
      <c r="F4045" s="3" t="s">
        <v>13880</v>
      </c>
      <c r="G4045" s="3">
        <v>18130</v>
      </c>
      <c r="H4045" s="7" t="str">
        <f>HYPERLINK("http://www.ensembl.org/Mus_musculus/Gene/Summary?db=core;g=ENSMUSG00000035161","ENSMUSG00000035161")</f>
        <v>ENSMUSG00000035161</v>
      </c>
      <c r="I4045" s="7" t="str">
        <f>HYPERLINK("http://www.informatics.jax.org/marker/MGI:1202397","MGI:1202397")</f>
        <v>MGI:1202397</v>
      </c>
      <c r="J4045" s="4" t="s">
        <v>12</v>
      </c>
    </row>
    <row r="4046" spans="1:10" x14ac:dyDescent="0.25">
      <c r="A4046" s="2">
        <v>1824.4531833978001</v>
      </c>
      <c r="B4046" s="3">
        <v>0.19594155082031101</v>
      </c>
      <c r="C4046" s="3">
        <v>1.99203587048729E-3</v>
      </c>
      <c r="D4046" s="4">
        <v>5.62873583120925E-3</v>
      </c>
      <c r="E4046" s="3" t="s">
        <v>13965</v>
      </c>
      <c r="F4046" s="3" t="s">
        <v>13966</v>
      </c>
      <c r="G4046" s="3">
        <v>22031</v>
      </c>
      <c r="H4046" s="7" t="str">
        <f>HYPERLINK("http://www.ensembl.org/Mus_musculus/Gene/Summary?db=core;g=ENSMUSG00000021277","ENSMUSG00000021277")</f>
        <v>ENSMUSG00000021277</v>
      </c>
      <c r="I4046" s="7" t="str">
        <f>HYPERLINK("http://www.informatics.jax.org/marker/MGI:108041","MGI:108041")</f>
        <v>MGI:108041</v>
      </c>
      <c r="J4046" s="4" t="s">
        <v>12</v>
      </c>
    </row>
    <row r="4047" spans="1:10" x14ac:dyDescent="0.25">
      <c r="A4047" s="2">
        <v>2252.5079601795101</v>
      </c>
      <c r="B4047" s="3">
        <v>0.19588491277186701</v>
      </c>
      <c r="C4047" s="5">
        <v>3.6402246653551299E-6</v>
      </c>
      <c r="D4047" s="6">
        <v>1.42402758184494E-5</v>
      </c>
      <c r="E4047" s="3" t="s">
        <v>10098</v>
      </c>
      <c r="F4047" s="3" t="s">
        <v>10099</v>
      </c>
      <c r="G4047" s="3">
        <v>229317</v>
      </c>
      <c r="H4047" s="7" t="str">
        <f>HYPERLINK("http://www.ensembl.org/Mus_musculus/Gene/Summary?db=core;g=ENSMUSG00000027810","ENSMUSG00000027810")</f>
        <v>ENSMUSG00000027810</v>
      </c>
      <c r="I4047" s="7" t="str">
        <f>HYPERLINK("http://www.informatics.jax.org/marker/MGI:1098684","MGI:1098684")</f>
        <v>MGI:1098684</v>
      </c>
      <c r="J4047" s="4" t="s">
        <v>12</v>
      </c>
    </row>
    <row r="4048" spans="1:10" x14ac:dyDescent="0.25">
      <c r="A4048" s="2">
        <v>1773.42227752552</v>
      </c>
      <c r="B4048" s="3">
        <v>0.19562050221886401</v>
      </c>
      <c r="C4048" s="5">
        <v>9.5869498392557896E-5</v>
      </c>
      <c r="D4048" s="4">
        <v>3.2394559772125499E-4</v>
      </c>
      <c r="E4048" s="3" t="s">
        <v>11683</v>
      </c>
      <c r="F4048" s="3" t="s">
        <v>11684</v>
      </c>
      <c r="G4048" s="3">
        <v>231868</v>
      </c>
      <c r="H4048" s="7" t="str">
        <f>HYPERLINK("http://www.ensembl.org/Mus_musculus/Gene/Summary?db=core;g=ENSMUSG00000039244","ENSMUSG00000039244")</f>
        <v>ENSMUSG00000039244</v>
      </c>
      <c r="I4048" s="7" t="str">
        <f>HYPERLINK("http://www.informatics.jax.org/marker/MGI:2442621","MGI:2442621")</f>
        <v>MGI:2442621</v>
      </c>
      <c r="J4048" s="4" t="s">
        <v>12</v>
      </c>
    </row>
    <row r="4049" spans="1:10" x14ac:dyDescent="0.25">
      <c r="A4049" s="2">
        <v>332.32515682959598</v>
      </c>
      <c r="B4049" s="3">
        <v>0.19547169715943899</v>
      </c>
      <c r="C4049" s="3">
        <v>3.2673532614178602E-3</v>
      </c>
      <c r="D4049" s="4">
        <v>8.9043955659425297E-3</v>
      </c>
      <c r="E4049" s="3" t="s">
        <v>14475</v>
      </c>
      <c r="F4049" s="3" t="s">
        <v>14476</v>
      </c>
      <c r="G4049" s="3">
        <v>17828</v>
      </c>
      <c r="H4049" s="7" t="str">
        <f>HYPERLINK("http://www.ensembl.org/Mus_musculus/Gene/Summary?db=core;g=ENSMUSG00000038982","ENSMUSG00000038982")</f>
        <v>ENSMUSG00000038982</v>
      </c>
      <c r="I4049" s="7" t="str">
        <f>HYPERLINK("http://www.informatics.jax.org/marker/MGI:2178598","MGI:2178598")</f>
        <v>MGI:2178598</v>
      </c>
      <c r="J4049" s="4" t="s">
        <v>12</v>
      </c>
    </row>
    <row r="4050" spans="1:10" x14ac:dyDescent="0.25">
      <c r="A4050" s="2">
        <v>2965.1145014458498</v>
      </c>
      <c r="B4050" s="3">
        <v>0.195427593760999</v>
      </c>
      <c r="C4050" s="3">
        <v>8.0349708801989695E-4</v>
      </c>
      <c r="D4050" s="4">
        <v>2.40257203574714E-3</v>
      </c>
      <c r="E4050" s="3" t="s">
        <v>13199</v>
      </c>
      <c r="F4050" s="3" t="s">
        <v>13200</v>
      </c>
      <c r="G4050" s="3">
        <v>13209</v>
      </c>
      <c r="H4050" s="7" t="str">
        <f>HYPERLINK("http://www.ensembl.org/Mus_musculus/Gene/Summary?db=core;g=ENSMUSG00000032097","ENSMUSG00000032097")</f>
        <v>ENSMUSG00000032097</v>
      </c>
      <c r="I4050" s="7" t="str">
        <f>HYPERLINK("http://www.informatics.jax.org/marker/MGI:104976","MGI:104976")</f>
        <v>MGI:104976</v>
      </c>
      <c r="J4050" s="4" t="s">
        <v>12</v>
      </c>
    </row>
    <row r="4051" spans="1:10" x14ac:dyDescent="0.25">
      <c r="A4051" s="2">
        <v>4190.2422064080201</v>
      </c>
      <c r="B4051" s="3">
        <v>0.195407894586273</v>
      </c>
      <c r="C4051" s="3">
        <v>3.80116955387285E-3</v>
      </c>
      <c r="D4051" s="4">
        <v>1.0271178898653401E-2</v>
      </c>
      <c r="E4051" s="3" t="s">
        <v>14599</v>
      </c>
      <c r="F4051" s="3" t="s">
        <v>14600</v>
      </c>
      <c r="G4051" s="3">
        <v>21351</v>
      </c>
      <c r="H4051" s="7" t="str">
        <f>HYPERLINK("http://www.ensembl.org/Mus_musculus/Gene/Summary?db=core;g=ENSMUSG00000025503","ENSMUSG00000025503")</f>
        <v>ENSMUSG00000025503</v>
      </c>
      <c r="I4051" s="7" t="str">
        <f>HYPERLINK("http://www.informatics.jax.org/marker/MGI:1274789","MGI:1274789")</f>
        <v>MGI:1274789</v>
      </c>
      <c r="J4051" s="4" t="s">
        <v>12</v>
      </c>
    </row>
    <row r="4052" spans="1:10" x14ac:dyDescent="0.25">
      <c r="A4052" s="2">
        <v>1435.1454630286</v>
      </c>
      <c r="B4052" s="3">
        <v>0.19524337284629401</v>
      </c>
      <c r="C4052" s="3">
        <v>1.7997378434220002E-2</v>
      </c>
      <c r="D4052" s="4">
        <v>4.2422699345304703E-2</v>
      </c>
      <c r="E4052" s="3" t="s">
        <v>16736</v>
      </c>
      <c r="F4052" s="3" t="s">
        <v>16737</v>
      </c>
      <c r="G4052" s="3">
        <v>20024</v>
      </c>
      <c r="H4052" s="7" t="str">
        <f>HYPERLINK("http://www.ensembl.org/Mus_musculus/Gene/Summary?db=core;g=ENSMUSG00000022205","ENSMUSG00000022205")</f>
        <v>ENSMUSG00000022205</v>
      </c>
      <c r="I4052" s="7" t="str">
        <f>HYPERLINK("http://www.informatics.jax.org/marker/MGI:104811","MGI:104811")</f>
        <v>MGI:104811</v>
      </c>
      <c r="J4052" s="4" t="s">
        <v>12</v>
      </c>
    </row>
    <row r="4053" spans="1:10" x14ac:dyDescent="0.25">
      <c r="A4053" s="2">
        <v>15476.301502784099</v>
      </c>
      <c r="B4053" s="3">
        <v>0.19498887690837399</v>
      </c>
      <c r="C4053" s="3">
        <v>1.22827337561806E-2</v>
      </c>
      <c r="D4053" s="4">
        <v>2.9992014570564898E-2</v>
      </c>
      <c r="E4053" s="3" t="s">
        <v>16157</v>
      </c>
      <c r="F4053" s="3" t="s">
        <v>16158</v>
      </c>
      <c r="G4053" s="3">
        <v>13806</v>
      </c>
      <c r="H4053" s="7" t="str">
        <f>HYPERLINK("http://www.ensembl.org/Mus_musculus/Gene/Summary?db=core;g=ENSMUSG00000063524","ENSMUSG00000063524")</f>
        <v>ENSMUSG00000063524</v>
      </c>
      <c r="I4053" s="7" t="str">
        <f>HYPERLINK("http://www.informatics.jax.org/marker/MGI:95393","MGI:95393")</f>
        <v>MGI:95393</v>
      </c>
      <c r="J4053" s="4" t="s">
        <v>12</v>
      </c>
    </row>
    <row r="4054" spans="1:10" x14ac:dyDescent="0.25">
      <c r="A4054" s="2">
        <v>1997.5818543251301</v>
      </c>
      <c r="B4054" s="3">
        <v>0.19497900148472699</v>
      </c>
      <c r="C4054" s="3">
        <v>1.35214570266643E-4</v>
      </c>
      <c r="D4054" s="4">
        <v>4.4859386558198901E-4</v>
      </c>
      <c r="E4054" s="3" t="s">
        <v>11897</v>
      </c>
      <c r="F4054" s="3" t="s">
        <v>11898</v>
      </c>
      <c r="G4054" s="3">
        <v>67511</v>
      </c>
      <c r="H4054" s="7" t="str">
        <f>HYPERLINK("http://www.ensembl.org/Mus_musculus/Gene/Summary?db=core;g=ENSMUSG00000058569","ENSMUSG00000058569")</f>
        <v>ENSMUSG00000058569</v>
      </c>
      <c r="I4054" s="7" t="str">
        <f>HYPERLINK("http://www.informatics.jax.org/marker/MGI:1914761","MGI:1914761")</f>
        <v>MGI:1914761</v>
      </c>
      <c r="J4054" s="4" t="s">
        <v>12</v>
      </c>
    </row>
    <row r="4055" spans="1:10" x14ac:dyDescent="0.25">
      <c r="A4055" s="2">
        <v>957.26608668717597</v>
      </c>
      <c r="B4055" s="3">
        <v>0.19456179644181701</v>
      </c>
      <c r="C4055" s="3">
        <v>7.95145736014965E-3</v>
      </c>
      <c r="D4055" s="4">
        <v>2.015200348826E-2</v>
      </c>
      <c r="E4055" s="3" t="s">
        <v>15567</v>
      </c>
      <c r="F4055" s="3" t="s">
        <v>15568</v>
      </c>
      <c r="G4055" s="3">
        <v>219135</v>
      </c>
      <c r="H4055" s="7" t="str">
        <f>HYPERLINK("http://www.ensembl.org/Mus_musculus/Gene/Summary?db=core;g=ENSMUSG00000021987","ENSMUSG00000021987")</f>
        <v>ENSMUSG00000021987</v>
      </c>
      <c r="I4055" s="7" t="str">
        <f>HYPERLINK("http://www.informatics.jax.org/marker/MGI:2145637","MGI:2145637")</f>
        <v>MGI:2145637</v>
      </c>
      <c r="J4055" s="4" t="s">
        <v>12</v>
      </c>
    </row>
    <row r="4056" spans="1:10" x14ac:dyDescent="0.25">
      <c r="A4056" s="2">
        <v>1424.49582956874</v>
      </c>
      <c r="B4056" s="3">
        <v>0.19451183763617</v>
      </c>
      <c r="C4056" s="3">
        <v>1.6241892304125101E-3</v>
      </c>
      <c r="D4056" s="4">
        <v>4.6465996842789204E-3</v>
      </c>
      <c r="E4056" s="3" t="s">
        <v>13793</v>
      </c>
      <c r="F4056" s="3" t="s">
        <v>13794</v>
      </c>
      <c r="G4056" s="3">
        <v>24109</v>
      </c>
      <c r="H4056" s="7" t="str">
        <f>HYPERLINK("http://www.ensembl.org/Mus_musculus/Gene/Summary?db=core;g=ENSMUSG00000001687","ENSMUSG00000001687")</f>
        <v>ENSMUSG00000001687</v>
      </c>
      <c r="I4056" s="7" t="str">
        <f>HYPERLINK("http://www.informatics.jax.org/marker/MGI:1344373","MGI:1344373")</f>
        <v>MGI:1344373</v>
      </c>
      <c r="J4056" s="4" t="s">
        <v>12</v>
      </c>
    </row>
    <row r="4057" spans="1:10" x14ac:dyDescent="0.25">
      <c r="A4057" s="2">
        <v>802.52370005043997</v>
      </c>
      <c r="B4057" s="3">
        <v>0.194439385542899</v>
      </c>
      <c r="C4057" s="3">
        <v>2.74123261237458E-3</v>
      </c>
      <c r="D4057" s="4">
        <v>7.57208392156139E-3</v>
      </c>
      <c r="E4057" s="3" t="s">
        <v>14283</v>
      </c>
      <c r="F4057" s="3" t="s">
        <v>14284</v>
      </c>
      <c r="G4057" s="3">
        <v>215193</v>
      </c>
      <c r="H4057" s="7" t="str">
        <f>HYPERLINK("http://www.ensembl.org/Mus_musculus/Gene/Summary?db=core;g=ENSMUSG00000016181","ENSMUSG00000016181")</f>
        <v>ENSMUSG00000016181</v>
      </c>
      <c r="I4057" s="7" t="str">
        <f>HYPERLINK("http://www.informatics.jax.org/marker/MGI:2138080","MGI:2138080")</f>
        <v>MGI:2138080</v>
      </c>
      <c r="J4057" s="4" t="s">
        <v>12</v>
      </c>
    </row>
    <row r="4058" spans="1:10" x14ac:dyDescent="0.25">
      <c r="A4058" s="2">
        <v>6811.4072469694402</v>
      </c>
      <c r="B4058" s="3">
        <v>0.19427280214125001</v>
      </c>
      <c r="C4058" s="5">
        <v>7.0875061864524296E-6</v>
      </c>
      <c r="D4058" s="6">
        <v>2.6986990151929302E-5</v>
      </c>
      <c r="E4058" s="3" t="s">
        <v>10372</v>
      </c>
      <c r="F4058" s="3" t="s">
        <v>10373</v>
      </c>
      <c r="G4058" s="3">
        <v>58810</v>
      </c>
      <c r="H4058" s="7" t="str">
        <f>HYPERLINK("http://www.ensembl.org/Mus_musculus/Gene/Summary?db=core;g=ENSMUSG00000028692","ENSMUSG00000028692")</f>
        <v>ENSMUSG00000028692</v>
      </c>
      <c r="I4058" s="7" t="str">
        <f>HYPERLINK("http://www.informatics.jax.org/marker/MGI:1929955","MGI:1929955")</f>
        <v>MGI:1929955</v>
      </c>
      <c r="J4058" s="4" t="s">
        <v>12</v>
      </c>
    </row>
    <row r="4059" spans="1:10" x14ac:dyDescent="0.25">
      <c r="A4059" s="2">
        <v>1980.21331838831</v>
      </c>
      <c r="B4059" s="3">
        <v>0.19423390091741899</v>
      </c>
      <c r="C4059" s="3">
        <v>2.01578629018127E-4</v>
      </c>
      <c r="D4059" s="4">
        <v>6.5412712921465602E-4</v>
      </c>
      <c r="E4059" s="3" t="s">
        <v>12165</v>
      </c>
      <c r="F4059" s="3" t="s">
        <v>12166</v>
      </c>
      <c r="G4059" s="3">
        <v>230249</v>
      </c>
      <c r="H4059" s="7" t="str">
        <f>HYPERLINK("http://www.ensembl.org/Mus_musculus/Gene/Summary?db=core;g=ENSMUSG00000050812","ENSMUSG00000050812")</f>
        <v>ENSMUSG00000050812</v>
      </c>
      <c r="I4059" s="7" t="str">
        <f>HYPERLINK("http://www.informatics.jax.org/marker/MGI:2140220","MGI:2140220")</f>
        <v>MGI:2140220</v>
      </c>
      <c r="J4059" s="4" t="s">
        <v>12</v>
      </c>
    </row>
    <row r="4060" spans="1:10" x14ac:dyDescent="0.25">
      <c r="A4060" s="2">
        <v>952.72112139144303</v>
      </c>
      <c r="B4060" s="3">
        <v>0.19374564723038201</v>
      </c>
      <c r="C4060" s="3">
        <v>1.0303942195731801E-2</v>
      </c>
      <c r="D4060" s="4">
        <v>2.55814855973601E-2</v>
      </c>
      <c r="E4060" s="3" t="s">
        <v>15891</v>
      </c>
      <c r="F4060" s="3" t="s">
        <v>15892</v>
      </c>
      <c r="G4060" s="3">
        <v>13185</v>
      </c>
      <c r="H4060" s="7" t="str">
        <f>HYPERLINK("http://www.ensembl.org/Mus_musculus/Gene/Summary?db=core;g=ENSMUSG00000022898","ENSMUSG00000022898")</f>
        <v>ENSMUSG00000022898</v>
      </c>
      <c r="I4060" s="7" t="str">
        <f>HYPERLINK("http://www.informatics.jax.org/marker/MGI:1206040","MGI:1206040")</f>
        <v>MGI:1206040</v>
      </c>
      <c r="J4060" s="4" t="s">
        <v>12</v>
      </c>
    </row>
    <row r="4061" spans="1:10" x14ac:dyDescent="0.25">
      <c r="A4061" s="2">
        <v>306.49352425499802</v>
      </c>
      <c r="B4061" s="3">
        <v>0.193546139785647</v>
      </c>
      <c r="C4061" s="3">
        <v>1.33987672359289E-2</v>
      </c>
      <c r="D4061" s="4">
        <v>3.2467890131791403E-2</v>
      </c>
      <c r="E4061" s="3" t="s">
        <v>16281</v>
      </c>
      <c r="F4061" s="3" t="s">
        <v>16282</v>
      </c>
      <c r="G4061" s="3">
        <v>67510</v>
      </c>
      <c r="H4061" s="7" t="str">
        <f>HYPERLINK("http://www.ensembl.org/Mus_musculus/Gene/Summary?db=core;g=ENSMUSG00000014177","ENSMUSG00000014177")</f>
        <v>ENSMUSG00000014177</v>
      </c>
      <c r="I4061" s="7" t="str">
        <f>HYPERLINK("http://www.informatics.jax.org/marker/MGI:1914760","MGI:1914760")</f>
        <v>MGI:1914760</v>
      </c>
      <c r="J4061" s="4" t="s">
        <v>12</v>
      </c>
    </row>
    <row r="4062" spans="1:10" x14ac:dyDescent="0.25">
      <c r="A4062" s="2">
        <v>693.11160566666501</v>
      </c>
      <c r="B4062" s="3">
        <v>0.19345066669677199</v>
      </c>
      <c r="C4062" s="3">
        <v>2.8194644072785302E-3</v>
      </c>
      <c r="D4062" s="4">
        <v>7.7696811223494401E-3</v>
      </c>
      <c r="E4062" s="3" t="s">
        <v>14317</v>
      </c>
      <c r="F4062" s="3" t="s">
        <v>14318</v>
      </c>
      <c r="G4062" s="3">
        <v>225888</v>
      </c>
      <c r="H4062" s="7" t="str">
        <f>HYPERLINK("http://www.ensembl.org/Mus_musculus/Gene/Summary?db=core;g=ENSMUSG00000045098","ENSMUSG00000045098")</f>
        <v>ENSMUSG00000045098</v>
      </c>
      <c r="I4062" s="7" t="str">
        <f>HYPERLINK("http://www.informatics.jax.org/marker/MGI:2444557","MGI:2444557")</f>
        <v>MGI:2444557</v>
      </c>
      <c r="J4062" s="4" t="s">
        <v>12</v>
      </c>
    </row>
    <row r="4063" spans="1:10" x14ac:dyDescent="0.25">
      <c r="A4063" s="2">
        <v>406.35591596424001</v>
      </c>
      <c r="B4063" s="3">
        <v>0.193440033411583</v>
      </c>
      <c r="C4063" s="3">
        <v>7.2328332599456901E-3</v>
      </c>
      <c r="D4063" s="4">
        <v>1.8509145066977602E-2</v>
      </c>
      <c r="E4063" s="3" t="s">
        <v>15417</v>
      </c>
      <c r="F4063" s="3" t="s">
        <v>15418</v>
      </c>
      <c r="G4063" s="3">
        <v>114713</v>
      </c>
      <c r="H4063" s="7" t="str">
        <f>HYPERLINK("http://www.ensembl.org/Mus_musculus/Gene/Summary?db=core;g=ENSMUSG00000032413","ENSMUSG00000032413")</f>
        <v>ENSMUSG00000032413</v>
      </c>
      <c r="I4063" s="7" t="str">
        <f>HYPERLINK("http://www.informatics.jax.org/marker/MGI:2149960","MGI:2149960")</f>
        <v>MGI:2149960</v>
      </c>
      <c r="J4063" s="4" t="s">
        <v>12</v>
      </c>
    </row>
    <row r="4064" spans="1:10" x14ac:dyDescent="0.25">
      <c r="A4064" s="2">
        <v>2377.6910419071701</v>
      </c>
      <c r="B4064" s="3">
        <v>0.193425378901562</v>
      </c>
      <c r="C4064" s="3">
        <v>5.7062090231492103E-3</v>
      </c>
      <c r="D4064" s="4">
        <v>1.4917995749238E-2</v>
      </c>
      <c r="E4064" s="3" t="s">
        <v>15090</v>
      </c>
      <c r="F4064" s="3" t="s">
        <v>15091</v>
      </c>
      <c r="G4064" s="3">
        <v>15528</v>
      </c>
      <c r="H4064" s="7" t="str">
        <f>HYPERLINK("http://www.ensembl.org/Mus_musculus/Gene/Summary?db=core;g=ENSMUSG00000073676","ENSMUSG00000073676")</f>
        <v>ENSMUSG00000073676</v>
      </c>
      <c r="I4064" s="7" t="str">
        <f>HYPERLINK("http://www.informatics.jax.org/marker/MGI:104680","MGI:104680")</f>
        <v>MGI:104680</v>
      </c>
      <c r="J4064" s="4" t="s">
        <v>12</v>
      </c>
    </row>
    <row r="4065" spans="1:10" x14ac:dyDescent="0.25">
      <c r="A4065" s="2">
        <v>947.62305809050804</v>
      </c>
      <c r="B4065" s="3">
        <v>0.193245999650525</v>
      </c>
      <c r="C4065" s="5">
        <v>5.1322756131681899E-5</v>
      </c>
      <c r="D4065" s="4">
        <v>1.78592685886142E-4</v>
      </c>
      <c r="E4065" s="3" t="s">
        <v>11345</v>
      </c>
      <c r="F4065" s="3" t="s">
        <v>11346</v>
      </c>
      <c r="G4065" s="3">
        <v>19230</v>
      </c>
      <c r="H4065" s="7" t="str">
        <f>HYPERLINK("http://www.ensembl.org/Mus_musculus/Gene/Summary?db=core;g=ENSMUSG00000022451","ENSMUSG00000022451")</f>
        <v>ENSMUSG00000022451</v>
      </c>
      <c r="I4065" s="7" t="str">
        <f>HYPERLINK("http://www.informatics.jax.org/marker/MGI:1100520","MGI:1100520")</f>
        <v>MGI:1100520</v>
      </c>
      <c r="J4065" s="4" t="s">
        <v>12</v>
      </c>
    </row>
    <row r="4066" spans="1:10" x14ac:dyDescent="0.25">
      <c r="A4066" s="2">
        <v>480.18611716805498</v>
      </c>
      <c r="B4066" s="3">
        <v>0.193031850576417</v>
      </c>
      <c r="C4066" s="3">
        <v>1.2948460472959999E-2</v>
      </c>
      <c r="D4066" s="4">
        <v>3.1473393384293197E-2</v>
      </c>
      <c r="E4066" s="3" t="s">
        <v>16231</v>
      </c>
      <c r="F4066" s="3" t="s">
        <v>16232</v>
      </c>
      <c r="G4066" s="3">
        <v>72129</v>
      </c>
      <c r="H4066" s="7" t="str">
        <f>HYPERLINK("http://www.ensembl.org/Mus_musculus/Gene/Summary?db=core;g=ENSMUSG00000020283","ENSMUSG00000020283")</f>
        <v>ENSMUSG00000020283</v>
      </c>
      <c r="I4066" s="7" t="str">
        <f>HYPERLINK("http://www.informatics.jax.org/marker/MGI:1919379","MGI:1919379")</f>
        <v>MGI:1919379</v>
      </c>
      <c r="J4066" s="4" t="s">
        <v>12</v>
      </c>
    </row>
    <row r="4067" spans="1:10" x14ac:dyDescent="0.25">
      <c r="A4067" s="2">
        <v>798.22098449585701</v>
      </c>
      <c r="B4067" s="3">
        <v>0.19288751253073899</v>
      </c>
      <c r="C4067" s="3">
        <v>5.7177086809390302E-3</v>
      </c>
      <c r="D4067" s="4">
        <v>1.49415474375058E-2</v>
      </c>
      <c r="E4067" s="3" t="s">
        <v>15094</v>
      </c>
      <c r="F4067" s="3" t="s">
        <v>15095</v>
      </c>
      <c r="G4067" s="3">
        <v>72033</v>
      </c>
      <c r="H4067" s="7" t="str">
        <f>HYPERLINK("http://www.ensembl.org/Mus_musculus/Gene/Summary?db=core;g=ENSMUSG00000027806","ENSMUSG00000027806")</f>
        <v>ENSMUSG00000027806</v>
      </c>
      <c r="I4067" s="7" t="str">
        <f>HYPERLINK("http://www.informatics.jax.org/marker/MGI:1919283","MGI:1919283")</f>
        <v>MGI:1919283</v>
      </c>
      <c r="J4067" s="4" t="s">
        <v>12</v>
      </c>
    </row>
    <row r="4068" spans="1:10" x14ac:dyDescent="0.25">
      <c r="A4068" s="2">
        <v>941.38797494142796</v>
      </c>
      <c r="B4068" s="3">
        <v>0.192851375859244</v>
      </c>
      <c r="C4068" s="3">
        <v>2.2042497162141701E-3</v>
      </c>
      <c r="D4068" s="4">
        <v>6.1867071454232104E-3</v>
      </c>
      <c r="E4068" s="3" t="s">
        <v>14059</v>
      </c>
      <c r="F4068" s="3" t="s">
        <v>14060</v>
      </c>
      <c r="G4068" s="3">
        <v>319817</v>
      </c>
      <c r="H4068" s="7" t="str">
        <f>HYPERLINK("http://www.ensembl.org/Mus_musculus/Gene/Summary?db=core;g=ENSMUSG00000075376","ENSMUSG00000075376")</f>
        <v>ENSMUSG00000075376</v>
      </c>
      <c r="I4068" s="7" t="str">
        <f>HYPERLINK("http://www.informatics.jax.org/marker/MGI:2442789","MGI:2442789")</f>
        <v>MGI:2442789</v>
      </c>
      <c r="J4068" s="4" t="s">
        <v>12</v>
      </c>
    </row>
    <row r="4069" spans="1:10" x14ac:dyDescent="0.25">
      <c r="A4069" s="2">
        <v>2044.7171350567201</v>
      </c>
      <c r="B4069" s="3">
        <v>0.19261774697763601</v>
      </c>
      <c r="C4069" s="3">
        <v>1.27282590951391E-4</v>
      </c>
      <c r="D4069" s="4">
        <v>4.23702345300716E-4</v>
      </c>
      <c r="E4069" s="3" t="s">
        <v>11859</v>
      </c>
      <c r="F4069" s="3" t="s">
        <v>11860</v>
      </c>
      <c r="G4069" s="3">
        <v>66676</v>
      </c>
      <c r="H4069" s="7" t="str">
        <f>HYPERLINK("http://www.ensembl.org/Mus_musculus/Gene/Summary?db=core;g=ENSMUSG00000033184","ENSMUSG00000033184")</f>
        <v>ENSMUSG00000033184</v>
      </c>
      <c r="I4069" s="7" t="str">
        <f>HYPERLINK("http://www.informatics.jax.org/marker/MGI:1913926","MGI:1913926")</f>
        <v>MGI:1913926</v>
      </c>
      <c r="J4069" s="4" t="s">
        <v>12</v>
      </c>
    </row>
    <row r="4070" spans="1:10" x14ac:dyDescent="0.25">
      <c r="A4070" s="2">
        <v>2284.64952933</v>
      </c>
      <c r="B4070" s="3">
        <v>0.19259670473495599</v>
      </c>
      <c r="C4070" s="3">
        <v>1.9670869077902599E-3</v>
      </c>
      <c r="D4070" s="4">
        <v>5.56461825012536E-3</v>
      </c>
      <c r="E4070" s="3" t="s">
        <v>13949</v>
      </c>
      <c r="F4070" s="3" t="s">
        <v>13950</v>
      </c>
      <c r="G4070" s="3">
        <v>18641</v>
      </c>
      <c r="H4070" s="7" t="str">
        <f>HYPERLINK("http://www.ensembl.org/Mus_musculus/Gene/Summary?db=core;g=ENSMUSG00000020277","ENSMUSG00000020277")</f>
        <v>ENSMUSG00000020277</v>
      </c>
      <c r="I4070" s="7" t="str">
        <f>HYPERLINK("http://www.informatics.jax.org/marker/MGI:97547","MGI:97547")</f>
        <v>MGI:97547</v>
      </c>
      <c r="J4070" s="4" t="s">
        <v>12</v>
      </c>
    </row>
    <row r="4071" spans="1:10" x14ac:dyDescent="0.25">
      <c r="A4071" s="2">
        <v>1426.3722371121901</v>
      </c>
      <c r="B4071" s="3">
        <v>0.192286778708568</v>
      </c>
      <c r="C4071" s="3">
        <v>4.3253820962162301E-4</v>
      </c>
      <c r="D4071" s="4">
        <v>1.34198450184682E-3</v>
      </c>
      <c r="E4071" s="3" t="s">
        <v>12723</v>
      </c>
      <c r="F4071" s="3" t="s">
        <v>12724</v>
      </c>
      <c r="G4071" s="3">
        <v>55946</v>
      </c>
      <c r="H4071" s="7" t="str">
        <f>HYPERLINK("http://www.ensembl.org/Mus_musculus/Gene/Summary?db=core;g=ENSMUSG00000021824","ENSMUSG00000021824")</f>
        <v>ENSMUSG00000021824</v>
      </c>
      <c r="I4071" s="7" t="str">
        <f>HYPERLINK("http://www.informatics.jax.org/marker/MGI:1929212","MGI:1929212")</f>
        <v>MGI:1929212</v>
      </c>
      <c r="J4071" s="4" t="s">
        <v>12</v>
      </c>
    </row>
    <row r="4072" spans="1:10" x14ac:dyDescent="0.25">
      <c r="A4072" s="2">
        <v>1218.3080562350101</v>
      </c>
      <c r="B4072" s="3">
        <v>0.19206699490176299</v>
      </c>
      <c r="C4072" s="3">
        <v>8.3522023963913895E-4</v>
      </c>
      <c r="D4072" s="4">
        <v>2.48950168163298E-3</v>
      </c>
      <c r="E4072" s="3" t="s">
        <v>13241</v>
      </c>
      <c r="F4072" s="3" t="s">
        <v>13242</v>
      </c>
      <c r="G4072" s="3">
        <v>22687</v>
      </c>
      <c r="H4072" s="7" t="str">
        <f>HYPERLINK("http://www.ensembl.org/Mus_musculus/Gene/Summary?db=core;g=ENSMUSG00000032078","ENSMUSG00000032078")</f>
        <v>ENSMUSG00000032078</v>
      </c>
      <c r="I4072" s="7" t="str">
        <f>HYPERLINK("http://www.informatics.jax.org/marker/MGI:1330262","MGI:1330262")</f>
        <v>MGI:1330262</v>
      </c>
      <c r="J4072" s="4" t="s">
        <v>12</v>
      </c>
    </row>
    <row r="4073" spans="1:10" x14ac:dyDescent="0.25">
      <c r="A4073" s="2">
        <v>1927.1527038804099</v>
      </c>
      <c r="B4073" s="3">
        <v>0.19190139087149699</v>
      </c>
      <c r="C4073" s="5">
        <v>5.2006992472649802E-6</v>
      </c>
      <c r="D4073" s="6">
        <v>2.0034731227987E-5</v>
      </c>
      <c r="E4073" s="3" t="s">
        <v>10252</v>
      </c>
      <c r="F4073" s="3" t="s">
        <v>10253</v>
      </c>
      <c r="G4073" s="3">
        <v>56420</v>
      </c>
      <c r="H4073" s="7" t="str">
        <f>HYPERLINK("http://www.ensembl.org/Mus_musculus/Gene/Summary?db=core;g=ENSMUSG00000030697","ENSMUSG00000030697")</f>
        <v>ENSMUSG00000030697</v>
      </c>
      <c r="I4073" s="7" t="str">
        <f>HYPERLINK("http://www.informatics.jax.org/marker/MGI:1891763","MGI:1891763")</f>
        <v>MGI:1891763</v>
      </c>
      <c r="J4073" s="4" t="s">
        <v>12</v>
      </c>
    </row>
    <row r="4074" spans="1:10" x14ac:dyDescent="0.25">
      <c r="A4074" s="2">
        <v>619.417178657411</v>
      </c>
      <c r="B4074" s="3">
        <v>0.19088740858946701</v>
      </c>
      <c r="C4074" s="3">
        <v>1.4118689435436401E-3</v>
      </c>
      <c r="D4074" s="4">
        <v>4.0740496878373597E-3</v>
      </c>
      <c r="E4074" s="3" t="s">
        <v>13677</v>
      </c>
      <c r="F4074" s="3" t="s">
        <v>13678</v>
      </c>
      <c r="G4074" s="3">
        <v>71340</v>
      </c>
      <c r="H4074" s="7" t="str">
        <f>HYPERLINK("http://www.ensembl.org/Mus_musculus/Gene/Summary?db=core;g=ENSMUSG00000021428","ENSMUSG00000021428")</f>
        <v>ENSMUSG00000021428</v>
      </c>
      <c r="I4074" s="7" t="str">
        <f>HYPERLINK("http://www.informatics.jax.org/marker/MGI:1918590","MGI:1918590")</f>
        <v>MGI:1918590</v>
      </c>
      <c r="J4074" s="4" t="s">
        <v>12</v>
      </c>
    </row>
    <row r="4075" spans="1:10" x14ac:dyDescent="0.25">
      <c r="A4075" s="2">
        <v>918.25225363059803</v>
      </c>
      <c r="B4075" s="3">
        <v>0.19087153209077001</v>
      </c>
      <c r="C4075" s="3">
        <v>3.1672683559136701E-3</v>
      </c>
      <c r="D4075" s="4">
        <v>8.6531632001409595E-3</v>
      </c>
      <c r="E4075" s="3" t="s">
        <v>14439</v>
      </c>
      <c r="F4075" s="3" t="s">
        <v>14440</v>
      </c>
      <c r="G4075" s="3">
        <v>68035</v>
      </c>
      <c r="H4075" s="7" t="str">
        <f>HYPERLINK("http://www.ensembl.org/Mus_musculus/Gene/Summary?db=core;g=ENSMUSG00000036733","ENSMUSG00000036733")</f>
        <v>ENSMUSG00000036733</v>
      </c>
      <c r="I4075" s="7" t="str">
        <f>HYPERLINK("http://www.informatics.jax.org/marker/MGI:1915285","MGI:1915285")</f>
        <v>MGI:1915285</v>
      </c>
      <c r="J4075" s="4" t="s">
        <v>12</v>
      </c>
    </row>
    <row r="4076" spans="1:10" x14ac:dyDescent="0.25">
      <c r="A4076" s="2">
        <v>465.32026028802801</v>
      </c>
      <c r="B4076" s="3">
        <v>0.19086075391285501</v>
      </c>
      <c r="C4076" s="3">
        <v>2.9833874033720698E-3</v>
      </c>
      <c r="D4076" s="4">
        <v>8.1723016522429696E-3</v>
      </c>
      <c r="E4076" s="3" t="s">
        <v>14403</v>
      </c>
      <c r="F4076" s="3" t="s">
        <v>14404</v>
      </c>
      <c r="G4076" s="3">
        <v>52076</v>
      </c>
      <c r="H4076" s="7" t="str">
        <f>HYPERLINK("http://www.ensembl.org/Mus_musculus/Gene/Summary?db=core;g=ENSMUSG00000028420","ENSMUSG00000028420")</f>
        <v>ENSMUSG00000028420</v>
      </c>
      <c r="I4076" s="7" t="str">
        <f>HYPERLINK("http://www.informatics.jax.org/marker/MGI:1098718","MGI:1098718")</f>
        <v>MGI:1098718</v>
      </c>
      <c r="J4076" s="4" t="s">
        <v>12</v>
      </c>
    </row>
    <row r="4077" spans="1:10" x14ac:dyDescent="0.25">
      <c r="A4077" s="2">
        <v>1368.3144215018101</v>
      </c>
      <c r="B4077" s="3">
        <v>0.190828244363144</v>
      </c>
      <c r="C4077" s="3">
        <v>2.2890232949829498E-3</v>
      </c>
      <c r="D4077" s="4">
        <v>6.4036798662312003E-3</v>
      </c>
      <c r="E4077" s="3" t="s">
        <v>14105</v>
      </c>
      <c r="F4077" s="3" t="s">
        <v>14106</v>
      </c>
      <c r="G4077" s="3">
        <v>269113</v>
      </c>
      <c r="H4077" s="7" t="str">
        <f>HYPERLINK("http://www.ensembl.org/Mus_musculus/Gene/Summary?db=core;g=ENSMUSG00000034826","ENSMUSG00000034826")</f>
        <v>ENSMUSG00000034826</v>
      </c>
      <c r="I4077" s="7" t="str">
        <f>HYPERLINK("http://www.informatics.jax.org/marker/MGI:1920460","MGI:1920460")</f>
        <v>MGI:1920460</v>
      </c>
      <c r="J4077" s="4" t="s">
        <v>12</v>
      </c>
    </row>
    <row r="4078" spans="1:10" x14ac:dyDescent="0.25">
      <c r="A4078" s="2">
        <v>1034.20461764734</v>
      </c>
      <c r="B4078" s="3">
        <v>0.19080268147542101</v>
      </c>
      <c r="C4078" s="3">
        <v>3.6327643888629899E-4</v>
      </c>
      <c r="D4078" s="4">
        <v>1.1392829794589401E-3</v>
      </c>
      <c r="E4078" s="3" t="s">
        <v>12589</v>
      </c>
      <c r="F4078" s="3" t="s">
        <v>12590</v>
      </c>
      <c r="G4078" s="3">
        <v>30056</v>
      </c>
      <c r="H4078" s="7" t="str">
        <f>HYPERLINK("http://www.ensembl.org/Mus_musculus/Gene/Summary?db=core;g=ENSMUSG00000021079","ENSMUSG00000021079")</f>
        <v>ENSMUSG00000021079</v>
      </c>
      <c r="I4078" s="7" t="str">
        <f>HYPERLINK("http://www.informatics.jax.org/marker/MGI:1353436","MGI:1353436")</f>
        <v>MGI:1353436</v>
      </c>
      <c r="J4078" s="4" t="s">
        <v>12</v>
      </c>
    </row>
    <row r="4079" spans="1:10" x14ac:dyDescent="0.25">
      <c r="A4079" s="2">
        <v>2695.0693192516101</v>
      </c>
      <c r="B4079" s="3">
        <v>0.190715357834463</v>
      </c>
      <c r="C4079" s="3">
        <v>1.566516133352E-3</v>
      </c>
      <c r="D4079" s="4">
        <v>4.49333791268384E-3</v>
      </c>
      <c r="E4079" s="3" t="s">
        <v>13757</v>
      </c>
      <c r="F4079" s="3" t="s">
        <v>13758</v>
      </c>
      <c r="G4079" s="3">
        <v>16201</v>
      </c>
      <c r="H4079" s="7" t="str">
        <f>HYPERLINK("http://www.ensembl.org/Mus_musculus/Gene/Summary?db=core;g=ENSMUSG00000032178","ENSMUSG00000032178")</f>
        <v>ENSMUSG00000032178</v>
      </c>
      <c r="I4079" s="7" t="str">
        <f>HYPERLINK("http://www.informatics.jax.org/marker/MGI:1339973","MGI:1339973")</f>
        <v>MGI:1339973</v>
      </c>
      <c r="J4079" s="4" t="s">
        <v>12</v>
      </c>
    </row>
    <row r="4080" spans="1:10" x14ac:dyDescent="0.25">
      <c r="A4080" s="2">
        <v>1102.61141984493</v>
      </c>
      <c r="B4080" s="3">
        <v>0.19071434236263601</v>
      </c>
      <c r="C4080" s="5">
        <v>1.46367773272337E-5</v>
      </c>
      <c r="D4080" s="6">
        <v>5.4001356200757597E-5</v>
      </c>
      <c r="E4080" s="3" t="s">
        <v>10702</v>
      </c>
      <c r="F4080" s="3" t="s">
        <v>10703</v>
      </c>
      <c r="G4080" s="3">
        <v>107829</v>
      </c>
      <c r="H4080" s="7" t="str">
        <f>HYPERLINK("http://www.ensembl.org/Mus_musculus/Gene/Summary?db=core;g=ENSMUSG00000034274","ENSMUSG00000034274")</f>
        <v>ENSMUSG00000034274</v>
      </c>
      <c r="I4080" s="7" t="str">
        <f>HYPERLINK("http://www.informatics.jax.org/marker/MGI:1351333","MGI:1351333")</f>
        <v>MGI:1351333</v>
      </c>
      <c r="J4080" s="4" t="s">
        <v>12</v>
      </c>
    </row>
    <row r="4081" spans="1:10" x14ac:dyDescent="0.25">
      <c r="A4081" s="2">
        <v>1256.34466705777</v>
      </c>
      <c r="B4081" s="3">
        <v>0.19068299155601801</v>
      </c>
      <c r="C4081" s="3">
        <v>1.6300102746463001E-4</v>
      </c>
      <c r="D4081" s="4">
        <v>5.3456147758311804E-4</v>
      </c>
      <c r="E4081" s="3" t="s">
        <v>12039</v>
      </c>
      <c r="F4081" s="3" t="s">
        <v>12040</v>
      </c>
      <c r="G4081" s="3">
        <v>18584</v>
      </c>
      <c r="H4081" s="7" t="str">
        <f>HYPERLINK("http://www.ensembl.org/Mus_musculus/Gene/Summary?db=core;g=ENSMUSG00000025584","ENSMUSG00000025584")</f>
        <v>ENSMUSG00000025584</v>
      </c>
      <c r="I4081" s="7" t="str">
        <f>HYPERLINK("http://www.informatics.jax.org/marker/MGI:1277116","MGI:1277116")</f>
        <v>MGI:1277116</v>
      </c>
      <c r="J4081" s="4" t="s">
        <v>12</v>
      </c>
    </row>
    <row r="4082" spans="1:10" x14ac:dyDescent="0.25">
      <c r="A4082" s="2">
        <v>1893.6790782728399</v>
      </c>
      <c r="B4082" s="3">
        <v>0.19010579216779899</v>
      </c>
      <c r="C4082" s="3">
        <v>3.3135240090475301E-3</v>
      </c>
      <c r="D4082" s="4">
        <v>9.0202503393729001E-3</v>
      </c>
      <c r="E4082" s="3" t="s">
        <v>14491</v>
      </c>
      <c r="F4082" s="3" t="s">
        <v>14492</v>
      </c>
      <c r="G4082" s="3">
        <v>66354</v>
      </c>
      <c r="H4082" s="7" t="str">
        <f>HYPERLINK("http://www.ensembl.org/Mus_musculus/Gene/Summary?db=core;g=ENSMUSG00000021039","ENSMUSG00000021039")</f>
        <v>ENSMUSG00000021039</v>
      </c>
      <c r="I4082" s="7" t="str">
        <f>HYPERLINK("http://www.informatics.jax.org/marker/MGI:1913604","MGI:1913604")</f>
        <v>MGI:1913604</v>
      </c>
      <c r="J4082" s="4" t="s">
        <v>12</v>
      </c>
    </row>
    <row r="4083" spans="1:10" x14ac:dyDescent="0.25">
      <c r="A4083" s="2">
        <v>1265.97070908621</v>
      </c>
      <c r="B4083" s="3">
        <v>0.189914492127362</v>
      </c>
      <c r="C4083" s="3">
        <v>3.5214422367079298E-3</v>
      </c>
      <c r="D4083" s="4">
        <v>9.5546011155586696E-3</v>
      </c>
      <c r="E4083" s="3" t="s">
        <v>14539</v>
      </c>
      <c r="F4083" s="3" t="s">
        <v>14540</v>
      </c>
      <c r="G4083" s="3">
        <v>16561</v>
      </c>
      <c r="H4083" s="7" t="str">
        <f>HYPERLINK("http://www.ensembl.org/Mus_musculus/Gene/Summary?db=core;g=ENSMUSG00000063077","ENSMUSG00000063077")</f>
        <v>ENSMUSG00000063077</v>
      </c>
      <c r="I4083" s="7" t="str">
        <f>HYPERLINK("http://www.informatics.jax.org/marker/MGI:108426","MGI:108426")</f>
        <v>MGI:108426</v>
      </c>
      <c r="J4083" s="4" t="s">
        <v>12</v>
      </c>
    </row>
    <row r="4084" spans="1:10" x14ac:dyDescent="0.25">
      <c r="A4084" s="2">
        <v>679.55419185787605</v>
      </c>
      <c r="B4084" s="3">
        <v>0.189752437106849</v>
      </c>
      <c r="C4084" s="3">
        <v>9.3579170231458003E-4</v>
      </c>
      <c r="D4084" s="4">
        <v>2.7694242153359001E-3</v>
      </c>
      <c r="E4084" s="3" t="s">
        <v>13334</v>
      </c>
      <c r="F4084" s="3" t="s">
        <v>13335</v>
      </c>
      <c r="G4084" s="3">
        <v>74330</v>
      </c>
      <c r="H4084" s="7" t="str">
        <f>HYPERLINK("http://www.ensembl.org/Mus_musculus/Gene/Summary?db=core;g=ENSMUSG00000025354","ENSMUSG00000025354")</f>
        <v>ENSMUSG00000025354</v>
      </c>
      <c r="I4084" s="7" t="str">
        <f>HYPERLINK("http://www.informatics.jax.org/marker/MGI:1921580","MGI:1921580")</f>
        <v>MGI:1921580</v>
      </c>
      <c r="J4084" s="4" t="s">
        <v>12</v>
      </c>
    </row>
    <row r="4085" spans="1:10" x14ac:dyDescent="0.25">
      <c r="A4085" s="2">
        <v>1068.07471428595</v>
      </c>
      <c r="B4085" s="3">
        <v>0.18969096893335199</v>
      </c>
      <c r="C4085" s="3">
        <v>1.4909423770816E-3</v>
      </c>
      <c r="D4085" s="4">
        <v>4.2884165221775301E-3</v>
      </c>
      <c r="E4085" s="3" t="s">
        <v>13721</v>
      </c>
      <c r="F4085" s="3" t="s">
        <v>13722</v>
      </c>
      <c r="G4085" s="3">
        <v>14004</v>
      </c>
      <c r="H4085" s="7" t="str">
        <f>HYPERLINK("http://www.ensembl.org/Mus_musculus/Gene/Summary?db=core;g=ENSMUSG00000070493","ENSMUSG00000070493")</f>
        <v>ENSMUSG00000070493</v>
      </c>
      <c r="I4085" s="7" t="str">
        <f>HYPERLINK("http://www.informatics.jax.org/marker/MGI:1261428","MGI:1261428")</f>
        <v>MGI:1261428</v>
      </c>
      <c r="J4085" s="4" t="s">
        <v>12</v>
      </c>
    </row>
    <row r="4086" spans="1:10" x14ac:dyDescent="0.25">
      <c r="A4086" s="2">
        <v>1785.1204668104999</v>
      </c>
      <c r="B4086" s="3">
        <v>0.18953788809001601</v>
      </c>
      <c r="C4086" s="3">
        <v>1.71276578252419E-2</v>
      </c>
      <c r="D4086" s="4">
        <v>4.05860865553676E-2</v>
      </c>
      <c r="E4086" s="3" t="s">
        <v>16648</v>
      </c>
      <c r="F4086" s="3" t="s">
        <v>16649</v>
      </c>
      <c r="G4086" s="3">
        <v>65964</v>
      </c>
      <c r="H4086" s="7" t="str">
        <f>HYPERLINK("http://www.ensembl.org/Mus_musculus/Gene/Summary?db=core;g=ENSMUSG00000004085","ENSMUSG00000004085")</f>
        <v>ENSMUSG00000004085</v>
      </c>
      <c r="I4086" s="7" t="str">
        <f>HYPERLINK("http://www.informatics.jax.org/marker/MGI:2443258","MGI:2443258")</f>
        <v>MGI:2443258</v>
      </c>
      <c r="J4086" s="4" t="s">
        <v>12</v>
      </c>
    </row>
    <row r="4087" spans="1:10" x14ac:dyDescent="0.25">
      <c r="A4087" s="2">
        <v>13349.0257338831</v>
      </c>
      <c r="B4087" s="3">
        <v>0.18949631507827799</v>
      </c>
      <c r="C4087" s="5">
        <v>2.0324309013247799E-10</v>
      </c>
      <c r="D4087" s="6">
        <v>1.1527045549072401E-9</v>
      </c>
      <c r="E4087" s="3" t="s">
        <v>6972</v>
      </c>
      <c r="F4087" s="3" t="s">
        <v>6973</v>
      </c>
      <c r="G4087" s="3">
        <v>27979</v>
      </c>
      <c r="H4087" s="7" t="str">
        <f>HYPERLINK("http://www.ensembl.org/Mus_musculus/Gene/Summary?db=core;g=ENSMUSG00000056076","ENSMUSG00000056076")</f>
        <v>ENSMUSG00000056076</v>
      </c>
      <c r="I4087" s="7" t="str">
        <f>HYPERLINK("http://www.informatics.jax.org/marker/MGI:106478","MGI:106478")</f>
        <v>MGI:106478</v>
      </c>
      <c r="J4087" s="4" t="s">
        <v>12</v>
      </c>
    </row>
    <row r="4088" spans="1:10" x14ac:dyDescent="0.25">
      <c r="A4088" s="2">
        <v>1414.3493978931201</v>
      </c>
      <c r="B4088" s="3">
        <v>0.18949423738678001</v>
      </c>
      <c r="C4088" s="5">
        <v>3.47971677602601E-6</v>
      </c>
      <c r="D4088" s="6">
        <v>1.36448627606349E-5</v>
      </c>
      <c r="E4088" s="3" t="s">
        <v>10074</v>
      </c>
      <c r="F4088" s="3" t="s">
        <v>10075</v>
      </c>
      <c r="G4088" s="3">
        <v>108737</v>
      </c>
      <c r="H4088" s="7" t="str">
        <f>HYPERLINK("http://www.ensembl.org/Mus_musculus/Gene/Summary?db=core;g=ENSMUSG00000036737","ENSMUSG00000036737")</f>
        <v>ENSMUSG00000036737</v>
      </c>
      <c r="I4088" s="7" t="str">
        <f>HYPERLINK("http://www.informatics.jax.org/marker/MGI:1917378","MGI:1917378")</f>
        <v>MGI:1917378</v>
      </c>
      <c r="J4088" s="4" t="s">
        <v>12</v>
      </c>
    </row>
    <row r="4089" spans="1:10" x14ac:dyDescent="0.25">
      <c r="A4089" s="2">
        <v>491.63140598897002</v>
      </c>
      <c r="B4089" s="3">
        <v>0.18893545894074501</v>
      </c>
      <c r="C4089" s="3">
        <v>8.9284159543622406E-3</v>
      </c>
      <c r="D4089" s="4">
        <v>2.2423377817119599E-2</v>
      </c>
      <c r="E4089" s="3" t="s">
        <v>15709</v>
      </c>
      <c r="F4089" s="3" t="s">
        <v>15710</v>
      </c>
      <c r="G4089" s="3">
        <v>22720</v>
      </c>
      <c r="H4089" s="7" t="str">
        <f>HYPERLINK("http://www.ensembl.org/Mus_musculus/Gene/Summary?db=core;g=ENSMUSG00000046311","ENSMUSG00000046311")</f>
        <v>ENSMUSG00000046311</v>
      </c>
      <c r="I4089" s="7" t="str">
        <f>HYPERLINK("http://www.informatics.jax.org/marker/MGI:99662","MGI:99662")</f>
        <v>MGI:99662</v>
      </c>
      <c r="J4089" s="4" t="s">
        <v>12</v>
      </c>
    </row>
    <row r="4090" spans="1:10" x14ac:dyDescent="0.25">
      <c r="A4090" s="2">
        <v>1323.0606941546</v>
      </c>
      <c r="B4090" s="3">
        <v>0.188809814900043</v>
      </c>
      <c r="C4090" s="3">
        <v>8.9821113920664393E-3</v>
      </c>
      <c r="D4090" s="4">
        <v>2.2541007463928502E-2</v>
      </c>
      <c r="E4090" s="3" t="s">
        <v>15721</v>
      </c>
      <c r="F4090" s="3" t="s">
        <v>15722</v>
      </c>
      <c r="G4090" s="3">
        <v>78394</v>
      </c>
      <c r="H4090" s="7" t="str">
        <f>HYPERLINK("http://www.ensembl.org/Mus_musculus/Gene/Summary?db=core;g=ENSMUSG00000020677","ENSMUSG00000020677")</f>
        <v>ENSMUSG00000020677</v>
      </c>
      <c r="I4090" s="7" t="str">
        <f>HYPERLINK("http://www.informatics.jax.org/marker/MGI:1925644","MGI:1925644")</f>
        <v>MGI:1925644</v>
      </c>
      <c r="J4090" s="4" t="s">
        <v>12</v>
      </c>
    </row>
    <row r="4091" spans="1:10" x14ac:dyDescent="0.25">
      <c r="A4091" s="2">
        <v>1193.8897674156001</v>
      </c>
      <c r="B4091" s="3">
        <v>0.188768508694792</v>
      </c>
      <c r="C4091" s="3">
        <v>3.05517598443496E-3</v>
      </c>
      <c r="D4091" s="4">
        <v>8.3619806263785408E-3</v>
      </c>
      <c r="E4091" s="3" t="s">
        <v>14415</v>
      </c>
      <c r="F4091" s="3" t="s">
        <v>14416</v>
      </c>
      <c r="G4091" s="3">
        <v>11677</v>
      </c>
      <c r="H4091" s="7" t="str">
        <f>HYPERLINK("http://www.ensembl.org/Mus_musculus/Gene/Summary?db=core;g=ENSMUSG00000001642","ENSMUSG00000001642")</f>
        <v>ENSMUSG00000001642</v>
      </c>
      <c r="I4091" s="7" t="str">
        <f>HYPERLINK("http://www.informatics.jax.org/marker/MGI:1353494","MGI:1353494")</f>
        <v>MGI:1353494</v>
      </c>
      <c r="J4091" s="4" t="s">
        <v>12</v>
      </c>
    </row>
    <row r="4092" spans="1:10" x14ac:dyDescent="0.25">
      <c r="A4092" s="2">
        <v>1733.87455762283</v>
      </c>
      <c r="B4092" s="3">
        <v>0.18875729174476899</v>
      </c>
      <c r="C4092" s="3">
        <v>1.40910595829942E-3</v>
      </c>
      <c r="D4092" s="4">
        <v>4.0666719592659904E-3</v>
      </c>
      <c r="E4092" s="3" t="s">
        <v>13675</v>
      </c>
      <c r="F4092" s="3" t="s">
        <v>13676</v>
      </c>
      <c r="G4092" s="3">
        <v>74213</v>
      </c>
      <c r="H4092" s="7" t="str">
        <f>HYPERLINK("http://www.ensembl.org/Mus_musculus/Gene/Summary?db=core;g=ENSMUSG00000022119","ENSMUSG00000022119")</f>
        <v>ENSMUSG00000022119</v>
      </c>
      <c r="I4092" s="7" t="str">
        <f>HYPERLINK("http://www.informatics.jax.org/marker/MGI:1921463","MGI:1921463")</f>
        <v>MGI:1921463</v>
      </c>
      <c r="J4092" s="4" t="s">
        <v>12</v>
      </c>
    </row>
    <row r="4093" spans="1:10" x14ac:dyDescent="0.25">
      <c r="A4093" s="2">
        <v>535.96214537390097</v>
      </c>
      <c r="B4093" s="3">
        <v>0.18855728813778</v>
      </c>
      <c r="C4093" s="3">
        <v>1.99285292280247E-2</v>
      </c>
      <c r="D4093" s="4">
        <v>4.6529788820346502E-2</v>
      </c>
      <c r="E4093" s="3" t="s">
        <v>16896</v>
      </c>
      <c r="F4093" s="3" t="s">
        <v>16897</v>
      </c>
      <c r="G4093" s="3">
        <v>66411</v>
      </c>
      <c r="H4093" s="7" t="str">
        <f>HYPERLINK("http://www.ensembl.org/Mus_musculus/Gene/Summary?db=core;g=ENSMUSG00000006095","ENSMUSG00000006095")</f>
        <v>ENSMUSG00000006095</v>
      </c>
      <c r="I4093" s="7" t="str">
        <f>HYPERLINK("http://www.informatics.jax.org/marker/MGI:1913661","MGI:1913661")</f>
        <v>MGI:1913661</v>
      </c>
      <c r="J4093" s="4" t="s">
        <v>12</v>
      </c>
    </row>
    <row r="4094" spans="1:10" x14ac:dyDescent="0.25">
      <c r="A4094" s="2">
        <v>683.90879696598802</v>
      </c>
      <c r="B4094" s="3">
        <v>0.188515060662509</v>
      </c>
      <c r="C4094" s="3">
        <v>4.9021451456230901E-3</v>
      </c>
      <c r="D4094" s="4">
        <v>1.2981106790880499E-2</v>
      </c>
      <c r="E4094" s="3" t="s">
        <v>14898</v>
      </c>
      <c r="F4094" s="3" t="s">
        <v>14899</v>
      </c>
      <c r="G4094" s="3">
        <v>226823</v>
      </c>
      <c r="H4094" s="7" t="str">
        <f>HYPERLINK("http://www.ensembl.org/Mus_musculus/Gene/Summary?db=core;g=ENSMUSG00000026608","ENSMUSG00000026608")</f>
        <v>ENSMUSG00000026608</v>
      </c>
      <c r="I4094" s="7" t="str">
        <f>HYPERLINK("http://www.informatics.jax.org/marker/MGI:2444629","MGI:2444629")</f>
        <v>MGI:2444629</v>
      </c>
      <c r="J4094" s="4" t="s">
        <v>12</v>
      </c>
    </row>
    <row r="4095" spans="1:10" x14ac:dyDescent="0.25">
      <c r="A4095" s="2">
        <v>6755.4984217863203</v>
      </c>
      <c r="B4095" s="3">
        <v>0.18839272841262</v>
      </c>
      <c r="C4095" s="3">
        <v>2.0111291822582302E-3</v>
      </c>
      <c r="D4095" s="4">
        <v>5.6769921949802902E-3</v>
      </c>
      <c r="E4095" s="3" t="s">
        <v>13979</v>
      </c>
      <c r="F4095" s="3" t="s">
        <v>13980</v>
      </c>
      <c r="G4095" s="3">
        <v>76808</v>
      </c>
      <c r="H4095" s="7" t="str">
        <f>HYPERLINK("http://www.ensembl.org/Mus_musculus/Gene/Summary?db=core;g=ENSMUSG00000045128","ENSMUSG00000045128")</f>
        <v>ENSMUSG00000045128</v>
      </c>
      <c r="I4095" s="7" t="str">
        <f>HYPERLINK("http://www.informatics.jax.org/marker/MGI:1924058","MGI:1924058")</f>
        <v>MGI:1924058</v>
      </c>
      <c r="J4095" s="4" t="s">
        <v>12</v>
      </c>
    </row>
    <row r="4096" spans="1:10" x14ac:dyDescent="0.25">
      <c r="A4096" s="2">
        <v>353.36636171733198</v>
      </c>
      <c r="B4096" s="3">
        <v>0.188385657262859</v>
      </c>
      <c r="C4096" s="3">
        <v>9.69640756163327E-3</v>
      </c>
      <c r="D4096" s="4">
        <v>2.4201133668574602E-2</v>
      </c>
      <c r="E4096" s="3" t="s">
        <v>15807</v>
      </c>
      <c r="F4096" s="3" t="s">
        <v>15808</v>
      </c>
      <c r="G4096" s="3">
        <v>22688</v>
      </c>
      <c r="H4096" s="7" t="str">
        <f>HYPERLINK("http://www.ensembl.org/Mus_musculus/Gene/Summary?db=core;g=ENSMUSG00000063108","ENSMUSG00000063108")</f>
        <v>ENSMUSG00000063108</v>
      </c>
      <c r="I4096" s="7" t="str">
        <f>HYPERLINK("http://www.informatics.jax.org/marker/MGI:99173","MGI:99173")</f>
        <v>MGI:99173</v>
      </c>
      <c r="J4096" s="4" t="s">
        <v>12</v>
      </c>
    </row>
    <row r="4097" spans="1:10" x14ac:dyDescent="0.25">
      <c r="A4097" s="2">
        <v>600.17526364288506</v>
      </c>
      <c r="B4097" s="3">
        <v>0.18824164616467101</v>
      </c>
      <c r="C4097" s="3">
        <v>1.3095486305800699E-3</v>
      </c>
      <c r="D4097" s="4">
        <v>3.7982495947990799E-3</v>
      </c>
      <c r="E4097" s="3" t="s">
        <v>13607</v>
      </c>
      <c r="F4097" s="3" t="s">
        <v>13608</v>
      </c>
      <c r="G4097" s="3">
        <v>109359</v>
      </c>
      <c r="H4097" s="7" t="str">
        <f>HYPERLINK("http://www.ensembl.org/Mus_musculus/Gene/Summary?db=core;g=ENSMUSG00000030965","ENSMUSG00000030965")</f>
        <v>ENSMUSG00000030965</v>
      </c>
      <c r="I4097" s="7" t="str">
        <f>HYPERLINK("http://www.informatics.jax.org/marker/MGI:1926116","MGI:1926116")</f>
        <v>MGI:1926116</v>
      </c>
      <c r="J4097" s="4" t="s">
        <v>12</v>
      </c>
    </row>
    <row r="4098" spans="1:10" x14ac:dyDescent="0.25">
      <c r="A4098" s="2">
        <v>955.766943717564</v>
      </c>
      <c r="B4098" s="3">
        <v>0.18822161101329499</v>
      </c>
      <c r="C4098" s="3">
        <v>2.6763003804695598E-4</v>
      </c>
      <c r="D4098" s="4">
        <v>8.5425597109377099E-4</v>
      </c>
      <c r="E4098" s="3" t="s">
        <v>12368</v>
      </c>
      <c r="F4098" s="3" t="s">
        <v>12369</v>
      </c>
      <c r="G4098" s="3">
        <v>53895</v>
      </c>
      <c r="H4098" s="7" t="str">
        <f>HYPERLINK("http://www.ensembl.org/Mus_musculus/Gene/Summary?db=core;g=ENSMUSG00000002660","ENSMUSG00000002660")</f>
        <v>ENSMUSG00000002660</v>
      </c>
      <c r="I4098" s="7" t="str">
        <f>HYPERLINK("http://www.informatics.jax.org/marker/MGI:1858213","MGI:1858213")</f>
        <v>MGI:1858213</v>
      </c>
      <c r="J4098" s="4" t="s">
        <v>12</v>
      </c>
    </row>
    <row r="4099" spans="1:10" x14ac:dyDescent="0.25">
      <c r="A4099" s="2">
        <v>1396.0161952634701</v>
      </c>
      <c r="B4099" s="3">
        <v>0.18815947645020101</v>
      </c>
      <c r="C4099" s="3">
        <v>6.9061824289471697E-3</v>
      </c>
      <c r="D4099" s="4">
        <v>1.77469269610162E-2</v>
      </c>
      <c r="E4099" s="3" t="s">
        <v>15353</v>
      </c>
      <c r="F4099" s="3" t="s">
        <v>15354</v>
      </c>
      <c r="G4099" s="3">
        <v>106504</v>
      </c>
      <c r="H4099" s="7" t="str">
        <f>HYPERLINK("http://www.ensembl.org/Mus_musculus/Gene/Summary?db=core;g=ENSMUSG00000024006","ENSMUSG00000024006")</f>
        <v>ENSMUSG00000024006</v>
      </c>
      <c r="I4099" s="7" t="str">
        <f>HYPERLINK("http://www.informatics.jax.org/marker/MGI:2442572","MGI:2442572")</f>
        <v>MGI:2442572</v>
      </c>
      <c r="J4099" s="4" t="s">
        <v>12</v>
      </c>
    </row>
    <row r="4100" spans="1:10" x14ac:dyDescent="0.25">
      <c r="A4100" s="2">
        <v>2089.6858359212101</v>
      </c>
      <c r="B4100" s="3">
        <v>0.188121680556813</v>
      </c>
      <c r="C4100" s="5">
        <v>1.5052982865835599E-6</v>
      </c>
      <c r="D4100" s="6">
        <v>6.1091751824301003E-6</v>
      </c>
      <c r="E4100" s="3" t="s">
        <v>9733</v>
      </c>
      <c r="F4100" s="3" t="s">
        <v>9734</v>
      </c>
      <c r="G4100" s="3">
        <v>230598</v>
      </c>
      <c r="H4100" s="7" t="str">
        <f>HYPERLINK("http://www.ensembl.org/Mus_musculus/Gene/Summary?db=core;g=ENSMUSG00000053510","ENSMUSG00000053510")</f>
        <v>ENSMUSG00000053510</v>
      </c>
      <c r="I4100" s="7" t="str">
        <f>HYPERLINK("http://www.informatics.jax.org/marker/MGI:1201386","MGI:1201386")</f>
        <v>MGI:1201386</v>
      </c>
      <c r="J4100" s="4" t="s">
        <v>12</v>
      </c>
    </row>
    <row r="4101" spans="1:10" x14ac:dyDescent="0.25">
      <c r="A4101" s="2">
        <v>493.54173652534803</v>
      </c>
      <c r="B4101" s="3">
        <v>0.187914646997031</v>
      </c>
      <c r="C4101" s="3">
        <v>2.8326760999150399E-3</v>
      </c>
      <c r="D4101" s="4">
        <v>7.8028178083984498E-3</v>
      </c>
      <c r="E4101" s="3" t="s">
        <v>14323</v>
      </c>
      <c r="F4101" s="3" t="s">
        <v>14324</v>
      </c>
      <c r="G4101" s="3">
        <v>67238</v>
      </c>
      <c r="H4101" s="7" t="str">
        <f>HYPERLINK("http://www.ensembl.org/Mus_musculus/Gene/Summary?db=core;g=ENSMUSG00000083012","ENSMUSG00000083012")</f>
        <v>ENSMUSG00000083012</v>
      </c>
      <c r="I4101" s="7" t="str">
        <f>HYPERLINK("http://www.informatics.jax.org/marker/MGI:1914488","MGI:1914488")</f>
        <v>MGI:1914488</v>
      </c>
      <c r="J4101" s="4" t="s">
        <v>12</v>
      </c>
    </row>
    <row r="4102" spans="1:10" x14ac:dyDescent="0.25">
      <c r="A4102" s="2">
        <v>1273.00756973075</v>
      </c>
      <c r="B4102" s="3">
        <v>0.187865613153226</v>
      </c>
      <c r="C4102" s="3">
        <v>4.1405161410954499E-3</v>
      </c>
      <c r="D4102" s="4">
        <v>1.11180526010896E-2</v>
      </c>
      <c r="E4102" s="3" t="s">
        <v>14692</v>
      </c>
      <c r="F4102" s="3" t="s">
        <v>14693</v>
      </c>
      <c r="G4102" s="3">
        <v>11430</v>
      </c>
      <c r="H4102" s="7" t="str">
        <f>HYPERLINK("http://www.ensembl.org/Mus_musculus/Gene/Summary?db=core;g=ENSMUSG00000020777","ENSMUSG00000020777")</f>
        <v>ENSMUSG00000020777</v>
      </c>
      <c r="I4102" s="7" t="str">
        <f>HYPERLINK("http://www.informatics.jax.org/marker/MGI:1330812","MGI:1330812")</f>
        <v>MGI:1330812</v>
      </c>
      <c r="J4102" s="4" t="s">
        <v>12</v>
      </c>
    </row>
    <row r="4103" spans="1:10" x14ac:dyDescent="0.25">
      <c r="A4103" s="2">
        <v>6106.1303481248497</v>
      </c>
      <c r="B4103" s="3">
        <v>0.187797668324134</v>
      </c>
      <c r="C4103" s="5">
        <v>8.4632485806797399E-7</v>
      </c>
      <c r="D4103" s="6">
        <v>3.5232269793330001E-6</v>
      </c>
      <c r="E4103" s="3" t="s">
        <v>9489</v>
      </c>
      <c r="F4103" s="3" t="s">
        <v>9490</v>
      </c>
      <c r="G4103" s="3">
        <v>81898</v>
      </c>
      <c r="H4103" s="7" t="str">
        <f>HYPERLINK("http://www.ensembl.org/Mus_musculus/Gene/Summary?db=core;g=ENSMUSG00000025982","ENSMUSG00000025982")</f>
        <v>ENSMUSG00000025982</v>
      </c>
      <c r="I4103" s="7" t="str">
        <f>HYPERLINK("http://www.informatics.jax.org/marker/MGI:1932339","MGI:1932339")</f>
        <v>MGI:1932339</v>
      </c>
      <c r="J4103" s="4" t="s">
        <v>12</v>
      </c>
    </row>
    <row r="4104" spans="1:10" x14ac:dyDescent="0.25">
      <c r="A4104" s="2">
        <v>852.50412863480904</v>
      </c>
      <c r="B4104" s="3">
        <v>0.18777219806411499</v>
      </c>
      <c r="C4104" s="3">
        <v>4.91489334094027E-3</v>
      </c>
      <c r="D4104" s="4">
        <v>1.3009623715884801E-2</v>
      </c>
      <c r="E4104" s="3" t="s">
        <v>14904</v>
      </c>
      <c r="F4104" s="3" t="s">
        <v>14905</v>
      </c>
      <c r="G4104" s="3">
        <v>73473</v>
      </c>
      <c r="H4104" s="7" t="str">
        <f>HYPERLINK("http://www.ensembl.org/Mus_musculus/Gene/Summary?db=core;g=ENSMUSG00000024384","ENSMUSG00000024384")</f>
        <v>ENSMUSG00000024384</v>
      </c>
      <c r="I4104" s="7" t="str">
        <f>HYPERLINK("http://www.informatics.jax.org/marker/MGI:1920723","MGI:1920723")</f>
        <v>MGI:1920723</v>
      </c>
      <c r="J4104" s="4" t="s">
        <v>12</v>
      </c>
    </row>
    <row r="4105" spans="1:10" x14ac:dyDescent="0.25">
      <c r="A4105" s="2">
        <v>1434.5097344031401</v>
      </c>
      <c r="B4105" s="3">
        <v>0.18757959216627201</v>
      </c>
      <c r="C4105" s="5">
        <v>4.1858446674439398E-5</v>
      </c>
      <c r="D4105" s="4">
        <v>1.4692925746172001E-4</v>
      </c>
      <c r="E4105" s="3" t="s">
        <v>11247</v>
      </c>
      <c r="F4105" s="3" t="s">
        <v>11248</v>
      </c>
      <c r="G4105" s="3">
        <v>13709</v>
      </c>
      <c r="H4105" s="7" t="str">
        <f>HYPERLINK("http://www.ensembl.org/Mus_musculus/Gene/Summary?db=core;g=ENSMUSG00000036461","ENSMUSG00000036461")</f>
        <v>ENSMUSG00000036461</v>
      </c>
      <c r="I4105" s="7" t="str">
        <f>HYPERLINK("http://www.informatics.jax.org/marker/MGI:107180","MGI:107180")</f>
        <v>MGI:107180</v>
      </c>
      <c r="J4105" s="4" t="s">
        <v>12</v>
      </c>
    </row>
    <row r="4106" spans="1:10" x14ac:dyDescent="0.25">
      <c r="A4106" s="2">
        <v>2233.63401768216</v>
      </c>
      <c r="B4106" s="3">
        <v>0.187445557867813</v>
      </c>
      <c r="C4106" s="3">
        <v>1.4002004521220801E-4</v>
      </c>
      <c r="D4106" s="4">
        <v>4.6336554649852903E-4</v>
      </c>
      <c r="E4106" s="3" t="s">
        <v>11929</v>
      </c>
      <c r="F4106" s="3" t="s">
        <v>11930</v>
      </c>
      <c r="G4106" s="3">
        <v>432508</v>
      </c>
      <c r="H4106" s="7" t="str">
        <f>HYPERLINK("http://www.ensembl.org/Mus_musculus/Gene/Summary?db=core;g=ENSMUSG00000055531","ENSMUSG00000055531")</f>
        <v>ENSMUSG00000055531</v>
      </c>
      <c r="I4106" s="7" t="str">
        <f>HYPERLINK("http://www.informatics.jax.org/marker/MGI:1913948","MGI:1913948")</f>
        <v>MGI:1913948</v>
      </c>
      <c r="J4106" s="4" t="s">
        <v>12</v>
      </c>
    </row>
    <row r="4107" spans="1:10" x14ac:dyDescent="0.25">
      <c r="A4107" s="2">
        <v>967.58943654452798</v>
      </c>
      <c r="B4107" s="3">
        <v>0.18716220992851301</v>
      </c>
      <c r="C4107" s="3">
        <v>1.31096537045253E-2</v>
      </c>
      <c r="D4107" s="4">
        <v>3.1829890550755899E-2</v>
      </c>
      <c r="E4107" s="3" t="s">
        <v>16249</v>
      </c>
      <c r="F4107" s="3" t="s">
        <v>16250</v>
      </c>
      <c r="G4107" s="3">
        <v>71617</v>
      </c>
      <c r="H4107" s="7" t="str">
        <f>HYPERLINK("http://www.ensembl.org/Mus_musculus/Gene/Summary?db=core;g=ENSMUSG00000039901","ENSMUSG00000039901")</f>
        <v>ENSMUSG00000039901</v>
      </c>
      <c r="I4107" s="7" t="str">
        <f>HYPERLINK("http://www.informatics.jax.org/marker/MGI:1918867","MGI:1918867")</f>
        <v>MGI:1918867</v>
      </c>
      <c r="J4107" s="4" t="s">
        <v>12</v>
      </c>
    </row>
    <row r="4108" spans="1:10" x14ac:dyDescent="0.25">
      <c r="A4108" s="2">
        <v>871.24508805179596</v>
      </c>
      <c r="B4108" s="3">
        <v>0.187049488415058</v>
      </c>
      <c r="C4108" s="3">
        <v>1.6062776686783099E-3</v>
      </c>
      <c r="D4108" s="4">
        <v>4.6000284092849704E-3</v>
      </c>
      <c r="E4108" s="3" t="s">
        <v>13779</v>
      </c>
      <c r="F4108" s="3" t="s">
        <v>13780</v>
      </c>
      <c r="G4108" s="3">
        <v>54484</v>
      </c>
      <c r="H4108" s="7" t="str">
        <f>HYPERLINK("http://www.ensembl.org/Mus_musculus/Gene/Summary?db=core;g=ENSMUSG00000029922","ENSMUSG00000029922")</f>
        <v>ENSMUSG00000029922</v>
      </c>
      <c r="I4108" s="7" t="str">
        <f>HYPERLINK("http://www.informatics.jax.org/marker/MGI:1859353","MGI:1859353")</f>
        <v>MGI:1859353</v>
      </c>
      <c r="J4108" s="4" t="s">
        <v>12</v>
      </c>
    </row>
    <row r="4109" spans="1:10" x14ac:dyDescent="0.25">
      <c r="A4109" s="2">
        <v>928.70934782340896</v>
      </c>
      <c r="B4109" s="3">
        <v>0.18675392486704601</v>
      </c>
      <c r="C4109" s="3">
        <v>2.0953243516710102E-2</v>
      </c>
      <c r="D4109" s="4">
        <v>4.8663050541694002E-2</v>
      </c>
      <c r="E4109" s="3" t="s">
        <v>16986</v>
      </c>
      <c r="F4109" s="3" t="s">
        <v>16987</v>
      </c>
      <c r="G4109" s="3">
        <v>67936</v>
      </c>
      <c r="H4109" s="7" t="str">
        <f>HYPERLINK("http://www.ensembl.org/Mus_musculus/Gene/Summary?db=core;g=ENSMUSG00000042660","ENSMUSG00000042660")</f>
        <v>ENSMUSG00000042660</v>
      </c>
      <c r="I4109" s="7" t="str">
        <f>HYPERLINK("http://www.informatics.jax.org/marker/MGI:1915186","MGI:1915186")</f>
        <v>MGI:1915186</v>
      </c>
      <c r="J4109" s="4" t="s">
        <v>12</v>
      </c>
    </row>
    <row r="4110" spans="1:10" x14ac:dyDescent="0.25">
      <c r="A4110" s="2">
        <v>427.24913859306002</v>
      </c>
      <c r="B4110" s="3">
        <v>0.18592242924275501</v>
      </c>
      <c r="C4110" s="3">
        <v>1.80177692180605E-2</v>
      </c>
      <c r="D4110" s="4">
        <v>4.2460612927838502E-2</v>
      </c>
      <c r="E4110" s="3" t="s">
        <v>16738</v>
      </c>
      <c r="F4110" s="3" t="s">
        <v>16739</v>
      </c>
      <c r="G4110" s="3">
        <v>20589</v>
      </c>
      <c r="H4110" s="7" t="str">
        <f>HYPERLINK("http://www.ensembl.org/Mus_musculus/Gene/Summary?db=core;g=ENSMUSG00000024831","ENSMUSG00000024831")</f>
        <v>ENSMUSG00000024831</v>
      </c>
      <c r="I4110" s="7" t="str">
        <f>HYPERLINK("http://www.informatics.jax.org/marker/MGI:99954","MGI:99954")</f>
        <v>MGI:99954</v>
      </c>
      <c r="J4110" s="4" t="s">
        <v>12</v>
      </c>
    </row>
    <row r="4111" spans="1:10" x14ac:dyDescent="0.25">
      <c r="A4111" s="2">
        <v>490.20921202925501</v>
      </c>
      <c r="B4111" s="3">
        <v>0.18582292386148599</v>
      </c>
      <c r="C4111" s="3">
        <v>3.1609477115276201E-3</v>
      </c>
      <c r="D4111" s="4">
        <v>8.6370914329118292E-3</v>
      </c>
      <c r="E4111" s="3" t="s">
        <v>14323</v>
      </c>
      <c r="F4111" s="3" t="s">
        <v>14324</v>
      </c>
      <c r="G4111" s="3">
        <v>67238</v>
      </c>
      <c r="H4111" s="7" t="str">
        <f>HYPERLINK("http://www.ensembl.org/Mus_musculus/Gene/Summary?db=core;g=ENSMUSG00000118332","ENSMUSG00000118332")</f>
        <v>ENSMUSG00000118332</v>
      </c>
      <c r="I4111" s="7" t="str">
        <f>HYPERLINK("http://www.informatics.jax.org/marker/MGI:1914488","MGI:1914488")</f>
        <v>MGI:1914488</v>
      </c>
      <c r="J4111" s="4" t="s">
        <v>12</v>
      </c>
    </row>
    <row r="4112" spans="1:10" x14ac:dyDescent="0.25">
      <c r="A4112" s="2">
        <v>3030.4653222747002</v>
      </c>
      <c r="B4112" s="3">
        <v>0.18553685378241699</v>
      </c>
      <c r="C4112" s="3">
        <v>1.11164568502527E-2</v>
      </c>
      <c r="D4112" s="4">
        <v>2.7374691444428501E-2</v>
      </c>
      <c r="E4112" s="3" t="s">
        <v>16021</v>
      </c>
      <c r="F4112" s="3" t="s">
        <v>16022</v>
      </c>
      <c r="G4112" s="3">
        <v>22680</v>
      </c>
      <c r="H4112" s="7" t="str">
        <f>HYPERLINK("http://www.ensembl.org/Mus_musculus/Gene/Summary?db=core;g=ENSMUSG00000017421","ENSMUSG00000017421")</f>
        <v>ENSMUSG00000017421</v>
      </c>
      <c r="I4112" s="7" t="str">
        <f>HYPERLINK("http://www.informatics.jax.org/marker/MGI:1340045","MGI:1340045")</f>
        <v>MGI:1340045</v>
      </c>
      <c r="J4112" s="4" t="s">
        <v>12</v>
      </c>
    </row>
    <row r="4113" spans="1:10" x14ac:dyDescent="0.25">
      <c r="A4113" s="2">
        <v>836.06002377832203</v>
      </c>
      <c r="B4113" s="3">
        <v>0.185399396986833</v>
      </c>
      <c r="C4113" s="3">
        <v>5.5708202656221499E-3</v>
      </c>
      <c r="D4113" s="4">
        <v>1.45950014133212E-2</v>
      </c>
      <c r="E4113" s="3" t="s">
        <v>15058</v>
      </c>
      <c r="F4113" s="3" t="s">
        <v>15059</v>
      </c>
      <c r="G4113" s="3">
        <v>109552</v>
      </c>
      <c r="H4113" s="7" t="str">
        <f>HYPERLINK("http://www.ensembl.org/Mus_musculus/Gene/Summary?db=core;g=ENSMUSG00000003161","ENSMUSG00000003161")</f>
        <v>ENSMUSG00000003161</v>
      </c>
      <c r="I4113" s="7" t="str">
        <f>HYPERLINK("http://www.informatics.jax.org/marker/MGI:98419","MGI:98419")</f>
        <v>MGI:98419</v>
      </c>
      <c r="J4113" s="4" t="s">
        <v>12</v>
      </c>
    </row>
    <row r="4114" spans="1:10" x14ac:dyDescent="0.25">
      <c r="A4114" s="2">
        <v>471.60796002940702</v>
      </c>
      <c r="B4114" s="3">
        <v>0.18530773327355099</v>
      </c>
      <c r="C4114" s="3">
        <v>8.4238517469457305E-3</v>
      </c>
      <c r="D4114" s="4">
        <v>2.12346103093148E-2</v>
      </c>
      <c r="E4114" s="3" t="s">
        <v>15651</v>
      </c>
      <c r="F4114" s="3" t="s">
        <v>15652</v>
      </c>
      <c r="G4114" s="3">
        <v>19819</v>
      </c>
      <c r="H4114" s="7" t="str">
        <f>HYPERLINK("http://www.ensembl.org/Mus_musculus/Gene/Summary?db=core;g=ENSMUSG00000020630","ENSMUSG00000020630")</f>
        <v>ENSMUSG00000020630</v>
      </c>
      <c r="I4114" s="7" t="str">
        <f>HYPERLINK("http://www.informatics.jax.org/marker/MGI:1335073","MGI:1335073")</f>
        <v>MGI:1335073</v>
      </c>
      <c r="J4114" s="4" t="s">
        <v>12</v>
      </c>
    </row>
    <row r="4115" spans="1:10" x14ac:dyDescent="0.25">
      <c r="A4115" s="2">
        <v>523.92597157184196</v>
      </c>
      <c r="B4115" s="3">
        <v>0.185149045260352</v>
      </c>
      <c r="C4115" s="3">
        <v>8.7435502966987696E-4</v>
      </c>
      <c r="D4115" s="4">
        <v>2.6002535341713099E-3</v>
      </c>
      <c r="E4115" s="3" t="s">
        <v>13271</v>
      </c>
      <c r="F4115" s="3" t="s">
        <v>13272</v>
      </c>
      <c r="G4115" s="3">
        <v>79264</v>
      </c>
      <c r="H4115" s="7" t="str">
        <f>HYPERLINK("http://www.ensembl.org/Mus_musculus/Gene/Summary?db=core;g=ENSMUSG00000000600","ENSMUSG00000000600")</f>
        <v>ENSMUSG00000000600</v>
      </c>
      <c r="I4115" s="7" t="str">
        <f>HYPERLINK("http://www.informatics.jax.org/marker/MGI:1930618","MGI:1930618")</f>
        <v>MGI:1930618</v>
      </c>
      <c r="J4115" s="4" t="s">
        <v>12</v>
      </c>
    </row>
    <row r="4116" spans="1:10" x14ac:dyDescent="0.25">
      <c r="A4116" s="2">
        <v>447.54509599666699</v>
      </c>
      <c r="B4116" s="3">
        <v>0.18473866231553601</v>
      </c>
      <c r="C4116" s="3">
        <v>6.9941523408637504E-3</v>
      </c>
      <c r="D4116" s="4">
        <v>1.7947258836933402E-2</v>
      </c>
      <c r="E4116" s="3" t="s">
        <v>15375</v>
      </c>
      <c r="F4116" s="3" t="s">
        <v>15376</v>
      </c>
      <c r="G4116" s="3" t="s">
        <v>83</v>
      </c>
      <c r="H4116" s="7" t="str">
        <f>HYPERLINK("http://www.ensembl.org/Mus_musculus/Gene/Summary?db=core;g=ENSMUSG00000097694","ENSMUSG00000097694")</f>
        <v>ENSMUSG00000097694</v>
      </c>
      <c r="I4116" s="7" t="str">
        <f>HYPERLINK("http://www.informatics.jax.org/marker/MGI:3588276","MGI:3588276")</f>
        <v>MGI:3588276</v>
      </c>
      <c r="J4116" s="4" t="s">
        <v>939</v>
      </c>
    </row>
    <row r="4117" spans="1:10" x14ac:dyDescent="0.25">
      <c r="A4117" s="2">
        <v>567.94950150910097</v>
      </c>
      <c r="B4117" s="3">
        <v>0.18440387789864299</v>
      </c>
      <c r="C4117" s="3">
        <v>9.91745575388071E-3</v>
      </c>
      <c r="D4117" s="4">
        <v>2.4699700362026698E-2</v>
      </c>
      <c r="E4117" s="3" t="s">
        <v>15841</v>
      </c>
      <c r="F4117" s="3" t="s">
        <v>15842</v>
      </c>
      <c r="G4117" s="3">
        <v>23877</v>
      </c>
      <c r="H4117" s="7" t="str">
        <f>HYPERLINK("http://www.ensembl.org/Mus_musculus/Gene/Summary?db=core;g=ENSMUSG00000061374","ENSMUSG00000061374")</f>
        <v>ENSMUSG00000061374</v>
      </c>
      <c r="I4117" s="7" t="str">
        <f>HYPERLINK("http://www.informatics.jax.org/marker/MGI:1344336","MGI:1344336")</f>
        <v>MGI:1344336</v>
      </c>
      <c r="J4117" s="4" t="s">
        <v>12</v>
      </c>
    </row>
    <row r="4118" spans="1:10" x14ac:dyDescent="0.25">
      <c r="A4118" s="2">
        <v>10382.827104661999</v>
      </c>
      <c r="B4118" s="3">
        <v>0.18404992238328</v>
      </c>
      <c r="C4118" s="5">
        <v>8.4454356985806294E-6</v>
      </c>
      <c r="D4118" s="6">
        <v>3.1904979305749102E-5</v>
      </c>
      <c r="E4118" s="3" t="s">
        <v>10454</v>
      </c>
      <c r="F4118" s="3" t="s">
        <v>10455</v>
      </c>
      <c r="G4118" s="3">
        <v>19205</v>
      </c>
      <c r="H4118" s="7" t="str">
        <f>HYPERLINK("http://www.ensembl.org/Mus_musculus/Gene/Summary?db=core;g=ENSMUSG00000006498","ENSMUSG00000006498")</f>
        <v>ENSMUSG00000006498</v>
      </c>
      <c r="I4118" s="7" t="str">
        <f>HYPERLINK("http://www.informatics.jax.org/marker/MGI:97791","MGI:97791")</f>
        <v>MGI:97791</v>
      </c>
      <c r="J4118" s="4" t="s">
        <v>12</v>
      </c>
    </row>
    <row r="4119" spans="1:10" x14ac:dyDescent="0.25">
      <c r="A4119" s="2">
        <v>598.243477151241</v>
      </c>
      <c r="B4119" s="3">
        <v>0.18373068023117001</v>
      </c>
      <c r="C4119" s="3">
        <v>2.84847801333892E-3</v>
      </c>
      <c r="D4119" s="4">
        <v>7.8430587019049907E-3</v>
      </c>
      <c r="E4119" s="3" t="s">
        <v>14329</v>
      </c>
      <c r="F4119" s="3" t="s">
        <v>14330</v>
      </c>
      <c r="G4119" s="3">
        <v>67118</v>
      </c>
      <c r="H4119" s="7" t="str">
        <f>HYPERLINK("http://www.ensembl.org/Mus_musculus/Gene/Summary?db=core;g=ENSMUSG00000022684","ENSMUSG00000022684")</f>
        <v>ENSMUSG00000022684</v>
      </c>
      <c r="I4119" s="7" t="str">
        <f>HYPERLINK("http://www.informatics.jax.org/marker/MGI:1914368","MGI:1914368")</f>
        <v>MGI:1914368</v>
      </c>
      <c r="J4119" s="4" t="s">
        <v>12</v>
      </c>
    </row>
    <row r="4120" spans="1:10" x14ac:dyDescent="0.25">
      <c r="A4120" s="2">
        <v>436.99740191830301</v>
      </c>
      <c r="B4120" s="3">
        <v>0.18359502387223001</v>
      </c>
      <c r="C4120" s="3">
        <v>1.9458307253188901E-2</v>
      </c>
      <c r="D4120" s="4">
        <v>4.5550548318243698E-2</v>
      </c>
      <c r="E4120" s="3" t="s">
        <v>16852</v>
      </c>
      <c r="F4120" s="3" t="s">
        <v>16853</v>
      </c>
      <c r="G4120" s="3">
        <v>67609</v>
      </c>
      <c r="H4120" s="7" t="str">
        <f>HYPERLINK("http://www.ensembl.org/Mus_musculus/Gene/Summary?db=core;g=ENSMUSG00000059920","ENSMUSG00000059920")</f>
        <v>ENSMUSG00000059920</v>
      </c>
      <c r="I4120" s="7" t="str">
        <f>HYPERLINK("http://www.informatics.jax.org/marker/MGI:1914859","MGI:1914859")</f>
        <v>MGI:1914859</v>
      </c>
      <c r="J4120" s="4" t="s">
        <v>12</v>
      </c>
    </row>
    <row r="4121" spans="1:10" x14ac:dyDescent="0.25">
      <c r="A4121" s="2">
        <v>327.60502972801697</v>
      </c>
      <c r="B4121" s="3">
        <v>0.18359457304969301</v>
      </c>
      <c r="C4121" s="3">
        <v>1.6803043878724701E-2</v>
      </c>
      <c r="D4121" s="4">
        <v>3.9893573957193701E-2</v>
      </c>
      <c r="E4121" s="3" t="s">
        <v>16616</v>
      </c>
      <c r="F4121" s="3" t="s">
        <v>16617</v>
      </c>
      <c r="G4121" s="3">
        <v>17155</v>
      </c>
      <c r="H4121" s="7" t="str">
        <f>HYPERLINK("http://www.ensembl.org/Mus_musculus/Gene/Summary?db=core;g=ENSMUSG00000003746","ENSMUSG00000003746")</f>
        <v>ENSMUSG00000003746</v>
      </c>
      <c r="I4121" s="7" t="str">
        <f>HYPERLINK("http://www.informatics.jax.org/marker/MGI:104677","MGI:104677")</f>
        <v>MGI:104677</v>
      </c>
      <c r="J4121" s="4" t="s">
        <v>12</v>
      </c>
    </row>
    <row r="4122" spans="1:10" x14ac:dyDescent="0.25">
      <c r="A4122" s="2">
        <v>670.50915349518505</v>
      </c>
      <c r="B4122" s="3">
        <v>0.18342908532857499</v>
      </c>
      <c r="C4122" s="3">
        <v>7.4864572614111299E-3</v>
      </c>
      <c r="D4122" s="4">
        <v>1.9074022893414401E-2</v>
      </c>
      <c r="E4122" s="3" t="s">
        <v>15485</v>
      </c>
      <c r="F4122" s="3" t="s">
        <v>15486</v>
      </c>
      <c r="G4122" s="3">
        <v>20630</v>
      </c>
      <c r="H4122" s="7" t="str">
        <f>HYPERLINK("http://www.ensembl.org/Mus_musculus/Gene/Summary?db=core;g=ENSMUSG00000024217","ENSMUSG00000024217")</f>
        <v>ENSMUSG00000024217</v>
      </c>
      <c r="I4122" s="7" t="str">
        <f>HYPERLINK("http://www.informatics.jax.org/marker/MGI:109489","MGI:109489")</f>
        <v>MGI:109489</v>
      </c>
      <c r="J4122" s="4" t="s">
        <v>12</v>
      </c>
    </row>
    <row r="4123" spans="1:10" x14ac:dyDescent="0.25">
      <c r="A4123" s="2">
        <v>530.55968696824095</v>
      </c>
      <c r="B4123" s="3">
        <v>0.18340411305187401</v>
      </c>
      <c r="C4123" s="3">
        <v>2.0572098215818398E-2</v>
      </c>
      <c r="D4123" s="4">
        <v>4.7856762630168498E-2</v>
      </c>
      <c r="E4123" s="3" t="s">
        <v>16958</v>
      </c>
      <c r="F4123" s="3" t="s">
        <v>16959</v>
      </c>
      <c r="G4123" s="3">
        <v>21975</v>
      </c>
      <c r="H4123" s="7" t="str">
        <f>HYPERLINK("http://www.ensembl.org/Mus_musculus/Gene/Summary?db=core;g=ENSMUSG00000002814","ENSMUSG00000002814")</f>
        <v>ENSMUSG00000002814</v>
      </c>
      <c r="I4123" s="7" t="str">
        <f>HYPERLINK("http://www.informatics.jax.org/marker/MGI:1197527","MGI:1197527")</f>
        <v>MGI:1197527</v>
      </c>
      <c r="J4123" s="4" t="s">
        <v>12</v>
      </c>
    </row>
    <row r="4124" spans="1:10" x14ac:dyDescent="0.25">
      <c r="A4124" s="2">
        <v>2650.8229010939999</v>
      </c>
      <c r="B4124" s="3">
        <v>0.183352624706901</v>
      </c>
      <c r="C4124" s="3">
        <v>3.4165389327297802E-4</v>
      </c>
      <c r="D4124" s="4">
        <v>1.07489067889967E-3</v>
      </c>
      <c r="E4124" s="3" t="s">
        <v>12549</v>
      </c>
      <c r="F4124" s="3" t="s">
        <v>12550</v>
      </c>
      <c r="G4124" s="3">
        <v>12018</v>
      </c>
      <c r="H4124" s="7" t="str">
        <f>HYPERLINK("http://www.ensembl.org/Mus_musculus/Gene/Summary?db=core;g=ENSMUSG00000057789","ENSMUSG00000057789")</f>
        <v>ENSMUSG00000057789</v>
      </c>
      <c r="I4124" s="7" t="str">
        <f>HYPERLINK("http://www.informatics.jax.org/marker/MGI:1097161","MGI:1097161")</f>
        <v>MGI:1097161</v>
      </c>
      <c r="J4124" s="4" t="s">
        <v>12</v>
      </c>
    </row>
    <row r="4125" spans="1:10" x14ac:dyDescent="0.25">
      <c r="A4125" s="2">
        <v>1710.62347057886</v>
      </c>
      <c r="B4125" s="3">
        <v>0.18297846185312699</v>
      </c>
      <c r="C4125" s="3">
        <v>1.02178477619285E-2</v>
      </c>
      <c r="D4125" s="4">
        <v>2.5386916702183401E-2</v>
      </c>
      <c r="E4125" s="3" t="s">
        <v>15879</v>
      </c>
      <c r="F4125" s="3" t="s">
        <v>15880</v>
      </c>
      <c r="G4125" s="3">
        <v>18087</v>
      </c>
      <c r="H4125" s="7" t="str">
        <f>HYPERLINK("http://www.ensembl.org/Mus_musculus/Gene/Summary?db=core;g=ENSMUSG00000032525","ENSMUSG00000032525")</f>
        <v>ENSMUSG00000032525</v>
      </c>
      <c r="I4125" s="7" t="str">
        <f>HYPERLINK("http://www.informatics.jax.org/marker/MGI:97346","MGI:97346")</f>
        <v>MGI:97346</v>
      </c>
      <c r="J4125" s="4" t="s">
        <v>12</v>
      </c>
    </row>
    <row r="4126" spans="1:10" x14ac:dyDescent="0.25">
      <c r="A4126" s="2">
        <v>2464.5601252373699</v>
      </c>
      <c r="B4126" s="3">
        <v>0.18286919593020201</v>
      </c>
      <c r="C4126" s="5">
        <v>4.6608536068045001E-5</v>
      </c>
      <c r="D4126" s="4">
        <v>1.6282025354505701E-4</v>
      </c>
      <c r="E4126" s="3" t="s">
        <v>11301</v>
      </c>
      <c r="F4126" s="3" t="s">
        <v>11302</v>
      </c>
      <c r="G4126" s="3">
        <v>231413</v>
      </c>
      <c r="H4126" s="7" t="str">
        <f>HYPERLINK("http://www.ensembl.org/Mus_musculus/Gene/Summary?db=core;g=ENSMUSG00000044221","ENSMUSG00000044221")</f>
        <v>ENSMUSG00000044221</v>
      </c>
      <c r="I4126" s="7" t="str">
        <f>HYPERLINK("http://www.informatics.jax.org/marker/MGI:106479","MGI:106479")</f>
        <v>MGI:106479</v>
      </c>
      <c r="J4126" s="4" t="s">
        <v>12</v>
      </c>
    </row>
    <row r="4127" spans="1:10" x14ac:dyDescent="0.25">
      <c r="A4127" s="2">
        <v>13396.9945992918</v>
      </c>
      <c r="B4127" s="3">
        <v>0.18281070645379899</v>
      </c>
      <c r="C4127" s="3">
        <v>2.9503600054856302E-4</v>
      </c>
      <c r="D4127" s="4">
        <v>9.3598937110966299E-4</v>
      </c>
      <c r="E4127" s="3" t="s">
        <v>12445</v>
      </c>
      <c r="F4127" s="3" t="s">
        <v>12446</v>
      </c>
      <c r="G4127" s="3">
        <v>26961</v>
      </c>
      <c r="H4127" s="7" t="str">
        <f>HYPERLINK("http://www.ensembl.org/Mus_musculus/Gene/Summary?db=core;g=ENSMUSG00000003970","ENSMUSG00000003970")</f>
        <v>ENSMUSG00000003970</v>
      </c>
      <c r="I4127" s="7" t="str">
        <f>HYPERLINK("http://www.informatics.jax.org/marker/MGI:1350927","MGI:1350927")</f>
        <v>MGI:1350927</v>
      </c>
      <c r="J4127" s="4" t="s">
        <v>12</v>
      </c>
    </row>
    <row r="4128" spans="1:10" x14ac:dyDescent="0.25">
      <c r="A4128" s="2">
        <v>3218.5439268015398</v>
      </c>
      <c r="B4128" s="3">
        <v>0.18276343965226499</v>
      </c>
      <c r="C4128" s="5">
        <v>2.4918946368057702E-5</v>
      </c>
      <c r="D4128" s="6">
        <v>8.9753720982300899E-5</v>
      </c>
      <c r="E4128" s="3" t="s">
        <v>10962</v>
      </c>
      <c r="F4128" s="3" t="s">
        <v>10963</v>
      </c>
      <c r="G4128" s="3">
        <v>19164</v>
      </c>
      <c r="H4128" s="7" t="str">
        <f>HYPERLINK("http://www.ensembl.org/Mus_musculus/Gene/Summary?db=core;g=ENSMUSG00000019969","ENSMUSG00000019969")</f>
        <v>ENSMUSG00000019969</v>
      </c>
      <c r="I4128" s="7" t="str">
        <f>HYPERLINK("http://www.informatics.jax.org/marker/MGI:1202717","MGI:1202717")</f>
        <v>MGI:1202717</v>
      </c>
      <c r="J4128" s="4" t="s">
        <v>12</v>
      </c>
    </row>
    <row r="4129" spans="1:10" x14ac:dyDescent="0.25">
      <c r="A4129" s="2">
        <v>933.76465289066903</v>
      </c>
      <c r="B4129" s="3">
        <v>0.18208926194734201</v>
      </c>
      <c r="C4129" s="3">
        <v>1.7040527414788401E-3</v>
      </c>
      <c r="D4129" s="4">
        <v>4.8644933500235502E-3</v>
      </c>
      <c r="E4129" s="3" t="s">
        <v>13823</v>
      </c>
      <c r="F4129" s="3" t="s">
        <v>13824</v>
      </c>
      <c r="G4129" s="3">
        <v>11778</v>
      </c>
      <c r="H4129" s="7" t="str">
        <f>HYPERLINK("http://www.ensembl.org/Mus_musculus/Gene/Summary?db=core;g=ENSMUSG00000063801","ENSMUSG00000063801")</f>
        <v>ENSMUSG00000063801</v>
      </c>
      <c r="I4129" s="7" t="str">
        <f>HYPERLINK("http://www.informatics.jax.org/marker/MGI:1337060","MGI:1337060")</f>
        <v>MGI:1337060</v>
      </c>
      <c r="J4129" s="4" t="s">
        <v>12</v>
      </c>
    </row>
    <row r="4130" spans="1:10" x14ac:dyDescent="0.25">
      <c r="A4130" s="2">
        <v>1274.9718381970199</v>
      </c>
      <c r="B4130" s="3">
        <v>0.18184938438176801</v>
      </c>
      <c r="C4130" s="3">
        <v>4.6945362037852899E-3</v>
      </c>
      <c r="D4130" s="4">
        <v>1.24631467337972E-2</v>
      </c>
      <c r="E4130" s="3" t="s">
        <v>14860</v>
      </c>
      <c r="F4130" s="3" t="s">
        <v>14861</v>
      </c>
      <c r="G4130" s="3">
        <v>13135</v>
      </c>
      <c r="H4130" s="7" t="str">
        <f>HYPERLINK("http://www.ensembl.org/Mus_musculus/Gene/Summary?db=core;g=ENSMUSG00000022174","ENSMUSG00000022174")</f>
        <v>ENSMUSG00000022174</v>
      </c>
      <c r="I4130" s="7" t="str">
        <f>HYPERLINK("http://www.informatics.jax.org/marker/MGI:101912","MGI:101912")</f>
        <v>MGI:101912</v>
      </c>
      <c r="J4130" s="4" t="s">
        <v>12</v>
      </c>
    </row>
    <row r="4131" spans="1:10" x14ac:dyDescent="0.25">
      <c r="A4131" s="2">
        <v>2503.33507272427</v>
      </c>
      <c r="B4131" s="3">
        <v>0.18173033124414201</v>
      </c>
      <c r="C4131" s="3">
        <v>1.2144284576094099E-2</v>
      </c>
      <c r="D4131" s="4">
        <v>2.9694394524559801E-2</v>
      </c>
      <c r="E4131" s="3" t="s">
        <v>16133</v>
      </c>
      <c r="F4131" s="3" t="s">
        <v>16134</v>
      </c>
      <c r="G4131" s="3">
        <v>170759</v>
      </c>
      <c r="H4131" s="7" t="str">
        <f>HYPERLINK("http://www.ensembl.org/Mus_musculus/Gene/Summary?db=core;g=ENSMUSG00000031862","ENSMUSG00000031862")</f>
        <v>ENSMUSG00000031862</v>
      </c>
      <c r="I4131" s="7" t="str">
        <f>HYPERLINK("http://www.informatics.jax.org/marker/MGI:2180801","MGI:2180801")</f>
        <v>MGI:2180801</v>
      </c>
      <c r="J4131" s="4" t="s">
        <v>12</v>
      </c>
    </row>
    <row r="4132" spans="1:10" x14ac:dyDescent="0.25">
      <c r="A4132" s="2">
        <v>640.04795027953503</v>
      </c>
      <c r="B4132" s="3">
        <v>0.181623140168134</v>
      </c>
      <c r="C4132" s="3">
        <v>1.01087659441049E-3</v>
      </c>
      <c r="D4132" s="4">
        <v>2.97574062423867E-3</v>
      </c>
      <c r="E4132" s="3" t="s">
        <v>13407</v>
      </c>
      <c r="F4132" s="3" t="s">
        <v>13408</v>
      </c>
      <c r="G4132" s="3">
        <v>215160</v>
      </c>
      <c r="H4132" s="7" t="str">
        <f>HYPERLINK("http://www.ensembl.org/Mus_musculus/Gene/Summary?db=core;g=ENSMUSG00000039917","ENSMUSG00000039917")</f>
        <v>ENSMUSG00000039917</v>
      </c>
      <c r="I4132" s="7" t="str">
        <f>HYPERLINK("http://www.informatics.jax.org/marker/MGI:1915612","MGI:1915612")</f>
        <v>MGI:1915612</v>
      </c>
      <c r="J4132" s="4" t="s">
        <v>12</v>
      </c>
    </row>
    <row r="4133" spans="1:10" x14ac:dyDescent="0.25">
      <c r="A4133" s="2">
        <v>3531.8594104567201</v>
      </c>
      <c r="B4133" s="3">
        <v>0.18114967965859999</v>
      </c>
      <c r="C4133" s="3">
        <v>1.2209223818179999E-2</v>
      </c>
      <c r="D4133" s="4">
        <v>2.9834683233520499E-2</v>
      </c>
      <c r="E4133" s="3" t="s">
        <v>16145</v>
      </c>
      <c r="F4133" s="3" t="s">
        <v>16146</v>
      </c>
      <c r="G4133" s="3">
        <v>75617</v>
      </c>
      <c r="H4133" s="7" t="str">
        <f>HYPERLINK("http://www.ensembl.org/Mus_musculus/Gene/Summary?db=core;g=ENSMUSG00000009927","ENSMUSG00000009927")</f>
        <v>ENSMUSG00000009927</v>
      </c>
      <c r="I4133" s="7" t="str">
        <f>HYPERLINK("http://www.informatics.jax.org/marker/MGI:1922867","MGI:1922867")</f>
        <v>MGI:1922867</v>
      </c>
      <c r="J4133" s="4" t="s">
        <v>12</v>
      </c>
    </row>
    <row r="4134" spans="1:10" x14ac:dyDescent="0.25">
      <c r="A4134" s="2">
        <v>6952.3121107205698</v>
      </c>
      <c r="B4134" s="3">
        <v>0.18095865115277901</v>
      </c>
      <c r="C4134" s="3">
        <v>3.2362283053763397E-4</v>
      </c>
      <c r="D4134" s="4">
        <v>1.02125815621734E-3</v>
      </c>
      <c r="E4134" s="3" t="s">
        <v>12511</v>
      </c>
      <c r="F4134" s="3" t="s">
        <v>12512</v>
      </c>
      <c r="G4134" s="3" t="s">
        <v>83</v>
      </c>
      <c r="H4134" s="7" t="str">
        <f>HYPERLINK("http://www.ensembl.org/Mus_musculus/Gene/Summary?db=core;g=ENSMUSG00000105987","ENSMUSG00000105987")</f>
        <v>ENSMUSG00000105987</v>
      </c>
      <c r="I4134" s="7" t="str">
        <f>HYPERLINK("http://www.informatics.jax.org/marker/MGI:2140929","MGI:2140929")</f>
        <v>MGI:2140929</v>
      </c>
      <c r="J4134" s="4" t="s">
        <v>331</v>
      </c>
    </row>
    <row r="4135" spans="1:10" x14ac:dyDescent="0.25">
      <c r="A4135" s="2">
        <v>952.155409058842</v>
      </c>
      <c r="B4135" s="3">
        <v>0.18088486690941399</v>
      </c>
      <c r="C4135" s="3">
        <v>2.0767940878044398E-3</v>
      </c>
      <c r="D4135" s="4">
        <v>5.8489545003575496E-3</v>
      </c>
      <c r="E4135" s="3" t="s">
        <v>14011</v>
      </c>
      <c r="F4135" s="3" t="s">
        <v>14012</v>
      </c>
      <c r="G4135" s="3">
        <v>56438</v>
      </c>
      <c r="H4135" s="7" t="str">
        <f>HYPERLINK("http://www.ensembl.org/Mus_musculus/Gene/Summary?db=core;g=ENSMUSG00000022400","ENSMUSG00000022400")</f>
        <v>ENSMUSG00000022400</v>
      </c>
      <c r="I4135" s="7" t="str">
        <f>HYPERLINK("http://www.informatics.jax.org/marker/MGI:1891829","MGI:1891829")</f>
        <v>MGI:1891829</v>
      </c>
      <c r="J4135" s="4" t="s">
        <v>12</v>
      </c>
    </row>
    <row r="4136" spans="1:10" x14ac:dyDescent="0.25">
      <c r="A4136" s="2">
        <v>1768.17002455125</v>
      </c>
      <c r="B4136" s="3">
        <v>0.18086029273726201</v>
      </c>
      <c r="C4136" s="3">
        <v>3.4346096852419798E-4</v>
      </c>
      <c r="D4136" s="4">
        <v>1.08040362088007E-3</v>
      </c>
      <c r="E4136" s="3" t="s">
        <v>12551</v>
      </c>
      <c r="F4136" s="3" t="s">
        <v>12552</v>
      </c>
      <c r="G4136" s="3">
        <v>213541</v>
      </c>
      <c r="H4136" s="7" t="str">
        <f>HYPERLINK("http://www.ensembl.org/Mus_musculus/Gene/Summary?db=core;g=ENSMUSG00000040025","ENSMUSG00000040025")</f>
        <v>ENSMUSG00000040025</v>
      </c>
      <c r="I4136" s="7" t="str">
        <f>HYPERLINK("http://www.informatics.jax.org/marker/MGI:2444233","MGI:2444233")</f>
        <v>MGI:2444233</v>
      </c>
      <c r="J4136" s="4" t="s">
        <v>12</v>
      </c>
    </row>
    <row r="4137" spans="1:10" x14ac:dyDescent="0.25">
      <c r="A4137" s="2">
        <v>733.87503059034805</v>
      </c>
      <c r="B4137" s="3">
        <v>0.18082584839635399</v>
      </c>
      <c r="C4137" s="3">
        <v>6.5967404173601103E-3</v>
      </c>
      <c r="D4137" s="4">
        <v>1.7002708277393998E-2</v>
      </c>
      <c r="E4137" s="3" t="s">
        <v>15307</v>
      </c>
      <c r="F4137" s="3" t="s">
        <v>15308</v>
      </c>
      <c r="G4137" s="3">
        <v>94061</v>
      </c>
      <c r="H4137" s="7" t="str">
        <f>HYPERLINK("http://www.ensembl.org/Mus_musculus/Gene/Summary?db=core;g=ENSMUSG00000029486","ENSMUSG00000029486")</f>
        <v>ENSMUSG00000029486</v>
      </c>
      <c r="I4137" s="7" t="str">
        <f>HYPERLINK("http://www.informatics.jax.org/marker/MGI:2137202","MGI:2137202")</f>
        <v>MGI:2137202</v>
      </c>
      <c r="J4137" s="4" t="s">
        <v>12</v>
      </c>
    </row>
    <row r="4138" spans="1:10" x14ac:dyDescent="0.25">
      <c r="A4138" s="2">
        <v>5702.99998220833</v>
      </c>
      <c r="B4138" s="3">
        <v>0.18074547021154799</v>
      </c>
      <c r="C4138" s="3">
        <v>1.6309602733646199E-2</v>
      </c>
      <c r="D4138" s="4">
        <v>3.8815516040007499E-2</v>
      </c>
      <c r="E4138" s="3" t="s">
        <v>16576</v>
      </c>
      <c r="F4138" s="3" t="s">
        <v>16577</v>
      </c>
      <c r="G4138" s="3">
        <v>20115</v>
      </c>
      <c r="H4138" s="7" t="str">
        <f>HYPERLINK("http://www.ensembl.org/Mus_musculus/Gene/Summary?db=core;g=ENSMUSG00000061477","ENSMUSG00000061477")</f>
        <v>ENSMUSG00000061477</v>
      </c>
      <c r="I4138" s="7" t="str">
        <f>HYPERLINK("http://www.informatics.jax.org/marker/MGI:1333818","MGI:1333818")</f>
        <v>MGI:1333818</v>
      </c>
      <c r="J4138" s="4" t="s">
        <v>12</v>
      </c>
    </row>
    <row r="4139" spans="1:10" x14ac:dyDescent="0.25">
      <c r="A4139" s="2">
        <v>1948.44885117883</v>
      </c>
      <c r="B4139" s="3">
        <v>0.18068972477145401</v>
      </c>
      <c r="C4139" s="3">
        <v>5.0069584063878797E-3</v>
      </c>
      <c r="D4139" s="4">
        <v>1.32426528666804E-2</v>
      </c>
      <c r="E4139" s="3" t="s">
        <v>14916</v>
      </c>
      <c r="F4139" s="3" t="s">
        <v>14917</v>
      </c>
      <c r="G4139" s="3">
        <v>20747</v>
      </c>
      <c r="H4139" s="7" t="str">
        <f>HYPERLINK("http://www.ensembl.org/Mus_musculus/Gene/Summary?db=core;g=ENSMUSG00000057522","ENSMUSG00000057522")</f>
        <v>ENSMUSG00000057522</v>
      </c>
      <c r="I4139" s="7" t="str">
        <f>HYPERLINK("http://www.informatics.jax.org/marker/MGI:1343085","MGI:1343085")</f>
        <v>MGI:1343085</v>
      </c>
      <c r="J4139" s="4" t="s">
        <v>12</v>
      </c>
    </row>
    <row r="4140" spans="1:10" x14ac:dyDescent="0.25">
      <c r="A4140" s="2">
        <v>539.00720537951997</v>
      </c>
      <c r="B4140" s="3">
        <v>0.179965916107234</v>
      </c>
      <c r="C4140" s="3">
        <v>3.5662994609209102E-3</v>
      </c>
      <c r="D4140" s="4">
        <v>9.6670000507711896E-3</v>
      </c>
      <c r="E4140" s="3" t="s">
        <v>14553</v>
      </c>
      <c r="F4140" s="3" t="s">
        <v>14554</v>
      </c>
      <c r="G4140" s="3">
        <v>242960</v>
      </c>
      <c r="H4140" s="7" t="str">
        <f>HYPERLINK("http://www.ensembl.org/Mus_musculus/Gene/Summary?db=core;g=ENSMUSG00000039753","ENSMUSG00000039753")</f>
        <v>ENSMUSG00000039753</v>
      </c>
      <c r="I4140" s="7" t="str">
        <f>HYPERLINK("http://www.informatics.jax.org/marker/MGI:2152883","MGI:2152883")</f>
        <v>MGI:2152883</v>
      </c>
      <c r="J4140" s="4" t="s">
        <v>12</v>
      </c>
    </row>
    <row r="4141" spans="1:10" x14ac:dyDescent="0.25">
      <c r="A4141" s="2">
        <v>371.807345921202</v>
      </c>
      <c r="B4141" s="3">
        <v>0.17988286648465901</v>
      </c>
      <c r="C4141" s="3">
        <v>1.1074278646951E-2</v>
      </c>
      <c r="D4141" s="4">
        <v>2.7280054141689099E-2</v>
      </c>
      <c r="E4141" s="3" t="s">
        <v>16015</v>
      </c>
      <c r="F4141" s="3" t="s">
        <v>16016</v>
      </c>
      <c r="G4141" s="3">
        <v>72171</v>
      </c>
      <c r="H4141" s="7" t="str">
        <f>HYPERLINK("http://www.ensembl.org/Mus_musculus/Gene/Summary?db=core;g=ENSMUSG00000035378","ENSMUSG00000035378")</f>
        <v>ENSMUSG00000035378</v>
      </c>
      <c r="I4141" s="7" t="str">
        <f>HYPERLINK("http://www.informatics.jax.org/marker/MGI:1919421","MGI:1919421")</f>
        <v>MGI:1919421</v>
      </c>
      <c r="J4141" s="4" t="s">
        <v>12</v>
      </c>
    </row>
    <row r="4142" spans="1:10" x14ac:dyDescent="0.25">
      <c r="A4142" s="2">
        <v>3733.0218896562501</v>
      </c>
      <c r="B4142" s="3">
        <v>0.17915744976002701</v>
      </c>
      <c r="C4142" s="5">
        <v>6.9662108983826095E-8</v>
      </c>
      <c r="D4142" s="6">
        <v>3.1977113341737701E-7</v>
      </c>
      <c r="E4142" s="3" t="s">
        <v>8609</v>
      </c>
      <c r="F4142" s="3" t="s">
        <v>8610</v>
      </c>
      <c r="G4142" s="3">
        <v>11765</v>
      </c>
      <c r="H4142" s="7" t="str">
        <f>HYPERLINK("http://www.ensembl.org/Mus_musculus/Gene/Summary?db=core;g=ENSMUSG00000031731","ENSMUSG00000031731")</f>
        <v>ENSMUSG00000031731</v>
      </c>
      <c r="I4142" s="7" t="str">
        <f>HYPERLINK("http://www.informatics.jax.org/marker/MGI:101919","MGI:101919")</f>
        <v>MGI:101919</v>
      </c>
      <c r="J4142" s="4" t="s">
        <v>12</v>
      </c>
    </row>
    <row r="4143" spans="1:10" x14ac:dyDescent="0.25">
      <c r="A4143" s="2">
        <v>570.34094885086404</v>
      </c>
      <c r="B4143" s="3">
        <v>0.17883649467114199</v>
      </c>
      <c r="C4143" s="3">
        <v>7.9643063251701209E-3</v>
      </c>
      <c r="D4143" s="4">
        <v>2.0181973879768E-2</v>
      </c>
      <c r="E4143" s="3" t="s">
        <v>15569</v>
      </c>
      <c r="F4143" s="3" t="s">
        <v>15570</v>
      </c>
      <c r="G4143" s="3">
        <v>56294</v>
      </c>
      <c r="H4143" s="7" t="str">
        <f>HYPERLINK("http://www.ensembl.org/Mus_musculus/Gene/Summary?db=core;g=ENSMUSG00000032290","ENSMUSG00000032290")</f>
        <v>ENSMUSG00000032290</v>
      </c>
      <c r="I4143" s="7" t="str">
        <f>HYPERLINK("http://www.informatics.jax.org/marker/MGI:1928376","MGI:1928376")</f>
        <v>MGI:1928376</v>
      </c>
      <c r="J4143" s="4" t="s">
        <v>12</v>
      </c>
    </row>
    <row r="4144" spans="1:10" x14ac:dyDescent="0.25">
      <c r="A4144" s="2">
        <v>2109.4397124069401</v>
      </c>
      <c r="B4144" s="3">
        <v>0.17879175723381799</v>
      </c>
      <c r="C4144" s="3">
        <v>1.18824162298484E-4</v>
      </c>
      <c r="D4144" s="4">
        <v>3.96885582744936E-4</v>
      </c>
      <c r="E4144" s="3" t="s">
        <v>11819</v>
      </c>
      <c r="F4144" s="3" t="s">
        <v>11820</v>
      </c>
      <c r="G4144" s="3">
        <v>57315</v>
      </c>
      <c r="H4144" s="7" t="str">
        <f>HYPERLINK("http://www.ensembl.org/Mus_musculus/Gene/Summary?db=core;g=ENSMUSG00000024312","ENSMUSG00000024312")</f>
        <v>ENSMUSG00000024312</v>
      </c>
      <c r="I4144" s="7" t="str">
        <f>HYPERLINK("http://www.informatics.jax.org/marker/MGI:1931871","MGI:1931871")</f>
        <v>MGI:1931871</v>
      </c>
      <c r="J4144" s="4" t="s">
        <v>12</v>
      </c>
    </row>
    <row r="4145" spans="1:10" x14ac:dyDescent="0.25">
      <c r="A4145" s="2">
        <v>2877.7329287800198</v>
      </c>
      <c r="B4145" s="3">
        <v>0.178452180877195</v>
      </c>
      <c r="C4145" s="5">
        <v>2.3150336586547002E-5</v>
      </c>
      <c r="D4145" s="6">
        <v>8.3689209438443196E-5</v>
      </c>
      <c r="E4145" s="3" t="s">
        <v>10922</v>
      </c>
      <c r="F4145" s="3" t="s">
        <v>10923</v>
      </c>
      <c r="G4145" s="3">
        <v>234549</v>
      </c>
      <c r="H4145" s="7" t="str">
        <f>HYPERLINK("http://www.ensembl.org/Mus_musculus/Gene/Summary?db=core;g=ENSMUSG00000031657","ENSMUSG00000031657")</f>
        <v>ENSMUSG00000031657</v>
      </c>
      <c r="I4145" s="7" t="str">
        <f>HYPERLINK("http://www.informatics.jax.org/marker/MGI:2444491","MGI:2444491")</f>
        <v>MGI:2444491</v>
      </c>
      <c r="J4145" s="4" t="s">
        <v>12</v>
      </c>
    </row>
    <row r="4146" spans="1:10" x14ac:dyDescent="0.25">
      <c r="A4146" s="2">
        <v>3809.7071680829599</v>
      </c>
      <c r="B4146" s="3">
        <v>0.178446893678914</v>
      </c>
      <c r="C4146" s="3">
        <v>6.8421187650490002E-4</v>
      </c>
      <c r="D4146" s="4">
        <v>2.06562434241835E-3</v>
      </c>
      <c r="E4146" s="3" t="s">
        <v>13073</v>
      </c>
      <c r="F4146" s="3" t="s">
        <v>13074</v>
      </c>
      <c r="G4146" s="3">
        <v>213491</v>
      </c>
      <c r="H4146" s="7" t="str">
        <f>HYPERLINK("http://www.ensembl.org/Mus_musculus/Gene/Summary?db=core;g=ENSMUSG00000040842","ENSMUSG00000040842")</f>
        <v>ENSMUSG00000040842</v>
      </c>
      <c r="I4146" s="7" t="str">
        <f>HYPERLINK("http://www.informatics.jax.org/marker/MGI:1098672","MGI:1098672")</f>
        <v>MGI:1098672</v>
      </c>
      <c r="J4146" s="4" t="s">
        <v>12</v>
      </c>
    </row>
    <row r="4147" spans="1:10" x14ac:dyDescent="0.25">
      <c r="A4147" s="2">
        <v>6306.6609895803304</v>
      </c>
      <c r="B4147" s="3">
        <v>0.17808438730524001</v>
      </c>
      <c r="C4147" s="3">
        <v>7.2397603280497901E-3</v>
      </c>
      <c r="D4147" s="4">
        <v>1.85220645652753E-2</v>
      </c>
      <c r="E4147" s="3" t="s">
        <v>15421</v>
      </c>
      <c r="F4147" s="3" t="s">
        <v>15422</v>
      </c>
      <c r="G4147" s="3">
        <v>23983</v>
      </c>
      <c r="H4147" s="7" t="str">
        <f>HYPERLINK("http://www.ensembl.org/Mus_musculus/Gene/Summary?db=core;g=ENSMUSG00000051695","ENSMUSG00000051695")</f>
        <v>ENSMUSG00000051695</v>
      </c>
      <c r="I4147" s="7" t="str">
        <f>HYPERLINK("http://www.informatics.jax.org/marker/MGI:1345635","MGI:1345635")</f>
        <v>MGI:1345635</v>
      </c>
      <c r="J4147" s="4" t="s">
        <v>12</v>
      </c>
    </row>
    <row r="4148" spans="1:10" x14ac:dyDescent="0.25">
      <c r="A4148" s="2">
        <v>1084.7033668772699</v>
      </c>
      <c r="B4148" s="3">
        <v>0.17800076872895201</v>
      </c>
      <c r="C4148" s="3">
        <v>1.3924841447755999E-2</v>
      </c>
      <c r="D4148" s="4">
        <v>3.3643454220748298E-2</v>
      </c>
      <c r="E4148" s="3" t="s">
        <v>16329</v>
      </c>
      <c r="F4148" s="3" t="s">
        <v>16330</v>
      </c>
      <c r="G4148" s="3">
        <v>218343</v>
      </c>
      <c r="H4148" s="7" t="str">
        <f>HYPERLINK("http://www.ensembl.org/Mus_musculus/Gene/Summary?db=core;g=ENSMUSG00000033991","ENSMUSG00000033991")</f>
        <v>ENSMUSG00000033991</v>
      </c>
      <c r="I4148" s="7" t="str">
        <f>HYPERLINK("http://www.informatics.jax.org/marker/MGI:2679923","MGI:2679923")</f>
        <v>MGI:2679923</v>
      </c>
      <c r="J4148" s="4" t="s">
        <v>12</v>
      </c>
    </row>
    <row r="4149" spans="1:10" x14ac:dyDescent="0.25">
      <c r="A4149" s="2">
        <v>2805.2618048764598</v>
      </c>
      <c r="B4149" s="3">
        <v>0.17787245662177401</v>
      </c>
      <c r="C4149" s="3">
        <v>1.5036706673873799E-2</v>
      </c>
      <c r="D4149" s="4">
        <v>3.6051532596813499E-2</v>
      </c>
      <c r="E4149" s="3" t="s">
        <v>16455</v>
      </c>
      <c r="F4149" s="3" t="s">
        <v>16456</v>
      </c>
      <c r="G4149" s="3">
        <v>12444</v>
      </c>
      <c r="H4149" s="7" t="str">
        <f>HYPERLINK("http://www.ensembl.org/Mus_musculus/Gene/Summary?db=core;g=ENSMUSG00000000184","ENSMUSG00000000184")</f>
        <v>ENSMUSG00000000184</v>
      </c>
      <c r="I4149" s="7" t="str">
        <f>HYPERLINK("http://www.informatics.jax.org/marker/MGI:88314","MGI:88314")</f>
        <v>MGI:88314</v>
      </c>
      <c r="J4149" s="4" t="s">
        <v>12</v>
      </c>
    </row>
    <row r="4150" spans="1:10" x14ac:dyDescent="0.25">
      <c r="A4150" s="2">
        <v>12860.562471941101</v>
      </c>
      <c r="B4150" s="3">
        <v>0.17784283432985101</v>
      </c>
      <c r="C4150" s="5">
        <v>1.30592298984639E-5</v>
      </c>
      <c r="D4150" s="6">
        <v>4.83984239048502E-5</v>
      </c>
      <c r="E4150" s="3" t="s">
        <v>10654</v>
      </c>
      <c r="F4150" s="3" t="s">
        <v>10655</v>
      </c>
      <c r="G4150" s="3">
        <v>12387</v>
      </c>
      <c r="H4150" s="7" t="str">
        <f>HYPERLINK("http://www.ensembl.org/Mus_musculus/Gene/Summary?db=core;g=ENSMUSG00000006932","ENSMUSG00000006932")</f>
        <v>ENSMUSG00000006932</v>
      </c>
      <c r="I4150" s="7" t="str">
        <f>HYPERLINK("http://www.informatics.jax.org/marker/MGI:88276","MGI:88276")</f>
        <v>MGI:88276</v>
      </c>
      <c r="J4150" s="4" t="s">
        <v>12</v>
      </c>
    </row>
    <row r="4151" spans="1:10" x14ac:dyDescent="0.25">
      <c r="A4151" s="2">
        <v>810.79002796493</v>
      </c>
      <c r="B4151" s="3">
        <v>0.17734068830168501</v>
      </c>
      <c r="C4151" s="3">
        <v>6.5300185512278197E-3</v>
      </c>
      <c r="D4151" s="4">
        <v>1.6848353503887501E-2</v>
      </c>
      <c r="E4151" s="3" t="s">
        <v>15289</v>
      </c>
      <c r="F4151" s="3" t="s">
        <v>15290</v>
      </c>
      <c r="G4151" s="3">
        <v>81000</v>
      </c>
      <c r="H4151" s="7" t="str">
        <f>HYPERLINK("http://www.ensembl.org/Mus_musculus/Gene/Summary?db=core;g=ENSMUSG00000040661","ENSMUSG00000040661")</f>
        <v>ENSMUSG00000040661</v>
      </c>
      <c r="I4151" s="7" t="str">
        <f>HYPERLINK("http://www.informatics.jax.org/marker/MGI:1933196","MGI:1933196")</f>
        <v>MGI:1933196</v>
      </c>
      <c r="J4151" s="4" t="s">
        <v>12</v>
      </c>
    </row>
    <row r="4152" spans="1:10" x14ac:dyDescent="0.25">
      <c r="A4152" s="2">
        <v>284.48101538373498</v>
      </c>
      <c r="B4152" s="3">
        <v>0.17731861005449201</v>
      </c>
      <c r="C4152" s="3">
        <v>2.09362963769456E-2</v>
      </c>
      <c r="D4152" s="4">
        <v>4.86294186753084E-2</v>
      </c>
      <c r="E4152" s="3" t="s">
        <v>16984</v>
      </c>
      <c r="F4152" s="3" t="s">
        <v>16985</v>
      </c>
      <c r="G4152" s="3">
        <v>102182</v>
      </c>
      <c r="H4152" s="7" t="str">
        <f>HYPERLINK("http://www.ensembl.org/Mus_musculus/Gene/Summary?db=core;g=ENSMUSG00000037134","ENSMUSG00000037134")</f>
        <v>ENSMUSG00000037134</v>
      </c>
      <c r="I4152" s="7" t="str">
        <f>HYPERLINK("http://www.informatics.jax.org/marker/MGI:2142651","MGI:2142651")</f>
        <v>MGI:2142651</v>
      </c>
      <c r="J4152" s="4" t="s">
        <v>12</v>
      </c>
    </row>
    <row r="4153" spans="1:10" x14ac:dyDescent="0.25">
      <c r="A4153" s="2">
        <v>985.88883991635305</v>
      </c>
      <c r="B4153" s="3">
        <v>0.17724528637357401</v>
      </c>
      <c r="C4153" s="3">
        <v>3.9079177232705098E-3</v>
      </c>
      <c r="D4153" s="4">
        <v>1.0537964925871E-2</v>
      </c>
      <c r="E4153" s="3" t="s">
        <v>14629</v>
      </c>
      <c r="F4153" s="3" t="s">
        <v>14630</v>
      </c>
      <c r="G4153" s="3">
        <v>13722</v>
      </c>
      <c r="H4153" s="7" t="str">
        <f>HYPERLINK("http://www.ensembl.org/Mus_musculus/Gene/Summary?db=core;g=ENSMUSG00000028029","ENSMUSG00000028029")</f>
        <v>ENSMUSG00000028029</v>
      </c>
      <c r="I4153" s="7" t="str">
        <f>HYPERLINK("http://www.informatics.jax.org/marker/MGI:102774","MGI:102774")</f>
        <v>MGI:102774</v>
      </c>
      <c r="J4153" s="4" t="s">
        <v>12</v>
      </c>
    </row>
    <row r="4154" spans="1:10" x14ac:dyDescent="0.25">
      <c r="A4154" s="2">
        <v>900.66894196702594</v>
      </c>
      <c r="B4154" s="3">
        <v>0.17724143167808901</v>
      </c>
      <c r="C4154" s="3">
        <v>4.6856657180001702E-4</v>
      </c>
      <c r="D4154" s="4">
        <v>1.4476159793038301E-3</v>
      </c>
      <c r="E4154" s="3" t="s">
        <v>12775</v>
      </c>
      <c r="F4154" s="3" t="s">
        <v>12776</v>
      </c>
      <c r="G4154" s="3">
        <v>217715</v>
      </c>
      <c r="H4154" s="7" t="str">
        <f>HYPERLINK("http://www.ensembl.org/Mus_musculus/Gene/Summary?db=core;g=ENSMUSG00000004788","ENSMUSG00000004788")</f>
        <v>ENSMUSG00000004788</v>
      </c>
      <c r="I4154" s="7" t="str">
        <f>HYPERLINK("http://www.informatics.jax.org/marker/MGI:2145118","MGI:2145118")</f>
        <v>MGI:2145118</v>
      </c>
      <c r="J4154" s="4" t="s">
        <v>12</v>
      </c>
    </row>
    <row r="4155" spans="1:10" x14ac:dyDescent="0.25">
      <c r="A4155" s="2">
        <v>724.41663961561096</v>
      </c>
      <c r="B4155" s="3">
        <v>0.17718646873136801</v>
      </c>
      <c r="C4155" s="3">
        <v>5.4145038572987097E-3</v>
      </c>
      <c r="D4155" s="4">
        <v>1.4221366018371101E-2</v>
      </c>
      <c r="E4155" s="3" t="s">
        <v>15020</v>
      </c>
      <c r="F4155" s="3" t="s">
        <v>15021</v>
      </c>
      <c r="G4155" s="3">
        <v>233902</v>
      </c>
      <c r="H4155" s="7" t="str">
        <f>HYPERLINK("http://www.ensembl.org/Mus_musculus/Gene/Summary?db=core;g=ENSMUSG00000030811","ENSMUSG00000030811")</f>
        <v>ENSMUSG00000030811</v>
      </c>
      <c r="I4155" s="7" t="str">
        <f>HYPERLINK("http://www.informatics.jax.org/marker/MGI:3039600","MGI:3039600")</f>
        <v>MGI:3039600</v>
      </c>
      <c r="J4155" s="4" t="s">
        <v>12</v>
      </c>
    </row>
    <row r="4156" spans="1:10" x14ac:dyDescent="0.25">
      <c r="A4156" s="2">
        <v>3835.0690622686502</v>
      </c>
      <c r="B4156" s="3">
        <v>0.17718073335127499</v>
      </c>
      <c r="C4156" s="3">
        <v>4.0219949049524403E-3</v>
      </c>
      <c r="D4156" s="4">
        <v>1.0831465342511899E-2</v>
      </c>
      <c r="E4156" s="3" t="s">
        <v>14649</v>
      </c>
      <c r="F4156" s="3" t="s">
        <v>14650</v>
      </c>
      <c r="G4156" s="3">
        <v>226747</v>
      </c>
      <c r="H4156" s="7" t="str">
        <f>HYPERLINK("http://www.ensembl.org/Mus_musculus/Gene/Summary?db=core;g=ENSMUSG00000026491","ENSMUSG00000026491")</f>
        <v>ENSMUSG00000026491</v>
      </c>
      <c r="I4156" s="7" t="str">
        <f>HYPERLINK("http://www.informatics.jax.org/marker/MGI:1915033","MGI:1915033")</f>
        <v>MGI:1915033</v>
      </c>
      <c r="J4156" s="4" t="s">
        <v>12</v>
      </c>
    </row>
    <row r="4157" spans="1:10" x14ac:dyDescent="0.25">
      <c r="A4157" s="2">
        <v>1694.9177968531101</v>
      </c>
      <c r="B4157" s="3">
        <v>0.177179092043704</v>
      </c>
      <c r="C4157" s="3">
        <v>4.0396855586301997E-3</v>
      </c>
      <c r="D4157" s="4">
        <v>1.08754401660324E-2</v>
      </c>
      <c r="E4157" s="3" t="s">
        <v>14653</v>
      </c>
      <c r="F4157" s="3" t="s">
        <v>14654</v>
      </c>
      <c r="G4157" s="3">
        <v>76448</v>
      </c>
      <c r="H4157" s="7" t="str">
        <f>HYPERLINK("http://www.ensembl.org/Mus_musculus/Gene/Summary?db=core;g=ENSMUSG00000034595","ENSMUSG00000034595")</f>
        <v>ENSMUSG00000034595</v>
      </c>
      <c r="I4157" s="7" t="str">
        <f>HYPERLINK("http://www.informatics.jax.org/marker/MGI:1923698","MGI:1923698")</f>
        <v>MGI:1923698</v>
      </c>
      <c r="J4157" s="4" t="s">
        <v>12</v>
      </c>
    </row>
    <row r="4158" spans="1:10" x14ac:dyDescent="0.25">
      <c r="A4158" s="2">
        <v>834.25973422435004</v>
      </c>
      <c r="B4158" s="3">
        <v>0.176829319769779</v>
      </c>
      <c r="C4158" s="3">
        <v>4.9999205862167901E-3</v>
      </c>
      <c r="D4158" s="4">
        <v>1.32258127377861E-2</v>
      </c>
      <c r="E4158" s="3" t="s">
        <v>14914</v>
      </c>
      <c r="F4158" s="3" t="s">
        <v>14915</v>
      </c>
      <c r="G4158" s="3">
        <v>64657</v>
      </c>
      <c r="H4158" s="7" t="str">
        <f>HYPERLINK("http://www.ensembl.org/Mus_musculus/Gene/Summary?db=core;g=ENSMUSG00000034729","ENSMUSG00000034729")</f>
        <v>ENSMUSG00000034729</v>
      </c>
      <c r="I4158" s="7" t="str">
        <f>HYPERLINK("http://www.informatics.jax.org/marker/MGI:1928139","MGI:1928139")</f>
        <v>MGI:1928139</v>
      </c>
      <c r="J4158" s="4" t="s">
        <v>12</v>
      </c>
    </row>
    <row r="4159" spans="1:10" x14ac:dyDescent="0.25">
      <c r="A4159" s="2">
        <v>581.02165500540298</v>
      </c>
      <c r="B4159" s="3">
        <v>0.17678137256409501</v>
      </c>
      <c r="C4159" s="3">
        <v>4.6591757348314004E-3</v>
      </c>
      <c r="D4159" s="4">
        <v>1.23809386189025E-2</v>
      </c>
      <c r="E4159" s="3" t="s">
        <v>14846</v>
      </c>
      <c r="F4159" s="3" t="s">
        <v>14847</v>
      </c>
      <c r="G4159" s="3" t="s">
        <v>83</v>
      </c>
      <c r="H4159" s="7" t="str">
        <f>HYPERLINK("http://www.ensembl.org/Mus_musculus/Gene/Summary?db=core;g=ENSMUSG00000117732","ENSMUSG00000117732")</f>
        <v>ENSMUSG00000117732</v>
      </c>
      <c r="I4159" s="7" t="str">
        <f>HYPERLINK("http://www.informatics.jax.org/marker/MGI:6303253","MGI:6303253")</f>
        <v>MGI:6303253</v>
      </c>
      <c r="J4159" s="4" t="s">
        <v>12</v>
      </c>
    </row>
    <row r="4160" spans="1:10" x14ac:dyDescent="0.25">
      <c r="A4160" s="2">
        <v>842.59189208396697</v>
      </c>
      <c r="B4160" s="3">
        <v>0.176688870771155</v>
      </c>
      <c r="C4160" s="3">
        <v>1.8556201817654501E-2</v>
      </c>
      <c r="D4160" s="4">
        <v>4.3599225526527702E-2</v>
      </c>
      <c r="E4160" s="3" t="s">
        <v>16790</v>
      </c>
      <c r="F4160" s="3" t="s">
        <v>16791</v>
      </c>
      <c r="G4160" s="3">
        <v>208606</v>
      </c>
      <c r="H4160" s="7" t="str">
        <f>HYPERLINK("http://www.ensembl.org/Mus_musculus/Gene/Summary?db=core;g=ENSMUSG00000029422","ENSMUSG00000029422")</f>
        <v>ENSMUSG00000029422</v>
      </c>
      <c r="I4160" s="7" t="str">
        <f>HYPERLINK("http://www.informatics.jax.org/marker/MGI:1913489","MGI:1913489")</f>
        <v>MGI:1913489</v>
      </c>
      <c r="J4160" s="4" t="s">
        <v>12</v>
      </c>
    </row>
    <row r="4161" spans="1:10" x14ac:dyDescent="0.25">
      <c r="A4161" s="2">
        <v>5439.3044343208003</v>
      </c>
      <c r="B4161" s="3">
        <v>0.176671933431362</v>
      </c>
      <c r="C4161" s="5">
        <v>9.7478201065754897E-5</v>
      </c>
      <c r="D4161" s="4">
        <v>3.2921221527944602E-4</v>
      </c>
      <c r="E4161" s="3" t="s">
        <v>11689</v>
      </c>
      <c r="F4161" s="3" t="s">
        <v>11690</v>
      </c>
      <c r="G4161" s="3">
        <v>53610</v>
      </c>
      <c r="H4161" s="7" t="str">
        <f>HYPERLINK("http://www.ensembl.org/Mus_musculus/Gene/Summary?db=core;g=ENSMUSG00000031311","ENSMUSG00000031311")</f>
        <v>ENSMUSG00000031311</v>
      </c>
      <c r="I4161" s="7" t="str">
        <f>HYPERLINK("http://www.informatics.jax.org/marker/MGI:1855692","MGI:1855692")</f>
        <v>MGI:1855692</v>
      </c>
      <c r="J4161" s="4" t="s">
        <v>12</v>
      </c>
    </row>
    <row r="4162" spans="1:10" x14ac:dyDescent="0.25">
      <c r="A4162" s="2">
        <v>1478.8025637544199</v>
      </c>
      <c r="B4162" s="3">
        <v>0.17632801972338499</v>
      </c>
      <c r="C4162" s="3">
        <v>6.1367150965492795E-4</v>
      </c>
      <c r="D4162" s="4">
        <v>1.8663976754200501E-3</v>
      </c>
      <c r="E4162" s="3" t="s">
        <v>12975</v>
      </c>
      <c r="F4162" s="3" t="s">
        <v>12976</v>
      </c>
      <c r="G4162" s="3">
        <v>66583</v>
      </c>
      <c r="H4162" s="7" t="str">
        <f>HYPERLINK("http://www.ensembl.org/Mus_musculus/Gene/Summary?db=core;g=ENSMUSG00000034321","ENSMUSG00000034321")</f>
        <v>ENSMUSG00000034321</v>
      </c>
      <c r="I4162" s="7" t="str">
        <f>HYPERLINK("http://www.informatics.jax.org/marker/MGI:1913833","MGI:1913833")</f>
        <v>MGI:1913833</v>
      </c>
      <c r="J4162" s="4" t="s">
        <v>12</v>
      </c>
    </row>
    <row r="4163" spans="1:10" x14ac:dyDescent="0.25">
      <c r="A4163" s="2">
        <v>2428.33262897648</v>
      </c>
      <c r="B4163" s="3">
        <v>0.17573969651816801</v>
      </c>
      <c r="C4163" s="3">
        <v>1.9499022917523099E-3</v>
      </c>
      <c r="D4163" s="4">
        <v>5.5207570988306601E-3</v>
      </c>
      <c r="E4163" s="3" t="s">
        <v>13937</v>
      </c>
      <c r="F4163" s="3" t="s">
        <v>13938</v>
      </c>
      <c r="G4163" s="3">
        <v>72662</v>
      </c>
      <c r="H4163" s="7" t="str">
        <f>HYPERLINK("http://www.ensembl.org/Mus_musculus/Gene/Summary?db=core;g=ENSMUSG00000033166","ENSMUSG00000033166")</f>
        <v>ENSMUSG00000033166</v>
      </c>
      <c r="I4163" s="7" t="str">
        <f>HYPERLINK("http://www.informatics.jax.org/marker/MGI:1919912","MGI:1919912")</f>
        <v>MGI:1919912</v>
      </c>
      <c r="J4163" s="4" t="s">
        <v>12</v>
      </c>
    </row>
    <row r="4164" spans="1:10" x14ac:dyDescent="0.25">
      <c r="A4164" s="2">
        <v>9088.9740411282492</v>
      </c>
      <c r="B4164" s="3">
        <v>0.175554190386987</v>
      </c>
      <c r="C4164" s="3">
        <v>5.6183813836405095E-4</v>
      </c>
      <c r="D4164" s="4">
        <v>1.71907650714338E-3</v>
      </c>
      <c r="E4164" s="3" t="s">
        <v>12899</v>
      </c>
      <c r="F4164" s="3" t="s">
        <v>12900</v>
      </c>
      <c r="G4164" s="3">
        <v>27367</v>
      </c>
      <c r="H4164" s="7" t="str">
        <f>HYPERLINK("http://www.ensembl.org/Mus_musculus/Gene/Summary?db=core;g=ENSMUSG00000060036","ENSMUSG00000060036")</f>
        <v>ENSMUSG00000060036</v>
      </c>
      <c r="I4164" s="7" t="str">
        <f>HYPERLINK("http://www.informatics.jax.org/marker/MGI:1351605","MGI:1351605")</f>
        <v>MGI:1351605</v>
      </c>
      <c r="J4164" s="4" t="s">
        <v>12</v>
      </c>
    </row>
    <row r="4165" spans="1:10" x14ac:dyDescent="0.25">
      <c r="A4165" s="2">
        <v>1938.11410200403</v>
      </c>
      <c r="B4165" s="3">
        <v>0.17538642912615399</v>
      </c>
      <c r="C4165" s="3">
        <v>1.7368850298428901E-2</v>
      </c>
      <c r="D4165" s="4">
        <v>4.1093428660469999E-2</v>
      </c>
      <c r="E4165" s="3" t="s">
        <v>16674</v>
      </c>
      <c r="F4165" s="3" t="s">
        <v>16675</v>
      </c>
      <c r="G4165" s="3">
        <v>18145</v>
      </c>
      <c r="H4165" s="7" t="str">
        <f>HYPERLINK("http://www.ensembl.org/Mus_musculus/Gene/Summary?db=core;g=ENSMUSG00000024413","ENSMUSG00000024413")</f>
        <v>ENSMUSG00000024413</v>
      </c>
      <c r="I4165" s="7" t="str">
        <f>HYPERLINK("http://www.informatics.jax.org/marker/MGI:1097712","MGI:1097712")</f>
        <v>MGI:1097712</v>
      </c>
      <c r="J4165" s="4" t="s">
        <v>12</v>
      </c>
    </row>
    <row r="4166" spans="1:10" x14ac:dyDescent="0.25">
      <c r="A4166" s="2">
        <v>443.10780481351202</v>
      </c>
      <c r="B4166" s="3">
        <v>0.17530768208091599</v>
      </c>
      <c r="C4166" s="3">
        <v>1.197914147116E-2</v>
      </c>
      <c r="D4166" s="4">
        <v>2.9323320483028201E-2</v>
      </c>
      <c r="E4166" s="3" t="s">
        <v>16117</v>
      </c>
      <c r="F4166" s="3" t="s">
        <v>16118</v>
      </c>
      <c r="G4166" s="3">
        <v>67285</v>
      </c>
      <c r="H4166" s="7" t="str">
        <f>HYPERLINK("http://www.ensembl.org/Mus_musculus/Gene/Summary?db=core;g=ENSMUSG00000021715","ENSMUSG00000021715")</f>
        <v>ENSMUSG00000021715</v>
      </c>
      <c r="I4166" s="7" t="str">
        <f>HYPERLINK("http://www.informatics.jax.org/marker/MGI:1914535","MGI:1914535")</f>
        <v>MGI:1914535</v>
      </c>
      <c r="J4166" s="4" t="s">
        <v>12</v>
      </c>
    </row>
    <row r="4167" spans="1:10" x14ac:dyDescent="0.25">
      <c r="A4167" s="2">
        <v>5630.2712295412703</v>
      </c>
      <c r="B4167" s="3">
        <v>0.175012563721549</v>
      </c>
      <c r="C4167" s="3">
        <v>1.18309695591873E-4</v>
      </c>
      <c r="D4167" s="4">
        <v>3.9530111776884597E-4</v>
      </c>
      <c r="E4167" s="3" t="s">
        <v>11815</v>
      </c>
      <c r="F4167" s="3" t="s">
        <v>11816</v>
      </c>
      <c r="G4167" s="3">
        <v>67996</v>
      </c>
      <c r="H4167" s="7" t="str">
        <f>HYPERLINK("http://www.ensembl.org/Mus_musculus/Gene/Summary?db=core;g=ENSMUSG00000016921","ENSMUSG00000016921")</f>
        <v>ENSMUSG00000016921</v>
      </c>
      <c r="I4167" s="7" t="str">
        <f>HYPERLINK("http://www.informatics.jax.org/marker/MGI:1915246","MGI:1915246")</f>
        <v>MGI:1915246</v>
      </c>
      <c r="J4167" s="4" t="s">
        <v>12</v>
      </c>
    </row>
    <row r="4168" spans="1:10" x14ac:dyDescent="0.25">
      <c r="A4168" s="2">
        <v>7271.07084568963</v>
      </c>
      <c r="B4168" s="3">
        <v>0.17499441480774899</v>
      </c>
      <c r="C4168" s="3">
        <v>1.0155582122554001E-3</v>
      </c>
      <c r="D4168" s="4">
        <v>2.9881838176181001E-3</v>
      </c>
      <c r="E4168" s="3" t="s">
        <v>13413</v>
      </c>
      <c r="F4168" s="3" t="s">
        <v>13414</v>
      </c>
      <c r="G4168" s="3">
        <v>27207</v>
      </c>
      <c r="H4168" s="7" t="str">
        <f>HYPERLINK("http://www.ensembl.org/Mus_musculus/Gene/Summary?db=core;g=ENSMUSG00000003429","ENSMUSG00000003429")</f>
        <v>ENSMUSG00000003429</v>
      </c>
      <c r="I4168" s="7" t="str">
        <f>HYPERLINK("http://www.informatics.jax.org/marker/MGI:1351329","MGI:1351329")</f>
        <v>MGI:1351329</v>
      </c>
      <c r="J4168" s="4" t="s">
        <v>12</v>
      </c>
    </row>
    <row r="4169" spans="1:10" x14ac:dyDescent="0.25">
      <c r="A4169" s="2">
        <v>1308.1859562127599</v>
      </c>
      <c r="B4169" s="3">
        <v>0.174798037837464</v>
      </c>
      <c r="C4169" s="3">
        <v>1.4345240784920299E-2</v>
      </c>
      <c r="D4169" s="4">
        <v>3.4557555372419703E-2</v>
      </c>
      <c r="E4169" s="3" t="s">
        <v>16377</v>
      </c>
      <c r="F4169" s="3" t="s">
        <v>16378</v>
      </c>
      <c r="G4169" s="3">
        <v>231874</v>
      </c>
      <c r="H4169" s="7" t="str">
        <f>HYPERLINK("http://www.ensembl.org/Mus_musculus/Gene/Summary?db=core;g=ENSMUSG00000029617","ENSMUSG00000029617")</f>
        <v>ENSMUSG00000029617</v>
      </c>
      <c r="I4169" s="7" t="str">
        <f>HYPERLINK("http://www.informatics.jax.org/marker/MGI:2141070","MGI:2141070")</f>
        <v>MGI:2141070</v>
      </c>
      <c r="J4169" s="4" t="s">
        <v>12</v>
      </c>
    </row>
    <row r="4170" spans="1:10" x14ac:dyDescent="0.25">
      <c r="A4170" s="2">
        <v>797.28624950315998</v>
      </c>
      <c r="B4170" s="3">
        <v>0.17468462315973199</v>
      </c>
      <c r="C4170" s="3">
        <v>6.1842713136365897E-3</v>
      </c>
      <c r="D4170" s="4">
        <v>1.6029341983273E-2</v>
      </c>
      <c r="E4170" s="3" t="s">
        <v>15223</v>
      </c>
      <c r="F4170" s="3" t="s">
        <v>15224</v>
      </c>
      <c r="G4170" s="3">
        <v>66530</v>
      </c>
      <c r="H4170" s="7" t="str">
        <f>HYPERLINK("http://www.ensembl.org/Mus_musculus/Gene/Summary?db=core;g=ENSMUSG00000019578","ENSMUSG00000019578")</f>
        <v>ENSMUSG00000019578</v>
      </c>
      <c r="I4170" s="7" t="str">
        <f>HYPERLINK("http://www.informatics.jax.org/marker/MGI:1913780","MGI:1913780")</f>
        <v>MGI:1913780</v>
      </c>
      <c r="J4170" s="4" t="s">
        <v>12</v>
      </c>
    </row>
    <row r="4171" spans="1:10" x14ac:dyDescent="0.25">
      <c r="A4171" s="2">
        <v>2786.0583324453801</v>
      </c>
      <c r="B4171" s="3">
        <v>0.174591927192179</v>
      </c>
      <c r="C4171" s="3">
        <v>7.5690384233366903E-4</v>
      </c>
      <c r="D4171" s="4">
        <v>2.2722094338285801E-3</v>
      </c>
      <c r="E4171" s="3" t="s">
        <v>13147</v>
      </c>
      <c r="F4171" s="3" t="s">
        <v>13148</v>
      </c>
      <c r="G4171" s="3">
        <v>268420</v>
      </c>
      <c r="H4171" s="7" t="str">
        <f>HYPERLINK("http://www.ensembl.org/Mus_musculus/Gene/Summary?db=core;g=ENSMUSG00000042650","ENSMUSG00000042650")</f>
        <v>ENSMUSG00000042650</v>
      </c>
      <c r="I4171" s="7" t="str">
        <f>HYPERLINK("http://www.informatics.jax.org/marker/MGI:2144489","MGI:2144489")</f>
        <v>MGI:2144489</v>
      </c>
      <c r="J4171" s="4" t="s">
        <v>12</v>
      </c>
    </row>
    <row r="4172" spans="1:10" x14ac:dyDescent="0.25">
      <c r="A4172" s="2">
        <v>891.22362112028497</v>
      </c>
      <c r="B4172" s="3">
        <v>0.17454486171525199</v>
      </c>
      <c r="C4172" s="3">
        <v>2.1244566351194202E-2</v>
      </c>
      <c r="D4172" s="4">
        <v>4.92989936979936E-2</v>
      </c>
      <c r="E4172" s="3" t="s">
        <v>17000</v>
      </c>
      <c r="F4172" s="3" t="s">
        <v>17001</v>
      </c>
      <c r="G4172" s="3">
        <v>78308</v>
      </c>
      <c r="H4172" s="7" t="str">
        <f>HYPERLINK("http://www.ensembl.org/Mus_musculus/Gene/Summary?db=core;g=ENSMUSG00000005823","ENSMUSG00000005823")</f>
        <v>ENSMUSG00000005823</v>
      </c>
      <c r="I4172" s="7" t="str">
        <f>HYPERLINK("http://www.informatics.jax.org/marker/MGI:1925558","MGI:1925558")</f>
        <v>MGI:1925558</v>
      </c>
      <c r="J4172" s="4" t="s">
        <v>12</v>
      </c>
    </row>
    <row r="4173" spans="1:10" x14ac:dyDescent="0.25">
      <c r="A4173" s="2">
        <v>2534.8021518208702</v>
      </c>
      <c r="B4173" s="3">
        <v>0.17421530949788999</v>
      </c>
      <c r="C4173" s="5">
        <v>1.6469231166883502E-5</v>
      </c>
      <c r="D4173" s="6">
        <v>6.0377995651783298E-5</v>
      </c>
      <c r="E4173" s="3" t="s">
        <v>10770</v>
      </c>
      <c r="F4173" s="3" t="s">
        <v>10771</v>
      </c>
      <c r="G4173" s="3">
        <v>23874</v>
      </c>
      <c r="H4173" s="7" t="str">
        <f>HYPERLINK("http://www.ensembl.org/Mus_musculus/Gene/Summary?db=core;g=ENSMUSG00000026245","ENSMUSG00000026245")</f>
        <v>ENSMUSG00000026245</v>
      </c>
      <c r="I4173" s="7" t="str">
        <f>HYPERLINK("http://www.informatics.jax.org/marker/MGI:1346035","MGI:1346035")</f>
        <v>MGI:1346035</v>
      </c>
      <c r="J4173" s="4" t="s">
        <v>12</v>
      </c>
    </row>
    <row r="4174" spans="1:10" x14ac:dyDescent="0.25">
      <c r="A4174" s="2">
        <v>3643.3510625941199</v>
      </c>
      <c r="B4174" s="3">
        <v>0.17417470398420001</v>
      </c>
      <c r="C4174" s="3">
        <v>2.9795742312857098E-3</v>
      </c>
      <c r="D4174" s="4">
        <v>8.1629902529805707E-3</v>
      </c>
      <c r="E4174" s="3" t="s">
        <v>14401</v>
      </c>
      <c r="F4174" s="3" t="s">
        <v>14402</v>
      </c>
      <c r="G4174" s="3">
        <v>54709</v>
      </c>
      <c r="H4174" s="7" t="str">
        <f>HYPERLINK("http://www.ensembl.org/Mus_musculus/Gene/Summary?db=core;g=ENSMUSG00000028798","ENSMUSG00000028798")</f>
        <v>ENSMUSG00000028798</v>
      </c>
      <c r="I4174" s="7" t="str">
        <f>HYPERLINK("http://www.informatics.jax.org/marker/MGI:1860763","MGI:1860763")</f>
        <v>MGI:1860763</v>
      </c>
      <c r="J4174" s="4" t="s">
        <v>12</v>
      </c>
    </row>
    <row r="4175" spans="1:10" x14ac:dyDescent="0.25">
      <c r="A4175" s="2">
        <v>1837.74749134221</v>
      </c>
      <c r="B4175" s="3">
        <v>0.17406081625943501</v>
      </c>
      <c r="C4175" s="3">
        <v>1.5811607709426801E-4</v>
      </c>
      <c r="D4175" s="4">
        <v>5.1967484004982801E-4</v>
      </c>
      <c r="E4175" s="3" t="s">
        <v>12011</v>
      </c>
      <c r="F4175" s="3" t="s">
        <v>12012</v>
      </c>
      <c r="G4175" s="3">
        <v>72736</v>
      </c>
      <c r="H4175" s="7" t="str">
        <f>HYPERLINK("http://www.ensembl.org/Mus_musculus/Gene/Summary?db=core;g=ENSMUSG00000021072","ENSMUSG00000021072")</f>
        <v>ENSMUSG00000021072</v>
      </c>
      <c r="I4175" s="7" t="str">
        <f>HYPERLINK("http://www.informatics.jax.org/marker/MGI:1919986","MGI:1919986")</f>
        <v>MGI:1919986</v>
      </c>
      <c r="J4175" s="4" t="s">
        <v>12</v>
      </c>
    </row>
    <row r="4176" spans="1:10" x14ac:dyDescent="0.25">
      <c r="A4176" s="2">
        <v>827.44840625286599</v>
      </c>
      <c r="B4176" s="3">
        <v>0.173973585400542</v>
      </c>
      <c r="C4176" s="3">
        <v>4.4567065875448196E-3</v>
      </c>
      <c r="D4176" s="4">
        <v>1.1889374175647199E-2</v>
      </c>
      <c r="E4176" s="3" t="s">
        <v>14788</v>
      </c>
      <c r="F4176" s="3" t="s">
        <v>14789</v>
      </c>
      <c r="G4176" s="3">
        <v>66262</v>
      </c>
      <c r="H4176" s="7" t="str">
        <f>HYPERLINK("http://www.ensembl.org/Mus_musculus/Gene/Summary?db=core;g=ENSMUSG00000026283","ENSMUSG00000026283")</f>
        <v>ENSMUSG00000026283</v>
      </c>
      <c r="I4176" s="7" t="str">
        <f>HYPERLINK("http://www.informatics.jax.org/marker/MGI:1922816","MGI:1922816")</f>
        <v>MGI:1922816</v>
      </c>
      <c r="J4176" s="4" t="s">
        <v>12</v>
      </c>
    </row>
    <row r="4177" spans="1:10" x14ac:dyDescent="0.25">
      <c r="A4177" s="2">
        <v>1333.41500052216</v>
      </c>
      <c r="B4177" s="3">
        <v>0.173950911334151</v>
      </c>
      <c r="C4177" s="3">
        <v>1.1602630567879701E-3</v>
      </c>
      <c r="D4177" s="4">
        <v>3.3891849325816399E-3</v>
      </c>
      <c r="E4177" s="3" t="s">
        <v>13511</v>
      </c>
      <c r="F4177" s="3" t="s">
        <v>13512</v>
      </c>
      <c r="G4177" s="3">
        <v>66687</v>
      </c>
      <c r="H4177" s="7" t="str">
        <f>HYPERLINK("http://www.ensembl.org/Mus_musculus/Gene/Summary?db=core;g=ENSMUSG00000020130","ENSMUSG00000020130")</f>
        <v>ENSMUSG00000020130</v>
      </c>
      <c r="I4177" s="7" t="str">
        <f>HYPERLINK("http://www.informatics.jax.org/marker/MGI:1913937","MGI:1913937")</f>
        <v>MGI:1913937</v>
      </c>
      <c r="J4177" s="4" t="s">
        <v>12</v>
      </c>
    </row>
    <row r="4178" spans="1:10" x14ac:dyDescent="0.25">
      <c r="A4178" s="2">
        <v>1011.97733197508</v>
      </c>
      <c r="B4178" s="3">
        <v>0.17345887451705899</v>
      </c>
      <c r="C4178" s="3">
        <v>3.4532202905443099E-3</v>
      </c>
      <c r="D4178" s="4">
        <v>9.3798215054454199E-3</v>
      </c>
      <c r="E4178" s="3" t="s">
        <v>14523</v>
      </c>
      <c r="F4178" s="3" t="s">
        <v>14524</v>
      </c>
      <c r="G4178" s="3">
        <v>67695</v>
      </c>
      <c r="H4178" s="7" t="str">
        <f>HYPERLINK("http://www.ensembl.org/Mus_musculus/Gene/Summary?db=core;g=ENSMUSG00000038803","ENSMUSG00000038803")</f>
        <v>ENSMUSG00000038803</v>
      </c>
      <c r="I4178" s="7" t="str">
        <f>HYPERLINK("http://www.informatics.jax.org/marker/MGI:1914945","MGI:1914945")</f>
        <v>MGI:1914945</v>
      </c>
      <c r="J4178" s="4" t="s">
        <v>12</v>
      </c>
    </row>
    <row r="4179" spans="1:10" x14ac:dyDescent="0.25">
      <c r="A4179" s="2">
        <v>21116.972520885702</v>
      </c>
      <c r="B4179" s="3">
        <v>0.172318622805083</v>
      </c>
      <c r="C4179" s="5">
        <v>5.57332380424447E-5</v>
      </c>
      <c r="D4179" s="4">
        <v>1.9336021361664499E-4</v>
      </c>
      <c r="E4179" s="3" t="s">
        <v>11379</v>
      </c>
      <c r="F4179" s="3" t="s">
        <v>11380</v>
      </c>
      <c r="G4179" s="3">
        <v>67891</v>
      </c>
      <c r="H4179" s="7" t="str">
        <f>HYPERLINK("http://www.ensembl.org/Mus_musculus/Gene/Summary?db=core;g=ENSMUSG00000032399","ENSMUSG00000032399")</f>
        <v>ENSMUSG00000032399</v>
      </c>
      <c r="I4179" s="7" t="str">
        <f>HYPERLINK("http://www.informatics.jax.org/marker/MGI:1915141","MGI:1915141")</f>
        <v>MGI:1915141</v>
      </c>
      <c r="J4179" s="4" t="s">
        <v>12</v>
      </c>
    </row>
    <row r="4180" spans="1:10" x14ac:dyDescent="0.25">
      <c r="A4180" s="2">
        <v>1186.50508430899</v>
      </c>
      <c r="B4180" s="3">
        <v>0.172256577136706</v>
      </c>
      <c r="C4180" s="3">
        <v>1.06071088701054E-3</v>
      </c>
      <c r="D4180" s="4">
        <v>3.1149990605879099E-3</v>
      </c>
      <c r="E4180" s="3" t="s">
        <v>13439</v>
      </c>
      <c r="F4180" s="3" t="s">
        <v>13440</v>
      </c>
      <c r="G4180" s="3">
        <v>225131</v>
      </c>
      <c r="H4180" s="7" t="str">
        <f>HYPERLINK("http://www.ensembl.org/Mus_musculus/Gene/Summary?db=core;g=ENSMUSG00000024283","ENSMUSG00000024283")</f>
        <v>ENSMUSG00000024283</v>
      </c>
      <c r="I4180" s="7" t="str">
        <f>HYPERLINK("http://www.informatics.jax.org/marker/MGI:2387357","MGI:2387357")</f>
        <v>MGI:2387357</v>
      </c>
      <c r="J4180" s="4" t="s">
        <v>12</v>
      </c>
    </row>
    <row r="4181" spans="1:10" x14ac:dyDescent="0.25">
      <c r="A4181" s="2">
        <v>1351.0630811035601</v>
      </c>
      <c r="B4181" s="3">
        <v>0.17223854741577699</v>
      </c>
      <c r="C4181" s="3">
        <v>4.1192412784905701E-3</v>
      </c>
      <c r="D4181" s="4">
        <v>1.10669534076068E-2</v>
      </c>
      <c r="E4181" s="3" t="s">
        <v>14683</v>
      </c>
      <c r="F4181" s="3" t="s">
        <v>14684</v>
      </c>
      <c r="G4181" s="3">
        <v>18222</v>
      </c>
      <c r="H4181" s="7" t="str">
        <f>HYPERLINK("http://www.ensembl.org/Mus_musculus/Gene/Summary?db=core;g=ENSMUSG00000021224","ENSMUSG00000021224")</f>
        <v>ENSMUSG00000021224</v>
      </c>
      <c r="I4181" s="7" t="str">
        <f>HYPERLINK("http://www.informatics.jax.org/marker/MGI:107423","MGI:107423")</f>
        <v>MGI:107423</v>
      </c>
      <c r="J4181" s="4" t="s">
        <v>12</v>
      </c>
    </row>
    <row r="4182" spans="1:10" x14ac:dyDescent="0.25">
      <c r="A4182" s="2">
        <v>425.99872982689902</v>
      </c>
      <c r="B4182" s="3">
        <v>0.17217836287503899</v>
      </c>
      <c r="C4182" s="3">
        <v>1.01140869014772E-2</v>
      </c>
      <c r="D4182" s="4">
        <v>2.5163991130094699E-2</v>
      </c>
      <c r="E4182" s="3" t="s">
        <v>15857</v>
      </c>
      <c r="F4182" s="3" t="s">
        <v>15858</v>
      </c>
      <c r="G4182" s="3">
        <v>56503</v>
      </c>
      <c r="H4182" s="7" t="str">
        <f>HYPERLINK("http://www.ensembl.org/Mus_musculus/Gene/Summary?db=core;g=ENSMUSG00000031931","ENSMUSG00000031931")</f>
        <v>ENSMUSG00000031931</v>
      </c>
      <c r="I4182" s="7" t="str">
        <f>HYPERLINK("http://www.informatics.jax.org/marker/MGI:1930842","MGI:1930842")</f>
        <v>MGI:1930842</v>
      </c>
      <c r="J4182" s="4" t="s">
        <v>12</v>
      </c>
    </row>
    <row r="4183" spans="1:10" x14ac:dyDescent="0.25">
      <c r="A4183" s="2">
        <v>714.09935235706803</v>
      </c>
      <c r="B4183" s="3">
        <v>0.17162597549738301</v>
      </c>
      <c r="C4183" s="3">
        <v>6.4805069009452104E-3</v>
      </c>
      <c r="D4183" s="4">
        <v>1.6742512260793901E-2</v>
      </c>
      <c r="E4183" s="3" t="s">
        <v>15271</v>
      </c>
      <c r="F4183" s="3" t="s">
        <v>15272</v>
      </c>
      <c r="G4183" s="3">
        <v>240263</v>
      </c>
      <c r="H4183" s="7" t="str">
        <f>HYPERLINK("http://www.ensembl.org/Mus_musculus/Gene/Summary?db=core;g=ENSMUSG00000033319","ENSMUSG00000033319")</f>
        <v>ENSMUSG00000033319</v>
      </c>
      <c r="I4183" s="7" t="str">
        <f>HYPERLINK("http://www.informatics.jax.org/marker/MGI:2444737","MGI:2444737")</f>
        <v>MGI:2444737</v>
      </c>
      <c r="J4183" s="4" t="s">
        <v>12</v>
      </c>
    </row>
    <row r="4184" spans="1:10" x14ac:dyDescent="0.25">
      <c r="A4184" s="2">
        <v>563.30565919543096</v>
      </c>
      <c r="B4184" s="3">
        <v>0.171371315750391</v>
      </c>
      <c r="C4184" s="3">
        <v>3.1998166538564801E-3</v>
      </c>
      <c r="D4184" s="4">
        <v>8.7372451417958696E-3</v>
      </c>
      <c r="E4184" s="3" t="s">
        <v>14447</v>
      </c>
      <c r="F4184" s="3" t="s">
        <v>14448</v>
      </c>
      <c r="G4184" s="3">
        <v>70425</v>
      </c>
      <c r="H4184" s="7" t="str">
        <f>HYPERLINK("http://www.ensembl.org/Mus_musculus/Gene/Summary?db=core;g=ENSMUSG00000073563","ENSMUSG00000073563")</f>
        <v>ENSMUSG00000073563</v>
      </c>
      <c r="I4184" s="7" t="str">
        <f>HYPERLINK("http://www.informatics.jax.org/marker/MGI:1917675","MGI:1917675")</f>
        <v>MGI:1917675</v>
      </c>
      <c r="J4184" s="4" t="s">
        <v>12</v>
      </c>
    </row>
    <row r="4185" spans="1:10" x14ac:dyDescent="0.25">
      <c r="A4185" s="2">
        <v>999.55928453457295</v>
      </c>
      <c r="B4185" s="3">
        <v>0.17135627182631799</v>
      </c>
      <c r="C4185" s="3">
        <v>3.21335236351562E-3</v>
      </c>
      <c r="D4185" s="4">
        <v>8.7669215009031597E-3</v>
      </c>
      <c r="E4185" s="3" t="s">
        <v>14459</v>
      </c>
      <c r="F4185" s="3" t="s">
        <v>14460</v>
      </c>
      <c r="G4185" s="3">
        <v>66448</v>
      </c>
      <c r="H4185" s="7" t="str">
        <f>HYPERLINK("http://www.ensembl.org/Mus_musculus/Gene/Summary?db=core;g=ENSMUSG00000029066","ENSMUSG00000029066")</f>
        <v>ENSMUSG00000029066</v>
      </c>
      <c r="I4185" s="7" t="str">
        <f>HYPERLINK("http://www.informatics.jax.org/marker/MGI:2137221","MGI:2137221")</f>
        <v>MGI:2137221</v>
      </c>
      <c r="J4185" s="4" t="s">
        <v>12</v>
      </c>
    </row>
    <row r="4186" spans="1:10" x14ac:dyDescent="0.25">
      <c r="A4186" s="2">
        <v>1234.1555504841999</v>
      </c>
      <c r="B4186" s="3">
        <v>0.171198906670188</v>
      </c>
      <c r="C4186" s="3">
        <v>2.0842448319622502E-2</v>
      </c>
      <c r="D4186" s="4">
        <v>4.8422841760480201E-2</v>
      </c>
      <c r="E4186" s="3" t="s">
        <v>16980</v>
      </c>
      <c r="F4186" s="3" t="s">
        <v>16981</v>
      </c>
      <c r="G4186" s="3">
        <v>24075</v>
      </c>
      <c r="H4186" s="7" t="str">
        <f>HYPERLINK("http://www.ensembl.org/Mus_musculus/Gene/Summary?db=core;g=ENSMUSG00000043866","ENSMUSG00000043866")</f>
        <v>ENSMUSG00000043866</v>
      </c>
      <c r="I4186" s="7" t="str">
        <f>HYPERLINK("http://www.informatics.jax.org/marker/MGI:1346320","MGI:1346320")</f>
        <v>MGI:1346320</v>
      </c>
      <c r="J4186" s="4" t="s">
        <v>12</v>
      </c>
    </row>
    <row r="4187" spans="1:10" x14ac:dyDescent="0.25">
      <c r="A4187" s="2">
        <v>3030.29806478198</v>
      </c>
      <c r="B4187" s="3">
        <v>0.17099278318241501</v>
      </c>
      <c r="C4187" s="3">
        <v>7.8945149411148495E-4</v>
      </c>
      <c r="D4187" s="4">
        <v>2.36308188583462E-3</v>
      </c>
      <c r="E4187" s="3" t="s">
        <v>13185</v>
      </c>
      <c r="F4187" s="3" t="s">
        <v>13186</v>
      </c>
      <c r="G4187" s="3">
        <v>74351</v>
      </c>
      <c r="H4187" s="7" t="str">
        <f>HYPERLINK("http://www.ensembl.org/Mus_musculus/Gene/Summary?db=core;g=ENSMUSG00000003360","ENSMUSG00000003360")</f>
        <v>ENSMUSG00000003360</v>
      </c>
      <c r="I4187" s="7" t="str">
        <f>HYPERLINK("http://www.informatics.jax.org/marker/MGI:1921601","MGI:1921601")</f>
        <v>MGI:1921601</v>
      </c>
      <c r="J4187" s="4" t="s">
        <v>12</v>
      </c>
    </row>
    <row r="4188" spans="1:10" x14ac:dyDescent="0.25">
      <c r="A4188" s="2">
        <v>9173.9426159781397</v>
      </c>
      <c r="B4188" s="3">
        <v>0.17098151677012299</v>
      </c>
      <c r="C4188" s="3">
        <v>7.6564423025432399E-3</v>
      </c>
      <c r="D4188" s="4">
        <v>1.94794274553158E-2</v>
      </c>
      <c r="E4188" s="3" t="s">
        <v>15507</v>
      </c>
      <c r="F4188" s="3" t="s">
        <v>15508</v>
      </c>
      <c r="G4188" s="3">
        <v>22121</v>
      </c>
      <c r="H4188" s="7" t="str">
        <f>HYPERLINK("http://www.ensembl.org/Mus_musculus/Gene/Summary?db=core;g=ENSMUSG00000074129","ENSMUSG00000074129")</f>
        <v>ENSMUSG00000074129</v>
      </c>
      <c r="I4188" s="7" t="str">
        <f>HYPERLINK("http://www.informatics.jax.org/marker/MGI:1351455","MGI:1351455")</f>
        <v>MGI:1351455</v>
      </c>
      <c r="J4188" s="4" t="s">
        <v>12</v>
      </c>
    </row>
    <row r="4189" spans="1:10" x14ac:dyDescent="0.25">
      <c r="A4189" s="2">
        <v>642.58496818508104</v>
      </c>
      <c r="B4189" s="3">
        <v>0.170746864123517</v>
      </c>
      <c r="C4189" s="3">
        <v>6.1631490132443099E-3</v>
      </c>
      <c r="D4189" s="4">
        <v>1.5979134701706199E-2</v>
      </c>
      <c r="E4189" s="3" t="s">
        <v>15217</v>
      </c>
      <c r="F4189" s="3" t="s">
        <v>15218</v>
      </c>
      <c r="G4189" s="3">
        <v>216821</v>
      </c>
      <c r="H4189" s="7" t="str">
        <f>HYPERLINK("http://www.ensembl.org/Mus_musculus/Gene/Summary?db=core;g=ENSMUSG00000043284","ENSMUSG00000043284")</f>
        <v>ENSMUSG00000043284</v>
      </c>
      <c r="I4189" s="7" t="str">
        <f>HYPERLINK("http://www.informatics.jax.org/marker/MGI:2144726","MGI:2144726")</f>
        <v>MGI:2144726</v>
      </c>
      <c r="J4189" s="4" t="s">
        <v>12</v>
      </c>
    </row>
    <row r="4190" spans="1:10" x14ac:dyDescent="0.25">
      <c r="A4190" s="2">
        <v>2404.98861842515</v>
      </c>
      <c r="B4190" s="3">
        <v>0.17050168556147399</v>
      </c>
      <c r="C4190" s="5">
        <v>9.2545295318230999E-5</v>
      </c>
      <c r="D4190" s="4">
        <v>3.1330355771253497E-4</v>
      </c>
      <c r="E4190" s="3" t="s">
        <v>11661</v>
      </c>
      <c r="F4190" s="3" t="s">
        <v>11662</v>
      </c>
      <c r="G4190" s="3">
        <v>230935</v>
      </c>
      <c r="H4190" s="7" t="str">
        <f>HYPERLINK("http://www.ensembl.org/Mus_musculus/Gene/Summary?db=core;g=ENSMUSG00000039768","ENSMUSG00000039768")</f>
        <v>ENSMUSG00000039768</v>
      </c>
      <c r="I4190" s="7" t="str">
        <f>HYPERLINK("http://www.informatics.jax.org/marker/MGI:2443386","MGI:2443386")</f>
        <v>MGI:2443386</v>
      </c>
      <c r="J4190" s="4" t="s">
        <v>12</v>
      </c>
    </row>
    <row r="4191" spans="1:10" x14ac:dyDescent="0.25">
      <c r="A4191" s="2">
        <v>673.51716159368596</v>
      </c>
      <c r="B4191" s="3">
        <v>0.16959855798805001</v>
      </c>
      <c r="C4191" s="3">
        <v>4.7566776345087901E-3</v>
      </c>
      <c r="D4191" s="4">
        <v>1.2619626389413901E-2</v>
      </c>
      <c r="E4191" s="3" t="s">
        <v>14870</v>
      </c>
      <c r="F4191" s="3" t="s">
        <v>14871</v>
      </c>
      <c r="G4191" s="3">
        <v>21767</v>
      </c>
      <c r="H4191" s="7" t="str">
        <f>HYPERLINK("http://www.ensembl.org/Mus_musculus/Gene/Summary?db=core;g=ENSMUSG00000040813","ENSMUSG00000040813")</f>
        <v>ENSMUSG00000040813</v>
      </c>
      <c r="I4191" s="7" t="str">
        <f>HYPERLINK("http://www.informatics.jax.org/marker/MGI:1096570","MGI:1096570")</f>
        <v>MGI:1096570</v>
      </c>
      <c r="J4191" s="4" t="s">
        <v>12</v>
      </c>
    </row>
    <row r="4192" spans="1:10" x14ac:dyDescent="0.25">
      <c r="A4192" s="2">
        <v>642.71875604491402</v>
      </c>
      <c r="B4192" s="3">
        <v>0.16943259201039701</v>
      </c>
      <c r="C4192" s="3">
        <v>1.7060166902891399E-2</v>
      </c>
      <c r="D4192" s="4">
        <v>4.0445598860906401E-2</v>
      </c>
      <c r="E4192" s="3" t="s">
        <v>16638</v>
      </c>
      <c r="F4192" s="3" t="s">
        <v>16639</v>
      </c>
      <c r="G4192" s="3">
        <v>71371</v>
      </c>
      <c r="H4192" s="7" t="str">
        <f>HYPERLINK("http://www.ensembl.org/Mus_musculus/Gene/Summary?db=core;g=ENSMUSG00000019947","ENSMUSG00000019947")</f>
        <v>ENSMUSG00000019947</v>
      </c>
      <c r="I4192" s="7" t="str">
        <f>HYPERLINK("http://www.informatics.jax.org/marker/MGI:2175912","MGI:2175912")</f>
        <v>MGI:2175912</v>
      </c>
      <c r="J4192" s="4" t="s">
        <v>12</v>
      </c>
    </row>
    <row r="4193" spans="1:10" x14ac:dyDescent="0.25">
      <c r="A4193" s="2">
        <v>1378.3074177047699</v>
      </c>
      <c r="B4193" s="3">
        <v>0.16922588621090601</v>
      </c>
      <c r="C4193" s="3">
        <v>5.2891001992914598E-3</v>
      </c>
      <c r="D4193" s="4">
        <v>1.3925374623501701E-2</v>
      </c>
      <c r="E4193" s="3" t="s">
        <v>14984</v>
      </c>
      <c r="F4193" s="3" t="s">
        <v>14985</v>
      </c>
      <c r="G4193" s="3">
        <v>99412</v>
      </c>
      <c r="H4193" s="7" t="str">
        <f>HYPERLINK("http://www.ensembl.org/Mus_musculus/Gene/Summary?db=core;g=ENSMUSG00000002546","ENSMUSG00000002546")</f>
        <v>ENSMUSG00000002546</v>
      </c>
      <c r="I4193" s="7" t="str">
        <f>HYPERLINK("http://www.informatics.jax.org/marker/MGI:2139395","MGI:2139395")</f>
        <v>MGI:2139395</v>
      </c>
      <c r="J4193" s="4" t="s">
        <v>12</v>
      </c>
    </row>
    <row r="4194" spans="1:10" x14ac:dyDescent="0.25">
      <c r="A4194" s="2">
        <v>7884.8458659346397</v>
      </c>
      <c r="B4194" s="3">
        <v>0.16887958269300499</v>
      </c>
      <c r="C4194" s="3">
        <v>1.07476560283618E-2</v>
      </c>
      <c r="D4194" s="4">
        <v>2.6552715720282501E-2</v>
      </c>
      <c r="E4194" s="3" t="s">
        <v>15969</v>
      </c>
      <c r="F4194" s="3" t="s">
        <v>15970</v>
      </c>
      <c r="G4194" s="3">
        <v>269261</v>
      </c>
      <c r="H4194" s="7" t="str">
        <f>HYPERLINK("http://www.ensembl.org/Mus_musculus/Gene/Summary?db=core;g=ENSMUSG00000038900","ENSMUSG00000038900")</f>
        <v>ENSMUSG00000038900</v>
      </c>
      <c r="I4194" s="7" t="str">
        <f>HYPERLINK("http://www.informatics.jax.org/marker/MGI:98002","MGI:98002")</f>
        <v>MGI:98002</v>
      </c>
      <c r="J4194" s="4" t="s">
        <v>12</v>
      </c>
    </row>
    <row r="4195" spans="1:10" x14ac:dyDescent="0.25">
      <c r="A4195" s="2">
        <v>2284.9163953642301</v>
      </c>
      <c r="B4195" s="3">
        <v>0.16860640869019899</v>
      </c>
      <c r="C4195" s="3">
        <v>3.07687560957483E-3</v>
      </c>
      <c r="D4195" s="4">
        <v>8.4178672337424498E-3</v>
      </c>
      <c r="E4195" s="3" t="s">
        <v>14421</v>
      </c>
      <c r="F4195" s="3" t="s">
        <v>14422</v>
      </c>
      <c r="G4195" s="3">
        <v>77573</v>
      </c>
      <c r="H4195" s="7" t="str">
        <f>HYPERLINK("http://www.ensembl.org/Mus_musculus/Gene/Summary?db=core;g=ENSMUSG00000029434","ENSMUSG00000029434")</f>
        <v>ENSMUSG00000029434</v>
      </c>
      <c r="I4195" s="7" t="str">
        <f>HYPERLINK("http://www.informatics.jax.org/marker/MGI:1924823","MGI:1924823")</f>
        <v>MGI:1924823</v>
      </c>
      <c r="J4195" s="4" t="s">
        <v>12</v>
      </c>
    </row>
    <row r="4196" spans="1:10" x14ac:dyDescent="0.25">
      <c r="A4196" s="2">
        <v>1464.2670032962301</v>
      </c>
      <c r="B4196" s="3">
        <v>0.16846256225086401</v>
      </c>
      <c r="C4196" s="3">
        <v>2.80769124282223E-3</v>
      </c>
      <c r="D4196" s="4">
        <v>7.7404824980364098E-3</v>
      </c>
      <c r="E4196" s="3" t="s">
        <v>14311</v>
      </c>
      <c r="F4196" s="3" t="s">
        <v>14312</v>
      </c>
      <c r="G4196" s="3">
        <v>67070</v>
      </c>
      <c r="H4196" s="7" t="str">
        <f>HYPERLINK("http://www.ensembl.org/Mus_musculus/Gene/Summary?db=core;g=ENSMUSG00000066568","ENSMUSG00000066568")</f>
        <v>ENSMUSG00000066568</v>
      </c>
      <c r="I4196" s="7" t="str">
        <f>HYPERLINK("http://www.informatics.jax.org/marker/MGI:1914320","MGI:1914320")</f>
        <v>MGI:1914320</v>
      </c>
      <c r="J4196" s="4" t="s">
        <v>12</v>
      </c>
    </row>
    <row r="4197" spans="1:10" x14ac:dyDescent="0.25">
      <c r="A4197" s="2">
        <v>681.85319405378095</v>
      </c>
      <c r="B4197" s="3">
        <v>0.16811649485979099</v>
      </c>
      <c r="C4197" s="3">
        <v>6.5234283609313104E-3</v>
      </c>
      <c r="D4197" s="4">
        <v>1.6835755434833899E-2</v>
      </c>
      <c r="E4197" s="3" t="s">
        <v>15287</v>
      </c>
      <c r="F4197" s="3" t="s">
        <v>15288</v>
      </c>
      <c r="G4197" s="3">
        <v>208211</v>
      </c>
      <c r="H4197" s="7" t="str">
        <f>HYPERLINK("http://www.ensembl.org/Mus_musculus/Gene/Summary?db=core;g=ENSMUSG00000039427","ENSMUSG00000039427")</f>
        <v>ENSMUSG00000039427</v>
      </c>
      <c r="I4197" s="7" t="str">
        <f>HYPERLINK("http://www.informatics.jax.org/marker/MGI:2384774","MGI:2384774")</f>
        <v>MGI:2384774</v>
      </c>
      <c r="J4197" s="4" t="s">
        <v>12</v>
      </c>
    </row>
    <row r="4198" spans="1:10" x14ac:dyDescent="0.25">
      <c r="A4198" s="2">
        <v>881.61683453070998</v>
      </c>
      <c r="B4198" s="3">
        <v>0.16802456342286501</v>
      </c>
      <c r="C4198" s="3">
        <v>1.29386045411388E-2</v>
      </c>
      <c r="D4198" s="4">
        <v>3.1454297991836397E-2</v>
      </c>
      <c r="E4198" s="3" t="s">
        <v>16227</v>
      </c>
      <c r="F4198" s="3" t="s">
        <v>16228</v>
      </c>
      <c r="G4198" s="3">
        <v>101861</v>
      </c>
      <c r="H4198" s="7" t="str">
        <f>HYPERLINK("http://www.ensembl.org/Mus_musculus/Gene/Summary?db=core;g=ENSMUSG00000025133","ENSMUSG00000025133")</f>
        <v>ENSMUSG00000025133</v>
      </c>
      <c r="I4198" s="7" t="str">
        <f>HYPERLINK("http://www.informatics.jax.org/marker/MGI:1917164","MGI:1917164")</f>
        <v>MGI:1917164</v>
      </c>
      <c r="J4198" s="4" t="s">
        <v>12</v>
      </c>
    </row>
    <row r="4199" spans="1:10" x14ac:dyDescent="0.25">
      <c r="A4199" s="2">
        <v>1239.64430527523</v>
      </c>
      <c r="B4199" s="3">
        <v>0.16799253724990401</v>
      </c>
      <c r="C4199" s="3">
        <v>7.8799080896843395E-3</v>
      </c>
      <c r="D4199" s="4">
        <v>1.9993796645467701E-2</v>
      </c>
      <c r="E4199" s="3" t="s">
        <v>15549</v>
      </c>
      <c r="F4199" s="3" t="s">
        <v>15550</v>
      </c>
      <c r="G4199" s="3">
        <v>216760</v>
      </c>
      <c r="H4199" s="7" t="str">
        <f>HYPERLINK("http://www.ensembl.org/Mus_musculus/Gene/Summary?db=core;g=ENSMUSG00000020522","ENSMUSG00000020522")</f>
        <v>ENSMUSG00000020522</v>
      </c>
      <c r="I4199" s="7" t="str">
        <f>HYPERLINK("http://www.informatics.jax.org/marker/MGI:1924068","MGI:1924068")</f>
        <v>MGI:1924068</v>
      </c>
      <c r="J4199" s="4" t="s">
        <v>12</v>
      </c>
    </row>
    <row r="4200" spans="1:10" x14ac:dyDescent="0.25">
      <c r="A4200" s="2">
        <v>1735.8802690935299</v>
      </c>
      <c r="B4200" s="3">
        <v>0.16796421785381899</v>
      </c>
      <c r="C4200" s="3">
        <v>1.76163918087451E-3</v>
      </c>
      <c r="D4200" s="4">
        <v>5.0172623695617299E-3</v>
      </c>
      <c r="E4200" s="3" t="s">
        <v>13855</v>
      </c>
      <c r="F4200" s="3" t="s">
        <v>13856</v>
      </c>
      <c r="G4200" s="3">
        <v>67878</v>
      </c>
      <c r="H4200" s="7" t="str">
        <f>HYPERLINK("http://www.ensembl.org/Mus_musculus/Gene/Summary?db=core;g=ENSMUSG00000037720","ENSMUSG00000037720")</f>
        <v>ENSMUSG00000037720</v>
      </c>
      <c r="I4200" s="7" t="str">
        <f>HYPERLINK("http://www.informatics.jax.org/marker/MGI:1915128","MGI:1915128")</f>
        <v>MGI:1915128</v>
      </c>
      <c r="J4200" s="4" t="s">
        <v>12</v>
      </c>
    </row>
    <row r="4201" spans="1:10" x14ac:dyDescent="0.25">
      <c r="A4201" s="2">
        <v>845.57984342428597</v>
      </c>
      <c r="B4201" s="3">
        <v>0.167949414644014</v>
      </c>
      <c r="C4201" s="3">
        <v>1.9666898141258E-2</v>
      </c>
      <c r="D4201" s="4">
        <v>4.5996753366725401E-2</v>
      </c>
      <c r="E4201" s="3" t="s">
        <v>16868</v>
      </c>
      <c r="F4201" s="3" t="s">
        <v>16869</v>
      </c>
      <c r="G4201" s="3">
        <v>212547</v>
      </c>
      <c r="H4201" s="7" t="str">
        <f>HYPERLINK("http://www.ensembl.org/Mus_musculus/Gene/Summary?db=core;g=ENSMUSG00000036208","ENSMUSG00000036208")</f>
        <v>ENSMUSG00000036208</v>
      </c>
      <c r="I4201" s="7" t="str">
        <f>HYPERLINK("http://www.informatics.jax.org/marker/MGI:2384836","MGI:2384836")</f>
        <v>MGI:2384836</v>
      </c>
      <c r="J4201" s="4" t="s">
        <v>12</v>
      </c>
    </row>
    <row r="4202" spans="1:10" x14ac:dyDescent="0.25">
      <c r="A4202" s="2">
        <v>649.75267229664701</v>
      </c>
      <c r="B4202" s="3">
        <v>0.16733376235782399</v>
      </c>
      <c r="C4202" s="3">
        <v>1.19138764147257E-2</v>
      </c>
      <c r="D4202" s="4">
        <v>2.9192550061927201E-2</v>
      </c>
      <c r="E4202" s="3" t="s">
        <v>16101</v>
      </c>
      <c r="F4202" s="3" t="s">
        <v>16102</v>
      </c>
      <c r="G4202" s="3">
        <v>56249</v>
      </c>
      <c r="H4202" s="7" t="str">
        <f>HYPERLINK("http://www.ensembl.org/Mus_musculus/Gene/Summary?db=core;g=ENSMUSG00000015971","ENSMUSG00000015971")</f>
        <v>ENSMUSG00000015971</v>
      </c>
      <c r="I4202" s="7" t="str">
        <f>HYPERLINK("http://www.informatics.jax.org/marker/MGI:1860775","MGI:1860775")</f>
        <v>MGI:1860775</v>
      </c>
      <c r="J4202" s="4" t="s">
        <v>12</v>
      </c>
    </row>
    <row r="4203" spans="1:10" x14ac:dyDescent="0.25">
      <c r="A4203" s="2">
        <v>1749.48783084668</v>
      </c>
      <c r="B4203" s="3">
        <v>0.167232824579468</v>
      </c>
      <c r="C4203" s="3">
        <v>7.7330146302828102E-3</v>
      </c>
      <c r="D4203" s="4">
        <v>1.9653956503309301E-2</v>
      </c>
      <c r="E4203" s="3" t="s">
        <v>15523</v>
      </c>
      <c r="F4203" s="3" t="s">
        <v>15524</v>
      </c>
      <c r="G4203" s="3">
        <v>14791</v>
      </c>
      <c r="H4203" s="7" t="str">
        <f>HYPERLINK("http://www.ensembl.org/Mus_musculus/Gene/Summary?db=core;g=ENSMUSG00000004268","ENSMUSG00000004268")</f>
        <v>ENSMUSG00000004268</v>
      </c>
      <c r="I4203" s="7" t="str">
        <f>HYPERLINK("http://www.informatics.jax.org/marker/MGI:1315195","MGI:1315195")</f>
        <v>MGI:1315195</v>
      </c>
      <c r="J4203" s="4" t="s">
        <v>12</v>
      </c>
    </row>
    <row r="4204" spans="1:10" x14ac:dyDescent="0.25">
      <c r="A4204" s="2">
        <v>1698.49598867124</v>
      </c>
      <c r="B4204" s="3">
        <v>0.16710012733989399</v>
      </c>
      <c r="C4204" s="3">
        <v>1.09000673941801E-4</v>
      </c>
      <c r="D4204" s="4">
        <v>3.66120471833133E-4</v>
      </c>
      <c r="E4204" s="3" t="s">
        <v>11753</v>
      </c>
      <c r="F4204" s="3" t="s">
        <v>11754</v>
      </c>
      <c r="G4204" s="3">
        <v>74195</v>
      </c>
      <c r="H4204" s="7" t="str">
        <f>HYPERLINK("http://www.ensembl.org/Mus_musculus/Gene/Summary?db=core;g=ENSMUSG00000022031","ENSMUSG00000022031")</f>
        <v>ENSMUSG00000022031</v>
      </c>
      <c r="I4204" s="7" t="str">
        <f>HYPERLINK("http://www.informatics.jax.org/marker/MGI:1921445","MGI:1921445")</f>
        <v>MGI:1921445</v>
      </c>
      <c r="J4204" s="4" t="s">
        <v>12</v>
      </c>
    </row>
    <row r="4205" spans="1:10" x14ac:dyDescent="0.25">
      <c r="A4205" s="2">
        <v>511.35803251123701</v>
      </c>
      <c r="B4205" s="3">
        <v>0.16702344155660601</v>
      </c>
      <c r="C4205" s="3">
        <v>9.4882537295009096E-3</v>
      </c>
      <c r="D4205" s="4">
        <v>2.3714621488689198E-2</v>
      </c>
      <c r="E4205" s="3" t="s">
        <v>15785</v>
      </c>
      <c r="F4205" s="3" t="s">
        <v>15786</v>
      </c>
      <c r="G4205" s="3">
        <v>75678</v>
      </c>
      <c r="H4205" s="7" t="str">
        <f>HYPERLINK("http://www.ensembl.org/Mus_musculus/Gene/Summary?db=core;g=ENSMUSG00000021385","ENSMUSG00000021385")</f>
        <v>ENSMUSG00000021385</v>
      </c>
      <c r="I4205" s="7" t="str">
        <f>HYPERLINK("http://www.informatics.jax.org/marker/MGI:1922928","MGI:1922928")</f>
        <v>MGI:1922928</v>
      </c>
      <c r="J4205" s="4" t="s">
        <v>12</v>
      </c>
    </row>
    <row r="4206" spans="1:10" x14ac:dyDescent="0.25">
      <c r="A4206" s="2">
        <v>2265.1797035213899</v>
      </c>
      <c r="B4206" s="3">
        <v>0.16696221692530699</v>
      </c>
      <c r="C4206" s="3">
        <v>1.4649252783172401E-3</v>
      </c>
      <c r="D4206" s="4">
        <v>4.2178896902344996E-3</v>
      </c>
      <c r="E4206" s="3" t="s">
        <v>13707</v>
      </c>
      <c r="F4206" s="3" t="s">
        <v>13708</v>
      </c>
      <c r="G4206" s="3">
        <v>16646</v>
      </c>
      <c r="H4206" s="7" t="str">
        <f>HYPERLINK("http://www.ensembl.org/Mus_musculus/Gene/Summary?db=core;g=ENSMUSG00000022905","ENSMUSG00000022905")</f>
        <v>ENSMUSG00000022905</v>
      </c>
      <c r="I4206" s="7" t="str">
        <f>HYPERLINK("http://www.informatics.jax.org/marker/MGI:103560","MGI:103560")</f>
        <v>MGI:103560</v>
      </c>
      <c r="J4206" s="4" t="s">
        <v>12</v>
      </c>
    </row>
    <row r="4207" spans="1:10" x14ac:dyDescent="0.25">
      <c r="A4207" s="2">
        <v>1535.9857893129699</v>
      </c>
      <c r="B4207" s="3">
        <v>0.166520268285683</v>
      </c>
      <c r="C4207" s="3">
        <v>7.5251104446634196E-3</v>
      </c>
      <c r="D4207" s="4">
        <v>1.9170026865878102E-2</v>
      </c>
      <c r="E4207" s="3" t="s">
        <v>15487</v>
      </c>
      <c r="F4207" s="3" t="s">
        <v>15488</v>
      </c>
      <c r="G4207" s="3">
        <v>56456</v>
      </c>
      <c r="H4207" s="7" t="str">
        <f>HYPERLINK("http://www.ensembl.org/Mus_musculus/Gene/Summary?db=core;g=ENSMUSG00000027671","ENSMUSG00000027671")</f>
        <v>ENSMUSG00000027671</v>
      </c>
      <c r="I4207" s="7" t="str">
        <f>HYPERLINK("http://www.informatics.jax.org/marker/MGI:1861453","MGI:1861453")</f>
        <v>MGI:1861453</v>
      </c>
      <c r="J4207" s="4" t="s">
        <v>12</v>
      </c>
    </row>
    <row r="4208" spans="1:10" x14ac:dyDescent="0.25">
      <c r="A4208" s="2">
        <v>1058.8322835244401</v>
      </c>
      <c r="B4208" s="3">
        <v>0.16639614245206899</v>
      </c>
      <c r="C4208" s="3">
        <v>6.8312333597551997E-4</v>
      </c>
      <c r="D4208" s="4">
        <v>2.0629697068050902E-3</v>
      </c>
      <c r="E4208" s="3" t="s">
        <v>13069</v>
      </c>
      <c r="F4208" s="3" t="s">
        <v>13070</v>
      </c>
      <c r="G4208" s="3">
        <v>320806</v>
      </c>
      <c r="H4208" s="7" t="str">
        <f>HYPERLINK("http://www.ensembl.org/Mus_musculus/Gene/Summary?db=core;g=ENSMUSG00000021666","ENSMUSG00000021666")</f>
        <v>ENSMUSG00000021666</v>
      </c>
      <c r="I4208" s="7" t="str">
        <f>HYPERLINK("http://www.informatics.jax.org/marker/MGI:2444783","MGI:2444783")</f>
        <v>MGI:2444783</v>
      </c>
      <c r="J4208" s="4" t="s">
        <v>12</v>
      </c>
    </row>
    <row r="4209" spans="1:10" x14ac:dyDescent="0.25">
      <c r="A4209" s="2">
        <v>1386.1312256731301</v>
      </c>
      <c r="B4209" s="3">
        <v>0.166293325846675</v>
      </c>
      <c r="C4209" s="3">
        <v>8.4976520218310895E-4</v>
      </c>
      <c r="D4209" s="4">
        <v>2.53187526699797E-3</v>
      </c>
      <c r="E4209" s="3" t="s">
        <v>13245</v>
      </c>
      <c r="F4209" s="3" t="s">
        <v>13246</v>
      </c>
      <c r="G4209" s="3">
        <v>107701</v>
      </c>
      <c r="H4209" s="7" t="str">
        <f>HYPERLINK("http://www.ensembl.org/Mus_musculus/Gene/Summary?db=core;g=ENSMUSG00000068856","ENSMUSG00000068856")</f>
        <v>ENSMUSG00000068856</v>
      </c>
      <c r="I4209" s="7" t="str">
        <f>HYPERLINK("http://www.informatics.jax.org/marker/MGI:109580","MGI:109580")</f>
        <v>MGI:109580</v>
      </c>
      <c r="J4209" s="4" t="s">
        <v>12</v>
      </c>
    </row>
    <row r="4210" spans="1:10" x14ac:dyDescent="0.25">
      <c r="A4210" s="2">
        <v>3063.5250620767702</v>
      </c>
      <c r="B4210" s="3">
        <v>0.16582041721159699</v>
      </c>
      <c r="C4210" s="3">
        <v>8.63841174673163E-3</v>
      </c>
      <c r="D4210" s="4">
        <v>2.1747667515070599E-2</v>
      </c>
      <c r="E4210" s="3" t="s">
        <v>15671</v>
      </c>
      <c r="F4210" s="3" t="s">
        <v>15672</v>
      </c>
      <c r="G4210" s="3">
        <v>67097</v>
      </c>
      <c r="H4210" s="7" t="str">
        <f>HYPERLINK("http://www.ensembl.org/Mus_musculus/Gene/Summary?db=core;g=ENSMUSG00000052146","ENSMUSG00000052146")</f>
        <v>ENSMUSG00000052146</v>
      </c>
      <c r="I4210" s="7" t="str">
        <f>HYPERLINK("http://www.informatics.jax.org/marker/MGI:1914347","MGI:1914347")</f>
        <v>MGI:1914347</v>
      </c>
      <c r="J4210" s="4" t="s">
        <v>12</v>
      </c>
    </row>
    <row r="4211" spans="1:10" x14ac:dyDescent="0.25">
      <c r="A4211" s="2">
        <v>595.05181599791001</v>
      </c>
      <c r="B4211" s="3">
        <v>0.16558267073280999</v>
      </c>
      <c r="C4211" s="3">
        <v>3.7844667290995102E-3</v>
      </c>
      <c r="D4211" s="4">
        <v>1.02302513910682E-2</v>
      </c>
      <c r="E4211" s="3" t="s">
        <v>14593</v>
      </c>
      <c r="F4211" s="3" t="s">
        <v>14594</v>
      </c>
      <c r="G4211" s="3">
        <v>97961</v>
      </c>
      <c r="H4211" s="7" t="str">
        <f>HYPERLINK("http://www.ensembl.org/Mus_musculus/Gene/Summary?db=core;g=ENSMUSG00000033099","ENSMUSG00000033099")</f>
        <v>ENSMUSG00000033099</v>
      </c>
      <c r="I4211" s="7" t="str">
        <f>HYPERLINK("http://www.informatics.jax.org/marker/MGI:2146285","MGI:2146285")</f>
        <v>MGI:2146285</v>
      </c>
      <c r="J4211" s="4" t="s">
        <v>12</v>
      </c>
    </row>
    <row r="4212" spans="1:10" x14ac:dyDescent="0.25">
      <c r="A4212" s="2">
        <v>958.18299511893201</v>
      </c>
      <c r="B4212" s="3">
        <v>0.164761839391595</v>
      </c>
      <c r="C4212" s="3">
        <v>3.4183525000908901E-3</v>
      </c>
      <c r="D4212" s="4">
        <v>9.2902303337641101E-3</v>
      </c>
      <c r="E4212" s="3" t="s">
        <v>14515</v>
      </c>
      <c r="F4212" s="3" t="s">
        <v>14516</v>
      </c>
      <c r="G4212" s="3">
        <v>20619</v>
      </c>
      <c r="H4212" s="7" t="str">
        <f>HYPERLINK("http://www.ensembl.org/Mus_musculus/Gene/Summary?db=core;g=ENSMUSG00000027287","ENSMUSG00000027287")</f>
        <v>ENSMUSG00000027287</v>
      </c>
      <c r="I4212" s="7" t="str">
        <f>HYPERLINK("http://www.informatics.jax.org/marker/MGI:109356","MGI:109356")</f>
        <v>MGI:109356</v>
      </c>
      <c r="J4212" s="4" t="s">
        <v>12</v>
      </c>
    </row>
    <row r="4213" spans="1:10" x14ac:dyDescent="0.25">
      <c r="A4213" s="2">
        <v>2229.9275547481998</v>
      </c>
      <c r="B4213" s="3">
        <v>0.16455300846471899</v>
      </c>
      <c r="C4213" s="3">
        <v>3.02036994041797E-4</v>
      </c>
      <c r="D4213" s="4">
        <v>9.56814381125179E-4</v>
      </c>
      <c r="E4213" s="3" t="s">
        <v>12463</v>
      </c>
      <c r="F4213" s="3" t="s">
        <v>12464</v>
      </c>
      <c r="G4213" s="3">
        <v>22192</v>
      </c>
      <c r="H4213" s="7" t="str">
        <f>HYPERLINK("http://www.ensembl.org/Mus_musculus/Gene/Summary?db=core;g=ENSMUSG00000005575","ENSMUSG00000005575")</f>
        <v>ENSMUSG00000005575</v>
      </c>
      <c r="I4213" s="7" t="str">
        <f>HYPERLINK("http://www.informatics.jax.org/marker/MGI:108278","MGI:108278")</f>
        <v>MGI:108278</v>
      </c>
      <c r="J4213" s="4" t="s">
        <v>12</v>
      </c>
    </row>
    <row r="4214" spans="1:10" x14ac:dyDescent="0.25">
      <c r="A4214" s="2">
        <v>1232.7333954615999</v>
      </c>
      <c r="B4214" s="3">
        <v>0.16407439940952601</v>
      </c>
      <c r="C4214" s="3">
        <v>1.41313805939408E-2</v>
      </c>
      <c r="D4214" s="4">
        <v>3.4088174350154501E-2</v>
      </c>
      <c r="E4214" s="3" t="s">
        <v>16355</v>
      </c>
      <c r="F4214" s="3" t="s">
        <v>16356</v>
      </c>
      <c r="G4214" s="3">
        <v>69131</v>
      </c>
      <c r="H4214" s="7" t="str">
        <f>HYPERLINK("http://www.ensembl.org/Mus_musculus/Gene/Summary?db=core;g=ENSMUSG00000003119","ENSMUSG00000003119")</f>
        <v>ENSMUSG00000003119</v>
      </c>
      <c r="I4214" s="7" t="str">
        <f>HYPERLINK("http://www.informatics.jax.org/marker/MGI:1098802","MGI:1098802")</f>
        <v>MGI:1098802</v>
      </c>
      <c r="J4214" s="4" t="s">
        <v>12</v>
      </c>
    </row>
    <row r="4215" spans="1:10" x14ac:dyDescent="0.25">
      <c r="A4215" s="2">
        <v>1583.0085823330901</v>
      </c>
      <c r="B4215" s="3">
        <v>0.16346898337586999</v>
      </c>
      <c r="C4215" s="3">
        <v>1.08959578605915E-2</v>
      </c>
      <c r="D4215" s="4">
        <v>2.6892151315502402E-2</v>
      </c>
      <c r="E4215" s="3" t="s">
        <v>15985</v>
      </c>
      <c r="F4215" s="3" t="s">
        <v>15986</v>
      </c>
      <c r="G4215" s="3">
        <v>217232</v>
      </c>
      <c r="H4215" s="7" t="str">
        <f>HYPERLINK("http://www.ensembl.org/Mus_musculus/Gene/Summary?db=core;g=ENSMUSG00000020687","ENSMUSG00000020687")</f>
        <v>ENSMUSG00000020687</v>
      </c>
      <c r="I4215" s="7" t="str">
        <f>HYPERLINK("http://www.informatics.jax.org/marker/MGI:102685","MGI:102685")</f>
        <v>MGI:102685</v>
      </c>
      <c r="J4215" s="4" t="s">
        <v>12</v>
      </c>
    </row>
    <row r="4216" spans="1:10" x14ac:dyDescent="0.25">
      <c r="A4216" s="2">
        <v>1292.6115649343801</v>
      </c>
      <c r="B4216" s="3">
        <v>0.163236263162371</v>
      </c>
      <c r="C4216" s="3">
        <v>1.22779504652193E-2</v>
      </c>
      <c r="D4216" s="4">
        <v>2.9984047451904E-2</v>
      </c>
      <c r="E4216" s="3" t="s">
        <v>16155</v>
      </c>
      <c r="F4216" s="3" t="s">
        <v>16156</v>
      </c>
      <c r="G4216" s="3">
        <v>140484</v>
      </c>
      <c r="H4216" s="7" t="str">
        <f>HYPERLINK("http://www.ensembl.org/Mus_musculus/Gene/Summary?db=core;g=ENSMUSG00000046020","ENSMUSG00000046020")</f>
        <v>ENSMUSG00000046020</v>
      </c>
      <c r="I4216" s="7" t="str">
        <f>HYPERLINK("http://www.informatics.jax.org/marker/MGI:2153207","MGI:2153207")</f>
        <v>MGI:2153207</v>
      </c>
      <c r="J4216" s="4" t="s">
        <v>12</v>
      </c>
    </row>
    <row r="4217" spans="1:10" x14ac:dyDescent="0.25">
      <c r="A4217" s="2">
        <v>644.43925734727702</v>
      </c>
      <c r="B4217" s="3">
        <v>0.163044152383931</v>
      </c>
      <c r="C4217" s="3">
        <v>1.1552962500736501E-2</v>
      </c>
      <c r="D4217" s="4">
        <v>2.8346947930138599E-2</v>
      </c>
      <c r="E4217" s="3" t="s">
        <v>16079</v>
      </c>
      <c r="F4217" s="3" t="s">
        <v>16080</v>
      </c>
      <c r="G4217" s="3">
        <v>68051</v>
      </c>
      <c r="H4217" s="7" t="str">
        <f>HYPERLINK("http://www.ensembl.org/Mus_musculus/Gene/Summary?db=core;g=ENSMUSG00000008450","ENSMUSG00000008450")</f>
        <v>ENSMUSG00000008450</v>
      </c>
      <c r="I4217" s="7" t="str">
        <f>HYPERLINK("http://www.informatics.jax.org/marker/MGI:1915301","MGI:1915301")</f>
        <v>MGI:1915301</v>
      </c>
      <c r="J4217" s="4" t="s">
        <v>12</v>
      </c>
    </row>
    <row r="4218" spans="1:10" x14ac:dyDescent="0.25">
      <c r="A4218" s="2">
        <v>1826.2676827456301</v>
      </c>
      <c r="B4218" s="3">
        <v>0.162807706442018</v>
      </c>
      <c r="C4218" s="3">
        <v>1.2123353344957301E-3</v>
      </c>
      <c r="D4218" s="4">
        <v>3.53187365877614E-3</v>
      </c>
      <c r="E4218" s="3" t="s">
        <v>13547</v>
      </c>
      <c r="F4218" s="3" t="s">
        <v>13548</v>
      </c>
      <c r="G4218" s="3">
        <v>432572</v>
      </c>
      <c r="H4218" s="7" t="str">
        <f>HYPERLINK("http://www.ensembl.org/Mus_musculus/Gene/Summary?db=core;g=ENSMUSG00000042331","ENSMUSG00000042331")</f>
        <v>ENSMUSG00000042331</v>
      </c>
      <c r="I4218" s="7" t="str">
        <f>HYPERLINK("http://www.informatics.jax.org/marker/MGI:2442356","MGI:2442356")</f>
        <v>MGI:2442356</v>
      </c>
      <c r="J4218" s="4" t="s">
        <v>12</v>
      </c>
    </row>
    <row r="4219" spans="1:10" x14ac:dyDescent="0.25">
      <c r="A4219" s="2">
        <v>1060.99321587999</v>
      </c>
      <c r="B4219" s="3">
        <v>0.16272758109947699</v>
      </c>
      <c r="C4219" s="3">
        <v>1.57670312300347E-2</v>
      </c>
      <c r="D4219" s="4">
        <v>3.7652432218882703E-2</v>
      </c>
      <c r="E4219" s="3" t="s">
        <v>16521</v>
      </c>
      <c r="F4219" s="3" t="s">
        <v>16522</v>
      </c>
      <c r="G4219" s="3">
        <v>232807</v>
      </c>
      <c r="H4219" s="7" t="str">
        <f>HYPERLINK("http://www.ensembl.org/Mus_musculus/Gene/Summary?db=core;g=ENSMUSG00000019254","ENSMUSG00000019254")</f>
        <v>ENSMUSG00000019254</v>
      </c>
      <c r="I4219" s="7" t="str">
        <f>HYPERLINK("http://www.informatics.jax.org/marker/MGI:1924258","MGI:1924258")</f>
        <v>MGI:1924258</v>
      </c>
      <c r="J4219" s="4" t="s">
        <v>12</v>
      </c>
    </row>
    <row r="4220" spans="1:10" x14ac:dyDescent="0.25">
      <c r="A4220" s="2">
        <v>2053.40187582305</v>
      </c>
      <c r="B4220" s="3">
        <v>0.16251494381696899</v>
      </c>
      <c r="C4220" s="3">
        <v>7.2267988985822203E-3</v>
      </c>
      <c r="D4220" s="4">
        <v>1.84985039304311E-2</v>
      </c>
      <c r="E4220" s="3" t="s">
        <v>15413</v>
      </c>
      <c r="F4220" s="3" t="s">
        <v>15414</v>
      </c>
      <c r="G4220" s="3">
        <v>70248</v>
      </c>
      <c r="H4220" s="7" t="str">
        <f>HYPERLINK("http://www.ensembl.org/Mus_musculus/Gene/Summary?db=core;g=ENSMUSG00000069565","ENSMUSG00000069565")</f>
        <v>ENSMUSG00000069565</v>
      </c>
      <c r="I4220" s="7" t="str">
        <f>HYPERLINK("http://www.informatics.jax.org/marker/MGI:1917498","MGI:1917498")</f>
        <v>MGI:1917498</v>
      </c>
      <c r="J4220" s="4" t="s">
        <v>12</v>
      </c>
    </row>
    <row r="4221" spans="1:10" x14ac:dyDescent="0.25">
      <c r="A4221" s="2">
        <v>945.255163284226</v>
      </c>
      <c r="B4221" s="3">
        <v>0.162172505744586</v>
      </c>
      <c r="C4221" s="3">
        <v>1.1311288181116199E-2</v>
      </c>
      <c r="D4221" s="4">
        <v>2.7809325886000699E-2</v>
      </c>
      <c r="E4221" s="3" t="s">
        <v>16047</v>
      </c>
      <c r="F4221" s="3" t="s">
        <v>16048</v>
      </c>
      <c r="G4221" s="3">
        <v>100715</v>
      </c>
      <c r="H4221" s="7" t="str">
        <f>HYPERLINK("http://www.ensembl.org/Mus_musculus/Gene/Summary?db=core;g=ENSMUSG00000042167","ENSMUSG00000042167")</f>
        <v>ENSMUSG00000042167</v>
      </c>
      <c r="I4221" s="7" t="str">
        <f>HYPERLINK("http://www.informatics.jax.org/marker/MGI:2140950","MGI:2140950")</f>
        <v>MGI:2140950</v>
      </c>
      <c r="J4221" s="4" t="s">
        <v>12</v>
      </c>
    </row>
    <row r="4222" spans="1:10" x14ac:dyDescent="0.25">
      <c r="A4222" s="2">
        <v>731.716587755153</v>
      </c>
      <c r="B4222" s="3">
        <v>0.16214614352817699</v>
      </c>
      <c r="C4222" s="3">
        <v>1.78120524504244E-3</v>
      </c>
      <c r="D4222" s="4">
        <v>5.0671332129597303E-3</v>
      </c>
      <c r="E4222" s="3" t="s">
        <v>13871</v>
      </c>
      <c r="F4222" s="3" t="s">
        <v>13872</v>
      </c>
      <c r="G4222" s="3">
        <v>70144</v>
      </c>
      <c r="H4222" s="7" t="str">
        <f>HYPERLINK("http://www.ensembl.org/Mus_musculus/Gene/Summary?db=core;g=ENSMUSG00000022801","ENSMUSG00000022801")</f>
        <v>ENSMUSG00000022801</v>
      </c>
      <c r="I4222" s="7" t="str">
        <f>HYPERLINK("http://www.informatics.jax.org/marker/MGI:1917394","MGI:1917394")</f>
        <v>MGI:1917394</v>
      </c>
      <c r="J4222" s="4" t="s">
        <v>12</v>
      </c>
    </row>
    <row r="4223" spans="1:10" x14ac:dyDescent="0.25">
      <c r="A4223" s="2">
        <v>359.92325433800102</v>
      </c>
      <c r="B4223" s="3">
        <v>0.16172951531766699</v>
      </c>
      <c r="C4223" s="3">
        <v>1.40920117013188E-2</v>
      </c>
      <c r="D4223" s="4">
        <v>3.40056865822327E-2</v>
      </c>
      <c r="E4223" s="3" t="s">
        <v>16349</v>
      </c>
      <c r="F4223" s="3" t="s">
        <v>16350</v>
      </c>
      <c r="G4223" s="3">
        <v>360216</v>
      </c>
      <c r="H4223" s="7" t="str">
        <f>HYPERLINK("http://www.ensembl.org/Mus_musculus/Gene/Summary?db=core;g=ENSMUSG00000030967","ENSMUSG00000030967")</f>
        <v>ENSMUSG00000030967</v>
      </c>
      <c r="I4223" s="7" t="str">
        <f>HYPERLINK("http://www.informatics.jax.org/marker/MGI:106441","MGI:106441")</f>
        <v>MGI:106441</v>
      </c>
      <c r="J4223" s="4" t="s">
        <v>12</v>
      </c>
    </row>
    <row r="4224" spans="1:10" x14ac:dyDescent="0.25">
      <c r="A4224" s="2">
        <v>378.39761589813901</v>
      </c>
      <c r="B4224" s="3">
        <v>0.16145103110975201</v>
      </c>
      <c r="C4224" s="3">
        <v>1.7934878718900801E-2</v>
      </c>
      <c r="D4224" s="4">
        <v>4.22956001359392E-2</v>
      </c>
      <c r="E4224" s="3" t="s">
        <v>16728</v>
      </c>
      <c r="F4224" s="3" t="s">
        <v>16729</v>
      </c>
      <c r="G4224" s="3">
        <v>192232</v>
      </c>
      <c r="H4224" s="7" t="str">
        <f>HYPERLINK("http://www.ensembl.org/Mus_musculus/Gene/Summary?db=core;g=ENSMUSG00000042328","ENSMUSG00000042328")</f>
        <v>ENSMUSG00000042328</v>
      </c>
      <c r="I4224" s="7" t="str">
        <f>HYPERLINK("http://www.informatics.jax.org/marker/MGI:2177742","MGI:2177742")</f>
        <v>MGI:2177742</v>
      </c>
      <c r="J4224" s="4" t="s">
        <v>12</v>
      </c>
    </row>
    <row r="4225" spans="1:10" x14ac:dyDescent="0.25">
      <c r="A4225" s="2">
        <v>1453.6279138562099</v>
      </c>
      <c r="B4225" s="3">
        <v>0.16135615979647</v>
      </c>
      <c r="C4225" s="3">
        <v>6.0692095281565297E-3</v>
      </c>
      <c r="D4225" s="4">
        <v>1.5764595876613101E-2</v>
      </c>
      <c r="E4225" s="3" t="s">
        <v>15189</v>
      </c>
      <c r="F4225" s="3" t="s">
        <v>15190</v>
      </c>
      <c r="G4225" s="3">
        <v>216558</v>
      </c>
      <c r="H4225" s="7" t="str">
        <f>HYPERLINK("http://www.ensembl.org/Mus_musculus/Gene/Summary?db=core;g=ENSMUSG00000001891","ENSMUSG00000001891")</f>
        <v>ENSMUSG00000001891</v>
      </c>
      <c r="I4225" s="7" t="str">
        <f>HYPERLINK("http://www.informatics.jax.org/marker/MGI:2183447","MGI:2183447")</f>
        <v>MGI:2183447</v>
      </c>
      <c r="J4225" s="4" t="s">
        <v>12</v>
      </c>
    </row>
    <row r="4226" spans="1:10" x14ac:dyDescent="0.25">
      <c r="A4226" s="2">
        <v>1262.9326939530299</v>
      </c>
      <c r="B4226" s="3">
        <v>0.16134587216574101</v>
      </c>
      <c r="C4226" s="3">
        <v>7.1229030355319002E-3</v>
      </c>
      <c r="D4226" s="4">
        <v>1.8265753948074E-2</v>
      </c>
      <c r="E4226" s="3" t="s">
        <v>15385</v>
      </c>
      <c r="F4226" s="3" t="s">
        <v>15386</v>
      </c>
      <c r="G4226" s="3">
        <v>68981</v>
      </c>
      <c r="H4226" s="7" t="str">
        <f>HYPERLINK("http://www.ensembl.org/Mus_musculus/Gene/Summary?db=core;g=ENSMUSG00000030512","ENSMUSG00000030512")</f>
        <v>ENSMUSG00000030512</v>
      </c>
      <c r="I4226" s="7" t="str">
        <f>HYPERLINK("http://www.informatics.jax.org/marker/MGI:1916231","MGI:1916231")</f>
        <v>MGI:1916231</v>
      </c>
      <c r="J4226" s="4" t="s">
        <v>12</v>
      </c>
    </row>
    <row r="4227" spans="1:10" x14ac:dyDescent="0.25">
      <c r="A4227" s="2">
        <v>394.63307890156699</v>
      </c>
      <c r="B4227" s="3">
        <v>0.161075062692809</v>
      </c>
      <c r="C4227" s="3">
        <v>1.9656849157239201E-2</v>
      </c>
      <c r="D4227" s="4">
        <v>4.5988025315073802E-2</v>
      </c>
      <c r="E4227" s="3" t="s">
        <v>16862</v>
      </c>
      <c r="F4227" s="3" t="s">
        <v>16863</v>
      </c>
      <c r="G4227" s="3">
        <v>30946</v>
      </c>
      <c r="H4227" s="7" t="str">
        <f>HYPERLINK("http://www.ensembl.org/Mus_musculus/Gene/Summary?db=core;g=ENSMUSG00000036376","ENSMUSG00000036376")</f>
        <v>ENSMUSG00000036376</v>
      </c>
      <c r="I4227" s="7" t="str">
        <f>HYPERLINK("http://www.informatics.jax.org/marker/MGI:1353636","MGI:1353636")</f>
        <v>MGI:1353636</v>
      </c>
      <c r="J4227" s="4" t="s">
        <v>12</v>
      </c>
    </row>
    <row r="4228" spans="1:10" x14ac:dyDescent="0.25">
      <c r="A4228" s="2">
        <v>3242.4837864480401</v>
      </c>
      <c r="B4228" s="3">
        <v>0.16056276095546201</v>
      </c>
      <c r="C4228" s="5">
        <v>1.0241657149854301E-6</v>
      </c>
      <c r="D4228" s="6">
        <v>4.2340771277804396E-6</v>
      </c>
      <c r="E4228" s="3" t="s">
        <v>9555</v>
      </c>
      <c r="F4228" s="3" t="s">
        <v>9556</v>
      </c>
      <c r="G4228" s="3">
        <v>18571</v>
      </c>
      <c r="H4228" s="7" t="str">
        <f>HYPERLINK("http://www.ensembl.org/Mus_musculus/Gene/Summary?db=core;g=ENSMUSG00000032504","ENSMUSG00000032504")</f>
        <v>ENSMUSG00000032504</v>
      </c>
      <c r="I4228" s="7" t="str">
        <f>HYPERLINK("http://www.informatics.jax.org/marker/MGI:1333753","MGI:1333753")</f>
        <v>MGI:1333753</v>
      </c>
      <c r="J4228" s="4" t="s">
        <v>12</v>
      </c>
    </row>
    <row r="4229" spans="1:10" x14ac:dyDescent="0.25">
      <c r="A4229" s="2">
        <v>1706.0662531615401</v>
      </c>
      <c r="B4229" s="3">
        <v>0.160538395209009</v>
      </c>
      <c r="C4229" s="3">
        <v>1.1815637876217799E-3</v>
      </c>
      <c r="D4229" s="4">
        <v>3.4478304072064802E-3</v>
      </c>
      <c r="E4229" s="3" t="s">
        <v>13525</v>
      </c>
      <c r="F4229" s="3" t="s">
        <v>13526</v>
      </c>
      <c r="G4229" s="3">
        <v>18669</v>
      </c>
      <c r="H4229" s="7" t="str">
        <f>HYPERLINK("http://www.ensembl.org/Mus_musculus/Gene/Summary?db=core;g=ENSMUSG00000028970","ENSMUSG00000028970")</f>
        <v>ENSMUSG00000028970</v>
      </c>
      <c r="I4229" s="7" t="str">
        <f>HYPERLINK("http://www.informatics.jax.org/marker/MGI:97568","MGI:97568")</f>
        <v>MGI:97568</v>
      </c>
      <c r="J4229" s="4" t="s">
        <v>12</v>
      </c>
    </row>
    <row r="4230" spans="1:10" x14ac:dyDescent="0.25">
      <c r="A4230" s="2">
        <v>6789.9252657055504</v>
      </c>
      <c r="B4230" s="3">
        <v>0.15987643302843699</v>
      </c>
      <c r="C4230" s="3">
        <v>1.46813285509627E-2</v>
      </c>
      <c r="D4230" s="4">
        <v>3.5298195443182599E-2</v>
      </c>
      <c r="E4230" s="3" t="s">
        <v>16407</v>
      </c>
      <c r="F4230" s="3" t="s">
        <v>16408</v>
      </c>
      <c r="G4230" s="3">
        <v>100040298</v>
      </c>
      <c r="H4230" s="7" t="str">
        <f>HYPERLINK("http://www.ensembl.org/Mus_musculus/Gene/Summary?db=core;g=ENSMUSG00000047675","ENSMUSG00000047675")</f>
        <v>ENSMUSG00000047675</v>
      </c>
      <c r="I4230" s="7" t="str">
        <f>HYPERLINK("http://www.informatics.jax.org/marker/MGI:98166","MGI:98166")</f>
        <v>MGI:98166</v>
      </c>
      <c r="J4230" s="4" t="s">
        <v>12</v>
      </c>
    </row>
    <row r="4231" spans="1:10" x14ac:dyDescent="0.25">
      <c r="A4231" s="2">
        <v>429.61116497570703</v>
      </c>
      <c r="B4231" s="3">
        <v>0.15947578975122101</v>
      </c>
      <c r="C4231" s="3">
        <v>1.9891333851838802E-2</v>
      </c>
      <c r="D4231" s="4">
        <v>4.6453944050007301E-2</v>
      </c>
      <c r="E4231" s="3" t="s">
        <v>16892</v>
      </c>
      <c r="F4231" s="3" t="s">
        <v>16893</v>
      </c>
      <c r="G4231" s="3" t="s">
        <v>83</v>
      </c>
      <c r="H4231" s="7" t="str">
        <f>HYPERLINK("http://www.ensembl.org/Mus_musculus/Gene/Summary?db=core;g=ENSMUSG00000022362","ENSMUSG00000022362")</f>
        <v>ENSMUSG00000022362</v>
      </c>
      <c r="I4231" s="7" t="str">
        <f>HYPERLINK("http://www.informatics.jax.org/marker/MGI:5580100","MGI:5580100")</f>
        <v>MGI:5580100</v>
      </c>
      <c r="J4231" s="4" t="s">
        <v>12</v>
      </c>
    </row>
    <row r="4232" spans="1:10" x14ac:dyDescent="0.25">
      <c r="A4232" s="2">
        <v>463.07841983464499</v>
      </c>
      <c r="B4232" s="3">
        <v>0.15926508480896601</v>
      </c>
      <c r="C4232" s="3">
        <v>1.48295806297505E-2</v>
      </c>
      <c r="D4232" s="4">
        <v>3.5606882992655603E-2</v>
      </c>
      <c r="E4232" s="3" t="s">
        <v>16431</v>
      </c>
      <c r="F4232" s="3" t="s">
        <v>16432</v>
      </c>
      <c r="G4232" s="3">
        <v>28040</v>
      </c>
      <c r="H4232" s="7" t="str">
        <f>HYPERLINK("http://www.ensembl.org/Mus_musculus/Gene/Summary?db=core;g=ENSMUSG00000030347","ENSMUSG00000030347")</f>
        <v>ENSMUSG00000030347</v>
      </c>
      <c r="I4232" s="7" t="str">
        <f>HYPERLINK("http://www.informatics.jax.org/marker/MGI:107893","MGI:107893")</f>
        <v>MGI:107893</v>
      </c>
      <c r="J4232" s="4" t="s">
        <v>12</v>
      </c>
    </row>
    <row r="4233" spans="1:10" x14ac:dyDescent="0.25">
      <c r="A4233" s="2">
        <v>3495.5251349566502</v>
      </c>
      <c r="B4233" s="3">
        <v>0.15864956378533299</v>
      </c>
      <c r="C4233" s="3">
        <v>2.2548224986999399E-3</v>
      </c>
      <c r="D4233" s="4">
        <v>6.3142714675323399E-3</v>
      </c>
      <c r="E4233" s="3" t="s">
        <v>14091</v>
      </c>
      <c r="F4233" s="3" t="s">
        <v>14092</v>
      </c>
      <c r="G4233" s="3">
        <v>66256</v>
      </c>
      <c r="H4233" s="7" t="str">
        <f>HYPERLINK("http://www.ensembl.org/Mus_musculus/Gene/Summary?db=core;g=ENSMUSG00000041355","ENSMUSG00000041355")</f>
        <v>ENSMUSG00000041355</v>
      </c>
      <c r="I4233" s="7" t="str">
        <f>HYPERLINK("http://www.informatics.jax.org/marker/MGI:1913506","MGI:1913506")</f>
        <v>MGI:1913506</v>
      </c>
      <c r="J4233" s="4" t="s">
        <v>12</v>
      </c>
    </row>
    <row r="4234" spans="1:10" x14ac:dyDescent="0.25">
      <c r="A4234" s="2">
        <v>809.36844006380397</v>
      </c>
      <c r="B4234" s="3">
        <v>0.15847967447609701</v>
      </c>
      <c r="C4234" s="3">
        <v>1.01969342162375E-2</v>
      </c>
      <c r="D4234" s="4">
        <v>2.5347730082466199E-2</v>
      </c>
      <c r="E4234" s="3" t="s">
        <v>15871</v>
      </c>
      <c r="F4234" s="3" t="s">
        <v>15872</v>
      </c>
      <c r="G4234" s="3">
        <v>70408</v>
      </c>
      <c r="H4234" s="7" t="str">
        <f>HYPERLINK("http://www.ensembl.org/Mus_musculus/Gene/Summary?db=core;g=ENSMUSG00000027427","ENSMUSG00000027427")</f>
        <v>ENSMUSG00000027427</v>
      </c>
      <c r="I4234" s="7" t="str">
        <f>HYPERLINK("http://www.informatics.jax.org/marker/MGI:1924086","MGI:1924086")</f>
        <v>MGI:1924086</v>
      </c>
      <c r="J4234" s="4" t="s">
        <v>12</v>
      </c>
    </row>
    <row r="4235" spans="1:10" x14ac:dyDescent="0.25">
      <c r="A4235" s="2">
        <v>2007.9037198057099</v>
      </c>
      <c r="B4235" s="3">
        <v>0.15838933920211501</v>
      </c>
      <c r="C4235" s="3">
        <v>1.1428115303424601E-2</v>
      </c>
      <c r="D4235" s="4">
        <v>2.8072052040798899E-2</v>
      </c>
      <c r="E4235" s="3" t="s">
        <v>16061</v>
      </c>
      <c r="F4235" s="3" t="s">
        <v>16062</v>
      </c>
      <c r="G4235" s="3">
        <v>212528</v>
      </c>
      <c r="H4235" s="7" t="str">
        <f>HYPERLINK("http://www.ensembl.org/Mus_musculus/Gene/Summary?db=core;g=ENSMUSG00000001909","ENSMUSG00000001909")</f>
        <v>ENSMUSG00000001909</v>
      </c>
      <c r="I4235" s="7" t="str">
        <f>HYPERLINK("http://www.informatics.jax.org/marker/MGI:1289155","MGI:1289155")</f>
        <v>MGI:1289155</v>
      </c>
      <c r="J4235" s="4" t="s">
        <v>12</v>
      </c>
    </row>
    <row r="4236" spans="1:10" x14ac:dyDescent="0.25">
      <c r="A4236" s="2">
        <v>935.21335829272596</v>
      </c>
      <c r="B4236" s="3">
        <v>0.157645290529208</v>
      </c>
      <c r="C4236" s="3">
        <v>6.1136135142992104E-3</v>
      </c>
      <c r="D4236" s="4">
        <v>1.5865305764176899E-2</v>
      </c>
      <c r="E4236" s="3" t="s">
        <v>15203</v>
      </c>
      <c r="F4236" s="3" t="s">
        <v>15204</v>
      </c>
      <c r="G4236" s="3">
        <v>67530</v>
      </c>
      <c r="H4236" s="7" t="str">
        <f>HYPERLINK("http://www.ensembl.org/Mus_musculus/Gene/Summary?db=core;g=ENSMUSG00000021520","ENSMUSG00000021520")</f>
        <v>ENSMUSG00000021520</v>
      </c>
      <c r="I4236" s="7" t="str">
        <f>HYPERLINK("http://www.informatics.jax.org/marker/MGI:1914780","MGI:1914780")</f>
        <v>MGI:1914780</v>
      </c>
      <c r="J4236" s="4" t="s">
        <v>12</v>
      </c>
    </row>
    <row r="4237" spans="1:10" x14ac:dyDescent="0.25">
      <c r="A4237" s="2">
        <v>3468.4047248141601</v>
      </c>
      <c r="B4237" s="3">
        <v>0.15748670624524899</v>
      </c>
      <c r="C4237" s="3">
        <v>2.1772380645782401E-3</v>
      </c>
      <c r="D4237" s="4">
        <v>6.1135034363495599E-3</v>
      </c>
      <c r="E4237" s="3" t="s">
        <v>14053</v>
      </c>
      <c r="F4237" s="3" t="s">
        <v>14054</v>
      </c>
      <c r="G4237" s="3">
        <v>19822</v>
      </c>
      <c r="H4237" s="7" t="str">
        <f>HYPERLINK("http://www.ensembl.org/Mus_musculus/Gene/Summary?db=core;g=ENSMUSG00000029110","ENSMUSG00000029110")</f>
        <v>ENSMUSG00000029110</v>
      </c>
      <c r="I4237" s="7" t="str">
        <f>HYPERLINK("http://www.informatics.jax.org/marker/MGI:1201691","MGI:1201691")</f>
        <v>MGI:1201691</v>
      </c>
      <c r="J4237" s="4" t="s">
        <v>12</v>
      </c>
    </row>
    <row r="4238" spans="1:10" x14ac:dyDescent="0.25">
      <c r="A4238" s="2">
        <v>1817.9996802671401</v>
      </c>
      <c r="B4238" s="3">
        <v>0.15643325126319901</v>
      </c>
      <c r="C4238" s="3">
        <v>6.2900855348325805E-4</v>
      </c>
      <c r="D4238" s="4">
        <v>1.9091963482668699E-3</v>
      </c>
      <c r="E4238" s="3" t="s">
        <v>13003</v>
      </c>
      <c r="F4238" s="3" t="s">
        <v>13004</v>
      </c>
      <c r="G4238" s="3">
        <v>229096</v>
      </c>
      <c r="H4238" s="7" t="str">
        <f>HYPERLINK("http://www.ensembl.org/Mus_musculus/Gene/Summary?db=core;g=ENSMUSG00000047213","ENSMUSG00000047213")</f>
        <v>ENSMUSG00000047213</v>
      </c>
      <c r="I4238" s="7" t="str">
        <f>HYPERLINK("http://www.informatics.jax.org/marker/MGI:1918850","MGI:1918850")</f>
        <v>MGI:1918850</v>
      </c>
      <c r="J4238" s="4" t="s">
        <v>12</v>
      </c>
    </row>
    <row r="4239" spans="1:10" x14ac:dyDescent="0.25">
      <c r="A4239" s="2">
        <v>1313.117363583</v>
      </c>
      <c r="B4239" s="3">
        <v>0.156426358654429</v>
      </c>
      <c r="C4239" s="3">
        <v>1.0957749757486001E-3</v>
      </c>
      <c r="D4239" s="4">
        <v>3.2131869920836199E-3</v>
      </c>
      <c r="E4239" s="3" t="s">
        <v>13459</v>
      </c>
      <c r="F4239" s="3" t="s">
        <v>13460</v>
      </c>
      <c r="G4239" s="3">
        <v>264064</v>
      </c>
      <c r="H4239" s="7" t="str">
        <f>HYPERLINK("http://www.ensembl.org/Mus_musculus/Gene/Summary?db=core;g=ENSMUSG00000029635","ENSMUSG00000029635")</f>
        <v>ENSMUSG00000029635</v>
      </c>
      <c r="I4239" s="7" t="str">
        <f>HYPERLINK("http://www.informatics.jax.org/marker/MGI:1196224","MGI:1196224")</f>
        <v>MGI:1196224</v>
      </c>
      <c r="J4239" s="4" t="s">
        <v>12</v>
      </c>
    </row>
    <row r="4240" spans="1:10" x14ac:dyDescent="0.25">
      <c r="A4240" s="2">
        <v>1251.2288072700501</v>
      </c>
      <c r="B4240" s="3">
        <v>0.15622000355065399</v>
      </c>
      <c r="C4240" s="3">
        <v>2.1923921602599599E-3</v>
      </c>
      <c r="D4240" s="4">
        <v>6.15430226339167E-3</v>
      </c>
      <c r="E4240" s="3" t="s">
        <v>14057</v>
      </c>
      <c r="F4240" s="3" t="s">
        <v>14058</v>
      </c>
      <c r="G4240" s="3">
        <v>101612</v>
      </c>
      <c r="H4240" s="7" t="str">
        <f>HYPERLINK("http://www.ensembl.org/Mus_musculus/Gene/Summary?db=core;g=ENSMUSG00000053801","ENSMUSG00000053801")</f>
        <v>ENSMUSG00000053801</v>
      </c>
      <c r="I4240" s="7" t="str">
        <f>HYPERLINK("http://www.informatics.jax.org/marker/MGI:2141989","MGI:2141989")</f>
        <v>MGI:2141989</v>
      </c>
      <c r="J4240" s="4" t="s">
        <v>12</v>
      </c>
    </row>
    <row r="4241" spans="1:10" x14ac:dyDescent="0.25">
      <c r="A4241" s="2">
        <v>1676.4925494906699</v>
      </c>
      <c r="B4241" s="3">
        <v>0.15605260793150699</v>
      </c>
      <c r="C4241" s="3">
        <v>7.0999463196339298E-3</v>
      </c>
      <c r="D4241" s="4">
        <v>1.8211620892713502E-2</v>
      </c>
      <c r="E4241" s="3" t="s">
        <v>15381</v>
      </c>
      <c r="F4241" s="3" t="s">
        <v>15382</v>
      </c>
      <c r="G4241" s="3">
        <v>108829</v>
      </c>
      <c r="H4241" s="7" t="str">
        <f>HYPERLINK("http://www.ensembl.org/Mus_musculus/Gene/Summary?db=core;g=ENSMUSG00000037876","ENSMUSG00000037876")</f>
        <v>ENSMUSG00000037876</v>
      </c>
      <c r="I4241" s="7" t="str">
        <f>HYPERLINK("http://www.informatics.jax.org/marker/MGI:1918614","MGI:1918614")</f>
        <v>MGI:1918614</v>
      </c>
      <c r="J4241" s="4" t="s">
        <v>12</v>
      </c>
    </row>
    <row r="4242" spans="1:10" x14ac:dyDescent="0.25">
      <c r="A4242" s="2">
        <v>2772.31092194136</v>
      </c>
      <c r="B4242" s="3">
        <v>0.15540474053815501</v>
      </c>
      <c r="C4242" s="3">
        <v>1.25522605697396E-2</v>
      </c>
      <c r="D4242" s="4">
        <v>3.06079358030487E-2</v>
      </c>
      <c r="E4242" s="3" t="s">
        <v>16177</v>
      </c>
      <c r="F4242" s="3" t="s">
        <v>16178</v>
      </c>
      <c r="G4242" s="3">
        <v>56378</v>
      </c>
      <c r="H4242" s="7" t="str">
        <f>HYPERLINK("http://www.ensembl.org/Mus_musculus/Gene/Summary?db=core;g=ENSMUSG00000029465","ENSMUSG00000029465")</f>
        <v>ENSMUSG00000029465</v>
      </c>
      <c r="I4242" s="7" t="str">
        <f>HYPERLINK("http://www.informatics.jax.org/marker/MGI:1928375","MGI:1928375")</f>
        <v>MGI:1928375</v>
      </c>
      <c r="J4242" s="4" t="s">
        <v>12</v>
      </c>
    </row>
    <row r="4243" spans="1:10" x14ac:dyDescent="0.25">
      <c r="A4243" s="2">
        <v>2838.8449734597398</v>
      </c>
      <c r="B4243" s="3">
        <v>0.15533330690084399</v>
      </c>
      <c r="C4243" s="3">
        <v>2.0022400493584901E-3</v>
      </c>
      <c r="D4243" s="4">
        <v>5.6535185815219597E-3</v>
      </c>
      <c r="E4243" s="3" t="s">
        <v>13975</v>
      </c>
      <c r="F4243" s="3" t="s">
        <v>13976</v>
      </c>
      <c r="G4243" s="3">
        <v>72198</v>
      </c>
      <c r="H4243" s="7" t="str">
        <f>HYPERLINK("http://www.ensembl.org/Mus_musculus/Gene/Summary?db=core;g=ENSMUSG00000016018","ENSMUSG00000016018")</f>
        <v>ENSMUSG00000016018</v>
      </c>
      <c r="I4243" s="7" t="str">
        <f>HYPERLINK("http://www.informatics.jax.org/marker/MGI:1919448","MGI:1919448")</f>
        <v>MGI:1919448</v>
      </c>
      <c r="J4243" s="4" t="s">
        <v>12</v>
      </c>
    </row>
    <row r="4244" spans="1:10" x14ac:dyDescent="0.25">
      <c r="A4244" s="2">
        <v>1026.9041707337501</v>
      </c>
      <c r="B4244" s="3">
        <v>0.15492150714217101</v>
      </c>
      <c r="C4244" s="3">
        <v>9.2200095558699294E-3</v>
      </c>
      <c r="D4244" s="4">
        <v>2.3096873531727E-2</v>
      </c>
      <c r="E4244" s="3" t="s">
        <v>15749</v>
      </c>
      <c r="F4244" s="3" t="s">
        <v>15750</v>
      </c>
      <c r="G4244" s="3">
        <v>74467</v>
      </c>
      <c r="H4244" s="7" t="str">
        <f>HYPERLINK("http://www.ensembl.org/Mus_musculus/Gene/Summary?db=core;g=ENSMUSG00000020280","ENSMUSG00000020280")</f>
        <v>ENSMUSG00000020280</v>
      </c>
      <c r="I4244" s="7" t="str">
        <f>HYPERLINK("http://www.informatics.jax.org/marker/MGI:1921717","MGI:1921717")</f>
        <v>MGI:1921717</v>
      </c>
      <c r="J4244" s="4" t="s">
        <v>12</v>
      </c>
    </row>
    <row r="4245" spans="1:10" x14ac:dyDescent="0.25">
      <c r="A4245" s="2">
        <v>3755.0155771879299</v>
      </c>
      <c r="B4245" s="3">
        <v>0.15471236767125399</v>
      </c>
      <c r="C4245" s="3">
        <v>2.0377937617768498E-2</v>
      </c>
      <c r="D4245" s="4">
        <v>4.7461075920915897E-2</v>
      </c>
      <c r="E4245" s="3" t="s">
        <v>16938</v>
      </c>
      <c r="F4245" s="3" t="s">
        <v>16939</v>
      </c>
      <c r="G4245" s="3">
        <v>54411</v>
      </c>
      <c r="H4245" s="7" t="str">
        <f>HYPERLINK("http://www.ensembl.org/Mus_musculus/Gene/Summary?db=core;g=ENSMUSG00000019087","ENSMUSG00000019087")</f>
        <v>ENSMUSG00000019087</v>
      </c>
      <c r="I4245" s="7" t="str">
        <f>HYPERLINK("http://www.informatics.jax.org/marker/MGI:109629","MGI:109629")</f>
        <v>MGI:109629</v>
      </c>
      <c r="J4245" s="4" t="s">
        <v>12</v>
      </c>
    </row>
    <row r="4246" spans="1:10" x14ac:dyDescent="0.25">
      <c r="A4246" s="2">
        <v>1255.6969105702501</v>
      </c>
      <c r="B4246" s="3">
        <v>0.15447776972163299</v>
      </c>
      <c r="C4246" s="3">
        <v>2.01867036464955E-2</v>
      </c>
      <c r="D4246" s="4">
        <v>4.7054585804833501E-2</v>
      </c>
      <c r="E4246" s="3" t="s">
        <v>16924</v>
      </c>
      <c r="F4246" s="3" t="s">
        <v>16925</v>
      </c>
      <c r="G4246" s="3">
        <v>57773</v>
      </c>
      <c r="H4246" s="7" t="str">
        <f>HYPERLINK("http://www.ensembl.org/Mus_musculus/Gene/Summary?db=core;g=ENSMUSG00000024037","ENSMUSG00000024037")</f>
        <v>ENSMUSG00000024037</v>
      </c>
      <c r="I4246" s="7" t="str">
        <f>HYPERLINK("http://www.informatics.jax.org/marker/MGI:1889002","MGI:1889002")</f>
        <v>MGI:1889002</v>
      </c>
      <c r="J4246" s="4" t="s">
        <v>12</v>
      </c>
    </row>
    <row r="4247" spans="1:10" x14ac:dyDescent="0.25">
      <c r="A4247" s="2">
        <v>671.191742934064</v>
      </c>
      <c r="B4247" s="3">
        <v>0.154457588542633</v>
      </c>
      <c r="C4247" s="3">
        <v>4.47767124288595E-3</v>
      </c>
      <c r="D4247" s="4">
        <v>1.1937228188415701E-2</v>
      </c>
      <c r="E4247" s="3" t="s">
        <v>14798</v>
      </c>
      <c r="F4247" s="3" t="s">
        <v>14799</v>
      </c>
      <c r="G4247" s="3">
        <v>226548</v>
      </c>
      <c r="H4247" s="7" t="str">
        <f>HYPERLINK("http://www.ensembl.org/Mus_musculus/Gene/Summary?db=core;g=ENSMUSG00000015750","ENSMUSG00000015750")</f>
        <v>ENSMUSG00000015750</v>
      </c>
      <c r="I4247" s="7" t="str">
        <f>HYPERLINK("http://www.informatics.jax.org/marker/MGI:2385110","MGI:2385110")</f>
        <v>MGI:2385110</v>
      </c>
      <c r="J4247" s="4" t="s">
        <v>12</v>
      </c>
    </row>
    <row r="4248" spans="1:10" x14ac:dyDescent="0.25">
      <c r="A4248" s="2">
        <v>755.97961757839698</v>
      </c>
      <c r="B4248" s="3">
        <v>0.15408169181144901</v>
      </c>
      <c r="C4248" s="3">
        <v>6.5017920006005597E-3</v>
      </c>
      <c r="D4248" s="4">
        <v>1.6786506710112999E-2</v>
      </c>
      <c r="E4248" s="3" t="s">
        <v>15281</v>
      </c>
      <c r="F4248" s="3" t="s">
        <v>15282</v>
      </c>
      <c r="G4248" s="3">
        <v>94279</v>
      </c>
      <c r="H4248" s="7" t="str">
        <f>HYPERLINK("http://www.ensembl.org/Mus_musculus/Gene/Summary?db=core;g=ENSMUSG00000025036","ENSMUSG00000025036")</f>
        <v>ENSMUSG00000025036</v>
      </c>
      <c r="I4248" s="7" t="str">
        <f>HYPERLINK("http://www.informatics.jax.org/marker/MGI:2137678","MGI:2137678")</f>
        <v>MGI:2137678</v>
      </c>
      <c r="J4248" s="4" t="s">
        <v>12</v>
      </c>
    </row>
    <row r="4249" spans="1:10" x14ac:dyDescent="0.25">
      <c r="A4249" s="2">
        <v>732.32411694426105</v>
      </c>
      <c r="B4249" s="3">
        <v>0.153745380230043</v>
      </c>
      <c r="C4249" s="3">
        <v>1.6259235000215401E-2</v>
      </c>
      <c r="D4249" s="4">
        <v>3.8704987228904697E-2</v>
      </c>
      <c r="E4249" s="3" t="s">
        <v>16572</v>
      </c>
      <c r="F4249" s="3" t="s">
        <v>16573</v>
      </c>
      <c r="G4249" s="3">
        <v>52838</v>
      </c>
      <c r="H4249" s="7" t="str">
        <f>HYPERLINK("http://www.ensembl.org/Mus_musculus/Gene/Summary?db=core;g=ENSMUSG00000075467","ENSMUSG00000075467")</f>
        <v>ENSMUSG00000075467</v>
      </c>
      <c r="I4249" s="7" t="str">
        <f>HYPERLINK("http://www.informatics.jax.org/marker/MGI:106559","MGI:106559")</f>
        <v>MGI:106559</v>
      </c>
      <c r="J4249" s="4" t="s">
        <v>12</v>
      </c>
    </row>
    <row r="4250" spans="1:10" x14ac:dyDescent="0.25">
      <c r="A4250" s="2">
        <v>975.55731364241399</v>
      </c>
      <c r="B4250" s="3">
        <v>0.15349789766150301</v>
      </c>
      <c r="C4250" s="3">
        <v>7.7076956948711299E-3</v>
      </c>
      <c r="D4250" s="4">
        <v>1.95921318771408E-2</v>
      </c>
      <c r="E4250" s="3" t="s">
        <v>15521</v>
      </c>
      <c r="F4250" s="3" t="s">
        <v>15522</v>
      </c>
      <c r="G4250" s="3">
        <v>59021</v>
      </c>
      <c r="H4250" s="7" t="str">
        <f>HYPERLINK("http://www.ensembl.org/Mus_musculus/Gene/Summary?db=core;g=ENSMUSG00000047187","ENSMUSG00000047187")</f>
        <v>ENSMUSG00000047187</v>
      </c>
      <c r="I4250" s="7" t="str">
        <f>HYPERLINK("http://www.informatics.jax.org/marker/MGI:1928750","MGI:1928750")</f>
        <v>MGI:1928750</v>
      </c>
      <c r="J4250" s="4" t="s">
        <v>12</v>
      </c>
    </row>
    <row r="4251" spans="1:10" x14ac:dyDescent="0.25">
      <c r="A4251" s="2">
        <v>1158.78268057582</v>
      </c>
      <c r="B4251" s="3">
        <v>0.15349265037363499</v>
      </c>
      <c r="C4251" s="3">
        <v>7.6413355785187901E-4</v>
      </c>
      <c r="D4251" s="4">
        <v>2.2929533165442001E-3</v>
      </c>
      <c r="E4251" s="3" t="s">
        <v>13151</v>
      </c>
      <c r="F4251" s="3" t="s">
        <v>13152</v>
      </c>
      <c r="G4251" s="3">
        <v>68796</v>
      </c>
      <c r="H4251" s="7" t="str">
        <f>HYPERLINK("http://www.ensembl.org/Mus_musculus/Gene/Summary?db=core;g=ENSMUSG00000038828","ENSMUSG00000038828")</f>
        <v>ENSMUSG00000038828</v>
      </c>
      <c r="I4251" s="7" t="str">
        <f>HYPERLINK("http://www.informatics.jax.org/marker/MGI:1916046","MGI:1916046")</f>
        <v>MGI:1916046</v>
      </c>
      <c r="J4251" s="4" t="s">
        <v>12</v>
      </c>
    </row>
    <row r="4252" spans="1:10" x14ac:dyDescent="0.25">
      <c r="A4252" s="2">
        <v>2050.4034714383301</v>
      </c>
      <c r="B4252" s="3">
        <v>0.15343036872337301</v>
      </c>
      <c r="C4252" s="3">
        <v>1.9717755503003798E-2</v>
      </c>
      <c r="D4252" s="4">
        <v>4.6108637319961503E-2</v>
      </c>
      <c r="E4252" s="3" t="s">
        <v>16870</v>
      </c>
      <c r="F4252" s="3" t="s">
        <v>16871</v>
      </c>
      <c r="G4252" s="3">
        <v>12237</v>
      </c>
      <c r="H4252" s="7" t="str">
        <f>HYPERLINK("http://www.ensembl.org/Mus_musculus/Gene/Summary?db=core;g=ENSMUSG00000066979","ENSMUSG00000066979")</f>
        <v>ENSMUSG00000066979</v>
      </c>
      <c r="I4252" s="7" t="str">
        <f>HYPERLINK("http://www.informatics.jax.org/marker/MGI:1343463","MGI:1343463")</f>
        <v>MGI:1343463</v>
      </c>
      <c r="J4252" s="4" t="s">
        <v>12</v>
      </c>
    </row>
    <row r="4253" spans="1:10" x14ac:dyDescent="0.25">
      <c r="A4253" s="2">
        <v>4040.8866217334999</v>
      </c>
      <c r="B4253" s="3">
        <v>0.15255621287527901</v>
      </c>
      <c r="C4253" s="5">
        <v>2.93949816006084E-5</v>
      </c>
      <c r="D4253" s="4">
        <v>1.05031534184453E-4</v>
      </c>
      <c r="E4253" s="3" t="s">
        <v>11050</v>
      </c>
      <c r="F4253" s="3" t="s">
        <v>11051</v>
      </c>
      <c r="G4253" s="3">
        <v>56307</v>
      </c>
      <c r="H4253" s="7" t="str">
        <f>HYPERLINK("http://www.ensembl.org/Mus_musculus/Gene/Summary?db=core;g=ENSMUSG00000036112","ENSMUSG00000036112")</f>
        <v>ENSMUSG00000036112</v>
      </c>
      <c r="I4253" s="7" t="str">
        <f>HYPERLINK("http://www.informatics.jax.org/marker/MGI:1929701","MGI:1929701")</f>
        <v>MGI:1929701</v>
      </c>
      <c r="J4253" s="4" t="s">
        <v>12</v>
      </c>
    </row>
    <row r="4254" spans="1:10" x14ac:dyDescent="0.25">
      <c r="A4254" s="2">
        <v>1069.3127544679701</v>
      </c>
      <c r="B4254" s="3">
        <v>0.15250918303899499</v>
      </c>
      <c r="C4254" s="3">
        <v>1.0427660778849599E-2</v>
      </c>
      <c r="D4254" s="4">
        <v>2.58495877509635E-2</v>
      </c>
      <c r="E4254" s="3" t="s">
        <v>15915</v>
      </c>
      <c r="F4254" s="3" t="s">
        <v>15916</v>
      </c>
      <c r="G4254" s="3">
        <v>20239</v>
      </c>
      <c r="H4254" s="7" t="str">
        <f>HYPERLINK("http://www.ensembl.org/Mus_musculus/Gene/Summary?db=core;g=ENSMUSG00000042605","ENSMUSG00000042605")</f>
        <v>ENSMUSG00000042605</v>
      </c>
      <c r="I4254" s="7" t="str">
        <f>HYPERLINK("http://www.informatics.jax.org/marker/MGI:1277223","MGI:1277223")</f>
        <v>MGI:1277223</v>
      </c>
      <c r="J4254" s="4" t="s">
        <v>12</v>
      </c>
    </row>
    <row r="4255" spans="1:10" x14ac:dyDescent="0.25">
      <c r="A4255" s="2">
        <v>2772.78140812229</v>
      </c>
      <c r="B4255" s="3">
        <v>0.15248789407577501</v>
      </c>
      <c r="C4255" s="5">
        <v>7.7807790202596705E-6</v>
      </c>
      <c r="D4255" s="6">
        <v>2.9525921481854599E-5</v>
      </c>
      <c r="E4255" s="3" t="s">
        <v>10408</v>
      </c>
      <c r="F4255" s="3" t="s">
        <v>10409</v>
      </c>
      <c r="G4255" s="3">
        <v>70231</v>
      </c>
      <c r="H4255" s="7" t="str">
        <f>HYPERLINK("http://www.ensembl.org/Mus_musculus/Gene/Summary?db=core;g=ENSMUSG00000014959","ENSMUSG00000014959")</f>
        <v>ENSMUSG00000014959</v>
      </c>
      <c r="I4255" s="7" t="str">
        <f>HYPERLINK("http://www.informatics.jax.org/marker/MGI:2135962","MGI:2135962")</f>
        <v>MGI:2135962</v>
      </c>
      <c r="J4255" s="4" t="s">
        <v>12</v>
      </c>
    </row>
    <row r="4256" spans="1:10" x14ac:dyDescent="0.25">
      <c r="A4256" s="2">
        <v>6534.9659783862198</v>
      </c>
      <c r="B4256" s="3">
        <v>0.15248221355189101</v>
      </c>
      <c r="C4256" s="3">
        <v>1.30071995512216E-2</v>
      </c>
      <c r="D4256" s="4">
        <v>3.1608376481834899E-2</v>
      </c>
      <c r="E4256" s="3" t="s">
        <v>16233</v>
      </c>
      <c r="F4256" s="3" t="s">
        <v>16234</v>
      </c>
      <c r="G4256" s="3">
        <v>268373</v>
      </c>
      <c r="H4256" s="7" t="str">
        <f>HYPERLINK("http://www.ensembl.org/Mus_musculus/Gene/Summary?db=core;g=ENSMUSG00000071866","ENSMUSG00000071866")</f>
        <v>ENSMUSG00000071866</v>
      </c>
      <c r="I4256" s="7" t="str">
        <f>HYPERLINK("http://www.informatics.jax.org/marker/MGI:97749","MGI:97749")</f>
        <v>MGI:97749</v>
      </c>
      <c r="J4256" s="4" t="s">
        <v>12</v>
      </c>
    </row>
    <row r="4257" spans="1:10" x14ac:dyDescent="0.25">
      <c r="A4257" s="2">
        <v>2358.2246229821899</v>
      </c>
      <c r="B4257" s="3">
        <v>0.15218078877027499</v>
      </c>
      <c r="C4257" s="3">
        <v>6.9380058972986604E-3</v>
      </c>
      <c r="D4257" s="4">
        <v>1.78206313874569E-2</v>
      </c>
      <c r="E4257" s="3" t="s">
        <v>15359</v>
      </c>
      <c r="F4257" s="3" t="s">
        <v>15360</v>
      </c>
      <c r="G4257" s="3">
        <v>329908</v>
      </c>
      <c r="H4257" s="7" t="str">
        <f>HYPERLINK("http://www.ensembl.org/Mus_musculus/Gene/Summary?db=core;g=ENSMUSG00000028514","ENSMUSG00000028514")</f>
        <v>ENSMUSG00000028514</v>
      </c>
      <c r="I4257" s="7" t="str">
        <f>HYPERLINK("http://www.informatics.jax.org/marker/MGI:1919936","MGI:1919936")</f>
        <v>MGI:1919936</v>
      </c>
      <c r="J4257" s="4" t="s">
        <v>12</v>
      </c>
    </row>
    <row r="4258" spans="1:10" x14ac:dyDescent="0.25">
      <c r="A4258" s="2">
        <v>8043.7193867002698</v>
      </c>
      <c r="B4258" s="3">
        <v>0.152117571136859</v>
      </c>
      <c r="C4258" s="3">
        <v>2.4011955571032798E-3</v>
      </c>
      <c r="D4258" s="4">
        <v>6.6965883730839603E-3</v>
      </c>
      <c r="E4258" s="3" t="s">
        <v>14149</v>
      </c>
      <c r="F4258" s="3" t="s">
        <v>14150</v>
      </c>
      <c r="G4258" s="3">
        <v>22334</v>
      </c>
      <c r="H4258" s="7" t="str">
        <f>HYPERLINK("http://www.ensembl.org/Mus_musculus/Gene/Summary?db=core;g=ENSMUSG00000021771","ENSMUSG00000021771")</f>
        <v>ENSMUSG00000021771</v>
      </c>
      <c r="I4258" s="7" t="str">
        <f>HYPERLINK("http://www.informatics.jax.org/marker/MGI:106915","MGI:106915")</f>
        <v>MGI:106915</v>
      </c>
      <c r="J4258" s="4" t="s">
        <v>12</v>
      </c>
    </row>
    <row r="4259" spans="1:10" x14ac:dyDescent="0.25">
      <c r="A4259" s="2">
        <v>1596.2790128635299</v>
      </c>
      <c r="B4259" s="3">
        <v>0.15206278913608401</v>
      </c>
      <c r="C4259" s="3">
        <v>1.7230005285538301E-2</v>
      </c>
      <c r="D4259" s="4">
        <v>4.0799195993133301E-2</v>
      </c>
      <c r="E4259" s="3" t="s">
        <v>16660</v>
      </c>
      <c r="F4259" s="3" t="s">
        <v>16661</v>
      </c>
      <c r="G4259" s="3">
        <v>22284</v>
      </c>
      <c r="H4259" s="7" t="str">
        <f>HYPERLINK("http://www.ensembl.org/Mus_musculus/Gene/Summary?db=core;g=ENSMUSG00000031010","ENSMUSG00000031010")</f>
        <v>ENSMUSG00000031010</v>
      </c>
      <c r="I4259" s="7" t="str">
        <f>HYPERLINK("http://www.informatics.jax.org/marker/MGI:894681","MGI:894681")</f>
        <v>MGI:894681</v>
      </c>
      <c r="J4259" s="4" t="s">
        <v>12</v>
      </c>
    </row>
    <row r="4260" spans="1:10" x14ac:dyDescent="0.25">
      <c r="A4260" s="2">
        <v>9082.55241894555</v>
      </c>
      <c r="B4260" s="3">
        <v>0.151894417101893</v>
      </c>
      <c r="C4260" s="5">
        <v>7.9516518239225095E-5</v>
      </c>
      <c r="D4260" s="4">
        <v>2.7115091469436599E-4</v>
      </c>
      <c r="E4260" s="3" t="s">
        <v>11577</v>
      </c>
      <c r="F4260" s="3" t="s">
        <v>11578</v>
      </c>
      <c r="G4260" s="3">
        <v>22384</v>
      </c>
      <c r="H4260" s="7" t="str">
        <f>HYPERLINK("http://www.ensembl.org/Mus_musculus/Gene/Summary?db=core;g=ENSMUSG00000040731","ENSMUSG00000040731")</f>
        <v>ENSMUSG00000040731</v>
      </c>
      <c r="I4260" s="7" t="str">
        <f>HYPERLINK("http://www.informatics.jax.org/marker/MGI:1341822","MGI:1341822")</f>
        <v>MGI:1341822</v>
      </c>
      <c r="J4260" s="4" t="s">
        <v>12</v>
      </c>
    </row>
    <row r="4261" spans="1:10" x14ac:dyDescent="0.25">
      <c r="A4261" s="2">
        <v>971.97406095418501</v>
      </c>
      <c r="B4261" s="3">
        <v>0.15187263299050999</v>
      </c>
      <c r="C4261" s="3">
        <v>4.0654285413596301E-3</v>
      </c>
      <c r="D4261" s="4">
        <v>1.0938770751209101E-2</v>
      </c>
      <c r="E4261" s="3" t="s">
        <v>14661</v>
      </c>
      <c r="F4261" s="3" t="s">
        <v>14662</v>
      </c>
      <c r="G4261" s="3">
        <v>66617</v>
      </c>
      <c r="H4261" s="7" t="str">
        <f>HYPERLINK("http://www.ensembl.org/Mus_musculus/Gene/Summary?db=core;g=ENSMUSG00000026857","ENSMUSG00000026857")</f>
        <v>ENSMUSG00000026857</v>
      </c>
      <c r="I4261" s="7" t="str">
        <f>HYPERLINK("http://www.informatics.jax.org/marker/MGI:1913867","MGI:1913867")</f>
        <v>MGI:1913867</v>
      </c>
      <c r="J4261" s="4" t="s">
        <v>12</v>
      </c>
    </row>
    <row r="4262" spans="1:10" x14ac:dyDescent="0.25">
      <c r="A4262" s="2">
        <v>1212.81340380131</v>
      </c>
      <c r="B4262" s="3">
        <v>0.15179910065272001</v>
      </c>
      <c r="C4262" s="3">
        <v>1.6469104517345401E-2</v>
      </c>
      <c r="D4262" s="4">
        <v>3.9166756039803602E-2</v>
      </c>
      <c r="E4262" s="3" t="s">
        <v>16588</v>
      </c>
      <c r="F4262" s="3" t="s">
        <v>16589</v>
      </c>
      <c r="G4262" s="3">
        <v>13548</v>
      </c>
      <c r="H4262" s="7" t="str">
        <f>HYPERLINK("http://www.ensembl.org/Mus_musculus/Gene/Summary?db=core;g=ENSMUSG00000022897","ENSMUSG00000022897")</f>
        <v>ENSMUSG00000022897</v>
      </c>
      <c r="I4262" s="7" t="str">
        <f>HYPERLINK("http://www.informatics.jax.org/marker/MGI:1330299","MGI:1330299")</f>
        <v>MGI:1330299</v>
      </c>
      <c r="J4262" s="4" t="s">
        <v>12</v>
      </c>
    </row>
    <row r="4263" spans="1:10" x14ac:dyDescent="0.25">
      <c r="A4263" s="2">
        <v>652.98659105759396</v>
      </c>
      <c r="B4263" s="3">
        <v>0.151787125832062</v>
      </c>
      <c r="C4263" s="3">
        <v>5.6589892039656999E-3</v>
      </c>
      <c r="D4263" s="4">
        <v>1.4806324413188699E-2</v>
      </c>
      <c r="E4263" s="3" t="s">
        <v>15078</v>
      </c>
      <c r="F4263" s="3" t="s">
        <v>15079</v>
      </c>
      <c r="G4263" s="3">
        <v>381760</v>
      </c>
      <c r="H4263" s="7" t="str">
        <f>HYPERLINK("http://www.ensembl.org/Mus_musculus/Gene/Summary?db=core;g=ENSMUSG00000029911","ENSMUSG00000029911")</f>
        <v>ENSMUSG00000029911</v>
      </c>
      <c r="I4263" s="7" t="str">
        <f>HYPERLINK("http://www.informatics.jax.org/marker/MGI:1920040","MGI:1920040")</f>
        <v>MGI:1920040</v>
      </c>
      <c r="J4263" s="4" t="s">
        <v>12</v>
      </c>
    </row>
    <row r="4264" spans="1:10" x14ac:dyDescent="0.25">
      <c r="A4264" s="2">
        <v>1784.3828884826801</v>
      </c>
      <c r="B4264" s="3">
        <v>0.15132029620175899</v>
      </c>
      <c r="C4264" s="3">
        <v>4.7105832411203502E-3</v>
      </c>
      <c r="D4264" s="4">
        <v>1.25040653540037E-2</v>
      </c>
      <c r="E4264" s="3" t="s">
        <v>14862</v>
      </c>
      <c r="F4264" s="3" t="s">
        <v>14863</v>
      </c>
      <c r="G4264" s="3">
        <v>12336</v>
      </c>
      <c r="H4264" s="7" t="str">
        <f>HYPERLINK("http://www.ensembl.org/Mus_musculus/Gene/Summary?db=core;g=ENSMUSG00000001794","ENSMUSG00000001794")</f>
        <v>ENSMUSG00000001794</v>
      </c>
      <c r="I4264" s="7" t="str">
        <f>HYPERLINK("http://www.informatics.jax.org/marker/MGI:88266","MGI:88266")</f>
        <v>MGI:88266</v>
      </c>
      <c r="J4264" s="4" t="s">
        <v>12</v>
      </c>
    </row>
    <row r="4265" spans="1:10" x14ac:dyDescent="0.25">
      <c r="A4265" s="2">
        <v>576.24525970910702</v>
      </c>
      <c r="B4265" s="3">
        <v>0.15086822540276801</v>
      </c>
      <c r="C4265" s="3">
        <v>1.7279880648557001E-2</v>
      </c>
      <c r="D4265" s="4">
        <v>4.0907472555767502E-2</v>
      </c>
      <c r="E4265" s="3" t="s">
        <v>16664</v>
      </c>
      <c r="F4265" s="3" t="s">
        <v>16665</v>
      </c>
      <c r="G4265" s="3">
        <v>22380</v>
      </c>
      <c r="H4265" s="7" t="str">
        <f>HYPERLINK("http://www.ensembl.org/Mus_musculus/Gene/Summary?db=core;g=ENSMUSG00000022023","ENSMUSG00000022023")</f>
        <v>ENSMUSG00000022023</v>
      </c>
      <c r="I4265" s="7" t="str">
        <f>HYPERLINK("http://www.informatics.jax.org/marker/MGI:109568","MGI:109568")</f>
        <v>MGI:109568</v>
      </c>
      <c r="J4265" s="4" t="s">
        <v>12</v>
      </c>
    </row>
    <row r="4266" spans="1:10" x14ac:dyDescent="0.25">
      <c r="A4266" s="2">
        <v>1547.48946137553</v>
      </c>
      <c r="B4266" s="3">
        <v>0.150502585881617</v>
      </c>
      <c r="C4266" s="3">
        <v>1.5241199065711499E-2</v>
      </c>
      <c r="D4266" s="4">
        <v>3.6510744117569299E-2</v>
      </c>
      <c r="E4266" s="3" t="s">
        <v>16467</v>
      </c>
      <c r="F4266" s="3" t="s">
        <v>16468</v>
      </c>
      <c r="G4266" s="3">
        <v>69232</v>
      </c>
      <c r="H4266" s="7" t="str">
        <f>HYPERLINK("http://www.ensembl.org/Mus_musculus/Gene/Summary?db=core;g=ENSMUSG00000006673","ENSMUSG00000006673")</f>
        <v>ENSMUSG00000006673</v>
      </c>
      <c r="I4266" s="7" t="str">
        <f>HYPERLINK("http://www.informatics.jax.org/marker/MGI:1916482","MGI:1916482")</f>
        <v>MGI:1916482</v>
      </c>
      <c r="J4266" s="4" t="s">
        <v>12</v>
      </c>
    </row>
    <row r="4267" spans="1:10" x14ac:dyDescent="0.25">
      <c r="A4267" s="2">
        <v>847.21759238715094</v>
      </c>
      <c r="B4267" s="3">
        <v>0.15009671815388001</v>
      </c>
      <c r="C4267" s="3">
        <v>1.8250151400203501E-2</v>
      </c>
      <c r="D4267" s="4">
        <v>4.29569092399157E-2</v>
      </c>
      <c r="E4267" s="3" t="s">
        <v>16760</v>
      </c>
      <c r="F4267" s="3" t="s">
        <v>16761</v>
      </c>
      <c r="G4267" s="3">
        <v>26379</v>
      </c>
      <c r="H4267" s="7" t="str">
        <f>HYPERLINK("http://www.ensembl.org/Mus_musculus/Gene/Summary?db=core;g=ENSMUSG00000024955","ENSMUSG00000024955")</f>
        <v>ENSMUSG00000024955</v>
      </c>
      <c r="I4267" s="7" t="str">
        <f>HYPERLINK("http://www.informatics.jax.org/marker/MGI:1346831","MGI:1346831")</f>
        <v>MGI:1346831</v>
      </c>
      <c r="J4267" s="4" t="s">
        <v>12</v>
      </c>
    </row>
    <row r="4268" spans="1:10" x14ac:dyDescent="0.25">
      <c r="A4268" s="2">
        <v>854.22858845974997</v>
      </c>
      <c r="B4268" s="3">
        <v>0.14980663657839</v>
      </c>
      <c r="C4268" s="3">
        <v>1.3741075186718099E-2</v>
      </c>
      <c r="D4268" s="4">
        <v>3.3232033686789501E-2</v>
      </c>
      <c r="E4268" s="3" t="s">
        <v>16313</v>
      </c>
      <c r="F4268" s="3" t="s">
        <v>16314</v>
      </c>
      <c r="G4268" s="3">
        <v>11632</v>
      </c>
      <c r="H4268" s="7" t="str">
        <f>HYPERLINK("http://www.ensembl.org/Mus_musculus/Gene/Summary?db=core;g=ENSMUSG00000024847","ENSMUSG00000024847")</f>
        <v>ENSMUSG00000024847</v>
      </c>
      <c r="I4268" s="7" t="str">
        <f>HYPERLINK("http://www.informatics.jax.org/marker/MGI:109622","MGI:109622")</f>
        <v>MGI:109622</v>
      </c>
      <c r="J4268" s="4" t="s">
        <v>12</v>
      </c>
    </row>
    <row r="4269" spans="1:10" x14ac:dyDescent="0.25">
      <c r="A4269" s="2">
        <v>1956.99243934539</v>
      </c>
      <c r="B4269" s="3">
        <v>0.14954987803251499</v>
      </c>
      <c r="C4269" s="3">
        <v>4.2810060911365501E-3</v>
      </c>
      <c r="D4269" s="4">
        <v>1.14656308729068E-2</v>
      </c>
      <c r="E4269" s="3" t="s">
        <v>14730</v>
      </c>
      <c r="F4269" s="3" t="s">
        <v>14731</v>
      </c>
      <c r="G4269" s="3">
        <v>18002</v>
      </c>
      <c r="H4269" s="7" t="str">
        <f>HYPERLINK("http://www.ensembl.org/Mus_musculus/Gene/Summary?db=core;g=ENSMUSG00000010376","ENSMUSG00000010376")</f>
        <v>ENSMUSG00000010376</v>
      </c>
      <c r="I4269" s="7" t="str">
        <f>HYPERLINK("http://www.informatics.jax.org/marker/MGI:97301","MGI:97301")</f>
        <v>MGI:97301</v>
      </c>
      <c r="J4269" s="4" t="s">
        <v>12</v>
      </c>
    </row>
    <row r="4270" spans="1:10" x14ac:dyDescent="0.25">
      <c r="A4270" s="2">
        <v>1791.8150247377901</v>
      </c>
      <c r="B4270" s="3">
        <v>0.14908906412636899</v>
      </c>
      <c r="C4270" s="3">
        <v>1.3983261336695901E-2</v>
      </c>
      <c r="D4270" s="4">
        <v>3.3763917418837198E-2</v>
      </c>
      <c r="E4270" s="3" t="s">
        <v>16339</v>
      </c>
      <c r="F4270" s="3" t="s">
        <v>16340</v>
      </c>
      <c r="G4270" s="3">
        <v>170731</v>
      </c>
      <c r="H4270" s="7" t="str">
        <f>HYPERLINK("http://www.ensembl.org/Mus_musculus/Gene/Summary?db=core;g=ENSMUSG00000029020","ENSMUSG00000029020")</f>
        <v>ENSMUSG00000029020</v>
      </c>
      <c r="I4270" s="7" t="str">
        <f>HYPERLINK("http://www.informatics.jax.org/marker/MGI:2442230","MGI:2442230")</f>
        <v>MGI:2442230</v>
      </c>
      <c r="J4270" s="4" t="s">
        <v>12</v>
      </c>
    </row>
    <row r="4271" spans="1:10" x14ac:dyDescent="0.25">
      <c r="A4271" s="2">
        <v>2939.5549770518501</v>
      </c>
      <c r="B4271" s="3">
        <v>0.14898976565581901</v>
      </c>
      <c r="C4271" s="3">
        <v>1.8536152313532899E-3</v>
      </c>
      <c r="D4271" s="4">
        <v>5.25568545827275E-3</v>
      </c>
      <c r="E4271" s="3" t="s">
        <v>13917</v>
      </c>
      <c r="F4271" s="3" t="s">
        <v>13918</v>
      </c>
      <c r="G4271" s="3">
        <v>22224</v>
      </c>
      <c r="H4271" s="7" t="str">
        <f>HYPERLINK("http://www.ensembl.org/Mus_musculus/Gene/Summary?db=core;g=ENSMUSG00000031826","ENSMUSG00000031826")</f>
        <v>ENSMUSG00000031826</v>
      </c>
      <c r="I4271" s="7" t="str">
        <f>HYPERLINK("http://www.informatics.jax.org/marker/MGI:894652","MGI:894652")</f>
        <v>MGI:894652</v>
      </c>
      <c r="J4271" s="4" t="s">
        <v>12</v>
      </c>
    </row>
    <row r="4272" spans="1:10" x14ac:dyDescent="0.25">
      <c r="A4272" s="2">
        <v>4359.9024995561904</v>
      </c>
      <c r="B4272" s="3">
        <v>0.14871562842685301</v>
      </c>
      <c r="C4272" s="3">
        <v>7.4336302428686203E-3</v>
      </c>
      <c r="D4272" s="4">
        <v>1.8954123143182001E-2</v>
      </c>
      <c r="E4272" s="3" t="s">
        <v>15473</v>
      </c>
      <c r="F4272" s="3" t="s">
        <v>15474</v>
      </c>
      <c r="G4272" s="3">
        <v>20637</v>
      </c>
      <c r="H4272" s="7" t="str">
        <f>HYPERLINK("http://www.ensembl.org/Mus_musculus/Gene/Summary?db=core;g=ENSMUSG00000063511","ENSMUSG00000063511")</f>
        <v>ENSMUSG00000063511</v>
      </c>
      <c r="I4272" s="7" t="str">
        <f>HYPERLINK("http://www.informatics.jax.org/marker/MGI:98341","MGI:98341")</f>
        <v>MGI:98341</v>
      </c>
      <c r="J4272" s="4" t="s">
        <v>12</v>
      </c>
    </row>
    <row r="4273" spans="1:10" x14ac:dyDescent="0.25">
      <c r="A4273" s="2">
        <v>1848.6548364442301</v>
      </c>
      <c r="B4273" s="3">
        <v>0.14857026776089599</v>
      </c>
      <c r="C4273" s="3">
        <v>5.5471307491650104E-3</v>
      </c>
      <c r="D4273" s="4">
        <v>1.45465814815652E-2</v>
      </c>
      <c r="E4273" s="3" t="s">
        <v>15044</v>
      </c>
      <c r="F4273" s="3" t="s">
        <v>15045</v>
      </c>
      <c r="G4273" s="3">
        <v>76938</v>
      </c>
      <c r="H4273" s="7" t="str">
        <f>HYPERLINK("http://www.ensembl.org/Mus_musculus/Gene/Summary?db=core;g=ENSMUSG00000037197","ENSMUSG00000037197")</f>
        <v>ENSMUSG00000037197</v>
      </c>
      <c r="I4273" s="7" t="str">
        <f>HYPERLINK("http://www.informatics.jax.org/marker/MGI:1924188","MGI:1924188")</f>
        <v>MGI:1924188</v>
      </c>
      <c r="J4273" s="4" t="s">
        <v>12</v>
      </c>
    </row>
    <row r="4274" spans="1:10" x14ac:dyDescent="0.25">
      <c r="A4274" s="2">
        <v>9837.1611568804401</v>
      </c>
      <c r="B4274" s="3">
        <v>0.14849861005089099</v>
      </c>
      <c r="C4274" s="3">
        <v>1.8639669695711399E-2</v>
      </c>
      <c r="D4274" s="4">
        <v>4.3779691090927698E-2</v>
      </c>
      <c r="E4274" s="3" t="s">
        <v>16796</v>
      </c>
      <c r="F4274" s="3" t="s">
        <v>16797</v>
      </c>
      <c r="G4274" s="3">
        <v>16785</v>
      </c>
      <c r="H4274" s="7" t="str">
        <f>HYPERLINK("http://www.ensembl.org/Mus_musculus/Gene/Summary?db=core;g=ENSMUSG00000032518","ENSMUSG00000032518")</f>
        <v>ENSMUSG00000032518</v>
      </c>
      <c r="I4274" s="7" t="str">
        <f>HYPERLINK("http://www.informatics.jax.org/marker/MGI:105381","MGI:105381")</f>
        <v>MGI:105381</v>
      </c>
      <c r="J4274" s="4" t="s">
        <v>12</v>
      </c>
    </row>
    <row r="4275" spans="1:10" x14ac:dyDescent="0.25">
      <c r="A4275" s="2">
        <v>1299.4525570245</v>
      </c>
      <c r="B4275" s="3">
        <v>0.14826886985274501</v>
      </c>
      <c r="C4275" s="3">
        <v>2.0796033111256901E-2</v>
      </c>
      <c r="D4275" s="4">
        <v>4.8326393230495701E-2</v>
      </c>
      <c r="E4275" s="3" t="s">
        <v>16976</v>
      </c>
      <c r="F4275" s="3" t="s">
        <v>16977</v>
      </c>
      <c r="G4275" s="3">
        <v>20935</v>
      </c>
      <c r="H4275" s="7" t="str">
        <f>HYPERLINK("http://www.ensembl.org/Mus_musculus/Gene/Summary?db=core;g=ENSMUSG00000036160","ENSMUSG00000036160")</f>
        <v>ENSMUSG00000036160</v>
      </c>
      <c r="I4275" s="7" t="str">
        <f>HYPERLINK("http://www.informatics.jax.org/marker/MGI:98447","MGI:98447")</f>
        <v>MGI:98447</v>
      </c>
      <c r="J4275" s="4" t="s">
        <v>12</v>
      </c>
    </row>
    <row r="4276" spans="1:10" x14ac:dyDescent="0.25">
      <c r="A4276" s="2">
        <v>700.38374665335402</v>
      </c>
      <c r="B4276" s="3">
        <v>0.14790915299895999</v>
      </c>
      <c r="C4276" s="3">
        <v>2.04894532764472E-2</v>
      </c>
      <c r="D4276" s="4">
        <v>4.7687007979645701E-2</v>
      </c>
      <c r="E4276" s="3" t="s">
        <v>16948</v>
      </c>
      <c r="F4276" s="3" t="s">
        <v>16949</v>
      </c>
      <c r="G4276" s="3">
        <v>67472</v>
      </c>
      <c r="H4276" s="7" t="str">
        <f>HYPERLINK("http://www.ensembl.org/Mus_musculus/Gene/Summary?db=core;g=ENSMUSG00000027601","ENSMUSG00000027601")</f>
        <v>ENSMUSG00000027601</v>
      </c>
      <c r="I4276" s="7" t="str">
        <f>HYPERLINK("http://www.informatics.jax.org/marker/MGI:1914722","MGI:1914722")</f>
        <v>MGI:1914722</v>
      </c>
      <c r="J4276" s="4" t="s">
        <v>12</v>
      </c>
    </row>
    <row r="4277" spans="1:10" x14ac:dyDescent="0.25">
      <c r="A4277" s="2">
        <v>2826.73265838522</v>
      </c>
      <c r="B4277" s="3">
        <v>0.147417574955263</v>
      </c>
      <c r="C4277" s="3">
        <v>1.5645471016696401E-3</v>
      </c>
      <c r="D4277" s="4">
        <v>4.4883428636783998E-3</v>
      </c>
      <c r="E4277" s="3" t="s">
        <v>13755</v>
      </c>
      <c r="F4277" s="3" t="s">
        <v>13756</v>
      </c>
      <c r="G4277" s="3">
        <v>71844</v>
      </c>
      <c r="H4277" s="7" t="str">
        <f>HYPERLINK("http://www.ensembl.org/Mus_musculus/Gene/Summary?db=core;g=ENSMUSG00000114797","ENSMUSG00000114797")</f>
        <v>ENSMUSG00000114797</v>
      </c>
      <c r="I4277" s="7" t="str">
        <f>HYPERLINK("http://www.informatics.jax.org/marker/MGI:6121524","MGI:6121524")</f>
        <v>MGI:6121524</v>
      </c>
      <c r="J4277" s="4" t="s">
        <v>12</v>
      </c>
    </row>
    <row r="4278" spans="1:10" x14ac:dyDescent="0.25">
      <c r="A4278" s="2">
        <v>897.32858131138198</v>
      </c>
      <c r="B4278" s="3">
        <v>0.146829312497091</v>
      </c>
      <c r="C4278" s="3">
        <v>4.3694297723697803E-3</v>
      </c>
      <c r="D4278" s="4">
        <v>1.1681183048136101E-2</v>
      </c>
      <c r="E4278" s="3" t="s">
        <v>14758</v>
      </c>
      <c r="F4278" s="3" t="s">
        <v>14759</v>
      </c>
      <c r="G4278" s="3">
        <v>69940</v>
      </c>
      <c r="H4278" s="7" t="str">
        <f>HYPERLINK("http://www.ensembl.org/Mus_musculus/Gene/Summary?db=core;g=ENSMUSG00000036435","ENSMUSG00000036435")</f>
        <v>ENSMUSG00000036435</v>
      </c>
      <c r="I4278" s="7" t="str">
        <f>HYPERLINK("http://www.informatics.jax.org/marker/MGI:2445020","MGI:2445020")</f>
        <v>MGI:2445020</v>
      </c>
      <c r="J4278" s="4" t="s">
        <v>12</v>
      </c>
    </row>
    <row r="4279" spans="1:10" x14ac:dyDescent="0.25">
      <c r="A4279" s="2">
        <v>4390.0338948176104</v>
      </c>
      <c r="B4279" s="3">
        <v>0.14662936405913801</v>
      </c>
      <c r="C4279" s="3">
        <v>1.57129011851743E-4</v>
      </c>
      <c r="D4279" s="4">
        <v>5.1686140345560798E-4</v>
      </c>
      <c r="E4279" s="3" t="s">
        <v>12001</v>
      </c>
      <c r="F4279" s="3" t="s">
        <v>12002</v>
      </c>
      <c r="G4279" s="3">
        <v>20624</v>
      </c>
      <c r="H4279" s="7" t="str">
        <f>HYPERLINK("http://www.ensembl.org/Mus_musculus/Gene/Summary?db=core;g=ENSMUSG00000020929","ENSMUSG00000020929")</f>
        <v>ENSMUSG00000020929</v>
      </c>
      <c r="I4279" s="7" t="str">
        <f>HYPERLINK("http://www.informatics.jax.org/marker/MGI:1336880","MGI:1336880")</f>
        <v>MGI:1336880</v>
      </c>
      <c r="J4279" s="4" t="s">
        <v>12</v>
      </c>
    </row>
    <row r="4280" spans="1:10" x14ac:dyDescent="0.25">
      <c r="A4280" s="2">
        <v>2092.32967273453</v>
      </c>
      <c r="B4280" s="3">
        <v>0.14548465392249699</v>
      </c>
      <c r="C4280" s="3">
        <v>1.9657265190219002E-3</v>
      </c>
      <c r="D4280" s="4">
        <v>5.5615677123546604E-3</v>
      </c>
      <c r="E4280" s="3" t="s">
        <v>13947</v>
      </c>
      <c r="F4280" s="3" t="s">
        <v>13948</v>
      </c>
      <c r="G4280" s="3">
        <v>78832</v>
      </c>
      <c r="H4280" s="7" t="str">
        <f>HYPERLINK("http://www.ensembl.org/Mus_musculus/Gene/Summary?db=core;g=ENSMUSG00000033417","ENSMUSG00000033417")</f>
        <v>ENSMUSG00000033417</v>
      </c>
      <c r="I4280" s="7" t="str">
        <f>HYPERLINK("http://www.informatics.jax.org/marker/MGI:1926082","MGI:1926082")</f>
        <v>MGI:1926082</v>
      </c>
      <c r="J4280" s="4" t="s">
        <v>12</v>
      </c>
    </row>
    <row r="4281" spans="1:10" x14ac:dyDescent="0.25">
      <c r="A4281" s="2">
        <v>936.63119253225295</v>
      </c>
      <c r="B4281" s="3">
        <v>0.145370161768543</v>
      </c>
      <c r="C4281" s="3">
        <v>6.4928184007579E-3</v>
      </c>
      <c r="D4281" s="4">
        <v>1.6767729028672799E-2</v>
      </c>
      <c r="E4281" s="3" t="s">
        <v>15277</v>
      </c>
      <c r="F4281" s="3" t="s">
        <v>15278</v>
      </c>
      <c r="G4281" s="3">
        <v>11502</v>
      </c>
      <c r="H4281" s="7" t="str">
        <f>HYPERLINK("http://www.ensembl.org/Mus_musculus/Gene/Summary?db=core;g=ENSMUSG00000031555","ENSMUSG00000031555")</f>
        <v>ENSMUSG00000031555</v>
      </c>
      <c r="I4281" s="7" t="str">
        <f>HYPERLINK("http://www.informatics.jax.org/marker/MGI:105376","MGI:105376")</f>
        <v>MGI:105376</v>
      </c>
      <c r="J4281" s="4" t="s">
        <v>12</v>
      </c>
    </row>
    <row r="4282" spans="1:10" x14ac:dyDescent="0.25">
      <c r="A4282" s="2">
        <v>8899.0586171578198</v>
      </c>
      <c r="B4282" s="3">
        <v>0.145181798342709</v>
      </c>
      <c r="C4282" s="3">
        <v>4.7990687881250898E-4</v>
      </c>
      <c r="D4282" s="4">
        <v>1.4810271753024501E-3</v>
      </c>
      <c r="E4282" s="3" t="s">
        <v>12789</v>
      </c>
      <c r="F4282" s="3" t="s">
        <v>12790</v>
      </c>
      <c r="G4282" s="3">
        <v>72117</v>
      </c>
      <c r="H4282" s="7" t="str">
        <f>HYPERLINK("http://www.ensembl.org/Mus_musculus/Gene/Summary?db=core;g=ENSMUSG00000022698","ENSMUSG00000022698")</f>
        <v>ENSMUSG00000022698</v>
      </c>
      <c r="I4282" s="7" t="str">
        <f>HYPERLINK("http://www.informatics.jax.org/marker/MGI:1919367","MGI:1919367")</f>
        <v>MGI:1919367</v>
      </c>
      <c r="J4282" s="4" t="s">
        <v>12</v>
      </c>
    </row>
    <row r="4283" spans="1:10" x14ac:dyDescent="0.25">
      <c r="A4283" s="2">
        <v>1464.05973563419</v>
      </c>
      <c r="B4283" s="3">
        <v>0.14479118786297299</v>
      </c>
      <c r="C4283" s="3">
        <v>6.2351268222077903E-3</v>
      </c>
      <c r="D4283" s="4">
        <v>1.6153008530470001E-2</v>
      </c>
      <c r="E4283" s="3" t="s">
        <v>15229</v>
      </c>
      <c r="F4283" s="3" t="s">
        <v>15230</v>
      </c>
      <c r="G4283" s="3">
        <v>15182</v>
      </c>
      <c r="H4283" s="7" t="str">
        <f>HYPERLINK("http://www.ensembl.org/Mus_musculus/Gene/Summary?db=core;g=ENSMUSG00000019777","ENSMUSG00000019777")</f>
        <v>ENSMUSG00000019777</v>
      </c>
      <c r="I4283" s="7" t="str">
        <f>HYPERLINK("http://www.informatics.jax.org/marker/MGI:1097691","MGI:1097691")</f>
        <v>MGI:1097691</v>
      </c>
      <c r="J4283" s="4" t="s">
        <v>12</v>
      </c>
    </row>
    <row r="4284" spans="1:10" x14ac:dyDescent="0.25">
      <c r="A4284" s="2">
        <v>1302.19518150267</v>
      </c>
      <c r="B4284" s="3">
        <v>0.14401674045979199</v>
      </c>
      <c r="C4284" s="3">
        <v>1.68942601968796E-3</v>
      </c>
      <c r="D4284" s="4">
        <v>4.8248343386309298E-3</v>
      </c>
      <c r="E4284" s="3" t="s">
        <v>13817</v>
      </c>
      <c r="F4284" s="3" t="s">
        <v>13818</v>
      </c>
      <c r="G4284" s="3">
        <v>22196</v>
      </c>
      <c r="H4284" s="7" t="str">
        <f>HYPERLINK("http://www.ensembl.org/Mus_musculus/Gene/Summary?db=core;g=ENSMUSG00000015120","ENSMUSG00000015120")</f>
        <v>ENSMUSG00000015120</v>
      </c>
      <c r="I4284" s="7" t="str">
        <f>HYPERLINK("http://www.informatics.jax.org/marker/MGI:107365","MGI:107365")</f>
        <v>MGI:107365</v>
      </c>
      <c r="J4284" s="4" t="s">
        <v>12</v>
      </c>
    </row>
    <row r="4285" spans="1:10" x14ac:dyDescent="0.25">
      <c r="A4285" s="2">
        <v>3547.1414371388</v>
      </c>
      <c r="B4285" s="3">
        <v>0.143855266576907</v>
      </c>
      <c r="C4285" s="3">
        <v>2.8358524934666901E-3</v>
      </c>
      <c r="D4285" s="4">
        <v>7.8093857242233101E-3</v>
      </c>
      <c r="E4285" s="3" t="s">
        <v>14327</v>
      </c>
      <c r="F4285" s="3" t="s">
        <v>14328</v>
      </c>
      <c r="G4285" s="3">
        <v>73822</v>
      </c>
      <c r="H4285" s="7" t="str">
        <f>HYPERLINK("http://www.ensembl.org/Mus_musculus/Gene/Summary?db=core;g=ENSMUSG00000034854","ENSMUSG00000034854")</f>
        <v>ENSMUSG00000034854</v>
      </c>
      <c r="I4285" s="7" t="str">
        <f>HYPERLINK("http://www.informatics.jax.org/marker/MGI:3604804","MGI:3604804")</f>
        <v>MGI:3604804</v>
      </c>
      <c r="J4285" s="4" t="s">
        <v>12</v>
      </c>
    </row>
    <row r="4286" spans="1:10" x14ac:dyDescent="0.25">
      <c r="A4286" s="2">
        <v>1153.7069598840501</v>
      </c>
      <c r="B4286" s="3">
        <v>0.14361789565219699</v>
      </c>
      <c r="C4286" s="3">
        <v>3.4458636831591698E-3</v>
      </c>
      <c r="D4286" s="4">
        <v>9.3611285069429406E-3</v>
      </c>
      <c r="E4286" s="3" t="s">
        <v>14521</v>
      </c>
      <c r="F4286" s="3" t="s">
        <v>14522</v>
      </c>
      <c r="G4286" s="3">
        <v>67857</v>
      </c>
      <c r="H4286" s="7" t="str">
        <f>HYPERLINK("http://www.ensembl.org/Mus_musculus/Gene/Summary?db=core;g=ENSMUSG00000026753","ENSMUSG00000026753")</f>
        <v>ENSMUSG00000026753</v>
      </c>
      <c r="I4286" s="7" t="str">
        <f>HYPERLINK("http://www.informatics.jax.org/marker/MGI:1915107","MGI:1915107")</f>
        <v>MGI:1915107</v>
      </c>
      <c r="J4286" s="4" t="s">
        <v>12</v>
      </c>
    </row>
    <row r="4287" spans="1:10" x14ac:dyDescent="0.25">
      <c r="A4287" s="2">
        <v>785.84405105643805</v>
      </c>
      <c r="B4287" s="3">
        <v>0.142137798924686</v>
      </c>
      <c r="C4287" s="3">
        <v>5.6880245806625301E-3</v>
      </c>
      <c r="D4287" s="4">
        <v>1.48743992481985E-2</v>
      </c>
      <c r="E4287" s="3" t="s">
        <v>15086</v>
      </c>
      <c r="F4287" s="3" t="s">
        <v>15087</v>
      </c>
      <c r="G4287" s="3">
        <v>69878</v>
      </c>
      <c r="H4287" s="7" t="str">
        <f>HYPERLINK("http://www.ensembl.org/Mus_musculus/Gene/Summary?db=core;g=ENSMUSG00000020018","ENSMUSG00000020018")</f>
        <v>ENSMUSG00000020018</v>
      </c>
      <c r="I4287" s="7" t="str">
        <f>HYPERLINK("http://www.informatics.jax.org/marker/MGI:1917128","MGI:1917128")</f>
        <v>MGI:1917128</v>
      </c>
      <c r="J4287" s="4" t="s">
        <v>12</v>
      </c>
    </row>
    <row r="4288" spans="1:10" x14ac:dyDescent="0.25">
      <c r="A4288" s="2">
        <v>5279.0431149918604</v>
      </c>
      <c r="B4288" s="3">
        <v>0.141178523847</v>
      </c>
      <c r="C4288" s="3">
        <v>1.3524508091827901E-3</v>
      </c>
      <c r="D4288" s="4">
        <v>3.9129005218727598E-3</v>
      </c>
      <c r="E4288" s="3" t="s">
        <v>13641</v>
      </c>
      <c r="F4288" s="3" t="s">
        <v>13642</v>
      </c>
      <c r="G4288" s="3">
        <v>28185</v>
      </c>
      <c r="H4288" s="7" t="str">
        <f>HYPERLINK("http://www.ensembl.org/Mus_musculus/Gene/Summary?db=core;g=ENSMUSG00000022752","ENSMUSG00000022752")</f>
        <v>ENSMUSG00000022752</v>
      </c>
      <c r="I4288" s="7" t="str">
        <f>HYPERLINK("http://www.informatics.jax.org/marker/MGI:106295","MGI:106295")</f>
        <v>MGI:106295</v>
      </c>
      <c r="J4288" s="4" t="s">
        <v>12</v>
      </c>
    </row>
    <row r="4289" spans="1:10" x14ac:dyDescent="0.25">
      <c r="A4289" s="2">
        <v>757.72687985551499</v>
      </c>
      <c r="B4289" s="3">
        <v>0.14096634103130801</v>
      </c>
      <c r="C4289" s="3">
        <v>1.5487747082459501E-2</v>
      </c>
      <c r="D4289" s="4">
        <v>3.7051846714315301E-2</v>
      </c>
      <c r="E4289" s="3" t="s">
        <v>16489</v>
      </c>
      <c r="F4289" s="3" t="s">
        <v>16490</v>
      </c>
      <c r="G4289" s="3">
        <v>93765</v>
      </c>
      <c r="H4289" s="7" t="str">
        <f>HYPERLINK("http://www.ensembl.org/Mus_musculus/Gene/Summary?db=core;g=ENSMUSG00000074781","ENSMUSG00000074781")</f>
        <v>ENSMUSG00000074781</v>
      </c>
      <c r="I4289" s="7" t="str">
        <f>HYPERLINK("http://www.informatics.jax.org/marker/MGI:1934835","MGI:1934835")</f>
        <v>MGI:1934835</v>
      </c>
      <c r="J4289" s="4" t="s">
        <v>12</v>
      </c>
    </row>
    <row r="4290" spans="1:10" x14ac:dyDescent="0.25">
      <c r="A4290" s="2">
        <v>570.48889504691897</v>
      </c>
      <c r="B4290" s="3">
        <v>0.139752103685788</v>
      </c>
      <c r="C4290" s="3">
        <v>1.8520522718332402E-2</v>
      </c>
      <c r="D4290" s="4">
        <v>4.3525766655406403E-2</v>
      </c>
      <c r="E4290" s="3" t="s">
        <v>16786</v>
      </c>
      <c r="F4290" s="3" t="s">
        <v>16787</v>
      </c>
      <c r="G4290" s="3">
        <v>240396</v>
      </c>
      <c r="H4290" s="7" t="str">
        <f>HYPERLINK("http://www.ensembl.org/Mus_musculus/Gene/Summary?db=core;g=ENSMUSG00000037253","ENSMUSG00000037253")</f>
        <v>ENSMUSG00000037253</v>
      </c>
      <c r="I4290" s="7" t="str">
        <f>HYPERLINK("http://www.informatics.jax.org/marker/MGI:2652843","MGI:2652843")</f>
        <v>MGI:2652843</v>
      </c>
      <c r="J4290" s="4" t="s">
        <v>12</v>
      </c>
    </row>
    <row r="4291" spans="1:10" x14ac:dyDescent="0.25">
      <c r="A4291" s="2">
        <v>1133.66105015429</v>
      </c>
      <c r="B4291" s="3">
        <v>0.13947837646796199</v>
      </c>
      <c r="C4291" s="3">
        <v>4.5940310386010496E-3</v>
      </c>
      <c r="D4291" s="4">
        <v>1.22234073566944E-2</v>
      </c>
      <c r="E4291" s="3" t="s">
        <v>14826</v>
      </c>
      <c r="F4291" s="3" t="s">
        <v>14827</v>
      </c>
      <c r="G4291" s="3">
        <v>101966</v>
      </c>
      <c r="H4291" s="7" t="str">
        <f>HYPERLINK("http://www.ensembl.org/Mus_musculus/Gene/Summary?db=core;g=ENSMUSG00000019362","ENSMUSG00000019362")</f>
        <v>ENSMUSG00000019362</v>
      </c>
      <c r="I4291" s="7" t="str">
        <f>HYPERLINK("http://www.informatics.jax.org/marker/MGI:1289231","MGI:1289231")</f>
        <v>MGI:1289231</v>
      </c>
      <c r="J4291" s="4" t="s">
        <v>12</v>
      </c>
    </row>
    <row r="4292" spans="1:10" x14ac:dyDescent="0.25">
      <c r="A4292" s="2">
        <v>2490.1100247577101</v>
      </c>
      <c r="B4292" s="3">
        <v>0.13927842130416701</v>
      </c>
      <c r="C4292" s="3">
        <v>1.4849659203751199E-2</v>
      </c>
      <c r="D4292" s="4">
        <v>3.5646412598657799E-2</v>
      </c>
      <c r="E4292" s="3" t="s">
        <v>16435</v>
      </c>
      <c r="F4292" s="3" t="s">
        <v>16436</v>
      </c>
      <c r="G4292" s="3">
        <v>104184</v>
      </c>
      <c r="H4292" s="7" t="str">
        <f>HYPERLINK("http://www.ensembl.org/Mus_musculus/Gene/Summary?db=core;g=ENSMUSG00000020840","ENSMUSG00000020840")</f>
        <v>ENSMUSG00000020840</v>
      </c>
      <c r="I4292" s="7" t="str">
        <f>HYPERLINK("http://www.informatics.jax.org/marker/MGI:1345186","MGI:1345186")</f>
        <v>MGI:1345186</v>
      </c>
      <c r="J4292" s="4" t="s">
        <v>12</v>
      </c>
    </row>
    <row r="4293" spans="1:10" x14ac:dyDescent="0.25">
      <c r="A4293" s="2">
        <v>947.131538968153</v>
      </c>
      <c r="B4293" s="3">
        <v>0.13874829906195299</v>
      </c>
      <c r="C4293" s="3">
        <v>1.4119498494614699E-2</v>
      </c>
      <c r="D4293" s="4">
        <v>3.4063678775850398E-2</v>
      </c>
      <c r="E4293" s="3" t="s">
        <v>16353</v>
      </c>
      <c r="F4293" s="3" t="s">
        <v>16354</v>
      </c>
      <c r="G4293" s="3">
        <v>93871</v>
      </c>
      <c r="H4293" s="7" t="str">
        <f>HYPERLINK("http://www.ensembl.org/Mus_musculus/Gene/Summary?db=core;g=ENSMUSG00000022914","ENSMUSG00000022914")</f>
        <v>ENSMUSG00000022914</v>
      </c>
      <c r="I4293" s="7" t="str">
        <f>HYPERLINK("http://www.informatics.jax.org/marker/MGI:1890651","MGI:1890651")</f>
        <v>MGI:1890651</v>
      </c>
      <c r="J4293" s="4" t="s">
        <v>12</v>
      </c>
    </row>
    <row r="4294" spans="1:10" x14ac:dyDescent="0.25">
      <c r="A4294" s="2">
        <v>6421.8490654657799</v>
      </c>
      <c r="B4294" s="3">
        <v>0.13829718248484699</v>
      </c>
      <c r="C4294" s="3">
        <v>1.9779202754654501E-4</v>
      </c>
      <c r="D4294" s="4">
        <v>6.4226227288290399E-4</v>
      </c>
      <c r="E4294" s="3" t="s">
        <v>12157</v>
      </c>
      <c r="F4294" s="3" t="s">
        <v>12158</v>
      </c>
      <c r="G4294" s="3">
        <v>101943</v>
      </c>
      <c r="H4294" s="7" t="str">
        <f>HYPERLINK("http://www.ensembl.org/Mus_musculus/Gene/Summary?db=core;g=ENSMUSG00000033732","ENSMUSG00000033732")</f>
        <v>ENSMUSG00000033732</v>
      </c>
      <c r="I4294" s="7" t="str">
        <f>HYPERLINK("http://www.informatics.jax.org/marker/MGI:1289341","MGI:1289341")</f>
        <v>MGI:1289341</v>
      </c>
      <c r="J4294" s="4" t="s">
        <v>12</v>
      </c>
    </row>
    <row r="4295" spans="1:10" x14ac:dyDescent="0.25">
      <c r="A4295" s="2">
        <v>1908.0277489267</v>
      </c>
      <c r="B4295" s="3">
        <v>0.13815016446463299</v>
      </c>
      <c r="C4295" s="3">
        <v>2.1135345935534501E-3</v>
      </c>
      <c r="D4295" s="4">
        <v>5.9481807028505702E-3</v>
      </c>
      <c r="E4295" s="3" t="s">
        <v>14021</v>
      </c>
      <c r="F4295" s="3" t="s">
        <v>14022</v>
      </c>
      <c r="G4295" s="3">
        <v>70349</v>
      </c>
      <c r="H4295" s="7" t="str">
        <f>HYPERLINK("http://www.ensembl.org/Mus_musculus/Gene/Summary?db=core;g=ENSMUSG00000030754","ENSMUSG00000030754")</f>
        <v>ENSMUSG00000030754</v>
      </c>
      <c r="I4295" s="7" t="str">
        <f>HYPERLINK("http://www.informatics.jax.org/marker/MGI:1917599","MGI:1917599")</f>
        <v>MGI:1917599</v>
      </c>
      <c r="J4295" s="4" t="s">
        <v>12</v>
      </c>
    </row>
    <row r="4296" spans="1:10" x14ac:dyDescent="0.25">
      <c r="A4296" s="2">
        <v>1761.8785125059601</v>
      </c>
      <c r="B4296" s="3">
        <v>0.137951396158354</v>
      </c>
      <c r="C4296" s="3">
        <v>9.7651604621795604E-3</v>
      </c>
      <c r="D4296" s="4">
        <v>2.4366565141614699E-2</v>
      </c>
      <c r="E4296" s="3" t="s">
        <v>15811</v>
      </c>
      <c r="F4296" s="3" t="s">
        <v>15812</v>
      </c>
      <c r="G4296" s="3">
        <v>78891</v>
      </c>
      <c r="H4296" s="7" t="str">
        <f>HYPERLINK("http://www.ensembl.org/Mus_musculus/Gene/Summary?db=core;g=ENSMUSG00000024941","ENSMUSG00000024941")</f>
        <v>ENSMUSG00000024941</v>
      </c>
      <c r="I4296" s="7" t="str">
        <f>HYPERLINK("http://www.informatics.jax.org/marker/MGI:1931787","MGI:1931787")</f>
        <v>MGI:1931787</v>
      </c>
      <c r="J4296" s="4" t="s">
        <v>12</v>
      </c>
    </row>
    <row r="4297" spans="1:10" x14ac:dyDescent="0.25">
      <c r="A4297" s="2">
        <v>4745.1103527558898</v>
      </c>
      <c r="B4297" s="3">
        <v>0.13777693709213601</v>
      </c>
      <c r="C4297" s="3">
        <v>1.6113754291945399E-4</v>
      </c>
      <c r="D4297" s="4">
        <v>5.2881217280273504E-4</v>
      </c>
      <c r="E4297" s="3" t="s">
        <v>12029</v>
      </c>
      <c r="F4297" s="3" t="s">
        <v>12030</v>
      </c>
      <c r="G4297" s="3">
        <v>14719</v>
      </c>
      <c r="H4297" s="7" t="str">
        <f>HYPERLINK("http://www.ensembl.org/Mus_musculus/Gene/Summary?db=core;g=ENSMUSG00000031672","ENSMUSG00000031672")</f>
        <v>ENSMUSG00000031672</v>
      </c>
      <c r="I4297" s="7" t="str">
        <f>HYPERLINK("http://www.informatics.jax.org/marker/MGI:95792","MGI:95792")</f>
        <v>MGI:95792</v>
      </c>
      <c r="J4297" s="4" t="s">
        <v>12</v>
      </c>
    </row>
    <row r="4298" spans="1:10" x14ac:dyDescent="0.25">
      <c r="A4298" s="2">
        <v>8885.5745423756798</v>
      </c>
      <c r="B4298" s="3">
        <v>0.13756773267358099</v>
      </c>
      <c r="C4298" s="3">
        <v>3.1042819496323698E-4</v>
      </c>
      <c r="D4298" s="4">
        <v>9.818194073255859E-4</v>
      </c>
      <c r="E4298" s="3" t="s">
        <v>12483</v>
      </c>
      <c r="F4298" s="3" t="s">
        <v>12484</v>
      </c>
      <c r="G4298" s="3">
        <v>66868</v>
      </c>
      <c r="H4298" s="7" t="str">
        <f>HYPERLINK("http://www.ensembl.org/Mus_musculus/Gene/Summary?db=core;g=ENSMUSG00000027775","ENSMUSG00000027775")</f>
        <v>ENSMUSG00000027775</v>
      </c>
      <c r="I4298" s="7" t="str">
        <f>HYPERLINK("http://www.informatics.jax.org/marker/MGI:1914118","MGI:1914118")</f>
        <v>MGI:1914118</v>
      </c>
      <c r="J4298" s="4" t="s">
        <v>12</v>
      </c>
    </row>
    <row r="4299" spans="1:10" x14ac:dyDescent="0.25">
      <c r="A4299" s="2">
        <v>1008.09117544257</v>
      </c>
      <c r="B4299" s="3">
        <v>0.13679470261004201</v>
      </c>
      <c r="C4299" s="3">
        <v>2.0103242948546599E-2</v>
      </c>
      <c r="D4299" s="4">
        <v>4.6887752920797103E-2</v>
      </c>
      <c r="E4299" s="3" t="s">
        <v>16914</v>
      </c>
      <c r="F4299" s="3" t="s">
        <v>16915</v>
      </c>
      <c r="G4299" s="3">
        <v>74255</v>
      </c>
      <c r="H4299" s="7" t="str">
        <f>HYPERLINK("http://www.ensembl.org/Mus_musculus/Gene/Summary?db=core;g=ENSMUSG00000028409","ENSMUSG00000028409")</f>
        <v>ENSMUSG00000028409</v>
      </c>
      <c r="I4299" s="7" t="str">
        <f>HYPERLINK("http://www.informatics.jax.org/marker/MGI:1915546","MGI:1915546")</f>
        <v>MGI:1915546</v>
      </c>
      <c r="J4299" s="4" t="s">
        <v>12</v>
      </c>
    </row>
    <row r="4300" spans="1:10" x14ac:dyDescent="0.25">
      <c r="A4300" s="2">
        <v>1900.69421739162</v>
      </c>
      <c r="B4300" s="3">
        <v>0.13607114600401199</v>
      </c>
      <c r="C4300" s="3">
        <v>4.5904972838858599E-3</v>
      </c>
      <c r="D4300" s="4">
        <v>1.22165460780336E-2</v>
      </c>
      <c r="E4300" s="3" t="s">
        <v>14824</v>
      </c>
      <c r="F4300" s="3" t="s">
        <v>14825</v>
      </c>
      <c r="G4300" s="3">
        <v>73830</v>
      </c>
      <c r="H4300" s="7" t="str">
        <f>HYPERLINK("http://www.ensembl.org/Mus_musculus/Gene/Summary?db=core;g=ENSMUSG00000053565","ENSMUSG00000053565")</f>
        <v>ENSMUSG00000053565</v>
      </c>
      <c r="I4300" s="7" t="str">
        <f>HYPERLINK("http://www.informatics.jax.org/marker/MGI:1921080","MGI:1921080")</f>
        <v>MGI:1921080</v>
      </c>
      <c r="J4300" s="4" t="s">
        <v>12</v>
      </c>
    </row>
    <row r="4301" spans="1:10" x14ac:dyDescent="0.25">
      <c r="A4301" s="2">
        <v>8654.4258303452898</v>
      </c>
      <c r="B4301" s="3">
        <v>0.135781973792101</v>
      </c>
      <c r="C4301" s="3">
        <v>1.72962467006162E-3</v>
      </c>
      <c r="D4301" s="4">
        <v>4.9332077659264102E-3</v>
      </c>
      <c r="E4301" s="3" t="s">
        <v>13835</v>
      </c>
      <c r="F4301" s="3" t="s">
        <v>13836</v>
      </c>
      <c r="G4301" s="3">
        <v>227613</v>
      </c>
      <c r="H4301" s="7" t="str">
        <f>HYPERLINK("http://www.ensembl.org/Mus_musculus/Gene/Summary?db=core;g=ENSMUSG00000036752","ENSMUSG00000036752")</f>
        <v>ENSMUSG00000036752</v>
      </c>
      <c r="I4301" s="7" t="str">
        <f>HYPERLINK("http://www.informatics.jax.org/marker/MGI:1915472","MGI:1915472")</f>
        <v>MGI:1915472</v>
      </c>
      <c r="J4301" s="4" t="s">
        <v>12</v>
      </c>
    </row>
    <row r="4302" spans="1:10" x14ac:dyDescent="0.25">
      <c r="A4302" s="2">
        <v>3360.56172194697</v>
      </c>
      <c r="B4302" s="3">
        <v>0.13480728846345899</v>
      </c>
      <c r="C4302" s="3">
        <v>1.21437442962672E-2</v>
      </c>
      <c r="D4302" s="4">
        <v>2.9694394524559801E-2</v>
      </c>
      <c r="E4302" s="3" t="s">
        <v>16131</v>
      </c>
      <c r="F4302" s="3" t="s">
        <v>16132</v>
      </c>
      <c r="G4302" s="3">
        <v>217980</v>
      </c>
      <c r="H4302" s="7" t="str">
        <f>HYPERLINK("http://www.ensembl.org/Mus_musculus/Gene/Summary?db=core;g=ENSMUSG00000033499","ENSMUSG00000033499")</f>
        <v>ENSMUSG00000033499</v>
      </c>
      <c r="I4302" s="7" t="str">
        <f>HYPERLINK("http://www.informatics.jax.org/marker/MGI:106330","MGI:106330")</f>
        <v>MGI:106330</v>
      </c>
      <c r="J4302" s="4" t="s">
        <v>12</v>
      </c>
    </row>
    <row r="4303" spans="1:10" x14ac:dyDescent="0.25">
      <c r="A4303" s="2">
        <v>1504.68785966581</v>
      </c>
      <c r="B4303" s="3">
        <v>0.133858349063048</v>
      </c>
      <c r="C4303" s="3">
        <v>6.4854845859435104E-3</v>
      </c>
      <c r="D4303" s="4">
        <v>1.6750983108684499E-2</v>
      </c>
      <c r="E4303" s="3" t="s">
        <v>15275</v>
      </c>
      <c r="F4303" s="3" t="s">
        <v>15276</v>
      </c>
      <c r="G4303" s="3">
        <v>19042</v>
      </c>
      <c r="H4303" s="7" t="str">
        <f>HYPERLINK("http://www.ensembl.org/Mus_musculus/Gene/Summary?db=core;g=ENSMUSG00000021096","ENSMUSG00000021096")</f>
        <v>ENSMUSG00000021096</v>
      </c>
      <c r="I4303" s="7" t="str">
        <f>HYPERLINK("http://www.informatics.jax.org/marker/MGI:99878","MGI:99878")</f>
        <v>MGI:99878</v>
      </c>
      <c r="J4303" s="4" t="s">
        <v>12</v>
      </c>
    </row>
    <row r="4304" spans="1:10" x14ac:dyDescent="0.25">
      <c r="A4304" s="2">
        <v>5201.3394051103196</v>
      </c>
      <c r="B4304" s="3">
        <v>0.13290314784271501</v>
      </c>
      <c r="C4304" s="3">
        <v>7.8148775792043004E-3</v>
      </c>
      <c r="D4304" s="4">
        <v>1.98466691386875E-2</v>
      </c>
      <c r="E4304" s="3" t="s">
        <v>15535</v>
      </c>
      <c r="F4304" s="3" t="s">
        <v>15536</v>
      </c>
      <c r="G4304" s="3">
        <v>83701</v>
      </c>
      <c r="H4304" s="7" t="str">
        <f>HYPERLINK("http://www.ensembl.org/Mus_musculus/Gene/Summary?db=core;g=ENSMUSG00000037364","ENSMUSG00000037364")</f>
        <v>ENSMUSG00000037364</v>
      </c>
      <c r="I4304" s="7" t="str">
        <f>HYPERLINK("http://www.informatics.jax.org/marker/MGI:1933527","MGI:1933527")</f>
        <v>MGI:1933527</v>
      </c>
      <c r="J4304" s="4" t="s">
        <v>12</v>
      </c>
    </row>
    <row r="4305" spans="1:10" x14ac:dyDescent="0.25">
      <c r="A4305" s="2">
        <v>884.839736778001</v>
      </c>
      <c r="B4305" s="3">
        <v>0.13168260179345001</v>
      </c>
      <c r="C4305" s="3">
        <v>1.14225939262208E-2</v>
      </c>
      <c r="D4305" s="4">
        <v>2.80628235049247E-2</v>
      </c>
      <c r="E4305" s="3" t="s">
        <v>16059</v>
      </c>
      <c r="F4305" s="3" t="s">
        <v>16060</v>
      </c>
      <c r="G4305" s="3">
        <v>27406</v>
      </c>
      <c r="H4305" s="7" t="str">
        <f>HYPERLINK("http://www.ensembl.org/Mus_musculus/Gene/Summary?db=core;g=ENSMUSG00000003234","ENSMUSG00000003234")</f>
        <v>ENSMUSG00000003234</v>
      </c>
      <c r="I4305" s="7" t="str">
        <f>HYPERLINK("http://www.informatics.jax.org/marker/MGI:1351656","MGI:1351656")</f>
        <v>MGI:1351656</v>
      </c>
      <c r="J4305" s="4" t="s">
        <v>12</v>
      </c>
    </row>
    <row r="4306" spans="1:10" x14ac:dyDescent="0.25">
      <c r="A4306" s="2">
        <v>1885.7729041795999</v>
      </c>
      <c r="B4306" s="3">
        <v>0.13136488366567001</v>
      </c>
      <c r="C4306" s="3">
        <v>2.02613304816214E-2</v>
      </c>
      <c r="D4306" s="4">
        <v>4.7206218938749302E-2</v>
      </c>
      <c r="E4306" s="3" t="s">
        <v>16932</v>
      </c>
      <c r="F4306" s="3" t="s">
        <v>16933</v>
      </c>
      <c r="G4306" s="3">
        <v>12729</v>
      </c>
      <c r="H4306" s="7" t="str">
        <f>HYPERLINK("http://www.ensembl.org/Mus_musculus/Gene/Summary?db=core;g=ENSMUSG00000025439","ENSMUSG00000025439")</f>
        <v>ENSMUSG00000025439</v>
      </c>
      <c r="I4306" s="7" t="str">
        <f>HYPERLINK("http://www.informatics.jax.org/marker/MGI:109638","MGI:109638")</f>
        <v>MGI:109638</v>
      </c>
      <c r="J4306" s="4" t="s">
        <v>12</v>
      </c>
    </row>
    <row r="4307" spans="1:10" x14ac:dyDescent="0.25">
      <c r="A4307" s="2">
        <v>1883.25476187242</v>
      </c>
      <c r="B4307" s="3">
        <v>0.130491776056127</v>
      </c>
      <c r="C4307" s="3">
        <v>5.3812902656643E-3</v>
      </c>
      <c r="D4307" s="4">
        <v>1.41473195625783E-2</v>
      </c>
      <c r="E4307" s="3" t="s">
        <v>15006</v>
      </c>
      <c r="F4307" s="3" t="s">
        <v>15007</v>
      </c>
      <c r="G4307" s="3">
        <v>26397</v>
      </c>
      <c r="H4307" s="7" t="str">
        <f>HYPERLINK("http://www.ensembl.org/Mus_musculus/Gene/Summary?db=core;g=ENSMUSG00000018932","ENSMUSG00000018932")</f>
        <v>ENSMUSG00000018932</v>
      </c>
      <c r="I4307" s="7" t="str">
        <f>HYPERLINK("http://www.informatics.jax.org/marker/MGI:1346868","MGI:1346868")</f>
        <v>MGI:1346868</v>
      </c>
      <c r="J4307" s="4" t="s">
        <v>12</v>
      </c>
    </row>
    <row r="4308" spans="1:10" x14ac:dyDescent="0.25">
      <c r="A4308" s="2">
        <v>1001.0152060907</v>
      </c>
      <c r="B4308" s="3">
        <v>0.130156601521456</v>
      </c>
      <c r="C4308" s="3">
        <v>3.8408792698739402E-3</v>
      </c>
      <c r="D4308" s="4">
        <v>1.0368533771651501E-2</v>
      </c>
      <c r="E4308" s="3" t="s">
        <v>14613</v>
      </c>
      <c r="F4308" s="3" t="s">
        <v>14614</v>
      </c>
      <c r="G4308" s="3">
        <v>56273</v>
      </c>
      <c r="H4308" s="7" t="str">
        <f>HYPERLINK("http://www.ensembl.org/Mus_musculus/Gene/Summary?db=core;g=ENSMUSG00000028975","ENSMUSG00000028975")</f>
        <v>ENSMUSG00000028975</v>
      </c>
      <c r="I4308" s="7" t="str">
        <f>HYPERLINK("http://www.informatics.jax.org/marker/MGI:1927868","MGI:1927868")</f>
        <v>MGI:1927868</v>
      </c>
      <c r="J4308" s="4" t="s">
        <v>12</v>
      </c>
    </row>
    <row r="4309" spans="1:10" x14ac:dyDescent="0.25">
      <c r="A4309" s="2">
        <v>3352.5641535094201</v>
      </c>
      <c r="B4309" s="3">
        <v>0.130117918895402</v>
      </c>
      <c r="C4309" s="3">
        <v>1.9737784442492801E-2</v>
      </c>
      <c r="D4309" s="4">
        <v>4.6144731028337299E-2</v>
      </c>
      <c r="E4309" s="3" t="s">
        <v>16872</v>
      </c>
      <c r="F4309" s="3" t="s">
        <v>16873</v>
      </c>
      <c r="G4309" s="3">
        <v>80886</v>
      </c>
      <c r="H4309" s="7" t="str">
        <f>HYPERLINK("http://www.ensembl.org/Mus_musculus/Gene/Summary?db=core;g=ENSMUSG00000005204","ENSMUSG00000005204")</f>
        <v>ENSMUSG00000005204</v>
      </c>
      <c r="I4309" s="7" t="str">
        <f>HYPERLINK("http://www.informatics.jax.org/marker/MGI:2158736","MGI:2158736")</f>
        <v>MGI:2158736</v>
      </c>
      <c r="J4309" s="4" t="s">
        <v>12</v>
      </c>
    </row>
    <row r="4310" spans="1:10" x14ac:dyDescent="0.25">
      <c r="A4310" s="2">
        <v>1998.4790923231401</v>
      </c>
      <c r="B4310" s="3">
        <v>0.130054309818358</v>
      </c>
      <c r="C4310" s="3">
        <v>9.5533791061045495E-3</v>
      </c>
      <c r="D4310" s="4">
        <v>2.3865294650669101E-2</v>
      </c>
      <c r="E4310" s="3" t="s">
        <v>15793</v>
      </c>
      <c r="F4310" s="3" t="s">
        <v>15794</v>
      </c>
      <c r="G4310" s="3">
        <v>66679</v>
      </c>
      <c r="H4310" s="7" t="str">
        <f>HYPERLINK("http://www.ensembl.org/Mus_musculus/Gene/Summary?db=core;g=ENSMUSG00000027509","ENSMUSG00000027509")</f>
        <v>ENSMUSG00000027509</v>
      </c>
      <c r="I4310" s="7" t="str">
        <f>HYPERLINK("http://www.informatics.jax.org/marker/MGI:1913929","MGI:1913929")</f>
        <v>MGI:1913929</v>
      </c>
      <c r="J4310" s="4" t="s">
        <v>12</v>
      </c>
    </row>
    <row r="4311" spans="1:10" x14ac:dyDescent="0.25">
      <c r="A4311" s="2">
        <v>1462.0777893283</v>
      </c>
      <c r="B4311" s="3">
        <v>0.12895514835894201</v>
      </c>
      <c r="C4311" s="3">
        <v>4.7434079900813501E-3</v>
      </c>
      <c r="D4311" s="4">
        <v>1.25878085808645E-2</v>
      </c>
      <c r="E4311" s="3" t="s">
        <v>14866</v>
      </c>
      <c r="F4311" s="3" t="s">
        <v>14867</v>
      </c>
      <c r="G4311" s="3">
        <v>28109</v>
      </c>
      <c r="H4311" s="7" t="str">
        <f>HYPERLINK("http://www.ensembl.org/Mus_musculus/Gene/Summary?db=core;g=ENSMUSG00000020255","ENSMUSG00000020255")</f>
        <v>ENSMUSG00000020255</v>
      </c>
      <c r="I4311" s="7" t="str">
        <f>HYPERLINK("http://www.informatics.jax.org/marker/MGI:106381","MGI:106381")</f>
        <v>MGI:106381</v>
      </c>
      <c r="J4311" s="4" t="s">
        <v>12</v>
      </c>
    </row>
    <row r="4312" spans="1:10" x14ac:dyDescent="0.25">
      <c r="A4312" s="2">
        <v>1619.84419455177</v>
      </c>
      <c r="B4312" s="3">
        <v>0.12889997371887801</v>
      </c>
      <c r="C4312" s="3">
        <v>1.35604861744739E-3</v>
      </c>
      <c r="D4312" s="4">
        <v>3.9221588055239898E-3</v>
      </c>
      <c r="E4312" s="3" t="s">
        <v>13645</v>
      </c>
      <c r="F4312" s="3" t="s">
        <v>13646</v>
      </c>
      <c r="G4312" s="3">
        <v>67693</v>
      </c>
      <c r="H4312" s="7" t="str">
        <f>HYPERLINK("http://www.ensembl.org/Mus_musculus/Gene/Summary?db=core;g=ENSMUSG00000027245","ENSMUSG00000027245")</f>
        <v>ENSMUSG00000027245</v>
      </c>
      <c r="I4312" s="7" t="str">
        <f>HYPERLINK("http://www.informatics.jax.org/marker/MGI:1914943","MGI:1914943")</f>
        <v>MGI:1914943</v>
      </c>
      <c r="J4312" s="4" t="s">
        <v>12</v>
      </c>
    </row>
    <row r="4313" spans="1:10" x14ac:dyDescent="0.25">
      <c r="A4313" s="2">
        <v>4615.3829068835203</v>
      </c>
      <c r="B4313" s="3">
        <v>0.12856796400567799</v>
      </c>
      <c r="C4313" s="3">
        <v>5.8035511035735602E-4</v>
      </c>
      <c r="D4313" s="4">
        <v>1.77298261444571E-3</v>
      </c>
      <c r="E4313" s="3" t="s">
        <v>12919</v>
      </c>
      <c r="F4313" s="3" t="s">
        <v>12920</v>
      </c>
      <c r="G4313" s="3">
        <v>18738</v>
      </c>
      <c r="H4313" s="7" t="str">
        <f>HYPERLINK("http://www.ensembl.org/Mus_musculus/Gene/Summary?db=core;g=ENSMUSG00000017781","ENSMUSG00000017781")</f>
        <v>ENSMUSG00000017781</v>
      </c>
      <c r="I4313" s="7" t="str">
        <f>HYPERLINK("http://www.informatics.jax.org/marker/MGI:99887","MGI:99887")</f>
        <v>MGI:99887</v>
      </c>
      <c r="J4313" s="4" t="s">
        <v>12</v>
      </c>
    </row>
    <row r="4314" spans="1:10" x14ac:dyDescent="0.25">
      <c r="A4314" s="2">
        <v>2316.5377169554599</v>
      </c>
      <c r="B4314" s="3">
        <v>0.12790448826999601</v>
      </c>
      <c r="C4314" s="3">
        <v>4.6672630309161599E-3</v>
      </c>
      <c r="D4314" s="4">
        <v>1.23957477400225E-2</v>
      </c>
      <c r="E4314" s="3" t="s">
        <v>14854</v>
      </c>
      <c r="F4314" s="3" t="s">
        <v>14855</v>
      </c>
      <c r="G4314" s="3">
        <v>50797</v>
      </c>
      <c r="H4314" s="7" t="str">
        <f>HYPERLINK("http://www.ensembl.org/Mus_musculus/Gene/Summary?db=core;g=ENSMUSG00000032458","ENSMUSG00000032458")</f>
        <v>ENSMUSG00000032458</v>
      </c>
      <c r="I4314" s="7" t="str">
        <f>HYPERLINK("http://www.informatics.jax.org/marker/MGI:1354962","MGI:1354962")</f>
        <v>MGI:1354962</v>
      </c>
      <c r="J4314" s="4" t="s">
        <v>12</v>
      </c>
    </row>
    <row r="4315" spans="1:10" x14ac:dyDescent="0.25">
      <c r="A4315" s="2">
        <v>5304.1070467424597</v>
      </c>
      <c r="B4315" s="3">
        <v>0.12784359769468001</v>
      </c>
      <c r="C4315" s="3">
        <v>4.88041631076428E-3</v>
      </c>
      <c r="D4315" s="4">
        <v>1.2927039576665101E-2</v>
      </c>
      <c r="E4315" s="3" t="s">
        <v>14894</v>
      </c>
      <c r="F4315" s="3" t="s">
        <v>14895</v>
      </c>
      <c r="G4315" s="3">
        <v>65114</v>
      </c>
      <c r="H4315" s="7" t="str">
        <f>HYPERLINK("http://www.ensembl.org/Mus_musculus/Gene/Summary?db=core;g=ENSMUSG00000031696","ENSMUSG00000031696")</f>
        <v>ENSMUSG00000031696</v>
      </c>
      <c r="I4315" s="7" t="str">
        <f>HYPERLINK("http://www.informatics.jax.org/marker/MGI:1890467","MGI:1890467")</f>
        <v>MGI:1890467</v>
      </c>
      <c r="J4315" s="4" t="s">
        <v>12</v>
      </c>
    </row>
    <row r="4316" spans="1:10" x14ac:dyDescent="0.25">
      <c r="A4316" s="2">
        <v>856.87096578303203</v>
      </c>
      <c r="B4316" s="3">
        <v>0.12678423995245799</v>
      </c>
      <c r="C4316" s="3">
        <v>2.1098617068348199E-2</v>
      </c>
      <c r="D4316" s="4">
        <v>4.8989135592585102E-2</v>
      </c>
      <c r="E4316" s="3" t="s">
        <v>16990</v>
      </c>
      <c r="F4316" s="3" t="s">
        <v>16991</v>
      </c>
      <c r="G4316" s="3">
        <v>80985</v>
      </c>
      <c r="H4316" s="7" t="str">
        <f>HYPERLINK("http://www.ensembl.org/Mus_musculus/Gene/Summary?db=core;g=ENSMUSG00000027189","ENSMUSG00000027189")</f>
        <v>ENSMUSG00000027189</v>
      </c>
      <c r="I4316" s="7" t="str">
        <f>HYPERLINK("http://www.informatics.jax.org/marker/MGI:1931835","MGI:1931835")</f>
        <v>MGI:1931835</v>
      </c>
      <c r="J4316" s="4" t="s">
        <v>12</v>
      </c>
    </row>
    <row r="4317" spans="1:10" x14ac:dyDescent="0.25">
      <c r="A4317" s="2">
        <v>2341.2018076669301</v>
      </c>
      <c r="B4317" s="3">
        <v>0.12658870965032901</v>
      </c>
      <c r="C4317" s="3">
        <v>1.23931816876895E-2</v>
      </c>
      <c r="D4317" s="4">
        <v>3.0242982660714901E-2</v>
      </c>
      <c r="E4317" s="3" t="s">
        <v>16167</v>
      </c>
      <c r="F4317" s="3" t="s">
        <v>16168</v>
      </c>
      <c r="G4317" s="3">
        <v>67949</v>
      </c>
      <c r="H4317" s="7" t="str">
        <f>HYPERLINK("http://www.ensembl.org/Mus_musculus/Gene/Summary?db=core;g=ENSMUSG00000026377","ENSMUSG00000026377")</f>
        <v>ENSMUSG00000026377</v>
      </c>
      <c r="I4317" s="7" t="str">
        <f>HYPERLINK("http://www.informatics.jax.org/marker/MGI:1915199","MGI:1915199")</f>
        <v>MGI:1915199</v>
      </c>
      <c r="J4317" s="4" t="s">
        <v>12</v>
      </c>
    </row>
    <row r="4318" spans="1:10" x14ac:dyDescent="0.25">
      <c r="A4318" s="2">
        <v>1832.56351618657</v>
      </c>
      <c r="B4318" s="3">
        <v>0.126272008201117</v>
      </c>
      <c r="C4318" s="3">
        <v>8.2555729020582502E-3</v>
      </c>
      <c r="D4318" s="4">
        <v>2.0845057314800099E-2</v>
      </c>
      <c r="E4318" s="3" t="s">
        <v>15625</v>
      </c>
      <c r="F4318" s="3" t="s">
        <v>15626</v>
      </c>
      <c r="G4318" s="3">
        <v>13495</v>
      </c>
      <c r="H4318" s="7" t="str">
        <f>HYPERLINK("http://www.ensembl.org/Mus_musculus/Gene/Summary?db=core;g=ENSMUSG00000020537","ENSMUSG00000020537")</f>
        <v>ENSMUSG00000020537</v>
      </c>
      <c r="I4318" s="7" t="str">
        <f>HYPERLINK("http://www.informatics.jax.org/marker/MGI:1342307","MGI:1342307")</f>
        <v>MGI:1342307</v>
      </c>
      <c r="J4318" s="4" t="s">
        <v>12</v>
      </c>
    </row>
    <row r="4319" spans="1:10" x14ac:dyDescent="0.25">
      <c r="A4319" s="2">
        <v>1067.8969743817199</v>
      </c>
      <c r="B4319" s="3">
        <v>0.12623878986502901</v>
      </c>
      <c r="C4319" s="3">
        <v>7.57902797506089E-3</v>
      </c>
      <c r="D4319" s="4">
        <v>1.9292426961172199E-2</v>
      </c>
      <c r="E4319" s="3" t="s">
        <v>15499</v>
      </c>
      <c r="F4319" s="3" t="s">
        <v>15500</v>
      </c>
      <c r="G4319" s="3">
        <v>67529</v>
      </c>
      <c r="H4319" s="7" t="str">
        <f>HYPERLINK("http://www.ensembl.org/Mus_musculus/Gene/Summary?db=core;g=ENSMUSG00000040242","ENSMUSG00000040242")</f>
        <v>ENSMUSG00000040242</v>
      </c>
      <c r="I4319" s="7" t="str">
        <f>HYPERLINK("http://www.informatics.jax.org/marker/MGI:1914779","MGI:1914779")</f>
        <v>MGI:1914779</v>
      </c>
      <c r="J4319" s="4" t="s">
        <v>12</v>
      </c>
    </row>
    <row r="4320" spans="1:10" x14ac:dyDescent="0.25">
      <c r="A4320" s="2">
        <v>941.97514107474694</v>
      </c>
      <c r="B4320" s="3">
        <v>0.123237503901156</v>
      </c>
      <c r="C4320" s="3">
        <v>2.1449292300923298E-2</v>
      </c>
      <c r="D4320" s="4">
        <v>4.9756504431738402E-2</v>
      </c>
      <c r="E4320" s="3" t="s">
        <v>17006</v>
      </c>
      <c r="F4320" s="3" t="s">
        <v>17007</v>
      </c>
      <c r="G4320" s="3">
        <v>216131</v>
      </c>
      <c r="H4320" s="7" t="str">
        <f>HYPERLINK("http://www.ensembl.org/Mus_musculus/Gene/Summary?db=core;g=ENSMUSG00000000374","ENSMUSG00000000374")</f>
        <v>ENSMUSG00000000374</v>
      </c>
      <c r="I4320" s="7" t="str">
        <f>HYPERLINK("http://www.informatics.jax.org/marker/MGI:1336209","MGI:1336209")</f>
        <v>MGI:1336209</v>
      </c>
      <c r="J4320" s="4" t="s">
        <v>12</v>
      </c>
    </row>
    <row r="4321" spans="1:10" x14ac:dyDescent="0.25">
      <c r="A4321" s="2">
        <v>6840.3847136697595</v>
      </c>
      <c r="B4321" s="3">
        <v>0.123108093060823</v>
      </c>
      <c r="C4321" s="3">
        <v>3.5973482400973301E-4</v>
      </c>
      <c r="D4321" s="4">
        <v>1.12907380701447E-3</v>
      </c>
      <c r="E4321" s="3" t="s">
        <v>12579</v>
      </c>
      <c r="F4321" s="3" t="s">
        <v>12580</v>
      </c>
      <c r="G4321" s="3">
        <v>12261</v>
      </c>
      <c r="H4321" s="7" t="str">
        <f>HYPERLINK("http://www.ensembl.org/Mus_musculus/Gene/Summary?db=core;g=ENSMUSG00000018446","ENSMUSG00000018446")</f>
        <v>ENSMUSG00000018446</v>
      </c>
      <c r="I4321" s="7" t="str">
        <f>HYPERLINK("http://www.informatics.jax.org/marker/MGI:1194505","MGI:1194505")</f>
        <v>MGI:1194505</v>
      </c>
      <c r="J4321" s="4" t="s">
        <v>12</v>
      </c>
    </row>
    <row r="4322" spans="1:10" x14ac:dyDescent="0.25">
      <c r="A4322" s="2">
        <v>1869.62338201584</v>
      </c>
      <c r="B4322" s="3">
        <v>0.12237649262063199</v>
      </c>
      <c r="C4322" s="3">
        <v>1.1973777753674201E-2</v>
      </c>
      <c r="D4322" s="4">
        <v>2.9316689225084101E-2</v>
      </c>
      <c r="E4322" s="3" t="s">
        <v>16115</v>
      </c>
      <c r="F4322" s="3" t="s">
        <v>16116</v>
      </c>
      <c r="G4322" s="3">
        <v>13494</v>
      </c>
      <c r="H4322" s="7" t="str">
        <f>HYPERLINK("http://www.ensembl.org/Mus_musculus/Gene/Summary?db=core;g=ENSMUSG00000020457","ENSMUSG00000020457")</f>
        <v>ENSMUSG00000020457</v>
      </c>
      <c r="I4322" s="7" t="str">
        <f>HYPERLINK("http://www.informatics.jax.org/marker/MGI:1343297","MGI:1343297")</f>
        <v>MGI:1343297</v>
      </c>
      <c r="J4322" s="4" t="s">
        <v>12</v>
      </c>
    </row>
    <row r="4323" spans="1:10" x14ac:dyDescent="0.25">
      <c r="A4323" s="2">
        <v>16201.228678134399</v>
      </c>
      <c r="B4323" s="3">
        <v>0.122208189388179</v>
      </c>
      <c r="C4323" s="3">
        <v>4.3190303896251201E-3</v>
      </c>
      <c r="D4323" s="4">
        <v>1.15596198810271E-2</v>
      </c>
      <c r="E4323" s="3" t="s">
        <v>14740</v>
      </c>
      <c r="F4323" s="3" t="s">
        <v>14741</v>
      </c>
      <c r="G4323" s="3">
        <v>22608</v>
      </c>
      <c r="H4323" s="7" t="str">
        <f>HYPERLINK("http://www.ensembl.org/Mus_musculus/Gene/Summary?db=core;g=ENSMUSG00000028639","ENSMUSG00000028639")</f>
        <v>ENSMUSG00000028639</v>
      </c>
      <c r="I4323" s="7" t="str">
        <f>HYPERLINK("http://www.informatics.jax.org/marker/MGI:99146","MGI:99146")</f>
        <v>MGI:99146</v>
      </c>
      <c r="J4323" s="4" t="s">
        <v>12</v>
      </c>
    </row>
    <row r="4324" spans="1:10" x14ac:dyDescent="0.25">
      <c r="A4324" s="2">
        <v>2202.7710335377401</v>
      </c>
      <c r="B4324" s="3">
        <v>0.121285829341978</v>
      </c>
      <c r="C4324" s="3">
        <v>2.77878676204386E-3</v>
      </c>
      <c r="D4324" s="4">
        <v>7.6661548611506704E-3</v>
      </c>
      <c r="E4324" s="3" t="s">
        <v>14301</v>
      </c>
      <c r="F4324" s="3" t="s">
        <v>14302</v>
      </c>
      <c r="G4324" s="3">
        <v>67181</v>
      </c>
      <c r="H4324" s="7" t="str">
        <f>HYPERLINK("http://www.ensembl.org/Mus_musculus/Gene/Summary?db=core;g=ENSMUSG00000018559","ENSMUSG00000018559")</f>
        <v>ENSMUSG00000018559</v>
      </c>
      <c r="I4324" s="7" t="str">
        <f>HYPERLINK("http://www.informatics.jax.org/marker/MGI:1914431","MGI:1914431")</f>
        <v>MGI:1914431</v>
      </c>
      <c r="J4324" s="4" t="s">
        <v>12</v>
      </c>
    </row>
    <row r="4325" spans="1:10" x14ac:dyDescent="0.25">
      <c r="A4325" s="2">
        <v>3221.6576796997101</v>
      </c>
      <c r="B4325" s="3">
        <v>0.121084438559163</v>
      </c>
      <c r="C4325" s="3">
        <v>1.78868658850579E-2</v>
      </c>
      <c r="D4325" s="4">
        <v>4.2197511096224598E-2</v>
      </c>
      <c r="E4325" s="3" t="s">
        <v>16722</v>
      </c>
      <c r="F4325" s="3" t="s">
        <v>16723</v>
      </c>
      <c r="G4325" s="3">
        <v>56726</v>
      </c>
      <c r="H4325" s="7" t="str">
        <f>HYPERLINK("http://www.ensembl.org/Mus_musculus/Gene/Summary?db=core;g=ENSMUSG00000031246","ENSMUSG00000031246")</f>
        <v>ENSMUSG00000031246</v>
      </c>
      <c r="I4325" s="7" t="str">
        <f>HYPERLINK("http://www.informatics.jax.org/marker/MGI:1930849","MGI:1930849")</f>
        <v>MGI:1930849</v>
      </c>
      <c r="J4325" s="4" t="s">
        <v>12</v>
      </c>
    </row>
    <row r="4326" spans="1:10" x14ac:dyDescent="0.25">
      <c r="A4326" s="2">
        <v>2249.3252446266001</v>
      </c>
      <c r="B4326" s="3">
        <v>0.120682851616597</v>
      </c>
      <c r="C4326" s="3">
        <v>1.0701765357793601E-2</v>
      </c>
      <c r="D4326" s="4">
        <v>2.64625470665441E-2</v>
      </c>
      <c r="E4326" s="3" t="s">
        <v>15955</v>
      </c>
      <c r="F4326" s="3" t="s">
        <v>15956</v>
      </c>
      <c r="G4326" s="3">
        <v>18938</v>
      </c>
      <c r="H4326" s="7" t="str">
        <f>HYPERLINK("http://www.ensembl.org/Mus_musculus/Gene/Summary?db=core;g=ENSMUSG00000056612","ENSMUSG00000056612")</f>
        <v>ENSMUSG00000056612</v>
      </c>
      <c r="I4326" s="7" t="str">
        <f>HYPERLINK("http://www.informatics.jax.org/marker/MGI:107682","MGI:107682")</f>
        <v>MGI:107682</v>
      </c>
      <c r="J4326" s="4" t="s">
        <v>12</v>
      </c>
    </row>
    <row r="4327" spans="1:10" x14ac:dyDescent="0.25">
      <c r="A4327" s="2">
        <v>2068.6703947978599</v>
      </c>
      <c r="B4327" s="3">
        <v>0.12063245854258101</v>
      </c>
      <c r="C4327" s="3">
        <v>1.57687379102723E-2</v>
      </c>
      <c r="D4327" s="4">
        <v>3.7652432218882703E-2</v>
      </c>
      <c r="E4327" s="3" t="s">
        <v>16519</v>
      </c>
      <c r="F4327" s="3" t="s">
        <v>16520</v>
      </c>
      <c r="G4327" s="3">
        <v>72729</v>
      </c>
      <c r="H4327" s="7" t="str">
        <f>HYPERLINK("http://www.ensembl.org/Mus_musculus/Gene/Summary?db=core;g=ENSMUSG00000052298","ENSMUSG00000052298")</f>
        <v>ENSMUSG00000052298</v>
      </c>
      <c r="I4327" s="7" t="str">
        <f>HYPERLINK("http://www.informatics.jax.org/marker/MGI:1919979","MGI:1919979")</f>
        <v>MGI:1919979</v>
      </c>
      <c r="J4327" s="4" t="s">
        <v>12</v>
      </c>
    </row>
    <row r="4328" spans="1:10" x14ac:dyDescent="0.25">
      <c r="A4328" s="2">
        <v>5428.1619220894299</v>
      </c>
      <c r="B4328" s="3">
        <v>0.12036708311595699</v>
      </c>
      <c r="C4328" s="3">
        <v>1.48044797091142E-2</v>
      </c>
      <c r="D4328" s="4">
        <v>3.5563934689210902E-2</v>
      </c>
      <c r="E4328" s="3" t="s">
        <v>16423</v>
      </c>
      <c r="F4328" s="3" t="s">
        <v>16424</v>
      </c>
      <c r="G4328" s="3">
        <v>12345</v>
      </c>
      <c r="H4328" s="7" t="str">
        <f>HYPERLINK("http://www.ensembl.org/Mus_musculus/Gene/Summary?db=core;g=ENSMUSG00000028745","ENSMUSG00000028745")</f>
        <v>ENSMUSG00000028745</v>
      </c>
      <c r="I4328" s="7" t="str">
        <f>HYPERLINK("http://www.informatics.jax.org/marker/MGI:104652","MGI:104652")</f>
        <v>MGI:104652</v>
      </c>
      <c r="J4328" s="4" t="s">
        <v>12</v>
      </c>
    </row>
    <row r="4329" spans="1:10" x14ac:dyDescent="0.25">
      <c r="A4329" s="2">
        <v>1370.43505835376</v>
      </c>
      <c r="B4329" s="3">
        <v>0.12007496961239</v>
      </c>
      <c r="C4329" s="3">
        <v>1.2643187119262701E-2</v>
      </c>
      <c r="D4329" s="4">
        <v>3.08073211407216E-2</v>
      </c>
      <c r="E4329" s="3" t="s">
        <v>16191</v>
      </c>
      <c r="F4329" s="3" t="s">
        <v>16192</v>
      </c>
      <c r="G4329" s="3">
        <v>11767</v>
      </c>
      <c r="H4329" s="7" t="str">
        <f>HYPERLINK("http://www.ensembl.org/Mus_musculus/Gene/Summary?db=core;g=ENSMUSG00000003033","ENSMUSG00000003033")</f>
        <v>ENSMUSG00000003033</v>
      </c>
      <c r="I4329" s="7" t="str">
        <f>HYPERLINK("http://www.informatics.jax.org/marker/MGI:102776","MGI:102776")</f>
        <v>MGI:102776</v>
      </c>
      <c r="J4329" s="4" t="s">
        <v>12</v>
      </c>
    </row>
    <row r="4330" spans="1:10" x14ac:dyDescent="0.25">
      <c r="A4330" s="2">
        <v>5101.0695445311903</v>
      </c>
      <c r="B4330" s="3">
        <v>0.119530858666187</v>
      </c>
      <c r="C4330" s="3">
        <v>1.6338793717510802E-2</v>
      </c>
      <c r="D4330" s="4">
        <v>3.8875604742919102E-2</v>
      </c>
      <c r="E4330" s="3" t="s">
        <v>16580</v>
      </c>
      <c r="F4330" s="3" t="s">
        <v>16581</v>
      </c>
      <c r="G4330" s="3">
        <v>227723</v>
      </c>
      <c r="H4330" s="7" t="str">
        <f>HYPERLINK("http://www.ensembl.org/Mus_musculus/Gene/Summary?db=core;g=ENSMUSG00000039262","ENSMUSG00000039262")</f>
        <v>ENSMUSG00000039262</v>
      </c>
      <c r="I4330" s="7" t="str">
        <f>HYPERLINK("http://www.informatics.jax.org/marker/MGI:1923304","MGI:1923304")</f>
        <v>MGI:1923304</v>
      </c>
      <c r="J4330" s="4" t="s">
        <v>12</v>
      </c>
    </row>
    <row r="4331" spans="1:10" x14ac:dyDescent="0.25">
      <c r="A4331" s="2">
        <v>1954.69305537898</v>
      </c>
      <c r="B4331" s="3">
        <v>0.119458546733459</v>
      </c>
      <c r="C4331" s="3">
        <v>5.0428994559756704E-3</v>
      </c>
      <c r="D4331" s="4">
        <v>1.33323471339107E-2</v>
      </c>
      <c r="E4331" s="3" t="s">
        <v>14922</v>
      </c>
      <c r="F4331" s="3" t="s">
        <v>14923</v>
      </c>
      <c r="G4331" s="3">
        <v>104318</v>
      </c>
      <c r="H4331" s="7" t="str">
        <f>HYPERLINK("http://www.ensembl.org/Mus_musculus/Gene/Summary?db=core;g=ENSMUSG00000025162","ENSMUSG00000025162")</f>
        <v>ENSMUSG00000025162</v>
      </c>
      <c r="I4331" s="7" t="str">
        <f>HYPERLINK("http://www.informatics.jax.org/marker/MGI:1355272","MGI:1355272")</f>
        <v>MGI:1355272</v>
      </c>
      <c r="J4331" s="4" t="s">
        <v>12</v>
      </c>
    </row>
    <row r="4332" spans="1:10" x14ac:dyDescent="0.25">
      <c r="A4332" s="2">
        <v>5682.2756337128303</v>
      </c>
      <c r="B4332" s="3">
        <v>0.117845318725144</v>
      </c>
      <c r="C4332" s="3">
        <v>6.4660291436133396E-4</v>
      </c>
      <c r="D4332" s="4">
        <v>1.9601859294704799E-3</v>
      </c>
      <c r="E4332" s="3" t="s">
        <v>13019</v>
      </c>
      <c r="F4332" s="3" t="s">
        <v>13020</v>
      </c>
      <c r="G4332" s="3">
        <v>224727</v>
      </c>
      <c r="H4332" s="7" t="str">
        <f>HYPERLINK("http://www.ensembl.org/Mus_musculus/Gene/Summary?db=core;g=ENSMUSG00000024392","ENSMUSG00000024392")</f>
        <v>ENSMUSG00000024392</v>
      </c>
      <c r="I4332" s="7" t="str">
        <f>HYPERLINK("http://www.informatics.jax.org/marker/MGI:1919439","MGI:1919439")</f>
        <v>MGI:1919439</v>
      </c>
      <c r="J4332" s="4" t="s">
        <v>12</v>
      </c>
    </row>
    <row r="4333" spans="1:10" x14ac:dyDescent="0.25">
      <c r="A4333" s="2">
        <v>1902.04409635913</v>
      </c>
      <c r="B4333" s="3">
        <v>0.117051292188279</v>
      </c>
      <c r="C4333" s="3">
        <v>9.8028162583219097E-3</v>
      </c>
      <c r="D4333" s="4">
        <v>2.4432701796525302E-2</v>
      </c>
      <c r="E4333" s="3" t="s">
        <v>15829</v>
      </c>
      <c r="F4333" s="3" t="s">
        <v>15830</v>
      </c>
      <c r="G4333" s="3">
        <v>320267</v>
      </c>
      <c r="H4333" s="7" t="str">
        <f>HYPERLINK("http://www.ensembl.org/Mus_musculus/Gene/Summary?db=core;g=ENSMUSG00000026843","ENSMUSG00000026843")</f>
        <v>ENSMUSG00000026843</v>
      </c>
      <c r="I4333" s="7" t="str">
        <f>HYPERLINK("http://www.informatics.jax.org/marker/MGI:2443699","MGI:2443699")</f>
        <v>MGI:2443699</v>
      </c>
      <c r="J4333" s="4" t="s">
        <v>12</v>
      </c>
    </row>
    <row r="4334" spans="1:10" x14ac:dyDescent="0.25">
      <c r="A4334" s="2">
        <v>2760.7940735049001</v>
      </c>
      <c r="B4334" s="3">
        <v>0.11684316914196601</v>
      </c>
      <c r="C4334" s="3">
        <v>6.6467657970594998E-3</v>
      </c>
      <c r="D4334" s="4">
        <v>1.71204573560624E-2</v>
      </c>
      <c r="E4334" s="3" t="s">
        <v>15317</v>
      </c>
      <c r="F4334" s="3" t="s">
        <v>15318</v>
      </c>
      <c r="G4334" s="3">
        <v>59035</v>
      </c>
      <c r="H4334" s="7" t="str">
        <f>HYPERLINK("http://www.ensembl.org/Mus_musculus/Gene/Summary?db=core;g=ENSMUSG00000032185","ENSMUSG00000032185")</f>
        <v>ENSMUSG00000032185</v>
      </c>
      <c r="I4334" s="7" t="str">
        <f>HYPERLINK("http://www.informatics.jax.org/marker/MGI:1913208","MGI:1913208")</f>
        <v>MGI:1913208</v>
      </c>
      <c r="J4334" s="4" t="s">
        <v>12</v>
      </c>
    </row>
    <row r="4335" spans="1:10" x14ac:dyDescent="0.25">
      <c r="A4335" s="2">
        <v>1340.39160536997</v>
      </c>
      <c r="B4335" s="3">
        <v>0.111443278268393</v>
      </c>
      <c r="C4335" s="3">
        <v>1.6166564687654799E-2</v>
      </c>
      <c r="D4335" s="4">
        <v>3.8526242373480603E-2</v>
      </c>
      <c r="E4335" s="3" t="s">
        <v>16554</v>
      </c>
      <c r="F4335" s="3" t="s">
        <v>16555</v>
      </c>
      <c r="G4335" s="3">
        <v>67036</v>
      </c>
      <c r="H4335" s="7" t="str">
        <f>HYPERLINK("http://www.ensembl.org/Mus_musculus/Gene/Summary?db=core;g=ENSMUSG00000018882","ENSMUSG00000018882")</f>
        <v>ENSMUSG00000018882</v>
      </c>
      <c r="I4335" s="7" t="str">
        <f>HYPERLINK("http://www.informatics.jax.org/marker/MGI:1914286","MGI:1914286")</f>
        <v>MGI:1914286</v>
      </c>
      <c r="J4335" s="4" t="s">
        <v>12</v>
      </c>
    </row>
    <row r="4336" spans="1:10" x14ac:dyDescent="0.25">
      <c r="A4336" s="2">
        <v>1051.2688825652599</v>
      </c>
      <c r="B4336" s="3">
        <v>0.109762451562612</v>
      </c>
      <c r="C4336" s="3">
        <v>1.21414342895808E-2</v>
      </c>
      <c r="D4336" s="4">
        <v>2.9694394524559801E-2</v>
      </c>
      <c r="E4336" s="3" t="s">
        <v>16135</v>
      </c>
      <c r="F4336" s="3" t="s">
        <v>16136</v>
      </c>
      <c r="G4336" s="3">
        <v>72068</v>
      </c>
      <c r="H4336" s="7" t="str">
        <f>HYPERLINK("http://www.ensembl.org/Mus_musculus/Gene/Summary?db=core;g=ENSMUSG00000020166","ENSMUSG00000020166")</f>
        <v>ENSMUSG00000020166</v>
      </c>
      <c r="I4336" s="7" t="str">
        <f>HYPERLINK("http://www.informatics.jax.org/marker/MGI:1919318","MGI:1919318")</f>
        <v>MGI:1919318</v>
      </c>
      <c r="J4336" s="4" t="s">
        <v>12</v>
      </c>
    </row>
    <row r="4337" spans="1:10" x14ac:dyDescent="0.25">
      <c r="A4337" s="2">
        <v>12311.8981972814</v>
      </c>
      <c r="B4337" s="3">
        <v>0.105111871454507</v>
      </c>
      <c r="C4337" s="3">
        <v>1.09090419596984E-2</v>
      </c>
      <c r="D4337" s="4">
        <v>2.6917706136793298E-2</v>
      </c>
      <c r="E4337" s="3" t="s">
        <v>15989</v>
      </c>
      <c r="F4337" s="3" t="s">
        <v>15990</v>
      </c>
      <c r="G4337" s="3">
        <v>12330</v>
      </c>
      <c r="H4337" s="7" t="str">
        <f>HYPERLINK("http://www.ensembl.org/Mus_musculus/Gene/Summary?db=core;g=ENSMUSG00000020368","ENSMUSG00000020368")</f>
        <v>ENSMUSG00000020368</v>
      </c>
      <c r="I4337" s="7" t="str">
        <f>HYPERLINK("http://www.informatics.jax.org/marker/MGI:88261","MGI:88261")</f>
        <v>MGI:88261</v>
      </c>
      <c r="J4337" s="4" t="s">
        <v>12</v>
      </c>
    </row>
    <row r="4338" spans="1:10" x14ac:dyDescent="0.25">
      <c r="A4338" s="2">
        <v>2285.63245052506</v>
      </c>
      <c r="B4338" s="3">
        <v>0.104307582050087</v>
      </c>
      <c r="C4338" s="3">
        <v>8.1082778971672802E-3</v>
      </c>
      <c r="D4338" s="4">
        <v>2.05072771748286E-2</v>
      </c>
      <c r="E4338" s="3" t="s">
        <v>15599</v>
      </c>
      <c r="F4338" s="3" t="s">
        <v>15600</v>
      </c>
      <c r="G4338" s="3">
        <v>28015</v>
      </c>
      <c r="H4338" s="7" t="str">
        <f>HYPERLINK("http://www.ensembl.org/Mus_musculus/Gene/Summary?db=core;g=ENSMUSG00000032199","ENSMUSG00000032199")</f>
        <v>ENSMUSG00000032199</v>
      </c>
      <c r="I4338" s="7" t="str">
        <f>HYPERLINK("http://www.informatics.jax.org/marker/MGI:107282","MGI:107282")</f>
        <v>MGI:107282</v>
      </c>
      <c r="J4338" s="4" t="s">
        <v>12</v>
      </c>
    </row>
    <row r="4339" spans="1:10" x14ac:dyDescent="0.25">
      <c r="A4339" s="2">
        <v>3495.4630610695299</v>
      </c>
      <c r="B4339" s="3">
        <v>9.9748823897959596E-2</v>
      </c>
      <c r="C4339" s="3">
        <v>1.38033171110289E-2</v>
      </c>
      <c r="D4339" s="4">
        <v>3.3374376340055099E-2</v>
      </c>
      <c r="E4339" s="3" t="s">
        <v>16317</v>
      </c>
      <c r="F4339" s="3" t="s">
        <v>16318</v>
      </c>
      <c r="G4339" s="3">
        <v>56407</v>
      </c>
      <c r="H4339" s="7" t="str">
        <f>HYPERLINK("http://www.ensembl.org/Mus_musculus/Gene/Summary?db=core;g=ENSMUSG00000038324","ENSMUSG00000038324")</f>
        <v>ENSMUSG00000038324</v>
      </c>
      <c r="I4339" s="7" t="str">
        <f>HYPERLINK("http://www.informatics.jax.org/marker/MGI:1930751","MGI:1930751")</f>
        <v>MGI:1930751</v>
      </c>
      <c r="J4339" s="4" t="s">
        <v>12</v>
      </c>
    </row>
    <row r="4340" spans="1:10" x14ac:dyDescent="0.25">
      <c r="A4340" s="2">
        <v>7187.8999895638399</v>
      </c>
      <c r="B4340" s="3">
        <v>9.8743521079962704E-2</v>
      </c>
      <c r="C4340" s="3">
        <v>1.30868066819945E-2</v>
      </c>
      <c r="D4340" s="4">
        <v>3.17880555298636E-2</v>
      </c>
      <c r="E4340" s="3" t="s">
        <v>16243</v>
      </c>
      <c r="F4340" s="3" t="s">
        <v>16244</v>
      </c>
      <c r="G4340" s="3">
        <v>74383</v>
      </c>
      <c r="H4340" s="7" t="str">
        <f>HYPERLINK("http://www.ensembl.org/Mus_musculus/Gene/Summary?db=core;g=ENSMUSG00000042520","ENSMUSG00000042520")</f>
        <v>ENSMUSG00000042520</v>
      </c>
      <c r="I4340" s="7" t="str">
        <f>HYPERLINK("http://www.informatics.jax.org/marker/MGI:1921633","MGI:1921633")</f>
        <v>MGI:1921633</v>
      </c>
      <c r="J4340" s="4" t="s">
        <v>12</v>
      </c>
    </row>
    <row r="4341" spans="1:10" x14ac:dyDescent="0.25">
      <c r="A4341" s="2">
        <v>2012.0260876714999</v>
      </c>
      <c r="B4341" s="3">
        <v>9.3364087989334599E-2</v>
      </c>
      <c r="C4341" s="3">
        <v>1.7960574100573602E-2</v>
      </c>
      <c r="D4341" s="4">
        <v>4.2341006726038299E-2</v>
      </c>
      <c r="E4341" s="3" t="s">
        <v>16734</v>
      </c>
      <c r="F4341" s="3" t="s">
        <v>16735</v>
      </c>
      <c r="G4341" s="3">
        <v>19060</v>
      </c>
      <c r="H4341" s="7" t="str">
        <f>HYPERLINK("http://www.ensembl.org/Mus_musculus/Gene/Summary?db=core;g=ENSMUSG00000003099","ENSMUSG00000003099")</f>
        <v>ENSMUSG00000003099</v>
      </c>
      <c r="I4341" s="7" t="str">
        <f>HYPERLINK("http://www.informatics.jax.org/marker/MGI:102666","MGI:102666")</f>
        <v>MGI:102666</v>
      </c>
      <c r="J4341" s="4" t="s">
        <v>12</v>
      </c>
    </row>
    <row r="4342" spans="1:10" x14ac:dyDescent="0.25">
      <c r="A4342" s="2">
        <v>1857.2171021957299</v>
      </c>
      <c r="B4342" s="3">
        <v>9.1186782990929596E-2</v>
      </c>
      <c r="C4342" s="3">
        <v>1.8183087766304298E-2</v>
      </c>
      <c r="D4342" s="4">
        <v>4.2809275400133802E-2</v>
      </c>
      <c r="E4342" s="3" t="s">
        <v>16756</v>
      </c>
      <c r="F4342" s="3" t="s">
        <v>16757</v>
      </c>
      <c r="G4342" s="3">
        <v>606496</v>
      </c>
      <c r="H4342" s="7" t="str">
        <f>HYPERLINK("http://www.ensembl.org/Mus_musculus/Gene/Summary?db=core;g=ENSMUSG00000057177","ENSMUSG00000057177")</f>
        <v>ENSMUSG00000057177</v>
      </c>
      <c r="I4342" s="7" t="str">
        <f>HYPERLINK("http://www.informatics.jax.org/marker/MGI:2152453","MGI:2152453")</f>
        <v>MGI:2152453</v>
      </c>
      <c r="J4342" s="4" t="s">
        <v>12</v>
      </c>
    </row>
    <row r="4343" spans="1:10" x14ac:dyDescent="0.25">
      <c r="A4343" s="2">
        <v>2841.35563982759</v>
      </c>
      <c r="B4343" s="3">
        <v>8.8040571088394803E-2</v>
      </c>
      <c r="C4343" s="3">
        <v>1.01320498376664E-2</v>
      </c>
      <c r="D4343" s="4">
        <v>2.5205503065318598E-2</v>
      </c>
      <c r="E4343" s="3" t="s">
        <v>15859</v>
      </c>
      <c r="F4343" s="3" t="s">
        <v>15860</v>
      </c>
      <c r="G4343" s="3">
        <v>27366</v>
      </c>
      <c r="H4343" s="7" t="str">
        <f>HYPERLINK("http://www.ensembl.org/Mus_musculus/Gene/Summary?db=core;g=ENSMUSG00000024571","ENSMUSG00000024571")</f>
        <v>ENSMUSG00000024571</v>
      </c>
      <c r="I4343" s="7" t="str">
        <f>HYPERLINK("http://www.informatics.jax.org/marker/MGI:3833940","MGI:3833940")</f>
        <v>MGI:3833940</v>
      </c>
      <c r="J4343" s="4" t="s">
        <v>12</v>
      </c>
    </row>
    <row r="4344" spans="1:10" x14ac:dyDescent="0.25">
      <c r="A4344" s="2">
        <v>4956.83841574296</v>
      </c>
      <c r="B4344" s="3">
        <v>8.7341549522074693E-2</v>
      </c>
      <c r="C4344" s="3">
        <v>3.7304207141793601E-3</v>
      </c>
      <c r="D4344" s="4">
        <v>1.00938387052164E-2</v>
      </c>
      <c r="E4344" s="3" t="s">
        <v>14579</v>
      </c>
      <c r="F4344" s="3" t="s">
        <v>14580</v>
      </c>
      <c r="G4344" s="3">
        <v>69617</v>
      </c>
      <c r="H4344" s="7" t="str">
        <f>HYPERLINK("http://www.ensembl.org/Mus_musculus/Gene/Summary?db=core;g=ENSMUSG00000021193","ENSMUSG00000021193")</f>
        <v>ENSMUSG00000021193</v>
      </c>
      <c r="I4344" s="7" t="str">
        <f>HYPERLINK("http://www.informatics.jax.org/marker/MGI:1916867","MGI:1916867")</f>
        <v>MGI:1916867</v>
      </c>
      <c r="J4344" s="4" t="s">
        <v>12</v>
      </c>
    </row>
    <row r="4345" spans="1:10" x14ac:dyDescent="0.25">
      <c r="A4345" s="2">
        <v>3980.97520846509</v>
      </c>
      <c r="B4345" s="3">
        <v>8.6813177546810893E-2</v>
      </c>
      <c r="C4345" s="3">
        <v>1.1808034569682199E-2</v>
      </c>
      <c r="D4345" s="4">
        <v>2.894759345029E-2</v>
      </c>
      <c r="E4345" s="3" t="s">
        <v>16093</v>
      </c>
      <c r="F4345" s="3" t="s">
        <v>16094</v>
      </c>
      <c r="G4345" s="3">
        <v>11800</v>
      </c>
      <c r="H4345" s="7" t="str">
        <f>HYPERLINK("http://www.ensembl.org/Mus_musculus/Gene/Summary?db=core;g=ENSMUSG00000027193","ENSMUSG00000027193")</f>
        <v>ENSMUSG00000027193</v>
      </c>
      <c r="I4345" s="7" t="str">
        <f>HYPERLINK("http://www.informatics.jax.org/marker/MGI:1888993","MGI:1888993")</f>
        <v>MGI:1888993</v>
      </c>
      <c r="J4345" s="4" t="s">
        <v>12</v>
      </c>
    </row>
    <row r="4346" spans="1:10" x14ac:dyDescent="0.25">
      <c r="A4346" s="2">
        <v>8336.6769165228106</v>
      </c>
      <c r="B4346" s="3">
        <v>-8.6080159442410403E-2</v>
      </c>
      <c r="C4346" s="3">
        <v>1.6325982706470499E-2</v>
      </c>
      <c r="D4346" s="4">
        <v>3.8849810422541202E-2</v>
      </c>
      <c r="E4346" s="3" t="s">
        <v>16578</v>
      </c>
      <c r="F4346" s="3" t="s">
        <v>16579</v>
      </c>
      <c r="G4346" s="3">
        <v>14569</v>
      </c>
      <c r="H4346" s="7" t="str">
        <f>HYPERLINK("http://www.ensembl.org/Mus_musculus/Gene/Summary?db=core;g=ENSMUSG00000021218","ENSMUSG00000021218")</f>
        <v>ENSMUSG00000021218</v>
      </c>
      <c r="I4346" s="7" t="str">
        <f>HYPERLINK("http://www.informatics.jax.org/marker/MGI:99845","MGI:99845")</f>
        <v>MGI:99845</v>
      </c>
      <c r="J4346" s="4" t="s">
        <v>12</v>
      </c>
    </row>
    <row r="4347" spans="1:10" x14ac:dyDescent="0.25">
      <c r="A4347" s="2">
        <v>2351.2744472531499</v>
      </c>
      <c r="B4347" s="3">
        <v>-9.0505241246770701E-2</v>
      </c>
      <c r="C4347" s="3">
        <v>1.9031012686463799E-2</v>
      </c>
      <c r="D4347" s="4">
        <v>4.4629750288627298E-2</v>
      </c>
      <c r="E4347" s="3" t="s">
        <v>16822</v>
      </c>
      <c r="F4347" s="3" t="s">
        <v>16823</v>
      </c>
      <c r="G4347" s="3" t="s">
        <v>83</v>
      </c>
      <c r="H4347" s="7" t="str">
        <f>HYPERLINK("http://www.ensembl.org/Mus_musculus/Gene/Summary?db=core;g=ENSMUSG00000093752","ENSMUSG00000093752")</f>
        <v>ENSMUSG00000093752</v>
      </c>
      <c r="I4347" s="7" t="str">
        <f>HYPERLINK("http://www.informatics.jax.org/marker/MGI:5313163","MGI:5313163")</f>
        <v>MGI:5313163</v>
      </c>
      <c r="J4347" s="4" t="s">
        <v>12</v>
      </c>
    </row>
    <row r="4348" spans="1:10" x14ac:dyDescent="0.25">
      <c r="A4348" s="2">
        <v>4247.9325850637897</v>
      </c>
      <c r="B4348" s="3">
        <v>-9.8112467356669994E-2</v>
      </c>
      <c r="C4348" s="3">
        <v>1.42804444805689E-3</v>
      </c>
      <c r="D4348" s="4">
        <v>4.1165087729399001E-3</v>
      </c>
      <c r="E4348" s="3" t="s">
        <v>13691</v>
      </c>
      <c r="F4348" s="3" t="s">
        <v>13692</v>
      </c>
      <c r="G4348" s="3">
        <v>68365</v>
      </c>
      <c r="H4348" s="7" t="str">
        <f>HYPERLINK("http://www.ensembl.org/Mus_musculus/Gene/Summary?db=core;g=ENSMUSG00000026878","ENSMUSG00000026878")</f>
        <v>ENSMUSG00000026878</v>
      </c>
      <c r="I4348" s="7" t="str">
        <f>HYPERLINK("http://www.informatics.jax.org/marker/MGI:1915615","MGI:1915615")</f>
        <v>MGI:1915615</v>
      </c>
      <c r="J4348" s="4" t="s">
        <v>12</v>
      </c>
    </row>
    <row r="4349" spans="1:10" x14ac:dyDescent="0.25">
      <c r="A4349" s="2">
        <v>3318.1454686632201</v>
      </c>
      <c r="B4349" s="3">
        <v>-9.8194352452324205E-2</v>
      </c>
      <c r="C4349" s="3">
        <v>1.0678471347826599E-2</v>
      </c>
      <c r="D4349" s="4">
        <v>2.64168626782307E-2</v>
      </c>
      <c r="E4349" s="3" t="s">
        <v>15949</v>
      </c>
      <c r="F4349" s="3" t="s">
        <v>15950</v>
      </c>
      <c r="G4349" s="3">
        <v>68653</v>
      </c>
      <c r="H4349" s="7" t="str">
        <f>HYPERLINK("http://www.ensembl.org/Mus_musculus/Gene/Summary?db=core;g=ENSMUSG00000022437","ENSMUSG00000022437")</f>
        <v>ENSMUSG00000022437</v>
      </c>
      <c r="I4349" s="7" t="str">
        <f>HYPERLINK("http://www.informatics.jax.org/marker/MGI:1915903","MGI:1915903")</f>
        <v>MGI:1915903</v>
      </c>
      <c r="J4349" s="4" t="s">
        <v>12</v>
      </c>
    </row>
    <row r="4350" spans="1:10" x14ac:dyDescent="0.25">
      <c r="A4350" s="2">
        <v>6668.5723846655501</v>
      </c>
      <c r="B4350" s="3">
        <v>-0.107614080374081</v>
      </c>
      <c r="C4350" s="3">
        <v>6.6480975218020204E-3</v>
      </c>
      <c r="D4350" s="4">
        <v>1.7121651185834599E-2</v>
      </c>
      <c r="E4350" s="3" t="s">
        <v>15319</v>
      </c>
      <c r="F4350" s="3" t="s">
        <v>15320</v>
      </c>
      <c r="G4350" s="3">
        <v>20833</v>
      </c>
      <c r="H4350" s="7" t="str">
        <f>HYPERLINK("http://www.ensembl.org/Mus_musculus/Gene/Summary?db=core;g=ENSMUSG00000027067","ENSMUSG00000027067")</f>
        <v>ENSMUSG00000027067</v>
      </c>
      <c r="I4350" s="7" t="str">
        <f>HYPERLINK("http://www.informatics.jax.org/marker/MGI:107912","MGI:107912")</f>
        <v>MGI:107912</v>
      </c>
      <c r="J4350" s="4" t="s">
        <v>12</v>
      </c>
    </row>
    <row r="4351" spans="1:10" x14ac:dyDescent="0.25">
      <c r="A4351" s="2">
        <v>1086.47668886937</v>
      </c>
      <c r="B4351" s="3">
        <v>-0.109248640933854</v>
      </c>
      <c r="C4351" s="3">
        <v>9.56843428386271E-3</v>
      </c>
      <c r="D4351" s="4">
        <v>2.38968495539226E-2</v>
      </c>
      <c r="E4351" s="3" t="s">
        <v>15797</v>
      </c>
      <c r="F4351" s="3" t="s">
        <v>15798</v>
      </c>
      <c r="G4351" s="3">
        <v>20916</v>
      </c>
      <c r="H4351" s="7" t="str">
        <f>HYPERLINK("http://www.ensembl.org/Mus_musculus/Gene/Summary?db=core;g=ENSMUSG00000022110","ENSMUSG00000022110")</f>
        <v>ENSMUSG00000022110</v>
      </c>
      <c r="I4351" s="7" t="str">
        <f>HYPERLINK("http://www.informatics.jax.org/marker/MGI:1306775","MGI:1306775")</f>
        <v>MGI:1306775</v>
      </c>
      <c r="J4351" s="4" t="s">
        <v>12</v>
      </c>
    </row>
    <row r="4352" spans="1:10" x14ac:dyDescent="0.25">
      <c r="A4352" s="2">
        <v>1510.96022652696</v>
      </c>
      <c r="B4352" s="3">
        <v>-0.11485227549053</v>
      </c>
      <c r="C4352" s="3">
        <v>9.7857814289471906E-3</v>
      </c>
      <c r="D4352" s="4">
        <v>2.4405667102420502E-2</v>
      </c>
      <c r="E4352" s="3" t="s">
        <v>15819</v>
      </c>
      <c r="F4352" s="3" t="s">
        <v>15820</v>
      </c>
      <c r="G4352" s="3">
        <v>108083</v>
      </c>
      <c r="H4352" s="7" t="str">
        <f>HYPERLINK("http://www.ensembl.org/Mus_musculus/Gene/Summary?db=core;g=ENSMUSG00000018547","ENSMUSG00000018547")</f>
        <v>ENSMUSG00000018547</v>
      </c>
      <c r="I4352" s="7" t="str">
        <f>HYPERLINK("http://www.informatics.jax.org/marker/MGI:1934234","MGI:1934234")</f>
        <v>MGI:1934234</v>
      </c>
      <c r="J4352" s="4" t="s">
        <v>12</v>
      </c>
    </row>
    <row r="4353" spans="1:10" x14ac:dyDescent="0.25">
      <c r="A4353" s="2">
        <v>1069.1440132612099</v>
      </c>
      <c r="B4353" s="3">
        <v>-0.11546627413374499</v>
      </c>
      <c r="C4353" s="3">
        <v>1.9170711658570701E-2</v>
      </c>
      <c r="D4353" s="4">
        <v>4.49253040887716E-2</v>
      </c>
      <c r="E4353" s="3" t="s">
        <v>16834</v>
      </c>
      <c r="F4353" s="3" t="s">
        <v>16835</v>
      </c>
      <c r="G4353" s="3">
        <v>72759</v>
      </c>
      <c r="H4353" s="7" t="str">
        <f>HYPERLINK("http://www.ensembl.org/Mus_musculus/Gene/Summary?db=core;g=ENSMUSG00000039428","ENSMUSG00000039428")</f>
        <v>ENSMUSG00000039428</v>
      </c>
      <c r="I4353" s="7" t="str">
        <f>HYPERLINK("http://www.informatics.jax.org/marker/MGI:1920009","MGI:1920009")</f>
        <v>MGI:1920009</v>
      </c>
      <c r="J4353" s="4" t="s">
        <v>12</v>
      </c>
    </row>
    <row r="4354" spans="1:10" x14ac:dyDescent="0.25">
      <c r="A4354" s="2">
        <v>971.38959161590196</v>
      </c>
      <c r="B4354" s="3">
        <v>-0.117325885602841</v>
      </c>
      <c r="C4354" s="3">
        <v>1.78027372568909E-2</v>
      </c>
      <c r="D4354" s="4">
        <v>4.2029208512616802E-2</v>
      </c>
      <c r="E4354" s="3" t="s">
        <v>16710</v>
      </c>
      <c r="F4354" s="3" t="s">
        <v>16711</v>
      </c>
      <c r="G4354" s="3">
        <v>11652</v>
      </c>
      <c r="H4354" s="7" t="str">
        <f>HYPERLINK("http://www.ensembl.org/Mus_musculus/Gene/Summary?db=core;g=ENSMUSG00000004056","ENSMUSG00000004056")</f>
        <v>ENSMUSG00000004056</v>
      </c>
      <c r="I4354" s="7" t="str">
        <f>HYPERLINK("http://www.informatics.jax.org/marker/MGI:104874","MGI:104874")</f>
        <v>MGI:104874</v>
      </c>
      <c r="J4354" s="4" t="s">
        <v>12</v>
      </c>
    </row>
    <row r="4355" spans="1:10" x14ac:dyDescent="0.25">
      <c r="A4355" s="2">
        <v>1749.1635812529501</v>
      </c>
      <c r="B4355" s="3">
        <v>-0.118809968885238</v>
      </c>
      <c r="C4355" s="3">
        <v>1.4732066312702199E-2</v>
      </c>
      <c r="D4355" s="4">
        <v>3.5407233112308201E-2</v>
      </c>
      <c r="E4355" s="3" t="s">
        <v>16415</v>
      </c>
      <c r="F4355" s="3" t="s">
        <v>16416</v>
      </c>
      <c r="G4355" s="3">
        <v>99152</v>
      </c>
      <c r="H4355" s="7" t="str">
        <f>HYPERLINK("http://www.ensembl.org/Mus_musculus/Gene/Summary?db=core;g=ENSMUSG00000026965","ENSMUSG00000026965")</f>
        <v>ENSMUSG00000026965</v>
      </c>
      <c r="I4355" s="7" t="str">
        <f>HYPERLINK("http://www.informatics.jax.org/marker/MGI:2139135","MGI:2139135")</f>
        <v>MGI:2139135</v>
      </c>
      <c r="J4355" s="4" t="s">
        <v>12</v>
      </c>
    </row>
    <row r="4356" spans="1:10" x14ac:dyDescent="0.25">
      <c r="A4356" s="2">
        <v>1699.89019611962</v>
      </c>
      <c r="B4356" s="3">
        <v>-0.119612986471513</v>
      </c>
      <c r="C4356" s="3">
        <v>1.4513497729921001E-2</v>
      </c>
      <c r="D4356" s="4">
        <v>3.4928378443874399E-2</v>
      </c>
      <c r="E4356" s="3" t="s">
        <v>16395</v>
      </c>
      <c r="F4356" s="3" t="s">
        <v>16396</v>
      </c>
      <c r="G4356" s="3">
        <v>69035</v>
      </c>
      <c r="H4356" s="7" t="str">
        <f>HYPERLINK("http://www.ensembl.org/Mus_musculus/Gene/Summary?db=core;g=ENSMUSG00000025786","ENSMUSG00000025786")</f>
        <v>ENSMUSG00000025786</v>
      </c>
      <c r="I4356" s="7" t="str">
        <f>HYPERLINK("http://www.informatics.jax.org/marker/MGI:1926134","MGI:1926134")</f>
        <v>MGI:1926134</v>
      </c>
      <c r="J4356" s="4" t="s">
        <v>12</v>
      </c>
    </row>
    <row r="4357" spans="1:10" x14ac:dyDescent="0.25">
      <c r="A4357" s="2">
        <v>1932.2165471319399</v>
      </c>
      <c r="B4357" s="3">
        <v>-0.12096581593132701</v>
      </c>
      <c r="C4357" s="3">
        <v>8.0900563530561607E-3</v>
      </c>
      <c r="D4357" s="4">
        <v>2.04663262122288E-2</v>
      </c>
      <c r="E4357" s="3" t="s">
        <v>15597</v>
      </c>
      <c r="F4357" s="3" t="s">
        <v>15598</v>
      </c>
      <c r="G4357" s="3">
        <v>11538</v>
      </c>
      <c r="H4357" s="7" t="str">
        <f>HYPERLINK("http://www.ensembl.org/Mus_musculus/Gene/Summary?db=core;g=ENSMUSG00000051149","ENSMUSG00000051149")</f>
        <v>ENSMUSG00000051149</v>
      </c>
      <c r="I4357" s="7" t="str">
        <f>HYPERLINK("http://www.informatics.jax.org/marker/MGI:1338758","MGI:1338758")</f>
        <v>MGI:1338758</v>
      </c>
      <c r="J4357" s="4" t="s">
        <v>12</v>
      </c>
    </row>
    <row r="4358" spans="1:10" x14ac:dyDescent="0.25">
      <c r="A4358" s="2">
        <v>2014.0595174334701</v>
      </c>
      <c r="B4358" s="3">
        <v>-0.12131897703778501</v>
      </c>
      <c r="C4358" s="3">
        <v>7.8226410232902204E-3</v>
      </c>
      <c r="D4358" s="4">
        <v>1.98612695994957E-2</v>
      </c>
      <c r="E4358" s="3" t="s">
        <v>15539</v>
      </c>
      <c r="F4358" s="3" t="s">
        <v>15540</v>
      </c>
      <c r="G4358" s="3">
        <v>19027</v>
      </c>
      <c r="H4358" s="7" t="str">
        <f>HYPERLINK("http://www.ensembl.org/Mus_musculus/Gene/Summary?db=core;g=ENSMUSG00000020570","ENSMUSG00000020570")</f>
        <v>ENSMUSG00000020570</v>
      </c>
      <c r="I4358" s="7" t="str">
        <f>HYPERLINK("http://www.informatics.jax.org/marker/MGI:108081","MGI:108081")</f>
        <v>MGI:108081</v>
      </c>
      <c r="J4358" s="4" t="s">
        <v>12</v>
      </c>
    </row>
    <row r="4359" spans="1:10" x14ac:dyDescent="0.25">
      <c r="A4359" s="2">
        <v>1131.2536614293399</v>
      </c>
      <c r="B4359" s="3">
        <v>-0.12188467209722501</v>
      </c>
      <c r="C4359" s="3">
        <v>8.0832190057712906E-3</v>
      </c>
      <c r="D4359" s="4">
        <v>2.04517678719284E-2</v>
      </c>
      <c r="E4359" s="3" t="s">
        <v>15593</v>
      </c>
      <c r="F4359" s="3" t="s">
        <v>15594</v>
      </c>
      <c r="G4359" s="3">
        <v>228812</v>
      </c>
      <c r="H4359" s="7" t="str">
        <f>HYPERLINK("http://www.ensembl.org/Mus_musculus/Gene/Summary?db=core;g=ENSMUSG00000038383","ENSMUSG00000038383")</f>
        <v>ENSMUSG00000038383</v>
      </c>
      <c r="I4359" s="7" t="str">
        <f>HYPERLINK("http://www.informatics.jax.org/marker/MGI:3039607","MGI:3039607")</f>
        <v>MGI:3039607</v>
      </c>
      <c r="J4359" s="4" t="s">
        <v>12</v>
      </c>
    </row>
    <row r="4360" spans="1:10" x14ac:dyDescent="0.25">
      <c r="A4360" s="2">
        <v>1032.8142841456199</v>
      </c>
      <c r="B4360" s="3">
        <v>-0.122536442221648</v>
      </c>
      <c r="C4360" s="3">
        <v>9.9728792496534997E-3</v>
      </c>
      <c r="D4360" s="4">
        <v>2.4831461970096801E-2</v>
      </c>
      <c r="E4360" s="3" t="s">
        <v>15845</v>
      </c>
      <c r="F4360" s="3" t="s">
        <v>15846</v>
      </c>
      <c r="G4360" s="3">
        <v>68349</v>
      </c>
      <c r="H4360" s="7" t="str">
        <f>HYPERLINK("http://www.ensembl.org/Mus_musculus/Gene/Summary?db=core;g=ENSMUSG00000005510","ENSMUSG00000005510")</f>
        <v>ENSMUSG00000005510</v>
      </c>
      <c r="I4360" s="7" t="str">
        <f>HYPERLINK("http://www.informatics.jax.org/marker/MGI:1915599","MGI:1915599")</f>
        <v>MGI:1915599</v>
      </c>
      <c r="J4360" s="4" t="s">
        <v>12</v>
      </c>
    </row>
    <row r="4361" spans="1:10" x14ac:dyDescent="0.25">
      <c r="A4361" s="2">
        <v>953.92571936118202</v>
      </c>
      <c r="B4361" s="3">
        <v>-0.122894106987239</v>
      </c>
      <c r="C4361" s="3">
        <v>1.6132800918635799E-2</v>
      </c>
      <c r="D4361" s="4">
        <v>3.8459723659997301E-2</v>
      </c>
      <c r="E4361" s="3" t="s">
        <v>16548</v>
      </c>
      <c r="F4361" s="3" t="s">
        <v>16549</v>
      </c>
      <c r="G4361" s="3">
        <v>18607</v>
      </c>
      <c r="H4361" s="7" t="str">
        <f>HYPERLINK("http://www.ensembl.org/Mus_musculus/Gene/Summary?db=core;g=ENSMUSG00000024122","ENSMUSG00000024122")</f>
        <v>ENSMUSG00000024122</v>
      </c>
      <c r="I4361" s="7" t="str">
        <f>HYPERLINK("http://www.informatics.jax.org/marker/MGI:1338068","MGI:1338068")</f>
        <v>MGI:1338068</v>
      </c>
      <c r="J4361" s="4" t="s">
        <v>12</v>
      </c>
    </row>
    <row r="4362" spans="1:10" x14ac:dyDescent="0.25">
      <c r="A4362" s="2">
        <v>2190.5256001468601</v>
      </c>
      <c r="B4362" s="3">
        <v>-0.12309722158629501</v>
      </c>
      <c r="C4362" s="3">
        <v>3.1819452932213498E-3</v>
      </c>
      <c r="D4362" s="4">
        <v>8.6896497967490598E-3</v>
      </c>
      <c r="E4362" s="3" t="s">
        <v>14445</v>
      </c>
      <c r="F4362" s="3" t="s">
        <v>14446</v>
      </c>
      <c r="G4362" s="3" t="s">
        <v>83</v>
      </c>
      <c r="H4362" s="7" t="str">
        <f>HYPERLINK("http://www.ensembl.org/Mus_musculus/Gene/Summary?db=core;g=ENSMUSG00000101678","ENSMUSG00000101678")</f>
        <v>ENSMUSG00000101678</v>
      </c>
      <c r="I4362" s="7" t="str">
        <f>HYPERLINK("http://www.informatics.jax.org/marker/MGI:5580315","MGI:5580315")</f>
        <v>MGI:5580315</v>
      </c>
      <c r="J4362" s="4" t="s">
        <v>12</v>
      </c>
    </row>
    <row r="4363" spans="1:10" x14ac:dyDescent="0.25">
      <c r="A4363" s="2">
        <v>4280.46610774702</v>
      </c>
      <c r="B4363" s="3">
        <v>-0.123788489501475</v>
      </c>
      <c r="C4363" s="3">
        <v>8.0527738122719399E-4</v>
      </c>
      <c r="D4363" s="4">
        <v>2.4072067201657498E-3</v>
      </c>
      <c r="E4363" s="3" t="s">
        <v>13201</v>
      </c>
      <c r="F4363" s="3" t="s">
        <v>13202</v>
      </c>
      <c r="G4363" s="3">
        <v>14057</v>
      </c>
      <c r="H4363" s="7" t="str">
        <f>HYPERLINK("http://www.ensembl.org/Mus_musculus/Gene/Summary?db=core;g=ENSMUSG00000021474","ENSMUSG00000021474")</f>
        <v>ENSMUSG00000021474</v>
      </c>
      <c r="I4363" s="7" t="str">
        <f>HYPERLINK("http://www.informatics.jax.org/marker/MGI:2137677","MGI:2137677")</f>
        <v>MGI:2137677</v>
      </c>
      <c r="J4363" s="4" t="s">
        <v>12</v>
      </c>
    </row>
    <row r="4364" spans="1:10" x14ac:dyDescent="0.25">
      <c r="A4364" s="2">
        <v>2347.7784486475698</v>
      </c>
      <c r="B4364" s="3">
        <v>-0.123968914066062</v>
      </c>
      <c r="C4364" s="3">
        <v>1.34638622704984E-2</v>
      </c>
      <c r="D4364" s="4">
        <v>3.2609600095090799E-2</v>
      </c>
      <c r="E4364" s="3" t="s">
        <v>16289</v>
      </c>
      <c r="F4364" s="3" t="s">
        <v>16290</v>
      </c>
      <c r="G4364" s="3">
        <v>108062</v>
      </c>
      <c r="H4364" s="7" t="str">
        <f>HYPERLINK("http://www.ensembl.org/Mus_musculus/Gene/Summary?db=core;g=ENSMUSG00000031256","ENSMUSG00000031256")</f>
        <v>ENSMUSG00000031256</v>
      </c>
      <c r="I4364" s="7" t="str">
        <f>HYPERLINK("http://www.informatics.jax.org/marker/MGI:1343054","MGI:1343054")</f>
        <v>MGI:1343054</v>
      </c>
      <c r="J4364" s="4" t="s">
        <v>12</v>
      </c>
    </row>
    <row r="4365" spans="1:10" x14ac:dyDescent="0.25">
      <c r="A4365" s="2">
        <v>3424.1687554960799</v>
      </c>
      <c r="B4365" s="3">
        <v>-0.12418084777004899</v>
      </c>
      <c r="C4365" s="3">
        <v>4.4221289439105301E-4</v>
      </c>
      <c r="D4365" s="4">
        <v>1.36877072318185E-3</v>
      </c>
      <c r="E4365" s="3" t="s">
        <v>12753</v>
      </c>
      <c r="F4365" s="3" t="s">
        <v>12754</v>
      </c>
      <c r="G4365" s="3">
        <v>170718</v>
      </c>
      <c r="H4365" s="7" t="str">
        <f>HYPERLINK("http://www.ensembl.org/Mus_musculus/Gene/Summary?db=core;g=ENSMUSG00000027406","ENSMUSG00000027406")</f>
        <v>ENSMUSG00000027406</v>
      </c>
      <c r="I4365" s="7" t="str">
        <f>HYPERLINK("http://www.informatics.jax.org/marker/MGI:2158650","MGI:2158650")</f>
        <v>MGI:2158650</v>
      </c>
      <c r="J4365" s="4" t="s">
        <v>12</v>
      </c>
    </row>
    <row r="4366" spans="1:10" x14ac:dyDescent="0.25">
      <c r="A4366" s="2">
        <v>8132.4033792315104</v>
      </c>
      <c r="B4366" s="3">
        <v>-0.12479585465292101</v>
      </c>
      <c r="C4366" s="3">
        <v>2.8856466906883099E-3</v>
      </c>
      <c r="D4366" s="4">
        <v>7.9321093867261595E-3</v>
      </c>
      <c r="E4366" s="3" t="s">
        <v>14353</v>
      </c>
      <c r="F4366" s="3" t="s">
        <v>14354</v>
      </c>
      <c r="G4366" s="3">
        <v>13211</v>
      </c>
      <c r="H4366" s="7" t="str">
        <f>HYPERLINK("http://www.ensembl.org/Mus_musculus/Gene/Summary?db=core;g=ENSMUSG00000042699","ENSMUSG00000042699")</f>
        <v>ENSMUSG00000042699</v>
      </c>
      <c r="I4366" s="7" t="str">
        <f>HYPERLINK("http://www.informatics.jax.org/marker/MGI:108177","MGI:108177")</f>
        <v>MGI:108177</v>
      </c>
      <c r="J4366" s="4" t="s">
        <v>12</v>
      </c>
    </row>
    <row r="4367" spans="1:10" x14ac:dyDescent="0.25">
      <c r="A4367" s="2">
        <v>1332.2510334394899</v>
      </c>
      <c r="B4367" s="3">
        <v>-0.124850677092448</v>
      </c>
      <c r="C4367" s="3">
        <v>2.2862716996866202E-3</v>
      </c>
      <c r="D4367" s="4">
        <v>6.3968896024149003E-3</v>
      </c>
      <c r="E4367" s="3" t="s">
        <v>14103</v>
      </c>
      <c r="F4367" s="3" t="s">
        <v>14104</v>
      </c>
      <c r="G4367" s="3">
        <v>319594</v>
      </c>
      <c r="H4367" s="7" t="str">
        <f>HYPERLINK("http://www.ensembl.org/Mus_musculus/Gene/Summary?db=core;g=ENSMUSG00000036450","ENSMUSG00000036450")</f>
        <v>ENSMUSG00000036450</v>
      </c>
      <c r="I4367" s="7" t="str">
        <f>HYPERLINK("http://www.informatics.jax.org/marker/MGI:2442345","MGI:2442345")</f>
        <v>MGI:2442345</v>
      </c>
      <c r="J4367" s="4" t="s">
        <v>12</v>
      </c>
    </row>
    <row r="4368" spans="1:10" x14ac:dyDescent="0.25">
      <c r="A4368" s="2">
        <v>4046.4739451229302</v>
      </c>
      <c r="B4368" s="3">
        <v>-0.125454837226912</v>
      </c>
      <c r="C4368" s="3">
        <v>1.4241728698154499E-3</v>
      </c>
      <c r="D4368" s="4">
        <v>4.1071496040890098E-3</v>
      </c>
      <c r="E4368" s="3" t="s">
        <v>13685</v>
      </c>
      <c r="F4368" s="3" t="s">
        <v>13686</v>
      </c>
      <c r="G4368" s="3">
        <v>14873</v>
      </c>
      <c r="H4368" s="7" t="str">
        <f>HYPERLINK("http://www.ensembl.org/Mus_musculus/Gene/Summary?db=core;g=ENSMUSG00000025068","ENSMUSG00000025068")</f>
        <v>ENSMUSG00000025068</v>
      </c>
      <c r="I4368" s="7" t="str">
        <f>HYPERLINK("http://www.informatics.jax.org/marker/MGI:1342273","MGI:1342273")</f>
        <v>MGI:1342273</v>
      </c>
      <c r="J4368" s="4" t="s">
        <v>12</v>
      </c>
    </row>
    <row r="4369" spans="1:10" x14ac:dyDescent="0.25">
      <c r="A4369" s="2">
        <v>1171.9453899796899</v>
      </c>
      <c r="B4369" s="3">
        <v>-0.127541862167425</v>
      </c>
      <c r="C4369" s="3">
        <v>1.7152945613245301E-2</v>
      </c>
      <c r="D4369" s="4">
        <v>4.0631361861044601E-2</v>
      </c>
      <c r="E4369" s="3" t="s">
        <v>16654</v>
      </c>
      <c r="F4369" s="3" t="s">
        <v>16655</v>
      </c>
      <c r="G4369" s="3">
        <v>67422</v>
      </c>
      <c r="H4369" s="7" t="str">
        <f>HYPERLINK("http://www.ensembl.org/Mus_musculus/Gene/Summary?db=core;g=ENSMUSG00000012117","ENSMUSG00000012117")</f>
        <v>ENSMUSG00000012117</v>
      </c>
      <c r="I4369" s="7" t="str">
        <f>HYPERLINK("http://www.informatics.jax.org/marker/MGI:1914672","MGI:1914672")</f>
        <v>MGI:1914672</v>
      </c>
      <c r="J4369" s="4" t="s">
        <v>12</v>
      </c>
    </row>
    <row r="4370" spans="1:10" x14ac:dyDescent="0.25">
      <c r="A4370" s="2">
        <v>2222.0885222673401</v>
      </c>
      <c r="B4370" s="3">
        <v>-0.12806566581432899</v>
      </c>
      <c r="C4370" s="3">
        <v>7.8979916651013508E-3</v>
      </c>
      <c r="D4370" s="4">
        <v>2.00371022302584E-2</v>
      </c>
      <c r="E4370" s="3" t="s">
        <v>15551</v>
      </c>
      <c r="F4370" s="3" t="s">
        <v>15552</v>
      </c>
      <c r="G4370" s="3">
        <v>11532</v>
      </c>
      <c r="H4370" s="7" t="str">
        <f>HYPERLINK("http://www.ensembl.org/Mus_musculus/Gene/Summary?db=core;g=ENSMUSG00000028138","ENSMUSG00000028138")</f>
        <v>ENSMUSG00000028138</v>
      </c>
      <c r="I4370" s="7" t="str">
        <f>HYPERLINK("http://www.informatics.jax.org/marker/MGI:87929","MGI:87929")</f>
        <v>MGI:87929</v>
      </c>
      <c r="J4370" s="4" t="s">
        <v>12</v>
      </c>
    </row>
    <row r="4371" spans="1:10" x14ac:dyDescent="0.25">
      <c r="A4371" s="2">
        <v>2763.71895502998</v>
      </c>
      <c r="B4371" s="3">
        <v>-0.12925560145501599</v>
      </c>
      <c r="C4371" s="3">
        <v>1.2198443505481601E-2</v>
      </c>
      <c r="D4371" s="4">
        <v>2.98120344439332E-2</v>
      </c>
      <c r="E4371" s="3" t="s">
        <v>16143</v>
      </c>
      <c r="F4371" s="3" t="s">
        <v>16144</v>
      </c>
      <c r="G4371" s="3">
        <v>71902</v>
      </c>
      <c r="H4371" s="7" t="str">
        <f>HYPERLINK("http://www.ensembl.org/Mus_musculus/Gene/Summary?db=core;g=ENSMUSG00000020114","ENSMUSG00000020114")</f>
        <v>ENSMUSG00000020114</v>
      </c>
      <c r="I4371" s="7" t="str">
        <f>HYPERLINK("http://www.informatics.jax.org/marker/MGI:1261820","MGI:1261820")</f>
        <v>MGI:1261820</v>
      </c>
      <c r="J4371" s="4" t="s">
        <v>12</v>
      </c>
    </row>
    <row r="4372" spans="1:10" x14ac:dyDescent="0.25">
      <c r="A4372" s="2">
        <v>1035.6318175491599</v>
      </c>
      <c r="B4372" s="3">
        <v>-0.12930838655577301</v>
      </c>
      <c r="C4372" s="3">
        <v>1.6212281372477301E-2</v>
      </c>
      <c r="D4372" s="4">
        <v>3.8607195829640499E-2</v>
      </c>
      <c r="E4372" s="3" t="s">
        <v>16566</v>
      </c>
      <c r="F4372" s="3" t="s">
        <v>16567</v>
      </c>
      <c r="G4372" s="3">
        <v>50785</v>
      </c>
      <c r="H4372" s="7" t="str">
        <f>HYPERLINK("http://www.ensembl.org/Mus_musculus/Gene/Summary?db=core;g=ENSMUSG00000045216","ENSMUSG00000045216")</f>
        <v>ENSMUSG00000045216</v>
      </c>
      <c r="I4372" s="7" t="str">
        <f>HYPERLINK("http://www.informatics.jax.org/marker/MGI:1354958","MGI:1354958")</f>
        <v>MGI:1354958</v>
      </c>
      <c r="J4372" s="4" t="s">
        <v>12</v>
      </c>
    </row>
    <row r="4373" spans="1:10" x14ac:dyDescent="0.25">
      <c r="A4373" s="2">
        <v>1399.55366089002</v>
      </c>
      <c r="B4373" s="3">
        <v>-0.130032689403103</v>
      </c>
      <c r="C4373" s="3">
        <v>5.9373043054246899E-3</v>
      </c>
      <c r="D4373" s="4">
        <v>1.5456586257818501E-2</v>
      </c>
      <c r="E4373" s="3" t="s">
        <v>15154</v>
      </c>
      <c r="F4373" s="3" t="s">
        <v>15155</v>
      </c>
      <c r="G4373" s="3">
        <v>433864</v>
      </c>
      <c r="H4373" s="7" t="str">
        <f>HYPERLINK("http://www.ensembl.org/Mus_musculus/Gene/Summary?db=core;g=ENSMUSG00000001569","ENSMUSG00000001569")</f>
        <v>ENSMUSG00000001569</v>
      </c>
      <c r="I4373" s="7" t="str">
        <f>HYPERLINK("http://www.informatics.jax.org/marker/MGI:1861749","MGI:1861749")</f>
        <v>MGI:1861749</v>
      </c>
      <c r="J4373" s="4" t="s">
        <v>12</v>
      </c>
    </row>
    <row r="4374" spans="1:10" x14ac:dyDescent="0.25">
      <c r="A4374" s="2">
        <v>1298.99201141405</v>
      </c>
      <c r="B4374" s="3">
        <v>-0.130541951126314</v>
      </c>
      <c r="C4374" s="3">
        <v>1.29070272038247E-2</v>
      </c>
      <c r="D4374" s="4">
        <v>3.1392029657057501E-2</v>
      </c>
      <c r="E4374" s="3" t="s">
        <v>16221</v>
      </c>
      <c r="F4374" s="3" t="s">
        <v>16222</v>
      </c>
      <c r="G4374" s="3">
        <v>65111</v>
      </c>
      <c r="H4374" s="7" t="str">
        <f>HYPERLINK("http://www.ensembl.org/Mus_musculus/Gene/Summary?db=core;g=ENSMUSG00000068921","ENSMUSG00000068921")</f>
        <v>ENSMUSG00000068921</v>
      </c>
      <c r="I4374" s="7" t="str">
        <f>HYPERLINK("http://www.informatics.jax.org/marker/MGI:1929538","MGI:1929538")</f>
        <v>MGI:1929538</v>
      </c>
      <c r="J4374" s="4" t="s">
        <v>12</v>
      </c>
    </row>
    <row r="4375" spans="1:10" x14ac:dyDescent="0.25">
      <c r="A4375" s="2">
        <v>3094.9023641195499</v>
      </c>
      <c r="B4375" s="3">
        <v>-0.13105399721689301</v>
      </c>
      <c r="C4375" s="3">
        <v>9.2239759854024703E-3</v>
      </c>
      <c r="D4375" s="4">
        <v>2.3103874816732699E-2</v>
      </c>
      <c r="E4375" s="3" t="s">
        <v>15751</v>
      </c>
      <c r="F4375" s="3" t="s">
        <v>15752</v>
      </c>
      <c r="G4375" s="3">
        <v>210998</v>
      </c>
      <c r="H4375" s="7" t="str">
        <f>HYPERLINK("http://www.ensembl.org/Mus_musculus/Gene/Summary?db=core;g=ENSMUSG00000037119","ENSMUSG00000037119")</f>
        <v>ENSMUSG00000037119</v>
      </c>
      <c r="I4375" s="7" t="str">
        <f>HYPERLINK("http://www.informatics.jax.org/marker/MGI:1277178","MGI:1277178")</f>
        <v>MGI:1277178</v>
      </c>
      <c r="J4375" s="4" t="s">
        <v>12</v>
      </c>
    </row>
    <row r="4376" spans="1:10" x14ac:dyDescent="0.25">
      <c r="A4376" s="2">
        <v>2368.6258805907501</v>
      </c>
      <c r="B4376" s="3">
        <v>-0.131686392679949</v>
      </c>
      <c r="C4376" s="3">
        <v>2.0016597409344101E-2</v>
      </c>
      <c r="D4376" s="4">
        <v>4.6718818903096898E-2</v>
      </c>
      <c r="E4376" s="3" t="s">
        <v>16902</v>
      </c>
      <c r="F4376" s="3" t="s">
        <v>16903</v>
      </c>
      <c r="G4376" s="3">
        <v>68036</v>
      </c>
      <c r="H4376" s="7" t="str">
        <f>HYPERLINK("http://www.ensembl.org/Mus_musculus/Gene/Summary?db=core;g=ENSMUSG00000062397","ENSMUSG00000062397")</f>
        <v>ENSMUSG00000062397</v>
      </c>
      <c r="I4376" s="7" t="str">
        <f>HYPERLINK("http://www.informatics.jax.org/marker/MGI:1915286","MGI:1915286")</f>
        <v>MGI:1915286</v>
      </c>
      <c r="J4376" s="4" t="s">
        <v>12</v>
      </c>
    </row>
    <row r="4377" spans="1:10" x14ac:dyDescent="0.25">
      <c r="A4377" s="2">
        <v>920.437141035791</v>
      </c>
      <c r="B4377" s="3">
        <v>-0.13187912862183299</v>
      </c>
      <c r="C4377" s="3">
        <v>1.9773090859843901E-2</v>
      </c>
      <c r="D4377" s="4">
        <v>4.6216113755614803E-2</v>
      </c>
      <c r="E4377" s="3" t="s">
        <v>16878</v>
      </c>
      <c r="F4377" s="3" t="s">
        <v>16879</v>
      </c>
      <c r="G4377" s="3">
        <v>16434</v>
      </c>
      <c r="H4377" s="7" t="str">
        <f>HYPERLINK("http://www.ensembl.org/Mus_musculus/Gene/Summary?db=core;g=ENSMUSG00000074797","ENSMUSG00000074797")</f>
        <v>ENSMUSG00000074797</v>
      </c>
      <c r="I4377" s="7" t="str">
        <f>HYPERLINK("http://www.informatics.jax.org/marker/MGI:96622","MGI:96622")</f>
        <v>MGI:96622</v>
      </c>
      <c r="J4377" s="4" t="s">
        <v>12</v>
      </c>
    </row>
    <row r="4378" spans="1:10" x14ac:dyDescent="0.25">
      <c r="A4378" s="2">
        <v>1736.90232033641</v>
      </c>
      <c r="B4378" s="3">
        <v>-0.13212757038481099</v>
      </c>
      <c r="C4378" s="3">
        <v>5.2437339473019604E-3</v>
      </c>
      <c r="D4378" s="4">
        <v>1.38206941246718E-2</v>
      </c>
      <c r="E4378" s="3" t="s">
        <v>14968</v>
      </c>
      <c r="F4378" s="3" t="s">
        <v>14969</v>
      </c>
      <c r="G4378" s="3">
        <v>59003</v>
      </c>
      <c r="H4378" s="7" t="str">
        <f>HYPERLINK("http://www.ensembl.org/Mus_musculus/Gene/Summary?db=core;g=ENSMUSG00000079562","ENSMUSG00000079562")</f>
        <v>ENSMUSG00000079562</v>
      </c>
      <c r="I4378" s="7" t="str">
        <f>HYPERLINK("http://www.informatics.jax.org/marker/MGI:1891748","MGI:1891748")</f>
        <v>MGI:1891748</v>
      </c>
      <c r="J4378" s="4" t="s">
        <v>12</v>
      </c>
    </row>
    <row r="4379" spans="1:10" x14ac:dyDescent="0.25">
      <c r="A4379" s="2">
        <v>2560.8950825400002</v>
      </c>
      <c r="B4379" s="3">
        <v>-0.13222912367377801</v>
      </c>
      <c r="C4379" s="3">
        <v>2.6771620528264501E-3</v>
      </c>
      <c r="D4379" s="4">
        <v>7.4065145456983098E-3</v>
      </c>
      <c r="E4379" s="3" t="s">
        <v>14263</v>
      </c>
      <c r="F4379" s="3" t="s">
        <v>14264</v>
      </c>
      <c r="G4379" s="3">
        <v>140858</v>
      </c>
      <c r="H4379" s="7" t="str">
        <f>HYPERLINK("http://www.ensembl.org/Mus_musculus/Gene/Summary?db=core;g=ENSMUSG00000026917","ENSMUSG00000026917")</f>
        <v>ENSMUSG00000026917</v>
      </c>
      <c r="I4379" s="7" t="str">
        <f>HYPERLINK("http://www.informatics.jax.org/marker/MGI:2155884","MGI:2155884")</f>
        <v>MGI:2155884</v>
      </c>
      <c r="J4379" s="4" t="s">
        <v>12</v>
      </c>
    </row>
    <row r="4380" spans="1:10" x14ac:dyDescent="0.25">
      <c r="A4380" s="2">
        <v>2788.9374580382801</v>
      </c>
      <c r="B4380" s="3">
        <v>-0.13319766377171499</v>
      </c>
      <c r="C4380" s="3">
        <v>9.9605072682750796E-4</v>
      </c>
      <c r="D4380" s="4">
        <v>2.9368255230821198E-3</v>
      </c>
      <c r="E4380" s="3" t="s">
        <v>13389</v>
      </c>
      <c r="F4380" s="3" t="s">
        <v>13390</v>
      </c>
      <c r="G4380" s="3">
        <v>56453</v>
      </c>
      <c r="H4380" s="7" t="str">
        <f>HYPERLINK("http://www.ensembl.org/Mus_musculus/Gene/Summary?db=core;g=ENSMUSG00000031835","ENSMUSG00000031835")</f>
        <v>ENSMUSG00000031835</v>
      </c>
      <c r="I4380" s="7" t="str">
        <f>HYPERLINK("http://www.informatics.jax.org/marker/MGI:1927235","MGI:1927235")</f>
        <v>MGI:1927235</v>
      </c>
      <c r="J4380" s="4" t="s">
        <v>12</v>
      </c>
    </row>
    <row r="4381" spans="1:10" x14ac:dyDescent="0.25">
      <c r="A4381" s="2">
        <v>1211.1993317752899</v>
      </c>
      <c r="B4381" s="3">
        <v>-0.13398623681632099</v>
      </c>
      <c r="C4381" s="3">
        <v>1.60591611507249E-2</v>
      </c>
      <c r="D4381" s="4">
        <v>3.8293429007532603E-2</v>
      </c>
      <c r="E4381" s="3" t="s">
        <v>16544</v>
      </c>
      <c r="F4381" s="3" t="s">
        <v>16545</v>
      </c>
      <c r="G4381" s="3">
        <v>74196</v>
      </c>
      <c r="H4381" s="7" t="str">
        <f>HYPERLINK("http://www.ensembl.org/Mus_musculus/Gene/Summary?db=core;g=ENSMUSG00000024078","ENSMUSG00000024078")</f>
        <v>ENSMUSG00000024078</v>
      </c>
      <c r="I4381" s="7" t="str">
        <f>HYPERLINK("http://www.informatics.jax.org/marker/MGI:1921446","MGI:1921446")</f>
        <v>MGI:1921446</v>
      </c>
      <c r="J4381" s="4" t="s">
        <v>12</v>
      </c>
    </row>
    <row r="4382" spans="1:10" x14ac:dyDescent="0.25">
      <c r="A4382" s="2">
        <v>826.75178986776496</v>
      </c>
      <c r="B4382" s="3">
        <v>-0.134278438112302</v>
      </c>
      <c r="C4382" s="3">
        <v>1.100827370084E-2</v>
      </c>
      <c r="D4382" s="4">
        <v>2.7121833755692701E-2</v>
      </c>
      <c r="E4382" s="3" t="s">
        <v>16013</v>
      </c>
      <c r="F4382" s="3" t="s">
        <v>16014</v>
      </c>
      <c r="G4382" s="3">
        <v>12325</v>
      </c>
      <c r="H4382" s="7" t="str">
        <f>HYPERLINK("http://www.ensembl.org/Mus_musculus/Gene/Summary?db=core;g=ENSMUSG00000021820","ENSMUSG00000021820")</f>
        <v>ENSMUSG00000021820</v>
      </c>
      <c r="I4382" s="7" t="str">
        <f>HYPERLINK("http://www.informatics.jax.org/marker/MGI:88259","MGI:88259")</f>
        <v>MGI:88259</v>
      </c>
      <c r="J4382" s="4" t="s">
        <v>12</v>
      </c>
    </row>
    <row r="4383" spans="1:10" x14ac:dyDescent="0.25">
      <c r="A4383" s="2">
        <v>861.02684973189298</v>
      </c>
      <c r="B4383" s="3">
        <v>-0.13514499476064501</v>
      </c>
      <c r="C4383" s="3">
        <v>1.42906795262053E-2</v>
      </c>
      <c r="D4383" s="4">
        <v>3.4442947965872397E-2</v>
      </c>
      <c r="E4383" s="3" t="s">
        <v>16369</v>
      </c>
      <c r="F4383" s="3" t="s">
        <v>16370</v>
      </c>
      <c r="G4383" s="3">
        <v>76022</v>
      </c>
      <c r="H4383" s="7" t="str">
        <f>HYPERLINK("http://www.ensembl.org/Mus_musculus/Gene/Summary?db=core;g=ENSMUSG00000054199","ENSMUSG00000054199")</f>
        <v>ENSMUSG00000054199</v>
      </c>
      <c r="I4383" s="7" t="str">
        <f>HYPERLINK("http://www.informatics.jax.org/marker/MGI:1917579","MGI:1917579")</f>
        <v>MGI:1917579</v>
      </c>
      <c r="J4383" s="4" t="s">
        <v>12</v>
      </c>
    </row>
    <row r="4384" spans="1:10" x14ac:dyDescent="0.25">
      <c r="A4384" s="2">
        <v>967.97548138177604</v>
      </c>
      <c r="B4384" s="3">
        <v>-0.13539644462077199</v>
      </c>
      <c r="C4384" s="3">
        <v>1.1415466950004401E-2</v>
      </c>
      <c r="D4384" s="4">
        <v>2.8051465203001499E-2</v>
      </c>
      <c r="E4384" s="3" t="s">
        <v>16055</v>
      </c>
      <c r="F4384" s="3" t="s">
        <v>16056</v>
      </c>
      <c r="G4384" s="3">
        <v>16897</v>
      </c>
      <c r="H4384" s="7" t="str">
        <f>HYPERLINK("http://www.ensembl.org/Mus_musculus/Gene/Summary?db=core;g=ENSMUSG00000020536","ENSMUSG00000020536")</f>
        <v>ENSMUSG00000020536</v>
      </c>
      <c r="I4384" s="7" t="str">
        <f>HYPERLINK("http://www.informatics.jax.org/marker/MGI:102682","MGI:102682")</f>
        <v>MGI:102682</v>
      </c>
      <c r="J4384" s="4" t="s">
        <v>12</v>
      </c>
    </row>
    <row r="4385" spans="1:10" x14ac:dyDescent="0.25">
      <c r="A4385" s="2">
        <v>644.00389019064096</v>
      </c>
      <c r="B4385" s="3">
        <v>-0.13618385806637701</v>
      </c>
      <c r="C4385" s="3">
        <v>1.6184363673993299E-2</v>
      </c>
      <c r="D4385" s="4">
        <v>3.85571066069283E-2</v>
      </c>
      <c r="E4385" s="3" t="s">
        <v>16558</v>
      </c>
      <c r="F4385" s="3" t="s">
        <v>16559</v>
      </c>
      <c r="G4385" s="3">
        <v>26462</v>
      </c>
      <c r="H4385" s="7" t="str">
        <f>HYPERLINK("http://www.ensembl.org/Mus_musculus/Gene/Summary?db=core;g=ENSMUSG00000075704","ENSMUSG00000075704")</f>
        <v>ENSMUSG00000075704</v>
      </c>
      <c r="I4385" s="7" t="str">
        <f>HYPERLINK("http://www.informatics.jax.org/marker/MGI:1347023","MGI:1347023")</f>
        <v>MGI:1347023</v>
      </c>
      <c r="J4385" s="4" t="s">
        <v>12</v>
      </c>
    </row>
    <row r="4386" spans="1:10" x14ac:dyDescent="0.25">
      <c r="A4386" s="2">
        <v>2616.2146070998701</v>
      </c>
      <c r="B4386" s="3">
        <v>-0.13651965717561201</v>
      </c>
      <c r="C4386" s="3">
        <v>1.6850041546596101E-2</v>
      </c>
      <c r="D4386" s="4">
        <v>3.9981087630715402E-2</v>
      </c>
      <c r="E4386" s="3" t="s">
        <v>16626</v>
      </c>
      <c r="F4386" s="3" t="s">
        <v>16627</v>
      </c>
      <c r="G4386" s="3">
        <v>20174</v>
      </c>
      <c r="H4386" s="7" t="str">
        <f>HYPERLINK("http://www.ensembl.org/Mus_musculus/Gene/Summary?db=core;g=ENSMUSG00000003868","ENSMUSG00000003868")</f>
        <v>ENSMUSG00000003868</v>
      </c>
      <c r="I4386" s="7" t="str">
        <f>HYPERLINK("http://www.informatics.jax.org/marker/MGI:1342299","MGI:1342299")</f>
        <v>MGI:1342299</v>
      </c>
      <c r="J4386" s="4" t="s">
        <v>12</v>
      </c>
    </row>
    <row r="4387" spans="1:10" x14ac:dyDescent="0.25">
      <c r="A4387" s="2">
        <v>737.712273288353</v>
      </c>
      <c r="B4387" s="3">
        <v>-0.13678587087497401</v>
      </c>
      <c r="C4387" s="3">
        <v>1.7138006900836601E-2</v>
      </c>
      <c r="D4387" s="4">
        <v>4.0605730636128497E-2</v>
      </c>
      <c r="E4387" s="3" t="s">
        <v>16650</v>
      </c>
      <c r="F4387" s="3" t="s">
        <v>16651</v>
      </c>
      <c r="G4387" s="3">
        <v>15183</v>
      </c>
      <c r="H4387" s="7" t="str">
        <f>HYPERLINK("http://www.ensembl.org/Mus_musculus/Gene/Summary?db=core;g=ENSMUSG00000024454","ENSMUSG00000024454")</f>
        <v>ENSMUSG00000024454</v>
      </c>
      <c r="I4387" s="7" t="str">
        <f>HYPERLINK("http://www.informatics.jax.org/marker/MGI:1343091","MGI:1343091")</f>
        <v>MGI:1343091</v>
      </c>
      <c r="J4387" s="4" t="s">
        <v>12</v>
      </c>
    </row>
    <row r="4388" spans="1:10" x14ac:dyDescent="0.25">
      <c r="A4388" s="2">
        <v>1577.45527247207</v>
      </c>
      <c r="B4388" s="3">
        <v>-0.13713770376416401</v>
      </c>
      <c r="C4388" s="3">
        <v>1.7243905922905998E-2</v>
      </c>
      <c r="D4388" s="4">
        <v>4.08272091247096E-2</v>
      </c>
      <c r="E4388" s="3" t="s">
        <v>16662</v>
      </c>
      <c r="F4388" s="3" t="s">
        <v>16663</v>
      </c>
      <c r="G4388" s="3">
        <v>235339</v>
      </c>
      <c r="H4388" s="7" t="str">
        <f>HYPERLINK("http://www.ensembl.org/Mus_musculus/Gene/Summary?db=core;g=ENSMUSG00000000168","ENSMUSG00000000168")</f>
        <v>ENSMUSG00000000168</v>
      </c>
      <c r="I4388" s="7" t="str">
        <f>HYPERLINK("http://www.informatics.jax.org/marker/MGI:2385311","MGI:2385311")</f>
        <v>MGI:2385311</v>
      </c>
      <c r="J4388" s="4" t="s">
        <v>12</v>
      </c>
    </row>
    <row r="4389" spans="1:10" x14ac:dyDescent="0.25">
      <c r="A4389" s="2">
        <v>648.26402651090802</v>
      </c>
      <c r="B4389" s="3">
        <v>-0.137822640491746</v>
      </c>
      <c r="C4389" s="3">
        <v>1.30713309738099E-2</v>
      </c>
      <c r="D4389" s="4">
        <v>3.1756393594127401E-2</v>
      </c>
      <c r="E4389" s="3" t="s">
        <v>16239</v>
      </c>
      <c r="F4389" s="3" t="s">
        <v>16240</v>
      </c>
      <c r="G4389" s="3">
        <v>27058</v>
      </c>
      <c r="H4389" s="7" t="str">
        <f>HYPERLINK("http://www.ensembl.org/Mus_musculus/Gene/Summary?db=core;g=ENSMUSG00000026511","ENSMUSG00000026511")</f>
        <v>ENSMUSG00000026511</v>
      </c>
      <c r="I4389" s="7" t="str">
        <f>HYPERLINK("http://www.informatics.jax.org/marker/MGI:1350930","MGI:1350930")</f>
        <v>MGI:1350930</v>
      </c>
      <c r="J4389" s="4" t="s">
        <v>12</v>
      </c>
    </row>
    <row r="4390" spans="1:10" x14ac:dyDescent="0.25">
      <c r="A4390" s="2">
        <v>1166.81065178928</v>
      </c>
      <c r="B4390" s="3">
        <v>-0.13796000690871801</v>
      </c>
      <c r="C4390" s="3">
        <v>3.4660355588864E-3</v>
      </c>
      <c r="D4390" s="4">
        <v>9.4133344196722108E-3</v>
      </c>
      <c r="E4390" s="3" t="s">
        <v>14525</v>
      </c>
      <c r="F4390" s="3" t="s">
        <v>14526</v>
      </c>
      <c r="G4390" s="3">
        <v>227800</v>
      </c>
      <c r="H4390" s="7" t="str">
        <f>HYPERLINK("http://www.ensembl.org/Mus_musculus/Gene/Summary?db=core;g=ENSMUSG00000035437","ENSMUSG00000035437")</f>
        <v>ENSMUSG00000035437</v>
      </c>
      <c r="I4390" s="7" t="str">
        <f>HYPERLINK("http://www.informatics.jax.org/marker/MGI:2385139","MGI:2385139")</f>
        <v>MGI:2385139</v>
      </c>
      <c r="J4390" s="4" t="s">
        <v>12</v>
      </c>
    </row>
    <row r="4391" spans="1:10" x14ac:dyDescent="0.25">
      <c r="A4391" s="2">
        <v>2804.1754005805501</v>
      </c>
      <c r="B4391" s="3">
        <v>-0.13824753395811001</v>
      </c>
      <c r="C4391" s="3">
        <v>7.8449436585044602E-4</v>
      </c>
      <c r="D4391" s="4">
        <v>2.3496702452264302E-3</v>
      </c>
      <c r="E4391" s="3" t="s">
        <v>13177</v>
      </c>
      <c r="F4391" s="3" t="s">
        <v>13178</v>
      </c>
      <c r="G4391" s="3">
        <v>94230</v>
      </c>
      <c r="H4391" s="7" t="str">
        <f>HYPERLINK("http://www.ensembl.org/Mus_musculus/Gene/Summary?db=core;g=ENSMUSG00000034022","ENSMUSG00000034022")</f>
        <v>ENSMUSG00000034022</v>
      </c>
      <c r="I4391" s="7" t="str">
        <f>HYPERLINK("http://www.informatics.jax.org/marker/MGI:2679722","MGI:2679722")</f>
        <v>MGI:2679722</v>
      </c>
      <c r="J4391" s="4" t="s">
        <v>12</v>
      </c>
    </row>
    <row r="4392" spans="1:10" x14ac:dyDescent="0.25">
      <c r="A4392" s="2">
        <v>1082.1855597552401</v>
      </c>
      <c r="B4392" s="3">
        <v>-0.138371039940863</v>
      </c>
      <c r="C4392" s="3">
        <v>8.4769387471430192E-3</v>
      </c>
      <c r="D4392" s="4">
        <v>2.1352054169582399E-2</v>
      </c>
      <c r="E4392" s="3" t="s">
        <v>15663</v>
      </c>
      <c r="F4392" s="3" t="s">
        <v>15664</v>
      </c>
      <c r="G4392" s="3">
        <v>19298</v>
      </c>
      <c r="H4392" s="7" t="str">
        <f>HYPERLINK("http://www.ensembl.org/Mus_musculus/Gene/Summary?db=core;g=ENSMUSG00000003464","ENSMUSG00000003464")</f>
        <v>ENSMUSG00000003464</v>
      </c>
      <c r="I4392" s="7" t="str">
        <f>HYPERLINK("http://www.informatics.jax.org/marker/MGI:1334458","MGI:1334458")</f>
        <v>MGI:1334458</v>
      </c>
      <c r="J4392" s="4" t="s">
        <v>12</v>
      </c>
    </row>
    <row r="4393" spans="1:10" x14ac:dyDescent="0.25">
      <c r="A4393" s="2">
        <v>5356.0739754399701</v>
      </c>
      <c r="B4393" s="3">
        <v>-0.14029074198859501</v>
      </c>
      <c r="C4393" s="3">
        <v>2.7816562313940502E-3</v>
      </c>
      <c r="D4393" s="4">
        <v>7.6729977455714899E-3</v>
      </c>
      <c r="E4393" s="3" t="s">
        <v>14303</v>
      </c>
      <c r="F4393" s="3" t="s">
        <v>14304</v>
      </c>
      <c r="G4393" s="3">
        <v>12616</v>
      </c>
      <c r="H4393" s="7" t="str">
        <f>HYPERLINK("http://www.ensembl.org/Mus_musculus/Gene/Summary?db=core;g=ENSMUSG00000068267","ENSMUSG00000068267")</f>
        <v>ENSMUSG00000068267</v>
      </c>
      <c r="I4393" s="7" t="str">
        <f>HYPERLINK("http://www.informatics.jax.org/marker/MGI:88376","MGI:88376")</f>
        <v>MGI:88376</v>
      </c>
      <c r="J4393" s="4" t="s">
        <v>12</v>
      </c>
    </row>
    <row r="4394" spans="1:10" x14ac:dyDescent="0.25">
      <c r="A4394" s="2">
        <v>666.80663714214802</v>
      </c>
      <c r="B4394" s="3">
        <v>-0.14097679505424299</v>
      </c>
      <c r="C4394" s="3">
        <v>1.0337012032254201E-2</v>
      </c>
      <c r="D4394" s="4">
        <v>2.5649846902469499E-2</v>
      </c>
      <c r="E4394" s="3" t="s">
        <v>15903</v>
      </c>
      <c r="F4394" s="3" t="s">
        <v>15904</v>
      </c>
      <c r="G4394" s="3">
        <v>19326</v>
      </c>
      <c r="H4394" s="7" t="str">
        <f>HYPERLINK("http://www.ensembl.org/Mus_musculus/Gene/Summary?db=core;g=ENSMUSG00000077450","ENSMUSG00000077450")</f>
        <v>ENSMUSG00000077450</v>
      </c>
      <c r="I4394" s="7" t="str">
        <f>HYPERLINK("http://www.informatics.jax.org/marker/MGI:99425","MGI:99425")</f>
        <v>MGI:99425</v>
      </c>
      <c r="J4394" s="4" t="s">
        <v>12</v>
      </c>
    </row>
    <row r="4395" spans="1:10" x14ac:dyDescent="0.25">
      <c r="A4395" s="2">
        <v>4753.8819711527904</v>
      </c>
      <c r="B4395" s="3">
        <v>-0.14127224876744399</v>
      </c>
      <c r="C4395" s="3">
        <v>1.5835343168571E-3</v>
      </c>
      <c r="D4395" s="4">
        <v>4.538851268666E-3</v>
      </c>
      <c r="E4395" s="3" t="s">
        <v>13767</v>
      </c>
      <c r="F4395" s="3" t="s">
        <v>13768</v>
      </c>
      <c r="G4395" s="3">
        <v>68066</v>
      </c>
      <c r="H4395" s="7" t="str">
        <f>HYPERLINK("http://www.ensembl.org/Mus_musculus/Gene/Summary?db=core;g=ENSMUSG00000018677","ENSMUSG00000018677")</f>
        <v>ENSMUSG00000018677</v>
      </c>
      <c r="I4395" s="7" t="str">
        <f>HYPERLINK("http://www.informatics.jax.org/marker/MGI:1196386","MGI:1196386")</f>
        <v>MGI:1196386</v>
      </c>
      <c r="J4395" s="4" t="s">
        <v>12</v>
      </c>
    </row>
    <row r="4396" spans="1:10" x14ac:dyDescent="0.25">
      <c r="A4396" s="2">
        <v>1866.6679707175099</v>
      </c>
      <c r="B4396" s="3">
        <v>-0.142000884058468</v>
      </c>
      <c r="C4396" s="3">
        <v>1.7939411972974401E-2</v>
      </c>
      <c r="D4396" s="4">
        <v>4.23012321065473E-2</v>
      </c>
      <c r="E4396" s="3" t="s">
        <v>16730</v>
      </c>
      <c r="F4396" s="3" t="s">
        <v>16731</v>
      </c>
      <c r="G4396" s="3">
        <v>20911</v>
      </c>
      <c r="H4396" s="7" t="str">
        <f>HYPERLINK("http://www.ensembl.org/Mus_musculus/Gene/Summary?db=core;g=ENSMUSG00000004626","ENSMUSG00000004626")</f>
        <v>ENSMUSG00000004626</v>
      </c>
      <c r="I4396" s="7" t="str">
        <f>HYPERLINK("http://www.informatics.jax.org/marker/MGI:107370","MGI:107370")</f>
        <v>MGI:107370</v>
      </c>
      <c r="J4396" s="4" t="s">
        <v>12</v>
      </c>
    </row>
    <row r="4397" spans="1:10" x14ac:dyDescent="0.25">
      <c r="A4397" s="2">
        <v>1960.5599735318499</v>
      </c>
      <c r="B4397" s="3">
        <v>-0.14223830299142101</v>
      </c>
      <c r="C4397" s="3">
        <v>1.1175582865549399E-2</v>
      </c>
      <c r="D4397" s="4">
        <v>2.7506551935675898E-2</v>
      </c>
      <c r="E4397" s="3" t="s">
        <v>16029</v>
      </c>
      <c r="F4397" s="3" t="s">
        <v>16030</v>
      </c>
      <c r="G4397" s="3">
        <v>231821</v>
      </c>
      <c r="H4397" s="7" t="str">
        <f>HYPERLINK("http://www.ensembl.org/Mus_musculus/Gene/Summary?db=core;g=ENSMUSG00000056413","ENSMUSG00000056413")</f>
        <v>ENSMUSG00000056413</v>
      </c>
      <c r="I4397" s="7" t="str">
        <f>HYPERLINK("http://www.informatics.jax.org/marker/MGI:2442201","MGI:2442201")</f>
        <v>MGI:2442201</v>
      </c>
      <c r="J4397" s="4" t="s">
        <v>12</v>
      </c>
    </row>
    <row r="4398" spans="1:10" x14ac:dyDescent="0.25">
      <c r="A4398" s="2">
        <v>3882.9111552976401</v>
      </c>
      <c r="B4398" s="3">
        <v>-0.14421316175096999</v>
      </c>
      <c r="C4398" s="3">
        <v>1.6921819282914301E-2</v>
      </c>
      <c r="D4398" s="4">
        <v>4.0146568366105598E-2</v>
      </c>
      <c r="E4398" s="3" t="s">
        <v>16628</v>
      </c>
      <c r="F4398" s="3" t="s">
        <v>16629</v>
      </c>
      <c r="G4398" s="3">
        <v>227720</v>
      </c>
      <c r="H4398" s="7" t="str">
        <f>HYPERLINK("http://www.ensembl.org/Mus_musculus/Gene/Summary?db=core;g=ENSMUSG00000001855","ENSMUSG00000001855")</f>
        <v>ENSMUSG00000001855</v>
      </c>
      <c r="I4398" s="7" t="str">
        <f>HYPERLINK("http://www.informatics.jax.org/marker/MGI:1095411","MGI:1095411")</f>
        <v>MGI:1095411</v>
      </c>
      <c r="J4398" s="4" t="s">
        <v>12</v>
      </c>
    </row>
    <row r="4399" spans="1:10" x14ac:dyDescent="0.25">
      <c r="A4399" s="2">
        <v>1305.4586870826599</v>
      </c>
      <c r="B4399" s="3">
        <v>-0.14458467980126599</v>
      </c>
      <c r="C4399" s="3">
        <v>2.4601182454743399E-3</v>
      </c>
      <c r="D4399" s="4">
        <v>6.8463917302785801E-3</v>
      </c>
      <c r="E4399" s="3" t="s">
        <v>14179</v>
      </c>
      <c r="F4399" s="3" t="s">
        <v>14180</v>
      </c>
      <c r="G4399" s="3">
        <v>102060</v>
      </c>
      <c r="H4399" s="7" t="str">
        <f>HYPERLINK("http://www.ensembl.org/Mus_musculus/Gene/Summary?db=core;g=ENSMUSG00000033751","ENSMUSG00000033751")</f>
        <v>ENSMUSG00000033751</v>
      </c>
      <c r="I4399" s="7" t="str">
        <f>HYPERLINK("http://www.informatics.jax.org/marker/MGI:1914947","MGI:1914947")</f>
        <v>MGI:1914947</v>
      </c>
      <c r="J4399" s="4" t="s">
        <v>12</v>
      </c>
    </row>
    <row r="4400" spans="1:10" x14ac:dyDescent="0.25">
      <c r="A4400" s="2">
        <v>1383.1033349311599</v>
      </c>
      <c r="B4400" s="3">
        <v>-0.14492817228150101</v>
      </c>
      <c r="C4400" s="3">
        <v>2.2255453235986598E-3</v>
      </c>
      <c r="D4400" s="4">
        <v>6.24203581017859E-3</v>
      </c>
      <c r="E4400" s="3" t="s">
        <v>14069</v>
      </c>
      <c r="F4400" s="3" t="s">
        <v>14070</v>
      </c>
      <c r="G4400" s="3">
        <v>223455</v>
      </c>
      <c r="H4400" s="7" t="str">
        <f>HYPERLINK("http://www.ensembl.org/Mus_musculus/Gene/Summary?db=core;g=ENSMUSG00000039100","ENSMUSG00000039100")</f>
        <v>ENSMUSG00000039100</v>
      </c>
      <c r="I4400" s="7" t="str">
        <f>HYPERLINK("http://www.informatics.jax.org/marker/MGI:2442773","MGI:2442773")</f>
        <v>MGI:2442773</v>
      </c>
      <c r="J4400" s="4" t="s">
        <v>12</v>
      </c>
    </row>
    <row r="4401" spans="1:10" x14ac:dyDescent="0.25">
      <c r="A4401" s="2">
        <v>3568.31492690812</v>
      </c>
      <c r="B4401" s="3">
        <v>-0.14562434565896901</v>
      </c>
      <c r="C4401" s="3">
        <v>2.05335422068793E-3</v>
      </c>
      <c r="D4401" s="4">
        <v>5.7912107025122903E-3</v>
      </c>
      <c r="E4401" s="3" t="s">
        <v>13991</v>
      </c>
      <c r="F4401" s="3" t="s">
        <v>13992</v>
      </c>
      <c r="G4401" s="3">
        <v>80913</v>
      </c>
      <c r="H4401" s="7" t="str">
        <f>HYPERLINK("http://www.ensembl.org/Mus_musculus/Gene/Summary?db=core;g=ENSMUSG00000020594","ENSMUSG00000020594")</f>
        <v>ENSMUSG00000020594</v>
      </c>
      <c r="I4401" s="7" t="str">
        <f>HYPERLINK("http://www.informatics.jax.org/marker/MGI:1931751","MGI:1931751")</f>
        <v>MGI:1931751</v>
      </c>
      <c r="J4401" s="4" t="s">
        <v>12</v>
      </c>
    </row>
    <row r="4402" spans="1:10" x14ac:dyDescent="0.25">
      <c r="A4402" s="2">
        <v>3195.8210357338999</v>
      </c>
      <c r="B4402" s="3">
        <v>-0.14604801083590599</v>
      </c>
      <c r="C4402" s="3">
        <v>3.9204439679966898E-3</v>
      </c>
      <c r="D4402" s="4">
        <v>1.0570297381582499E-2</v>
      </c>
      <c r="E4402" s="3" t="s">
        <v>14631</v>
      </c>
      <c r="F4402" s="3" t="s">
        <v>14632</v>
      </c>
      <c r="G4402" s="3">
        <v>110355</v>
      </c>
      <c r="H4402" s="7" t="str">
        <f>HYPERLINK("http://www.ensembl.org/Mus_musculus/Gene/Summary?db=core;g=ENSMUSG00000024858","ENSMUSG00000024858")</f>
        <v>ENSMUSG00000024858</v>
      </c>
      <c r="I4402" s="7" t="str">
        <f>HYPERLINK("http://www.informatics.jax.org/marker/MGI:87940","MGI:87940")</f>
        <v>MGI:87940</v>
      </c>
      <c r="J4402" s="4" t="s">
        <v>12</v>
      </c>
    </row>
    <row r="4403" spans="1:10" x14ac:dyDescent="0.25">
      <c r="A4403" s="2">
        <v>1552.4878182189</v>
      </c>
      <c r="B4403" s="3">
        <v>-0.14623117739620101</v>
      </c>
      <c r="C4403" s="3">
        <v>9.3379295372303102E-4</v>
      </c>
      <c r="D4403" s="4">
        <v>2.7649244815943202E-3</v>
      </c>
      <c r="E4403" s="3" t="s">
        <v>13328</v>
      </c>
      <c r="F4403" s="3" t="s">
        <v>13329</v>
      </c>
      <c r="G4403" s="3">
        <v>56697</v>
      </c>
      <c r="H4403" s="7" t="str">
        <f>HYPERLINK("http://www.ensembl.org/Mus_musculus/Gene/Summary?db=core;g=ENSMUSG00000047804","ENSMUSG00000047804")</f>
        <v>ENSMUSG00000047804</v>
      </c>
      <c r="I4403" s="7" t="str">
        <f>HYPERLINK("http://www.informatics.jax.org/marker/MGI:1890218","MGI:1890218")</f>
        <v>MGI:1890218</v>
      </c>
      <c r="J4403" s="4" t="s">
        <v>12</v>
      </c>
    </row>
    <row r="4404" spans="1:10" x14ac:dyDescent="0.25">
      <c r="A4404" s="2">
        <v>891.76325389640999</v>
      </c>
      <c r="B4404" s="3">
        <v>-0.14667173943013401</v>
      </c>
      <c r="C4404" s="3">
        <v>3.7199360680185002E-3</v>
      </c>
      <c r="D4404" s="4">
        <v>1.00668504544154E-2</v>
      </c>
      <c r="E4404" s="3" t="s">
        <v>14577</v>
      </c>
      <c r="F4404" s="3" t="s">
        <v>14578</v>
      </c>
      <c r="G4404" s="3">
        <v>12412</v>
      </c>
      <c r="H4404" s="7" t="str">
        <f>HYPERLINK("http://www.ensembl.org/Mus_musculus/Gene/Summary?db=core;g=ENSMUSG00000018666","ENSMUSG00000018666")</f>
        <v>ENSMUSG00000018666</v>
      </c>
      <c r="I4404" s="7" t="str">
        <f>HYPERLINK("http://www.informatics.jax.org/marker/MGI:105369","MGI:105369")</f>
        <v>MGI:105369</v>
      </c>
      <c r="J4404" s="4" t="s">
        <v>12</v>
      </c>
    </row>
    <row r="4405" spans="1:10" x14ac:dyDescent="0.25">
      <c r="A4405" s="2">
        <v>2392.9556139810302</v>
      </c>
      <c r="B4405" s="3">
        <v>-0.14691998111080601</v>
      </c>
      <c r="C4405" s="3">
        <v>2.2090449432787401E-3</v>
      </c>
      <c r="D4405" s="4">
        <v>6.1992836603752396E-3</v>
      </c>
      <c r="E4405" s="3" t="s">
        <v>14061</v>
      </c>
      <c r="F4405" s="3" t="s">
        <v>14062</v>
      </c>
      <c r="G4405" s="3">
        <v>109658</v>
      </c>
      <c r="H4405" s="7" t="str">
        <f>HYPERLINK("http://www.ensembl.org/Mus_musculus/Gene/Summary?db=core;g=ENSMUSG00000053841","ENSMUSG00000053841")</f>
        <v>ENSMUSG00000053841</v>
      </c>
      <c r="I4405" s="7" t="str">
        <f>HYPERLINK("http://www.informatics.jax.org/marker/MGI:105968","MGI:105968")</f>
        <v>MGI:105968</v>
      </c>
      <c r="J4405" s="4" t="s">
        <v>12</v>
      </c>
    </row>
    <row r="4406" spans="1:10" x14ac:dyDescent="0.25">
      <c r="A4406" s="2">
        <v>731.57535345084796</v>
      </c>
      <c r="B4406" s="3">
        <v>-0.14717815995896</v>
      </c>
      <c r="C4406" s="3">
        <v>8.4718868962923299E-3</v>
      </c>
      <c r="D4406" s="4">
        <v>2.1342055390251E-2</v>
      </c>
      <c r="E4406" s="3" t="s">
        <v>15661</v>
      </c>
      <c r="F4406" s="3" t="s">
        <v>15662</v>
      </c>
      <c r="G4406" s="3">
        <v>57295</v>
      </c>
      <c r="H4406" s="7" t="str">
        <f>HYPERLINK("http://www.ensembl.org/Mus_musculus/Gene/Summary?db=core;g=ENSMUSG00000039662","ENSMUSG00000039662")</f>
        <v>ENSMUSG00000039662</v>
      </c>
      <c r="I4406" s="7" t="str">
        <f>HYPERLINK("http://www.informatics.jax.org/marker/MGI:1888594","MGI:1888594")</f>
        <v>MGI:1888594</v>
      </c>
      <c r="J4406" s="4" t="s">
        <v>12</v>
      </c>
    </row>
    <row r="4407" spans="1:10" x14ac:dyDescent="0.25">
      <c r="A4407" s="2">
        <v>873.45689750383497</v>
      </c>
      <c r="B4407" s="3">
        <v>-0.147768628772496</v>
      </c>
      <c r="C4407" s="3">
        <v>3.7837865598947E-3</v>
      </c>
      <c r="D4407" s="4">
        <v>1.0229815048138699E-2</v>
      </c>
      <c r="E4407" s="3" t="s">
        <v>14591</v>
      </c>
      <c r="F4407" s="3" t="s">
        <v>14592</v>
      </c>
      <c r="G4407" s="3">
        <v>50850</v>
      </c>
      <c r="H4407" s="7" t="str">
        <f>HYPERLINK("http://www.ensembl.org/Mus_musculus/Gene/Summary?db=core;g=ENSMUSG00000024068","ENSMUSG00000024068")</f>
        <v>ENSMUSG00000024068</v>
      </c>
      <c r="I4407" s="7" t="str">
        <f>HYPERLINK("http://www.informatics.jax.org/marker/MGI:1858896","MGI:1858896")</f>
        <v>MGI:1858896</v>
      </c>
      <c r="J4407" s="4" t="s">
        <v>12</v>
      </c>
    </row>
    <row r="4408" spans="1:10" x14ac:dyDescent="0.25">
      <c r="A4408" s="2">
        <v>1345.57777742643</v>
      </c>
      <c r="B4408" s="3">
        <v>-0.14794376620932601</v>
      </c>
      <c r="C4408" s="3">
        <v>1.28018830238062E-2</v>
      </c>
      <c r="D4408" s="4">
        <v>3.1159359816028E-2</v>
      </c>
      <c r="E4408" s="3" t="s">
        <v>16209</v>
      </c>
      <c r="F4408" s="3" t="s">
        <v>16210</v>
      </c>
      <c r="G4408" s="3">
        <v>21843</v>
      </c>
      <c r="H4408" s="7" t="str">
        <f>HYPERLINK("http://www.ensembl.org/Mus_musculus/Gene/Summary?db=core;g=ENSMUSG00000030846","ENSMUSG00000030846")</f>
        <v>ENSMUSG00000030846</v>
      </c>
      <c r="I4408" s="7" t="str">
        <f>HYPERLINK("http://www.informatics.jax.org/marker/MGI:107913","MGI:107913")</f>
        <v>MGI:107913</v>
      </c>
      <c r="J4408" s="4" t="s">
        <v>12</v>
      </c>
    </row>
    <row r="4409" spans="1:10" x14ac:dyDescent="0.25">
      <c r="A4409" s="2">
        <v>826.45184280272201</v>
      </c>
      <c r="B4409" s="3">
        <v>-0.148012852820536</v>
      </c>
      <c r="C4409" s="3">
        <v>7.7019233406047903E-3</v>
      </c>
      <c r="D4409" s="4">
        <v>1.9579983018786402E-2</v>
      </c>
      <c r="E4409" s="3" t="s">
        <v>15519</v>
      </c>
      <c r="F4409" s="3" t="s">
        <v>15520</v>
      </c>
      <c r="G4409" s="3">
        <v>211446</v>
      </c>
      <c r="H4409" s="7" t="str">
        <f>HYPERLINK("http://www.ensembl.org/Mus_musculus/Gene/Summary?db=core;g=ENSMUSG00000034152","ENSMUSG00000034152")</f>
        <v>ENSMUSG00000034152</v>
      </c>
      <c r="I4409" s="7" t="str">
        <f>HYPERLINK("http://www.informatics.jax.org/marker/MGI:2443972","MGI:2443972")</f>
        <v>MGI:2443972</v>
      </c>
      <c r="J4409" s="4" t="s">
        <v>12</v>
      </c>
    </row>
    <row r="4410" spans="1:10" x14ac:dyDescent="0.25">
      <c r="A4410" s="2">
        <v>2646.7045307375101</v>
      </c>
      <c r="B4410" s="3">
        <v>-0.14891275106216501</v>
      </c>
      <c r="C4410" s="3">
        <v>2.3669111702180899E-4</v>
      </c>
      <c r="D4410" s="4">
        <v>7.6155144846958304E-4</v>
      </c>
      <c r="E4410" s="3" t="s">
        <v>12269</v>
      </c>
      <c r="F4410" s="3" t="s">
        <v>12270</v>
      </c>
      <c r="G4410" s="3">
        <v>54451</v>
      </c>
      <c r="H4410" s="7" t="str">
        <f>HYPERLINK("http://www.ensembl.org/Mus_musculus/Gene/Summary?db=core;g=ENSMUSG00000054309","ENSMUSG00000054309")</f>
        <v>ENSMUSG00000054309</v>
      </c>
      <c r="I4410" s="7" t="str">
        <f>HYPERLINK("http://www.informatics.jax.org/marker/MGI:1859328","MGI:1859328")</f>
        <v>MGI:1859328</v>
      </c>
      <c r="J4410" s="4" t="s">
        <v>12</v>
      </c>
    </row>
    <row r="4411" spans="1:10" x14ac:dyDescent="0.25">
      <c r="A4411" s="2">
        <v>3733.0887397155998</v>
      </c>
      <c r="B4411" s="3">
        <v>-0.149451483228486</v>
      </c>
      <c r="C4411" s="3">
        <v>1.53363198319388E-2</v>
      </c>
      <c r="D4411" s="4">
        <v>3.6716307768099199E-2</v>
      </c>
      <c r="E4411" s="3" t="s">
        <v>16475</v>
      </c>
      <c r="F4411" s="3" t="s">
        <v>16476</v>
      </c>
      <c r="G4411" s="3">
        <v>16332</v>
      </c>
      <c r="H4411" s="7" t="str">
        <f>HYPERLINK("http://www.ensembl.org/Mus_musculus/Gene/Summary?db=core;g=ENSMUSG00000032737","ENSMUSG00000032737")</f>
        <v>ENSMUSG00000032737</v>
      </c>
      <c r="I4411" s="7" t="str">
        <f>HYPERLINK("http://www.informatics.jax.org/marker/MGI:1333787","MGI:1333787")</f>
        <v>MGI:1333787</v>
      </c>
      <c r="J4411" s="4" t="s">
        <v>12</v>
      </c>
    </row>
    <row r="4412" spans="1:10" x14ac:dyDescent="0.25">
      <c r="A4412" s="2">
        <v>1819.9591405066301</v>
      </c>
      <c r="B4412" s="3">
        <v>-0.14961589753996399</v>
      </c>
      <c r="C4412" s="3">
        <v>2.9191277252406701E-3</v>
      </c>
      <c r="D4412" s="4">
        <v>8.0129730987953899E-3</v>
      </c>
      <c r="E4412" s="3" t="s">
        <v>14373</v>
      </c>
      <c r="F4412" s="3" t="s">
        <v>14374</v>
      </c>
      <c r="G4412" s="3">
        <v>56207</v>
      </c>
      <c r="H4412" s="7" t="str">
        <f>HYPERLINK("http://www.ensembl.org/Mus_musculus/Gene/Summary?db=core;g=ENSMUSG00000018189","ENSMUSG00000018189")</f>
        <v>ENSMUSG00000018189</v>
      </c>
      <c r="I4412" s="7" t="str">
        <f>HYPERLINK("http://www.informatics.jax.org/marker/MGI:1914848","MGI:1914848")</f>
        <v>MGI:1914848</v>
      </c>
      <c r="J4412" s="4" t="s">
        <v>12</v>
      </c>
    </row>
    <row r="4413" spans="1:10" x14ac:dyDescent="0.25">
      <c r="A4413" s="2">
        <v>527.58691734071704</v>
      </c>
      <c r="B4413" s="3">
        <v>-0.1497318674067</v>
      </c>
      <c r="C4413" s="3">
        <v>1.29116063626752E-2</v>
      </c>
      <c r="D4413" s="4">
        <v>3.1399294299168198E-2</v>
      </c>
      <c r="E4413" s="3" t="s">
        <v>16223</v>
      </c>
      <c r="F4413" s="3" t="s">
        <v>16224</v>
      </c>
      <c r="G4413" s="3">
        <v>66615</v>
      </c>
      <c r="H4413" s="7" t="str">
        <f>HYPERLINK("http://www.ensembl.org/Mus_musculus/Gene/Summary?db=core;g=ENSMUSG00000026280","ENSMUSG00000026280")</f>
        <v>ENSMUSG00000026280</v>
      </c>
      <c r="I4413" s="7" t="str">
        <f>HYPERLINK("http://www.informatics.jax.org/marker/MGI:1913865","MGI:1913865")</f>
        <v>MGI:1913865</v>
      </c>
      <c r="J4413" s="4" t="s">
        <v>12</v>
      </c>
    </row>
    <row r="4414" spans="1:10" x14ac:dyDescent="0.25">
      <c r="A4414" s="2">
        <v>10949.749507901201</v>
      </c>
      <c r="B4414" s="3">
        <v>-0.15019525737834799</v>
      </c>
      <c r="C4414" s="3">
        <v>1.5597227419063601E-4</v>
      </c>
      <c r="D4414" s="4">
        <v>5.1322764008665805E-4</v>
      </c>
      <c r="E4414" s="3" t="s">
        <v>11997</v>
      </c>
      <c r="F4414" s="3" t="s">
        <v>11998</v>
      </c>
      <c r="G4414" s="3">
        <v>20402</v>
      </c>
      <c r="H4414" s="7" t="str">
        <f>HYPERLINK("http://www.ensembl.org/Mus_musculus/Gene/Summary?db=core;g=ENSMUSG00000027288","ENSMUSG00000027288")</f>
        <v>ENSMUSG00000027288</v>
      </c>
      <c r="I4414" s="7" t="str">
        <f>HYPERLINK("http://www.informatics.jax.org/marker/MGI:1270153","MGI:1270153")</f>
        <v>MGI:1270153</v>
      </c>
      <c r="J4414" s="4" t="s">
        <v>12</v>
      </c>
    </row>
    <row r="4415" spans="1:10" x14ac:dyDescent="0.25">
      <c r="A4415" s="2">
        <v>649.70108760998403</v>
      </c>
      <c r="B4415" s="3">
        <v>-0.15067019970009499</v>
      </c>
      <c r="C4415" s="3">
        <v>1.8353788136378901E-2</v>
      </c>
      <c r="D4415" s="4">
        <v>4.3175080764570203E-2</v>
      </c>
      <c r="E4415" s="3" t="s">
        <v>16770</v>
      </c>
      <c r="F4415" s="3" t="s">
        <v>16771</v>
      </c>
      <c r="G4415" s="3">
        <v>56224</v>
      </c>
      <c r="H4415" s="7" t="str">
        <f>HYPERLINK("http://www.ensembl.org/Mus_musculus/Gene/Summary?db=core;g=ENSMUSG00000028152","ENSMUSG00000028152")</f>
        <v>ENSMUSG00000028152</v>
      </c>
      <c r="I4415" s="7" t="str">
        <f>HYPERLINK("http://www.informatics.jax.org/marker/MGI:1928096","MGI:1928096")</f>
        <v>MGI:1928096</v>
      </c>
      <c r="J4415" s="4" t="s">
        <v>12</v>
      </c>
    </row>
    <row r="4416" spans="1:10" x14ac:dyDescent="0.25">
      <c r="A4416" s="2">
        <v>3615.1068599076898</v>
      </c>
      <c r="B4416" s="3">
        <v>-0.15116804621823399</v>
      </c>
      <c r="C4416" s="3">
        <v>4.1834931529200802E-3</v>
      </c>
      <c r="D4416" s="4">
        <v>1.12227567644652E-2</v>
      </c>
      <c r="E4416" s="3" t="s">
        <v>14706</v>
      </c>
      <c r="F4416" s="3" t="s">
        <v>14707</v>
      </c>
      <c r="G4416" s="3">
        <v>58800</v>
      </c>
      <c r="H4416" s="7" t="str">
        <f>HYPERLINK("http://www.ensembl.org/Mus_musculus/Gene/Summary?db=core;g=ENSMUSG00000027365","ENSMUSG00000027365")</f>
        <v>ENSMUSG00000027365</v>
      </c>
      <c r="I4416" s="7" t="str">
        <f>HYPERLINK("http://www.informatics.jax.org/marker/MGI:1929996","MGI:1929996")</f>
        <v>MGI:1929996</v>
      </c>
      <c r="J4416" s="4" t="s">
        <v>12</v>
      </c>
    </row>
    <row r="4417" spans="1:10" x14ac:dyDescent="0.25">
      <c r="A4417" s="2">
        <v>5083.5259229889898</v>
      </c>
      <c r="B4417" s="3">
        <v>-0.151355351264787</v>
      </c>
      <c r="C4417" s="3">
        <v>3.9059984806924899E-4</v>
      </c>
      <c r="D4417" s="4">
        <v>1.2187704120135399E-3</v>
      </c>
      <c r="E4417" s="3" t="s">
        <v>12653</v>
      </c>
      <c r="F4417" s="3" t="s">
        <v>12654</v>
      </c>
      <c r="G4417" s="3">
        <v>245688</v>
      </c>
      <c r="H4417" s="7" t="str">
        <f>HYPERLINK("http://www.ensembl.org/Mus_musculus/Gene/Summary?db=core;g=ENSMUSG00000031353","ENSMUSG00000031353")</f>
        <v>ENSMUSG00000031353</v>
      </c>
      <c r="I4417" s="7" t="str">
        <f>HYPERLINK("http://www.informatics.jax.org/marker/MGI:1194910","MGI:1194910")</f>
        <v>MGI:1194910</v>
      </c>
      <c r="J4417" s="4" t="s">
        <v>12</v>
      </c>
    </row>
    <row r="4418" spans="1:10" x14ac:dyDescent="0.25">
      <c r="A4418" s="2">
        <v>3132.5374391452801</v>
      </c>
      <c r="B4418" s="3">
        <v>-0.15184171403295799</v>
      </c>
      <c r="C4418" s="3">
        <v>5.9601914735200401E-3</v>
      </c>
      <c r="D4418" s="4">
        <v>1.5512072833287E-2</v>
      </c>
      <c r="E4418" s="3" t="s">
        <v>15158</v>
      </c>
      <c r="F4418" s="3" t="s">
        <v>15159</v>
      </c>
      <c r="G4418" s="3">
        <v>13016</v>
      </c>
      <c r="H4418" s="7" t="str">
        <f>HYPERLINK("http://www.ensembl.org/Mus_musculus/Gene/Summary?db=core;g=ENSMUSG00000037373","ENSMUSG00000037373")</f>
        <v>ENSMUSG00000037373</v>
      </c>
      <c r="I4418" s="7" t="str">
        <f>HYPERLINK("http://www.informatics.jax.org/marker/MGI:1201685","MGI:1201685")</f>
        <v>MGI:1201685</v>
      </c>
      <c r="J4418" s="4" t="s">
        <v>12</v>
      </c>
    </row>
    <row r="4419" spans="1:10" x14ac:dyDescent="0.25">
      <c r="A4419" s="2">
        <v>7055.2691293807302</v>
      </c>
      <c r="B4419" s="3">
        <v>-0.152293430696818</v>
      </c>
      <c r="C4419" s="3">
        <v>4.0787105483633802E-4</v>
      </c>
      <c r="D4419" s="4">
        <v>1.26944715930754E-3</v>
      </c>
      <c r="E4419" s="3" t="s">
        <v>12685</v>
      </c>
      <c r="F4419" s="3" t="s">
        <v>12686</v>
      </c>
      <c r="G4419" s="3">
        <v>66945</v>
      </c>
      <c r="H4419" s="7" t="str">
        <f>HYPERLINK("http://www.ensembl.org/Mus_musculus/Gene/Summary?db=core;g=ENSMUSG00000021577","ENSMUSG00000021577")</f>
        <v>ENSMUSG00000021577</v>
      </c>
      <c r="I4419" s="7" t="str">
        <f>HYPERLINK("http://www.informatics.jax.org/marker/MGI:1914195","MGI:1914195")</f>
        <v>MGI:1914195</v>
      </c>
      <c r="J4419" s="4" t="s">
        <v>12</v>
      </c>
    </row>
    <row r="4420" spans="1:10" x14ac:dyDescent="0.25">
      <c r="A4420" s="2">
        <v>2237.9616624806699</v>
      </c>
      <c r="B4420" s="3">
        <v>-0.15252369272367799</v>
      </c>
      <c r="C4420" s="3">
        <v>1.32908046658303E-2</v>
      </c>
      <c r="D4420" s="4">
        <v>3.2218865805721197E-2</v>
      </c>
      <c r="E4420" s="3" t="s">
        <v>16275</v>
      </c>
      <c r="F4420" s="3" t="s">
        <v>16276</v>
      </c>
      <c r="G4420" s="3">
        <v>78928</v>
      </c>
      <c r="H4420" s="7" t="str">
        <f>HYPERLINK("http://www.ensembl.org/Mus_musculus/Gene/Summary?db=core;g=ENSMUSG00000017721","ENSMUSG00000017721")</f>
        <v>ENSMUSG00000017721</v>
      </c>
      <c r="I4420" s="7" t="str">
        <f>HYPERLINK("http://www.informatics.jax.org/marker/MGI:1926178","MGI:1926178")</f>
        <v>MGI:1926178</v>
      </c>
      <c r="J4420" s="4" t="s">
        <v>12</v>
      </c>
    </row>
    <row r="4421" spans="1:10" x14ac:dyDescent="0.25">
      <c r="A4421" s="2">
        <v>789.74975196864705</v>
      </c>
      <c r="B4421" s="3">
        <v>-0.152579113096207</v>
      </c>
      <c r="C4421" s="3">
        <v>1.31582510020062E-3</v>
      </c>
      <c r="D4421" s="4">
        <v>3.8147707991702802E-3</v>
      </c>
      <c r="E4421" s="3" t="s">
        <v>13613</v>
      </c>
      <c r="F4421" s="3" t="s">
        <v>13614</v>
      </c>
      <c r="G4421" s="3">
        <v>103784</v>
      </c>
      <c r="H4421" s="7" t="str">
        <f>HYPERLINK("http://www.ensembl.org/Mus_musculus/Gene/Summary?db=core;g=ENSMUSG00000078970","ENSMUSG00000078970")</f>
        <v>ENSMUSG00000078970</v>
      </c>
      <c r="I4421" s="7" t="str">
        <f>HYPERLINK("http://www.informatics.jax.org/marker/MGI:2144224","MGI:2144224")</f>
        <v>MGI:2144224</v>
      </c>
      <c r="J4421" s="4" t="s">
        <v>12</v>
      </c>
    </row>
    <row r="4422" spans="1:10" x14ac:dyDescent="0.25">
      <c r="A4422" s="2">
        <v>1382.57929954259</v>
      </c>
      <c r="B4422" s="3">
        <v>-0.153129810031255</v>
      </c>
      <c r="C4422" s="3">
        <v>3.0187246407529498E-3</v>
      </c>
      <c r="D4422" s="4">
        <v>8.2668032100608503E-3</v>
      </c>
      <c r="E4422" s="3" t="s">
        <v>14407</v>
      </c>
      <c r="F4422" s="3" t="s">
        <v>14408</v>
      </c>
      <c r="G4422" s="3">
        <v>94066</v>
      </c>
      <c r="H4422" s="7" t="str">
        <f>HYPERLINK("http://www.ensembl.org/Mus_musculus/Gene/Summary?db=core;g=ENSMUSG00000021607","ENSMUSG00000021607")</f>
        <v>ENSMUSG00000021607</v>
      </c>
      <c r="I4422" s="7" t="str">
        <f>HYPERLINK("http://www.informatics.jax.org/marker/MGI:2137228","MGI:2137228")</f>
        <v>MGI:2137228</v>
      </c>
      <c r="J4422" s="4" t="s">
        <v>12</v>
      </c>
    </row>
    <row r="4423" spans="1:10" x14ac:dyDescent="0.25">
      <c r="A4423" s="2">
        <v>2774.3731472111899</v>
      </c>
      <c r="B4423" s="3">
        <v>-0.15321097801737299</v>
      </c>
      <c r="C4423" s="3">
        <v>9.2655562927935302E-3</v>
      </c>
      <c r="D4423" s="4">
        <v>2.3196238427559801E-2</v>
      </c>
      <c r="E4423" s="3" t="s">
        <v>15759</v>
      </c>
      <c r="F4423" s="3" t="s">
        <v>15760</v>
      </c>
      <c r="G4423" s="3">
        <v>17261</v>
      </c>
      <c r="H4423" s="7" t="str">
        <f>HYPERLINK("http://www.ensembl.org/Mus_musculus/Gene/Summary?db=core;g=ENSMUSG00000001419","ENSMUSG00000001419")</f>
        <v>ENSMUSG00000001419</v>
      </c>
      <c r="I4423" s="7" t="str">
        <f>HYPERLINK("http://www.informatics.jax.org/marker/MGI:99533","MGI:99533")</f>
        <v>MGI:99533</v>
      </c>
      <c r="J4423" s="4" t="s">
        <v>12</v>
      </c>
    </row>
    <row r="4424" spans="1:10" x14ac:dyDescent="0.25">
      <c r="A4424" s="2">
        <v>691.25393731909105</v>
      </c>
      <c r="B4424" s="3">
        <v>-0.153573090718953</v>
      </c>
      <c r="C4424" s="3">
        <v>1.6061775026967599E-2</v>
      </c>
      <c r="D4424" s="4">
        <v>3.8295031257623097E-2</v>
      </c>
      <c r="E4424" s="3" t="s">
        <v>16546</v>
      </c>
      <c r="F4424" s="3" t="s">
        <v>16547</v>
      </c>
      <c r="G4424" s="3">
        <v>71449</v>
      </c>
      <c r="H4424" s="7" t="str">
        <f>HYPERLINK("http://www.ensembl.org/Mus_musculus/Gene/Summary?db=core;g=ENSMUSG00000026694","ENSMUSG00000026694")</f>
        <v>ENSMUSG00000026694</v>
      </c>
      <c r="I4424" s="7" t="str">
        <f>HYPERLINK("http://www.informatics.jax.org/marker/MGI:1918699","MGI:1918699")</f>
        <v>MGI:1918699</v>
      </c>
      <c r="J4424" s="4" t="s">
        <v>12</v>
      </c>
    </row>
    <row r="4425" spans="1:10" x14ac:dyDescent="0.25">
      <c r="A4425" s="2">
        <v>998.97426292123396</v>
      </c>
      <c r="B4425" s="3">
        <v>-0.15364661694861001</v>
      </c>
      <c r="C4425" s="3">
        <v>1.97876873655683E-2</v>
      </c>
      <c r="D4425" s="4">
        <v>4.6244749330292302E-2</v>
      </c>
      <c r="E4425" s="3" t="s">
        <v>16880</v>
      </c>
      <c r="F4425" s="3" t="s">
        <v>16881</v>
      </c>
      <c r="G4425" s="3">
        <v>15247</v>
      </c>
      <c r="H4425" s="7" t="str">
        <f>HYPERLINK("http://www.ensembl.org/Mus_musculus/Gene/Summary?db=core;g=ENSMUSG00000089911","ENSMUSG00000089911")</f>
        <v>ENSMUSG00000089911</v>
      </c>
      <c r="I4425" s="7" t="str">
        <f>HYPERLINK("http://www.informatics.jax.org/marker/MGI:1201609","MGI:1201609")</f>
        <v>MGI:1201609</v>
      </c>
      <c r="J4425" s="4" t="s">
        <v>12</v>
      </c>
    </row>
    <row r="4426" spans="1:10" x14ac:dyDescent="0.25">
      <c r="A4426" s="2">
        <v>865.42890553625898</v>
      </c>
      <c r="B4426" s="3">
        <v>-0.15475634467143001</v>
      </c>
      <c r="C4426" s="3">
        <v>1.7804968441729199E-2</v>
      </c>
      <c r="D4426" s="4">
        <v>4.20294442986473E-2</v>
      </c>
      <c r="E4426" s="3" t="s">
        <v>16712</v>
      </c>
      <c r="F4426" s="3" t="s">
        <v>16713</v>
      </c>
      <c r="G4426" s="3">
        <v>20016</v>
      </c>
      <c r="H4426" s="7" t="str">
        <f>HYPERLINK("http://www.ensembl.org/Mus_musculus/Gene/Summary?db=core;g=ENSMUSG00000067148","ENSMUSG00000067148")</f>
        <v>ENSMUSG00000067148</v>
      </c>
      <c r="I4426" s="7" t="str">
        <f>HYPERLINK("http://www.informatics.jax.org/marker/MGI:103288","MGI:103288")</f>
        <v>MGI:103288</v>
      </c>
      <c r="J4426" s="4" t="s">
        <v>12</v>
      </c>
    </row>
    <row r="4427" spans="1:10" x14ac:dyDescent="0.25">
      <c r="A4427" s="2">
        <v>985.46273731910196</v>
      </c>
      <c r="B4427" s="3">
        <v>-0.154807674021925</v>
      </c>
      <c r="C4427" s="3">
        <v>5.3737402515726604E-3</v>
      </c>
      <c r="D4427" s="4">
        <v>1.41312385332728E-2</v>
      </c>
      <c r="E4427" s="3" t="s">
        <v>15002</v>
      </c>
      <c r="F4427" s="3" t="s">
        <v>15003</v>
      </c>
      <c r="G4427" s="3">
        <v>102462</v>
      </c>
      <c r="H4427" s="7" t="str">
        <f>HYPERLINK("http://www.ensembl.org/Mus_musculus/Gene/Summary?db=core;g=ENSMUSG00000032288","ENSMUSG00000032288")</f>
        <v>ENSMUSG00000032288</v>
      </c>
      <c r="I4427" s="7" t="str">
        <f>HYPERLINK("http://www.informatics.jax.org/marker/MGI:1916119","MGI:1916119")</f>
        <v>MGI:1916119</v>
      </c>
      <c r="J4427" s="4" t="s">
        <v>12</v>
      </c>
    </row>
    <row r="4428" spans="1:10" x14ac:dyDescent="0.25">
      <c r="A4428" s="2">
        <v>1742.7280576697799</v>
      </c>
      <c r="B4428" s="3">
        <v>-0.15495826968663901</v>
      </c>
      <c r="C4428" s="3">
        <v>5.1438254857545003E-3</v>
      </c>
      <c r="D4428" s="4">
        <v>1.35827850266576E-2</v>
      </c>
      <c r="E4428" s="3" t="s">
        <v>14940</v>
      </c>
      <c r="F4428" s="3" t="s">
        <v>14941</v>
      </c>
      <c r="G4428" s="3">
        <v>11518</v>
      </c>
      <c r="H4428" s="7" t="str">
        <f>HYPERLINK("http://www.ensembl.org/Mus_musculus/Gene/Summary?db=core;g=ENSMUSG00000029106","ENSMUSG00000029106")</f>
        <v>ENSMUSG00000029106</v>
      </c>
      <c r="I4428" s="7" t="str">
        <f>HYPERLINK("http://www.informatics.jax.org/marker/MGI:87918","MGI:87918")</f>
        <v>MGI:87918</v>
      </c>
      <c r="J4428" s="4" t="s">
        <v>12</v>
      </c>
    </row>
    <row r="4429" spans="1:10" x14ac:dyDescent="0.25">
      <c r="A4429" s="2">
        <v>1632.62574202992</v>
      </c>
      <c r="B4429" s="3">
        <v>-0.15522613217532699</v>
      </c>
      <c r="C4429" s="3">
        <v>5.9023767933970598E-4</v>
      </c>
      <c r="D4429" s="4">
        <v>1.8014993091748999E-3</v>
      </c>
      <c r="E4429" s="3" t="s">
        <v>12931</v>
      </c>
      <c r="F4429" s="3" t="s">
        <v>12932</v>
      </c>
      <c r="G4429" s="3">
        <v>217127</v>
      </c>
      <c r="H4429" s="7" t="str">
        <f>HYPERLINK("http://www.ensembl.org/Mus_musculus/Gene/Summary?db=core;g=ENSMUSG00000038909","ENSMUSG00000038909")</f>
        <v>ENSMUSG00000038909</v>
      </c>
      <c r="I4429" s="7" t="str">
        <f>HYPERLINK("http://www.informatics.jax.org/marker/MGI:2182799","MGI:2182799")</f>
        <v>MGI:2182799</v>
      </c>
      <c r="J4429" s="4" t="s">
        <v>12</v>
      </c>
    </row>
    <row r="4430" spans="1:10" x14ac:dyDescent="0.25">
      <c r="A4430" s="2">
        <v>2183.02600255987</v>
      </c>
      <c r="B4430" s="3">
        <v>-0.155423858184005</v>
      </c>
      <c r="C4430" s="3">
        <v>2.4925280548548398E-3</v>
      </c>
      <c r="D4430" s="4">
        <v>6.9316955636352304E-3</v>
      </c>
      <c r="E4430" s="3" t="s">
        <v>14189</v>
      </c>
      <c r="F4430" s="3" t="s">
        <v>14190</v>
      </c>
      <c r="G4430" s="3">
        <v>19058</v>
      </c>
      <c r="H4430" s="7" t="str">
        <f>HYPERLINK("http://www.ensembl.org/Mus_musculus/Gene/Summary?db=core;g=ENSMUSG00000033953","ENSMUSG00000033953")</f>
        <v>ENSMUSG00000033953</v>
      </c>
      <c r="I4430" s="7" t="str">
        <f>HYPERLINK("http://www.informatics.jax.org/marker/MGI:107172","MGI:107172")</f>
        <v>MGI:107172</v>
      </c>
      <c r="J4430" s="4" t="s">
        <v>12</v>
      </c>
    </row>
    <row r="4431" spans="1:10" x14ac:dyDescent="0.25">
      <c r="A4431" s="2">
        <v>409.84448821104701</v>
      </c>
      <c r="B4431" s="3">
        <v>-0.15571564249731901</v>
      </c>
      <c r="C4431" s="3">
        <v>1.6210920801748199E-2</v>
      </c>
      <c r="D4431" s="4">
        <v>3.8607195829640499E-2</v>
      </c>
      <c r="E4431" s="3" t="s">
        <v>16562</v>
      </c>
      <c r="F4431" s="3" t="s">
        <v>16563</v>
      </c>
      <c r="G4431" s="3">
        <v>72357</v>
      </c>
      <c r="H4431" s="7" t="str">
        <f>HYPERLINK("http://www.ensembl.org/Mus_musculus/Gene/Summary?db=core;g=ENSMUSG00000029559","ENSMUSG00000029559")</f>
        <v>ENSMUSG00000029559</v>
      </c>
      <c r="I4431" s="7" t="str">
        <f>HYPERLINK("http://www.informatics.jax.org/marker/MGI:1919607","MGI:1919607")</f>
        <v>MGI:1919607</v>
      </c>
      <c r="J4431" s="4" t="s">
        <v>12</v>
      </c>
    </row>
    <row r="4432" spans="1:10" x14ac:dyDescent="0.25">
      <c r="A4432" s="2">
        <v>505.04052978348</v>
      </c>
      <c r="B4432" s="3">
        <v>-0.15600265126762</v>
      </c>
      <c r="C4432" s="3">
        <v>1.4355000780900301E-2</v>
      </c>
      <c r="D4432" s="4">
        <v>3.4576843214774E-2</v>
      </c>
      <c r="E4432" s="3" t="s">
        <v>16379</v>
      </c>
      <c r="F4432" s="3" t="s">
        <v>16380</v>
      </c>
      <c r="G4432" s="3">
        <v>228876</v>
      </c>
      <c r="H4432" s="7" t="str">
        <f>HYPERLINK("http://www.ensembl.org/Mus_musculus/Gene/Summary?db=core;g=ENSMUSG00000017667","ENSMUSG00000017667")</f>
        <v>ENSMUSG00000017667</v>
      </c>
      <c r="I4432" s="7" t="str">
        <f>HYPERLINK("http://www.informatics.jax.org/marker/MGI:2388656","MGI:2388656")</f>
        <v>MGI:2388656</v>
      </c>
      <c r="J4432" s="4" t="s">
        <v>12</v>
      </c>
    </row>
    <row r="4433" spans="1:10" x14ac:dyDescent="0.25">
      <c r="A4433" s="2">
        <v>1666.4430359149401</v>
      </c>
      <c r="B4433" s="3">
        <v>-0.15622051649839599</v>
      </c>
      <c r="C4433" s="3">
        <v>4.6645253531178103E-3</v>
      </c>
      <c r="D4433" s="4">
        <v>1.23901454692192E-2</v>
      </c>
      <c r="E4433" s="3" t="s">
        <v>14852</v>
      </c>
      <c r="F4433" s="3" t="s">
        <v>14853</v>
      </c>
      <c r="G4433" s="3">
        <v>68813</v>
      </c>
      <c r="H4433" s="7" t="str">
        <f>HYPERLINK("http://www.ensembl.org/Mus_musculus/Gene/Summary?db=core;g=ENSMUSG00000044447","ENSMUSG00000044447")</f>
        <v>ENSMUSG00000044447</v>
      </c>
      <c r="I4433" s="7" t="str">
        <f>HYPERLINK("http://www.informatics.jax.org/marker/MGI:2652871","MGI:2652871")</f>
        <v>MGI:2652871</v>
      </c>
      <c r="J4433" s="4" t="s">
        <v>12</v>
      </c>
    </row>
    <row r="4434" spans="1:10" x14ac:dyDescent="0.25">
      <c r="A4434" s="2">
        <v>1077.54073913868</v>
      </c>
      <c r="B4434" s="3">
        <v>-0.156489738196361</v>
      </c>
      <c r="C4434" s="3">
        <v>1.67394048785546E-2</v>
      </c>
      <c r="D4434" s="4">
        <v>3.9761631438821603E-2</v>
      </c>
      <c r="E4434" s="3" t="s">
        <v>16608</v>
      </c>
      <c r="F4434" s="3" t="s">
        <v>16609</v>
      </c>
      <c r="G4434" s="3">
        <v>232791</v>
      </c>
      <c r="H4434" s="7" t="str">
        <f>HYPERLINK("http://www.ensembl.org/Mus_musculus/Gene/Summary?db=core;g=ENSMUSG00000035632","ENSMUSG00000035632")</f>
        <v>ENSMUSG00000035632</v>
      </c>
      <c r="I4434" s="7" t="str">
        <f>HYPERLINK("http://www.informatics.jax.org/marker/MGI:2385261","MGI:2385261")</f>
        <v>MGI:2385261</v>
      </c>
      <c r="J4434" s="4" t="s">
        <v>12</v>
      </c>
    </row>
    <row r="4435" spans="1:10" x14ac:dyDescent="0.25">
      <c r="A4435" s="2">
        <v>518.163232080527</v>
      </c>
      <c r="B4435" s="3">
        <v>-0.156596062684596</v>
      </c>
      <c r="C4435" s="3">
        <v>7.1843220450474197E-3</v>
      </c>
      <c r="D4435" s="4">
        <v>1.8404108954057599E-2</v>
      </c>
      <c r="E4435" s="3" t="s">
        <v>15397</v>
      </c>
      <c r="F4435" s="3" t="s">
        <v>15398</v>
      </c>
      <c r="G4435" s="3">
        <v>67515</v>
      </c>
      <c r="H4435" s="7" t="str">
        <f>HYPERLINK("http://www.ensembl.org/Mus_musculus/Gene/Summary?db=core;g=ENSMUSG00000022151","ENSMUSG00000022151")</f>
        <v>ENSMUSG00000022151</v>
      </c>
      <c r="I4435" s="7" t="str">
        <f>HYPERLINK("http://www.informatics.jax.org/marker/MGI:1914765","MGI:1914765")</f>
        <v>MGI:1914765</v>
      </c>
      <c r="J4435" s="4" t="s">
        <v>12</v>
      </c>
    </row>
    <row r="4436" spans="1:10" x14ac:dyDescent="0.25">
      <c r="A4436" s="2">
        <v>535.17082537784302</v>
      </c>
      <c r="B4436" s="3">
        <v>-0.157212359800739</v>
      </c>
      <c r="C4436" s="3">
        <v>6.1026906938191801E-3</v>
      </c>
      <c r="D4436" s="4">
        <v>1.5841129456642601E-2</v>
      </c>
      <c r="E4436" s="3" t="s">
        <v>15199</v>
      </c>
      <c r="F4436" s="3" t="s">
        <v>15200</v>
      </c>
      <c r="G4436" s="3">
        <v>69456</v>
      </c>
      <c r="H4436" s="7" t="str">
        <f>HYPERLINK("http://www.ensembl.org/Mus_musculus/Gene/Summary?db=core;g=ENSMUSG00000042705","ENSMUSG00000042705")</f>
        <v>ENSMUSG00000042705</v>
      </c>
      <c r="I4436" s="7" t="str">
        <f>HYPERLINK("http://www.informatics.jax.org/marker/MGI:1916706","MGI:1916706")</f>
        <v>MGI:1916706</v>
      </c>
      <c r="J4436" s="4" t="s">
        <v>12</v>
      </c>
    </row>
    <row r="4437" spans="1:10" x14ac:dyDescent="0.25">
      <c r="A4437" s="2">
        <v>1517.3045738941</v>
      </c>
      <c r="B4437" s="3">
        <v>-0.15824064774996799</v>
      </c>
      <c r="C4437" s="3">
        <v>6.84091451110797E-4</v>
      </c>
      <c r="D4437" s="4">
        <v>2.0655770044257999E-3</v>
      </c>
      <c r="E4437" s="3" t="s">
        <v>13071</v>
      </c>
      <c r="F4437" s="3" t="s">
        <v>13072</v>
      </c>
      <c r="G4437" s="3">
        <v>104416</v>
      </c>
      <c r="H4437" s="7" t="str">
        <f>HYPERLINK("http://www.ensembl.org/Mus_musculus/Gene/Summary?db=core;g=ENSMUSG00000021901","ENSMUSG00000021901")</f>
        <v>ENSMUSG00000021901</v>
      </c>
      <c r="I4437" s="7" t="str">
        <f>HYPERLINK("http://www.informatics.jax.org/marker/MGI:1206586","MGI:1206586")</f>
        <v>MGI:1206586</v>
      </c>
      <c r="J4437" s="4" t="s">
        <v>12</v>
      </c>
    </row>
    <row r="4438" spans="1:10" x14ac:dyDescent="0.25">
      <c r="A4438" s="2">
        <v>3466.5408992029402</v>
      </c>
      <c r="B4438" s="3">
        <v>-0.15864542023532199</v>
      </c>
      <c r="C4438" s="3">
        <v>6.5030801734430902E-3</v>
      </c>
      <c r="D4438" s="4">
        <v>1.6787634640698799E-2</v>
      </c>
      <c r="E4438" s="3" t="s">
        <v>15283</v>
      </c>
      <c r="F4438" s="3" t="s">
        <v>15284</v>
      </c>
      <c r="G4438" s="3">
        <v>20185</v>
      </c>
      <c r="H4438" s="7" t="str">
        <f>HYPERLINK("http://www.ensembl.org/Mus_musculus/Gene/Summary?db=core;g=ENSMUSG00000018501","ENSMUSG00000018501")</f>
        <v>ENSMUSG00000018501</v>
      </c>
      <c r="I4438" s="7" t="str">
        <f>HYPERLINK("http://www.informatics.jax.org/marker/MGI:1349717","MGI:1349717")</f>
        <v>MGI:1349717</v>
      </c>
      <c r="J4438" s="4" t="s">
        <v>12</v>
      </c>
    </row>
    <row r="4439" spans="1:10" x14ac:dyDescent="0.25">
      <c r="A4439" s="2">
        <v>931.69596086028605</v>
      </c>
      <c r="B4439" s="3">
        <v>-0.158742014966963</v>
      </c>
      <c r="C4439" s="3">
        <v>2.65038036086419E-3</v>
      </c>
      <c r="D4439" s="4">
        <v>7.3365385620777299E-3</v>
      </c>
      <c r="E4439" s="3" t="s">
        <v>14255</v>
      </c>
      <c r="F4439" s="3" t="s">
        <v>14256</v>
      </c>
      <c r="G4439" s="3">
        <v>70052</v>
      </c>
      <c r="H4439" s="7" t="str">
        <f>HYPERLINK("http://www.ensembl.org/Mus_musculus/Gene/Summary?db=core;g=ENSMUSG00000066148","ENSMUSG00000066148")</f>
        <v>ENSMUSG00000066148</v>
      </c>
      <c r="I4439" s="7" t="str">
        <f>HYPERLINK("http://www.informatics.jax.org/marker/MGI:1917302","MGI:1917302")</f>
        <v>MGI:1917302</v>
      </c>
      <c r="J4439" s="4" t="s">
        <v>12</v>
      </c>
    </row>
    <row r="4440" spans="1:10" x14ac:dyDescent="0.25">
      <c r="A4440" s="2">
        <v>3875.72903160336</v>
      </c>
      <c r="B4440" s="3">
        <v>-0.15882789672220399</v>
      </c>
      <c r="C4440" s="3">
        <v>1.1084494353272799E-3</v>
      </c>
      <c r="D4440" s="4">
        <v>3.2474554842748301E-3</v>
      </c>
      <c r="E4440" s="3" t="s">
        <v>13471</v>
      </c>
      <c r="F4440" s="3" t="s">
        <v>13472</v>
      </c>
      <c r="G4440" s="3">
        <v>28000</v>
      </c>
      <c r="H4440" s="7" t="str">
        <f>HYPERLINK("http://www.ensembl.org/Mus_musculus/Gene/Summary?db=core;g=ENSMUSG00000024735","ENSMUSG00000024735")</f>
        <v>ENSMUSG00000024735</v>
      </c>
      <c r="I4440" s="7" t="str">
        <f>HYPERLINK("http://www.informatics.jax.org/marker/MGI:106247","MGI:106247")</f>
        <v>MGI:106247</v>
      </c>
      <c r="J4440" s="4" t="s">
        <v>12</v>
      </c>
    </row>
    <row r="4441" spans="1:10" x14ac:dyDescent="0.25">
      <c r="A4441" s="2">
        <v>2875.1029095413301</v>
      </c>
      <c r="B4441" s="3">
        <v>-0.15926180937543999</v>
      </c>
      <c r="C4441" s="3">
        <v>2.7472499230027799E-3</v>
      </c>
      <c r="D4441" s="4">
        <v>7.5876426444838599E-3</v>
      </c>
      <c r="E4441" s="3" t="s">
        <v>14285</v>
      </c>
      <c r="F4441" s="3" t="s">
        <v>14286</v>
      </c>
      <c r="G4441" s="3">
        <v>13423</v>
      </c>
      <c r="H4441" s="7" t="str">
        <f>HYPERLINK("http://www.ensembl.org/Mus_musculus/Gene/Summary?db=core;g=ENSMUSG00000003812","ENSMUSG00000003812")</f>
        <v>ENSMUSG00000003812</v>
      </c>
      <c r="I4441" s="7" t="str">
        <f>HYPERLINK("http://www.informatics.jax.org/marker/MGI:1329019","MGI:1329019")</f>
        <v>MGI:1329019</v>
      </c>
      <c r="J4441" s="4" t="s">
        <v>12</v>
      </c>
    </row>
    <row r="4442" spans="1:10" x14ac:dyDescent="0.25">
      <c r="A4442" s="2">
        <v>1451.4587493597201</v>
      </c>
      <c r="B4442" s="3">
        <v>-0.160716340254033</v>
      </c>
      <c r="C4442" s="3">
        <v>7.5438858113955403E-3</v>
      </c>
      <c r="D4442" s="4">
        <v>1.9215374347806801E-2</v>
      </c>
      <c r="E4442" s="3" t="s">
        <v>15489</v>
      </c>
      <c r="F4442" s="3" t="s">
        <v>15490</v>
      </c>
      <c r="G4442" s="3">
        <v>68750</v>
      </c>
      <c r="H4442" s="7" t="str">
        <f>HYPERLINK("http://www.ensembl.org/Mus_musculus/Gene/Summary?db=core;g=ENSMUSG00000039087","ENSMUSG00000039087")</f>
        <v>ENSMUSG00000039087</v>
      </c>
      <c r="I4442" s="7" t="str">
        <f>HYPERLINK("http://www.informatics.jax.org/marker/MGI:2443664","MGI:2443664")</f>
        <v>MGI:2443664</v>
      </c>
      <c r="J4442" s="4" t="s">
        <v>12</v>
      </c>
    </row>
    <row r="4443" spans="1:10" x14ac:dyDescent="0.25">
      <c r="A4443" s="2">
        <v>774.29021380701795</v>
      </c>
      <c r="B4443" s="3">
        <v>-0.160952977258116</v>
      </c>
      <c r="C4443" s="3">
        <v>6.80956531347085E-3</v>
      </c>
      <c r="D4443" s="4">
        <v>1.75113454520303E-2</v>
      </c>
      <c r="E4443" s="3" t="s">
        <v>15343</v>
      </c>
      <c r="F4443" s="3" t="s">
        <v>15344</v>
      </c>
      <c r="G4443" s="3">
        <v>19221</v>
      </c>
      <c r="H4443" s="7" t="str">
        <f>HYPERLINK("http://www.ensembl.org/Mus_musculus/Gene/Summary?db=core;g=ENSMUSG00000027864","ENSMUSG00000027864")</f>
        <v>ENSMUSG00000027864</v>
      </c>
      <c r="I4443" s="7" t="str">
        <f>HYPERLINK("http://www.informatics.jax.org/marker/MGI:1277114","MGI:1277114")</f>
        <v>MGI:1277114</v>
      </c>
      <c r="J4443" s="4" t="s">
        <v>12</v>
      </c>
    </row>
    <row r="4444" spans="1:10" x14ac:dyDescent="0.25">
      <c r="A4444" s="2">
        <v>1100.38430797046</v>
      </c>
      <c r="B4444" s="3">
        <v>-0.16101649709070201</v>
      </c>
      <c r="C4444" s="3">
        <v>4.6484144776702896E-3</v>
      </c>
      <c r="D4444" s="4">
        <v>1.23556723951554E-2</v>
      </c>
      <c r="E4444" s="3" t="s">
        <v>14842</v>
      </c>
      <c r="F4444" s="3" t="s">
        <v>14843</v>
      </c>
      <c r="G4444" s="3">
        <v>59054</v>
      </c>
      <c r="H4444" s="7" t="str">
        <f>HYPERLINK("http://www.ensembl.org/Mus_musculus/Gene/Summary?db=core;g=ENSMUSG00000021731","ENSMUSG00000021731")</f>
        <v>ENSMUSG00000021731</v>
      </c>
      <c r="I4444" s="7" t="str">
        <f>HYPERLINK("http://www.informatics.jax.org/marker/MGI:1926237","MGI:1926237")</f>
        <v>MGI:1926237</v>
      </c>
      <c r="J4444" s="4" t="s">
        <v>12</v>
      </c>
    </row>
    <row r="4445" spans="1:10" x14ac:dyDescent="0.25">
      <c r="A4445" s="2">
        <v>723.49179417116204</v>
      </c>
      <c r="B4445" s="3">
        <v>-0.16172342792934799</v>
      </c>
      <c r="C4445" s="3">
        <v>8.3749972662248394E-3</v>
      </c>
      <c r="D4445" s="4">
        <v>2.1122259379710202E-2</v>
      </c>
      <c r="E4445" s="3" t="s">
        <v>15643</v>
      </c>
      <c r="F4445" s="3" t="s">
        <v>15644</v>
      </c>
      <c r="G4445" s="3">
        <v>76007</v>
      </c>
      <c r="H4445" s="7" t="str">
        <f>HYPERLINK("http://www.ensembl.org/Mus_musculus/Gene/Summary?db=core;g=ENSMUSG00000021945","ENSMUSG00000021945")</f>
        <v>ENSMUSG00000021945</v>
      </c>
      <c r="I4445" s="7" t="str">
        <f>HYPERLINK("http://www.informatics.jax.org/marker/MGI:1923257","MGI:1923257")</f>
        <v>MGI:1923257</v>
      </c>
      <c r="J4445" s="4" t="s">
        <v>12</v>
      </c>
    </row>
    <row r="4446" spans="1:10" x14ac:dyDescent="0.25">
      <c r="A4446" s="2">
        <v>1568.57628835791</v>
      </c>
      <c r="B4446" s="3">
        <v>-0.16288407621960299</v>
      </c>
      <c r="C4446" s="3">
        <v>2.16543886643729E-3</v>
      </c>
      <c r="D4446" s="4">
        <v>6.0847042527989899E-3</v>
      </c>
      <c r="E4446" s="3" t="s">
        <v>14043</v>
      </c>
      <c r="F4446" s="3" t="s">
        <v>14044</v>
      </c>
      <c r="G4446" s="3">
        <v>76952</v>
      </c>
      <c r="H4446" s="7" t="str">
        <f>HYPERLINK("http://www.ensembl.org/Mus_musculus/Gene/Summary?db=core;g=ENSMUSG00000025041","ENSMUSG00000025041")</f>
        <v>ENSMUSG00000025041</v>
      </c>
      <c r="I4446" s="7" t="str">
        <f>HYPERLINK("http://www.informatics.jax.org/marker/MGI:2178563","MGI:2178563")</f>
        <v>MGI:2178563</v>
      </c>
      <c r="J4446" s="4" t="s">
        <v>12</v>
      </c>
    </row>
    <row r="4447" spans="1:10" x14ac:dyDescent="0.25">
      <c r="A4447" s="2">
        <v>3853.9667923984998</v>
      </c>
      <c r="B4447" s="3">
        <v>-0.16409962707436701</v>
      </c>
      <c r="C4447" s="3">
        <v>4.0820951391776503E-3</v>
      </c>
      <c r="D4447" s="4">
        <v>1.09821168000796E-2</v>
      </c>
      <c r="E4447" s="3" t="s">
        <v>14663</v>
      </c>
      <c r="F4447" s="3" t="s">
        <v>14664</v>
      </c>
      <c r="G4447" s="3">
        <v>72193</v>
      </c>
      <c r="H4447" s="7" t="str">
        <f>HYPERLINK("http://www.ensembl.org/Mus_musculus/Gene/Summary?db=core;g=ENSMUSG00000033228","ENSMUSG00000033228")</f>
        <v>ENSMUSG00000033228</v>
      </c>
      <c r="I4447" s="7" t="str">
        <f>HYPERLINK("http://www.informatics.jax.org/marker/MGI:1919443","MGI:1919443")</f>
        <v>MGI:1919443</v>
      </c>
      <c r="J4447" s="4" t="s">
        <v>12</v>
      </c>
    </row>
    <row r="4448" spans="1:10" x14ac:dyDescent="0.25">
      <c r="A4448" s="2">
        <v>1504.8431606812201</v>
      </c>
      <c r="B4448" s="3">
        <v>-0.16446204902455899</v>
      </c>
      <c r="C4448" s="3">
        <v>1.8584902000495399E-2</v>
      </c>
      <c r="D4448" s="4">
        <v>4.3661456689274299E-2</v>
      </c>
      <c r="E4448" s="3" t="s">
        <v>16792</v>
      </c>
      <c r="F4448" s="3" t="s">
        <v>16793</v>
      </c>
      <c r="G4448" s="3" t="s">
        <v>83</v>
      </c>
      <c r="H4448" s="7" t="str">
        <f>HYPERLINK("http://www.ensembl.org/Mus_musculus/Gene/Summary?db=core;g=ENSMUSG00000118125","ENSMUSG00000118125")</f>
        <v>ENSMUSG00000118125</v>
      </c>
      <c r="I4448" s="7" t="str">
        <f>HYPERLINK("http://www.informatics.jax.org/marker/MGI:6303289","MGI:6303289")</f>
        <v>MGI:6303289</v>
      </c>
      <c r="J4448" s="4" t="s">
        <v>12</v>
      </c>
    </row>
    <row r="4449" spans="1:10" x14ac:dyDescent="0.25">
      <c r="A4449" s="2">
        <v>1569.81911432016</v>
      </c>
      <c r="B4449" s="3">
        <v>-0.16475263892713701</v>
      </c>
      <c r="C4449" s="3">
        <v>5.4886049701632705E-4</v>
      </c>
      <c r="D4449" s="4">
        <v>1.68093321962447E-3</v>
      </c>
      <c r="E4449" s="3" t="s">
        <v>12887</v>
      </c>
      <c r="F4449" s="3" t="s">
        <v>12888</v>
      </c>
      <c r="G4449" s="3">
        <v>116848</v>
      </c>
      <c r="H4449" s="7" t="str">
        <f>HYPERLINK("http://www.ensembl.org/Mus_musculus/Gene/Summary?db=core;g=ENSMUSG00000040054","ENSMUSG00000040054")</f>
        <v>ENSMUSG00000040054</v>
      </c>
      <c r="I4449" s="7" t="str">
        <f>HYPERLINK("http://www.informatics.jax.org/marker/MGI:2151152","MGI:2151152")</f>
        <v>MGI:2151152</v>
      </c>
      <c r="J4449" s="4" t="s">
        <v>12</v>
      </c>
    </row>
    <row r="4450" spans="1:10" x14ac:dyDescent="0.25">
      <c r="A4450" s="2">
        <v>1642.3083597642801</v>
      </c>
      <c r="B4450" s="3">
        <v>-0.16491521572523901</v>
      </c>
      <c r="C4450" s="3">
        <v>4.4394368746129998E-3</v>
      </c>
      <c r="D4450" s="4">
        <v>1.18477446685873E-2</v>
      </c>
      <c r="E4450" s="3" t="s">
        <v>14782</v>
      </c>
      <c r="F4450" s="3" t="s">
        <v>14783</v>
      </c>
      <c r="G4450" s="3">
        <v>56451</v>
      </c>
      <c r="H4450" s="7" t="str">
        <f>HYPERLINK("http://www.ensembl.org/Mus_musculus/Gene/Summary?db=core;g=ENSMUSG00000052738","ENSMUSG00000052738")</f>
        <v>ENSMUSG00000052738</v>
      </c>
      <c r="I4450" s="7" t="str">
        <f>HYPERLINK("http://www.informatics.jax.org/marker/MGI:1927234","MGI:1927234")</f>
        <v>MGI:1927234</v>
      </c>
      <c r="J4450" s="4" t="s">
        <v>12</v>
      </c>
    </row>
    <row r="4451" spans="1:10" x14ac:dyDescent="0.25">
      <c r="A4451" s="2">
        <v>1266.69654248606</v>
      </c>
      <c r="B4451" s="3">
        <v>-0.16495481995202699</v>
      </c>
      <c r="C4451" s="3">
        <v>9.5587673426296097E-3</v>
      </c>
      <c r="D4451" s="4">
        <v>2.3875730461894298E-2</v>
      </c>
      <c r="E4451" s="3" t="s">
        <v>15795</v>
      </c>
      <c r="F4451" s="3" t="s">
        <v>15796</v>
      </c>
      <c r="G4451" s="3">
        <v>16563</v>
      </c>
      <c r="H4451" s="7" t="str">
        <f>HYPERLINK("http://www.ensembl.org/Mus_musculus/Gene/Summary?db=core;g=ENSMUSG00000021693","ENSMUSG00000021693")</f>
        <v>ENSMUSG00000021693</v>
      </c>
      <c r="I4451" s="7" t="str">
        <f>HYPERLINK("http://www.informatics.jax.org/marker/MGI:108390","MGI:108390")</f>
        <v>MGI:108390</v>
      </c>
      <c r="J4451" s="4" t="s">
        <v>12</v>
      </c>
    </row>
    <row r="4452" spans="1:10" x14ac:dyDescent="0.25">
      <c r="A4452" s="2">
        <v>1313.4259818350599</v>
      </c>
      <c r="B4452" s="3">
        <v>-0.16614992902807901</v>
      </c>
      <c r="C4452" s="3">
        <v>1.53345403615154E-2</v>
      </c>
      <c r="D4452" s="4">
        <v>3.6716307768099199E-2</v>
      </c>
      <c r="E4452" s="3" t="s">
        <v>16477</v>
      </c>
      <c r="F4452" s="3" t="s">
        <v>16478</v>
      </c>
      <c r="G4452" s="3">
        <v>271564</v>
      </c>
      <c r="H4452" s="7" t="str">
        <f>HYPERLINK("http://www.ensembl.org/Mus_musculus/Gene/Summary?db=core;g=ENSMUSG00000046230","ENSMUSG00000046230")</f>
        <v>ENSMUSG00000046230</v>
      </c>
      <c r="I4452" s="7" t="str">
        <f>HYPERLINK("http://www.informatics.jax.org/marker/MGI:2444304","MGI:2444304")</f>
        <v>MGI:2444304</v>
      </c>
      <c r="J4452" s="4" t="s">
        <v>12</v>
      </c>
    </row>
    <row r="4453" spans="1:10" x14ac:dyDescent="0.25">
      <c r="A4453" s="2">
        <v>1776.3437005528599</v>
      </c>
      <c r="B4453" s="3">
        <v>-0.166169315031854</v>
      </c>
      <c r="C4453" s="3">
        <v>1.04156085787395E-3</v>
      </c>
      <c r="D4453" s="4">
        <v>3.0624094404762699E-3</v>
      </c>
      <c r="E4453" s="3" t="s">
        <v>13423</v>
      </c>
      <c r="F4453" s="3" t="s">
        <v>13424</v>
      </c>
      <c r="G4453" s="3">
        <v>64704</v>
      </c>
      <c r="H4453" s="7" t="str">
        <f>HYPERLINK("http://www.ensembl.org/Mus_musculus/Gene/Summary?db=core;g=ENSMUSG00000068329","ENSMUSG00000068329")</f>
        <v>ENSMUSG00000068329</v>
      </c>
      <c r="I4453" s="7" t="str">
        <f>HYPERLINK("http://www.informatics.jax.org/marker/MGI:1928676","MGI:1928676")</f>
        <v>MGI:1928676</v>
      </c>
      <c r="J4453" s="4" t="s">
        <v>12</v>
      </c>
    </row>
    <row r="4454" spans="1:10" x14ac:dyDescent="0.25">
      <c r="A4454" s="2">
        <v>937.36539327029698</v>
      </c>
      <c r="B4454" s="3">
        <v>-0.166254033742712</v>
      </c>
      <c r="C4454" s="3">
        <v>7.3197542023976103E-3</v>
      </c>
      <c r="D4454" s="4">
        <v>1.8695188818971701E-2</v>
      </c>
      <c r="E4454" s="3" t="s">
        <v>15447</v>
      </c>
      <c r="F4454" s="3" t="s">
        <v>15448</v>
      </c>
      <c r="G4454" s="3">
        <v>68137</v>
      </c>
      <c r="H4454" s="7" t="str">
        <f>HYPERLINK("http://www.ensembl.org/Mus_musculus/Gene/Summary?db=core;g=ENSMUSG00000002778","ENSMUSG00000002778")</f>
        <v>ENSMUSG00000002778</v>
      </c>
      <c r="I4454" s="7" t="str">
        <f>HYPERLINK("http://www.informatics.jax.org/marker/MGI:1915387","MGI:1915387")</f>
        <v>MGI:1915387</v>
      </c>
      <c r="J4454" s="4" t="s">
        <v>12</v>
      </c>
    </row>
    <row r="4455" spans="1:10" x14ac:dyDescent="0.25">
      <c r="A4455" s="2">
        <v>1395.7134958801901</v>
      </c>
      <c r="B4455" s="3">
        <v>-0.166304726353008</v>
      </c>
      <c r="C4455" s="3">
        <v>9.70311396132322E-3</v>
      </c>
      <c r="D4455" s="4">
        <v>2.4214807304137401E-2</v>
      </c>
      <c r="E4455" s="3" t="s">
        <v>15809</v>
      </c>
      <c r="F4455" s="3" t="s">
        <v>15810</v>
      </c>
      <c r="G4455" s="3">
        <v>110391</v>
      </c>
      <c r="H4455" s="7" t="str">
        <f>HYPERLINK("http://www.ensembl.org/Mus_musculus/Gene/Summary?db=core;g=ENSMUSG00000015806","ENSMUSG00000015806")</f>
        <v>ENSMUSG00000015806</v>
      </c>
      <c r="I4455" s="7" t="str">
        <f>HYPERLINK("http://www.informatics.jax.org/marker/MGI:97836","MGI:97836")</f>
        <v>MGI:97836</v>
      </c>
      <c r="J4455" s="4" t="s">
        <v>12</v>
      </c>
    </row>
    <row r="4456" spans="1:10" x14ac:dyDescent="0.25">
      <c r="A4456" s="2">
        <v>5012.2743195228904</v>
      </c>
      <c r="B4456" s="3">
        <v>-0.16665166066881901</v>
      </c>
      <c r="C4456" s="3">
        <v>4.7781136763378699E-3</v>
      </c>
      <c r="D4456" s="4">
        <v>1.26730869801456E-2</v>
      </c>
      <c r="E4456" s="3" t="s">
        <v>14874</v>
      </c>
      <c r="F4456" s="3" t="s">
        <v>14875</v>
      </c>
      <c r="G4456" s="3">
        <v>77134</v>
      </c>
      <c r="H4456" s="7" t="str">
        <f>HYPERLINK("http://www.ensembl.org/Mus_musculus/Gene/Summary?db=core;g=ENSMUSG00000007836","ENSMUSG00000007836")</f>
        <v>ENSMUSG00000007836</v>
      </c>
      <c r="I4456" s="7" t="str">
        <f>HYPERLINK("http://www.informatics.jax.org/marker/MGI:1924384","MGI:1924384")</f>
        <v>MGI:1924384</v>
      </c>
      <c r="J4456" s="4" t="s">
        <v>12</v>
      </c>
    </row>
    <row r="4457" spans="1:10" x14ac:dyDescent="0.25">
      <c r="A4457" s="2">
        <v>1411.5885709035599</v>
      </c>
      <c r="B4457" s="3">
        <v>-0.16675113400052499</v>
      </c>
      <c r="C4457" s="3">
        <v>1.15421275242661E-2</v>
      </c>
      <c r="D4457" s="4">
        <v>2.8327411920165201E-2</v>
      </c>
      <c r="E4457" s="3" t="s">
        <v>16075</v>
      </c>
      <c r="F4457" s="3" t="s">
        <v>16076</v>
      </c>
      <c r="G4457" s="3">
        <v>22084</v>
      </c>
      <c r="H4457" s="7" t="str">
        <f>HYPERLINK("http://www.ensembl.org/Mus_musculus/Gene/Summary?db=core;g=ENSMUSG00000002496","ENSMUSG00000002496")</f>
        <v>ENSMUSG00000002496</v>
      </c>
      <c r="I4457" s="7" t="str">
        <f>HYPERLINK("http://www.informatics.jax.org/marker/MGI:102548","MGI:102548")</f>
        <v>MGI:102548</v>
      </c>
      <c r="J4457" s="4" t="s">
        <v>12</v>
      </c>
    </row>
    <row r="4458" spans="1:10" x14ac:dyDescent="0.25">
      <c r="A4458" s="2">
        <v>916.81895855444395</v>
      </c>
      <c r="B4458" s="3">
        <v>-0.16744936453919201</v>
      </c>
      <c r="C4458" s="3">
        <v>1.0020979690873601E-2</v>
      </c>
      <c r="D4458" s="4">
        <v>2.4941779566329401E-2</v>
      </c>
      <c r="E4458" s="3" t="s">
        <v>15851</v>
      </c>
      <c r="F4458" s="3" t="s">
        <v>15852</v>
      </c>
      <c r="G4458" s="3">
        <v>66407</v>
      </c>
      <c r="H4458" s="7" t="str">
        <f>HYPERLINK("http://www.ensembl.org/Mus_musculus/Gene/Summary?db=core;g=ENSMUSG00000028861","ENSMUSG00000028861")</f>
        <v>ENSMUSG00000028861</v>
      </c>
      <c r="I4458" s="7" t="str">
        <f>HYPERLINK("http://www.informatics.jax.org/marker/MGI:1913657","MGI:1913657")</f>
        <v>MGI:1913657</v>
      </c>
      <c r="J4458" s="4" t="s">
        <v>12</v>
      </c>
    </row>
    <row r="4459" spans="1:10" x14ac:dyDescent="0.25">
      <c r="A4459" s="2">
        <v>1073.69017505651</v>
      </c>
      <c r="B4459" s="3">
        <v>-0.16748110755354201</v>
      </c>
      <c r="C4459" s="3">
        <v>5.4283791745651597E-3</v>
      </c>
      <c r="D4459" s="4">
        <v>1.42521152073526E-2</v>
      </c>
      <c r="E4459" s="3" t="s">
        <v>15026</v>
      </c>
      <c r="F4459" s="3" t="s">
        <v>15027</v>
      </c>
      <c r="G4459" s="3">
        <v>27402</v>
      </c>
      <c r="H4459" s="7" t="str">
        <f>HYPERLINK("http://www.ensembl.org/Mus_musculus/Gene/Summary?db=core;g=ENSMUSG00000010914","ENSMUSG00000010914")</f>
        <v>ENSMUSG00000010914</v>
      </c>
      <c r="I4459" s="7" t="str">
        <f>HYPERLINK("http://www.informatics.jax.org/marker/MGI:1351627","MGI:1351627")</f>
        <v>MGI:1351627</v>
      </c>
      <c r="J4459" s="4" t="s">
        <v>12</v>
      </c>
    </row>
    <row r="4460" spans="1:10" x14ac:dyDescent="0.25">
      <c r="A4460" s="2">
        <v>640.98563494073903</v>
      </c>
      <c r="B4460" s="3">
        <v>-0.16793418377303701</v>
      </c>
      <c r="C4460" s="3">
        <v>6.0333228714203602E-3</v>
      </c>
      <c r="D4460" s="4">
        <v>1.5683776301662199E-2</v>
      </c>
      <c r="E4460" s="3" t="s">
        <v>15177</v>
      </c>
      <c r="F4460" s="3" t="s">
        <v>15178</v>
      </c>
      <c r="G4460" s="3">
        <v>78266</v>
      </c>
      <c r="H4460" s="7" t="str">
        <f>HYPERLINK("http://www.ensembl.org/Mus_musculus/Gene/Summary?db=core;g=ENSMUSG00000019338","ENSMUSG00000019338")</f>
        <v>ENSMUSG00000019338</v>
      </c>
      <c r="I4460" s="7" t="str">
        <f>HYPERLINK("http://www.informatics.jax.org/marker/MGI:1925516","MGI:1925516")</f>
        <v>MGI:1925516</v>
      </c>
      <c r="J4460" s="4" t="s">
        <v>12</v>
      </c>
    </row>
    <row r="4461" spans="1:10" x14ac:dyDescent="0.25">
      <c r="A4461" s="2">
        <v>1045.81177525455</v>
      </c>
      <c r="B4461" s="3">
        <v>-0.168072430531466</v>
      </c>
      <c r="C4461" s="3">
        <v>3.2301539853276701E-3</v>
      </c>
      <c r="D4461" s="4">
        <v>8.8066689604122204E-3</v>
      </c>
      <c r="E4461" s="3" t="s">
        <v>14469</v>
      </c>
      <c r="F4461" s="3" t="s">
        <v>14470</v>
      </c>
      <c r="G4461" s="3">
        <v>70397</v>
      </c>
      <c r="H4461" s="7" t="str">
        <f>HYPERLINK("http://www.ensembl.org/Mus_musculus/Gene/Summary?db=core;g=ENSMUSG00000025940","ENSMUSG00000025940")</f>
        <v>ENSMUSG00000025940</v>
      </c>
      <c r="I4461" s="7" t="str">
        <f>HYPERLINK("http://www.informatics.jax.org/marker/MGI:1915068","MGI:1915068")</f>
        <v>MGI:1915068</v>
      </c>
      <c r="J4461" s="4" t="s">
        <v>12</v>
      </c>
    </row>
    <row r="4462" spans="1:10" x14ac:dyDescent="0.25">
      <c r="A4462" s="2">
        <v>2062.1587573605598</v>
      </c>
      <c r="B4462" s="3">
        <v>-0.16814427243887201</v>
      </c>
      <c r="C4462" s="5">
        <v>4.9650697623126199E-5</v>
      </c>
      <c r="D4462" s="4">
        <v>1.7301851159711099E-4</v>
      </c>
      <c r="E4462" s="3" t="s">
        <v>11329</v>
      </c>
      <c r="F4462" s="3" t="s">
        <v>11330</v>
      </c>
      <c r="G4462" s="3">
        <v>71810</v>
      </c>
      <c r="H4462" s="7" t="str">
        <f>HYPERLINK("http://www.ensembl.org/Mus_musculus/Gene/Summary?db=core;g=ENSMUSG00000002372","ENSMUSG00000002372")</f>
        <v>ENSMUSG00000002372</v>
      </c>
      <c r="I4462" s="7" t="str">
        <f>HYPERLINK("http://www.informatics.jax.org/marker/MGI:1919060","MGI:1919060")</f>
        <v>MGI:1919060</v>
      </c>
      <c r="J4462" s="4" t="s">
        <v>12</v>
      </c>
    </row>
    <row r="4463" spans="1:10" x14ac:dyDescent="0.25">
      <c r="A4463" s="2">
        <v>1292.2278220271501</v>
      </c>
      <c r="B4463" s="3">
        <v>-0.16822789269628199</v>
      </c>
      <c r="C4463" s="3">
        <v>1.4539557130829901E-3</v>
      </c>
      <c r="D4463" s="4">
        <v>4.1881400324271798E-3</v>
      </c>
      <c r="E4463" s="3" t="s">
        <v>13701</v>
      </c>
      <c r="F4463" s="3" t="s">
        <v>13702</v>
      </c>
      <c r="G4463" s="3">
        <v>56384</v>
      </c>
      <c r="H4463" s="7" t="str">
        <f>HYPERLINK("http://www.ensembl.org/Mus_musculus/Gene/Summary?db=core;g=ENSMUSG00000005299","ENSMUSG00000005299")</f>
        <v>ENSMUSG00000005299</v>
      </c>
      <c r="I4463" s="7" t="str">
        <f>HYPERLINK("http://www.informatics.jax.org/marker/MGI:1932557","MGI:1932557")</f>
        <v>MGI:1932557</v>
      </c>
      <c r="J4463" s="4" t="s">
        <v>12</v>
      </c>
    </row>
    <row r="4464" spans="1:10" x14ac:dyDescent="0.25">
      <c r="A4464" s="2">
        <v>2502.3803632629501</v>
      </c>
      <c r="B4464" s="3">
        <v>-0.168657069047812</v>
      </c>
      <c r="C4464" s="3">
        <v>1.5123302896625701E-3</v>
      </c>
      <c r="D4464" s="4">
        <v>4.3473984420037597E-3</v>
      </c>
      <c r="E4464" s="3" t="s">
        <v>13729</v>
      </c>
      <c r="F4464" s="3" t="s">
        <v>13730</v>
      </c>
      <c r="G4464" s="3">
        <v>381314</v>
      </c>
      <c r="H4464" s="7" t="str">
        <f>HYPERLINK("http://www.ensembl.org/Mus_musculus/Gene/Summary?db=core;g=ENSMUSG00000026618","ENSMUSG00000026618")</f>
        <v>ENSMUSG00000026618</v>
      </c>
      <c r="I4464" s="7" t="str">
        <f>HYPERLINK("http://www.informatics.jax.org/marker/MGI:1919586","MGI:1919586")</f>
        <v>MGI:1919586</v>
      </c>
      <c r="J4464" s="4" t="s">
        <v>12</v>
      </c>
    </row>
    <row r="4465" spans="1:10" x14ac:dyDescent="0.25">
      <c r="A4465" s="2">
        <v>597.28715052132998</v>
      </c>
      <c r="B4465" s="3">
        <v>-0.16920001765679801</v>
      </c>
      <c r="C4465" s="3">
        <v>1.2153066556636101E-2</v>
      </c>
      <c r="D4465" s="4">
        <v>2.97111834252527E-2</v>
      </c>
      <c r="E4465" s="3" t="s">
        <v>16137</v>
      </c>
      <c r="F4465" s="3" t="s">
        <v>16138</v>
      </c>
      <c r="G4465" s="3">
        <v>26569</v>
      </c>
      <c r="H4465" s="7" t="str">
        <f>HYPERLINK("http://www.ensembl.org/Mus_musculus/Gene/Summary?db=core;g=ENSMUSG00000059316","ENSMUSG00000059316")</f>
        <v>ENSMUSG00000059316</v>
      </c>
      <c r="I4465" s="7" t="str">
        <f>HYPERLINK("http://www.informatics.jax.org/marker/MGI:1347347","MGI:1347347")</f>
        <v>MGI:1347347</v>
      </c>
      <c r="J4465" s="4" t="s">
        <v>12</v>
      </c>
    </row>
    <row r="4466" spans="1:10" x14ac:dyDescent="0.25">
      <c r="A4466" s="2">
        <v>946.586900529692</v>
      </c>
      <c r="B4466" s="3">
        <v>-0.169327966347153</v>
      </c>
      <c r="C4466" s="3">
        <v>4.3697813055831496E-3</v>
      </c>
      <c r="D4466" s="4">
        <v>1.1681183048136101E-2</v>
      </c>
      <c r="E4466" s="3" t="s">
        <v>14756</v>
      </c>
      <c r="F4466" s="3" t="s">
        <v>14757</v>
      </c>
      <c r="G4466" s="3">
        <v>77116</v>
      </c>
      <c r="H4466" s="7" t="str">
        <f>HYPERLINK("http://www.ensembl.org/Mus_musculus/Gene/Summary?db=core;g=ENSMUSG00000031918","ENSMUSG00000031918")</f>
        <v>ENSMUSG00000031918</v>
      </c>
      <c r="I4466" s="7" t="str">
        <f>HYPERLINK("http://www.informatics.jax.org/marker/MGI:1924366","MGI:1924366")</f>
        <v>MGI:1924366</v>
      </c>
      <c r="J4466" s="4" t="s">
        <v>12</v>
      </c>
    </row>
    <row r="4467" spans="1:10" x14ac:dyDescent="0.25">
      <c r="A4467" s="2">
        <v>2657.08185147418</v>
      </c>
      <c r="B4467" s="3">
        <v>-0.17012074086572501</v>
      </c>
      <c r="C4467" s="3">
        <v>1.6189130155385299E-3</v>
      </c>
      <c r="D4467" s="4">
        <v>4.6321771135257898E-3</v>
      </c>
      <c r="E4467" s="3" t="s">
        <v>13791</v>
      </c>
      <c r="F4467" s="3" t="s">
        <v>13792</v>
      </c>
      <c r="G4467" s="3">
        <v>26914</v>
      </c>
      <c r="H4467" s="7" t="str">
        <f>HYPERLINK("http://www.ensembl.org/Mus_musculus/Gene/Summary?db=core;g=ENSMUSG00000015937","ENSMUSG00000015937")</f>
        <v>ENSMUSG00000015937</v>
      </c>
      <c r="I4467" s="7" t="str">
        <f>HYPERLINK("http://www.informatics.jax.org/marker/MGI:1349392","MGI:1349392")</f>
        <v>MGI:1349392</v>
      </c>
      <c r="J4467" s="4" t="s">
        <v>12</v>
      </c>
    </row>
    <row r="4468" spans="1:10" x14ac:dyDescent="0.25">
      <c r="A4468" s="2">
        <v>2466.3600129945698</v>
      </c>
      <c r="B4468" s="3">
        <v>-0.170145289289695</v>
      </c>
      <c r="C4468" s="3">
        <v>2.7762241428910799E-3</v>
      </c>
      <c r="D4468" s="4">
        <v>7.6601567227944896E-3</v>
      </c>
      <c r="E4468" s="3" t="s">
        <v>14299</v>
      </c>
      <c r="F4468" s="3" t="s">
        <v>14300</v>
      </c>
      <c r="G4468" s="3">
        <v>66052</v>
      </c>
      <c r="H4468" s="7" t="str">
        <f>HYPERLINK("http://www.ensembl.org/Mus_musculus/Gene/Summary?db=core;g=ENSMUSG00000058076","ENSMUSG00000058076")</f>
        <v>ENSMUSG00000058076</v>
      </c>
      <c r="I4468" s="7" t="str">
        <f>HYPERLINK("http://www.informatics.jax.org/marker/MGI:1913302","MGI:1913302")</f>
        <v>MGI:1913302</v>
      </c>
      <c r="J4468" s="4" t="s">
        <v>12</v>
      </c>
    </row>
    <row r="4469" spans="1:10" x14ac:dyDescent="0.25">
      <c r="A4469" s="2">
        <v>4331.4749249037704</v>
      </c>
      <c r="B4469" s="3">
        <v>-0.17082917628046301</v>
      </c>
      <c r="C4469" s="3">
        <v>1.0565610228792601E-2</v>
      </c>
      <c r="D4469" s="4">
        <v>2.6154806529890402E-2</v>
      </c>
      <c r="E4469" s="3" t="s">
        <v>15937</v>
      </c>
      <c r="F4469" s="3" t="s">
        <v>15938</v>
      </c>
      <c r="G4469" s="3">
        <v>22143</v>
      </c>
      <c r="H4469" s="7" t="str">
        <f>HYPERLINK("http://www.ensembl.org/Mus_musculus/Gene/Summary?db=core;g=ENSMUSG00000023004","ENSMUSG00000023004")</f>
        <v>ENSMUSG00000023004</v>
      </c>
      <c r="I4469" s="7" t="str">
        <f>HYPERLINK("http://www.informatics.jax.org/marker/MGI:107804","MGI:107804")</f>
        <v>MGI:107804</v>
      </c>
      <c r="J4469" s="4" t="s">
        <v>12</v>
      </c>
    </row>
    <row r="4470" spans="1:10" x14ac:dyDescent="0.25">
      <c r="A4470" s="2">
        <v>3886.6720478338798</v>
      </c>
      <c r="B4470" s="3">
        <v>-0.17109298096431799</v>
      </c>
      <c r="C4470" s="5">
        <v>6.1445910327789401E-6</v>
      </c>
      <c r="D4470" s="6">
        <v>2.3514716702193001E-5</v>
      </c>
      <c r="E4470" s="3" t="s">
        <v>10320</v>
      </c>
      <c r="F4470" s="3" t="s">
        <v>10321</v>
      </c>
      <c r="G4470" s="3">
        <v>67166</v>
      </c>
      <c r="H4470" s="7" t="str">
        <f>HYPERLINK("http://www.ensembl.org/Mus_musculus/Gene/Summary?db=core;g=ENSMUSG00000030105","ENSMUSG00000030105")</f>
        <v>ENSMUSG00000030105</v>
      </c>
      <c r="I4470" s="7" t="str">
        <f>HYPERLINK("http://www.informatics.jax.org/marker/MGI:1914416","MGI:1914416")</f>
        <v>MGI:1914416</v>
      </c>
      <c r="J4470" s="4" t="s">
        <v>12</v>
      </c>
    </row>
    <row r="4471" spans="1:10" x14ac:dyDescent="0.25">
      <c r="A4471" s="2">
        <v>1480.5510904011301</v>
      </c>
      <c r="B4471" s="3">
        <v>-0.171141994364304</v>
      </c>
      <c r="C4471" s="3">
        <v>4.5225089881715001E-3</v>
      </c>
      <c r="D4471" s="4">
        <v>1.20469913881861E-2</v>
      </c>
      <c r="E4471" s="3" t="s">
        <v>14810</v>
      </c>
      <c r="F4471" s="3" t="s">
        <v>14811</v>
      </c>
      <c r="G4471" s="3">
        <v>99633</v>
      </c>
      <c r="H4471" s="7" t="str">
        <f>HYPERLINK("http://www.ensembl.org/Mus_musculus/Gene/Summary?db=core;g=ENSMUSG00000028184","ENSMUSG00000028184")</f>
        <v>ENSMUSG00000028184</v>
      </c>
      <c r="I4471" s="7" t="str">
        <f>HYPERLINK("http://www.informatics.jax.org/marker/MGI:2139714","MGI:2139714")</f>
        <v>MGI:2139714</v>
      </c>
      <c r="J4471" s="4" t="s">
        <v>12</v>
      </c>
    </row>
    <row r="4472" spans="1:10" x14ac:dyDescent="0.25">
      <c r="A4472" s="2">
        <v>668.90817381472198</v>
      </c>
      <c r="B4472" s="3">
        <v>-0.171171850826946</v>
      </c>
      <c r="C4472" s="3">
        <v>1.35768849504727E-3</v>
      </c>
      <c r="D4472" s="4">
        <v>3.9263260188198102E-3</v>
      </c>
      <c r="E4472" s="3" t="s">
        <v>13647</v>
      </c>
      <c r="F4472" s="3" t="s">
        <v>13648</v>
      </c>
      <c r="G4472" s="3" t="s">
        <v>83</v>
      </c>
      <c r="H4472" s="7" t="str">
        <f>HYPERLINK("http://www.ensembl.org/Mus_musculus/Gene/Summary?db=core;g=ENSMUSG00000092470","ENSMUSG00000092470")</f>
        <v>ENSMUSG00000092470</v>
      </c>
      <c r="I4472" s="7" t="str">
        <f>HYPERLINK("http://www.informatics.jax.org/marker/MGI:5141983","MGI:5141983")</f>
        <v>MGI:5141983</v>
      </c>
      <c r="J4472" s="4" t="s">
        <v>12</v>
      </c>
    </row>
    <row r="4473" spans="1:10" x14ac:dyDescent="0.25">
      <c r="A4473" s="2">
        <v>1607.18850200316</v>
      </c>
      <c r="B4473" s="3">
        <v>-0.17127265392205099</v>
      </c>
      <c r="C4473" s="3">
        <v>1.1052065245428201E-3</v>
      </c>
      <c r="D4473" s="4">
        <v>3.2389170254100699E-3</v>
      </c>
      <c r="E4473" s="3" t="s">
        <v>13467</v>
      </c>
      <c r="F4473" s="3" t="s">
        <v>13468</v>
      </c>
      <c r="G4473" s="3">
        <v>72634</v>
      </c>
      <c r="H4473" s="7" t="str">
        <f>HYPERLINK("http://www.ensembl.org/Mus_musculus/Gene/Summary?db=core;g=ENSMUSG00000041912","ENSMUSG00000041912")</f>
        <v>ENSMUSG00000041912</v>
      </c>
      <c r="I4473" s="7" t="str">
        <f>HYPERLINK("http://www.informatics.jax.org/marker/MGI:1919884","MGI:1919884")</f>
        <v>MGI:1919884</v>
      </c>
      <c r="J4473" s="4" t="s">
        <v>12</v>
      </c>
    </row>
    <row r="4474" spans="1:10" x14ac:dyDescent="0.25">
      <c r="A4474" s="2">
        <v>503.39582997447798</v>
      </c>
      <c r="B4474" s="3">
        <v>-0.17145950379346001</v>
      </c>
      <c r="C4474" s="3">
        <v>8.0910486384652997E-3</v>
      </c>
      <c r="D4474" s="4">
        <v>2.04663262122288E-2</v>
      </c>
      <c r="E4474" s="3" t="s">
        <v>15595</v>
      </c>
      <c r="F4474" s="3" t="s">
        <v>15596</v>
      </c>
      <c r="G4474" s="3">
        <v>66132</v>
      </c>
      <c r="H4474" s="7" t="str">
        <f>HYPERLINK("http://www.ensembl.org/Mus_musculus/Gene/Summary?db=core;g=ENSMUSG00000021023","ENSMUSG00000021023")</f>
        <v>ENSMUSG00000021023</v>
      </c>
      <c r="I4474" s="7" t="str">
        <f>HYPERLINK("http://www.informatics.jax.org/marker/MGI:1913382","MGI:1913382")</f>
        <v>MGI:1913382</v>
      </c>
      <c r="J4474" s="4" t="s">
        <v>12</v>
      </c>
    </row>
    <row r="4475" spans="1:10" x14ac:dyDescent="0.25">
      <c r="A4475" s="2">
        <v>1052.3077097635901</v>
      </c>
      <c r="B4475" s="3">
        <v>-0.17187860447606701</v>
      </c>
      <c r="C4475" s="3">
        <v>2.7990967663099301E-3</v>
      </c>
      <c r="D4475" s="4">
        <v>7.7178674820514402E-3</v>
      </c>
      <c r="E4475" s="3" t="s">
        <v>14309</v>
      </c>
      <c r="F4475" s="3" t="s">
        <v>14310</v>
      </c>
      <c r="G4475" s="3">
        <v>320714</v>
      </c>
      <c r="H4475" s="7" t="str">
        <f>HYPERLINK("http://www.ensembl.org/Mus_musculus/Gene/Summary?db=core;g=ENSMUSG00000038102","ENSMUSG00000038102")</f>
        <v>ENSMUSG00000038102</v>
      </c>
      <c r="I4475" s="7" t="str">
        <f>HYPERLINK("http://www.informatics.jax.org/marker/MGI:2444585","MGI:2444585")</f>
        <v>MGI:2444585</v>
      </c>
      <c r="J4475" s="4" t="s">
        <v>12</v>
      </c>
    </row>
    <row r="4476" spans="1:10" x14ac:dyDescent="0.25">
      <c r="A4476" s="2">
        <v>1134.09832704262</v>
      </c>
      <c r="B4476" s="3">
        <v>-0.17212707497685101</v>
      </c>
      <c r="C4476" s="3">
        <v>6.4233095014535899E-3</v>
      </c>
      <c r="D4476" s="4">
        <v>1.6607796429613901E-2</v>
      </c>
      <c r="E4476" s="3" t="s">
        <v>15259</v>
      </c>
      <c r="F4476" s="3" t="s">
        <v>15260</v>
      </c>
      <c r="G4476" s="3">
        <v>94245</v>
      </c>
      <c r="H4476" s="7" t="str">
        <f>HYPERLINK("http://www.ensembl.org/Mus_musculus/Gene/Summary?db=core;g=ENSMUSG00000057531","ENSMUSG00000057531")</f>
        <v>ENSMUSG00000057531</v>
      </c>
      <c r="I4476" s="7" t="str">
        <f>HYPERLINK("http://www.informatics.jax.org/marker/MGI:2137586","MGI:2137586")</f>
        <v>MGI:2137586</v>
      </c>
      <c r="J4476" s="4" t="s">
        <v>12</v>
      </c>
    </row>
    <row r="4477" spans="1:10" x14ac:dyDescent="0.25">
      <c r="A4477" s="2">
        <v>5585.7094652081096</v>
      </c>
      <c r="B4477" s="3">
        <v>-0.172682026394407</v>
      </c>
      <c r="C4477" s="3">
        <v>2.6801433951866401E-4</v>
      </c>
      <c r="D4477" s="4">
        <v>8.5507891527391395E-4</v>
      </c>
      <c r="E4477" s="3" t="s">
        <v>12374</v>
      </c>
      <c r="F4477" s="3" t="s">
        <v>12375</v>
      </c>
      <c r="G4477" s="3">
        <v>234594</v>
      </c>
      <c r="H4477" s="7" t="str">
        <f>HYPERLINK("http://www.ensembl.org/Mus_musculus/Gene/Summary?db=core;g=ENSMUSG00000036550","ENSMUSG00000036550")</f>
        <v>ENSMUSG00000036550</v>
      </c>
      <c r="I4477" s="7" t="str">
        <f>HYPERLINK("http://www.informatics.jax.org/marker/MGI:2442402","MGI:2442402")</f>
        <v>MGI:2442402</v>
      </c>
      <c r="J4477" s="4" t="s">
        <v>12</v>
      </c>
    </row>
    <row r="4478" spans="1:10" x14ac:dyDescent="0.25">
      <c r="A4478" s="2">
        <v>2332.2329526713402</v>
      </c>
      <c r="B4478" s="3">
        <v>-0.173839820676705</v>
      </c>
      <c r="C4478" s="5">
        <v>5.6961265508144901E-5</v>
      </c>
      <c r="D4478" s="4">
        <v>1.9727364872156901E-4</v>
      </c>
      <c r="E4478" s="3" t="s">
        <v>11399</v>
      </c>
      <c r="F4478" s="3" t="s">
        <v>11400</v>
      </c>
      <c r="G4478" s="3">
        <v>20610</v>
      </c>
      <c r="H4478" s="7" t="str">
        <f>HYPERLINK("http://www.ensembl.org/Mus_musculus/Gene/Summary?db=core;g=ENSMUSG00000020265","ENSMUSG00000020265")</f>
        <v>ENSMUSG00000020265</v>
      </c>
      <c r="I4478" s="7" t="str">
        <f>HYPERLINK("http://www.informatics.jax.org/marker/MGI:1336201","MGI:1336201")</f>
        <v>MGI:1336201</v>
      </c>
      <c r="J4478" s="4" t="s">
        <v>12</v>
      </c>
    </row>
    <row r="4479" spans="1:10" x14ac:dyDescent="0.25">
      <c r="A4479" s="2">
        <v>971.30819877767794</v>
      </c>
      <c r="B4479" s="3">
        <v>-0.174259014064339</v>
      </c>
      <c r="C4479" s="3">
        <v>7.1431714104810704E-3</v>
      </c>
      <c r="D4479" s="4">
        <v>1.8312966746579101E-2</v>
      </c>
      <c r="E4479" s="3" t="s">
        <v>15389</v>
      </c>
      <c r="F4479" s="3" t="s">
        <v>15390</v>
      </c>
      <c r="G4479" s="3">
        <v>52563</v>
      </c>
      <c r="H4479" s="7" t="str">
        <f>HYPERLINK("http://www.ensembl.org/Mus_musculus/Gene/Summary?db=core;g=ENSMUSG00000024370","ENSMUSG00000024370")</f>
        <v>ENSMUSG00000024370</v>
      </c>
      <c r="I4479" s="7" t="str">
        <f>HYPERLINK("http://www.informatics.jax.org/marker/MGI:1098815","MGI:1098815")</f>
        <v>MGI:1098815</v>
      </c>
      <c r="J4479" s="4" t="s">
        <v>12</v>
      </c>
    </row>
    <row r="4480" spans="1:10" x14ac:dyDescent="0.25">
      <c r="A4480" s="2">
        <v>1587.6550178130301</v>
      </c>
      <c r="B4480" s="3">
        <v>-0.174461024147924</v>
      </c>
      <c r="C4480" s="3">
        <v>1.0256535542586501E-2</v>
      </c>
      <c r="D4480" s="4">
        <v>2.5470202858557701E-2</v>
      </c>
      <c r="E4480" s="3" t="s">
        <v>15887</v>
      </c>
      <c r="F4480" s="3" t="s">
        <v>15888</v>
      </c>
      <c r="G4480" s="3">
        <v>19139</v>
      </c>
      <c r="H4480" s="7" t="str">
        <f>HYPERLINK("http://www.ensembl.org/Mus_musculus/Gene/Summary?db=core;g=ENSMUSG00000031432","ENSMUSG00000031432")</f>
        <v>ENSMUSG00000031432</v>
      </c>
      <c r="I4480" s="7" t="str">
        <f>HYPERLINK("http://www.informatics.jax.org/marker/MGI:97775","MGI:97775")</f>
        <v>MGI:97775</v>
      </c>
      <c r="J4480" s="4" t="s">
        <v>12</v>
      </c>
    </row>
    <row r="4481" spans="1:10" x14ac:dyDescent="0.25">
      <c r="A4481" s="2">
        <v>758.20045020984105</v>
      </c>
      <c r="B4481" s="3">
        <v>-0.17450201413566499</v>
      </c>
      <c r="C4481" s="3">
        <v>9.25408343892699E-3</v>
      </c>
      <c r="D4481" s="4">
        <v>2.31704577724277E-2</v>
      </c>
      <c r="E4481" s="3" t="s">
        <v>15757</v>
      </c>
      <c r="F4481" s="3" t="s">
        <v>15758</v>
      </c>
      <c r="G4481" s="3">
        <v>18769</v>
      </c>
      <c r="H4481" s="7" t="str">
        <f>HYPERLINK("http://www.ensembl.org/Mus_musculus/Gene/Summary?db=core;g=ENSMUSG00000035268","ENSMUSG00000035268")</f>
        <v>ENSMUSG00000035268</v>
      </c>
      <c r="I4481" s="7" t="str">
        <f>HYPERLINK("http://www.informatics.jax.org/marker/MGI:1343086","MGI:1343086")</f>
        <v>MGI:1343086</v>
      </c>
      <c r="J4481" s="4" t="s">
        <v>12</v>
      </c>
    </row>
    <row r="4482" spans="1:10" x14ac:dyDescent="0.25">
      <c r="A4482" s="2">
        <v>831.92379587155301</v>
      </c>
      <c r="B4482" s="3">
        <v>-0.17539328364713799</v>
      </c>
      <c r="C4482" s="3">
        <v>2.5610940699809901E-3</v>
      </c>
      <c r="D4482" s="4">
        <v>7.1083427248451901E-3</v>
      </c>
      <c r="E4482" s="3" t="s">
        <v>14217</v>
      </c>
      <c r="F4482" s="3" t="s">
        <v>14218</v>
      </c>
      <c r="G4482" s="3">
        <v>73668</v>
      </c>
      <c r="H4482" s="7" t="str">
        <f>HYPERLINK("http://www.ensembl.org/Mus_musculus/Gene/Summary?db=core;g=ENSMUSG00000034848","ENSMUSG00000034848")</f>
        <v>ENSMUSG00000034848</v>
      </c>
      <c r="I4482" s="7" t="str">
        <f>HYPERLINK("http://www.informatics.jax.org/marker/MGI:1920918","MGI:1920918")</f>
        <v>MGI:1920918</v>
      </c>
      <c r="J4482" s="4" t="s">
        <v>12</v>
      </c>
    </row>
    <row r="4483" spans="1:10" x14ac:dyDescent="0.25">
      <c r="A4483" s="2">
        <v>1885.97617104243</v>
      </c>
      <c r="B4483" s="3">
        <v>-0.17561138901204901</v>
      </c>
      <c r="C4483" s="3">
        <v>3.8963154137750699E-4</v>
      </c>
      <c r="D4483" s="4">
        <v>1.21594144579276E-3</v>
      </c>
      <c r="E4483" s="3" t="s">
        <v>12651</v>
      </c>
      <c r="F4483" s="3" t="s">
        <v>12652</v>
      </c>
      <c r="G4483" s="3">
        <v>228850</v>
      </c>
      <c r="H4483" s="7" t="str">
        <f>HYPERLINK("http://www.ensembl.org/Mus_musculus/Gene/Summary?db=core;g=ENSMUSG00000027652","ENSMUSG00000027652")</f>
        <v>ENSMUSG00000027652</v>
      </c>
      <c r="I4483" s="7" t="str">
        <f>HYPERLINK("http://www.informatics.jax.org/marker/MGI:2444531","MGI:2444531")</f>
        <v>MGI:2444531</v>
      </c>
      <c r="J4483" s="4" t="s">
        <v>12</v>
      </c>
    </row>
    <row r="4484" spans="1:10" x14ac:dyDescent="0.25">
      <c r="A4484" s="2">
        <v>1064.0096138619199</v>
      </c>
      <c r="B4484" s="3">
        <v>-0.175914670101152</v>
      </c>
      <c r="C4484" s="3">
        <v>1.19512618170753E-3</v>
      </c>
      <c r="D4484" s="4">
        <v>3.4848274882851599E-3</v>
      </c>
      <c r="E4484" s="3" t="s">
        <v>13535</v>
      </c>
      <c r="F4484" s="3" t="s">
        <v>13536</v>
      </c>
      <c r="G4484" s="3">
        <v>13859</v>
      </c>
      <c r="H4484" s="7" t="str">
        <f>HYPERLINK("http://www.ensembl.org/Mus_musculus/Gene/Summary?db=core;g=ENSMUSG00000006276","ENSMUSG00000006276")</f>
        <v>ENSMUSG00000006276</v>
      </c>
      <c r="I4484" s="7" t="str">
        <f>HYPERLINK("http://www.informatics.jax.org/marker/MGI:104582","MGI:104582")</f>
        <v>MGI:104582</v>
      </c>
      <c r="J4484" s="4" t="s">
        <v>12</v>
      </c>
    </row>
    <row r="4485" spans="1:10" x14ac:dyDescent="0.25">
      <c r="A4485" s="2">
        <v>341.47305629588402</v>
      </c>
      <c r="B4485" s="3">
        <v>-0.175953223050203</v>
      </c>
      <c r="C4485" s="3">
        <v>1.9050266536334098E-2</v>
      </c>
      <c r="D4485" s="4">
        <v>4.4653661725485502E-2</v>
      </c>
      <c r="E4485" s="3" t="s">
        <v>16830</v>
      </c>
      <c r="F4485" s="3" t="s">
        <v>16831</v>
      </c>
      <c r="G4485" s="3">
        <v>240255</v>
      </c>
      <c r="H4485" s="7" t="str">
        <f>HYPERLINK("http://www.ensembl.org/Mus_musculus/Gene/Summary?db=core;g=ENSMUSG00000034653","ENSMUSG00000034653")</f>
        <v>ENSMUSG00000034653</v>
      </c>
      <c r="I4485" s="7" t="str">
        <f>HYPERLINK("http://www.informatics.jax.org/marker/MGI:2448561","MGI:2448561")</f>
        <v>MGI:2448561</v>
      </c>
      <c r="J4485" s="4" t="s">
        <v>12</v>
      </c>
    </row>
    <row r="4486" spans="1:10" x14ac:dyDescent="0.25">
      <c r="A4486" s="2">
        <v>451.08981424422802</v>
      </c>
      <c r="B4486" s="3">
        <v>-0.17630983769778799</v>
      </c>
      <c r="C4486" s="3">
        <v>8.7219214608705905E-3</v>
      </c>
      <c r="D4486" s="4">
        <v>2.1941101059876001E-2</v>
      </c>
      <c r="E4486" s="3" t="s">
        <v>15683</v>
      </c>
      <c r="F4486" s="3" t="s">
        <v>15684</v>
      </c>
      <c r="G4486" s="3">
        <v>212627</v>
      </c>
      <c r="H4486" s="7" t="str">
        <f>HYPERLINK("http://www.ensembl.org/Mus_musculus/Gene/Summary?db=core;g=ENSMUSG00000020528","ENSMUSG00000020528")</f>
        <v>ENSMUSG00000020528</v>
      </c>
      <c r="I4486" s="7" t="str">
        <f>HYPERLINK("http://www.informatics.jax.org/marker/MGI:2384838","MGI:2384838")</f>
        <v>MGI:2384838</v>
      </c>
      <c r="J4486" s="4" t="s">
        <v>12</v>
      </c>
    </row>
    <row r="4487" spans="1:10" x14ac:dyDescent="0.25">
      <c r="A4487" s="2">
        <v>593.71825297979103</v>
      </c>
      <c r="B4487" s="3">
        <v>-0.176443392366265</v>
      </c>
      <c r="C4487" s="3">
        <v>1.15909113339514E-2</v>
      </c>
      <c r="D4487" s="4">
        <v>2.8436522954157901E-2</v>
      </c>
      <c r="E4487" s="3" t="s">
        <v>16081</v>
      </c>
      <c r="F4487" s="3" t="s">
        <v>16082</v>
      </c>
      <c r="G4487" s="3">
        <v>64660</v>
      </c>
      <c r="H4487" s="7" t="str">
        <f>HYPERLINK("http://www.ensembl.org/Mus_musculus/Gene/Summary?db=core;g=ENSMUSG00000020477","ENSMUSG00000020477")</f>
        <v>ENSMUSG00000020477</v>
      </c>
      <c r="I4487" s="7" t="str">
        <f>HYPERLINK("http://www.informatics.jax.org/marker/MGI:1928142","MGI:1928142")</f>
        <v>MGI:1928142</v>
      </c>
      <c r="J4487" s="4" t="s">
        <v>12</v>
      </c>
    </row>
    <row r="4488" spans="1:10" x14ac:dyDescent="0.25">
      <c r="A4488" s="2">
        <v>847.72411960457305</v>
      </c>
      <c r="B4488" s="3">
        <v>-0.176941474228514</v>
      </c>
      <c r="C4488" s="3">
        <v>2.0793018428502799E-2</v>
      </c>
      <c r="D4488" s="4">
        <v>4.8325082311146197E-2</v>
      </c>
      <c r="E4488" s="3" t="s">
        <v>16972</v>
      </c>
      <c r="F4488" s="3" t="s">
        <v>16973</v>
      </c>
      <c r="G4488" s="3">
        <v>192231</v>
      </c>
      <c r="H4488" s="7" t="str">
        <f>HYPERLINK("http://www.ensembl.org/Mus_musculus/Gene/Summary?db=core;g=ENSMUSG00000048878","ENSMUSG00000048878")</f>
        <v>ENSMUSG00000048878</v>
      </c>
      <c r="I4488" s="7" t="str">
        <f>HYPERLINK("http://www.informatics.jax.org/marker/MGI:2385923","MGI:2385923")</f>
        <v>MGI:2385923</v>
      </c>
      <c r="J4488" s="4" t="s">
        <v>12</v>
      </c>
    </row>
    <row r="4489" spans="1:10" x14ac:dyDescent="0.25">
      <c r="A4489" s="2">
        <v>1127.30427782276</v>
      </c>
      <c r="B4489" s="3">
        <v>-0.17735165648537601</v>
      </c>
      <c r="C4489" s="3">
        <v>5.0110556037594796E-4</v>
      </c>
      <c r="D4489" s="4">
        <v>1.54210387806081E-3</v>
      </c>
      <c r="E4489" s="3" t="s">
        <v>12825</v>
      </c>
      <c r="F4489" s="3" t="s">
        <v>12826</v>
      </c>
      <c r="G4489" s="3">
        <v>66053</v>
      </c>
      <c r="H4489" s="7" t="str">
        <f>HYPERLINK("http://www.ensembl.org/Mus_musculus/Gene/Summary?db=core;g=ENSMUSG00000022771","ENSMUSG00000022771")</f>
        <v>ENSMUSG00000022771</v>
      </c>
      <c r="I4489" s="7" t="str">
        <f>HYPERLINK("http://www.informatics.jax.org/marker/MGI:2447857","MGI:2447857")</f>
        <v>MGI:2447857</v>
      </c>
      <c r="J4489" s="4" t="s">
        <v>12</v>
      </c>
    </row>
    <row r="4490" spans="1:10" x14ac:dyDescent="0.25">
      <c r="A4490" s="2">
        <v>458.54813066599303</v>
      </c>
      <c r="B4490" s="3">
        <v>-0.177769936753158</v>
      </c>
      <c r="C4490" s="3">
        <v>1.80975905982899E-2</v>
      </c>
      <c r="D4490" s="4">
        <v>4.2623251713636297E-2</v>
      </c>
      <c r="E4490" s="3" t="s">
        <v>16750</v>
      </c>
      <c r="F4490" s="3" t="s">
        <v>16751</v>
      </c>
      <c r="G4490" s="3">
        <v>72149</v>
      </c>
      <c r="H4490" s="7" t="str">
        <f>HYPERLINK("http://www.ensembl.org/Mus_musculus/Gene/Summary?db=core;g=ENSMUSG00000069631","ENSMUSG00000069631")</f>
        <v>ENSMUSG00000069631</v>
      </c>
      <c r="I4490" s="7" t="str">
        <f>HYPERLINK("http://www.informatics.jax.org/marker/MGI:1919399","MGI:1919399")</f>
        <v>MGI:1919399</v>
      </c>
      <c r="J4490" s="4" t="s">
        <v>12</v>
      </c>
    </row>
    <row r="4491" spans="1:10" x14ac:dyDescent="0.25">
      <c r="A4491" s="2">
        <v>517.71356769186798</v>
      </c>
      <c r="B4491" s="3">
        <v>-0.17777865951584401</v>
      </c>
      <c r="C4491" s="3">
        <v>1.07566115547689E-2</v>
      </c>
      <c r="D4491" s="4">
        <v>2.6571511945389401E-2</v>
      </c>
      <c r="E4491" s="3" t="s">
        <v>15971</v>
      </c>
      <c r="F4491" s="3" t="s">
        <v>15972</v>
      </c>
      <c r="G4491" s="3">
        <v>67381</v>
      </c>
      <c r="H4491" s="7" t="str">
        <f>HYPERLINK("http://www.ensembl.org/Mus_musculus/Gene/Summary?db=core;g=ENSMUSG00000022109","ENSMUSG00000022109")</f>
        <v>ENSMUSG00000022109</v>
      </c>
      <c r="I4491" s="7" t="str">
        <f>HYPERLINK("http://www.informatics.jax.org/marker/MGI:1914631","MGI:1914631")</f>
        <v>MGI:1914631</v>
      </c>
      <c r="J4491" s="4" t="s">
        <v>12</v>
      </c>
    </row>
    <row r="4492" spans="1:10" x14ac:dyDescent="0.25">
      <c r="A4492" s="2">
        <v>1321.4299751015401</v>
      </c>
      <c r="B4492" s="3">
        <v>-0.17790316857631799</v>
      </c>
      <c r="C4492" s="3">
        <v>1.25083382462957E-2</v>
      </c>
      <c r="D4492" s="4">
        <v>3.05088967491591E-2</v>
      </c>
      <c r="E4492" s="3" t="s">
        <v>16175</v>
      </c>
      <c r="F4492" s="3" t="s">
        <v>16176</v>
      </c>
      <c r="G4492" s="3">
        <v>192786</v>
      </c>
      <c r="H4492" s="7" t="str">
        <f>HYPERLINK("http://www.ensembl.org/Mus_musculus/Gene/Summary?db=core;g=ENSMUSG00000037533","ENSMUSG00000037533")</f>
        <v>ENSMUSG00000037533</v>
      </c>
      <c r="I4492" s="7" t="str">
        <f>HYPERLINK("http://www.informatics.jax.org/marker/MGI:2384761","MGI:2384761")</f>
        <v>MGI:2384761</v>
      </c>
      <c r="J4492" s="4" t="s">
        <v>12</v>
      </c>
    </row>
    <row r="4493" spans="1:10" x14ac:dyDescent="0.25">
      <c r="A4493" s="2">
        <v>899.24874363468302</v>
      </c>
      <c r="B4493" s="3">
        <v>-0.17792486243599701</v>
      </c>
      <c r="C4493" s="3">
        <v>2.4451235260457499E-3</v>
      </c>
      <c r="D4493" s="4">
        <v>6.8104288041839203E-3</v>
      </c>
      <c r="E4493" s="3" t="s">
        <v>14167</v>
      </c>
      <c r="F4493" s="3" t="s">
        <v>14168</v>
      </c>
      <c r="G4493" s="3">
        <v>26430</v>
      </c>
      <c r="H4493" s="7" t="str">
        <f>HYPERLINK("http://www.ensembl.org/Mus_musculus/Gene/Summary?db=core;g=ENSMUSG00000021911","ENSMUSG00000021911")</f>
        <v>ENSMUSG00000021911</v>
      </c>
      <c r="I4493" s="7" t="str">
        <f>HYPERLINK("http://www.informatics.jax.org/marker/MGI:1347094","MGI:1347094")</f>
        <v>MGI:1347094</v>
      </c>
      <c r="J4493" s="4" t="s">
        <v>12</v>
      </c>
    </row>
    <row r="4494" spans="1:10" x14ac:dyDescent="0.25">
      <c r="A4494" s="2">
        <v>2112.9752903399899</v>
      </c>
      <c r="B4494" s="3">
        <v>-0.17793364488846899</v>
      </c>
      <c r="C4494" s="3">
        <v>8.0684170502594299E-3</v>
      </c>
      <c r="D4494" s="4">
        <v>2.04195564978331E-2</v>
      </c>
      <c r="E4494" s="3" t="s">
        <v>15589</v>
      </c>
      <c r="F4494" s="3" t="s">
        <v>15590</v>
      </c>
      <c r="G4494" s="3">
        <v>14000</v>
      </c>
      <c r="H4494" s="7" t="str">
        <f>HYPERLINK("http://www.ensembl.org/Mus_musculus/Gene/Summary?db=core;g=ENSMUSG00000022191","ENSMUSG00000022191")</f>
        <v>ENSMUSG00000022191</v>
      </c>
      <c r="I4494" s="7" t="str">
        <f>HYPERLINK("http://www.informatics.jax.org/marker/MGI:1261425","MGI:1261425")</f>
        <v>MGI:1261425</v>
      </c>
      <c r="J4494" s="4" t="s">
        <v>12</v>
      </c>
    </row>
    <row r="4495" spans="1:10" x14ac:dyDescent="0.25">
      <c r="A4495" s="2">
        <v>1799.8638330715701</v>
      </c>
      <c r="B4495" s="3">
        <v>-0.17837198641656599</v>
      </c>
      <c r="C4495" s="3">
        <v>2.2718695683868399E-3</v>
      </c>
      <c r="D4495" s="4">
        <v>6.35839737277725E-3</v>
      </c>
      <c r="E4495" s="3" t="s">
        <v>14099</v>
      </c>
      <c r="F4495" s="3" t="s">
        <v>14100</v>
      </c>
      <c r="G4495" s="3">
        <v>118451</v>
      </c>
      <c r="H4495" s="7" t="str">
        <f>HYPERLINK("http://www.ensembl.org/Mus_musculus/Gene/Summary?db=core;g=ENSMUSG00000035772","ENSMUSG00000035772")</f>
        <v>ENSMUSG00000035772</v>
      </c>
      <c r="I4495" s="7" t="str">
        <f>HYPERLINK("http://www.informatics.jax.org/marker/MGI:2153089","MGI:2153089")</f>
        <v>MGI:2153089</v>
      </c>
      <c r="J4495" s="4" t="s">
        <v>12</v>
      </c>
    </row>
    <row r="4496" spans="1:10" x14ac:dyDescent="0.25">
      <c r="A4496" s="2">
        <v>2276.4478470895501</v>
      </c>
      <c r="B4496" s="3">
        <v>-0.17866626737411301</v>
      </c>
      <c r="C4496" s="3">
        <v>1.65289434269132E-2</v>
      </c>
      <c r="D4496" s="4">
        <v>3.9294848026368699E-2</v>
      </c>
      <c r="E4496" s="3" t="s">
        <v>16594</v>
      </c>
      <c r="F4496" s="3" t="s">
        <v>16595</v>
      </c>
      <c r="G4496" s="3">
        <v>68059</v>
      </c>
      <c r="H4496" s="7" t="str">
        <f>HYPERLINK("http://www.ensembl.org/Mus_musculus/Gene/Summary?db=core;g=ENSMUSG00000025544","ENSMUSG00000025544")</f>
        <v>ENSMUSG00000025544</v>
      </c>
      <c r="I4496" s="7" t="str">
        <f>HYPERLINK("http://www.informatics.jax.org/marker/MGI:1915309","MGI:1915309")</f>
        <v>MGI:1915309</v>
      </c>
      <c r="J4496" s="4" t="s">
        <v>12</v>
      </c>
    </row>
    <row r="4497" spans="1:10" x14ac:dyDescent="0.25">
      <c r="A4497" s="2">
        <v>416.71346427039703</v>
      </c>
      <c r="B4497" s="3">
        <v>-0.17872072519690599</v>
      </c>
      <c r="C4497" s="3">
        <v>2.0397115226410401E-2</v>
      </c>
      <c r="D4497" s="4">
        <v>4.7500131349174801E-2</v>
      </c>
      <c r="E4497" s="3" t="s">
        <v>16940</v>
      </c>
      <c r="F4497" s="3" t="s">
        <v>16941</v>
      </c>
      <c r="G4497" s="3">
        <v>66690</v>
      </c>
      <c r="H4497" s="7" t="str">
        <f>HYPERLINK("http://www.ensembl.org/Mus_musculus/Gene/Summary?db=core;g=ENSMUSG00000043140","ENSMUSG00000043140")</f>
        <v>ENSMUSG00000043140</v>
      </c>
      <c r="I4497" s="7" t="str">
        <f>HYPERLINK("http://www.informatics.jax.org/marker/MGI:1913940","MGI:1913940")</f>
        <v>MGI:1913940</v>
      </c>
      <c r="J4497" s="4" t="s">
        <v>12</v>
      </c>
    </row>
    <row r="4498" spans="1:10" x14ac:dyDescent="0.25">
      <c r="A4498" s="2">
        <v>555.35726422069399</v>
      </c>
      <c r="B4498" s="3">
        <v>-0.17917769199856701</v>
      </c>
      <c r="C4498" s="3">
        <v>7.24977350165373E-3</v>
      </c>
      <c r="D4498" s="4">
        <v>1.85404660164196E-2</v>
      </c>
      <c r="E4498" s="3" t="s">
        <v>15427</v>
      </c>
      <c r="F4498" s="3" t="s">
        <v>15428</v>
      </c>
      <c r="G4498" s="3">
        <v>71446</v>
      </c>
      <c r="H4498" s="7" t="str">
        <f>HYPERLINK("http://www.ensembl.org/Mus_musculus/Gene/Summary?db=core;g=ENSMUSG00000023147","ENSMUSG00000023147")</f>
        <v>ENSMUSG00000023147</v>
      </c>
      <c r="I4498" s="7" t="str">
        <f>HYPERLINK("http://www.informatics.jax.org/marker/MGI:2136882","MGI:2136882")</f>
        <v>MGI:2136882</v>
      </c>
      <c r="J4498" s="4" t="s">
        <v>12</v>
      </c>
    </row>
    <row r="4499" spans="1:10" x14ac:dyDescent="0.25">
      <c r="A4499" s="2">
        <v>675.76684190159995</v>
      </c>
      <c r="B4499" s="3">
        <v>-0.17938980254203399</v>
      </c>
      <c r="C4499" s="3">
        <v>4.9229990504650201E-3</v>
      </c>
      <c r="D4499" s="4">
        <v>1.30258340634872E-2</v>
      </c>
      <c r="E4499" s="3" t="s">
        <v>14906</v>
      </c>
      <c r="F4499" s="3" t="s">
        <v>14907</v>
      </c>
      <c r="G4499" s="3">
        <v>224111</v>
      </c>
      <c r="H4499" s="7" t="str">
        <f>HYPERLINK("http://www.ensembl.org/Mus_musculus/Gene/Summary?db=core;g=ENSMUSG00000053774","ENSMUSG00000053774")</f>
        <v>ENSMUSG00000053774</v>
      </c>
      <c r="I4499" s="7" t="str">
        <f>HYPERLINK("http://www.informatics.jax.org/marker/MGI:2146388","MGI:2146388")</f>
        <v>MGI:2146388</v>
      </c>
      <c r="J4499" s="4" t="s">
        <v>12</v>
      </c>
    </row>
    <row r="4500" spans="1:10" x14ac:dyDescent="0.25">
      <c r="A4500" s="2">
        <v>757.45142292772402</v>
      </c>
      <c r="B4500" s="3">
        <v>-0.17951238003421299</v>
      </c>
      <c r="C4500" s="3">
        <v>2.2322710586322602E-3</v>
      </c>
      <c r="D4500" s="4">
        <v>6.26000928274008E-3</v>
      </c>
      <c r="E4500" s="3" t="s">
        <v>14071</v>
      </c>
      <c r="F4500" s="3" t="s">
        <v>14072</v>
      </c>
      <c r="G4500" s="3">
        <v>67414</v>
      </c>
      <c r="H4500" s="7" t="str">
        <f>HYPERLINK("http://www.ensembl.org/Mus_musculus/Gene/Summary?db=core;g=ENSMUSG00000027668","ENSMUSG00000027668")</f>
        <v>ENSMUSG00000027668</v>
      </c>
      <c r="I4500" s="7" t="str">
        <f>HYPERLINK("http://www.informatics.jax.org/marker/MGI:1914664","MGI:1914664")</f>
        <v>MGI:1914664</v>
      </c>
      <c r="J4500" s="4" t="s">
        <v>12</v>
      </c>
    </row>
    <row r="4501" spans="1:10" x14ac:dyDescent="0.25">
      <c r="A4501" s="2">
        <v>938.61578105859201</v>
      </c>
      <c r="B4501" s="3">
        <v>-0.179911920307993</v>
      </c>
      <c r="C4501" s="3">
        <v>8.9466350376083397E-3</v>
      </c>
      <c r="D4501" s="4">
        <v>2.2466273136589401E-2</v>
      </c>
      <c r="E4501" s="3" t="s">
        <v>15711</v>
      </c>
      <c r="F4501" s="3" t="s">
        <v>15712</v>
      </c>
      <c r="G4501" s="3">
        <v>22129</v>
      </c>
      <c r="H4501" s="7" t="str">
        <f>HYPERLINK("http://www.ensembl.org/Mus_musculus/Gene/Summary?db=core;g=ENSMUSG00000040785","ENSMUSG00000040785")</f>
        <v>ENSMUSG00000040785</v>
      </c>
      <c r="I4501" s="7" t="str">
        <f>HYPERLINK("http://www.informatics.jax.org/marker/MGI:1276539","MGI:1276539")</f>
        <v>MGI:1276539</v>
      </c>
      <c r="J4501" s="4" t="s">
        <v>12</v>
      </c>
    </row>
    <row r="4502" spans="1:10" x14ac:dyDescent="0.25">
      <c r="A4502" s="2">
        <v>775.64743023642495</v>
      </c>
      <c r="B4502" s="3">
        <v>-0.18021657822183701</v>
      </c>
      <c r="C4502" s="3">
        <v>1.22139986718397E-2</v>
      </c>
      <c r="D4502" s="4">
        <v>2.9842653179120202E-2</v>
      </c>
      <c r="E4502" s="3" t="s">
        <v>16147</v>
      </c>
      <c r="F4502" s="3" t="s">
        <v>16148</v>
      </c>
      <c r="G4502" s="3">
        <v>67128</v>
      </c>
      <c r="H4502" s="7" t="str">
        <f>HYPERLINK("http://www.ensembl.org/Mus_musculus/Gene/Summary?db=core;g=ENSMUSG00000020794","ENSMUSG00000020794")</f>
        <v>ENSMUSG00000020794</v>
      </c>
      <c r="I4502" s="7" t="str">
        <f>HYPERLINK("http://www.informatics.jax.org/marker/MGI:1914378","MGI:1914378")</f>
        <v>MGI:1914378</v>
      </c>
      <c r="J4502" s="4" t="s">
        <v>12</v>
      </c>
    </row>
    <row r="4503" spans="1:10" x14ac:dyDescent="0.25">
      <c r="A4503" s="2">
        <v>1842.07008160902</v>
      </c>
      <c r="B4503" s="3">
        <v>-0.180837780429978</v>
      </c>
      <c r="C4503" s="3">
        <v>2.3044538061969401E-3</v>
      </c>
      <c r="D4503" s="4">
        <v>6.4431914161638404E-3</v>
      </c>
      <c r="E4503" s="3" t="s">
        <v>14113</v>
      </c>
      <c r="F4503" s="3" t="s">
        <v>14114</v>
      </c>
      <c r="G4503" s="3">
        <v>75273</v>
      </c>
      <c r="H4503" s="7" t="str">
        <f>HYPERLINK("http://www.ensembl.org/Mus_musculus/Gene/Summary?db=core;g=ENSMUSG00000018921","ENSMUSG00000018921")</f>
        <v>ENSMUSG00000018921</v>
      </c>
      <c r="I4503" s="7" t="str">
        <f>HYPERLINK("http://www.informatics.jax.org/marker/MGI:1922523","MGI:1922523")</f>
        <v>MGI:1922523</v>
      </c>
      <c r="J4503" s="4" t="s">
        <v>12</v>
      </c>
    </row>
    <row r="4504" spans="1:10" x14ac:dyDescent="0.25">
      <c r="A4504" s="2">
        <v>1316.2310813772599</v>
      </c>
      <c r="B4504" s="3">
        <v>-0.18090595724212599</v>
      </c>
      <c r="C4504" s="3">
        <v>1.86493220647912E-2</v>
      </c>
      <c r="D4504" s="4">
        <v>4.37971455421797E-2</v>
      </c>
      <c r="E4504" s="3" t="s">
        <v>16798</v>
      </c>
      <c r="F4504" s="3" t="s">
        <v>16799</v>
      </c>
      <c r="G4504" s="3">
        <v>13007</v>
      </c>
      <c r="H4504" s="7" t="str">
        <f>HYPERLINK("http://www.ensembl.org/Mus_musculus/Gene/Summary?db=core;g=ENSMUSG00000026421","ENSMUSG00000026421")</f>
        <v>ENSMUSG00000026421</v>
      </c>
      <c r="I4504" s="7" t="str">
        <f>HYPERLINK("http://www.informatics.jax.org/marker/MGI:88549","MGI:88549")</f>
        <v>MGI:88549</v>
      </c>
      <c r="J4504" s="4" t="s">
        <v>12</v>
      </c>
    </row>
    <row r="4505" spans="1:10" x14ac:dyDescent="0.25">
      <c r="A4505" s="2">
        <v>2185.8810909008498</v>
      </c>
      <c r="B4505" s="3">
        <v>-0.181117750282032</v>
      </c>
      <c r="C4505" s="3">
        <v>1.27693970389004E-2</v>
      </c>
      <c r="D4505" s="4">
        <v>3.1099482475869598E-2</v>
      </c>
      <c r="E4505" s="3" t="s">
        <v>16199</v>
      </c>
      <c r="F4505" s="3" t="s">
        <v>16200</v>
      </c>
      <c r="G4505" s="3">
        <v>12508</v>
      </c>
      <c r="H4505" s="7" t="str">
        <f>HYPERLINK("http://www.ensembl.org/Mus_musculus/Gene/Summary?db=core;g=ENSMUSG00000040747","ENSMUSG00000040747")</f>
        <v>ENSMUSG00000040747</v>
      </c>
      <c r="I4505" s="7" t="str">
        <f>HYPERLINK("http://www.informatics.jax.org/marker/MGI:88341","MGI:88341")</f>
        <v>MGI:88341</v>
      </c>
      <c r="J4505" s="4" t="s">
        <v>12</v>
      </c>
    </row>
    <row r="4506" spans="1:10" x14ac:dyDescent="0.25">
      <c r="A4506" s="2">
        <v>428.34947436073099</v>
      </c>
      <c r="B4506" s="3">
        <v>-0.18136218789653799</v>
      </c>
      <c r="C4506" s="3">
        <v>6.5583810528841002E-3</v>
      </c>
      <c r="D4506" s="4">
        <v>1.69126813603863E-2</v>
      </c>
      <c r="E4506" s="3" t="s">
        <v>15297</v>
      </c>
      <c r="F4506" s="3" t="s">
        <v>15298</v>
      </c>
      <c r="G4506" s="3">
        <v>52892</v>
      </c>
      <c r="H4506" s="7" t="str">
        <f>HYPERLINK("http://www.ensembl.org/Mus_musculus/Gene/Summary?db=core;g=ENSMUSG00000069844","ENSMUSG00000069844")</f>
        <v>ENSMUSG00000069844</v>
      </c>
      <c r="I4506" s="7" t="str">
        <f>HYPERLINK("http://www.informatics.jax.org/marker/MGI:106362","MGI:106362")</f>
        <v>MGI:106362</v>
      </c>
      <c r="J4506" s="4" t="s">
        <v>12</v>
      </c>
    </row>
    <row r="4507" spans="1:10" x14ac:dyDescent="0.25">
      <c r="A4507" s="2">
        <v>375.93859390577097</v>
      </c>
      <c r="B4507" s="3">
        <v>-0.18144026828228901</v>
      </c>
      <c r="C4507" s="3">
        <v>1.00094824061902E-2</v>
      </c>
      <c r="D4507" s="4">
        <v>2.4916308135580899E-2</v>
      </c>
      <c r="E4507" s="3" t="s">
        <v>15849</v>
      </c>
      <c r="F4507" s="3" t="s">
        <v>15850</v>
      </c>
      <c r="G4507" s="3">
        <v>28295</v>
      </c>
      <c r="H4507" s="7" t="str">
        <f>HYPERLINK("http://www.ensembl.org/Mus_musculus/Gene/Summary?db=core;g=ENSMUSG00000053329","ENSMUSG00000053329")</f>
        <v>ENSMUSG00000053329</v>
      </c>
      <c r="I4507" s="7" t="str">
        <f>HYPERLINK("http://www.informatics.jax.org/marker/MGI:1351861","MGI:1351861")</f>
        <v>MGI:1351861</v>
      </c>
      <c r="J4507" s="4" t="s">
        <v>12</v>
      </c>
    </row>
    <row r="4508" spans="1:10" x14ac:dyDescent="0.25">
      <c r="A4508" s="2">
        <v>1314.9809763129001</v>
      </c>
      <c r="B4508" s="3">
        <v>-0.181570204646744</v>
      </c>
      <c r="C4508" s="3">
        <v>1.22212369928325E-2</v>
      </c>
      <c r="D4508" s="4">
        <v>2.9856618561553201E-2</v>
      </c>
      <c r="E4508" s="3" t="s">
        <v>16151</v>
      </c>
      <c r="F4508" s="3" t="s">
        <v>16152</v>
      </c>
      <c r="G4508" s="3">
        <v>13680</v>
      </c>
      <c r="H4508" s="7" t="str">
        <f>HYPERLINK("http://www.ensembl.org/Mus_musculus/Gene/Summary?db=core;g=ENSMUSG00000015023","ENSMUSG00000015023")</f>
        <v>ENSMUSG00000015023</v>
      </c>
      <c r="I4508" s="7" t="str">
        <f>HYPERLINK("http://www.informatics.jax.org/marker/MGI:99526","MGI:99526")</f>
        <v>MGI:99526</v>
      </c>
      <c r="J4508" s="4" t="s">
        <v>12</v>
      </c>
    </row>
    <row r="4509" spans="1:10" x14ac:dyDescent="0.25">
      <c r="A4509" s="2">
        <v>3406.1597529311898</v>
      </c>
      <c r="B4509" s="3">
        <v>-0.181941047582654</v>
      </c>
      <c r="C4509" s="3">
        <v>1.1126627113638001E-4</v>
      </c>
      <c r="D4509" s="4">
        <v>3.7328527846366202E-4</v>
      </c>
      <c r="E4509" s="3" t="s">
        <v>11767</v>
      </c>
      <c r="F4509" s="3" t="s">
        <v>11768</v>
      </c>
      <c r="G4509" s="3">
        <v>66890</v>
      </c>
      <c r="H4509" s="7" t="str">
        <f>HYPERLINK("http://www.ensembl.org/Mus_musculus/Gene/Summary?db=core;g=ENSMUSG00000021484","ENSMUSG00000021484")</f>
        <v>ENSMUSG00000021484</v>
      </c>
      <c r="I4509" s="7" t="str">
        <f>HYPERLINK("http://www.informatics.jax.org/marker/MGI:1914140","MGI:1914140")</f>
        <v>MGI:1914140</v>
      </c>
      <c r="J4509" s="4" t="s">
        <v>12</v>
      </c>
    </row>
    <row r="4510" spans="1:10" x14ac:dyDescent="0.25">
      <c r="A4510" s="2">
        <v>478.836930343299</v>
      </c>
      <c r="B4510" s="3">
        <v>-0.18227546385416801</v>
      </c>
      <c r="C4510" s="3">
        <v>1.4699966528961699E-2</v>
      </c>
      <c r="D4510" s="4">
        <v>3.53343905352419E-2</v>
      </c>
      <c r="E4510" s="3" t="s">
        <v>16411</v>
      </c>
      <c r="F4510" s="3" t="s">
        <v>16412</v>
      </c>
      <c r="G4510" s="3">
        <v>66464</v>
      </c>
      <c r="H4510" s="7" t="str">
        <f>HYPERLINK("http://www.ensembl.org/Mus_musculus/Gene/Summary?db=core;g=ENSMUSG00000028899","ENSMUSG00000028899")</f>
        <v>ENSMUSG00000028899</v>
      </c>
      <c r="I4510" s="7" t="str">
        <f>HYPERLINK("http://www.informatics.jax.org/marker/MGI:1913714","MGI:1913714")</f>
        <v>MGI:1913714</v>
      </c>
      <c r="J4510" s="4" t="s">
        <v>12</v>
      </c>
    </row>
    <row r="4511" spans="1:10" x14ac:dyDescent="0.25">
      <c r="A4511" s="2">
        <v>863.22795010743801</v>
      </c>
      <c r="B4511" s="3">
        <v>-0.18246682820510099</v>
      </c>
      <c r="C4511" s="3">
        <v>5.73610095124275E-4</v>
      </c>
      <c r="D4511" s="4">
        <v>1.75373505051949E-3</v>
      </c>
      <c r="E4511" s="3" t="s">
        <v>12909</v>
      </c>
      <c r="F4511" s="3" t="s">
        <v>12910</v>
      </c>
      <c r="G4511" s="3">
        <v>231086</v>
      </c>
      <c r="H4511" s="7" t="str">
        <f>HYPERLINK("http://www.ensembl.org/Mus_musculus/Gene/Summary?db=core;g=ENSMUSG00000059447","ENSMUSG00000059447")</f>
        <v>ENSMUSG00000059447</v>
      </c>
      <c r="I4511" s="7" t="str">
        <f>HYPERLINK("http://www.informatics.jax.org/marker/MGI:2136381","MGI:2136381")</f>
        <v>MGI:2136381</v>
      </c>
      <c r="J4511" s="4" t="s">
        <v>12</v>
      </c>
    </row>
    <row r="4512" spans="1:10" x14ac:dyDescent="0.25">
      <c r="A4512" s="2">
        <v>328.96064672715698</v>
      </c>
      <c r="B4512" s="3">
        <v>-0.18317209663794701</v>
      </c>
      <c r="C4512" s="3">
        <v>1.7557087382585199E-2</v>
      </c>
      <c r="D4512" s="4">
        <v>4.15039274975521E-2</v>
      </c>
      <c r="E4512" s="3" t="s">
        <v>16688</v>
      </c>
      <c r="F4512" s="3" t="s">
        <v>16689</v>
      </c>
      <c r="G4512" s="3">
        <v>269881</v>
      </c>
      <c r="H4512" s="7" t="str">
        <f>HYPERLINK("http://www.ensembl.org/Mus_musculus/Gene/Summary?db=core;g=ENSMUSG00000040390","ENSMUSG00000040390")</f>
        <v>ENSMUSG00000040390</v>
      </c>
      <c r="I4512" s="7" t="str">
        <f>HYPERLINK("http://www.informatics.jax.org/marker/MGI:1346879","MGI:1346879")</f>
        <v>MGI:1346879</v>
      </c>
      <c r="J4512" s="4" t="s">
        <v>12</v>
      </c>
    </row>
    <row r="4513" spans="1:10" x14ac:dyDescent="0.25">
      <c r="A4513" s="2">
        <v>1980.0257697519901</v>
      </c>
      <c r="B4513" s="3">
        <v>-0.183474177285504</v>
      </c>
      <c r="C4513" s="3">
        <v>5.0909317021862897E-4</v>
      </c>
      <c r="D4513" s="4">
        <v>1.56448766038825E-3</v>
      </c>
      <c r="E4513" s="3" t="s">
        <v>12843</v>
      </c>
      <c r="F4513" s="3" t="s">
        <v>12844</v>
      </c>
      <c r="G4513" s="3">
        <v>330836</v>
      </c>
      <c r="H4513" s="7" t="str">
        <f>HYPERLINK("http://www.ensembl.org/Mus_musculus/Gene/Summary?db=core;g=ENSMUSG00000031904","ENSMUSG00000031904")</f>
        <v>ENSMUSG00000031904</v>
      </c>
      <c r="I4513" s="7" t="str">
        <f>HYPERLINK("http://www.informatics.jax.org/marker/MGI:2142598","MGI:2142598")</f>
        <v>MGI:2142598</v>
      </c>
      <c r="J4513" s="4" t="s">
        <v>12</v>
      </c>
    </row>
    <row r="4514" spans="1:10" x14ac:dyDescent="0.25">
      <c r="A4514" s="2">
        <v>817.17117908775106</v>
      </c>
      <c r="B4514" s="3">
        <v>-0.18370022851994799</v>
      </c>
      <c r="C4514" s="3">
        <v>8.9263034276698197E-3</v>
      </c>
      <c r="D4514" s="4">
        <v>2.24209277281428E-2</v>
      </c>
      <c r="E4514" s="3" t="s">
        <v>15707</v>
      </c>
      <c r="F4514" s="3" t="s">
        <v>15708</v>
      </c>
      <c r="G4514" s="3">
        <v>52206</v>
      </c>
      <c r="H4514" s="7" t="str">
        <f>HYPERLINK("http://www.ensembl.org/Mus_musculus/Gene/Summary?db=core;g=ENSMUSG00000029176","ENSMUSG00000029176")</f>
        <v>ENSMUSG00000029176</v>
      </c>
      <c r="I4514" s="7" t="str">
        <f>HYPERLINK("http://www.informatics.jax.org/marker/MGI:1098673","MGI:1098673")</f>
        <v>MGI:1098673</v>
      </c>
      <c r="J4514" s="4" t="s">
        <v>12</v>
      </c>
    </row>
    <row r="4515" spans="1:10" x14ac:dyDescent="0.25">
      <c r="A4515" s="2">
        <v>1684.5041145205601</v>
      </c>
      <c r="B4515" s="3">
        <v>-0.183962573596887</v>
      </c>
      <c r="C4515" s="3">
        <v>2.49334737774236E-4</v>
      </c>
      <c r="D4515" s="4">
        <v>7.9962287020782696E-4</v>
      </c>
      <c r="E4515" s="3" t="s">
        <v>12309</v>
      </c>
      <c r="F4515" s="3" t="s">
        <v>12310</v>
      </c>
      <c r="G4515" s="3">
        <v>17425</v>
      </c>
      <c r="H4515" s="7" t="str">
        <f>HYPERLINK("http://www.ensembl.org/Mus_musculus/Gene/Summary?db=core;g=ENSMUSG00000056493","ENSMUSG00000056493")</f>
        <v>ENSMUSG00000056493</v>
      </c>
      <c r="I4515" s="7" t="str">
        <f>HYPERLINK("http://www.informatics.jax.org/marker/MGI:1347488","MGI:1347488")</f>
        <v>MGI:1347488</v>
      </c>
      <c r="J4515" s="4" t="s">
        <v>12</v>
      </c>
    </row>
    <row r="4516" spans="1:10" x14ac:dyDescent="0.25">
      <c r="A4516" s="2">
        <v>1337.91974853089</v>
      </c>
      <c r="B4516" s="3">
        <v>-0.18436686585127199</v>
      </c>
      <c r="C4516" s="3">
        <v>1.2322337285305699E-4</v>
      </c>
      <c r="D4516" s="4">
        <v>4.1088348201932399E-4</v>
      </c>
      <c r="E4516" s="3" t="s">
        <v>11839</v>
      </c>
      <c r="F4516" s="3" t="s">
        <v>11840</v>
      </c>
      <c r="G4516" s="3">
        <v>269338</v>
      </c>
      <c r="H4516" s="7" t="str">
        <f>HYPERLINK("http://www.ensembl.org/Mus_musculus/Gene/Summary?db=core;g=ENSMUSG00000027291","ENSMUSG00000027291")</f>
        <v>ENSMUSG00000027291</v>
      </c>
      <c r="I4516" s="7" t="str">
        <f>HYPERLINK("http://www.informatics.jax.org/marker/MGI:2443189","MGI:2443189")</f>
        <v>MGI:2443189</v>
      </c>
      <c r="J4516" s="4" t="s">
        <v>12</v>
      </c>
    </row>
    <row r="4517" spans="1:10" x14ac:dyDescent="0.25">
      <c r="A4517" s="2">
        <v>3127.9356116262902</v>
      </c>
      <c r="B4517" s="3">
        <v>-0.18439026597726299</v>
      </c>
      <c r="C4517" s="3">
        <v>1.2682234911852799E-3</v>
      </c>
      <c r="D4517" s="4">
        <v>3.68978566629885E-3</v>
      </c>
      <c r="E4517" s="3" t="s">
        <v>13565</v>
      </c>
      <c r="F4517" s="3" t="s">
        <v>13566</v>
      </c>
      <c r="G4517" s="3">
        <v>338320</v>
      </c>
      <c r="H4517" s="7" t="str">
        <f>HYPERLINK("http://www.ensembl.org/Mus_musculus/Gene/Summary?db=core;g=ENSMUSG00000021000","ENSMUSG00000021000")</f>
        <v>ENSMUSG00000021000</v>
      </c>
      <c r="I4517" s="7" t="str">
        <f>HYPERLINK("http://www.informatics.jax.org/marker/MGI:2159614","MGI:2159614")</f>
        <v>MGI:2159614</v>
      </c>
      <c r="J4517" s="4" t="s">
        <v>12</v>
      </c>
    </row>
    <row r="4518" spans="1:10" x14ac:dyDescent="0.25">
      <c r="A4518" s="2">
        <v>690.64582645553105</v>
      </c>
      <c r="B4518" s="3">
        <v>-0.184623204724228</v>
      </c>
      <c r="C4518" s="3">
        <v>5.5542031347853103E-3</v>
      </c>
      <c r="D4518" s="4">
        <v>1.4557268184205999E-2</v>
      </c>
      <c r="E4518" s="3" t="s">
        <v>15052</v>
      </c>
      <c r="F4518" s="3" t="s">
        <v>15053</v>
      </c>
      <c r="G4518" s="3">
        <v>58246</v>
      </c>
      <c r="H4518" s="7" t="str">
        <f>HYPERLINK("http://www.ensembl.org/Mus_musculus/Gene/Summary?db=core;g=ENSMUSG00000018999","ENSMUSG00000018999")</f>
        <v>ENSMUSG00000018999</v>
      </c>
      <c r="I4518" s="7" t="str">
        <f>HYPERLINK("http://www.informatics.jax.org/marker/MGI:1931249","MGI:1931249")</f>
        <v>MGI:1931249</v>
      </c>
      <c r="J4518" s="4" t="s">
        <v>12</v>
      </c>
    </row>
    <row r="4519" spans="1:10" x14ac:dyDescent="0.25">
      <c r="A4519" s="2">
        <v>1149.4338259629601</v>
      </c>
      <c r="B4519" s="3">
        <v>-0.18513645880277399</v>
      </c>
      <c r="C4519" s="3">
        <v>8.25022018342993E-3</v>
      </c>
      <c r="D4519" s="4">
        <v>2.08342095040643E-2</v>
      </c>
      <c r="E4519" s="3" t="s">
        <v>15623</v>
      </c>
      <c r="F4519" s="3" t="s">
        <v>15624</v>
      </c>
      <c r="G4519" s="3">
        <v>27998</v>
      </c>
      <c r="H4519" s="7" t="str">
        <f>HYPERLINK("http://www.ensembl.org/Mus_musculus/Gene/Summary?db=core;g=ENSMUSG00000061286","ENSMUSG00000061286")</f>
        <v>ENSMUSG00000061286</v>
      </c>
      <c r="I4519" s="7" t="str">
        <f>HYPERLINK("http://www.informatics.jax.org/marker/MGI:107889","MGI:107889")</f>
        <v>MGI:107889</v>
      </c>
      <c r="J4519" s="4" t="s">
        <v>12</v>
      </c>
    </row>
    <row r="4520" spans="1:10" x14ac:dyDescent="0.25">
      <c r="A4520" s="2">
        <v>1999.9919160080999</v>
      </c>
      <c r="B4520" s="3">
        <v>-0.18549009491728599</v>
      </c>
      <c r="C4520" s="3">
        <v>2.1868438629198201E-4</v>
      </c>
      <c r="D4520" s="4">
        <v>7.0688525946031801E-4</v>
      </c>
      <c r="E4520" s="3" t="s">
        <v>12211</v>
      </c>
      <c r="F4520" s="3" t="s">
        <v>12212</v>
      </c>
      <c r="G4520" s="3">
        <v>53424</v>
      </c>
      <c r="H4520" s="7" t="str">
        <f>HYPERLINK("http://www.ensembl.org/Mus_musculus/Gene/Summary?db=core;g=ENSMUSG00000056820","ENSMUSG00000056820")</f>
        <v>ENSMUSG00000056820</v>
      </c>
      <c r="I4520" s="7" t="str">
        <f>HYPERLINK("http://www.informatics.jax.org/marker/MGI:1855672","MGI:1855672")</f>
        <v>MGI:1855672</v>
      </c>
      <c r="J4520" s="4" t="s">
        <v>12</v>
      </c>
    </row>
    <row r="4521" spans="1:10" x14ac:dyDescent="0.25">
      <c r="A4521" s="2">
        <v>4167.5227131316797</v>
      </c>
      <c r="B4521" s="3">
        <v>-0.185687481707768</v>
      </c>
      <c r="C4521" s="5">
        <v>9.2611955947586004E-6</v>
      </c>
      <c r="D4521" s="6">
        <v>3.4773567617791203E-5</v>
      </c>
      <c r="E4521" s="3" t="s">
        <v>10518</v>
      </c>
      <c r="F4521" s="3" t="s">
        <v>10519</v>
      </c>
      <c r="G4521" s="3">
        <v>71780</v>
      </c>
      <c r="H4521" s="7" t="str">
        <f>HYPERLINK("http://www.ensembl.org/Mus_musculus/Gene/Summary?db=core;g=ENSMUSG00000019139","ENSMUSG00000019139")</f>
        <v>ENSMUSG00000019139</v>
      </c>
      <c r="I4521" s="7" t="str">
        <f>HYPERLINK("http://www.informatics.jax.org/marker/MGI:1919030","MGI:1919030")</f>
        <v>MGI:1919030</v>
      </c>
      <c r="J4521" s="4" t="s">
        <v>12</v>
      </c>
    </row>
    <row r="4522" spans="1:10" x14ac:dyDescent="0.25">
      <c r="A4522" s="2">
        <v>1242.5911074340399</v>
      </c>
      <c r="B4522" s="3">
        <v>-0.18622957399663301</v>
      </c>
      <c r="C4522" s="3">
        <v>1.43579158789128E-3</v>
      </c>
      <c r="D4522" s="4">
        <v>4.1370266091782498E-3</v>
      </c>
      <c r="E4522" s="3" t="s">
        <v>13697</v>
      </c>
      <c r="F4522" s="3" t="s">
        <v>13698</v>
      </c>
      <c r="G4522" s="3">
        <v>27756</v>
      </c>
      <c r="H4522" s="7" t="str">
        <f>HYPERLINK("http://www.ensembl.org/Mus_musculus/Gene/Summary?db=core;g=ENSMUSG00000007050","ENSMUSG00000007050")</f>
        <v>ENSMUSG00000007050</v>
      </c>
      <c r="I4522" s="7" t="str">
        <f>HYPERLINK("http://www.informatics.jax.org/marker/MGI:90676","MGI:90676")</f>
        <v>MGI:90676</v>
      </c>
      <c r="J4522" s="4" t="s">
        <v>12</v>
      </c>
    </row>
    <row r="4523" spans="1:10" x14ac:dyDescent="0.25">
      <c r="A4523" s="2">
        <v>325.571052375183</v>
      </c>
      <c r="B4523" s="3">
        <v>-0.186278166080771</v>
      </c>
      <c r="C4523" s="3">
        <v>1.8078763187994201E-2</v>
      </c>
      <c r="D4523" s="4">
        <v>4.2590858752299302E-2</v>
      </c>
      <c r="E4523" s="3" t="s">
        <v>16746</v>
      </c>
      <c r="F4523" s="3" t="s">
        <v>16747</v>
      </c>
      <c r="G4523" s="3">
        <v>268933</v>
      </c>
      <c r="H4523" s="7" t="str">
        <f>HYPERLINK("http://www.ensembl.org/Mus_musculus/Gene/Summary?db=core;g=ENSMUSG00000025737","ENSMUSG00000025737")</f>
        <v>ENSMUSG00000025737</v>
      </c>
      <c r="I4523" s="7" t="str">
        <f>HYPERLINK("http://www.informatics.jax.org/marker/MGI:2446285","MGI:2446285")</f>
        <v>MGI:2446285</v>
      </c>
      <c r="J4523" s="4" t="s">
        <v>12</v>
      </c>
    </row>
    <row r="4524" spans="1:10" x14ac:dyDescent="0.25">
      <c r="A4524" s="2">
        <v>874.90415982558795</v>
      </c>
      <c r="B4524" s="3">
        <v>-0.186807758360754</v>
      </c>
      <c r="C4524" s="3">
        <v>4.6605539848173496E-3</v>
      </c>
      <c r="D4524" s="4">
        <v>1.2382932441471E-2</v>
      </c>
      <c r="E4524" s="3" t="s">
        <v>14848</v>
      </c>
      <c r="F4524" s="3" t="s">
        <v>14849</v>
      </c>
      <c r="G4524" s="3">
        <v>320685</v>
      </c>
      <c r="H4524" s="7" t="str">
        <f>HYPERLINK("http://www.ensembl.org/Mus_musculus/Gene/Summary?db=core;g=ENSMUSG00000031562","ENSMUSG00000031562")</f>
        <v>ENSMUSG00000031562</v>
      </c>
      <c r="I4524" s="7" t="str">
        <f>HYPERLINK("http://www.informatics.jax.org/marker/MGI:2444529","MGI:2444529")</f>
        <v>MGI:2444529</v>
      </c>
      <c r="J4524" s="4" t="s">
        <v>12</v>
      </c>
    </row>
    <row r="4525" spans="1:10" x14ac:dyDescent="0.25">
      <c r="A4525" s="2">
        <v>3001.93970433201</v>
      </c>
      <c r="B4525" s="3">
        <v>-0.18710423755892999</v>
      </c>
      <c r="C4525" s="3">
        <v>5.0785218092681004E-4</v>
      </c>
      <c r="D4525" s="4">
        <v>1.5616474361261001E-3</v>
      </c>
      <c r="E4525" s="3" t="s">
        <v>12835</v>
      </c>
      <c r="F4525" s="3" t="s">
        <v>12836</v>
      </c>
      <c r="G4525" s="3">
        <v>226178</v>
      </c>
      <c r="H4525" s="7" t="str">
        <f>HYPERLINK("http://www.ensembl.org/Mus_musculus/Gene/Summary?db=core;g=ENSMUSG00000047731","ENSMUSG00000047731")</f>
        <v>ENSMUSG00000047731</v>
      </c>
      <c r="I4525" s="7" t="str">
        <f>HYPERLINK("http://www.informatics.jax.org/marker/MGI:107577","MGI:107577")</f>
        <v>MGI:107577</v>
      </c>
      <c r="J4525" s="4" t="s">
        <v>12</v>
      </c>
    </row>
    <row r="4526" spans="1:10" x14ac:dyDescent="0.25">
      <c r="A4526" s="2">
        <v>611.605852523615</v>
      </c>
      <c r="B4526" s="3">
        <v>-0.18777370530272999</v>
      </c>
      <c r="C4526" s="3">
        <v>4.40239226011622E-3</v>
      </c>
      <c r="D4526" s="4">
        <v>1.17572014314046E-2</v>
      </c>
      <c r="E4526" s="3" t="s">
        <v>14772</v>
      </c>
      <c r="F4526" s="3" t="s">
        <v>14773</v>
      </c>
      <c r="G4526" s="3">
        <v>17997</v>
      </c>
      <c r="H4526" s="7" t="str">
        <f>HYPERLINK("http://www.ensembl.org/Mus_musculus/Gene/Summary?db=core;g=ENSMUSG00000019988","ENSMUSG00000019988")</f>
        <v>ENSMUSG00000019988</v>
      </c>
      <c r="I4526" s="7" t="str">
        <f>HYPERLINK("http://www.informatics.jax.org/marker/MGI:97293","MGI:97293")</f>
        <v>MGI:97293</v>
      </c>
      <c r="J4526" s="4" t="s">
        <v>12</v>
      </c>
    </row>
    <row r="4527" spans="1:10" x14ac:dyDescent="0.25">
      <c r="A4527" s="2">
        <v>1825.0188853255199</v>
      </c>
      <c r="B4527" s="3">
        <v>-0.18788568431661301</v>
      </c>
      <c r="C4527" s="5">
        <v>7.1953995113602896E-5</v>
      </c>
      <c r="D4527" s="4">
        <v>2.4621426056572099E-4</v>
      </c>
      <c r="E4527" s="3" t="s">
        <v>11537</v>
      </c>
      <c r="F4527" s="3" t="s">
        <v>11538</v>
      </c>
      <c r="G4527" s="3">
        <v>83997</v>
      </c>
      <c r="H4527" s="7" t="str">
        <f>HYPERLINK("http://www.ensembl.org/Mus_musculus/Gene/Summary?db=core;g=ENSMUSG00000021870","ENSMUSG00000021870")</f>
        <v>ENSMUSG00000021870</v>
      </c>
      <c r="I4527" s="7" t="str">
        <f>HYPERLINK("http://www.informatics.jax.org/marker/MGI:1933549","MGI:1933549")</f>
        <v>MGI:1933549</v>
      </c>
      <c r="J4527" s="4" t="s">
        <v>12</v>
      </c>
    </row>
    <row r="4528" spans="1:10" x14ac:dyDescent="0.25">
      <c r="A4528" s="2">
        <v>3998.1903744470601</v>
      </c>
      <c r="B4528" s="3">
        <v>-0.18806891396595801</v>
      </c>
      <c r="C4528" s="3">
        <v>1.48500872627783E-4</v>
      </c>
      <c r="D4528" s="4">
        <v>4.8978712296703097E-4</v>
      </c>
      <c r="E4528" s="3" t="s">
        <v>11969</v>
      </c>
      <c r="F4528" s="3" t="s">
        <v>11970</v>
      </c>
      <c r="G4528" s="3">
        <v>11949</v>
      </c>
      <c r="H4528" s="7" t="str">
        <f>HYPERLINK("http://www.ensembl.org/Mus_musculus/Gene/Summary?db=core;g=ENSMUSG00000025781","ENSMUSG00000025781")</f>
        <v>ENSMUSG00000025781</v>
      </c>
      <c r="I4528" s="7" t="str">
        <f>HYPERLINK("http://www.informatics.jax.org/marker/MGI:1261437","MGI:1261437")</f>
        <v>MGI:1261437</v>
      </c>
      <c r="J4528" s="4" t="s">
        <v>12</v>
      </c>
    </row>
    <row r="4529" spans="1:10" x14ac:dyDescent="0.25">
      <c r="A4529" s="2">
        <v>2763.1410599230699</v>
      </c>
      <c r="B4529" s="3">
        <v>-0.188120132563834</v>
      </c>
      <c r="C4529" s="3">
        <v>1.4716336934605801E-4</v>
      </c>
      <c r="D4529" s="4">
        <v>4.8561941825707298E-4</v>
      </c>
      <c r="E4529" s="3" t="s">
        <v>11963</v>
      </c>
      <c r="F4529" s="3" t="s">
        <v>11964</v>
      </c>
      <c r="G4529" s="3">
        <v>116870</v>
      </c>
      <c r="H4529" s="7" t="str">
        <f>HYPERLINK("http://www.ensembl.org/Mus_musculus/Gene/Summary?db=core;g=ENSMUSG00000021144","ENSMUSG00000021144")</f>
        <v>ENSMUSG00000021144</v>
      </c>
      <c r="I4529" s="7" t="str">
        <f>HYPERLINK("http://www.informatics.jax.org/marker/MGI:2150037","MGI:2150037")</f>
        <v>MGI:2150037</v>
      </c>
      <c r="J4529" s="4" t="s">
        <v>12</v>
      </c>
    </row>
    <row r="4530" spans="1:10" x14ac:dyDescent="0.25">
      <c r="A4530" s="2">
        <v>3391.1313468776798</v>
      </c>
      <c r="B4530" s="3">
        <v>-0.18834262113591099</v>
      </c>
      <c r="C4530" s="3">
        <v>1.36301338898239E-4</v>
      </c>
      <c r="D4530" s="4">
        <v>4.5181751606543499E-4</v>
      </c>
      <c r="E4530" s="3" t="s">
        <v>11909</v>
      </c>
      <c r="F4530" s="3" t="s">
        <v>11910</v>
      </c>
      <c r="G4530" s="3">
        <v>11758</v>
      </c>
      <c r="H4530" s="7" t="str">
        <f>HYPERLINK("http://www.ensembl.org/Mus_musculus/Gene/Summary?db=core;g=ENSMUSG00000026701","ENSMUSG00000026701")</f>
        <v>ENSMUSG00000026701</v>
      </c>
      <c r="I4530" s="7" t="str">
        <f>HYPERLINK("http://www.informatics.jax.org/marker/MGI:894320","MGI:894320")</f>
        <v>MGI:894320</v>
      </c>
      <c r="J4530" s="4" t="s">
        <v>12</v>
      </c>
    </row>
    <row r="4531" spans="1:10" x14ac:dyDescent="0.25">
      <c r="A4531" s="2">
        <v>688.71671048771998</v>
      </c>
      <c r="B4531" s="3">
        <v>-0.18836791820739501</v>
      </c>
      <c r="C4531" s="3">
        <v>2.9031693644877101E-3</v>
      </c>
      <c r="D4531" s="4">
        <v>7.9724968483076992E-3</v>
      </c>
      <c r="E4531" s="3" t="s">
        <v>14367</v>
      </c>
      <c r="F4531" s="3" t="s">
        <v>14368</v>
      </c>
      <c r="G4531" s="3">
        <v>70383</v>
      </c>
      <c r="H4531" s="7" t="str">
        <f>HYPERLINK("http://www.ensembl.org/Mus_musculus/Gene/Summary?db=core;g=ENSMUSG00000042148","ENSMUSG00000042148")</f>
        <v>ENSMUSG00000042148</v>
      </c>
      <c r="I4531" s="7" t="str">
        <f>HYPERLINK("http://www.informatics.jax.org/marker/MGI:1917633","MGI:1917633")</f>
        <v>MGI:1917633</v>
      </c>
      <c r="J4531" s="4" t="s">
        <v>12</v>
      </c>
    </row>
    <row r="4532" spans="1:10" x14ac:dyDescent="0.25">
      <c r="A4532" s="2">
        <v>5005.8441446329198</v>
      </c>
      <c r="B4532" s="3">
        <v>-0.188987693249491</v>
      </c>
      <c r="C4532" s="3">
        <v>1.0877095293044101E-3</v>
      </c>
      <c r="D4532" s="4">
        <v>3.1909598211667502E-3</v>
      </c>
      <c r="E4532" s="3" t="s">
        <v>13453</v>
      </c>
      <c r="F4532" s="3" t="s">
        <v>13454</v>
      </c>
      <c r="G4532" s="3">
        <v>67040</v>
      </c>
      <c r="H4532" s="7" t="str">
        <f>HYPERLINK("http://www.ensembl.org/Mus_musculus/Gene/Summary?db=core;g=ENSMUSG00000055065","ENSMUSG00000055065")</f>
        <v>ENSMUSG00000055065</v>
      </c>
      <c r="I4532" s="7" t="str">
        <f>HYPERLINK("http://www.informatics.jax.org/marker/MGI:1914290","MGI:1914290")</f>
        <v>MGI:1914290</v>
      </c>
      <c r="J4532" s="4" t="s">
        <v>12</v>
      </c>
    </row>
    <row r="4533" spans="1:10" x14ac:dyDescent="0.25">
      <c r="A4533" s="2">
        <v>1849.56579744644</v>
      </c>
      <c r="B4533" s="3">
        <v>-0.189048917219903</v>
      </c>
      <c r="C4533" s="3">
        <v>6.9336484497733598E-3</v>
      </c>
      <c r="D4533" s="4">
        <v>1.78151853328379E-2</v>
      </c>
      <c r="E4533" s="3" t="s">
        <v>15355</v>
      </c>
      <c r="F4533" s="3" t="s">
        <v>15356</v>
      </c>
      <c r="G4533" s="3">
        <v>13854</v>
      </c>
      <c r="H4533" s="7" t="str">
        <f>HYPERLINK("http://www.ensembl.org/Mus_musculus/Gene/Summary?db=core;g=ENSMUSG00000035203","ENSMUSG00000035203")</f>
        <v>ENSMUSG00000035203</v>
      </c>
      <c r="I4533" s="7" t="str">
        <f>HYPERLINK("http://www.informatics.jax.org/marker/MGI:1333763","MGI:1333763")</f>
        <v>MGI:1333763</v>
      </c>
      <c r="J4533" s="4" t="s">
        <v>12</v>
      </c>
    </row>
    <row r="4534" spans="1:10" x14ac:dyDescent="0.25">
      <c r="A4534" s="2">
        <v>683.08462813786696</v>
      </c>
      <c r="B4534" s="3">
        <v>-0.18909032191163599</v>
      </c>
      <c r="C4534" s="3">
        <v>2.32267418621801E-3</v>
      </c>
      <c r="D4534" s="4">
        <v>6.4904541522203697E-3</v>
      </c>
      <c r="E4534" s="3" t="s">
        <v>14121</v>
      </c>
      <c r="F4534" s="3" t="s">
        <v>14122</v>
      </c>
      <c r="G4534" s="3">
        <v>71715</v>
      </c>
      <c r="H4534" s="7" t="str">
        <f>HYPERLINK("http://www.ensembl.org/Mus_musculus/Gene/Summary?db=core;g=ENSMUSG00000027655","ENSMUSG00000027655")</f>
        <v>ENSMUSG00000027655</v>
      </c>
      <c r="I4534" s="7" t="str">
        <f>HYPERLINK("http://www.informatics.jax.org/marker/MGI:1918965","MGI:1918965")</f>
        <v>MGI:1918965</v>
      </c>
      <c r="J4534" s="4" t="s">
        <v>12</v>
      </c>
    </row>
    <row r="4535" spans="1:10" x14ac:dyDescent="0.25">
      <c r="A4535" s="2">
        <v>784.55040891478404</v>
      </c>
      <c r="B4535" s="3">
        <v>-0.18947877868241</v>
      </c>
      <c r="C4535" s="3">
        <v>6.9343306616727698E-4</v>
      </c>
      <c r="D4535" s="4">
        <v>2.0902629264473701E-3</v>
      </c>
      <c r="E4535" s="3" t="s">
        <v>13093</v>
      </c>
      <c r="F4535" s="3" t="s">
        <v>13094</v>
      </c>
      <c r="G4535" s="3">
        <v>67467</v>
      </c>
      <c r="H4535" s="7" t="str">
        <f>HYPERLINK("http://www.ensembl.org/Mus_musculus/Gene/Summary?db=core;g=ENSMUSG00000022008","ENSMUSG00000022008")</f>
        <v>ENSMUSG00000022008</v>
      </c>
      <c r="I4535" s="7" t="str">
        <f>HYPERLINK("http://www.informatics.jax.org/marker/MGI:1914717","MGI:1914717")</f>
        <v>MGI:1914717</v>
      </c>
      <c r="J4535" s="4" t="s">
        <v>12</v>
      </c>
    </row>
    <row r="4536" spans="1:10" x14ac:dyDescent="0.25">
      <c r="A4536" s="2">
        <v>316.12260279069801</v>
      </c>
      <c r="B4536" s="3">
        <v>-0.18953913987726101</v>
      </c>
      <c r="C4536" s="3">
        <v>1.8515936700418199E-2</v>
      </c>
      <c r="D4536" s="4">
        <v>4.35201754150474E-2</v>
      </c>
      <c r="E4536" s="3" t="s">
        <v>16784</v>
      </c>
      <c r="F4536" s="3" t="s">
        <v>16785</v>
      </c>
      <c r="G4536" s="3">
        <v>28200</v>
      </c>
      <c r="H4536" s="7" t="str">
        <f>HYPERLINK("http://www.ensembl.org/Mus_musculus/Gene/Summary?db=core;g=ENSMUSG00000022210","ENSMUSG00000022210")</f>
        <v>ENSMUSG00000022210</v>
      </c>
      <c r="I4536" s="7" t="str">
        <f>HYPERLINK("http://www.informatics.jax.org/marker/MGI:90169","MGI:90169")</f>
        <v>MGI:90169</v>
      </c>
      <c r="J4536" s="4" t="s">
        <v>12</v>
      </c>
    </row>
    <row r="4537" spans="1:10" x14ac:dyDescent="0.25">
      <c r="A4537" s="2">
        <v>949.64505045881799</v>
      </c>
      <c r="B4537" s="3">
        <v>-0.189616973865363</v>
      </c>
      <c r="C4537" s="3">
        <v>5.22652055518197E-3</v>
      </c>
      <c r="D4537" s="4">
        <v>1.3784537294127101E-2</v>
      </c>
      <c r="E4537" s="3" t="s">
        <v>14958</v>
      </c>
      <c r="F4537" s="3" t="s">
        <v>14959</v>
      </c>
      <c r="G4537" s="3">
        <v>66163</v>
      </c>
      <c r="H4537" s="7" t="str">
        <f>HYPERLINK("http://www.ensembl.org/Mus_musculus/Gene/Summary?db=core;g=ENSMUSG00000003299","ENSMUSG00000003299")</f>
        <v>ENSMUSG00000003299</v>
      </c>
      <c r="I4537" s="7" t="str">
        <f>HYPERLINK("http://www.informatics.jax.org/marker/MGI:2137210","MGI:2137210")</f>
        <v>MGI:2137210</v>
      </c>
      <c r="J4537" s="4" t="s">
        <v>12</v>
      </c>
    </row>
    <row r="4538" spans="1:10" x14ac:dyDescent="0.25">
      <c r="A4538" s="2">
        <v>395.79055217865698</v>
      </c>
      <c r="B4538" s="3">
        <v>-0.18989009378389499</v>
      </c>
      <c r="C4538" s="3">
        <v>1.7646284563331199E-2</v>
      </c>
      <c r="D4538" s="4">
        <v>4.1694791707271903E-2</v>
      </c>
      <c r="E4538" s="3" t="s">
        <v>16696</v>
      </c>
      <c r="F4538" s="3" t="s">
        <v>16697</v>
      </c>
      <c r="G4538" s="3">
        <v>67008</v>
      </c>
      <c r="H4538" s="7" t="str">
        <f>HYPERLINK("http://www.ensembl.org/Mus_musculus/Gene/Summary?db=core;g=ENSMUSG00000075054","ENSMUSG00000075054")</f>
        <v>ENSMUSG00000075054</v>
      </c>
      <c r="I4538" s="7" t="str">
        <f>HYPERLINK("http://www.informatics.jax.org/marker/MGI:1914258","MGI:1914258")</f>
        <v>MGI:1914258</v>
      </c>
      <c r="J4538" s="4" t="s">
        <v>12</v>
      </c>
    </row>
    <row r="4539" spans="1:10" x14ac:dyDescent="0.25">
      <c r="A4539" s="2">
        <v>332.50698680282699</v>
      </c>
      <c r="B4539" s="3">
        <v>-0.19089492165522601</v>
      </c>
      <c r="C4539" s="3">
        <v>8.0654996427027004E-3</v>
      </c>
      <c r="D4539" s="4">
        <v>2.04147930887046E-2</v>
      </c>
      <c r="E4539" s="3" t="s">
        <v>15587</v>
      </c>
      <c r="F4539" s="3" t="s">
        <v>15588</v>
      </c>
      <c r="G4539" s="3">
        <v>14356</v>
      </c>
      <c r="H4539" s="7" t="str">
        <f>HYPERLINK("http://www.ensembl.org/Mus_musculus/Gene/Summary?db=core;g=ENSMUSG00000110234","ENSMUSG00000110234")</f>
        <v>ENSMUSG00000110234</v>
      </c>
      <c r="I4539" s="7" t="str">
        <f>HYPERLINK("http://www.informatics.jax.org/marker/MGI:5804914","MGI:5804914")</f>
        <v>MGI:5804914</v>
      </c>
      <c r="J4539" s="4" t="s">
        <v>12</v>
      </c>
    </row>
    <row r="4540" spans="1:10" x14ac:dyDescent="0.25">
      <c r="A4540" s="2">
        <v>599.27488135418798</v>
      </c>
      <c r="B4540" s="3">
        <v>-0.19094287074312899</v>
      </c>
      <c r="C4540" s="3">
        <v>1.5853605355009401E-3</v>
      </c>
      <c r="D4540" s="4">
        <v>4.5434253393516104E-3</v>
      </c>
      <c r="E4540" s="3" t="s">
        <v>13769</v>
      </c>
      <c r="F4540" s="3" t="s">
        <v>13770</v>
      </c>
      <c r="G4540" s="3">
        <v>13347</v>
      </c>
      <c r="H4540" s="7" t="str">
        <f>HYPERLINK("http://www.ensembl.org/Mus_musculus/Gene/Summary?db=core;g=ENSMUSG00000028974","ENSMUSG00000028974")</f>
        <v>ENSMUSG00000028974</v>
      </c>
      <c r="I4540" s="7" t="str">
        <f>HYPERLINK("http://www.informatics.jax.org/marker/MGI:1196227","MGI:1196227")</f>
        <v>MGI:1196227</v>
      </c>
      <c r="J4540" s="4" t="s">
        <v>12</v>
      </c>
    </row>
    <row r="4541" spans="1:10" x14ac:dyDescent="0.25">
      <c r="A4541" s="2">
        <v>1767.782522365</v>
      </c>
      <c r="B4541" s="3">
        <v>-0.191227505475418</v>
      </c>
      <c r="C4541" s="3">
        <v>9.1405565893367194E-3</v>
      </c>
      <c r="D4541" s="4">
        <v>2.29094783860854E-2</v>
      </c>
      <c r="E4541" s="3" t="s">
        <v>15741</v>
      </c>
      <c r="F4541" s="3" t="s">
        <v>15742</v>
      </c>
      <c r="G4541" s="3">
        <v>21681</v>
      </c>
      <c r="H4541" s="7" t="str">
        <f>HYPERLINK("http://www.ensembl.org/Mus_musculus/Gene/Summary?db=core;g=ENSMUSG00000025134","ENSMUSG00000025134")</f>
        <v>ENSMUSG00000025134</v>
      </c>
      <c r="I4541" s="7" t="str">
        <f>HYPERLINK("http://www.informatics.jax.org/marker/MGI:1341044","MGI:1341044")</f>
        <v>MGI:1341044</v>
      </c>
      <c r="J4541" s="4" t="s">
        <v>12</v>
      </c>
    </row>
    <row r="4542" spans="1:10" x14ac:dyDescent="0.25">
      <c r="A4542" s="2">
        <v>878.36511025278298</v>
      </c>
      <c r="B4542" s="3">
        <v>-0.191356735253355</v>
      </c>
      <c r="C4542" s="3">
        <v>1.36065856610073E-2</v>
      </c>
      <c r="D4542" s="4">
        <v>3.2939095167574803E-2</v>
      </c>
      <c r="E4542" s="3" t="s">
        <v>16297</v>
      </c>
      <c r="F4542" s="3" t="s">
        <v>16298</v>
      </c>
      <c r="G4542" s="3">
        <v>22034</v>
      </c>
      <c r="H4542" s="7" t="str">
        <f>HYPERLINK("http://www.ensembl.org/Mus_musculus/Gene/Summary?db=core;g=ENSMUSG00000027164","ENSMUSG00000027164")</f>
        <v>ENSMUSG00000027164</v>
      </c>
      <c r="I4542" s="7" t="str">
        <f>HYPERLINK("http://www.informatics.jax.org/marker/MGI:108072","MGI:108072")</f>
        <v>MGI:108072</v>
      </c>
      <c r="J4542" s="4" t="s">
        <v>12</v>
      </c>
    </row>
    <row r="4543" spans="1:10" x14ac:dyDescent="0.25">
      <c r="A4543" s="2">
        <v>1618.49553185267</v>
      </c>
      <c r="B4543" s="3">
        <v>-0.191667815172477</v>
      </c>
      <c r="C4543" s="3">
        <v>2.21782496004752E-3</v>
      </c>
      <c r="D4543" s="4">
        <v>6.2221522566705198E-3</v>
      </c>
      <c r="E4543" s="3" t="s">
        <v>14065</v>
      </c>
      <c r="F4543" s="3" t="s">
        <v>14066</v>
      </c>
      <c r="G4543" s="3">
        <v>100198</v>
      </c>
      <c r="H4543" s="7" t="str">
        <f>HYPERLINK("http://www.ensembl.org/Mus_musculus/Gene/Summary?db=core;g=ENSMUSG00000028980","ENSMUSG00000028980")</f>
        <v>ENSMUSG00000028980</v>
      </c>
      <c r="I4543" s="7" t="str">
        <f>HYPERLINK("http://www.informatics.jax.org/marker/MGI:2140356","MGI:2140356")</f>
        <v>MGI:2140356</v>
      </c>
      <c r="J4543" s="4" t="s">
        <v>12</v>
      </c>
    </row>
    <row r="4544" spans="1:10" x14ac:dyDescent="0.25">
      <c r="A4544" s="2">
        <v>1927.01061065096</v>
      </c>
      <c r="B4544" s="3">
        <v>-0.19174180130023399</v>
      </c>
      <c r="C4544" s="3">
        <v>1.3691641162309801E-3</v>
      </c>
      <c r="D4544" s="4">
        <v>3.9571913193719704E-3</v>
      </c>
      <c r="E4544" s="3" t="s">
        <v>13655</v>
      </c>
      <c r="F4544" s="3" t="s">
        <v>13656</v>
      </c>
      <c r="G4544" s="3">
        <v>75553</v>
      </c>
      <c r="H4544" s="7" t="str">
        <f>HYPERLINK("http://www.ensembl.org/Mus_musculus/Gene/Summary?db=core;g=ENSMUSG00000021012","ENSMUSG00000021012")</f>
        <v>ENSMUSG00000021012</v>
      </c>
      <c r="I4544" s="7" t="str">
        <f>HYPERLINK("http://www.informatics.jax.org/marker/MGI:1919824","MGI:1919824")</f>
        <v>MGI:1919824</v>
      </c>
      <c r="J4544" s="4" t="s">
        <v>12</v>
      </c>
    </row>
    <row r="4545" spans="1:10" x14ac:dyDescent="0.25">
      <c r="A4545" s="2">
        <v>809.16564902624702</v>
      </c>
      <c r="B4545" s="3">
        <v>-0.19205212787227999</v>
      </c>
      <c r="C4545" s="3">
        <v>4.5354206220656903E-4</v>
      </c>
      <c r="D4545" s="4">
        <v>1.4027367419563301E-3</v>
      </c>
      <c r="E4545" s="3" t="s">
        <v>12761</v>
      </c>
      <c r="F4545" s="3" t="s">
        <v>12762</v>
      </c>
      <c r="G4545" s="3">
        <v>102058</v>
      </c>
      <c r="H4545" s="7" t="str">
        <f>HYPERLINK("http://www.ensembl.org/Mus_musculus/Gene/Summary?db=core;g=ENSMUSG00000074030","ENSMUSG00000074030")</f>
        <v>ENSMUSG00000074030</v>
      </c>
      <c r="I4545" s="7" t="str">
        <f>HYPERLINK("http://www.informatics.jax.org/marker/MGI:2142527","MGI:2142527")</f>
        <v>MGI:2142527</v>
      </c>
      <c r="J4545" s="4" t="s">
        <v>12</v>
      </c>
    </row>
    <row r="4546" spans="1:10" x14ac:dyDescent="0.25">
      <c r="A4546" s="2">
        <v>585.27320273784699</v>
      </c>
      <c r="B4546" s="3">
        <v>-0.19215435185125801</v>
      </c>
      <c r="C4546" s="3">
        <v>7.2363426936834499E-3</v>
      </c>
      <c r="D4546" s="4">
        <v>1.85157230984089E-2</v>
      </c>
      <c r="E4546" s="3" t="s">
        <v>15419</v>
      </c>
      <c r="F4546" s="3" t="s">
        <v>15420</v>
      </c>
      <c r="G4546" s="3">
        <v>12450</v>
      </c>
      <c r="H4546" s="7" t="str">
        <f>HYPERLINK("http://www.ensembl.org/Mus_musculus/Gene/Summary?db=core;g=ENSMUSG00000020326","ENSMUSG00000020326")</f>
        <v>ENSMUSG00000020326</v>
      </c>
      <c r="I4546" s="7" t="str">
        <f>HYPERLINK("http://www.informatics.jax.org/marker/MGI:102890","MGI:102890")</f>
        <v>MGI:102890</v>
      </c>
      <c r="J4546" s="4" t="s">
        <v>12</v>
      </c>
    </row>
    <row r="4547" spans="1:10" x14ac:dyDescent="0.25">
      <c r="A4547" s="2">
        <v>895.06945989023495</v>
      </c>
      <c r="B4547" s="3">
        <v>-0.19227956736898799</v>
      </c>
      <c r="C4547" s="3">
        <v>1.972762021341E-3</v>
      </c>
      <c r="D4547" s="4">
        <v>5.5790717138741704E-3</v>
      </c>
      <c r="E4547" s="3" t="s">
        <v>13953</v>
      </c>
      <c r="F4547" s="3" t="s">
        <v>13954</v>
      </c>
      <c r="G4547" s="3">
        <v>269003</v>
      </c>
      <c r="H4547" s="7" t="str">
        <f>HYPERLINK("http://www.ensembl.org/Mus_musculus/Gene/Summary?db=core;g=ENSMUSG00000024260","ENSMUSG00000024260")</f>
        <v>ENSMUSG00000024260</v>
      </c>
      <c r="I4547" s="7" t="str">
        <f>HYPERLINK("http://www.informatics.jax.org/marker/MGI:1919782","MGI:1919782")</f>
        <v>MGI:1919782</v>
      </c>
      <c r="J4547" s="4" t="s">
        <v>12</v>
      </c>
    </row>
    <row r="4548" spans="1:10" x14ac:dyDescent="0.25">
      <c r="A4548" s="2">
        <v>1102.43014389838</v>
      </c>
      <c r="B4548" s="3">
        <v>-0.19305417517798301</v>
      </c>
      <c r="C4548" s="3">
        <v>1.03336040067028E-4</v>
      </c>
      <c r="D4548" s="4">
        <v>3.4810159038636601E-4</v>
      </c>
      <c r="E4548" s="3" t="s">
        <v>11719</v>
      </c>
      <c r="F4548" s="3" t="s">
        <v>11720</v>
      </c>
      <c r="G4548" s="3">
        <v>320165</v>
      </c>
      <c r="H4548" s="7" t="str">
        <f>HYPERLINK("http://www.ensembl.org/Mus_musculus/Gene/Summary?db=core;g=ENSMUSG00000065954","ENSMUSG00000065954")</f>
        <v>ENSMUSG00000065954</v>
      </c>
      <c r="I4548" s="7" t="str">
        <f>HYPERLINK("http://www.informatics.jax.org/marker/MGI:2443510","MGI:2443510")</f>
        <v>MGI:2443510</v>
      </c>
      <c r="J4548" s="4" t="s">
        <v>12</v>
      </c>
    </row>
    <row r="4549" spans="1:10" x14ac:dyDescent="0.25">
      <c r="A4549" s="2">
        <v>387.84531565696</v>
      </c>
      <c r="B4549" s="3">
        <v>-0.19372133861438401</v>
      </c>
      <c r="C4549" s="3">
        <v>2.0629991853546002E-2</v>
      </c>
      <c r="D4549" s="4">
        <v>4.7980120220772297E-2</v>
      </c>
      <c r="E4549" s="3" t="s">
        <v>16962</v>
      </c>
      <c r="F4549" s="3" t="s">
        <v>16963</v>
      </c>
      <c r="G4549" s="3">
        <v>105663</v>
      </c>
      <c r="H4549" s="7" t="str">
        <f>HYPERLINK("http://www.ensembl.org/Mus_musculus/Gene/Summary?db=core;g=ENSMUSG00000045691","ENSMUSG00000045691")</f>
        <v>ENSMUSG00000045691</v>
      </c>
      <c r="I4549" s="7" t="str">
        <f>HYPERLINK("http://www.informatics.jax.org/marker/MGI:2446078","MGI:2446078")</f>
        <v>MGI:2446078</v>
      </c>
      <c r="J4549" s="4" t="s">
        <v>12</v>
      </c>
    </row>
    <row r="4550" spans="1:10" x14ac:dyDescent="0.25">
      <c r="A4550" s="2">
        <v>779.774543742883</v>
      </c>
      <c r="B4550" s="3">
        <v>-0.19384850007807999</v>
      </c>
      <c r="C4550" s="3">
        <v>4.7658715210756802E-4</v>
      </c>
      <c r="D4550" s="4">
        <v>1.47147309214987E-3</v>
      </c>
      <c r="E4550" s="3" t="s">
        <v>12783</v>
      </c>
      <c r="F4550" s="3" t="s">
        <v>12784</v>
      </c>
      <c r="G4550" s="3">
        <v>67826</v>
      </c>
      <c r="H4550" s="7" t="str">
        <f>HYPERLINK("http://www.ensembl.org/Mus_musculus/Gene/Summary?db=core;g=ENSMUSG00000009894","ENSMUSG00000009894")</f>
        <v>ENSMUSG00000009894</v>
      </c>
      <c r="I4550" s="7" t="str">
        <f>HYPERLINK("http://www.informatics.jax.org/marker/MGI:1915076","MGI:1915076")</f>
        <v>MGI:1915076</v>
      </c>
      <c r="J4550" s="4" t="s">
        <v>12</v>
      </c>
    </row>
    <row r="4551" spans="1:10" x14ac:dyDescent="0.25">
      <c r="A4551" s="2">
        <v>565.17165653718996</v>
      </c>
      <c r="B4551" s="3">
        <v>-0.19386694268155599</v>
      </c>
      <c r="C4551" s="3">
        <v>9.9116102420048597E-4</v>
      </c>
      <c r="D4551" s="4">
        <v>2.9233765176837601E-3</v>
      </c>
      <c r="E4551" s="3" t="s">
        <v>13381</v>
      </c>
      <c r="F4551" s="3" t="s">
        <v>13382</v>
      </c>
      <c r="G4551" s="3">
        <v>69568</v>
      </c>
      <c r="H4551" s="7" t="str">
        <f>HYPERLINK("http://www.ensembl.org/Mus_musculus/Gene/Summary?db=core;g=ENSMUSG00000066735","ENSMUSG00000066735")</f>
        <v>ENSMUSG00000066735</v>
      </c>
      <c r="I4551" s="7" t="str">
        <f>HYPERLINK("http://www.informatics.jax.org/marker/MGI:1916818","MGI:1916818")</f>
        <v>MGI:1916818</v>
      </c>
      <c r="J4551" s="4" t="s">
        <v>12</v>
      </c>
    </row>
    <row r="4552" spans="1:10" x14ac:dyDescent="0.25">
      <c r="A4552" s="2">
        <v>7863.0138806476498</v>
      </c>
      <c r="B4552" s="3">
        <v>-0.193991577547385</v>
      </c>
      <c r="C4552" s="3">
        <v>1.0470035764189201E-3</v>
      </c>
      <c r="D4552" s="4">
        <v>3.0774944890417598E-3</v>
      </c>
      <c r="E4552" s="3" t="s">
        <v>13427</v>
      </c>
      <c r="F4552" s="3" t="s">
        <v>13428</v>
      </c>
      <c r="G4552" s="3">
        <v>238799</v>
      </c>
      <c r="H4552" s="7" t="str">
        <f>HYPERLINK("http://www.ensembl.org/Mus_musculus/Gene/Summary?db=core;g=ENSMUSG00000009470","ENSMUSG00000009470")</f>
        <v>ENSMUSG00000009470</v>
      </c>
      <c r="I4552" s="7" t="str">
        <f>HYPERLINK("http://www.informatics.jax.org/marker/MGI:2681523","MGI:2681523")</f>
        <v>MGI:2681523</v>
      </c>
      <c r="J4552" s="4" t="s">
        <v>12</v>
      </c>
    </row>
    <row r="4553" spans="1:10" x14ac:dyDescent="0.25">
      <c r="A4553" s="2">
        <v>936.15363680753296</v>
      </c>
      <c r="B4553" s="3">
        <v>-0.194100952495985</v>
      </c>
      <c r="C4553" s="3">
        <v>2.5841387988617399E-3</v>
      </c>
      <c r="D4553" s="4">
        <v>7.1672597909358E-3</v>
      </c>
      <c r="E4553" s="3" t="s">
        <v>14227</v>
      </c>
      <c r="F4553" s="3" t="s">
        <v>14228</v>
      </c>
      <c r="G4553" s="3">
        <v>270669</v>
      </c>
      <c r="H4553" s="7" t="str">
        <f>HYPERLINK("http://www.ensembl.org/Mus_musculus/Gene/Summary?db=core;g=ENSMUSG00000046873","ENSMUSG00000046873")</f>
        <v>ENSMUSG00000046873</v>
      </c>
      <c r="I4553" s="7" t="str">
        <f>HYPERLINK("http://www.informatics.jax.org/marker/MGI:2444506","MGI:2444506")</f>
        <v>MGI:2444506</v>
      </c>
      <c r="J4553" s="4" t="s">
        <v>12</v>
      </c>
    </row>
    <row r="4554" spans="1:10" x14ac:dyDescent="0.25">
      <c r="A4554" s="2">
        <v>5483.1432316639202</v>
      </c>
      <c r="B4554" s="3">
        <v>-0.19420203437004099</v>
      </c>
      <c r="C4554" s="3">
        <v>2.7190250440012299E-4</v>
      </c>
      <c r="D4554" s="4">
        <v>8.6653610468175805E-4</v>
      </c>
      <c r="E4554" s="3" t="s">
        <v>12386</v>
      </c>
      <c r="F4554" s="3" t="s">
        <v>12387</v>
      </c>
      <c r="G4554" s="3">
        <v>226757</v>
      </c>
      <c r="H4554" s="7" t="str">
        <f>HYPERLINK("http://www.ensembl.org/Mus_musculus/Gene/Summary?db=core;g=ENSMUSG00000038733","ENSMUSG00000038733")</f>
        <v>ENSMUSG00000038733</v>
      </c>
      <c r="I4554" s="7" t="str">
        <f>HYPERLINK("http://www.informatics.jax.org/marker/MGI:1923825","MGI:1923825")</f>
        <v>MGI:1923825</v>
      </c>
      <c r="J4554" s="4" t="s">
        <v>12</v>
      </c>
    </row>
    <row r="4555" spans="1:10" x14ac:dyDescent="0.25">
      <c r="A4555" s="2">
        <v>877.09487139277803</v>
      </c>
      <c r="B4555" s="3">
        <v>-0.19429599441286499</v>
      </c>
      <c r="C4555" s="3">
        <v>3.6323016586631701E-3</v>
      </c>
      <c r="D4555" s="4">
        <v>9.8404985174938495E-3</v>
      </c>
      <c r="E4555" s="3" t="s">
        <v>14561</v>
      </c>
      <c r="F4555" s="3" t="s">
        <v>14562</v>
      </c>
      <c r="G4555" s="3">
        <v>434233</v>
      </c>
      <c r="H4555" s="7" t="str">
        <f>HYPERLINK("http://www.ensembl.org/Mus_musculus/Gene/Summary?db=core;g=ENSMUSG00000004455","ENSMUSG00000004455")</f>
        <v>ENSMUSG00000004455</v>
      </c>
      <c r="I4555" s="7" t="str">
        <f>HYPERLINK("http://www.informatics.jax.org/marker/MGI:104872","MGI:104872")</f>
        <v>MGI:104872</v>
      </c>
      <c r="J4555" s="4" t="s">
        <v>12</v>
      </c>
    </row>
    <row r="4556" spans="1:10" x14ac:dyDescent="0.25">
      <c r="A4556" s="2">
        <v>1014.94689832264</v>
      </c>
      <c r="B4556" s="3">
        <v>-0.19484564290415701</v>
      </c>
      <c r="C4556" s="5">
        <v>7.2173433436967295E-5</v>
      </c>
      <c r="D4556" s="4">
        <v>2.4692229482598801E-4</v>
      </c>
      <c r="E4556" s="3" t="s">
        <v>11539</v>
      </c>
      <c r="F4556" s="3" t="s">
        <v>11540</v>
      </c>
      <c r="G4556" s="3">
        <v>28075</v>
      </c>
      <c r="H4556" s="7" t="str">
        <f>HYPERLINK("http://www.ensembl.org/Mus_musculus/Gene/Summary?db=core;g=ENSMUSG00000022472","ENSMUSG00000022472")</f>
        <v>ENSMUSG00000022472</v>
      </c>
      <c r="I4556" s="7" t="str">
        <f>HYPERLINK("http://www.informatics.jax.org/marker/MGI:106313","MGI:106313")</f>
        <v>MGI:106313</v>
      </c>
      <c r="J4556" s="4" t="s">
        <v>12</v>
      </c>
    </row>
    <row r="4557" spans="1:10" x14ac:dyDescent="0.25">
      <c r="A4557" s="2">
        <v>515.29428726492597</v>
      </c>
      <c r="B4557" s="3">
        <v>-0.194947668564357</v>
      </c>
      <c r="C4557" s="3">
        <v>2.22229637187411E-3</v>
      </c>
      <c r="D4557" s="4">
        <v>6.2338100218147204E-3</v>
      </c>
      <c r="E4557" s="3" t="s">
        <v>14067</v>
      </c>
      <c r="F4557" s="3" t="s">
        <v>14068</v>
      </c>
      <c r="G4557" s="3">
        <v>71919</v>
      </c>
      <c r="H4557" s="7" t="str">
        <f>HYPERLINK("http://www.ensembl.org/Mus_musculus/Gene/Summary?db=core;g=ENSMUSG00000022466","ENSMUSG00000022466")</f>
        <v>ENSMUSG00000022466</v>
      </c>
      <c r="I4557" s="7" t="str">
        <f>HYPERLINK("http://www.informatics.jax.org/marker/MGI:1277218","MGI:1277218")</f>
        <v>MGI:1277218</v>
      </c>
      <c r="J4557" s="4" t="s">
        <v>12</v>
      </c>
    </row>
    <row r="4558" spans="1:10" x14ac:dyDescent="0.25">
      <c r="A4558" s="2">
        <v>440.69201694464903</v>
      </c>
      <c r="B4558" s="3">
        <v>-0.19495983068916201</v>
      </c>
      <c r="C4558" s="3">
        <v>7.4768769032775096E-3</v>
      </c>
      <c r="D4558" s="4">
        <v>1.9054537675450098E-2</v>
      </c>
      <c r="E4558" s="3" t="s">
        <v>15481</v>
      </c>
      <c r="F4558" s="3" t="s">
        <v>15482</v>
      </c>
      <c r="G4558" s="3">
        <v>68202</v>
      </c>
      <c r="H4558" s="7" t="str">
        <f>HYPERLINK("http://www.ensembl.org/Mus_musculus/Gene/Summary?db=core;g=ENSMUSG00000023089","ENSMUSG00000023089")</f>
        <v>ENSMUSG00000023089</v>
      </c>
      <c r="I4558" s="7" t="str">
        <f>HYPERLINK("http://www.informatics.jax.org/marker/MGI:1915452","MGI:1915452")</f>
        <v>MGI:1915452</v>
      </c>
      <c r="J4558" s="4" t="s">
        <v>12</v>
      </c>
    </row>
    <row r="4559" spans="1:10" x14ac:dyDescent="0.25">
      <c r="A4559" s="2">
        <v>3517.7955677597802</v>
      </c>
      <c r="B4559" s="3">
        <v>-0.19550914615840201</v>
      </c>
      <c r="C4559" s="5">
        <v>1.5189924029045801E-5</v>
      </c>
      <c r="D4559" s="6">
        <v>5.5968853111506497E-5</v>
      </c>
      <c r="E4559" s="3" t="s">
        <v>10716</v>
      </c>
      <c r="F4559" s="3" t="s">
        <v>10717</v>
      </c>
      <c r="G4559" s="3">
        <v>63958</v>
      </c>
      <c r="H4559" s="7" t="str">
        <f>HYPERLINK("http://www.ensembl.org/Mus_musculus/Gene/Summary?db=core;g=ENSMUSG00000028960","ENSMUSG00000028960")</f>
        <v>ENSMUSG00000028960</v>
      </c>
      <c r="I4559" s="7" t="str">
        <f>HYPERLINK("http://www.informatics.jax.org/marker/MGI:1927086","MGI:1927086")</f>
        <v>MGI:1927086</v>
      </c>
      <c r="J4559" s="4" t="s">
        <v>12</v>
      </c>
    </row>
    <row r="4560" spans="1:10" x14ac:dyDescent="0.25">
      <c r="A4560" s="2">
        <v>363.87572652878799</v>
      </c>
      <c r="B4560" s="3">
        <v>-0.19591902178520801</v>
      </c>
      <c r="C4560" s="3">
        <v>2.97850329615561E-3</v>
      </c>
      <c r="D4560" s="4">
        <v>8.1611900792258607E-3</v>
      </c>
      <c r="E4560" s="3" t="s">
        <v>14399</v>
      </c>
      <c r="F4560" s="3" t="s">
        <v>14400</v>
      </c>
      <c r="G4560" s="3">
        <v>75565</v>
      </c>
      <c r="H4560" s="7" t="str">
        <f>HYPERLINK("http://www.ensembl.org/Mus_musculus/Gene/Summary?db=core;g=ENSMUSG00000030714","ENSMUSG00000030714")</f>
        <v>ENSMUSG00000030714</v>
      </c>
      <c r="I4560" s="7" t="str">
        <f>HYPERLINK("http://www.informatics.jax.org/marker/MGI:1922815","MGI:1922815")</f>
        <v>MGI:1922815</v>
      </c>
      <c r="J4560" s="4" t="s">
        <v>12</v>
      </c>
    </row>
    <row r="4561" spans="1:10" x14ac:dyDescent="0.25">
      <c r="A4561" s="2">
        <v>1840.15341863551</v>
      </c>
      <c r="B4561" s="3">
        <v>-0.195927373578522</v>
      </c>
      <c r="C4561" s="3">
        <v>1.9535441029246699E-2</v>
      </c>
      <c r="D4561" s="4">
        <v>4.5720258378441202E-2</v>
      </c>
      <c r="E4561" s="3" t="s">
        <v>16856</v>
      </c>
      <c r="F4561" s="3" t="s">
        <v>16857</v>
      </c>
      <c r="G4561" s="3">
        <v>171166</v>
      </c>
      <c r="H4561" s="7" t="str">
        <f>HYPERLINK("http://www.ensembl.org/Mus_musculus/Gene/Summary?db=core;g=ENSMUSG00000036853","ENSMUSG00000036853")</f>
        <v>ENSMUSG00000036853</v>
      </c>
      <c r="I4561" s="7" t="str">
        <f>HYPERLINK("http://www.informatics.jax.org/marker/MGI:1890500","MGI:1890500")</f>
        <v>MGI:1890500</v>
      </c>
      <c r="J4561" s="4" t="s">
        <v>12</v>
      </c>
    </row>
    <row r="4562" spans="1:10" x14ac:dyDescent="0.25">
      <c r="A4562" s="2">
        <v>2121.5620768203598</v>
      </c>
      <c r="B4562" s="3">
        <v>-0.19617439182117899</v>
      </c>
      <c r="C4562" s="3">
        <v>8.1388921836303592E-3</v>
      </c>
      <c r="D4562" s="4">
        <v>2.0579427344684001E-2</v>
      </c>
      <c r="E4562" s="3" t="s">
        <v>15603</v>
      </c>
      <c r="F4562" s="3" t="s">
        <v>15604</v>
      </c>
      <c r="G4562" s="3">
        <v>72462</v>
      </c>
      <c r="H4562" s="7" t="str">
        <f>HYPERLINK("http://www.ensembl.org/Mus_musculus/Gene/Summary?db=core;g=ENSMUSG00000058392","ENSMUSG00000058392")</f>
        <v>ENSMUSG00000058392</v>
      </c>
      <c r="I4562" s="7" t="str">
        <f>HYPERLINK("http://www.informatics.jax.org/marker/MGI:1919712","MGI:1919712")</f>
        <v>MGI:1919712</v>
      </c>
      <c r="J4562" s="4" t="s">
        <v>12</v>
      </c>
    </row>
    <row r="4563" spans="1:10" x14ac:dyDescent="0.25">
      <c r="A4563" s="2">
        <v>631.05914492302202</v>
      </c>
      <c r="B4563" s="3">
        <v>-0.19628991709669399</v>
      </c>
      <c r="C4563" s="3">
        <v>6.4977984846484203E-3</v>
      </c>
      <c r="D4563" s="4">
        <v>1.6778392839762599E-2</v>
      </c>
      <c r="E4563" s="3" t="s">
        <v>15279</v>
      </c>
      <c r="F4563" s="3" t="s">
        <v>15280</v>
      </c>
      <c r="G4563" s="3">
        <v>383619</v>
      </c>
      <c r="H4563" s="7" t="str">
        <f>HYPERLINK("http://www.ensembl.org/Mus_musculus/Gene/Summary?db=core;g=ENSMUSG00000037860","ENSMUSG00000037860")</f>
        <v>ENSMUSG00000037860</v>
      </c>
      <c r="I4563" s="7" t="str">
        <f>HYPERLINK("http://www.informatics.jax.org/marker/MGI:2686159","MGI:2686159")</f>
        <v>MGI:2686159</v>
      </c>
      <c r="J4563" s="4" t="s">
        <v>12</v>
      </c>
    </row>
    <row r="4564" spans="1:10" x14ac:dyDescent="0.25">
      <c r="A4564" s="2">
        <v>1044.2353924563999</v>
      </c>
      <c r="B4564" s="3">
        <v>-0.19653327161779999</v>
      </c>
      <c r="C4564" s="3">
        <v>5.5750225730867402E-3</v>
      </c>
      <c r="D4564" s="4">
        <v>1.4604070821103999E-2</v>
      </c>
      <c r="E4564" s="3" t="s">
        <v>15060</v>
      </c>
      <c r="F4564" s="3" t="s">
        <v>15061</v>
      </c>
      <c r="G4564" s="3">
        <v>26426</v>
      </c>
      <c r="H4564" s="7" t="str">
        <f>HYPERLINK("http://www.ensembl.org/Mus_musculus/Gene/Summary?db=core;g=ENSMUSG00000039183","ENSMUSG00000039183")</f>
        <v>ENSMUSG00000039183</v>
      </c>
      <c r="I4564" s="7" t="str">
        <f>HYPERLINK("http://www.informatics.jax.org/marker/MGI:1347072","MGI:1347072")</f>
        <v>MGI:1347072</v>
      </c>
      <c r="J4564" s="4" t="s">
        <v>12</v>
      </c>
    </row>
    <row r="4565" spans="1:10" x14ac:dyDescent="0.25">
      <c r="A4565" s="2">
        <v>1617.92687680634</v>
      </c>
      <c r="B4565" s="3">
        <v>-0.19659058980591801</v>
      </c>
      <c r="C4565" s="3">
        <v>9.7745573992120494E-4</v>
      </c>
      <c r="D4565" s="4">
        <v>2.8846793162595301E-3</v>
      </c>
      <c r="E4565" s="3" t="s">
        <v>13373</v>
      </c>
      <c r="F4565" s="3" t="s">
        <v>13374</v>
      </c>
      <c r="G4565" s="3">
        <v>68795</v>
      </c>
      <c r="H4565" s="7" t="str">
        <f>HYPERLINK("http://www.ensembl.org/Mus_musculus/Gene/Summary?db=core;g=ENSMUSG00000044308","ENSMUSG00000044308")</f>
        <v>ENSMUSG00000044308</v>
      </c>
      <c r="I4565" s="7" t="str">
        <f>HYPERLINK("http://www.informatics.jax.org/marker/MGI:1861100","MGI:1861100")</f>
        <v>MGI:1861100</v>
      </c>
      <c r="J4565" s="4" t="s">
        <v>12</v>
      </c>
    </row>
    <row r="4566" spans="1:10" x14ac:dyDescent="0.25">
      <c r="A4566" s="2">
        <v>1695.7806167111301</v>
      </c>
      <c r="B4566" s="3">
        <v>-0.19702429605572</v>
      </c>
      <c r="C4566" s="3">
        <v>5.7804967272128305E-4</v>
      </c>
      <c r="D4566" s="4">
        <v>1.7664868349703501E-3</v>
      </c>
      <c r="E4566" s="3" t="s">
        <v>12915</v>
      </c>
      <c r="F4566" s="3" t="s">
        <v>12916</v>
      </c>
      <c r="G4566" s="3">
        <v>21411</v>
      </c>
      <c r="H4566" s="7" t="str">
        <f>HYPERLINK("http://www.ensembl.org/Mus_musculus/Gene/Summary?db=core;g=ENSMUSG00000041852","ENSMUSG00000041852")</f>
        <v>ENSMUSG00000041852</v>
      </c>
      <c r="I4566" s="7" t="str">
        <f>HYPERLINK("http://www.informatics.jax.org/marker/MGI:108399","MGI:108399")</f>
        <v>MGI:108399</v>
      </c>
      <c r="J4566" s="4" t="s">
        <v>12</v>
      </c>
    </row>
    <row r="4567" spans="1:10" x14ac:dyDescent="0.25">
      <c r="A4567" s="2">
        <v>646.88979207834302</v>
      </c>
      <c r="B4567" s="3">
        <v>-0.19724127293253699</v>
      </c>
      <c r="C4567" s="3">
        <v>8.3055522113042904E-4</v>
      </c>
      <c r="D4567" s="4">
        <v>2.4763454733432201E-3</v>
      </c>
      <c r="E4567" s="3" t="s">
        <v>13237</v>
      </c>
      <c r="F4567" s="3" t="s">
        <v>13238</v>
      </c>
      <c r="G4567" s="3">
        <v>11428</v>
      </c>
      <c r="H4567" s="7" t="str">
        <f>HYPERLINK("http://www.ensembl.org/Mus_musculus/Gene/Summary?db=core;g=ENSMUSG00000028405","ENSMUSG00000028405")</f>
        <v>ENSMUSG00000028405</v>
      </c>
      <c r="I4567" s="7" t="str">
        <f>HYPERLINK("http://www.informatics.jax.org/marker/MGI:87879","MGI:87879")</f>
        <v>MGI:87879</v>
      </c>
      <c r="J4567" s="4" t="s">
        <v>12</v>
      </c>
    </row>
    <row r="4568" spans="1:10" x14ac:dyDescent="0.25">
      <c r="A4568" s="2">
        <v>1110.10361023921</v>
      </c>
      <c r="B4568" s="3">
        <v>-0.19734768771694899</v>
      </c>
      <c r="C4568" s="5">
        <v>3.8702223193186999E-5</v>
      </c>
      <c r="D4568" s="4">
        <v>1.3653091974412301E-4</v>
      </c>
      <c r="E4568" s="3" t="s">
        <v>11191</v>
      </c>
      <c r="F4568" s="3" t="s">
        <v>11192</v>
      </c>
      <c r="G4568" s="3">
        <v>58202</v>
      </c>
      <c r="H4568" s="7" t="str">
        <f>HYPERLINK("http://www.ensembl.org/Mus_musculus/Gene/Summary?db=core;g=ENSMUSG00000013465","ENSMUSG00000013465")</f>
        <v>ENSMUSG00000013465</v>
      </c>
      <c r="I4568" s="7" t="str">
        <f>HYPERLINK("http://www.informatics.jax.org/marker/MGI:1931035","MGI:1931035")</f>
        <v>MGI:1931035</v>
      </c>
      <c r="J4568" s="4" t="s">
        <v>12</v>
      </c>
    </row>
    <row r="4569" spans="1:10" x14ac:dyDescent="0.25">
      <c r="A4569" s="2">
        <v>2243.6025940157201</v>
      </c>
      <c r="B4569" s="3">
        <v>-0.1976559622764</v>
      </c>
      <c r="C4569" s="3">
        <v>3.3151890085018499E-3</v>
      </c>
      <c r="D4569" s="4">
        <v>9.0235372322507307E-3</v>
      </c>
      <c r="E4569" s="3" t="s">
        <v>14493</v>
      </c>
      <c r="F4569" s="3" t="s">
        <v>14494</v>
      </c>
      <c r="G4569" s="3">
        <v>74105</v>
      </c>
      <c r="H4569" s="7" t="str">
        <f>HYPERLINK("http://www.ensembl.org/Mus_musculus/Gene/Summary?db=core;g=ENSMUSG00000030872","ENSMUSG00000030872")</f>
        <v>ENSMUSG00000030872</v>
      </c>
      <c r="I4569" s="7" t="str">
        <f>HYPERLINK("http://www.informatics.jax.org/marker/MGI:1921355","MGI:1921355")</f>
        <v>MGI:1921355</v>
      </c>
      <c r="J4569" s="4" t="s">
        <v>12</v>
      </c>
    </row>
    <row r="4570" spans="1:10" x14ac:dyDescent="0.25">
      <c r="A4570" s="2">
        <v>1383.1608721033399</v>
      </c>
      <c r="B4570" s="3">
        <v>-0.197719279709757</v>
      </c>
      <c r="C4570" s="3">
        <v>2.3343180872652201E-4</v>
      </c>
      <c r="D4570" s="4">
        <v>7.5167786872746905E-4</v>
      </c>
      <c r="E4570" s="3" t="s">
        <v>12259</v>
      </c>
      <c r="F4570" s="3" t="s">
        <v>12260</v>
      </c>
      <c r="G4570" s="3">
        <v>26572</v>
      </c>
      <c r="H4570" s="7" t="str">
        <f>HYPERLINK("http://www.ensembl.org/Mus_musculus/Gene/Summary?db=core;g=ENSMUSG00000019373","ENSMUSG00000019373")</f>
        <v>ENSMUSG00000019373</v>
      </c>
      <c r="I4570" s="7" t="str">
        <f>HYPERLINK("http://www.informatics.jax.org/marker/MGI:1349409","MGI:1349409")</f>
        <v>MGI:1349409</v>
      </c>
      <c r="J4570" s="4" t="s">
        <v>12</v>
      </c>
    </row>
    <row r="4571" spans="1:10" x14ac:dyDescent="0.25">
      <c r="A4571" s="2">
        <v>418.227549535744</v>
      </c>
      <c r="B4571" s="3">
        <v>-0.197797063462235</v>
      </c>
      <c r="C4571" s="3">
        <v>2.4840338397231301E-3</v>
      </c>
      <c r="D4571" s="4">
        <v>6.9090475767757701E-3</v>
      </c>
      <c r="E4571" s="3" t="s">
        <v>14187</v>
      </c>
      <c r="F4571" s="3" t="s">
        <v>14188</v>
      </c>
      <c r="G4571" s="3">
        <v>192191</v>
      </c>
      <c r="H4571" s="7" t="str">
        <f>HYPERLINK("http://www.ensembl.org/Mus_musculus/Gene/Summary?db=core;g=ENSMUSG00000061650","ENSMUSG00000061650")</f>
        <v>ENSMUSG00000061650</v>
      </c>
      <c r="I4571" s="7" t="str">
        <f>HYPERLINK("http://www.informatics.jax.org/marker/MGI:2183151","MGI:2183151")</f>
        <v>MGI:2183151</v>
      </c>
      <c r="J4571" s="4" t="s">
        <v>12</v>
      </c>
    </row>
    <row r="4572" spans="1:10" x14ac:dyDescent="0.25">
      <c r="A4572" s="2">
        <v>504.39593292194201</v>
      </c>
      <c r="B4572" s="3">
        <v>-0.197872352463421</v>
      </c>
      <c r="C4572" s="3">
        <v>8.7250152968081397E-3</v>
      </c>
      <c r="D4572" s="4">
        <v>2.1946084394522499E-2</v>
      </c>
      <c r="E4572" s="3" t="s">
        <v>15685</v>
      </c>
      <c r="F4572" s="3" t="s">
        <v>15686</v>
      </c>
      <c r="G4572" s="3">
        <v>245828</v>
      </c>
      <c r="H4572" s="7" t="str">
        <f>HYPERLINK("http://www.ensembl.org/Mus_musculus/Gene/Summary?db=core;g=ENSMUSG00000049299","ENSMUSG00000049299")</f>
        <v>ENSMUSG00000049299</v>
      </c>
      <c r="I4572" s="7" t="str">
        <f>HYPERLINK("http://www.informatics.jax.org/marker/MGI:1098727","MGI:1098727")</f>
        <v>MGI:1098727</v>
      </c>
      <c r="J4572" s="4" t="s">
        <v>12</v>
      </c>
    </row>
    <row r="4573" spans="1:10" x14ac:dyDescent="0.25">
      <c r="A4573" s="2">
        <v>456.44031135093502</v>
      </c>
      <c r="B4573" s="3">
        <v>-0.198247974257385</v>
      </c>
      <c r="C4573" s="3">
        <v>1.4930130530658701E-2</v>
      </c>
      <c r="D4573" s="4">
        <v>3.5822140657572499E-2</v>
      </c>
      <c r="E4573" s="3" t="s">
        <v>16443</v>
      </c>
      <c r="F4573" s="3" t="s">
        <v>16444</v>
      </c>
      <c r="G4573" s="3">
        <v>107769</v>
      </c>
      <c r="H4573" s="7" t="str">
        <f>HYPERLINK("http://www.ensembl.org/Mus_musculus/Gene/Summary?db=core;g=ENSMUSG00000038623","ENSMUSG00000038623")</f>
        <v>ENSMUSG00000038623</v>
      </c>
      <c r="I4573" s="7" t="str">
        <f>HYPERLINK("http://www.informatics.jax.org/marker/MGI:1933209","MGI:1933209")</f>
        <v>MGI:1933209</v>
      </c>
      <c r="J4573" s="4" t="s">
        <v>12</v>
      </c>
    </row>
    <row r="4574" spans="1:10" x14ac:dyDescent="0.25">
      <c r="A4574" s="2">
        <v>710.59148905324503</v>
      </c>
      <c r="B4574" s="3">
        <v>-0.198330558798989</v>
      </c>
      <c r="C4574" s="3">
        <v>4.3928723060390903E-4</v>
      </c>
      <c r="D4574" s="4">
        <v>1.3601419669507101E-3</v>
      </c>
      <c r="E4574" s="3" t="s">
        <v>12749</v>
      </c>
      <c r="F4574" s="3" t="s">
        <v>12750</v>
      </c>
      <c r="G4574" s="3">
        <v>18100</v>
      </c>
      <c r="H4574" s="7" t="str">
        <f>HYPERLINK("http://www.ensembl.org/Mus_musculus/Gene/Summary?db=core;g=ENSMUSG00000022706","ENSMUSG00000022706")</f>
        <v>ENSMUSG00000022706</v>
      </c>
      <c r="I4574" s="7" t="str">
        <f>HYPERLINK("http://www.informatics.jax.org/marker/MGI:1332635","MGI:1332635")</f>
        <v>MGI:1332635</v>
      </c>
      <c r="J4574" s="4" t="s">
        <v>12</v>
      </c>
    </row>
    <row r="4575" spans="1:10" x14ac:dyDescent="0.25">
      <c r="A4575" s="2">
        <v>1005.39198618971</v>
      </c>
      <c r="B4575" s="3">
        <v>-0.19841323664865401</v>
      </c>
      <c r="C4575" s="3">
        <v>2.0086289716896501E-2</v>
      </c>
      <c r="D4575" s="4">
        <v>4.6859296488489098E-2</v>
      </c>
      <c r="E4575" s="3" t="s">
        <v>16910</v>
      </c>
      <c r="F4575" s="3" t="s">
        <v>16911</v>
      </c>
      <c r="G4575" s="3" t="s">
        <v>83</v>
      </c>
      <c r="H4575" s="7" t="str">
        <f>HYPERLINK("http://www.ensembl.org/Mus_musculus/Gene/Summary?db=core;g=ENSMUSG00000085208","ENSMUSG00000085208")</f>
        <v>ENSMUSG00000085208</v>
      </c>
      <c r="I4575" s="7" t="str">
        <f>HYPERLINK("http://www.informatics.jax.org/marker/MGI:1921288","MGI:1921288")</f>
        <v>MGI:1921288</v>
      </c>
      <c r="J4575" s="4" t="s">
        <v>932</v>
      </c>
    </row>
    <row r="4576" spans="1:10" x14ac:dyDescent="0.25">
      <c r="A4576" s="2">
        <v>710.09181825529402</v>
      </c>
      <c r="B4576" s="3">
        <v>-0.19850869143858099</v>
      </c>
      <c r="C4576" s="3">
        <v>2.3355692740523099E-3</v>
      </c>
      <c r="D4576" s="4">
        <v>6.5246389126379896E-3</v>
      </c>
      <c r="E4576" s="3" t="s">
        <v>14125</v>
      </c>
      <c r="F4576" s="3" t="s">
        <v>14126</v>
      </c>
      <c r="G4576" s="3">
        <v>67367</v>
      </c>
      <c r="H4576" s="7" t="str">
        <f>HYPERLINK("http://www.ensembl.org/Mus_musculus/Gene/Summary?db=core;g=ENSMUSG00000022974","ENSMUSG00000022974")</f>
        <v>ENSMUSG00000022974</v>
      </c>
      <c r="I4576" s="7" t="str">
        <f>HYPERLINK("http://www.informatics.jax.org/marker/MGI:1914617","MGI:1914617")</f>
        <v>MGI:1914617</v>
      </c>
      <c r="J4576" s="4" t="s">
        <v>12</v>
      </c>
    </row>
    <row r="4577" spans="1:10" x14ac:dyDescent="0.25">
      <c r="A4577" s="2">
        <v>418.86930002978301</v>
      </c>
      <c r="B4577" s="3">
        <v>-0.19866999714857</v>
      </c>
      <c r="C4577" s="3">
        <v>1.8713866443406502E-2</v>
      </c>
      <c r="D4577" s="4">
        <v>4.39277998171618E-2</v>
      </c>
      <c r="E4577" s="3" t="s">
        <v>16806</v>
      </c>
      <c r="F4577" s="3" t="s">
        <v>16807</v>
      </c>
      <c r="G4577" s="3">
        <v>72739</v>
      </c>
      <c r="H4577" s="7" t="str">
        <f>HYPERLINK("http://www.ensembl.org/Mus_musculus/Gene/Summary?db=core;g=ENSMUSG00000021327","ENSMUSG00000021327")</f>
        <v>ENSMUSG00000021327</v>
      </c>
      <c r="I4577" s="7" t="str">
        <f>HYPERLINK("http://www.informatics.jax.org/marker/MGI:1919989","MGI:1919989")</f>
        <v>MGI:1919989</v>
      </c>
      <c r="J4577" s="4" t="s">
        <v>12</v>
      </c>
    </row>
    <row r="4578" spans="1:10" x14ac:dyDescent="0.25">
      <c r="A4578" s="2">
        <v>301.76369676714302</v>
      </c>
      <c r="B4578" s="3">
        <v>-0.19883123999268201</v>
      </c>
      <c r="C4578" s="3">
        <v>1.54044763904296E-2</v>
      </c>
      <c r="D4578" s="4">
        <v>3.6870527299340997E-2</v>
      </c>
      <c r="E4578" s="3" t="s">
        <v>16481</v>
      </c>
      <c r="F4578" s="3" t="s">
        <v>16482</v>
      </c>
      <c r="G4578" s="3">
        <v>70625</v>
      </c>
      <c r="H4578" s="7" t="str">
        <f>HYPERLINK("http://www.ensembl.org/Mus_musculus/Gene/Summary?db=core;g=ENSMUSG00000045248","ENSMUSG00000045248")</f>
        <v>ENSMUSG00000045248</v>
      </c>
      <c r="I4578" s="7" t="str">
        <f>HYPERLINK("http://www.informatics.jax.org/marker/MGI:1917875","MGI:1917875")</f>
        <v>MGI:1917875</v>
      </c>
      <c r="J4578" s="4" t="s">
        <v>12</v>
      </c>
    </row>
    <row r="4579" spans="1:10" x14ac:dyDescent="0.25">
      <c r="A4579" s="2">
        <v>1226.9679644734299</v>
      </c>
      <c r="B4579" s="3">
        <v>-0.19887670175070299</v>
      </c>
      <c r="C4579" s="3">
        <v>1.42904489216047E-3</v>
      </c>
      <c r="D4579" s="4">
        <v>4.1187905982760101E-3</v>
      </c>
      <c r="E4579" s="3" t="s">
        <v>13693</v>
      </c>
      <c r="F4579" s="3" t="s">
        <v>13694</v>
      </c>
      <c r="G4579" s="3">
        <v>56412</v>
      </c>
      <c r="H4579" s="7" t="str">
        <f>HYPERLINK("http://www.ensembl.org/Mus_musculus/Gene/Summary?db=core;g=ENSMUSG00000036285","ENSMUSG00000036285")</f>
        <v>ENSMUSG00000036285</v>
      </c>
      <c r="I4579" s="7" t="str">
        <f>HYPERLINK("http://www.informatics.jax.org/marker/MGI:1914306","MGI:1914306")</f>
        <v>MGI:1914306</v>
      </c>
      <c r="J4579" s="4" t="s">
        <v>12</v>
      </c>
    </row>
    <row r="4580" spans="1:10" x14ac:dyDescent="0.25">
      <c r="A4580" s="2">
        <v>3194.94420735839</v>
      </c>
      <c r="B4580" s="3">
        <v>-0.19915443986113601</v>
      </c>
      <c r="C4580" s="5">
        <v>1.9691666681198801E-6</v>
      </c>
      <c r="D4580" s="6">
        <v>7.9216578325834492E-6</v>
      </c>
      <c r="E4580" s="3" t="s">
        <v>9819</v>
      </c>
      <c r="F4580" s="3" t="s">
        <v>9820</v>
      </c>
      <c r="G4580" s="3">
        <v>59008</v>
      </c>
      <c r="H4580" s="7" t="str">
        <f>HYPERLINK("http://www.ensembl.org/Mus_musculus/Gene/Summary?db=core;g=ENSMUSG00000029472","ENSMUSG00000029472")</f>
        <v>ENSMUSG00000029472</v>
      </c>
      <c r="I4580" s="7" t="str">
        <f>HYPERLINK("http://www.informatics.jax.org/marker/MGI:1929722","MGI:1929722")</f>
        <v>MGI:1929722</v>
      </c>
      <c r="J4580" s="4" t="s">
        <v>12</v>
      </c>
    </row>
    <row r="4581" spans="1:10" x14ac:dyDescent="0.25">
      <c r="A4581" s="2">
        <v>1669.64795763794</v>
      </c>
      <c r="B4581" s="3">
        <v>-0.199294526419762</v>
      </c>
      <c r="C4581" s="5">
        <v>3.7708530676561199E-5</v>
      </c>
      <c r="D4581" s="4">
        <v>1.3316837839215401E-4</v>
      </c>
      <c r="E4581" s="3" t="s">
        <v>11179</v>
      </c>
      <c r="F4581" s="3" t="s">
        <v>11180</v>
      </c>
      <c r="G4581" s="3">
        <v>216156</v>
      </c>
      <c r="H4581" s="7" t="str">
        <f>HYPERLINK("http://www.ensembl.org/Mus_musculus/Gene/Summary?db=core;g=ENSMUSG00000035754","ENSMUSG00000035754")</f>
        <v>ENSMUSG00000035754</v>
      </c>
      <c r="I4581" s="7" t="str">
        <f>HYPERLINK("http://www.informatics.jax.org/marker/MGI:2158400","MGI:2158400")</f>
        <v>MGI:2158400</v>
      </c>
      <c r="J4581" s="4" t="s">
        <v>12</v>
      </c>
    </row>
    <row r="4582" spans="1:10" x14ac:dyDescent="0.25">
      <c r="A4582" s="2">
        <v>1241.1204403132799</v>
      </c>
      <c r="B4582" s="3">
        <v>-0.199422432932156</v>
      </c>
      <c r="C4582" s="3">
        <v>6.8679961024913202E-4</v>
      </c>
      <c r="D4582" s="4">
        <v>2.0728020070573702E-3</v>
      </c>
      <c r="E4582" s="3" t="s">
        <v>13075</v>
      </c>
      <c r="F4582" s="3" t="s">
        <v>13076</v>
      </c>
      <c r="G4582" s="3">
        <v>68151</v>
      </c>
      <c r="H4582" s="7" t="str">
        <f>HYPERLINK("http://www.ensembl.org/Mus_musculus/Gene/Summary?db=core;g=ENSMUSG00000028173","ENSMUSG00000028173")</f>
        <v>ENSMUSG00000028173</v>
      </c>
      <c r="I4582" s="7" t="str">
        <f>HYPERLINK("http://www.informatics.jax.org/marker/MGI:1915401","MGI:1915401")</f>
        <v>MGI:1915401</v>
      </c>
      <c r="J4582" s="4" t="s">
        <v>12</v>
      </c>
    </row>
    <row r="4583" spans="1:10" x14ac:dyDescent="0.25">
      <c r="A4583" s="2">
        <v>5346.2970255763003</v>
      </c>
      <c r="B4583" s="3">
        <v>-0.19961164859779101</v>
      </c>
      <c r="C4583" s="3">
        <v>2.38190154151212E-4</v>
      </c>
      <c r="D4583" s="4">
        <v>7.6585031480328099E-4</v>
      </c>
      <c r="E4583" s="3" t="s">
        <v>12279</v>
      </c>
      <c r="F4583" s="3" t="s">
        <v>12280</v>
      </c>
      <c r="G4583" s="3">
        <v>14228</v>
      </c>
      <c r="H4583" s="7" t="str">
        <f>HYPERLINK("http://www.ensembl.org/Mus_musculus/Gene/Summary?db=core;g=ENSMUSG00000030357","ENSMUSG00000030357")</f>
        <v>ENSMUSG00000030357</v>
      </c>
      <c r="I4583" s="7" t="str">
        <f>HYPERLINK("http://www.informatics.jax.org/marker/MGI:95543","MGI:95543")</f>
        <v>MGI:95543</v>
      </c>
      <c r="J4583" s="4" t="s">
        <v>12</v>
      </c>
    </row>
    <row r="4584" spans="1:10" x14ac:dyDescent="0.25">
      <c r="A4584" s="2">
        <v>4034.1130869523799</v>
      </c>
      <c r="B4584" s="3">
        <v>-0.19962924748373301</v>
      </c>
      <c r="C4584" s="3">
        <v>6.9698390549154695E-4</v>
      </c>
      <c r="D4584" s="4">
        <v>2.0993619392535999E-3</v>
      </c>
      <c r="E4584" s="3" t="s">
        <v>13103</v>
      </c>
      <c r="F4584" s="3" t="s">
        <v>13104</v>
      </c>
      <c r="G4584" s="3">
        <v>68693</v>
      </c>
      <c r="H4584" s="7" t="str">
        <f>HYPERLINK("http://www.ensembl.org/Mus_musculus/Gene/Summary?db=core;g=ENSMUSG00000071659","ENSMUSG00000071659")</f>
        <v>ENSMUSG00000071659</v>
      </c>
      <c r="I4584" s="7" t="str">
        <f>HYPERLINK("http://www.informatics.jax.org/marker/MGI:1915943","MGI:1915943")</f>
        <v>MGI:1915943</v>
      </c>
      <c r="J4584" s="4" t="s">
        <v>12</v>
      </c>
    </row>
    <row r="4585" spans="1:10" x14ac:dyDescent="0.25">
      <c r="A4585" s="2">
        <v>635.39398203645601</v>
      </c>
      <c r="B4585" s="3">
        <v>-0.19966963056668999</v>
      </c>
      <c r="C4585" s="3">
        <v>4.5812501446518203E-3</v>
      </c>
      <c r="D4585" s="4">
        <v>1.2193582514851401E-2</v>
      </c>
      <c r="E4585" s="3" t="s">
        <v>14822</v>
      </c>
      <c r="F4585" s="3" t="s">
        <v>14823</v>
      </c>
      <c r="G4585" s="3">
        <v>67418</v>
      </c>
      <c r="H4585" s="7" t="str">
        <f>HYPERLINK("http://www.ensembl.org/Mus_musculus/Gene/Summary?db=core;g=ENSMUSG00000015757","ENSMUSG00000015757")</f>
        <v>ENSMUSG00000015757</v>
      </c>
      <c r="I4585" s="7" t="str">
        <f>HYPERLINK("http://www.informatics.jax.org/marker/MGI:1914668","MGI:1914668")</f>
        <v>MGI:1914668</v>
      </c>
      <c r="J4585" s="4" t="s">
        <v>12</v>
      </c>
    </row>
    <row r="4586" spans="1:10" x14ac:dyDescent="0.25">
      <c r="A4586" s="2">
        <v>1436.06169968423</v>
      </c>
      <c r="B4586" s="3">
        <v>-0.19985437954896501</v>
      </c>
      <c r="C4586" s="3">
        <v>1.6668273208194299E-2</v>
      </c>
      <c r="D4586" s="4">
        <v>3.9606982487720398E-2</v>
      </c>
      <c r="E4586" s="3" t="s">
        <v>16602</v>
      </c>
      <c r="F4586" s="3" t="s">
        <v>16603</v>
      </c>
      <c r="G4586" s="3">
        <v>13358</v>
      </c>
      <c r="H4586" s="7" t="str">
        <f>HYPERLINK("http://www.ensembl.org/Mus_musculus/Gene/Summary?db=core;g=ENSMUSG00000003528","ENSMUSG00000003528")</f>
        <v>ENSMUSG00000003528</v>
      </c>
      <c r="I4586" s="7" t="str">
        <f>HYPERLINK("http://www.informatics.jax.org/marker/MGI:1345283","MGI:1345283")</f>
        <v>MGI:1345283</v>
      </c>
      <c r="J4586" s="4" t="s">
        <v>12</v>
      </c>
    </row>
    <row r="4587" spans="1:10" x14ac:dyDescent="0.25">
      <c r="A4587" s="2">
        <v>1112.50581999888</v>
      </c>
      <c r="B4587" s="3">
        <v>-0.20003428137733301</v>
      </c>
      <c r="C4587" s="3">
        <v>1.9583398735372299E-3</v>
      </c>
      <c r="D4587" s="4">
        <v>5.5422592287821702E-3</v>
      </c>
      <c r="E4587" s="3" t="s">
        <v>13943</v>
      </c>
      <c r="F4587" s="3" t="s">
        <v>13944</v>
      </c>
      <c r="G4587" s="3">
        <v>116905</v>
      </c>
      <c r="H4587" s="7" t="str">
        <f>HYPERLINK("http://www.ensembl.org/Mus_musculus/Gene/Summary?db=core;g=ENSMUSG00000078789","ENSMUSG00000078789")</f>
        <v>ENSMUSG00000078789</v>
      </c>
      <c r="I4587" s="7" t="str">
        <f>HYPERLINK("http://www.informatics.jax.org/marker/MGI:2151233","MGI:2151233")</f>
        <v>MGI:2151233</v>
      </c>
      <c r="J4587" s="4" t="s">
        <v>12</v>
      </c>
    </row>
    <row r="4588" spans="1:10" x14ac:dyDescent="0.25">
      <c r="A4588" s="2">
        <v>743.64008699417195</v>
      </c>
      <c r="B4588" s="3">
        <v>-0.20072031801113799</v>
      </c>
      <c r="C4588" s="3">
        <v>2.0160862303482401E-2</v>
      </c>
      <c r="D4588" s="4">
        <v>4.7011021003272202E-2</v>
      </c>
      <c r="E4588" s="3" t="s">
        <v>16918</v>
      </c>
      <c r="F4588" s="3" t="s">
        <v>16919</v>
      </c>
      <c r="G4588" s="3">
        <v>76626</v>
      </c>
      <c r="H4588" s="7" t="str">
        <f>HYPERLINK("http://www.ensembl.org/Mus_musculus/Gene/Summary?db=core;g=ENSMUSG00000069769","ENSMUSG00000069769")</f>
        <v>ENSMUSG00000069769</v>
      </c>
      <c r="I4588" s="7" t="str">
        <f>HYPERLINK("http://www.informatics.jax.org/marker/MGI:1923876","MGI:1923876")</f>
        <v>MGI:1923876</v>
      </c>
      <c r="J4588" s="4" t="s">
        <v>12</v>
      </c>
    </row>
    <row r="4589" spans="1:10" x14ac:dyDescent="0.25">
      <c r="A4589" s="2">
        <v>1563.8657383126999</v>
      </c>
      <c r="B4589" s="3">
        <v>-0.20073104141315901</v>
      </c>
      <c r="C4589" s="5">
        <v>4.2789688860807202E-5</v>
      </c>
      <c r="D4589" s="4">
        <v>1.5006449659169801E-4</v>
      </c>
      <c r="E4589" s="3" t="s">
        <v>11257</v>
      </c>
      <c r="F4589" s="3" t="s">
        <v>11258</v>
      </c>
      <c r="G4589" s="3">
        <v>52690</v>
      </c>
      <c r="H4589" s="7" t="str">
        <f>HYPERLINK("http://www.ensembl.org/Mus_musculus/Gene/Summary?db=core;g=ENSMUSG00000056770","ENSMUSG00000056770")</f>
        <v>ENSMUSG00000056770</v>
      </c>
      <c r="I4589" s="7" t="str">
        <f>HYPERLINK("http://www.informatics.jax.org/marker/MGI:1289184","MGI:1289184")</f>
        <v>MGI:1289184</v>
      </c>
      <c r="J4589" s="4" t="s">
        <v>12</v>
      </c>
    </row>
    <row r="4590" spans="1:10" x14ac:dyDescent="0.25">
      <c r="A4590" s="2">
        <v>1841.61585451215</v>
      </c>
      <c r="B4590" s="3">
        <v>-0.20093658142652901</v>
      </c>
      <c r="C4590" s="5">
        <v>7.8625847608994995E-6</v>
      </c>
      <c r="D4590" s="6">
        <v>2.9811607668705698E-5</v>
      </c>
      <c r="E4590" s="3" t="s">
        <v>10414</v>
      </c>
      <c r="F4590" s="3" t="s">
        <v>10415</v>
      </c>
      <c r="G4590" s="3">
        <v>192196</v>
      </c>
      <c r="H4590" s="7" t="str">
        <f>HYPERLINK("http://www.ensembl.org/Mus_musculus/Gene/Summary?db=core;g=ENSMUSG00000029823","ENSMUSG00000029823")</f>
        <v>ENSMUSG00000029823</v>
      </c>
      <c r="I4590" s="7" t="str">
        <f>HYPERLINK("http://www.informatics.jax.org/marker/MGI:2183260","MGI:2183260")</f>
        <v>MGI:2183260</v>
      </c>
      <c r="J4590" s="4" t="s">
        <v>12</v>
      </c>
    </row>
    <row r="4591" spans="1:10" x14ac:dyDescent="0.25">
      <c r="A4591" s="2">
        <v>1773.9986188612099</v>
      </c>
      <c r="B4591" s="3">
        <v>-0.201030762736122</v>
      </c>
      <c r="C4591" s="3">
        <v>1.75695328398893E-4</v>
      </c>
      <c r="D4591" s="4">
        <v>5.7362779404406905E-4</v>
      </c>
      <c r="E4591" s="3" t="s">
        <v>12091</v>
      </c>
      <c r="F4591" s="3" t="s">
        <v>12092</v>
      </c>
      <c r="G4591" s="3">
        <v>22247</v>
      </c>
      <c r="H4591" s="7" t="str">
        <f>HYPERLINK("http://www.ensembl.org/Mus_musculus/Gene/Summary?db=core;g=ENSMUSG00000022814","ENSMUSG00000022814")</f>
        <v>ENSMUSG00000022814</v>
      </c>
      <c r="I4591" s="7" t="str">
        <f>HYPERLINK("http://www.informatics.jax.org/marker/MGI:1298388","MGI:1298388")</f>
        <v>MGI:1298388</v>
      </c>
      <c r="J4591" s="4" t="s">
        <v>12</v>
      </c>
    </row>
    <row r="4592" spans="1:10" x14ac:dyDescent="0.25">
      <c r="A4592" s="2">
        <v>4461.22154081798</v>
      </c>
      <c r="B4592" s="3">
        <v>-0.201470865330279</v>
      </c>
      <c r="C4592" s="3">
        <v>5.38372123879533E-4</v>
      </c>
      <c r="D4592" s="4">
        <v>1.6506060763222001E-3</v>
      </c>
      <c r="E4592" s="3" t="s">
        <v>12873</v>
      </c>
      <c r="F4592" s="3" t="s">
        <v>12874</v>
      </c>
      <c r="G4592" s="3">
        <v>71521</v>
      </c>
      <c r="H4592" s="7" t="str">
        <f>HYPERLINK("http://www.ensembl.org/Mus_musculus/Gene/Summary?db=core;g=ENSMUSG00000029202","ENSMUSG00000029202")</f>
        <v>ENSMUSG00000029202</v>
      </c>
      <c r="I4592" s="7" t="str">
        <f>HYPERLINK("http://www.informatics.jax.org/marker/MGI:1918771","MGI:1918771")</f>
        <v>MGI:1918771</v>
      </c>
      <c r="J4592" s="4" t="s">
        <v>12</v>
      </c>
    </row>
    <row r="4593" spans="1:10" x14ac:dyDescent="0.25">
      <c r="A4593" s="2">
        <v>3378.0610205194198</v>
      </c>
      <c r="B4593" s="3">
        <v>-0.20155127947971399</v>
      </c>
      <c r="C4593" s="3">
        <v>2.57252724054067E-4</v>
      </c>
      <c r="D4593" s="4">
        <v>8.23810282290711E-4</v>
      </c>
      <c r="E4593" s="3" t="s">
        <v>12327</v>
      </c>
      <c r="F4593" s="3" t="s">
        <v>12328</v>
      </c>
      <c r="G4593" s="3">
        <v>216134</v>
      </c>
      <c r="H4593" s="7" t="str">
        <f>HYPERLINK("http://www.ensembl.org/Mus_musculus/Gene/Summary?db=core;g=ENSMUSG00000032788","ENSMUSG00000032788")</f>
        <v>ENSMUSG00000032788</v>
      </c>
      <c r="I4593" s="7" t="str">
        <f>HYPERLINK("http://www.informatics.jax.org/marker/MGI:1351869","MGI:1351869")</f>
        <v>MGI:1351869</v>
      </c>
      <c r="J4593" s="4" t="s">
        <v>12</v>
      </c>
    </row>
    <row r="4594" spans="1:10" x14ac:dyDescent="0.25">
      <c r="A4594" s="2">
        <v>593.74434015505994</v>
      </c>
      <c r="B4594" s="3">
        <v>-0.20179437650629201</v>
      </c>
      <c r="C4594" s="3">
        <v>1.17127223144782E-3</v>
      </c>
      <c r="D4594" s="4">
        <v>3.4193173063139901E-3</v>
      </c>
      <c r="E4594" s="3" t="s">
        <v>13519</v>
      </c>
      <c r="F4594" s="3" t="s">
        <v>13520</v>
      </c>
      <c r="G4594" s="3">
        <v>19305</v>
      </c>
      <c r="H4594" s="7" t="str">
        <f>HYPERLINK("http://www.ensembl.org/Mus_musculus/Gene/Summary?db=core;g=ENSMUSG00000005069","ENSMUSG00000005069")</f>
        <v>ENSMUSG00000005069</v>
      </c>
      <c r="I4594" s="7" t="str">
        <f>HYPERLINK("http://www.informatics.jax.org/marker/MGI:1098808","MGI:1098808")</f>
        <v>MGI:1098808</v>
      </c>
      <c r="J4594" s="4" t="s">
        <v>12</v>
      </c>
    </row>
    <row r="4595" spans="1:10" x14ac:dyDescent="0.25">
      <c r="A4595" s="2">
        <v>1555.61720507972</v>
      </c>
      <c r="B4595" s="3">
        <v>-0.202067148653432</v>
      </c>
      <c r="C4595" s="3">
        <v>1.15792931033095E-4</v>
      </c>
      <c r="D4595" s="4">
        <v>3.8735141644998E-4</v>
      </c>
      <c r="E4595" s="3" t="s">
        <v>11801</v>
      </c>
      <c r="F4595" s="3" t="s">
        <v>11802</v>
      </c>
      <c r="G4595" s="3">
        <v>11855</v>
      </c>
      <c r="H4595" s="7" t="str">
        <f>HYPERLINK("http://www.ensembl.org/Mus_musculus/Gene/Summary?db=core;g=ENSMUSG00000035133","ENSMUSG00000035133")</f>
        <v>ENSMUSG00000035133</v>
      </c>
      <c r="I4595" s="7" t="str">
        <f>HYPERLINK("http://www.informatics.jax.org/marker/MGI:1332637","MGI:1332637")</f>
        <v>MGI:1332637</v>
      </c>
      <c r="J4595" s="4" t="s">
        <v>12</v>
      </c>
    </row>
    <row r="4596" spans="1:10" x14ac:dyDescent="0.25">
      <c r="A4596" s="2">
        <v>422.10105478952801</v>
      </c>
      <c r="B4596" s="3">
        <v>-0.202286815413176</v>
      </c>
      <c r="C4596" s="3">
        <v>9.3266139094729094E-3</v>
      </c>
      <c r="D4596" s="4">
        <v>2.3337244803299802E-2</v>
      </c>
      <c r="E4596" s="3" t="s">
        <v>15767</v>
      </c>
      <c r="F4596" s="3" t="s">
        <v>15768</v>
      </c>
      <c r="G4596" s="3">
        <v>101568</v>
      </c>
      <c r="H4596" s="7" t="str">
        <f>HYPERLINK("http://www.ensembl.org/Mus_musculus/Gene/Summary?db=core;g=ENSMUSG00000002205","ENSMUSG00000002205")</f>
        <v>ENSMUSG00000002205</v>
      </c>
      <c r="I4596" s="7" t="str">
        <f>HYPERLINK("http://www.informatics.jax.org/marker/MGI:2182465","MGI:2182465")</f>
        <v>MGI:2182465</v>
      </c>
      <c r="J4596" s="4" t="s">
        <v>12</v>
      </c>
    </row>
    <row r="4597" spans="1:10" x14ac:dyDescent="0.25">
      <c r="A4597" s="2">
        <v>806.40738925963001</v>
      </c>
      <c r="B4597" s="3">
        <v>-0.202294758984084</v>
      </c>
      <c r="C4597" s="3">
        <v>8.7364194596432493E-3</v>
      </c>
      <c r="D4597" s="4">
        <v>2.19719668083363E-2</v>
      </c>
      <c r="E4597" s="3" t="s">
        <v>15687</v>
      </c>
      <c r="F4597" s="3" t="s">
        <v>15688</v>
      </c>
      <c r="G4597" s="3">
        <v>227801</v>
      </c>
      <c r="H4597" s="7" t="str">
        <f>HYPERLINK("http://www.ensembl.org/Mus_musculus/Gene/Summary?db=core;g=ENSMUSG00000035392","ENSMUSG00000035392")</f>
        <v>ENSMUSG00000035392</v>
      </c>
      <c r="I4597" s="7" t="str">
        <f>HYPERLINK("http://www.informatics.jax.org/marker/MGI:2442794","MGI:2442794")</f>
        <v>MGI:2442794</v>
      </c>
      <c r="J4597" s="4" t="s">
        <v>12</v>
      </c>
    </row>
    <row r="4598" spans="1:10" x14ac:dyDescent="0.25">
      <c r="A4598" s="2">
        <v>2272.33807116041</v>
      </c>
      <c r="B4598" s="3">
        <v>-0.202714108702094</v>
      </c>
      <c r="C4598" s="5">
        <v>7.5571694842824797E-5</v>
      </c>
      <c r="D4598" s="4">
        <v>2.58234937151361E-4</v>
      </c>
      <c r="E4598" s="3" t="s">
        <v>11553</v>
      </c>
      <c r="F4598" s="3" t="s">
        <v>11554</v>
      </c>
      <c r="G4598" s="3">
        <v>56282</v>
      </c>
      <c r="H4598" s="7" t="str">
        <f>HYPERLINK("http://www.ensembl.org/Mus_musculus/Gene/Summary?db=core;g=ENSMUSG00000039640","ENSMUSG00000039640")</f>
        <v>ENSMUSG00000039640</v>
      </c>
      <c r="I4598" s="7" t="str">
        <f>HYPERLINK("http://www.informatics.jax.org/marker/MGI:1926273","MGI:1926273")</f>
        <v>MGI:1926273</v>
      </c>
      <c r="J4598" s="4" t="s">
        <v>12</v>
      </c>
    </row>
    <row r="4599" spans="1:10" x14ac:dyDescent="0.25">
      <c r="A4599" s="2">
        <v>1993.8359282741801</v>
      </c>
      <c r="B4599" s="3">
        <v>-0.20283404222694201</v>
      </c>
      <c r="C4599" s="3">
        <v>1.1591841967151E-4</v>
      </c>
      <c r="D4599" s="4">
        <v>3.8770543350104898E-4</v>
      </c>
      <c r="E4599" s="3" t="s">
        <v>11803</v>
      </c>
      <c r="F4599" s="3" t="s">
        <v>11804</v>
      </c>
      <c r="G4599" s="3">
        <v>234852</v>
      </c>
      <c r="H4599" s="7" t="str">
        <f>HYPERLINK("http://www.ensembl.org/Mus_musculus/Gene/Summary?db=core;g=ENSMUSG00000000743","ENSMUSG00000000743")</f>
        <v>ENSMUSG00000000743</v>
      </c>
      <c r="I4599" s="7" t="str">
        <f>HYPERLINK("http://www.informatics.jax.org/marker/MGI:1920159","MGI:1920159")</f>
        <v>MGI:1920159</v>
      </c>
      <c r="J4599" s="4" t="s">
        <v>12</v>
      </c>
    </row>
    <row r="4600" spans="1:10" x14ac:dyDescent="0.25">
      <c r="A4600" s="2">
        <v>816.50833861596504</v>
      </c>
      <c r="B4600" s="3">
        <v>-0.20296291495777999</v>
      </c>
      <c r="C4600" s="3">
        <v>5.6393754191616397E-3</v>
      </c>
      <c r="D4600" s="4">
        <v>1.4760881771418599E-2</v>
      </c>
      <c r="E4600" s="3" t="s">
        <v>15072</v>
      </c>
      <c r="F4600" s="3" t="s">
        <v>15073</v>
      </c>
      <c r="G4600" s="3">
        <v>83797</v>
      </c>
      <c r="H4600" s="7" t="str">
        <f>HYPERLINK("http://www.ensembl.org/Mus_musculus/Gene/Summary?db=core;g=ENSMUSG00000023018","ENSMUSG00000023018")</f>
        <v>ENSMUSG00000023018</v>
      </c>
      <c r="I4600" s="7" t="str">
        <f>HYPERLINK("http://www.informatics.jax.org/marker/MGI:1933623","MGI:1933623")</f>
        <v>MGI:1933623</v>
      </c>
      <c r="J4600" s="4" t="s">
        <v>12</v>
      </c>
    </row>
    <row r="4601" spans="1:10" x14ac:dyDescent="0.25">
      <c r="A4601" s="2">
        <v>622.04047499690796</v>
      </c>
      <c r="B4601" s="3">
        <v>-0.20320126995903101</v>
      </c>
      <c r="C4601" s="3">
        <v>8.1431009815361097E-3</v>
      </c>
      <c r="D4601" s="4">
        <v>2.05847905852958E-2</v>
      </c>
      <c r="E4601" s="3" t="s">
        <v>15607</v>
      </c>
      <c r="F4601" s="3" t="s">
        <v>15608</v>
      </c>
      <c r="G4601" s="3">
        <v>66231</v>
      </c>
      <c r="H4601" s="7" t="str">
        <f>HYPERLINK("http://www.ensembl.org/Mus_musculus/Gene/Summary?db=core;g=ENSMUSG00000053453","ENSMUSG00000053453")</f>
        <v>ENSMUSG00000053453</v>
      </c>
      <c r="I4601" s="7" t="str">
        <f>HYPERLINK("http://www.informatics.jax.org/marker/MGI:1913481","MGI:1913481")</f>
        <v>MGI:1913481</v>
      </c>
      <c r="J4601" s="4" t="s">
        <v>12</v>
      </c>
    </row>
    <row r="4602" spans="1:10" x14ac:dyDescent="0.25">
      <c r="A4602" s="2">
        <v>726.15895468500105</v>
      </c>
      <c r="B4602" s="3">
        <v>-0.20329779862030001</v>
      </c>
      <c r="C4602" s="3">
        <v>4.2016303723596098E-3</v>
      </c>
      <c r="D4602" s="4">
        <v>1.1266814107007301E-2</v>
      </c>
      <c r="E4602" s="3" t="s">
        <v>14712</v>
      </c>
      <c r="F4602" s="3" t="s">
        <v>14713</v>
      </c>
      <c r="G4602" s="3">
        <v>76130</v>
      </c>
      <c r="H4602" s="7" t="str">
        <f>HYPERLINK("http://www.ensembl.org/Mus_musculus/Gene/Summary?db=core;g=ENSMUSG00000057421","ENSMUSG00000057421")</f>
        <v>ENSMUSG00000057421</v>
      </c>
      <c r="I4602" s="7" t="str">
        <f>HYPERLINK("http://www.informatics.jax.org/marker/MGI:1923380","MGI:1923380")</f>
        <v>MGI:1923380</v>
      </c>
      <c r="J4602" s="4" t="s">
        <v>12</v>
      </c>
    </row>
    <row r="4603" spans="1:10" x14ac:dyDescent="0.25">
      <c r="A4603" s="2">
        <v>802.14181941485197</v>
      </c>
      <c r="B4603" s="3">
        <v>-0.20341050513486</v>
      </c>
      <c r="C4603" s="5">
        <v>1.8120756907200798E-5</v>
      </c>
      <c r="D4603" s="6">
        <v>6.6186576441933499E-5</v>
      </c>
      <c r="E4603" s="3" t="s">
        <v>10810</v>
      </c>
      <c r="F4603" s="3" t="s">
        <v>10811</v>
      </c>
      <c r="G4603" s="3">
        <v>211948</v>
      </c>
      <c r="H4603" s="7" t="str">
        <f>HYPERLINK("http://www.ensembl.org/Mus_musculus/Gene/Summary?db=core;g=ENSMUSG00000043702","ENSMUSG00000043702")</f>
        <v>ENSMUSG00000043702</v>
      </c>
      <c r="I4603" s="7" t="str">
        <f>HYPERLINK("http://www.informatics.jax.org/marker/MGI:2443226","MGI:2443226")</f>
        <v>MGI:2443226</v>
      </c>
      <c r="J4603" s="4" t="s">
        <v>12</v>
      </c>
    </row>
    <row r="4604" spans="1:10" x14ac:dyDescent="0.25">
      <c r="A4604" s="2">
        <v>2461.4085846443299</v>
      </c>
      <c r="B4604" s="3">
        <v>-0.203617137384832</v>
      </c>
      <c r="C4604" s="3">
        <v>2.9168583122916201E-3</v>
      </c>
      <c r="D4604" s="4">
        <v>8.0078582651246996E-3</v>
      </c>
      <c r="E4604" s="3" t="s">
        <v>14371</v>
      </c>
      <c r="F4604" s="3" t="s">
        <v>14372</v>
      </c>
      <c r="G4604" s="3">
        <v>17921</v>
      </c>
      <c r="H4604" s="7" t="str">
        <f>HYPERLINK("http://www.ensembl.org/Mus_musculus/Gene/Summary?db=core;g=ENSMUSG00000030761","ENSMUSG00000030761")</f>
        <v>ENSMUSG00000030761</v>
      </c>
      <c r="I4604" s="7" t="str">
        <f>HYPERLINK("http://www.informatics.jax.org/marker/MGI:104510","MGI:104510")</f>
        <v>MGI:104510</v>
      </c>
      <c r="J4604" s="4" t="s">
        <v>12</v>
      </c>
    </row>
    <row r="4605" spans="1:10" x14ac:dyDescent="0.25">
      <c r="A4605" s="2">
        <v>798.10761198136095</v>
      </c>
      <c r="B4605" s="3">
        <v>-0.203665591173598</v>
      </c>
      <c r="C4605" s="3">
        <v>2.5811048755727502E-4</v>
      </c>
      <c r="D4605" s="4">
        <v>8.2628876860867801E-4</v>
      </c>
      <c r="E4605" s="3" t="s">
        <v>12331</v>
      </c>
      <c r="F4605" s="3" t="s">
        <v>12332</v>
      </c>
      <c r="G4605" s="3">
        <v>69527</v>
      </c>
      <c r="H4605" s="7" t="str">
        <f>HYPERLINK("http://www.ensembl.org/Mus_musculus/Gene/Summary?db=core;g=ENSMUSG00000060679","ENSMUSG00000060679")</f>
        <v>ENSMUSG00000060679</v>
      </c>
      <c r="I4605" s="7" t="str">
        <f>HYPERLINK("http://www.informatics.jax.org/marker/MGI:1916777","MGI:1916777")</f>
        <v>MGI:1916777</v>
      </c>
      <c r="J4605" s="4" t="s">
        <v>12</v>
      </c>
    </row>
    <row r="4606" spans="1:10" x14ac:dyDescent="0.25">
      <c r="A4606" s="2">
        <v>522.11357532862098</v>
      </c>
      <c r="B4606" s="3">
        <v>-0.20386762992787</v>
      </c>
      <c r="C4606" s="3">
        <v>1.2550829623242899E-2</v>
      </c>
      <c r="D4606" s="4">
        <v>3.06079358030487E-2</v>
      </c>
      <c r="E4606" s="3" t="s">
        <v>16181</v>
      </c>
      <c r="F4606" s="3" t="s">
        <v>16182</v>
      </c>
      <c r="G4606" s="3">
        <v>28199</v>
      </c>
      <c r="H4606" s="7" t="str">
        <f>HYPERLINK("http://www.ensembl.org/Mus_musculus/Gene/Summary?db=core;g=ENSMUSG00000022214","ENSMUSG00000022214")</f>
        <v>ENSMUSG00000022214</v>
      </c>
      <c r="I4606" s="7" t="str">
        <f>HYPERLINK("http://www.informatics.jax.org/marker/MGI:90168","MGI:90168")</f>
        <v>MGI:90168</v>
      </c>
      <c r="J4606" s="4" t="s">
        <v>12</v>
      </c>
    </row>
    <row r="4607" spans="1:10" x14ac:dyDescent="0.25">
      <c r="A4607" s="2">
        <v>587.42028081572096</v>
      </c>
      <c r="B4607" s="3">
        <v>-0.20394401932544401</v>
      </c>
      <c r="C4607" s="3">
        <v>1.6145981163789001E-3</v>
      </c>
      <c r="D4607" s="4">
        <v>4.6211719673427999E-3</v>
      </c>
      <c r="E4607" s="3" t="s">
        <v>13787</v>
      </c>
      <c r="F4607" s="3" t="s">
        <v>13788</v>
      </c>
      <c r="G4607" s="3">
        <v>219150</v>
      </c>
      <c r="H4607" s="7" t="str">
        <f>HYPERLINK("http://www.ensembl.org/Mus_musculus/Gene/Summary?db=core;g=ENSMUSG00000021972","ENSMUSG00000021972")</f>
        <v>ENSMUSG00000021972</v>
      </c>
      <c r="I4607" s="7" t="str">
        <f>HYPERLINK("http://www.informatics.jax.org/marker/MGI:2445066","MGI:2445066")</f>
        <v>MGI:2445066</v>
      </c>
      <c r="J4607" s="4" t="s">
        <v>12</v>
      </c>
    </row>
    <row r="4608" spans="1:10" x14ac:dyDescent="0.25">
      <c r="A4608" s="2">
        <v>798.60308632805197</v>
      </c>
      <c r="B4608" s="3">
        <v>-0.20395540154219599</v>
      </c>
      <c r="C4608" s="3">
        <v>3.1133610409586301E-4</v>
      </c>
      <c r="D4608" s="4">
        <v>9.8453302962963696E-4</v>
      </c>
      <c r="E4608" s="3" t="s">
        <v>12485</v>
      </c>
      <c r="F4608" s="3" t="s">
        <v>12486</v>
      </c>
      <c r="G4608" s="3">
        <v>66394</v>
      </c>
      <c r="H4608" s="7" t="str">
        <f>HYPERLINK("http://www.ensembl.org/Mus_musculus/Gene/Summary?db=core;g=ENSMUSG00000003421","ENSMUSG00000003421")</f>
        <v>ENSMUSG00000003421</v>
      </c>
      <c r="I4608" s="7" t="str">
        <f>HYPERLINK("http://www.informatics.jax.org/marker/MGI:1913644","MGI:1913644")</f>
        <v>MGI:1913644</v>
      </c>
      <c r="J4608" s="4" t="s">
        <v>12</v>
      </c>
    </row>
    <row r="4609" spans="1:10" x14ac:dyDescent="0.25">
      <c r="A4609" s="2">
        <v>1263.6314706753899</v>
      </c>
      <c r="B4609" s="3">
        <v>-0.20422108636095801</v>
      </c>
      <c r="C4609" s="3">
        <v>5.5121525810386202E-3</v>
      </c>
      <c r="D4609" s="4">
        <v>1.4460509365183101E-2</v>
      </c>
      <c r="E4609" s="3" t="s">
        <v>15038</v>
      </c>
      <c r="F4609" s="3" t="s">
        <v>15039</v>
      </c>
      <c r="G4609" s="3">
        <v>214597</v>
      </c>
      <c r="H4609" s="7" t="str">
        <f>HYPERLINK("http://www.ensembl.org/Mus_musculus/Gene/Summary?db=core;g=ENSMUSG00000034908","ENSMUSG00000034908")</f>
        <v>ENSMUSG00000034908</v>
      </c>
      <c r="I4609" s="7" t="str">
        <f>HYPERLINK("http://www.informatics.jax.org/marker/MGI:2446134","MGI:2446134")</f>
        <v>MGI:2446134</v>
      </c>
      <c r="J4609" s="4" t="s">
        <v>12</v>
      </c>
    </row>
    <row r="4610" spans="1:10" x14ac:dyDescent="0.25">
      <c r="A4610" s="2">
        <v>609.66009585618599</v>
      </c>
      <c r="B4610" s="3">
        <v>-0.20422993472905501</v>
      </c>
      <c r="C4610" s="3">
        <v>8.6261120185788399E-3</v>
      </c>
      <c r="D4610" s="4">
        <v>2.1719475102959001E-2</v>
      </c>
      <c r="E4610" s="3" t="s">
        <v>15669</v>
      </c>
      <c r="F4610" s="3" t="s">
        <v>15670</v>
      </c>
      <c r="G4610" s="3">
        <v>12238</v>
      </c>
      <c r="H4610" s="7" t="str">
        <f>HYPERLINK("http://www.ensembl.org/Mus_musculus/Gene/Summary?db=core;g=ENSMUSG00000051154","ENSMUSG00000051154")</f>
        <v>ENSMUSG00000051154</v>
      </c>
      <c r="I4610" s="7" t="str">
        <f>HYPERLINK("http://www.informatics.jax.org/marker/MGI:88218","MGI:88218")</f>
        <v>MGI:88218</v>
      </c>
      <c r="J4610" s="4" t="s">
        <v>12</v>
      </c>
    </row>
    <row r="4611" spans="1:10" x14ac:dyDescent="0.25">
      <c r="A4611" s="2">
        <v>339.579092921246</v>
      </c>
      <c r="B4611" s="3">
        <v>-0.20437823059448501</v>
      </c>
      <c r="C4611" s="3">
        <v>1.0199121324277201E-2</v>
      </c>
      <c r="D4611" s="4">
        <v>2.5349971327797701E-2</v>
      </c>
      <c r="E4611" s="3" t="s">
        <v>15873</v>
      </c>
      <c r="F4611" s="3" t="s">
        <v>15874</v>
      </c>
      <c r="G4611" s="3">
        <v>66083</v>
      </c>
      <c r="H4611" s="7" t="str">
        <f>HYPERLINK("http://www.ensembl.org/Mus_musculus/Gene/Summary?db=core;g=ENSMUSG00000031671","ENSMUSG00000031671")</f>
        <v>ENSMUSG00000031671</v>
      </c>
      <c r="I4611" s="7" t="str">
        <f>HYPERLINK("http://www.informatics.jax.org/marker/MGI:1913333","MGI:1913333")</f>
        <v>MGI:1913333</v>
      </c>
      <c r="J4611" s="4" t="s">
        <v>12</v>
      </c>
    </row>
    <row r="4612" spans="1:10" x14ac:dyDescent="0.25">
      <c r="A4612" s="2">
        <v>2226.8826100808001</v>
      </c>
      <c r="B4612" s="3">
        <v>-0.20440820622240399</v>
      </c>
      <c r="C4612" s="3">
        <v>3.20770832500568E-3</v>
      </c>
      <c r="D4612" s="4">
        <v>8.7539452212997398E-3</v>
      </c>
      <c r="E4612" s="3" t="s">
        <v>14455</v>
      </c>
      <c r="F4612" s="3" t="s">
        <v>14456</v>
      </c>
      <c r="G4612" s="3">
        <v>67680</v>
      </c>
      <c r="H4612" s="7" t="str">
        <f>HYPERLINK("http://www.ensembl.org/Mus_musculus/Gene/Summary?db=core;g=ENSMUSG00000009863","ENSMUSG00000009863")</f>
        <v>ENSMUSG00000009863</v>
      </c>
      <c r="I4612" s="7" t="str">
        <f>HYPERLINK("http://www.informatics.jax.org/marker/MGI:1914930","MGI:1914930")</f>
        <v>MGI:1914930</v>
      </c>
      <c r="J4612" s="4" t="s">
        <v>12</v>
      </c>
    </row>
    <row r="4613" spans="1:10" x14ac:dyDescent="0.25">
      <c r="A4613" s="2">
        <v>497.24391848185297</v>
      </c>
      <c r="B4613" s="3">
        <v>-0.20456247662673999</v>
      </c>
      <c r="C4613" s="3">
        <v>1.7100177300728901E-2</v>
      </c>
      <c r="D4613" s="4">
        <v>4.0525837804395302E-2</v>
      </c>
      <c r="E4613" s="3" t="s">
        <v>16646</v>
      </c>
      <c r="F4613" s="3" t="s">
        <v>16647</v>
      </c>
      <c r="G4613" s="3">
        <v>121022</v>
      </c>
      <c r="H4613" s="7" t="str">
        <f>HYPERLINK("http://www.ensembl.org/Mus_musculus/Gene/Summary?db=core;g=ENSMUSG00000039680","ENSMUSG00000039680")</f>
        <v>ENSMUSG00000039680</v>
      </c>
      <c r="I4613" s="7" t="str">
        <f>HYPERLINK("http://www.informatics.jax.org/marker/MGI:2153111","MGI:2153111")</f>
        <v>MGI:2153111</v>
      </c>
      <c r="J4613" s="4" t="s">
        <v>12</v>
      </c>
    </row>
    <row r="4614" spans="1:10" x14ac:dyDescent="0.25">
      <c r="A4614" s="2">
        <v>728.36945604339405</v>
      </c>
      <c r="B4614" s="3">
        <v>-0.20473084628069599</v>
      </c>
      <c r="C4614" s="3">
        <v>5.6874501752179401E-3</v>
      </c>
      <c r="D4614" s="4">
        <v>1.48743992481985E-2</v>
      </c>
      <c r="E4614" s="3" t="s">
        <v>15084</v>
      </c>
      <c r="F4614" s="3" t="s">
        <v>15085</v>
      </c>
      <c r="G4614" s="3">
        <v>59053</v>
      </c>
      <c r="H4614" s="7" t="str">
        <f>HYPERLINK("http://www.ensembl.org/Mus_musculus/Gene/Summary?db=core;g=ENSMUSG00000022554","ENSMUSG00000022554")</f>
        <v>ENSMUSG00000022554</v>
      </c>
      <c r="I4614" s="7" t="str">
        <f>HYPERLINK("http://www.informatics.jax.org/marker/MGI:1930628","MGI:1930628")</f>
        <v>MGI:1930628</v>
      </c>
      <c r="J4614" s="4" t="s">
        <v>12</v>
      </c>
    </row>
    <row r="4615" spans="1:10" x14ac:dyDescent="0.25">
      <c r="A4615" s="2">
        <v>912.94087775523599</v>
      </c>
      <c r="B4615" s="3">
        <v>-0.20478477556649899</v>
      </c>
      <c r="C4615" s="3">
        <v>1.0443621690338701E-3</v>
      </c>
      <c r="D4615" s="4">
        <v>3.07018812959868E-3</v>
      </c>
      <c r="E4615" s="3" t="s">
        <v>13425</v>
      </c>
      <c r="F4615" s="3" t="s">
        <v>13426</v>
      </c>
      <c r="G4615" s="3">
        <v>68927</v>
      </c>
      <c r="H4615" s="7" t="str">
        <f>HYPERLINK("http://www.ensembl.org/Mus_musculus/Gene/Summary?db=core;g=ENSMUSG00000021650","ENSMUSG00000021650")</f>
        <v>ENSMUSG00000021650</v>
      </c>
      <c r="I4615" s="7" t="str">
        <f>HYPERLINK("http://www.informatics.jax.org/marker/MGI:1916177","MGI:1916177")</f>
        <v>MGI:1916177</v>
      </c>
      <c r="J4615" s="4" t="s">
        <v>12</v>
      </c>
    </row>
    <row r="4616" spans="1:10" x14ac:dyDescent="0.25">
      <c r="A4616" s="2">
        <v>1472.5866042554701</v>
      </c>
      <c r="B4616" s="3">
        <v>-0.205340849529008</v>
      </c>
      <c r="C4616" s="5">
        <v>6.94687948508177E-7</v>
      </c>
      <c r="D4616" s="6">
        <v>2.9221941861308099E-6</v>
      </c>
      <c r="E4616" s="3" t="s">
        <v>9391</v>
      </c>
      <c r="F4616" s="3" t="s">
        <v>9392</v>
      </c>
      <c r="G4616" s="3">
        <v>26926</v>
      </c>
      <c r="H4616" s="7" t="str">
        <f>HYPERLINK("http://www.ensembl.org/Mus_musculus/Gene/Summary?db=core;g=ENSMUSG00000036932","ENSMUSG00000036932")</f>
        <v>ENSMUSG00000036932</v>
      </c>
      <c r="I4616" s="7" t="str">
        <f>HYPERLINK("http://www.informatics.jax.org/marker/MGI:1349419","MGI:1349419")</f>
        <v>MGI:1349419</v>
      </c>
      <c r="J4616" s="4" t="s">
        <v>12</v>
      </c>
    </row>
    <row r="4617" spans="1:10" x14ac:dyDescent="0.25">
      <c r="A4617" s="2">
        <v>266.99001155799402</v>
      </c>
      <c r="B4617" s="3">
        <v>-0.205397527514567</v>
      </c>
      <c r="C4617" s="3">
        <v>9.8707903997906493E-3</v>
      </c>
      <c r="D4617" s="4">
        <v>2.4595694330498099E-2</v>
      </c>
      <c r="E4617" s="3" t="s">
        <v>15833</v>
      </c>
      <c r="F4617" s="3" t="s">
        <v>15834</v>
      </c>
      <c r="G4617" s="3">
        <v>244548</v>
      </c>
      <c r="H4617" s="7" t="str">
        <f>HYPERLINK("http://www.ensembl.org/Mus_musculus/Gene/Summary?db=core;g=ENSMUSG00000035151","ENSMUSG00000035151")</f>
        <v>ENSMUSG00000035151</v>
      </c>
      <c r="I4617" s="7" t="str">
        <f>HYPERLINK("http://www.informatics.jax.org/marker/MGI:2445165","MGI:2445165")</f>
        <v>MGI:2445165</v>
      </c>
      <c r="J4617" s="4" t="s">
        <v>12</v>
      </c>
    </row>
    <row r="4618" spans="1:10" x14ac:dyDescent="0.25">
      <c r="A4618" s="2">
        <v>1013.40099894124</v>
      </c>
      <c r="B4618" s="3">
        <v>-0.20574263863957701</v>
      </c>
      <c r="C4618" s="3">
        <v>6.0778754329249903E-4</v>
      </c>
      <c r="D4618" s="4">
        <v>1.85048175910577E-3</v>
      </c>
      <c r="E4618" s="3" t="s">
        <v>12963</v>
      </c>
      <c r="F4618" s="3" t="s">
        <v>12964</v>
      </c>
      <c r="G4618" s="3">
        <v>226090</v>
      </c>
      <c r="H4618" s="7" t="str">
        <f>HYPERLINK("http://www.ensembl.org/Mus_musculus/Gene/Summary?db=core;g=ENSMUSG00000046324","ENSMUSG00000046324")</f>
        <v>ENSMUSG00000046324</v>
      </c>
      <c r="I4618" s="7" t="str">
        <f>HYPERLINK("http://www.informatics.jax.org/marker/MGI:106250","MGI:106250")</f>
        <v>MGI:106250</v>
      </c>
      <c r="J4618" s="4" t="s">
        <v>12</v>
      </c>
    </row>
    <row r="4619" spans="1:10" x14ac:dyDescent="0.25">
      <c r="A4619" s="2">
        <v>3389.5567687273001</v>
      </c>
      <c r="B4619" s="3">
        <v>-0.205769436850296</v>
      </c>
      <c r="C4619" s="3">
        <v>9.08572269591805E-4</v>
      </c>
      <c r="D4619" s="4">
        <v>2.6963198128443001E-3</v>
      </c>
      <c r="E4619" s="3" t="s">
        <v>13298</v>
      </c>
      <c r="F4619" s="3" t="s">
        <v>13299</v>
      </c>
      <c r="G4619" s="3">
        <v>74493</v>
      </c>
      <c r="H4619" s="7" t="str">
        <f>HYPERLINK("http://www.ensembl.org/Mus_musculus/Gene/Summary?db=core;g=ENSMUSG00000024811","ENSMUSG00000024811")</f>
        <v>ENSMUSG00000024811</v>
      </c>
      <c r="I4619" s="7" t="str">
        <f>HYPERLINK("http://www.informatics.jax.org/marker/MGI:1921743","MGI:1921743")</f>
        <v>MGI:1921743</v>
      </c>
      <c r="J4619" s="4" t="s">
        <v>12</v>
      </c>
    </row>
    <row r="4620" spans="1:10" x14ac:dyDescent="0.25">
      <c r="A4620" s="2">
        <v>917.75329332465401</v>
      </c>
      <c r="B4620" s="3">
        <v>-0.205859274859575</v>
      </c>
      <c r="C4620" s="3">
        <v>1.27265913547051E-3</v>
      </c>
      <c r="D4620" s="4">
        <v>3.7005069524444802E-3</v>
      </c>
      <c r="E4620" s="3" t="s">
        <v>13571</v>
      </c>
      <c r="F4620" s="3" t="s">
        <v>13572</v>
      </c>
      <c r="G4620" s="3">
        <v>66194</v>
      </c>
      <c r="H4620" s="7" t="str">
        <f>HYPERLINK("http://www.ensembl.org/Mus_musculus/Gene/Summary?db=core;g=ENSMUSG00000022571","ENSMUSG00000022571")</f>
        <v>ENSMUSG00000022571</v>
      </c>
      <c r="I4620" s="7" t="str">
        <f>HYPERLINK("http://www.informatics.jax.org/marker/MGI:1913444","MGI:1913444")</f>
        <v>MGI:1913444</v>
      </c>
      <c r="J4620" s="4" t="s">
        <v>12</v>
      </c>
    </row>
    <row r="4621" spans="1:10" x14ac:dyDescent="0.25">
      <c r="A4621" s="2">
        <v>238.39454045222101</v>
      </c>
      <c r="B4621" s="3">
        <v>-0.206049587044943</v>
      </c>
      <c r="C4621" s="3">
        <v>1.9319960735983199E-2</v>
      </c>
      <c r="D4621" s="4">
        <v>4.5248174075247997E-2</v>
      </c>
      <c r="E4621" s="3" t="s">
        <v>16844</v>
      </c>
      <c r="F4621" s="3" t="s">
        <v>16845</v>
      </c>
      <c r="G4621" s="3">
        <v>14339</v>
      </c>
      <c r="H4621" s="7" t="str">
        <f>HYPERLINK("http://www.ensembl.org/Mus_musculus/Gene/Summary?db=core;g=ENSMUSG00000031667","ENSMUSG00000031667")</f>
        <v>ENSMUSG00000031667</v>
      </c>
      <c r="I4621" s="7" t="str">
        <f>HYPERLINK("http://www.informatics.jax.org/marker/MGI:3693832","MGI:3693832")</f>
        <v>MGI:3693832</v>
      </c>
      <c r="J4621" s="4" t="s">
        <v>12</v>
      </c>
    </row>
    <row r="4622" spans="1:10" x14ac:dyDescent="0.25">
      <c r="A4622" s="2">
        <v>828.56232748077002</v>
      </c>
      <c r="B4622" s="3">
        <v>-0.20681517367188099</v>
      </c>
      <c r="C4622" s="3">
        <v>2.33663217435539E-4</v>
      </c>
      <c r="D4622" s="4">
        <v>7.5230018740062596E-4</v>
      </c>
      <c r="E4622" s="3" t="s">
        <v>12261</v>
      </c>
      <c r="F4622" s="3" t="s">
        <v>12262</v>
      </c>
      <c r="G4622" s="3">
        <v>16993</v>
      </c>
      <c r="H4622" s="7" t="str">
        <f>HYPERLINK("http://www.ensembl.org/Mus_musculus/Gene/Summary?db=core;g=ENSMUSG00000015889","ENSMUSG00000015889")</f>
        <v>ENSMUSG00000015889</v>
      </c>
      <c r="I4622" s="7" t="str">
        <f>HYPERLINK("http://www.informatics.jax.org/marker/MGI:96836","MGI:96836")</f>
        <v>MGI:96836</v>
      </c>
      <c r="J4622" s="4" t="s">
        <v>12</v>
      </c>
    </row>
    <row r="4623" spans="1:10" x14ac:dyDescent="0.25">
      <c r="A4623" s="2">
        <v>985.93623448420794</v>
      </c>
      <c r="B4623" s="3">
        <v>-0.20687510555621799</v>
      </c>
      <c r="C4623" s="3">
        <v>3.2439467820579901E-4</v>
      </c>
      <c r="D4623" s="4">
        <v>1.0235300886749399E-3</v>
      </c>
      <c r="E4623" s="3" t="s">
        <v>12513</v>
      </c>
      <c r="F4623" s="3" t="s">
        <v>12514</v>
      </c>
      <c r="G4623" s="3">
        <v>78929</v>
      </c>
      <c r="H4623" s="7" t="str">
        <f>HYPERLINK("http://www.ensembl.org/Mus_musculus/Gene/Summary?db=core;g=ENSMUSG00000022476","ENSMUSG00000022476")</f>
        <v>ENSMUSG00000022476</v>
      </c>
      <c r="I4623" s="7" t="str">
        <f>HYPERLINK("http://www.informatics.jax.org/marker/MGI:1926179","MGI:1926179")</f>
        <v>MGI:1926179</v>
      </c>
      <c r="J4623" s="4" t="s">
        <v>12</v>
      </c>
    </row>
    <row r="4624" spans="1:10" x14ac:dyDescent="0.25">
      <c r="A4624" s="2">
        <v>1420.1569891889501</v>
      </c>
      <c r="B4624" s="3">
        <v>-0.20707957825536699</v>
      </c>
      <c r="C4624" s="3">
        <v>7.6995671397083899E-3</v>
      </c>
      <c r="D4624" s="4">
        <v>1.9577118935535001E-2</v>
      </c>
      <c r="E4624" s="3" t="s">
        <v>15517</v>
      </c>
      <c r="F4624" s="3" t="s">
        <v>15518</v>
      </c>
      <c r="G4624" s="3">
        <v>27392</v>
      </c>
      <c r="H4624" s="7" t="str">
        <f>HYPERLINK("http://www.ensembl.org/Mus_musculus/Gene/Summary?db=core;g=ENSMUSG00000056536","ENSMUSG00000056536")</f>
        <v>ENSMUSG00000056536</v>
      </c>
      <c r="I4624" s="7" t="str">
        <f>HYPERLINK("http://www.informatics.jax.org/marker/MGI:1351629","MGI:1351629")</f>
        <v>MGI:1351629</v>
      </c>
      <c r="J4624" s="4" t="s">
        <v>12</v>
      </c>
    </row>
    <row r="4625" spans="1:10" x14ac:dyDescent="0.25">
      <c r="A4625" s="2">
        <v>551.46603666538499</v>
      </c>
      <c r="B4625" s="3">
        <v>-0.20764623845867</v>
      </c>
      <c r="C4625" s="3">
        <v>7.0065968139101096E-4</v>
      </c>
      <c r="D4625" s="4">
        <v>2.1090821362971402E-3</v>
      </c>
      <c r="E4625" s="3" t="s">
        <v>13111</v>
      </c>
      <c r="F4625" s="3" t="s">
        <v>13112</v>
      </c>
      <c r="G4625" s="3">
        <v>100206</v>
      </c>
      <c r="H4625" s="7" t="str">
        <f>HYPERLINK("http://www.ensembl.org/Mus_musculus/Gene/Summary?db=core;g=ENSMUSG00000042558","ENSMUSG00000042558")</f>
        <v>ENSMUSG00000042558</v>
      </c>
      <c r="I4625" s="7" t="str">
        <f>HYPERLINK("http://www.informatics.jax.org/marker/MGI:2140364","MGI:2140364")</f>
        <v>MGI:2140364</v>
      </c>
      <c r="J4625" s="4" t="s">
        <v>12</v>
      </c>
    </row>
    <row r="4626" spans="1:10" x14ac:dyDescent="0.25">
      <c r="A4626" s="2">
        <v>2588.7382124153401</v>
      </c>
      <c r="B4626" s="3">
        <v>-0.20801129652380099</v>
      </c>
      <c r="C4626" s="3">
        <v>4.1343313877877201E-3</v>
      </c>
      <c r="D4626" s="4">
        <v>1.1104469486131001E-2</v>
      </c>
      <c r="E4626" s="3" t="s">
        <v>14688</v>
      </c>
      <c r="F4626" s="3" t="s">
        <v>14689</v>
      </c>
      <c r="G4626" s="3">
        <v>93679</v>
      </c>
      <c r="H4626" s="7" t="str">
        <f>HYPERLINK("http://www.ensembl.org/Mus_musculus/Gene/Summary?db=core;g=ENSMUSG00000025034","ENSMUSG00000025034")</f>
        <v>ENSMUSG00000025034</v>
      </c>
      <c r="I4626" s="7" t="str">
        <f>HYPERLINK("http://www.informatics.jax.org/marker/MGI:1933302","MGI:1933302")</f>
        <v>MGI:1933302</v>
      </c>
      <c r="J4626" s="4" t="s">
        <v>12</v>
      </c>
    </row>
    <row r="4627" spans="1:10" x14ac:dyDescent="0.25">
      <c r="A4627" s="2">
        <v>882.15751336743301</v>
      </c>
      <c r="B4627" s="3">
        <v>-0.20874877856278701</v>
      </c>
      <c r="C4627" s="3">
        <v>1.5594560406712501E-2</v>
      </c>
      <c r="D4627" s="4">
        <v>3.7271207274314697E-2</v>
      </c>
      <c r="E4627" s="3" t="s">
        <v>16505</v>
      </c>
      <c r="F4627" s="3" t="s">
        <v>16506</v>
      </c>
      <c r="G4627" s="3">
        <v>67023</v>
      </c>
      <c r="H4627" s="7" t="str">
        <f>HYPERLINK("http://www.ensembl.org/Mus_musculus/Gene/Summary?db=core;g=ENSMUSG00000002395","ENSMUSG00000002395")</f>
        <v>ENSMUSG00000002395</v>
      </c>
      <c r="I4627" s="7" t="str">
        <f>HYPERLINK("http://www.informatics.jax.org/marker/MGI:1914273","MGI:1914273")</f>
        <v>MGI:1914273</v>
      </c>
      <c r="J4627" s="4" t="s">
        <v>12</v>
      </c>
    </row>
    <row r="4628" spans="1:10" x14ac:dyDescent="0.25">
      <c r="A4628" s="2">
        <v>2132.4231567771899</v>
      </c>
      <c r="B4628" s="3">
        <v>-0.209274087756253</v>
      </c>
      <c r="C4628" s="3">
        <v>1.9654313804918301E-4</v>
      </c>
      <c r="D4628" s="4">
        <v>6.3852235293737896E-4</v>
      </c>
      <c r="E4628" s="3" t="s">
        <v>12151</v>
      </c>
      <c r="F4628" s="3" t="s">
        <v>12152</v>
      </c>
      <c r="G4628" s="3">
        <v>229363</v>
      </c>
      <c r="H4628" s="7" t="str">
        <f>HYPERLINK("http://www.ensembl.org/Mus_musculus/Gene/Summary?db=core;g=ENSMUSG00000027823","ENSMUSG00000027823")</f>
        <v>ENSMUSG00000027823</v>
      </c>
      <c r="I4628" s="7" t="str">
        <f>HYPERLINK("http://www.informatics.jax.org/marker/MGI:2448526","MGI:2448526")</f>
        <v>MGI:2448526</v>
      </c>
      <c r="J4628" s="4" t="s">
        <v>12</v>
      </c>
    </row>
    <row r="4629" spans="1:10" x14ac:dyDescent="0.25">
      <c r="A4629" s="2">
        <v>568.24664754236005</v>
      </c>
      <c r="B4629" s="3">
        <v>-0.209494323382512</v>
      </c>
      <c r="C4629" s="3">
        <v>5.1070223941243401E-3</v>
      </c>
      <c r="D4629" s="4">
        <v>1.34928297979812E-2</v>
      </c>
      <c r="E4629" s="3" t="s">
        <v>14932</v>
      </c>
      <c r="F4629" s="3" t="s">
        <v>14933</v>
      </c>
      <c r="G4629" s="3">
        <v>67072</v>
      </c>
      <c r="H4629" s="7" t="str">
        <f>HYPERLINK("http://www.ensembl.org/Mus_musculus/Gene/Summary?db=core;g=ENSMUSG00000024780","ENSMUSG00000024780")</f>
        <v>ENSMUSG00000024780</v>
      </c>
      <c r="I4629" s="7" t="str">
        <f>HYPERLINK("http://www.informatics.jax.org/marker/MGI:1914322","MGI:1914322")</f>
        <v>MGI:1914322</v>
      </c>
      <c r="J4629" s="4" t="s">
        <v>12</v>
      </c>
    </row>
    <row r="4630" spans="1:10" x14ac:dyDescent="0.25">
      <c r="A4630" s="2">
        <v>1230.81608304927</v>
      </c>
      <c r="B4630" s="3">
        <v>-0.209766343075939</v>
      </c>
      <c r="C4630" s="5">
        <v>6.63153920474061E-5</v>
      </c>
      <c r="D4630" s="4">
        <v>2.27908597276899E-4</v>
      </c>
      <c r="E4630" s="3" t="s">
        <v>11487</v>
      </c>
      <c r="F4630" s="3" t="s">
        <v>11488</v>
      </c>
      <c r="G4630" s="3">
        <v>227634</v>
      </c>
      <c r="H4630" s="7" t="str">
        <f>HYPERLINK("http://www.ensembl.org/Mus_musculus/Gene/Summary?db=core;g=ENSMUSG00000026933","ENSMUSG00000026933")</f>
        <v>ENSMUSG00000026933</v>
      </c>
      <c r="I4630" s="7" t="str">
        <f>HYPERLINK("http://www.informatics.jax.org/marker/MGI:3036242","MGI:3036242")</f>
        <v>MGI:3036242</v>
      </c>
      <c r="J4630" s="4" t="s">
        <v>12</v>
      </c>
    </row>
    <row r="4631" spans="1:10" x14ac:dyDescent="0.25">
      <c r="A4631" s="2">
        <v>329.79346835200897</v>
      </c>
      <c r="B4631" s="3">
        <v>-0.20997940226751199</v>
      </c>
      <c r="C4631" s="3">
        <v>7.57455659219453E-3</v>
      </c>
      <c r="D4631" s="4">
        <v>1.9283534210957399E-2</v>
      </c>
      <c r="E4631" s="3" t="s">
        <v>15495</v>
      </c>
      <c r="F4631" s="3" t="s">
        <v>15496</v>
      </c>
      <c r="G4631" s="3">
        <v>330959</v>
      </c>
      <c r="H4631" s="7" t="str">
        <f>HYPERLINK("http://www.ensembl.org/Mus_musculus/Gene/Summary?db=core;g=ENSMUSG00000032398","ENSMUSG00000032398")</f>
        <v>ENSMUSG00000032398</v>
      </c>
      <c r="I4631" s="7" t="str">
        <f>HYPERLINK("http://www.informatics.jax.org/marker/MGI:1914282","MGI:1914282")</f>
        <v>MGI:1914282</v>
      </c>
      <c r="J4631" s="4" t="s">
        <v>12</v>
      </c>
    </row>
    <row r="4632" spans="1:10" x14ac:dyDescent="0.25">
      <c r="A4632" s="2">
        <v>799.17892894043905</v>
      </c>
      <c r="B4632" s="3">
        <v>-0.21005403379069801</v>
      </c>
      <c r="C4632" s="3">
        <v>3.0924937864188901E-3</v>
      </c>
      <c r="D4632" s="4">
        <v>8.4559036977510504E-3</v>
      </c>
      <c r="E4632" s="3" t="s">
        <v>14429</v>
      </c>
      <c r="F4632" s="3" t="s">
        <v>14430</v>
      </c>
      <c r="G4632" s="3">
        <v>20663</v>
      </c>
      <c r="H4632" s="7" t="str">
        <f>HYPERLINK("http://www.ensembl.org/Mus_musculus/Gene/Summary?db=core;g=ENSMUSG00000034801","ENSMUSG00000034801")</f>
        <v>ENSMUSG00000034801</v>
      </c>
      <c r="I4632" s="7" t="str">
        <f>HYPERLINK("http://www.informatics.jax.org/marker/MGI:98355","MGI:98355")</f>
        <v>MGI:98355</v>
      </c>
      <c r="J4632" s="4" t="s">
        <v>12</v>
      </c>
    </row>
    <row r="4633" spans="1:10" x14ac:dyDescent="0.25">
      <c r="A4633" s="2">
        <v>302.99379880639498</v>
      </c>
      <c r="B4633" s="3">
        <v>-0.210407754259576</v>
      </c>
      <c r="C4633" s="3">
        <v>1.8435210074597402E-2</v>
      </c>
      <c r="D4633" s="4">
        <v>4.3356272232684699E-2</v>
      </c>
      <c r="E4633" s="3" t="s">
        <v>16774</v>
      </c>
      <c r="F4633" s="3" t="s">
        <v>16775</v>
      </c>
      <c r="G4633" s="3">
        <v>23885</v>
      </c>
      <c r="H4633" s="7" t="str">
        <f>HYPERLINK("http://www.ensembl.org/Mus_musculus/Gene/Summary?db=core;g=ENSMUSG00000001157","ENSMUSG00000001157")</f>
        <v>ENSMUSG00000001157</v>
      </c>
      <c r="I4633" s="7" t="str">
        <f>HYPERLINK("http://www.informatics.jax.org/marker/MGI:1345156","MGI:1345156")</f>
        <v>MGI:1345156</v>
      </c>
      <c r="J4633" s="4" t="s">
        <v>12</v>
      </c>
    </row>
    <row r="4634" spans="1:10" x14ac:dyDescent="0.25">
      <c r="A4634" s="2">
        <v>8091.3759063793404</v>
      </c>
      <c r="B4634" s="3">
        <v>-0.21058069099096999</v>
      </c>
      <c r="C4634" s="3">
        <v>8.1746617959679302E-3</v>
      </c>
      <c r="D4634" s="4">
        <v>2.0656628730969701E-2</v>
      </c>
      <c r="E4634" s="3" t="s">
        <v>15613</v>
      </c>
      <c r="F4634" s="3" t="s">
        <v>15614</v>
      </c>
      <c r="G4634" s="3">
        <v>20020</v>
      </c>
      <c r="H4634" s="7" t="str">
        <f>HYPERLINK("http://www.ensembl.org/Mus_musculus/Gene/Summary?db=core;g=ENSMUSG00000005198","ENSMUSG00000005198")</f>
        <v>ENSMUSG00000005198</v>
      </c>
      <c r="I4634" s="7" t="str">
        <f>HYPERLINK("http://www.informatics.jax.org/marker/MGI:98086","MGI:98086")</f>
        <v>MGI:98086</v>
      </c>
      <c r="J4634" s="4" t="s">
        <v>12</v>
      </c>
    </row>
    <row r="4635" spans="1:10" x14ac:dyDescent="0.25">
      <c r="A4635" s="2">
        <v>1159.4401601501099</v>
      </c>
      <c r="B4635" s="3">
        <v>-0.21068211430790401</v>
      </c>
      <c r="C4635" s="3">
        <v>2.8049690384240102E-4</v>
      </c>
      <c r="D4635" s="4">
        <v>8.9201724621385903E-4</v>
      </c>
      <c r="E4635" s="3" t="s">
        <v>12414</v>
      </c>
      <c r="F4635" s="3" t="s">
        <v>12415</v>
      </c>
      <c r="G4635" s="3">
        <v>22367</v>
      </c>
      <c r="H4635" s="7" t="str">
        <f>HYPERLINK("http://www.ensembl.org/Mus_musculus/Gene/Summary?db=core;g=ENSMUSG00000021115","ENSMUSG00000021115")</f>
        <v>ENSMUSG00000021115</v>
      </c>
      <c r="I4635" s="7" t="str">
        <f>HYPERLINK("http://www.informatics.jax.org/marker/MGI:1261847","MGI:1261847")</f>
        <v>MGI:1261847</v>
      </c>
      <c r="J4635" s="4" t="s">
        <v>12</v>
      </c>
    </row>
    <row r="4636" spans="1:10" x14ac:dyDescent="0.25">
      <c r="A4636" s="2">
        <v>551.91850530753402</v>
      </c>
      <c r="B4636" s="3">
        <v>-0.21100464233359401</v>
      </c>
      <c r="C4636" s="3">
        <v>2.01536589883202E-3</v>
      </c>
      <c r="D4636" s="4">
        <v>5.6881373300368297E-3</v>
      </c>
      <c r="E4636" s="3" t="s">
        <v>13981</v>
      </c>
      <c r="F4636" s="3" t="s">
        <v>13982</v>
      </c>
      <c r="G4636" s="3">
        <v>11416</v>
      </c>
      <c r="H4636" s="7" t="str">
        <f>HYPERLINK("http://www.ensembl.org/Mus_musculus/Gene/Summary?db=core;g=ENSMUSG00000027822","ENSMUSG00000027822")</f>
        <v>ENSMUSG00000027822</v>
      </c>
      <c r="I4636" s="7" t="str">
        <f>HYPERLINK("http://www.informatics.jax.org/marker/MGI:1332247","MGI:1332247")</f>
        <v>MGI:1332247</v>
      </c>
      <c r="J4636" s="4" t="s">
        <v>12</v>
      </c>
    </row>
    <row r="4637" spans="1:10" x14ac:dyDescent="0.25">
      <c r="A4637" s="2">
        <v>2710.2243188122602</v>
      </c>
      <c r="B4637" s="3">
        <v>-0.211160568691692</v>
      </c>
      <c r="C4637" s="5">
        <v>2.8944503670843699E-5</v>
      </c>
      <c r="D4637" s="4">
        <v>1.0353448438038001E-4</v>
      </c>
      <c r="E4637" s="3" t="s">
        <v>11038</v>
      </c>
      <c r="F4637" s="3" t="s">
        <v>11039</v>
      </c>
      <c r="G4637" s="3">
        <v>15259</v>
      </c>
      <c r="H4637" s="7" t="str">
        <f>HYPERLINK("http://www.ensembl.org/Mus_musculus/Gene/Summary?db=core;g=ENSMUSG00000027177","ENSMUSG00000027177")</f>
        <v>ENSMUSG00000027177</v>
      </c>
      <c r="I4637" s="7" t="str">
        <f>HYPERLINK("http://www.informatics.jax.org/marker/MGI:1314882","MGI:1314882")</f>
        <v>MGI:1314882</v>
      </c>
      <c r="J4637" s="4" t="s">
        <v>12</v>
      </c>
    </row>
    <row r="4638" spans="1:10" x14ac:dyDescent="0.25">
      <c r="A4638" s="2">
        <v>507.73412397813098</v>
      </c>
      <c r="B4638" s="3">
        <v>-0.21141190650515401</v>
      </c>
      <c r="C4638" s="3">
        <v>6.1849524924302499E-3</v>
      </c>
      <c r="D4638" s="4">
        <v>1.6029341983273E-2</v>
      </c>
      <c r="E4638" s="3" t="s">
        <v>15221</v>
      </c>
      <c r="F4638" s="3" t="s">
        <v>15222</v>
      </c>
      <c r="G4638" s="3">
        <v>269198</v>
      </c>
      <c r="H4638" s="7" t="str">
        <f>HYPERLINK("http://www.ensembl.org/Mus_musculus/Gene/Summary?db=core;g=ENSMUSG00000073664","ENSMUSG00000073664")</f>
        <v>ENSMUSG00000073664</v>
      </c>
      <c r="I4638" s="7" t="str">
        <f>HYPERLINK("http://www.informatics.jax.org/marker/MGI:2444343","MGI:2444343")</f>
        <v>MGI:2444343</v>
      </c>
      <c r="J4638" s="4" t="s">
        <v>12</v>
      </c>
    </row>
    <row r="4639" spans="1:10" x14ac:dyDescent="0.25">
      <c r="A4639" s="2">
        <v>1179.16511481925</v>
      </c>
      <c r="B4639" s="3">
        <v>-0.211458375907247</v>
      </c>
      <c r="C4639" s="3">
        <v>3.48724330045018E-3</v>
      </c>
      <c r="D4639" s="4">
        <v>9.4696279103383997E-3</v>
      </c>
      <c r="E4639" s="3" t="s">
        <v>14527</v>
      </c>
      <c r="F4639" s="3" t="s">
        <v>14528</v>
      </c>
      <c r="G4639" s="3">
        <v>108077</v>
      </c>
      <c r="H4639" s="7" t="str">
        <f>HYPERLINK("http://www.ensembl.org/Mus_musculus/Gene/Summary?db=core;g=ENSMUSG00000040356","ENSMUSG00000040356")</f>
        <v>ENSMUSG00000040356</v>
      </c>
      <c r="I4639" s="7" t="str">
        <f>HYPERLINK("http://www.informatics.jax.org/marker/MGI:1099835","MGI:1099835")</f>
        <v>MGI:1099835</v>
      </c>
      <c r="J4639" s="4" t="s">
        <v>12</v>
      </c>
    </row>
    <row r="4640" spans="1:10" x14ac:dyDescent="0.25">
      <c r="A4640" s="2">
        <v>974.36259908652198</v>
      </c>
      <c r="B4640" s="3">
        <v>-0.211655882076319</v>
      </c>
      <c r="C4640" s="3">
        <v>4.6220829265680502E-3</v>
      </c>
      <c r="D4640" s="4">
        <v>1.22923095498209E-2</v>
      </c>
      <c r="E4640" s="3" t="s">
        <v>14834</v>
      </c>
      <c r="F4640" s="3" t="s">
        <v>14835</v>
      </c>
      <c r="G4640" s="3">
        <v>66046</v>
      </c>
      <c r="H4640" s="7" t="str">
        <f>HYPERLINK("http://www.ensembl.org/Mus_musculus/Gene/Summary?db=core;g=ENSMUSG00000027673","ENSMUSG00000027673")</f>
        <v>ENSMUSG00000027673</v>
      </c>
      <c r="I4640" s="7" t="str">
        <f>HYPERLINK("http://www.informatics.jax.org/marker/MGI:1913296","MGI:1913296")</f>
        <v>MGI:1913296</v>
      </c>
      <c r="J4640" s="4" t="s">
        <v>12</v>
      </c>
    </row>
    <row r="4641" spans="1:10" x14ac:dyDescent="0.25">
      <c r="A4641" s="2">
        <v>522.15903880790495</v>
      </c>
      <c r="B4641" s="3">
        <v>-0.21183258955991099</v>
      </c>
      <c r="C4641" s="3">
        <v>1.78180651340832E-2</v>
      </c>
      <c r="D4641" s="4">
        <v>4.20502925375923E-2</v>
      </c>
      <c r="E4641" s="3" t="s">
        <v>16716</v>
      </c>
      <c r="F4641" s="3" t="s">
        <v>16717</v>
      </c>
      <c r="G4641" s="3">
        <v>382236</v>
      </c>
      <c r="H4641" s="7" t="str">
        <f>HYPERLINK("http://www.ensembl.org/Mus_musculus/Gene/Summary?db=core;g=ENSMUSG00000063663","ENSMUSG00000063663")</f>
        <v>ENSMUSG00000063663</v>
      </c>
      <c r="I4641" s="7" t="str">
        <f>HYPERLINK("http://www.informatics.jax.org/marker/MGI:3029414","MGI:3029414")</f>
        <v>MGI:3029414</v>
      </c>
      <c r="J4641" s="4" t="s">
        <v>12</v>
      </c>
    </row>
    <row r="4642" spans="1:10" x14ac:dyDescent="0.25">
      <c r="A4642" s="2">
        <v>1070.61424034774</v>
      </c>
      <c r="B4642" s="3">
        <v>-0.21198942856514999</v>
      </c>
      <c r="C4642" s="3">
        <v>8.8588826124454904E-3</v>
      </c>
      <c r="D4642" s="4">
        <v>2.2271438694215301E-2</v>
      </c>
      <c r="E4642" s="3" t="s">
        <v>15693</v>
      </c>
      <c r="F4642" s="3" t="s">
        <v>15694</v>
      </c>
      <c r="G4642" s="3">
        <v>117146</v>
      </c>
      <c r="H4642" s="7" t="str">
        <f>HYPERLINK("http://www.ensembl.org/Mus_musculus/Gene/Summary?db=core;g=ENSMUSG00000029577","ENSMUSG00000029577")</f>
        <v>ENSMUSG00000029577</v>
      </c>
      <c r="I4642" s="7" t="str">
        <f>HYPERLINK("http://www.informatics.jax.org/marker/MGI:1891295","MGI:1891295")</f>
        <v>MGI:1891295</v>
      </c>
      <c r="J4642" s="4" t="s">
        <v>12</v>
      </c>
    </row>
    <row r="4643" spans="1:10" x14ac:dyDescent="0.25">
      <c r="A4643" s="2">
        <v>275.06257280077301</v>
      </c>
      <c r="B4643" s="3">
        <v>-0.212228448425205</v>
      </c>
      <c r="C4643" s="3">
        <v>1.35487933123687E-2</v>
      </c>
      <c r="D4643" s="4">
        <v>3.2803217203181197E-2</v>
      </c>
      <c r="E4643" s="3" t="s">
        <v>16295</v>
      </c>
      <c r="F4643" s="3" t="s">
        <v>16296</v>
      </c>
      <c r="G4643" s="3">
        <v>223722</v>
      </c>
      <c r="H4643" s="7" t="str">
        <f>HYPERLINK("http://www.ensembl.org/Mus_musculus/Gene/Summary?db=core;g=ENSMUSG00000048755","ENSMUSG00000048755")</f>
        <v>ENSMUSG00000048755</v>
      </c>
      <c r="I4643" s="7" t="str">
        <f>HYPERLINK("http://www.informatics.jax.org/marker/MGI:2388651","MGI:2388651")</f>
        <v>MGI:2388651</v>
      </c>
      <c r="J4643" s="4" t="s">
        <v>12</v>
      </c>
    </row>
    <row r="4644" spans="1:10" x14ac:dyDescent="0.25">
      <c r="A4644" s="2">
        <v>2553.1530566393799</v>
      </c>
      <c r="B4644" s="3">
        <v>-0.21279887021112501</v>
      </c>
      <c r="C4644" s="5">
        <v>7.0763388883225603E-5</v>
      </c>
      <c r="D4644" s="4">
        <v>2.4235047391059499E-4</v>
      </c>
      <c r="E4644" s="3" t="s">
        <v>11527</v>
      </c>
      <c r="F4644" s="3" t="s">
        <v>11528</v>
      </c>
      <c r="G4644" s="3">
        <v>20338</v>
      </c>
      <c r="H4644" s="7" t="str">
        <f>HYPERLINK("http://www.ensembl.org/Mus_musculus/Gene/Summary?db=core;g=ENSMUSG00000020964","ENSMUSG00000020964")</f>
        <v>ENSMUSG00000020964</v>
      </c>
      <c r="I4644" s="7" t="str">
        <f>HYPERLINK("http://www.informatics.jax.org/marker/MGI:1329016","MGI:1329016")</f>
        <v>MGI:1329016</v>
      </c>
      <c r="J4644" s="4" t="s">
        <v>12</v>
      </c>
    </row>
    <row r="4645" spans="1:10" x14ac:dyDescent="0.25">
      <c r="A4645" s="2">
        <v>355.34955911542198</v>
      </c>
      <c r="B4645" s="3">
        <v>-0.21315818576616599</v>
      </c>
      <c r="C4645" s="3">
        <v>2.2652937421258198E-3</v>
      </c>
      <c r="D4645" s="4">
        <v>6.3417933836912403E-3</v>
      </c>
      <c r="E4645" s="3" t="s">
        <v>14095</v>
      </c>
      <c r="F4645" s="3" t="s">
        <v>14096</v>
      </c>
      <c r="G4645" s="3">
        <v>56401</v>
      </c>
      <c r="H4645" s="7" t="str">
        <f>HYPERLINK("http://www.ensembl.org/Mus_musculus/Gene/Summary?db=core;g=ENSMUSG00000028641","ENSMUSG00000028641")</f>
        <v>ENSMUSG00000028641</v>
      </c>
      <c r="I4645" s="7" t="str">
        <f>HYPERLINK("http://www.informatics.jax.org/marker/MGI:1888921","MGI:1888921")</f>
        <v>MGI:1888921</v>
      </c>
      <c r="J4645" s="4" t="s">
        <v>12</v>
      </c>
    </row>
    <row r="4646" spans="1:10" x14ac:dyDescent="0.25">
      <c r="A4646" s="2">
        <v>3043.2800186986601</v>
      </c>
      <c r="B4646" s="3">
        <v>-0.213214054603967</v>
      </c>
      <c r="C4646" s="3">
        <v>1.6746793363132601E-4</v>
      </c>
      <c r="D4646" s="4">
        <v>5.4830942241569896E-4</v>
      </c>
      <c r="E4646" s="3" t="s">
        <v>12057</v>
      </c>
      <c r="F4646" s="3" t="s">
        <v>12058</v>
      </c>
      <c r="G4646" s="3">
        <v>24061</v>
      </c>
      <c r="H4646" s="7" t="str">
        <f>HYPERLINK("http://www.ensembl.org/Mus_musculus/Gene/Summary?db=core;g=ENSMUSG00000041133","ENSMUSG00000041133")</f>
        <v>ENSMUSG00000041133</v>
      </c>
      <c r="I4646" s="7" t="str">
        <f>HYPERLINK("http://www.informatics.jax.org/marker/MGI:1344345","MGI:1344345")</f>
        <v>MGI:1344345</v>
      </c>
      <c r="J4646" s="4" t="s">
        <v>12</v>
      </c>
    </row>
    <row r="4647" spans="1:10" x14ac:dyDescent="0.25">
      <c r="A4647" s="2">
        <v>1044.6384085594</v>
      </c>
      <c r="B4647" s="3">
        <v>-0.21354302099605599</v>
      </c>
      <c r="C4647" s="3">
        <v>3.0961377283404501E-3</v>
      </c>
      <c r="D4647" s="4">
        <v>8.4646937477989292E-3</v>
      </c>
      <c r="E4647" s="3" t="s">
        <v>14431</v>
      </c>
      <c r="F4647" s="3" t="s">
        <v>14432</v>
      </c>
      <c r="G4647" s="3">
        <v>107566</v>
      </c>
      <c r="H4647" s="7" t="str">
        <f>HYPERLINK("http://www.ensembl.org/Mus_musculus/Gene/Summary?db=core;g=ENSMUSG00000031776","ENSMUSG00000031776")</f>
        <v>ENSMUSG00000031776</v>
      </c>
      <c r="I4647" s="7" t="str">
        <f>HYPERLINK("http://www.informatics.jax.org/marker/MGI:1349429","MGI:1349429")</f>
        <v>MGI:1349429</v>
      </c>
      <c r="J4647" s="4" t="s">
        <v>12</v>
      </c>
    </row>
    <row r="4648" spans="1:10" x14ac:dyDescent="0.25">
      <c r="A4648" s="2">
        <v>291.78172035665</v>
      </c>
      <c r="B4648" s="3">
        <v>-0.213619716812222</v>
      </c>
      <c r="C4648" s="3">
        <v>2.0048036784450399E-2</v>
      </c>
      <c r="D4648" s="4">
        <v>4.6775589847297898E-2</v>
      </c>
      <c r="E4648" s="3" t="s">
        <v>16906</v>
      </c>
      <c r="F4648" s="3" t="s">
        <v>16907</v>
      </c>
      <c r="G4648" s="3">
        <v>69155</v>
      </c>
      <c r="H4648" s="7" t="str">
        <f>HYPERLINK("http://www.ensembl.org/Mus_musculus/Gene/Summary?db=core;g=ENSMUSG00000044148","ENSMUSG00000044148")</f>
        <v>ENSMUSG00000044148</v>
      </c>
      <c r="I4648" s="7" t="str">
        <f>HYPERLINK("http://www.informatics.jax.org/marker/MGI:1916405","MGI:1916405")</f>
        <v>MGI:1916405</v>
      </c>
      <c r="J4648" s="4" t="s">
        <v>12</v>
      </c>
    </row>
    <row r="4649" spans="1:10" x14ac:dyDescent="0.25">
      <c r="A4649" s="2">
        <v>1658.3871080492199</v>
      </c>
      <c r="B4649" s="3">
        <v>-0.213706114562347</v>
      </c>
      <c r="C4649" s="5">
        <v>4.7602520563519397E-5</v>
      </c>
      <c r="D4649" s="4">
        <v>1.6611603353611801E-4</v>
      </c>
      <c r="E4649" s="3" t="s">
        <v>11313</v>
      </c>
      <c r="F4649" s="3" t="s">
        <v>11314</v>
      </c>
      <c r="G4649" s="3">
        <v>108857</v>
      </c>
      <c r="H4649" s="7" t="str">
        <f>HYPERLINK("http://www.ensembl.org/Mus_musculus/Gene/Summary?db=core;g=ENSMUSG00000024483","ENSMUSG00000024483")</f>
        <v>ENSMUSG00000024483</v>
      </c>
      <c r="I4649" s="7" t="str">
        <f>HYPERLINK("http://www.informatics.jax.org/marker/MGI:1921733","MGI:1921733")</f>
        <v>MGI:1921733</v>
      </c>
      <c r="J4649" s="4" t="s">
        <v>12</v>
      </c>
    </row>
    <row r="4650" spans="1:10" x14ac:dyDescent="0.25">
      <c r="A4650" s="2">
        <v>808.26136658998098</v>
      </c>
      <c r="B4650" s="3">
        <v>-0.213836427215121</v>
      </c>
      <c r="C4650" s="3">
        <v>2.9233851230902301E-4</v>
      </c>
      <c r="D4650" s="4">
        <v>9.2802888968672502E-4</v>
      </c>
      <c r="E4650" s="3" t="s">
        <v>12437</v>
      </c>
      <c r="F4650" s="3" t="s">
        <v>12438</v>
      </c>
      <c r="G4650" s="3">
        <v>66185</v>
      </c>
      <c r="H4650" s="7" t="str">
        <f>HYPERLINK("http://www.ensembl.org/Mus_musculus/Gene/Summary?db=core;g=ENSMUSG00000040720","ENSMUSG00000040720")</f>
        <v>ENSMUSG00000040720</v>
      </c>
      <c r="I4650" s="7" t="str">
        <f>HYPERLINK("http://www.informatics.jax.org/marker/MGI:1913435","MGI:1913435")</f>
        <v>MGI:1913435</v>
      </c>
      <c r="J4650" s="4" t="s">
        <v>12</v>
      </c>
    </row>
    <row r="4651" spans="1:10" x14ac:dyDescent="0.25">
      <c r="A4651" s="2">
        <v>951.07282959645602</v>
      </c>
      <c r="B4651" s="3">
        <v>-0.21391074766899501</v>
      </c>
      <c r="C4651" s="3">
        <v>2.11645628591031E-4</v>
      </c>
      <c r="D4651" s="4">
        <v>6.8499126798213098E-4</v>
      </c>
      <c r="E4651" s="3" t="s">
        <v>12197</v>
      </c>
      <c r="F4651" s="3" t="s">
        <v>12198</v>
      </c>
      <c r="G4651" s="3">
        <v>116733</v>
      </c>
      <c r="H4651" s="7" t="str">
        <f>HYPERLINK("http://www.ensembl.org/Mus_musculus/Gene/Summary?db=core;g=ENSMUSG00000031913","ENSMUSG00000031913")</f>
        <v>ENSMUSG00000031913</v>
      </c>
      <c r="I4651" s="7" t="str">
        <f>HYPERLINK("http://www.informatics.jax.org/marker/MGI:1890520","MGI:1890520")</f>
        <v>MGI:1890520</v>
      </c>
      <c r="J4651" s="4" t="s">
        <v>12</v>
      </c>
    </row>
    <row r="4652" spans="1:10" x14ac:dyDescent="0.25">
      <c r="A4652" s="2">
        <v>852.04181949771396</v>
      </c>
      <c r="B4652" s="3">
        <v>-0.213948494097985</v>
      </c>
      <c r="C4652" s="3">
        <v>2.8400545062131299E-4</v>
      </c>
      <c r="D4652" s="4">
        <v>9.0302926253664798E-4</v>
      </c>
      <c r="E4652" s="3" t="s">
        <v>12416</v>
      </c>
      <c r="F4652" s="3" t="s">
        <v>12417</v>
      </c>
      <c r="G4652" s="3">
        <v>69773</v>
      </c>
      <c r="H4652" s="7" t="str">
        <f>HYPERLINK("http://www.ensembl.org/Mus_musculus/Gene/Summary?db=core;g=ENSMUSG00000048429","ENSMUSG00000048429")</f>
        <v>ENSMUSG00000048429</v>
      </c>
      <c r="I4652" s="7" t="str">
        <f>HYPERLINK("http://www.informatics.jax.org/marker/MGI:1917023","MGI:1917023")</f>
        <v>MGI:1917023</v>
      </c>
      <c r="J4652" s="4" t="s">
        <v>12</v>
      </c>
    </row>
    <row r="4653" spans="1:10" x14ac:dyDescent="0.25">
      <c r="A4653" s="2">
        <v>1374.8917717660499</v>
      </c>
      <c r="B4653" s="3">
        <v>-0.213974655978835</v>
      </c>
      <c r="C4653" s="3">
        <v>2.5039784280232399E-4</v>
      </c>
      <c r="D4653" s="4">
        <v>8.0277116892567605E-4</v>
      </c>
      <c r="E4653" s="3" t="s">
        <v>12313</v>
      </c>
      <c r="F4653" s="3" t="s">
        <v>12314</v>
      </c>
      <c r="G4653" s="3">
        <v>56398</v>
      </c>
      <c r="H4653" s="7" t="str">
        <f>HYPERLINK("http://www.ensembl.org/Mus_musculus/Gene/Summary?db=core;g=ENSMUSG00000014077","ENSMUSG00000014077")</f>
        <v>ENSMUSG00000014077</v>
      </c>
      <c r="I4653" s="7" t="str">
        <f>HYPERLINK("http://www.informatics.jax.org/marker/MGI:1927185","MGI:1927185")</f>
        <v>MGI:1927185</v>
      </c>
      <c r="J4653" s="4" t="s">
        <v>12</v>
      </c>
    </row>
    <row r="4654" spans="1:10" x14ac:dyDescent="0.25">
      <c r="A4654" s="2">
        <v>1142.11173866739</v>
      </c>
      <c r="B4654" s="3">
        <v>-0.21406830253685299</v>
      </c>
      <c r="C4654" s="3">
        <v>2.6794210643260201E-4</v>
      </c>
      <c r="D4654" s="4">
        <v>8.5498678622183001E-4</v>
      </c>
      <c r="E4654" s="3" t="s">
        <v>12372</v>
      </c>
      <c r="F4654" s="3" t="s">
        <v>12373</v>
      </c>
      <c r="G4654" s="3">
        <v>66505</v>
      </c>
      <c r="H4654" s="7" t="str">
        <f>HYPERLINK("http://www.ensembl.org/Mus_musculus/Gene/Summary?db=core;g=ENSMUSG00000021156","ENSMUSG00000021156")</f>
        <v>ENSMUSG00000021156</v>
      </c>
      <c r="I4654" s="7" t="str">
        <f>HYPERLINK("http://www.informatics.jax.org/marker/MGI:1913755","MGI:1913755")</f>
        <v>MGI:1913755</v>
      </c>
      <c r="J4654" s="4" t="s">
        <v>12</v>
      </c>
    </row>
    <row r="4655" spans="1:10" x14ac:dyDescent="0.25">
      <c r="A4655" s="2">
        <v>677.46585497646004</v>
      </c>
      <c r="B4655" s="3">
        <v>-0.21436852360238201</v>
      </c>
      <c r="C4655" s="3">
        <v>2.89320429018196E-3</v>
      </c>
      <c r="D4655" s="4">
        <v>7.9484520203940093E-3</v>
      </c>
      <c r="E4655" s="3" t="s">
        <v>14361</v>
      </c>
      <c r="F4655" s="3" t="s">
        <v>14362</v>
      </c>
      <c r="G4655" s="3">
        <v>18515</v>
      </c>
      <c r="H4655" s="7" t="str">
        <f>HYPERLINK("http://www.ensembl.org/Mus_musculus/Gene/Summary?db=core;g=ENSMUSG00000034673","ENSMUSG00000034673")</f>
        <v>ENSMUSG00000034673</v>
      </c>
      <c r="I4655" s="7" t="str">
        <f>HYPERLINK("http://www.informatics.jax.org/marker/MGI:1341793","MGI:1341793")</f>
        <v>MGI:1341793</v>
      </c>
      <c r="J4655" s="4" t="s">
        <v>12</v>
      </c>
    </row>
    <row r="4656" spans="1:10" x14ac:dyDescent="0.25">
      <c r="A4656" s="2">
        <v>506.97096335954097</v>
      </c>
      <c r="B4656" s="3">
        <v>-0.214659470037978</v>
      </c>
      <c r="C4656" s="3">
        <v>2.0249011935045198E-2</v>
      </c>
      <c r="D4656" s="4">
        <v>4.7183092917297803E-2</v>
      </c>
      <c r="E4656" s="3" t="s">
        <v>16930</v>
      </c>
      <c r="F4656" s="3" t="s">
        <v>16931</v>
      </c>
      <c r="G4656" s="3">
        <v>66126</v>
      </c>
      <c r="H4656" s="7" t="str">
        <f>HYPERLINK("http://www.ensembl.org/Mus_musculus/Gene/Summary?db=core;g=ENSMUSG00000013822","ENSMUSG00000013822")</f>
        <v>ENSMUSG00000013822</v>
      </c>
      <c r="I4656" s="7" t="str">
        <f>HYPERLINK("http://www.informatics.jax.org/marker/MGI:1913376","MGI:1913376")</f>
        <v>MGI:1913376</v>
      </c>
      <c r="J4656" s="4" t="s">
        <v>12</v>
      </c>
    </row>
    <row r="4657" spans="1:10" x14ac:dyDescent="0.25">
      <c r="A4657" s="2">
        <v>5731.2446228805502</v>
      </c>
      <c r="B4657" s="3">
        <v>-0.214805266447675</v>
      </c>
      <c r="C4657" s="3">
        <v>2.5610023197787798E-4</v>
      </c>
      <c r="D4657" s="4">
        <v>8.2025281380603595E-4</v>
      </c>
      <c r="E4657" s="3" t="s">
        <v>12325</v>
      </c>
      <c r="F4657" s="3" t="s">
        <v>12326</v>
      </c>
      <c r="G4657" s="3">
        <v>20501</v>
      </c>
      <c r="H4657" s="7" t="str">
        <f>HYPERLINK("http://www.ensembl.org/Mus_musculus/Gene/Summary?db=core;g=ENSMUSG00000032902","ENSMUSG00000032902")</f>
        <v>ENSMUSG00000032902</v>
      </c>
      <c r="I4657" s="7" t="str">
        <f>HYPERLINK("http://www.informatics.jax.org/marker/MGI:106013","MGI:106013")</f>
        <v>MGI:106013</v>
      </c>
      <c r="J4657" s="4" t="s">
        <v>12</v>
      </c>
    </row>
    <row r="4658" spans="1:10" x14ac:dyDescent="0.25">
      <c r="A4658" s="2">
        <v>289.24698122425201</v>
      </c>
      <c r="B4658" s="3">
        <v>-0.21504192455340301</v>
      </c>
      <c r="C4658" s="3">
        <v>6.1683254456040004E-3</v>
      </c>
      <c r="D4658" s="4">
        <v>1.5990453238768399E-2</v>
      </c>
      <c r="E4658" s="3" t="s">
        <v>15219</v>
      </c>
      <c r="F4658" s="3" t="s">
        <v>15220</v>
      </c>
      <c r="G4658" s="3">
        <v>56515</v>
      </c>
      <c r="H4658" s="7" t="str">
        <f>HYPERLINK("http://www.ensembl.org/Mus_musculus/Gene/Summary?db=core;g=ENSMUSG00000024317","ENSMUSG00000024317")</f>
        <v>ENSMUSG00000024317</v>
      </c>
      <c r="I4658" s="7" t="str">
        <f>HYPERLINK("http://www.informatics.jax.org/marker/MGI:1929211","MGI:1929211")</f>
        <v>MGI:1929211</v>
      </c>
      <c r="J4658" s="4" t="s">
        <v>12</v>
      </c>
    </row>
    <row r="4659" spans="1:10" x14ac:dyDescent="0.25">
      <c r="A4659" s="2">
        <v>856.49361138538302</v>
      </c>
      <c r="B4659" s="3">
        <v>-0.215096330416086</v>
      </c>
      <c r="C4659" s="5">
        <v>4.6870930374762403E-5</v>
      </c>
      <c r="D4659" s="4">
        <v>1.63707890008912E-4</v>
      </c>
      <c r="E4659" s="3" t="s">
        <v>11303</v>
      </c>
      <c r="F4659" s="3" t="s">
        <v>11304</v>
      </c>
      <c r="G4659" s="3">
        <v>102122</v>
      </c>
      <c r="H4659" s="7" t="str">
        <f>HYPERLINK("http://www.ensembl.org/Mus_musculus/Gene/Summary?db=core;g=ENSMUSG00000031774","ENSMUSG00000031774")</f>
        <v>ENSMUSG00000031774</v>
      </c>
      <c r="I4659" s="7" t="str">
        <f>HYPERLINK("http://www.informatics.jax.org/marker/MGI:1919637","MGI:1919637")</f>
        <v>MGI:1919637</v>
      </c>
      <c r="J4659" s="4" t="s">
        <v>12</v>
      </c>
    </row>
    <row r="4660" spans="1:10" x14ac:dyDescent="0.25">
      <c r="A4660" s="2">
        <v>921.919300048786</v>
      </c>
      <c r="B4660" s="3">
        <v>-0.21521964853862099</v>
      </c>
      <c r="C4660" s="3">
        <v>6.5410650159432203E-3</v>
      </c>
      <c r="D4660" s="4">
        <v>1.6874647058398799E-2</v>
      </c>
      <c r="E4660" s="3" t="s">
        <v>15293</v>
      </c>
      <c r="F4660" s="3" t="s">
        <v>15294</v>
      </c>
      <c r="G4660" s="3">
        <v>276846</v>
      </c>
      <c r="H4660" s="7" t="str">
        <f>HYPERLINK("http://www.ensembl.org/Mus_musculus/Gene/Summary?db=core;g=ENSMUSG00000041958","ENSMUSG00000041958")</f>
        <v>ENSMUSG00000041958</v>
      </c>
      <c r="I4660" s="7" t="str">
        <f>HYPERLINK("http://www.informatics.jax.org/marker/MGI:2687325","MGI:2687325")</f>
        <v>MGI:2687325</v>
      </c>
      <c r="J4660" s="4" t="s">
        <v>12</v>
      </c>
    </row>
    <row r="4661" spans="1:10" x14ac:dyDescent="0.25">
      <c r="A4661" s="2">
        <v>263.63640085070199</v>
      </c>
      <c r="B4661" s="3">
        <v>-0.215263965605998</v>
      </c>
      <c r="C4661" s="3">
        <v>1.49019061173621E-2</v>
      </c>
      <c r="D4661" s="4">
        <v>3.5763123845001799E-2</v>
      </c>
      <c r="E4661" s="3" t="s">
        <v>16439</v>
      </c>
      <c r="F4661" s="3" t="s">
        <v>16440</v>
      </c>
      <c r="G4661" s="3">
        <v>77041</v>
      </c>
      <c r="H4661" s="7" t="str">
        <f>HYPERLINK("http://www.ensembl.org/Mus_musculus/Gene/Summary?db=core;g=ENSMUSG00000021592","ENSMUSG00000021592")</f>
        <v>ENSMUSG00000021592</v>
      </c>
      <c r="I4661" s="7" t="str">
        <f>HYPERLINK("http://www.informatics.jax.org/marker/MGI:1924291","MGI:1924291")</f>
        <v>MGI:1924291</v>
      </c>
      <c r="J4661" s="4" t="s">
        <v>12</v>
      </c>
    </row>
    <row r="4662" spans="1:10" x14ac:dyDescent="0.25">
      <c r="A4662" s="2">
        <v>542.421030848756</v>
      </c>
      <c r="B4662" s="3">
        <v>-0.21532708601650799</v>
      </c>
      <c r="C4662" s="3">
        <v>1.7650180060758999E-3</v>
      </c>
      <c r="D4662" s="4">
        <v>5.0261595783128799E-3</v>
      </c>
      <c r="E4662" s="3" t="s">
        <v>13857</v>
      </c>
      <c r="F4662" s="3" t="s">
        <v>13858</v>
      </c>
      <c r="G4662" s="3">
        <v>66350</v>
      </c>
      <c r="H4662" s="7" t="str">
        <f>HYPERLINK("http://www.ensembl.org/Mus_musculus/Gene/Summary?db=core;g=ENSMUSG00000027999","ENSMUSG00000027999")</f>
        <v>ENSMUSG00000027999</v>
      </c>
      <c r="I4662" s="7" t="str">
        <f>HYPERLINK("http://www.informatics.jax.org/marker/MGI:1913600","MGI:1913600")</f>
        <v>MGI:1913600</v>
      </c>
      <c r="J4662" s="4" t="s">
        <v>12</v>
      </c>
    </row>
    <row r="4663" spans="1:10" x14ac:dyDescent="0.25">
      <c r="A4663" s="2">
        <v>497.51568080613998</v>
      </c>
      <c r="B4663" s="3">
        <v>-0.21550897276362199</v>
      </c>
      <c r="C4663" s="3">
        <v>8.9750973335860195E-3</v>
      </c>
      <c r="D4663" s="4">
        <v>2.25262720400046E-2</v>
      </c>
      <c r="E4663" s="3" t="s">
        <v>15719</v>
      </c>
      <c r="F4663" s="3" t="s">
        <v>15720</v>
      </c>
      <c r="G4663" s="3">
        <v>56419</v>
      </c>
      <c r="H4663" s="7" t="str">
        <f>HYPERLINK("http://www.ensembl.org/Mus_musculus/Gene/Summary?db=core;g=ENSMUSG00000022021","ENSMUSG00000022021")</f>
        <v>ENSMUSG00000022021</v>
      </c>
      <c r="I4663" s="7" t="str">
        <f>HYPERLINK("http://www.informatics.jax.org/marker/MGI:1927222","MGI:1927222")</f>
        <v>MGI:1927222</v>
      </c>
      <c r="J4663" s="4" t="s">
        <v>12</v>
      </c>
    </row>
    <row r="4664" spans="1:10" x14ac:dyDescent="0.25">
      <c r="A4664" s="2">
        <v>568.42954143639702</v>
      </c>
      <c r="B4664" s="3">
        <v>-0.21556200178881699</v>
      </c>
      <c r="C4664" s="3">
        <v>1.09086335737686E-3</v>
      </c>
      <c r="D4664" s="4">
        <v>3.19926017362756E-3</v>
      </c>
      <c r="E4664" s="3" t="s">
        <v>13457</v>
      </c>
      <c r="F4664" s="3" t="s">
        <v>13458</v>
      </c>
      <c r="G4664" s="3">
        <v>72502</v>
      </c>
      <c r="H4664" s="7" t="str">
        <f>HYPERLINK("http://www.ensembl.org/Mus_musculus/Gene/Summary?db=core;g=ENSMUSG00000025200","ENSMUSG00000025200")</f>
        <v>ENSMUSG00000025200</v>
      </c>
      <c r="I4664" s="7" t="str">
        <f>HYPERLINK("http://www.informatics.jax.org/marker/MGI:1919752","MGI:1919752")</f>
        <v>MGI:1919752</v>
      </c>
      <c r="J4664" s="4" t="s">
        <v>12</v>
      </c>
    </row>
    <row r="4665" spans="1:10" x14ac:dyDescent="0.25">
      <c r="A4665" s="2">
        <v>668.68837423273806</v>
      </c>
      <c r="B4665" s="3">
        <v>-0.215586536210502</v>
      </c>
      <c r="C4665" s="3">
        <v>1.00469096691133E-3</v>
      </c>
      <c r="D4665" s="4">
        <v>2.95974094226045E-3</v>
      </c>
      <c r="E4665" s="3" t="s">
        <v>13397</v>
      </c>
      <c r="F4665" s="3" t="s">
        <v>13398</v>
      </c>
      <c r="G4665" s="3">
        <v>218693</v>
      </c>
      <c r="H4665" s="7" t="str">
        <f>HYPERLINK("http://www.ensembl.org/Mus_musculus/Gene/Summary?db=core;g=ENSMUSG00000025451","ENSMUSG00000025451")</f>
        <v>ENSMUSG00000025451</v>
      </c>
      <c r="I4665" s="7" t="str">
        <f>HYPERLINK("http://www.informatics.jax.org/marker/MGI:2384993","MGI:2384993")</f>
        <v>MGI:2384993</v>
      </c>
      <c r="J4665" s="4" t="s">
        <v>12</v>
      </c>
    </row>
    <row r="4666" spans="1:10" x14ac:dyDescent="0.25">
      <c r="A4666" s="2">
        <v>2236.0377760307101</v>
      </c>
      <c r="B4666" s="3">
        <v>-0.21558999093455999</v>
      </c>
      <c r="C4666" s="5">
        <v>5.9938905316561999E-5</v>
      </c>
      <c r="D4666" s="4">
        <v>2.07113231617768E-4</v>
      </c>
      <c r="E4666" s="3" t="s">
        <v>11425</v>
      </c>
      <c r="F4666" s="3" t="s">
        <v>11426</v>
      </c>
      <c r="G4666" s="3">
        <v>72674</v>
      </c>
      <c r="H4666" s="7" t="str">
        <f>HYPERLINK("http://www.ensembl.org/Mus_musculus/Gene/Summary?db=core;g=ENSMUSG00000026457","ENSMUSG00000026457")</f>
        <v>ENSMUSG00000026457</v>
      </c>
      <c r="I4666" s="7" t="str">
        <f>HYPERLINK("http://www.informatics.jax.org/marker/MGI:1919924","MGI:1919924")</f>
        <v>MGI:1919924</v>
      </c>
      <c r="J4666" s="4" t="s">
        <v>12</v>
      </c>
    </row>
    <row r="4667" spans="1:10" x14ac:dyDescent="0.25">
      <c r="A4667" s="2">
        <v>221.13698065731799</v>
      </c>
      <c r="B4667" s="3">
        <v>-0.215593114626461</v>
      </c>
      <c r="C4667" s="3">
        <v>6.0673144324991397E-3</v>
      </c>
      <c r="D4667" s="4">
        <v>1.5761749520337601E-2</v>
      </c>
      <c r="E4667" s="3" t="s">
        <v>15187</v>
      </c>
      <c r="F4667" s="3" t="s">
        <v>15188</v>
      </c>
      <c r="G4667" s="3">
        <v>109785</v>
      </c>
      <c r="H4667" s="7" t="str">
        <f>HYPERLINK("http://www.ensembl.org/Mus_musculus/Gene/Summary?db=core;g=ENSMUSG00000056131","ENSMUSG00000056131")</f>
        <v>ENSMUSG00000056131</v>
      </c>
      <c r="I4667" s="7" t="str">
        <f>HYPERLINK("http://www.informatics.jax.org/marker/MGI:97566","MGI:97566")</f>
        <v>MGI:97566</v>
      </c>
      <c r="J4667" s="4" t="s">
        <v>12</v>
      </c>
    </row>
    <row r="4668" spans="1:10" x14ac:dyDescent="0.25">
      <c r="A4668" s="2">
        <v>849.879935302729</v>
      </c>
      <c r="B4668" s="3">
        <v>-0.215833645300401</v>
      </c>
      <c r="C4668" s="3">
        <v>4.8630811954198798E-4</v>
      </c>
      <c r="D4668" s="4">
        <v>1.50007760321727E-3</v>
      </c>
      <c r="E4668" s="3" t="s">
        <v>12795</v>
      </c>
      <c r="F4668" s="3" t="s">
        <v>12796</v>
      </c>
      <c r="G4668" s="3">
        <v>71735</v>
      </c>
      <c r="H4668" s="7" t="str">
        <f>HYPERLINK("http://www.ensembl.org/Mus_musculus/Gene/Summary?db=core;g=ENSMUSG00000029703","ENSMUSG00000029703")</f>
        <v>ENSMUSG00000029703</v>
      </c>
      <c r="I4668" s="7" t="str">
        <f>HYPERLINK("http://www.informatics.jax.org/marker/MGI:1918985","MGI:1918985")</f>
        <v>MGI:1918985</v>
      </c>
      <c r="J4668" s="4" t="s">
        <v>12</v>
      </c>
    </row>
    <row r="4669" spans="1:10" x14ac:dyDescent="0.25">
      <c r="A4669" s="2">
        <v>796.91041671353605</v>
      </c>
      <c r="B4669" s="3">
        <v>-0.215875398632564</v>
      </c>
      <c r="C4669" s="3">
        <v>1.5559098707471201E-3</v>
      </c>
      <c r="D4669" s="4">
        <v>4.4648480806794098E-3</v>
      </c>
      <c r="E4669" s="3" t="s">
        <v>13751</v>
      </c>
      <c r="F4669" s="3" t="s">
        <v>13752</v>
      </c>
      <c r="G4669" s="3">
        <v>74648</v>
      </c>
      <c r="H4669" s="7" t="str">
        <f>HYPERLINK("http://www.ensembl.org/Mus_musculus/Gene/Summary?db=core;g=ENSMUSG00000040928","ENSMUSG00000040928")</f>
        <v>ENSMUSG00000040928</v>
      </c>
      <c r="I4669" s="7" t="str">
        <f>HYPERLINK("http://www.informatics.jax.org/marker/MGI:1921898","MGI:1921898")</f>
        <v>MGI:1921898</v>
      </c>
      <c r="J4669" s="4" t="s">
        <v>12</v>
      </c>
    </row>
    <row r="4670" spans="1:10" x14ac:dyDescent="0.25">
      <c r="A4670" s="2">
        <v>1648.54217213321</v>
      </c>
      <c r="B4670" s="3">
        <v>-0.215901819013533</v>
      </c>
      <c r="C4670" s="3">
        <v>3.5394093382882602E-4</v>
      </c>
      <c r="D4670" s="4">
        <v>1.11177368829316E-3</v>
      </c>
      <c r="E4670" s="3" t="s">
        <v>12569</v>
      </c>
      <c r="F4670" s="3" t="s">
        <v>12570</v>
      </c>
      <c r="G4670" s="3">
        <v>53890</v>
      </c>
      <c r="H4670" s="7" t="str">
        <f>HYPERLINK("http://www.ensembl.org/Mus_musculus/Gene/Summary?db=core;g=ENSMUSG00000018974","ENSMUSG00000018974")</f>
        <v>ENSMUSG00000018974</v>
      </c>
      <c r="I4670" s="7" t="str">
        <f>HYPERLINK("http://www.informatics.jax.org/marker/MGI:1858230","MGI:1858230")</f>
        <v>MGI:1858230</v>
      </c>
      <c r="J4670" s="4" t="s">
        <v>12</v>
      </c>
    </row>
    <row r="4671" spans="1:10" x14ac:dyDescent="0.25">
      <c r="A4671" s="2">
        <v>752.22624021932904</v>
      </c>
      <c r="B4671" s="3">
        <v>-0.21597461374088101</v>
      </c>
      <c r="C4671" s="3">
        <v>3.4158687341361E-4</v>
      </c>
      <c r="D4671" s="4">
        <v>1.07485130743839E-3</v>
      </c>
      <c r="E4671" s="3" t="s">
        <v>12547</v>
      </c>
      <c r="F4671" s="3" t="s">
        <v>12548</v>
      </c>
      <c r="G4671" s="3">
        <v>27399</v>
      </c>
      <c r="H4671" s="7" t="str">
        <f>HYPERLINK("http://www.ensembl.org/Mus_musculus/Gene/Summary?db=core;g=ENSMUSG00000032594","ENSMUSG00000032594")</f>
        <v>ENSMUSG00000032594</v>
      </c>
      <c r="I4671" s="7" t="str">
        <f>HYPERLINK("http://www.informatics.jax.org/marker/MGI:1351633","MGI:1351633")</f>
        <v>MGI:1351633</v>
      </c>
      <c r="J4671" s="4" t="s">
        <v>12</v>
      </c>
    </row>
    <row r="4672" spans="1:10" x14ac:dyDescent="0.25">
      <c r="A4672" s="2">
        <v>1014.56291817664</v>
      </c>
      <c r="B4672" s="3">
        <v>-0.21611576083162101</v>
      </c>
      <c r="C4672" s="3">
        <v>5.2707896824811E-3</v>
      </c>
      <c r="D4672" s="4">
        <v>1.3884580889464E-2</v>
      </c>
      <c r="E4672" s="3" t="s">
        <v>14976</v>
      </c>
      <c r="F4672" s="3" t="s">
        <v>14977</v>
      </c>
      <c r="G4672" s="3">
        <v>22289</v>
      </c>
      <c r="H4672" s="7" t="str">
        <f>HYPERLINK("http://www.ensembl.org/Mus_musculus/Gene/Summary?db=core;g=ENSMUSG00000037369","ENSMUSG00000037369")</f>
        <v>ENSMUSG00000037369</v>
      </c>
      <c r="I4672" s="7" t="str">
        <f>HYPERLINK("http://www.informatics.jax.org/marker/MGI:1095419","MGI:1095419")</f>
        <v>MGI:1095419</v>
      </c>
      <c r="J4672" s="4" t="s">
        <v>12</v>
      </c>
    </row>
    <row r="4673" spans="1:10" x14ac:dyDescent="0.25">
      <c r="A4673" s="2">
        <v>1737.5430038423201</v>
      </c>
      <c r="B4673" s="3">
        <v>-0.216343001292846</v>
      </c>
      <c r="C4673" s="3">
        <v>1.9996559820299499E-3</v>
      </c>
      <c r="D4673" s="4">
        <v>5.6470307841372898E-3</v>
      </c>
      <c r="E4673" s="3" t="s">
        <v>13973</v>
      </c>
      <c r="F4673" s="3" t="s">
        <v>13974</v>
      </c>
      <c r="G4673" s="3">
        <v>12168</v>
      </c>
      <c r="H4673" s="7" t="str">
        <f>HYPERLINK("http://www.ensembl.org/Mus_musculus/Gene/Summary?db=core;g=ENSMUSG00000067336","ENSMUSG00000067336")</f>
        <v>ENSMUSG00000067336</v>
      </c>
      <c r="I4673" s="7" t="str">
        <f>HYPERLINK("http://www.informatics.jax.org/marker/MGI:1095407","MGI:1095407")</f>
        <v>MGI:1095407</v>
      </c>
      <c r="J4673" s="4" t="s">
        <v>12</v>
      </c>
    </row>
    <row r="4674" spans="1:10" x14ac:dyDescent="0.25">
      <c r="A4674" s="2">
        <v>319.73279238586701</v>
      </c>
      <c r="B4674" s="3">
        <v>-0.21638958001748901</v>
      </c>
      <c r="C4674" s="3">
        <v>6.19494993361495E-3</v>
      </c>
      <c r="D4674" s="4">
        <v>1.6053142272127102E-2</v>
      </c>
      <c r="E4674" s="3" t="s">
        <v>15225</v>
      </c>
      <c r="F4674" s="3" t="s">
        <v>15226</v>
      </c>
      <c r="G4674" s="3">
        <v>12476</v>
      </c>
      <c r="H4674" s="7" t="str">
        <f>HYPERLINK("http://www.ensembl.org/Mus_musculus/Gene/Summary?db=core;g=ENSMUSG00000025510","ENSMUSG00000025510")</f>
        <v>ENSMUSG00000025510</v>
      </c>
      <c r="I4674" s="7" t="str">
        <f>HYPERLINK("http://www.informatics.jax.org/marker/MGI:1096360","MGI:1096360")</f>
        <v>MGI:1096360</v>
      </c>
      <c r="J4674" s="4" t="s">
        <v>12</v>
      </c>
    </row>
    <row r="4675" spans="1:10" x14ac:dyDescent="0.25">
      <c r="A4675" s="2">
        <v>1382.97621922744</v>
      </c>
      <c r="B4675" s="3">
        <v>-0.21646027004983101</v>
      </c>
      <c r="C4675" s="5">
        <v>7.8198609168191095E-5</v>
      </c>
      <c r="D4675" s="4">
        <v>2.66841421144961E-4</v>
      </c>
      <c r="E4675" s="3" t="s">
        <v>11569</v>
      </c>
      <c r="F4675" s="3" t="s">
        <v>11570</v>
      </c>
      <c r="G4675" s="3">
        <v>68092</v>
      </c>
      <c r="H4675" s="7" t="str">
        <f>HYPERLINK("http://www.ensembl.org/Mus_musculus/Gene/Summary?db=core;g=ENSMUSG00000022774","ENSMUSG00000022774")</f>
        <v>ENSMUSG00000022774</v>
      </c>
      <c r="I4675" s="7" t="str">
        <f>HYPERLINK("http://www.informatics.jax.org/marker/MGI:1915342","MGI:1915342")</f>
        <v>MGI:1915342</v>
      </c>
      <c r="J4675" s="4" t="s">
        <v>12</v>
      </c>
    </row>
    <row r="4676" spans="1:10" x14ac:dyDescent="0.25">
      <c r="A4676" s="2">
        <v>589.43156375885803</v>
      </c>
      <c r="B4676" s="3">
        <v>-0.216605758447801</v>
      </c>
      <c r="C4676" s="3">
        <v>6.9206470172396598E-4</v>
      </c>
      <c r="D4676" s="4">
        <v>2.0867761342502401E-3</v>
      </c>
      <c r="E4676" s="3" t="s">
        <v>13089</v>
      </c>
      <c r="F4676" s="3" t="s">
        <v>13090</v>
      </c>
      <c r="G4676" s="3">
        <v>17765</v>
      </c>
      <c r="H4676" s="7" t="str">
        <f>HYPERLINK("http://www.ensembl.org/Mus_musculus/Gene/Summary?db=core;g=ENSMUSG00000029267","ENSMUSG00000029267")</f>
        <v>ENSMUSG00000029267</v>
      </c>
      <c r="I4676" s="7" t="str">
        <f>HYPERLINK("http://www.informatics.jax.org/marker/MGI:105050","MGI:105050")</f>
        <v>MGI:105050</v>
      </c>
      <c r="J4676" s="4" t="s">
        <v>12</v>
      </c>
    </row>
    <row r="4677" spans="1:10" x14ac:dyDescent="0.25">
      <c r="A4677" s="2">
        <v>6196.4665360233603</v>
      </c>
      <c r="B4677" s="3">
        <v>-0.21687525707135699</v>
      </c>
      <c r="C4677" s="3">
        <v>1.0332146221299E-2</v>
      </c>
      <c r="D4677" s="4">
        <v>2.5645050155319701E-2</v>
      </c>
      <c r="E4677" s="3" t="s">
        <v>15895</v>
      </c>
      <c r="F4677" s="3" t="s">
        <v>15896</v>
      </c>
      <c r="G4677" s="3">
        <v>16889</v>
      </c>
      <c r="H4677" s="7" t="str">
        <f>HYPERLINK("http://www.ensembl.org/Mus_musculus/Gene/Summary?db=core;g=ENSMUSG00000024781","ENSMUSG00000024781")</f>
        <v>ENSMUSG00000024781</v>
      </c>
      <c r="I4677" s="7" t="str">
        <f>HYPERLINK("http://www.informatics.jax.org/marker/MGI:96789","MGI:96789")</f>
        <v>MGI:96789</v>
      </c>
      <c r="J4677" s="4" t="s">
        <v>12</v>
      </c>
    </row>
    <row r="4678" spans="1:10" x14ac:dyDescent="0.25">
      <c r="A4678" s="2">
        <v>1745.5722115569599</v>
      </c>
      <c r="B4678" s="3">
        <v>-0.21699479096921101</v>
      </c>
      <c r="C4678" s="3">
        <v>1.53397710435501E-3</v>
      </c>
      <c r="D4678" s="4">
        <v>4.4070554338404297E-3</v>
      </c>
      <c r="E4678" s="3" t="s">
        <v>13737</v>
      </c>
      <c r="F4678" s="3" t="s">
        <v>13738</v>
      </c>
      <c r="G4678" s="3">
        <v>64540</v>
      </c>
      <c r="H4678" s="7" t="str">
        <f>HYPERLINK("http://www.ensembl.org/Mus_musculus/Gene/Summary?db=core;g=ENSMUSG00000025511","ENSMUSG00000025511")</f>
        <v>ENSMUSG00000025511</v>
      </c>
      <c r="I4678" s="7" t="str">
        <f>HYPERLINK("http://www.informatics.jax.org/marker/MGI:1928097","MGI:1928097")</f>
        <v>MGI:1928097</v>
      </c>
      <c r="J4678" s="4" t="s">
        <v>12</v>
      </c>
    </row>
    <row r="4679" spans="1:10" x14ac:dyDescent="0.25">
      <c r="A4679" s="2">
        <v>1016.19865772131</v>
      </c>
      <c r="B4679" s="3">
        <v>-0.21709758906670801</v>
      </c>
      <c r="C4679" s="5">
        <v>9.1133232228018296E-6</v>
      </c>
      <c r="D4679" s="6">
        <v>3.4277080670160599E-5</v>
      </c>
      <c r="E4679" s="3" t="s">
        <v>10500</v>
      </c>
      <c r="F4679" s="3" t="s">
        <v>10501</v>
      </c>
      <c r="G4679" s="3">
        <v>67439</v>
      </c>
      <c r="H4679" s="7" t="str">
        <f>HYPERLINK("http://www.ensembl.org/Mus_musculus/Gene/Summary?db=core;g=ENSMUSG00000019470","ENSMUSG00000019470")</f>
        <v>ENSMUSG00000019470</v>
      </c>
      <c r="I4679" s="7" t="str">
        <f>HYPERLINK("http://www.informatics.jax.org/marker/MGI:1914689","MGI:1914689")</f>
        <v>MGI:1914689</v>
      </c>
      <c r="J4679" s="4" t="s">
        <v>12</v>
      </c>
    </row>
    <row r="4680" spans="1:10" x14ac:dyDescent="0.25">
      <c r="A4680" s="2">
        <v>1228.0778561725001</v>
      </c>
      <c r="B4680" s="3">
        <v>-0.217296633221264</v>
      </c>
      <c r="C4680" s="3">
        <v>8.0529121363760096E-4</v>
      </c>
      <c r="D4680" s="4">
        <v>2.4072067201657498E-3</v>
      </c>
      <c r="E4680" s="3" t="s">
        <v>13203</v>
      </c>
      <c r="F4680" s="3" t="s">
        <v>13204</v>
      </c>
      <c r="G4680" s="3">
        <v>67903</v>
      </c>
      <c r="H4680" s="7" t="str">
        <f>HYPERLINK("http://www.ensembl.org/Mus_musculus/Gene/Summary?db=core;g=ENSMUSG00000019433","ENSMUSG00000019433")</f>
        <v>ENSMUSG00000019433</v>
      </c>
      <c r="I4680" s="7" t="str">
        <f>HYPERLINK("http://www.informatics.jax.org/marker/MGI:1926252","MGI:1926252")</f>
        <v>MGI:1926252</v>
      </c>
      <c r="J4680" s="4" t="s">
        <v>12</v>
      </c>
    </row>
    <row r="4681" spans="1:10" x14ac:dyDescent="0.25">
      <c r="A4681" s="2">
        <v>747.76388545001498</v>
      </c>
      <c r="B4681" s="3">
        <v>-0.217316355406555</v>
      </c>
      <c r="C4681" s="3">
        <v>2.0752460512571999E-2</v>
      </c>
      <c r="D4681" s="4">
        <v>4.8242192774716398E-2</v>
      </c>
      <c r="E4681" s="3" t="s">
        <v>16970</v>
      </c>
      <c r="F4681" s="3" t="s">
        <v>16971</v>
      </c>
      <c r="G4681" s="3">
        <v>83409</v>
      </c>
      <c r="H4681" s="7" t="str">
        <f>HYPERLINK("http://www.ensembl.org/Mus_musculus/Gene/Summary?db=core;g=ENSMUSG00000028062","ENSMUSG00000028062")</f>
        <v>ENSMUSG00000028062</v>
      </c>
      <c r="I4681" s="7" t="str">
        <f>HYPERLINK("http://www.informatics.jax.org/marker/MGI:1932697","MGI:1932697")</f>
        <v>MGI:1932697</v>
      </c>
      <c r="J4681" s="4" t="s">
        <v>12</v>
      </c>
    </row>
    <row r="4682" spans="1:10" x14ac:dyDescent="0.25">
      <c r="A4682" s="2">
        <v>1261.00541054272</v>
      </c>
      <c r="B4682" s="3">
        <v>-0.217723354127141</v>
      </c>
      <c r="C4682" s="5">
        <v>2.7055978975912401E-5</v>
      </c>
      <c r="D4682" s="6">
        <v>9.7096252121017795E-5</v>
      </c>
      <c r="E4682" s="3" t="s">
        <v>11002</v>
      </c>
      <c r="F4682" s="3" t="s">
        <v>11003</v>
      </c>
      <c r="G4682" s="3">
        <v>67074</v>
      </c>
      <c r="H4682" s="7" t="str">
        <f>HYPERLINK("http://www.ensembl.org/Mus_musculus/Gene/Summary?db=core;g=ENSMUSG00000034602","ENSMUSG00000034602")</f>
        <v>ENSMUSG00000034602</v>
      </c>
      <c r="I4682" s="7" t="str">
        <f>HYPERLINK("http://www.informatics.jax.org/marker/MGI:1914324","MGI:1914324")</f>
        <v>MGI:1914324</v>
      </c>
      <c r="J4682" s="4" t="s">
        <v>12</v>
      </c>
    </row>
    <row r="4683" spans="1:10" x14ac:dyDescent="0.25">
      <c r="A4683" s="2">
        <v>519.89727683493095</v>
      </c>
      <c r="B4683" s="3">
        <v>-0.217823361236685</v>
      </c>
      <c r="C4683" s="3">
        <v>2.58661027516678E-3</v>
      </c>
      <c r="D4683" s="4">
        <v>7.1731056990984301E-3</v>
      </c>
      <c r="E4683" s="3" t="s">
        <v>14229</v>
      </c>
      <c r="F4683" s="3" t="s">
        <v>14230</v>
      </c>
      <c r="G4683" s="3">
        <v>21750</v>
      </c>
      <c r="H4683" s="7" t="str">
        <f>HYPERLINK("http://www.ensembl.org/Mus_musculus/Gene/Summary?db=core;g=ENSMUSG00000031921","ENSMUSG00000031921")</f>
        <v>ENSMUSG00000031921</v>
      </c>
      <c r="I4683" s="7" t="str">
        <f>HYPERLINK("http://www.informatics.jax.org/marker/MGI:1195972","MGI:1195972")</f>
        <v>MGI:1195972</v>
      </c>
      <c r="J4683" s="4" t="s">
        <v>12</v>
      </c>
    </row>
    <row r="4684" spans="1:10" x14ac:dyDescent="0.25">
      <c r="A4684" s="2">
        <v>1304.43107898686</v>
      </c>
      <c r="B4684" s="3">
        <v>-0.21793964539038299</v>
      </c>
      <c r="C4684" s="3">
        <v>1.4532858805856001E-4</v>
      </c>
      <c r="D4684" s="4">
        <v>4.7996646399511102E-4</v>
      </c>
      <c r="E4684" s="3" t="s">
        <v>11953</v>
      </c>
      <c r="F4684" s="3" t="s">
        <v>11954</v>
      </c>
      <c r="G4684" s="3">
        <v>105675</v>
      </c>
      <c r="H4684" s="7" t="str">
        <f>HYPERLINK("http://www.ensembl.org/Mus_musculus/Gene/Summary?db=core;g=ENSMUSG00000021868","ENSMUSG00000021868")</f>
        <v>ENSMUSG00000021868</v>
      </c>
      <c r="I4684" s="7" t="str">
        <f>HYPERLINK("http://www.informatics.jax.org/marker/MGI:2145814","MGI:2145814")</f>
        <v>MGI:2145814</v>
      </c>
      <c r="J4684" s="4" t="s">
        <v>12</v>
      </c>
    </row>
    <row r="4685" spans="1:10" x14ac:dyDescent="0.25">
      <c r="A4685" s="2">
        <v>1547.10655146573</v>
      </c>
      <c r="B4685" s="3">
        <v>-0.21841274846506001</v>
      </c>
      <c r="C4685" s="5">
        <v>6.4759821818799097E-7</v>
      </c>
      <c r="D4685" s="6">
        <v>2.7346117478944702E-6</v>
      </c>
      <c r="E4685" s="3" t="s">
        <v>9355</v>
      </c>
      <c r="F4685" s="3" t="s">
        <v>9356</v>
      </c>
      <c r="G4685" s="3">
        <v>11772</v>
      </c>
      <c r="H4685" s="7" t="str">
        <f>HYPERLINK("http://www.ensembl.org/Mus_musculus/Gene/Summary?db=core;g=ENSMUSG00000002957","ENSMUSG00000002957")</f>
        <v>ENSMUSG00000002957</v>
      </c>
      <c r="I4685" s="7" t="str">
        <f>HYPERLINK("http://www.informatics.jax.org/marker/MGI:101920","MGI:101920")</f>
        <v>MGI:101920</v>
      </c>
      <c r="J4685" s="4" t="s">
        <v>12</v>
      </c>
    </row>
    <row r="4686" spans="1:10" x14ac:dyDescent="0.25">
      <c r="A4686" s="2">
        <v>2005.9706601493799</v>
      </c>
      <c r="B4686" s="3">
        <v>-0.218514123945488</v>
      </c>
      <c r="C4686" s="3">
        <v>7.86750171978195E-3</v>
      </c>
      <c r="D4686" s="4">
        <v>1.99669138216295E-2</v>
      </c>
      <c r="E4686" s="3" t="s">
        <v>15547</v>
      </c>
      <c r="F4686" s="3" t="s">
        <v>15548</v>
      </c>
      <c r="G4686" s="3">
        <v>56531</v>
      </c>
      <c r="H4686" s="7" t="str">
        <f>HYPERLINK("http://www.ensembl.org/Mus_musculus/Gene/Summary?db=core;g=ENSMUSG00000021244","ENSMUSG00000021244")</f>
        <v>ENSMUSG00000021244</v>
      </c>
      <c r="I4686" s="7" t="str">
        <f>HYPERLINK("http://www.informatics.jax.org/marker/MGI:1926195","MGI:1926195")</f>
        <v>MGI:1926195</v>
      </c>
      <c r="J4686" s="4" t="s">
        <v>12</v>
      </c>
    </row>
    <row r="4687" spans="1:10" x14ac:dyDescent="0.25">
      <c r="A4687" s="2">
        <v>758.27965371931998</v>
      </c>
      <c r="B4687" s="3">
        <v>-0.218764035639159</v>
      </c>
      <c r="C4687" s="3">
        <v>9.7770139848623195E-3</v>
      </c>
      <c r="D4687" s="4">
        <v>2.4386885375851899E-2</v>
      </c>
      <c r="E4687" s="3" t="s">
        <v>15817</v>
      </c>
      <c r="F4687" s="3" t="s">
        <v>15818</v>
      </c>
      <c r="G4687" s="3">
        <v>192976</v>
      </c>
      <c r="H4687" s="7" t="str">
        <f>HYPERLINK("http://www.ensembl.org/Mus_musculus/Gene/Summary?db=core;g=ENSMUSG00000046417","ENSMUSG00000046417")</f>
        <v>ENSMUSG00000046417</v>
      </c>
      <c r="I4687" s="7" t="str">
        <f>HYPERLINK("http://www.informatics.jax.org/marker/MGI:2682293","MGI:2682293")</f>
        <v>MGI:2682293</v>
      </c>
      <c r="J4687" s="4" t="s">
        <v>12</v>
      </c>
    </row>
    <row r="4688" spans="1:10" x14ac:dyDescent="0.25">
      <c r="A4688" s="2">
        <v>1046.8064482965699</v>
      </c>
      <c r="B4688" s="3">
        <v>-0.21893357349157699</v>
      </c>
      <c r="C4688" s="3">
        <v>2.1539333161273499E-2</v>
      </c>
      <c r="D4688" s="4">
        <v>4.9941875360413002E-2</v>
      </c>
      <c r="E4688" s="3" t="s">
        <v>17014</v>
      </c>
      <c r="F4688" s="3" t="s">
        <v>17015</v>
      </c>
      <c r="G4688" s="3">
        <v>66171</v>
      </c>
      <c r="H4688" s="7" t="str">
        <f>HYPERLINK("http://www.ensembl.org/Mus_musculus/Gene/Summary?db=core;g=ENSMUSG00000031807","ENSMUSG00000031807")</f>
        <v>ENSMUSG00000031807</v>
      </c>
      <c r="I4688" s="7" t="str">
        <f>HYPERLINK("http://www.informatics.jax.org/marker/MGI:1913421","MGI:1913421")</f>
        <v>MGI:1913421</v>
      </c>
      <c r="J4688" s="4" t="s">
        <v>12</v>
      </c>
    </row>
    <row r="4689" spans="1:10" x14ac:dyDescent="0.25">
      <c r="A4689" s="2">
        <v>661.74452914243602</v>
      </c>
      <c r="B4689" s="3">
        <v>-0.21900065780748901</v>
      </c>
      <c r="C4689" s="3">
        <v>3.1739228923245398E-3</v>
      </c>
      <c r="D4689" s="4">
        <v>8.6701426010028903E-3</v>
      </c>
      <c r="E4689" s="3" t="s">
        <v>14441</v>
      </c>
      <c r="F4689" s="3" t="s">
        <v>14442</v>
      </c>
      <c r="G4689" s="3">
        <v>28064</v>
      </c>
      <c r="H4689" s="7" t="str">
        <f>HYPERLINK("http://www.ensembl.org/Mus_musculus/Gene/Summary?db=core;g=ENSMUSG00000071074","ENSMUSG00000071074")</f>
        <v>ENSMUSG00000071074</v>
      </c>
      <c r="I4689" s="7" t="str">
        <f>HYPERLINK("http://www.informatics.jax.org/marker/MGI:106280","MGI:106280")</f>
        <v>MGI:106280</v>
      </c>
      <c r="J4689" s="4" t="s">
        <v>12</v>
      </c>
    </row>
    <row r="4690" spans="1:10" x14ac:dyDescent="0.25">
      <c r="A4690" s="2">
        <v>1059.73733567763</v>
      </c>
      <c r="B4690" s="3">
        <v>-0.21935906422806001</v>
      </c>
      <c r="C4690" s="3">
        <v>3.6365146698867699E-4</v>
      </c>
      <c r="D4690" s="4">
        <v>1.1400964910996401E-3</v>
      </c>
      <c r="E4690" s="3" t="s">
        <v>12593</v>
      </c>
      <c r="F4690" s="3" t="s">
        <v>12594</v>
      </c>
      <c r="G4690" s="3">
        <v>104799</v>
      </c>
      <c r="H4690" s="7" t="str">
        <f>HYPERLINK("http://www.ensembl.org/Mus_musculus/Gene/Summary?db=core;g=ENSMUSG00000021038","ENSMUSG00000021038")</f>
        <v>ENSMUSG00000021038</v>
      </c>
      <c r="I4690" s="7" t="str">
        <f>HYPERLINK("http://www.informatics.jax.org/marker/MGI:2144805","MGI:2144805")</f>
        <v>MGI:2144805</v>
      </c>
      <c r="J4690" s="4" t="s">
        <v>12</v>
      </c>
    </row>
    <row r="4691" spans="1:10" x14ac:dyDescent="0.25">
      <c r="A4691" s="2">
        <v>2632.86774819423</v>
      </c>
      <c r="B4691" s="3">
        <v>-0.21974432709785399</v>
      </c>
      <c r="C4691" s="5">
        <v>1.14535613513056E-10</v>
      </c>
      <c r="D4691" s="6">
        <v>6.6372092226784296E-10</v>
      </c>
      <c r="E4691" s="3" t="s">
        <v>6824</v>
      </c>
      <c r="F4691" s="3" t="s">
        <v>6825</v>
      </c>
      <c r="G4691" s="3">
        <v>432486</v>
      </c>
      <c r="H4691" s="7" t="str">
        <f>HYPERLINK("http://www.ensembl.org/Mus_musculus/Gene/Summary?db=core;g=ENSMUSG00000035311","ENSMUSG00000035311")</f>
        <v>ENSMUSG00000035311</v>
      </c>
      <c r="I4691" s="7" t="str">
        <f>HYPERLINK("http://www.informatics.jax.org/marker/MGI:3643902","MGI:3643902")</f>
        <v>MGI:3643902</v>
      </c>
      <c r="J4691" s="4" t="s">
        <v>12</v>
      </c>
    </row>
    <row r="4692" spans="1:10" x14ac:dyDescent="0.25">
      <c r="A4692" s="2">
        <v>356.38825535832098</v>
      </c>
      <c r="B4692" s="3">
        <v>-0.220019569174181</v>
      </c>
      <c r="C4692" s="3">
        <v>9.6959132937249597E-4</v>
      </c>
      <c r="D4692" s="4">
        <v>2.8631837399259699E-3</v>
      </c>
      <c r="E4692" s="3" t="s">
        <v>13365</v>
      </c>
      <c r="F4692" s="3" t="s">
        <v>13366</v>
      </c>
      <c r="G4692" s="3">
        <v>69046</v>
      </c>
      <c r="H4692" s="7" t="str">
        <f>HYPERLINK("http://www.ensembl.org/Mus_musculus/Gene/Summary?db=core;g=ENSMUSG00000044792","ENSMUSG00000044792")</f>
        <v>ENSMUSG00000044792</v>
      </c>
      <c r="I4692" s="7" t="str">
        <f>HYPERLINK("http://www.informatics.jax.org/marker/MGI:1916296","MGI:1916296")</f>
        <v>MGI:1916296</v>
      </c>
      <c r="J4692" s="4" t="s">
        <v>12</v>
      </c>
    </row>
    <row r="4693" spans="1:10" x14ac:dyDescent="0.25">
      <c r="A4693" s="2">
        <v>2791.5890636049899</v>
      </c>
      <c r="B4693" s="3">
        <v>-0.22005322282224099</v>
      </c>
      <c r="C4693" s="3">
        <v>2.0272546098430998E-2</v>
      </c>
      <c r="D4693" s="4">
        <v>4.7226770119439897E-2</v>
      </c>
      <c r="E4693" s="3" t="s">
        <v>16934</v>
      </c>
      <c r="F4693" s="3" t="s">
        <v>16935</v>
      </c>
      <c r="G4693" s="3">
        <v>56454</v>
      </c>
      <c r="H4693" s="7" t="str">
        <f>HYPERLINK("http://www.ensembl.org/Mus_musculus/Gene/Summary?db=core;g=ENSMUSG00000025007","ENSMUSG00000025007")</f>
        <v>ENSMUSG00000025007</v>
      </c>
      <c r="I4693" s="7" t="str">
        <f>HYPERLINK("http://www.informatics.jax.org/marker/MGI:1888908","MGI:1888908")</f>
        <v>MGI:1888908</v>
      </c>
      <c r="J4693" s="4" t="s">
        <v>12</v>
      </c>
    </row>
    <row r="4694" spans="1:10" x14ac:dyDescent="0.25">
      <c r="A4694" s="2">
        <v>1030.83057352848</v>
      </c>
      <c r="B4694" s="3">
        <v>-0.22029401796919201</v>
      </c>
      <c r="C4694" s="3">
        <v>6.1120089073270201E-4</v>
      </c>
      <c r="D4694" s="4">
        <v>1.8594386864006301E-3</v>
      </c>
      <c r="E4694" s="3" t="s">
        <v>12973</v>
      </c>
      <c r="F4694" s="3" t="s">
        <v>12974</v>
      </c>
      <c r="G4694" s="3">
        <v>70312</v>
      </c>
      <c r="H4694" s="7" t="str">
        <f>HYPERLINK("http://www.ensembl.org/Mus_musculus/Gene/Summary?db=core;g=ENSMUSG00000034889","ENSMUSG00000034889")</f>
        <v>ENSMUSG00000034889</v>
      </c>
      <c r="I4694" s="7" t="str">
        <f>HYPERLINK("http://www.informatics.jax.org/marker/MGI:1917562","MGI:1917562")</f>
        <v>MGI:1917562</v>
      </c>
      <c r="J4694" s="4" t="s">
        <v>12</v>
      </c>
    </row>
    <row r="4695" spans="1:10" x14ac:dyDescent="0.25">
      <c r="A4695" s="2">
        <v>276.75965635075698</v>
      </c>
      <c r="B4695" s="3">
        <v>-0.220751335839004</v>
      </c>
      <c r="C4695" s="3">
        <v>1.3139191095927901E-2</v>
      </c>
      <c r="D4695" s="4">
        <v>3.1889827496824397E-2</v>
      </c>
      <c r="E4695" s="3" t="s">
        <v>16255</v>
      </c>
      <c r="F4695" s="3" t="s">
        <v>16256</v>
      </c>
      <c r="G4695" s="3">
        <v>195018</v>
      </c>
      <c r="H4695" s="7" t="str">
        <f>HYPERLINK("http://www.ensembl.org/Mus_musculus/Gene/Summary?db=core;g=ENSMUSG00000055670","ENSMUSG00000055670")</f>
        <v>ENSMUSG00000055670</v>
      </c>
      <c r="I4695" s="7" t="str">
        <f>HYPERLINK("http://www.informatics.jax.org/marker/MGI:2444286","MGI:2444286")</f>
        <v>MGI:2444286</v>
      </c>
      <c r="J4695" s="4" t="s">
        <v>12</v>
      </c>
    </row>
    <row r="4696" spans="1:10" x14ac:dyDescent="0.25">
      <c r="A4696" s="2">
        <v>575.88292765895596</v>
      </c>
      <c r="B4696" s="3">
        <v>-0.22086070456811599</v>
      </c>
      <c r="C4696" s="3">
        <v>1.6742248797560399E-3</v>
      </c>
      <c r="D4696" s="4">
        <v>4.7848861780853897E-3</v>
      </c>
      <c r="E4696" s="3" t="s">
        <v>13807</v>
      </c>
      <c r="F4696" s="3" t="s">
        <v>13808</v>
      </c>
      <c r="G4696" s="3">
        <v>21812</v>
      </c>
      <c r="H4696" s="7" t="str">
        <f>HYPERLINK("http://www.ensembl.org/Mus_musculus/Gene/Summary?db=core;g=ENSMUSG00000007613","ENSMUSG00000007613")</f>
        <v>ENSMUSG00000007613</v>
      </c>
      <c r="I4696" s="7" t="str">
        <f>HYPERLINK("http://www.informatics.jax.org/marker/MGI:98728","MGI:98728")</f>
        <v>MGI:98728</v>
      </c>
      <c r="J4696" s="4" t="s">
        <v>12</v>
      </c>
    </row>
    <row r="4697" spans="1:10" x14ac:dyDescent="0.25">
      <c r="A4697" s="2">
        <v>572.17367040072702</v>
      </c>
      <c r="B4697" s="3">
        <v>-0.220975828762416</v>
      </c>
      <c r="C4697" s="3">
        <v>4.3869806860892302E-4</v>
      </c>
      <c r="D4697" s="4">
        <v>1.35938496432558E-3</v>
      </c>
      <c r="E4697" s="3" t="s">
        <v>12739</v>
      </c>
      <c r="F4697" s="3" t="s">
        <v>12740</v>
      </c>
      <c r="G4697" s="3">
        <v>224805</v>
      </c>
      <c r="H4697" s="7" t="str">
        <f>HYPERLINK("http://www.ensembl.org/Mus_musculus/Gene/Summary?db=core;g=ENSMUSG00000023938","ENSMUSG00000023938")</f>
        <v>ENSMUSG00000023938</v>
      </c>
      <c r="I4697" s="7" t="str">
        <f>HYPERLINK("http://www.informatics.jax.org/marker/MGI:2681839","MGI:2681839")</f>
        <v>MGI:2681839</v>
      </c>
      <c r="J4697" s="4" t="s">
        <v>12</v>
      </c>
    </row>
    <row r="4698" spans="1:10" x14ac:dyDescent="0.25">
      <c r="A4698" s="2">
        <v>968.317660286879</v>
      </c>
      <c r="B4698" s="3">
        <v>-0.22106707106651699</v>
      </c>
      <c r="C4698" s="3">
        <v>1.26787151814647E-3</v>
      </c>
      <c r="D4698" s="4">
        <v>3.6893059374130698E-3</v>
      </c>
      <c r="E4698" s="3" t="s">
        <v>13563</v>
      </c>
      <c r="F4698" s="3" t="s">
        <v>13564</v>
      </c>
      <c r="G4698" s="3">
        <v>68944</v>
      </c>
      <c r="H4698" s="7" t="str">
        <f>HYPERLINK("http://www.ensembl.org/Mus_musculus/Gene/Summary?db=core;g=ENSMUSG00000052428","ENSMUSG00000052428")</f>
        <v>ENSMUSG00000052428</v>
      </c>
      <c r="I4698" s="7" t="str">
        <f>HYPERLINK("http://www.informatics.jax.org/marker/MGI:1921173","MGI:1921173")</f>
        <v>MGI:1921173</v>
      </c>
      <c r="J4698" s="4" t="s">
        <v>12</v>
      </c>
    </row>
    <row r="4699" spans="1:10" x14ac:dyDescent="0.25">
      <c r="A4699" s="2">
        <v>280.47945705202102</v>
      </c>
      <c r="B4699" s="3">
        <v>-0.22106884421391201</v>
      </c>
      <c r="C4699" s="3">
        <v>1.4245971378131E-2</v>
      </c>
      <c r="D4699" s="4">
        <v>3.4351987720315898E-2</v>
      </c>
      <c r="E4699" s="3" t="s">
        <v>16361</v>
      </c>
      <c r="F4699" s="3" t="s">
        <v>16362</v>
      </c>
      <c r="G4699" s="3">
        <v>207704</v>
      </c>
      <c r="H4699" s="7" t="str">
        <f>HYPERLINK("http://www.ensembl.org/Mus_musculus/Gene/Summary?db=core;g=ENSMUSG00000040464","ENSMUSG00000040464")</f>
        <v>ENSMUSG00000040464</v>
      </c>
      <c r="I4699" s="7" t="str">
        <f>HYPERLINK("http://www.informatics.jax.org/marker/MGI:2385599","MGI:2385599")</f>
        <v>MGI:2385599</v>
      </c>
      <c r="J4699" s="4" t="s">
        <v>12</v>
      </c>
    </row>
    <row r="4700" spans="1:10" x14ac:dyDescent="0.25">
      <c r="A4700" s="2">
        <v>1595.2022664629401</v>
      </c>
      <c r="B4700" s="3">
        <v>-0.22118262143098</v>
      </c>
      <c r="C4700" s="5">
        <v>1.1158031881715599E-5</v>
      </c>
      <c r="D4700" s="6">
        <v>4.1602644868109499E-5</v>
      </c>
      <c r="E4700" s="3" t="s">
        <v>10591</v>
      </c>
      <c r="F4700" s="3" t="s">
        <v>10592</v>
      </c>
      <c r="G4700" s="3">
        <v>94067</v>
      </c>
      <c r="H4700" s="7" t="str">
        <f>HYPERLINK("http://www.ensembl.org/Mus_musculus/Gene/Summary?db=core;g=ENSMUSG00000025208","ENSMUSG00000025208")</f>
        <v>ENSMUSG00000025208</v>
      </c>
      <c r="I4700" s="7" t="str">
        <f>HYPERLINK("http://www.informatics.jax.org/marker/MGI:2137229","MGI:2137229")</f>
        <v>MGI:2137229</v>
      </c>
      <c r="J4700" s="4" t="s">
        <v>12</v>
      </c>
    </row>
    <row r="4701" spans="1:10" x14ac:dyDescent="0.25">
      <c r="A4701" s="2">
        <v>456.80434611657398</v>
      </c>
      <c r="B4701" s="3">
        <v>-0.221337852059942</v>
      </c>
      <c r="C4701" s="3">
        <v>7.9494547895457204E-3</v>
      </c>
      <c r="D4701" s="4">
        <v>2.0149517795609501E-2</v>
      </c>
      <c r="E4701" s="3" t="s">
        <v>15565</v>
      </c>
      <c r="F4701" s="3" t="s">
        <v>15566</v>
      </c>
      <c r="G4701" s="3">
        <v>11841</v>
      </c>
      <c r="H4701" s="7" t="str">
        <f>HYPERLINK("http://www.ensembl.org/Mus_musculus/Gene/Summary?db=core;g=ENSMUSG00000062421","ENSMUSG00000062421")</f>
        <v>ENSMUSG00000062421</v>
      </c>
      <c r="I4701" s="7" t="str">
        <f>HYPERLINK("http://www.informatics.jax.org/marker/MGI:99595","MGI:99595")</f>
        <v>MGI:99595</v>
      </c>
      <c r="J4701" s="4" t="s">
        <v>12</v>
      </c>
    </row>
    <row r="4702" spans="1:10" x14ac:dyDescent="0.25">
      <c r="A4702" s="2">
        <v>636.696786059381</v>
      </c>
      <c r="B4702" s="3">
        <v>-0.22167052100996501</v>
      </c>
      <c r="C4702" s="3">
        <v>2.5253167974286701E-3</v>
      </c>
      <c r="D4702" s="4">
        <v>7.01793224990042E-3</v>
      </c>
      <c r="E4702" s="3" t="s">
        <v>14199</v>
      </c>
      <c r="F4702" s="3" t="s">
        <v>14200</v>
      </c>
      <c r="G4702" s="3">
        <v>407821</v>
      </c>
      <c r="H4702" s="7" t="str">
        <f>HYPERLINK("http://www.ensembl.org/Mus_musculus/Gene/Summary?db=core;g=ENSMUSG00000041961","ENSMUSG00000041961")</f>
        <v>ENSMUSG00000041961</v>
      </c>
      <c r="I4702" s="7" t="str">
        <f>HYPERLINK("http://www.informatics.jax.org/marker/MGI:3039616","MGI:3039616")</f>
        <v>MGI:3039616</v>
      </c>
      <c r="J4702" s="4" t="s">
        <v>12</v>
      </c>
    </row>
    <row r="4703" spans="1:10" x14ac:dyDescent="0.25">
      <c r="A4703" s="2">
        <v>2130.7524932342399</v>
      </c>
      <c r="B4703" s="3">
        <v>-0.22167399621196199</v>
      </c>
      <c r="C4703" s="3">
        <v>3.6925454876623998E-4</v>
      </c>
      <c r="D4703" s="4">
        <v>1.15619239467613E-3</v>
      </c>
      <c r="E4703" s="3" t="s">
        <v>12609</v>
      </c>
      <c r="F4703" s="3" t="s">
        <v>12610</v>
      </c>
      <c r="G4703" s="3">
        <v>18717</v>
      </c>
      <c r="H4703" s="7" t="str">
        <f>HYPERLINK("http://www.ensembl.org/Mus_musculus/Gene/Summary?db=core;g=ENSMUSG00000034902","ENSMUSG00000034902")</f>
        <v>ENSMUSG00000034902</v>
      </c>
      <c r="I4703" s="7" t="str">
        <f>HYPERLINK("http://www.informatics.jax.org/marker/MGI:1298224","MGI:1298224")</f>
        <v>MGI:1298224</v>
      </c>
      <c r="J4703" s="4" t="s">
        <v>12</v>
      </c>
    </row>
    <row r="4704" spans="1:10" x14ac:dyDescent="0.25">
      <c r="A4704" s="2">
        <v>2147.8313966268302</v>
      </c>
      <c r="B4704" s="3">
        <v>-0.22218358064045399</v>
      </c>
      <c r="C4704" s="5">
        <v>8.2020081147614294E-5</v>
      </c>
      <c r="D4704" s="4">
        <v>2.7901259276021302E-4</v>
      </c>
      <c r="E4704" s="3" t="s">
        <v>11605</v>
      </c>
      <c r="F4704" s="3" t="s">
        <v>11606</v>
      </c>
      <c r="G4704" s="3">
        <v>105722</v>
      </c>
      <c r="H4704" s="7" t="str">
        <f>HYPERLINK("http://www.ensembl.org/Mus_musculus/Gene/Summary?db=core;g=ENSMUSG00000064210","ENSMUSG00000064210")</f>
        <v>ENSMUSG00000064210</v>
      </c>
      <c r="I4704" s="7" t="str">
        <f>HYPERLINK("http://www.informatics.jax.org/marker/MGI:2145890","MGI:2145890")</f>
        <v>MGI:2145890</v>
      </c>
      <c r="J4704" s="4" t="s">
        <v>12</v>
      </c>
    </row>
    <row r="4705" spans="1:10" x14ac:dyDescent="0.25">
      <c r="A4705" s="2">
        <v>1158.44256981802</v>
      </c>
      <c r="B4705" s="3">
        <v>-0.22247812584895801</v>
      </c>
      <c r="C4705" s="5">
        <v>5.6624020300338103E-5</v>
      </c>
      <c r="D4705" s="4">
        <v>1.9620904591858499E-4</v>
      </c>
      <c r="E4705" s="3" t="s">
        <v>11393</v>
      </c>
      <c r="F4705" s="3" t="s">
        <v>11394</v>
      </c>
      <c r="G4705" s="3">
        <v>14755</v>
      </c>
      <c r="H4705" s="7" t="str">
        <f>HYPERLINK("http://www.ensembl.org/Mus_musculus/Gene/Summary?db=core;g=ENSMUSG00000025728","ENSMUSG00000025728")</f>
        <v>ENSMUSG00000025728</v>
      </c>
      <c r="I4705" s="7" t="str">
        <f>HYPERLINK("http://www.informatics.jax.org/marker/MGI:1333114","MGI:1333114")</f>
        <v>MGI:1333114</v>
      </c>
      <c r="J4705" s="4" t="s">
        <v>12</v>
      </c>
    </row>
    <row r="4706" spans="1:10" x14ac:dyDescent="0.25">
      <c r="A4706" s="2">
        <v>938.55570386764805</v>
      </c>
      <c r="B4706" s="3">
        <v>-0.22250200401808501</v>
      </c>
      <c r="C4706" s="3">
        <v>1.07167906957896E-2</v>
      </c>
      <c r="D4706" s="4">
        <v>2.64930566028545E-2</v>
      </c>
      <c r="E4706" s="3" t="s">
        <v>15959</v>
      </c>
      <c r="F4706" s="3" t="s">
        <v>15960</v>
      </c>
      <c r="G4706" s="3">
        <v>110446</v>
      </c>
      <c r="H4706" s="7" t="str">
        <f>HYPERLINK("http://www.ensembl.org/Mus_musculus/Gene/Summary?db=core;g=ENSMUSG00000032047","ENSMUSG00000032047")</f>
        <v>ENSMUSG00000032047</v>
      </c>
      <c r="I4706" s="7" t="str">
        <f>HYPERLINK("http://www.informatics.jax.org/marker/MGI:87870","MGI:87870")</f>
        <v>MGI:87870</v>
      </c>
      <c r="J4706" s="4" t="s">
        <v>12</v>
      </c>
    </row>
    <row r="4707" spans="1:10" x14ac:dyDescent="0.25">
      <c r="A4707" s="2">
        <v>845.723640678945</v>
      </c>
      <c r="B4707" s="3">
        <v>-0.222718407884649</v>
      </c>
      <c r="C4707" s="5">
        <v>8.1118907253092793E-5</v>
      </c>
      <c r="D4707" s="4">
        <v>2.7623292195320199E-4</v>
      </c>
      <c r="E4707" s="3" t="s">
        <v>11593</v>
      </c>
      <c r="F4707" s="3" t="s">
        <v>11594</v>
      </c>
      <c r="G4707" s="3">
        <v>320727</v>
      </c>
      <c r="H4707" s="7" t="str">
        <f>HYPERLINK("http://www.ensembl.org/Mus_musculus/Gene/Summary?db=core;g=ENSMUSG00000040029","ENSMUSG00000040029")</f>
        <v>ENSMUSG00000040029</v>
      </c>
      <c r="I4707" s="7" t="str">
        <f>HYPERLINK("http://www.informatics.jax.org/marker/MGI:2444611","MGI:2444611")</f>
        <v>MGI:2444611</v>
      </c>
      <c r="J4707" s="4" t="s">
        <v>12</v>
      </c>
    </row>
    <row r="4708" spans="1:10" x14ac:dyDescent="0.25">
      <c r="A4708" s="2">
        <v>602.69445096779395</v>
      </c>
      <c r="B4708" s="3">
        <v>-0.22288264790790399</v>
      </c>
      <c r="C4708" s="3">
        <v>1.8162235650149901E-2</v>
      </c>
      <c r="D4708" s="4">
        <v>4.2770394915327997E-2</v>
      </c>
      <c r="E4708" s="3" t="s">
        <v>16752</v>
      </c>
      <c r="F4708" s="3" t="s">
        <v>16753</v>
      </c>
      <c r="G4708" s="3">
        <v>100929</v>
      </c>
      <c r="H4708" s="7" t="str">
        <f>HYPERLINK("http://www.ensembl.org/Mus_musculus/Gene/Summary?db=core;g=ENSMUSG00000056310","ENSMUSG00000056310")</f>
        <v>ENSMUSG00000056310</v>
      </c>
      <c r="I4708" s="7" t="str">
        <f>HYPERLINK("http://www.informatics.jax.org/marker/MGI:2141161","MGI:2141161")</f>
        <v>MGI:2141161</v>
      </c>
      <c r="J4708" s="4" t="s">
        <v>12</v>
      </c>
    </row>
    <row r="4709" spans="1:10" x14ac:dyDescent="0.25">
      <c r="A4709" s="2">
        <v>1213.7654429731199</v>
      </c>
      <c r="B4709" s="3">
        <v>-0.223124746579103</v>
      </c>
      <c r="C4709" s="5">
        <v>3.6268738205336099E-6</v>
      </c>
      <c r="D4709" s="6">
        <v>1.4196496971203399E-5</v>
      </c>
      <c r="E4709" s="3" t="s">
        <v>10092</v>
      </c>
      <c r="F4709" s="3" t="s">
        <v>10093</v>
      </c>
      <c r="G4709" s="3">
        <v>76303</v>
      </c>
      <c r="H4709" s="7" t="str">
        <f>HYPERLINK("http://www.ensembl.org/Mus_musculus/Gene/Summary?db=core;g=ENSMUSG00000024687","ENSMUSG00000024687")</f>
        <v>ENSMUSG00000024687</v>
      </c>
      <c r="I4709" s="7" t="str">
        <f>HYPERLINK("http://www.informatics.jax.org/marker/MGI:97447","MGI:97447")</f>
        <v>MGI:97447</v>
      </c>
      <c r="J4709" s="4" t="s">
        <v>12</v>
      </c>
    </row>
    <row r="4710" spans="1:10" x14ac:dyDescent="0.25">
      <c r="A4710" s="2">
        <v>1100.73726517707</v>
      </c>
      <c r="B4710" s="3">
        <v>-0.223325396409152</v>
      </c>
      <c r="C4710" s="5">
        <v>2.3264581071878601E-5</v>
      </c>
      <c r="D4710" s="6">
        <v>8.4071383312707504E-5</v>
      </c>
      <c r="E4710" s="3" t="s">
        <v>10926</v>
      </c>
      <c r="F4710" s="3" t="s">
        <v>10927</v>
      </c>
      <c r="G4710" s="3">
        <v>107368</v>
      </c>
      <c r="H4710" s="7" t="str">
        <f>HYPERLINK("http://www.ensembl.org/Mus_musculus/Gene/Summary?db=core;g=ENSMUSG00000074746","ENSMUSG00000074746")</f>
        <v>ENSMUSG00000074746</v>
      </c>
      <c r="I4710" s="7" t="str">
        <f>HYPERLINK("http://www.informatics.jax.org/marker/MGI:2677270","MGI:2677270")</f>
        <v>MGI:2677270</v>
      </c>
      <c r="J4710" s="4" t="s">
        <v>12</v>
      </c>
    </row>
    <row r="4711" spans="1:10" x14ac:dyDescent="0.25">
      <c r="A4711" s="2">
        <v>776.20869183807997</v>
      </c>
      <c r="B4711" s="3">
        <v>-0.22335579027508301</v>
      </c>
      <c r="C4711" s="3">
        <v>3.9444525025037402E-3</v>
      </c>
      <c r="D4711" s="4">
        <v>1.06335753040839E-2</v>
      </c>
      <c r="E4711" s="3" t="s">
        <v>14633</v>
      </c>
      <c r="F4711" s="3" t="s">
        <v>14634</v>
      </c>
      <c r="G4711" s="3">
        <v>224904</v>
      </c>
      <c r="H4711" s="7" t="str">
        <f>HYPERLINK("http://www.ensembl.org/Mus_musculus/Gene/Summary?db=core;g=ENSMUSG00000049760","ENSMUSG00000049760")</f>
        <v>ENSMUSG00000049760</v>
      </c>
      <c r="I4711" s="7" t="str">
        <f>HYPERLINK("http://www.informatics.jax.org/marker/MGI:2442174","MGI:2442174")</f>
        <v>MGI:2442174</v>
      </c>
      <c r="J4711" s="4" t="s">
        <v>12</v>
      </c>
    </row>
    <row r="4712" spans="1:10" x14ac:dyDescent="0.25">
      <c r="A4712" s="2">
        <v>631.41682132291703</v>
      </c>
      <c r="B4712" s="3">
        <v>-0.22349520241455001</v>
      </c>
      <c r="C4712" s="3">
        <v>8.66719340219486E-4</v>
      </c>
      <c r="D4712" s="4">
        <v>2.5794907016493001E-3</v>
      </c>
      <c r="E4712" s="3" t="s">
        <v>13261</v>
      </c>
      <c r="F4712" s="3" t="s">
        <v>13262</v>
      </c>
      <c r="G4712" s="3">
        <v>56488</v>
      </c>
      <c r="H4712" s="7" t="str">
        <f>HYPERLINK("http://www.ensembl.org/Mus_musculus/Gene/Summary?db=core;g=ENSMUSG00000036992","ENSMUSG00000036992")</f>
        <v>ENSMUSG00000036992</v>
      </c>
      <c r="I4712" s="7" t="str">
        <f>HYPERLINK("http://www.informatics.jax.org/marker/MGI:1929619","MGI:1929619")</f>
        <v>MGI:1929619</v>
      </c>
      <c r="J4712" s="4" t="s">
        <v>12</v>
      </c>
    </row>
    <row r="4713" spans="1:10" x14ac:dyDescent="0.25">
      <c r="A4713" s="2">
        <v>252.28794787434899</v>
      </c>
      <c r="B4713" s="3">
        <v>-0.223776870343459</v>
      </c>
      <c r="C4713" s="3">
        <v>1.7371879895641099E-2</v>
      </c>
      <c r="D4713" s="4">
        <v>4.1095665971934099E-2</v>
      </c>
      <c r="E4713" s="3" t="s">
        <v>16676</v>
      </c>
      <c r="F4713" s="3" t="s">
        <v>16677</v>
      </c>
      <c r="G4713" s="3">
        <v>12068</v>
      </c>
      <c r="H4713" s="7" t="str">
        <f>HYPERLINK("http://www.ensembl.org/Mus_musculus/Gene/Summary?db=core;g=ENSMUSG00000032757","ENSMUSG00000032757")</f>
        <v>ENSMUSG00000032757</v>
      </c>
      <c r="I4713" s="7" t="str">
        <f>HYPERLINK("http://www.informatics.jax.org/marker/MGI:1343104","MGI:1343104")</f>
        <v>MGI:1343104</v>
      </c>
      <c r="J4713" s="4" t="s">
        <v>12</v>
      </c>
    </row>
    <row r="4714" spans="1:10" x14ac:dyDescent="0.25">
      <c r="A4714" s="2">
        <v>654.95015443097304</v>
      </c>
      <c r="B4714" s="3">
        <v>-0.22377899038235999</v>
      </c>
      <c r="C4714" s="3">
        <v>6.1966021370802205E-4</v>
      </c>
      <c r="D4714" s="4">
        <v>1.88314060938853E-3</v>
      </c>
      <c r="E4714" s="3" t="s">
        <v>12987</v>
      </c>
      <c r="F4714" s="3" t="s">
        <v>12988</v>
      </c>
      <c r="G4714" s="3">
        <v>15461</v>
      </c>
      <c r="H4714" s="7" t="str">
        <f>HYPERLINK("http://www.ensembl.org/Mus_musculus/Gene/Summary?db=core;g=ENSMUSG00000025499","ENSMUSG00000025499")</f>
        <v>ENSMUSG00000025499</v>
      </c>
      <c r="I4714" s="7" t="str">
        <f>HYPERLINK("http://www.informatics.jax.org/marker/MGI:96224","MGI:96224")</f>
        <v>MGI:96224</v>
      </c>
      <c r="J4714" s="4" t="s">
        <v>12</v>
      </c>
    </row>
    <row r="4715" spans="1:10" x14ac:dyDescent="0.25">
      <c r="A4715" s="2">
        <v>3474.3586306021698</v>
      </c>
      <c r="B4715" s="3">
        <v>-0.22476427424831</v>
      </c>
      <c r="C4715" s="3">
        <v>3.9357808144761298E-4</v>
      </c>
      <c r="D4715" s="4">
        <v>1.22767474946962E-3</v>
      </c>
      <c r="E4715" s="3" t="s">
        <v>12657</v>
      </c>
      <c r="F4715" s="3" t="s">
        <v>12658</v>
      </c>
      <c r="G4715" s="3">
        <v>108101</v>
      </c>
      <c r="H4715" s="7" t="str">
        <f>HYPERLINK("http://www.ensembl.org/Mus_musculus/Gene/Summary?db=core;g=ENSMUSG00000024965","ENSMUSG00000024965")</f>
        <v>ENSMUSG00000024965</v>
      </c>
      <c r="I4715" s="7" t="str">
        <f>HYPERLINK("http://www.informatics.jax.org/marker/MGI:2147790","MGI:2147790")</f>
        <v>MGI:2147790</v>
      </c>
      <c r="J4715" s="4" t="s">
        <v>12</v>
      </c>
    </row>
    <row r="4716" spans="1:10" x14ac:dyDescent="0.25">
      <c r="A4716" s="2">
        <v>772.97442866767699</v>
      </c>
      <c r="B4716" s="3">
        <v>-0.22485623125704801</v>
      </c>
      <c r="C4716" s="5">
        <v>2.6647233322120401E-5</v>
      </c>
      <c r="D4716" s="6">
        <v>9.5716473790931404E-5</v>
      </c>
      <c r="E4716" s="3" t="s">
        <v>10992</v>
      </c>
      <c r="F4716" s="3" t="s">
        <v>10993</v>
      </c>
      <c r="G4716" s="3">
        <v>217463</v>
      </c>
      <c r="H4716" s="7" t="str">
        <f>HYPERLINK("http://www.ensembl.org/Mus_musculus/Gene/Summary?db=core;g=ENSMUSG00000020590","ENSMUSG00000020590")</f>
        <v>ENSMUSG00000020590</v>
      </c>
      <c r="I4716" s="7" t="str">
        <f>HYPERLINK("http://www.informatics.jax.org/marker/MGI:2661416","MGI:2661416")</f>
        <v>MGI:2661416</v>
      </c>
      <c r="J4716" s="4" t="s">
        <v>12</v>
      </c>
    </row>
    <row r="4717" spans="1:10" x14ac:dyDescent="0.25">
      <c r="A4717" s="2">
        <v>329.76392554416299</v>
      </c>
      <c r="B4717" s="3">
        <v>-0.22497663055095099</v>
      </c>
      <c r="C4717" s="3">
        <v>1.28209321968245E-2</v>
      </c>
      <c r="D4717" s="4">
        <v>3.1194174327128701E-2</v>
      </c>
      <c r="E4717" s="3" t="s">
        <v>16215</v>
      </c>
      <c r="F4717" s="3" t="s">
        <v>16216</v>
      </c>
      <c r="G4717" s="3">
        <v>22288</v>
      </c>
      <c r="H4717" s="7" t="str">
        <f>HYPERLINK("http://www.ensembl.org/Mus_musculus/Gene/Summary?db=core;g=ENSMUSG00000019820","ENSMUSG00000019820")</f>
        <v>ENSMUSG00000019820</v>
      </c>
      <c r="I4717" s="7" t="str">
        <f>HYPERLINK("http://www.informatics.jax.org/marker/MGI:104631","MGI:104631")</f>
        <v>MGI:104631</v>
      </c>
      <c r="J4717" s="4" t="s">
        <v>12</v>
      </c>
    </row>
    <row r="4718" spans="1:10" x14ac:dyDescent="0.25">
      <c r="A4718" s="2">
        <v>253.63050690268301</v>
      </c>
      <c r="B4718" s="3">
        <v>-0.22520797238443499</v>
      </c>
      <c r="C4718" s="3">
        <v>1.9963287703174799E-2</v>
      </c>
      <c r="D4718" s="4">
        <v>4.6605426010016202E-2</v>
      </c>
      <c r="E4718" s="3" t="s">
        <v>16898</v>
      </c>
      <c r="F4718" s="3" t="s">
        <v>16899</v>
      </c>
      <c r="G4718" s="3">
        <v>330788</v>
      </c>
      <c r="H4718" s="7" t="str">
        <f>HYPERLINK("http://www.ensembl.org/Mus_musculus/Gene/Summary?db=core;g=ENSMUSG00000043090","ENSMUSG00000043090")</f>
        <v>ENSMUSG00000043090</v>
      </c>
      <c r="I4718" s="7" t="str">
        <f>HYPERLINK("http://www.informatics.jax.org/marker/MGI:3584369","MGI:3584369")</f>
        <v>MGI:3584369</v>
      </c>
      <c r="J4718" s="4" t="s">
        <v>12</v>
      </c>
    </row>
    <row r="4719" spans="1:10" x14ac:dyDescent="0.25">
      <c r="A4719" s="2">
        <v>742.439064991382</v>
      </c>
      <c r="B4719" s="3">
        <v>-0.225257989865012</v>
      </c>
      <c r="C4719" s="3">
        <v>1.8006116823269999E-3</v>
      </c>
      <c r="D4719" s="4">
        <v>5.1179104029242502E-3</v>
      </c>
      <c r="E4719" s="3" t="s">
        <v>13883</v>
      </c>
      <c r="F4719" s="3" t="s">
        <v>13884</v>
      </c>
      <c r="G4719" s="3">
        <v>67785</v>
      </c>
      <c r="H4719" s="7" t="str">
        <f>HYPERLINK("http://www.ensembl.org/Mus_musculus/Gene/Summary?db=core;g=ENSMUSG00000042446","ENSMUSG00000042446")</f>
        <v>ENSMUSG00000042446</v>
      </c>
      <c r="I4719" s="7" t="str">
        <f>HYPERLINK("http://www.informatics.jax.org/marker/MGI:1915035","MGI:1915035")</f>
        <v>MGI:1915035</v>
      </c>
      <c r="J4719" s="4" t="s">
        <v>12</v>
      </c>
    </row>
    <row r="4720" spans="1:10" x14ac:dyDescent="0.25">
      <c r="A4720" s="2">
        <v>1048.6053570029201</v>
      </c>
      <c r="B4720" s="3">
        <v>-0.22617117491104799</v>
      </c>
      <c r="C4720" s="3">
        <v>2.54015235824517E-3</v>
      </c>
      <c r="D4720" s="4">
        <v>7.0551837330415203E-3</v>
      </c>
      <c r="E4720" s="3" t="s">
        <v>14207</v>
      </c>
      <c r="F4720" s="3" t="s">
        <v>14208</v>
      </c>
      <c r="G4720" s="3">
        <v>13543</v>
      </c>
      <c r="H4720" s="7" t="str">
        <f>HYPERLINK("http://www.ensembl.org/Mus_musculus/Gene/Summary?db=core;g=ENSMUSG00000020888","ENSMUSG00000020888")</f>
        <v>ENSMUSG00000020888</v>
      </c>
      <c r="I4720" s="7" t="str">
        <f>HYPERLINK("http://www.informatics.jax.org/marker/MGI:106613","MGI:106613")</f>
        <v>MGI:106613</v>
      </c>
      <c r="J4720" s="4" t="s">
        <v>12</v>
      </c>
    </row>
    <row r="4721" spans="1:10" x14ac:dyDescent="0.25">
      <c r="A4721" s="2">
        <v>557.08828326923401</v>
      </c>
      <c r="B4721" s="3">
        <v>-0.22667196890806299</v>
      </c>
      <c r="C4721" s="3">
        <v>1.1852299336434999E-4</v>
      </c>
      <c r="D4721" s="4">
        <v>3.9594671000253901E-4</v>
      </c>
      <c r="E4721" s="3" t="s">
        <v>11817</v>
      </c>
      <c r="F4721" s="3" t="s">
        <v>11818</v>
      </c>
      <c r="G4721" s="3">
        <v>216154</v>
      </c>
      <c r="H4721" s="7" t="str">
        <f>HYPERLINK("http://www.ensembl.org/Mus_musculus/Gene/Summary?db=core;g=ENSMUSG00000013833","ENSMUSG00000013833")</f>
        <v>ENSMUSG00000013833</v>
      </c>
      <c r="I4721" s="7" t="str">
        <f>HYPERLINK("http://www.informatics.jax.org/marker/MGI:2158394","MGI:2158394")</f>
        <v>MGI:2158394</v>
      </c>
      <c r="J4721" s="4" t="s">
        <v>12</v>
      </c>
    </row>
    <row r="4722" spans="1:10" x14ac:dyDescent="0.25">
      <c r="A4722" s="2">
        <v>1044.85860403163</v>
      </c>
      <c r="B4722" s="3">
        <v>-0.226747616569239</v>
      </c>
      <c r="C4722" s="5">
        <v>4.16008823182287E-5</v>
      </c>
      <c r="D4722" s="4">
        <v>1.46129212560646E-4</v>
      </c>
      <c r="E4722" s="3" t="s">
        <v>11239</v>
      </c>
      <c r="F4722" s="3" t="s">
        <v>11240</v>
      </c>
      <c r="G4722" s="3">
        <v>76719</v>
      </c>
      <c r="H4722" s="7" t="str">
        <f>HYPERLINK("http://www.ensembl.org/Mus_musculus/Gene/Summary?db=core;g=ENSMUSG00000018412","ENSMUSG00000018412")</f>
        <v>ENSMUSG00000018412</v>
      </c>
      <c r="I4722" s="7" t="str">
        <f>HYPERLINK("http://www.informatics.jax.org/marker/MGI:1923969","MGI:1923969")</f>
        <v>MGI:1923969</v>
      </c>
      <c r="J4722" s="4" t="s">
        <v>12</v>
      </c>
    </row>
    <row r="4723" spans="1:10" x14ac:dyDescent="0.25">
      <c r="A4723" s="2">
        <v>1258.9954573671801</v>
      </c>
      <c r="B4723" s="3">
        <v>-0.227241813646955</v>
      </c>
      <c r="C4723" s="3">
        <v>8.2339103477438598E-4</v>
      </c>
      <c r="D4723" s="4">
        <v>2.4575860762450301E-3</v>
      </c>
      <c r="E4723" s="3" t="s">
        <v>13223</v>
      </c>
      <c r="F4723" s="3" t="s">
        <v>13224</v>
      </c>
      <c r="G4723" s="3">
        <v>68196</v>
      </c>
      <c r="H4723" s="7" t="str">
        <f>HYPERLINK("http://www.ensembl.org/Mus_musculus/Gene/Summary?db=core;g=ENSMUSG00000031839","ENSMUSG00000031839")</f>
        <v>ENSMUSG00000031839</v>
      </c>
      <c r="I4723" s="7" t="str">
        <f>HYPERLINK("http://www.informatics.jax.org/marker/MGI:1915446","MGI:1915446")</f>
        <v>MGI:1915446</v>
      </c>
      <c r="J4723" s="4" t="s">
        <v>12</v>
      </c>
    </row>
    <row r="4724" spans="1:10" x14ac:dyDescent="0.25">
      <c r="A4724" s="2">
        <v>1005.93941826956</v>
      </c>
      <c r="B4724" s="3">
        <v>-0.22727563212889201</v>
      </c>
      <c r="C4724" s="3">
        <v>3.1365186115758298E-4</v>
      </c>
      <c r="D4724" s="4">
        <v>9.9122030481210602E-4</v>
      </c>
      <c r="E4724" s="3" t="s">
        <v>12493</v>
      </c>
      <c r="F4724" s="3" t="s">
        <v>12494</v>
      </c>
      <c r="G4724" s="3">
        <v>75613</v>
      </c>
      <c r="H4724" s="7" t="str">
        <f>HYPERLINK("http://www.ensembl.org/Mus_musculus/Gene/Summary?db=core;g=ENSMUSG00000002968","ENSMUSG00000002968")</f>
        <v>ENSMUSG00000002968</v>
      </c>
      <c r="I4724" s="7" t="str">
        <f>HYPERLINK("http://www.informatics.jax.org/marker/MGI:1922863","MGI:1922863")</f>
        <v>MGI:1922863</v>
      </c>
      <c r="J4724" s="4" t="s">
        <v>12</v>
      </c>
    </row>
    <row r="4725" spans="1:10" x14ac:dyDescent="0.25">
      <c r="A4725" s="2">
        <v>788.80785551034603</v>
      </c>
      <c r="B4725" s="3">
        <v>-0.227339674990156</v>
      </c>
      <c r="C4725" s="5">
        <v>3.8981665272254201E-5</v>
      </c>
      <c r="D4725" s="4">
        <v>1.37393822907748E-4</v>
      </c>
      <c r="E4725" s="3" t="s">
        <v>11201</v>
      </c>
      <c r="F4725" s="3" t="s">
        <v>11202</v>
      </c>
      <c r="G4725" s="3">
        <v>75425</v>
      </c>
      <c r="H4725" s="7" t="str">
        <f>HYPERLINK("http://www.ensembl.org/Mus_musculus/Gene/Summary?db=core;g=ENSMUSG00000027650","ENSMUSG00000027650")</f>
        <v>ENSMUSG00000027650</v>
      </c>
      <c r="I4725" s="7" t="str">
        <f>HYPERLINK("http://www.informatics.jax.org/marker/MGI:1922675","MGI:1922675")</f>
        <v>MGI:1922675</v>
      </c>
      <c r="J4725" s="4" t="s">
        <v>12</v>
      </c>
    </row>
    <row r="4726" spans="1:10" x14ac:dyDescent="0.25">
      <c r="A4726" s="2">
        <v>686.62533971817197</v>
      </c>
      <c r="B4726" s="3">
        <v>-0.22797857031299901</v>
      </c>
      <c r="C4726" s="3">
        <v>5.9315751514944998E-3</v>
      </c>
      <c r="D4726" s="4">
        <v>1.5443710323141201E-2</v>
      </c>
      <c r="E4726" s="3" t="s">
        <v>15152</v>
      </c>
      <c r="F4726" s="3" t="s">
        <v>15153</v>
      </c>
      <c r="G4726" s="3">
        <v>223827</v>
      </c>
      <c r="H4726" s="7" t="str">
        <f>HYPERLINK("http://www.ensembl.org/Mus_musculus/Gene/Summary?db=core;g=ENSMUSG00000036197","ENSMUSG00000036197")</f>
        <v>ENSMUSG00000036197</v>
      </c>
      <c r="I4726" s="7" t="str">
        <f>HYPERLINK("http://www.informatics.jax.org/marker/MGI:2684933","MGI:2684933")</f>
        <v>MGI:2684933</v>
      </c>
      <c r="J4726" s="4" t="s">
        <v>12</v>
      </c>
    </row>
    <row r="4727" spans="1:10" x14ac:dyDescent="0.25">
      <c r="A4727" s="2">
        <v>5092.5606244907704</v>
      </c>
      <c r="B4727" s="3">
        <v>-0.22798262761923199</v>
      </c>
      <c r="C4727" s="5">
        <v>2.5325394398705401E-5</v>
      </c>
      <c r="D4727" s="6">
        <v>9.1117821117035302E-5</v>
      </c>
      <c r="E4727" s="3" t="s">
        <v>10974</v>
      </c>
      <c r="F4727" s="3" t="s">
        <v>10975</v>
      </c>
      <c r="G4727" s="3">
        <v>16549</v>
      </c>
      <c r="H4727" s="7" t="str">
        <f>HYPERLINK("http://www.ensembl.org/Mus_musculus/Gene/Summary?db=core;g=ENSMUSG00000007670","ENSMUSG00000007670")</f>
        <v>ENSMUSG00000007670</v>
      </c>
      <c r="I4727" s="7" t="str">
        <f>HYPERLINK("http://www.informatics.jax.org/marker/MGI:1336214","MGI:1336214")</f>
        <v>MGI:1336214</v>
      </c>
      <c r="J4727" s="4" t="s">
        <v>12</v>
      </c>
    </row>
    <row r="4728" spans="1:10" x14ac:dyDescent="0.25">
      <c r="A4728" s="2">
        <v>708.57516755066899</v>
      </c>
      <c r="B4728" s="3">
        <v>-0.228230730861784</v>
      </c>
      <c r="C4728" s="3">
        <v>2.1524111236582602E-3</v>
      </c>
      <c r="D4728" s="4">
        <v>6.0515465295895299E-3</v>
      </c>
      <c r="E4728" s="3" t="s">
        <v>14035</v>
      </c>
      <c r="F4728" s="3" t="s">
        <v>14036</v>
      </c>
      <c r="G4728" s="3">
        <v>70568</v>
      </c>
      <c r="H4728" s="7" t="str">
        <f>HYPERLINK("http://www.ensembl.org/Mus_musculus/Gene/Summary?db=core;g=ENSMUSG00000028228","ENSMUSG00000028228")</f>
        <v>ENSMUSG00000028228</v>
      </c>
      <c r="I4728" s="7" t="str">
        <f>HYPERLINK("http://www.informatics.jax.org/marker/MGI:1917818","MGI:1917818")</f>
        <v>MGI:1917818</v>
      </c>
      <c r="J4728" s="4" t="s">
        <v>12</v>
      </c>
    </row>
    <row r="4729" spans="1:10" x14ac:dyDescent="0.25">
      <c r="A4729" s="2">
        <v>278.59895902282</v>
      </c>
      <c r="B4729" s="3">
        <v>-0.22827252030349701</v>
      </c>
      <c r="C4729" s="3">
        <v>1.5413705347290099E-2</v>
      </c>
      <c r="D4729" s="4">
        <v>3.6888139496184601E-2</v>
      </c>
      <c r="E4729" s="3" t="s">
        <v>16483</v>
      </c>
      <c r="F4729" s="3" t="s">
        <v>16484</v>
      </c>
      <c r="G4729" s="3">
        <v>223267</v>
      </c>
      <c r="H4729" s="7" t="str">
        <f>HYPERLINK("http://www.ensembl.org/Mus_musculus/Gene/Summary?db=core;g=ENSMUSG00000041625","ENSMUSG00000041625")</f>
        <v>ENSMUSG00000041625</v>
      </c>
      <c r="I4729" s="7" t="str">
        <f>HYPERLINK("http://www.informatics.jax.org/marker/MGI:2385008","MGI:2385008")</f>
        <v>MGI:2385008</v>
      </c>
      <c r="J4729" s="4" t="s">
        <v>12</v>
      </c>
    </row>
    <row r="4730" spans="1:10" x14ac:dyDescent="0.25">
      <c r="A4730" s="2">
        <v>633.23352345296303</v>
      </c>
      <c r="B4730" s="3">
        <v>-0.22837114320159499</v>
      </c>
      <c r="C4730" s="3">
        <v>1.5129932042331901E-3</v>
      </c>
      <c r="D4730" s="4">
        <v>4.3480364307022E-3</v>
      </c>
      <c r="E4730" s="3" t="s">
        <v>13733</v>
      </c>
      <c r="F4730" s="3" t="s">
        <v>13734</v>
      </c>
      <c r="G4730" s="3">
        <v>212123</v>
      </c>
      <c r="H4730" s="7" t="str">
        <f>HYPERLINK("http://www.ensembl.org/Mus_musculus/Gene/Summary?db=core;g=ENSMUSG00000037103","ENSMUSG00000037103")</f>
        <v>ENSMUSG00000037103</v>
      </c>
      <c r="I4730" s="7" t="str">
        <f>HYPERLINK("http://www.informatics.jax.org/marker/MGI:2684420","MGI:2684420")</f>
        <v>MGI:2684420</v>
      </c>
      <c r="J4730" s="4" t="s">
        <v>12</v>
      </c>
    </row>
    <row r="4731" spans="1:10" x14ac:dyDescent="0.25">
      <c r="A4731" s="2">
        <v>181.07895940582</v>
      </c>
      <c r="B4731" s="3">
        <v>-0.22844862906385399</v>
      </c>
      <c r="C4731" s="3">
        <v>1.1128798111320099E-2</v>
      </c>
      <c r="D4731" s="4">
        <v>2.7398239544972901E-2</v>
      </c>
      <c r="E4731" s="3" t="s">
        <v>16025</v>
      </c>
      <c r="F4731" s="3" t="s">
        <v>16026</v>
      </c>
      <c r="G4731" s="3">
        <v>72341</v>
      </c>
      <c r="H4731" s="7" t="str">
        <f>HYPERLINK("http://www.ensembl.org/Mus_musculus/Gene/Summary?db=core;g=ENSMUSG00000054836","ENSMUSG00000054836")</f>
        <v>ENSMUSG00000054836</v>
      </c>
      <c r="I4731" s="7" t="str">
        <f>HYPERLINK("http://www.informatics.jax.org/marker/MGI:1919349","MGI:1919349")</f>
        <v>MGI:1919349</v>
      </c>
      <c r="J4731" s="4" t="s">
        <v>12</v>
      </c>
    </row>
    <row r="4732" spans="1:10" x14ac:dyDescent="0.25">
      <c r="A4732" s="2">
        <v>474.29162077662198</v>
      </c>
      <c r="B4732" s="3">
        <v>-0.22883608169508499</v>
      </c>
      <c r="C4732" s="3">
        <v>7.7713140700928496E-3</v>
      </c>
      <c r="D4732" s="4">
        <v>1.97436631618437E-2</v>
      </c>
      <c r="E4732" s="3" t="s">
        <v>15529</v>
      </c>
      <c r="F4732" s="3" t="s">
        <v>15530</v>
      </c>
      <c r="G4732" s="3">
        <v>66625</v>
      </c>
      <c r="H4732" s="7" t="str">
        <f>HYPERLINK("http://www.ensembl.org/Mus_musculus/Gene/Summary?db=core;g=ENSMUSG00000028248","ENSMUSG00000028248")</f>
        <v>ENSMUSG00000028248</v>
      </c>
      <c r="I4732" s="7" t="str">
        <f>HYPERLINK("http://www.informatics.jax.org/marker/MGI:1913875","MGI:1913875")</f>
        <v>MGI:1913875</v>
      </c>
      <c r="J4732" s="4" t="s">
        <v>12</v>
      </c>
    </row>
    <row r="4733" spans="1:10" x14ac:dyDescent="0.25">
      <c r="A4733" s="2">
        <v>611.59422145751898</v>
      </c>
      <c r="B4733" s="3">
        <v>-0.22894236686195399</v>
      </c>
      <c r="C4733" s="3">
        <v>1.3540105723369901E-4</v>
      </c>
      <c r="D4733" s="4">
        <v>4.4913521423861201E-4</v>
      </c>
      <c r="E4733" s="3" t="s">
        <v>11901</v>
      </c>
      <c r="F4733" s="3" t="s">
        <v>11902</v>
      </c>
      <c r="G4733" s="3">
        <v>26407</v>
      </c>
      <c r="H4733" s="7" t="str">
        <f>HYPERLINK("http://www.ensembl.org/Mus_musculus/Gene/Summary?db=core;g=ENSMUSG00000014426","ENSMUSG00000014426")</f>
        <v>ENSMUSG00000014426</v>
      </c>
      <c r="I4733" s="7" t="str">
        <f>HYPERLINK("http://www.informatics.jax.org/marker/MGI:1346875","MGI:1346875")</f>
        <v>MGI:1346875</v>
      </c>
      <c r="J4733" s="4" t="s">
        <v>12</v>
      </c>
    </row>
    <row r="4734" spans="1:10" x14ac:dyDescent="0.25">
      <c r="A4734" s="2">
        <v>256.96184853402599</v>
      </c>
      <c r="B4734" s="3">
        <v>-0.229010973846519</v>
      </c>
      <c r="C4734" s="3">
        <v>2.0417053344363102E-2</v>
      </c>
      <c r="D4734" s="4">
        <v>4.7540948394242499E-2</v>
      </c>
      <c r="E4734" s="3" t="s">
        <v>16942</v>
      </c>
      <c r="F4734" s="3" t="s">
        <v>16943</v>
      </c>
      <c r="G4734" s="3">
        <v>19763</v>
      </c>
      <c r="H4734" s="7" t="str">
        <f>HYPERLINK("http://www.ensembl.org/Mus_musculus/Gene/Summary?db=core;g=ENSMUSG00000024325","ENSMUSG00000024325")</f>
        <v>ENSMUSG00000024325</v>
      </c>
      <c r="I4734" s="7" t="str">
        <f>HYPERLINK("http://www.informatics.jax.org/marker/MGI:1101770","MGI:1101770")</f>
        <v>MGI:1101770</v>
      </c>
      <c r="J4734" s="4" t="s">
        <v>12</v>
      </c>
    </row>
    <row r="4735" spans="1:10" x14ac:dyDescent="0.25">
      <c r="A4735" s="2">
        <v>369.43824469613003</v>
      </c>
      <c r="B4735" s="3">
        <v>-0.229033731871056</v>
      </c>
      <c r="C4735" s="3">
        <v>8.4076565308934901E-3</v>
      </c>
      <c r="D4735" s="4">
        <v>2.1201907345864301E-2</v>
      </c>
      <c r="E4735" s="3" t="s">
        <v>15647</v>
      </c>
      <c r="F4735" s="3" t="s">
        <v>15648</v>
      </c>
      <c r="G4735" s="3">
        <v>68219</v>
      </c>
      <c r="H4735" s="7" t="str">
        <f>HYPERLINK("http://www.ensembl.org/Mus_musculus/Gene/Summary?db=core;g=ENSMUSG00000031754","ENSMUSG00000031754")</f>
        <v>ENSMUSG00000031754</v>
      </c>
      <c r="I4735" s="7" t="str">
        <f>HYPERLINK("http://www.informatics.jax.org/marker/MGI:1915469","MGI:1915469")</f>
        <v>MGI:1915469</v>
      </c>
      <c r="J4735" s="4" t="s">
        <v>12</v>
      </c>
    </row>
    <row r="4736" spans="1:10" x14ac:dyDescent="0.25">
      <c r="A4736" s="2">
        <v>380.43579177970503</v>
      </c>
      <c r="B4736" s="3">
        <v>-0.229090905540517</v>
      </c>
      <c r="C4736" s="3">
        <v>9.1143858081826695E-4</v>
      </c>
      <c r="D4736" s="4">
        <v>2.70401215792632E-3</v>
      </c>
      <c r="E4736" s="3" t="s">
        <v>13302</v>
      </c>
      <c r="F4736" s="3" t="s">
        <v>13303</v>
      </c>
      <c r="G4736" s="3">
        <v>13929</v>
      </c>
      <c r="H4736" s="7" t="str">
        <f>HYPERLINK("http://www.ensembl.org/Mus_musculus/Gene/Summary?db=core;g=ENSMUSG00000020610","ENSMUSG00000020610")</f>
        <v>ENSMUSG00000020610</v>
      </c>
      <c r="I4736" s="7" t="str">
        <f>HYPERLINK("http://www.informatics.jax.org/marker/MGI:104837","MGI:104837")</f>
        <v>MGI:104837</v>
      </c>
      <c r="J4736" s="4" t="s">
        <v>12</v>
      </c>
    </row>
    <row r="4737" spans="1:10" x14ac:dyDescent="0.25">
      <c r="A4737" s="2">
        <v>498.56253209207</v>
      </c>
      <c r="B4737" s="3">
        <v>-0.229565023052376</v>
      </c>
      <c r="C4737" s="3">
        <v>4.3914275284646199E-4</v>
      </c>
      <c r="D4737" s="4">
        <v>1.3601419669507101E-3</v>
      </c>
      <c r="E4737" s="3" t="s">
        <v>12745</v>
      </c>
      <c r="F4737" s="3" t="s">
        <v>12746</v>
      </c>
      <c r="G4737" s="3">
        <v>74570</v>
      </c>
      <c r="H4737" s="7" t="str">
        <f>HYPERLINK("http://www.ensembl.org/Mus_musculus/Gene/Summary?db=core;g=ENSMUSG00000029729","ENSMUSG00000029729")</f>
        <v>ENSMUSG00000029729</v>
      </c>
      <c r="I4737" s="7" t="str">
        <f>HYPERLINK("http://www.informatics.jax.org/marker/MGI:1921820","MGI:1921820")</f>
        <v>MGI:1921820</v>
      </c>
      <c r="J4737" s="4" t="s">
        <v>12</v>
      </c>
    </row>
    <row r="4738" spans="1:10" x14ac:dyDescent="0.25">
      <c r="A4738" s="2">
        <v>387.863901827566</v>
      </c>
      <c r="B4738" s="3">
        <v>-0.229703296529435</v>
      </c>
      <c r="C4738" s="3">
        <v>7.3512027413916298E-3</v>
      </c>
      <c r="D4738" s="4">
        <v>1.8763359831768401E-2</v>
      </c>
      <c r="E4738" s="3" t="s">
        <v>15457</v>
      </c>
      <c r="F4738" s="3" t="s">
        <v>15458</v>
      </c>
      <c r="G4738" s="3">
        <v>216810</v>
      </c>
      <c r="H4738" s="7" t="str">
        <f>HYPERLINK("http://www.ensembl.org/Mus_musculus/Gene/Summary?db=core;g=ENSMUSG00000000538","ENSMUSG00000000538")</f>
        <v>ENSMUSG00000000538</v>
      </c>
      <c r="I4738" s="7" t="str">
        <f>HYPERLINK("http://www.informatics.jax.org/marker/MGI:2443306","MGI:2443306")</f>
        <v>MGI:2443306</v>
      </c>
      <c r="J4738" s="4" t="s">
        <v>12</v>
      </c>
    </row>
    <row r="4739" spans="1:10" x14ac:dyDescent="0.25">
      <c r="A4739" s="2">
        <v>1235.9035479285501</v>
      </c>
      <c r="B4739" s="3">
        <v>-0.230052890969077</v>
      </c>
      <c r="C4739" s="3">
        <v>1.13335290099428E-2</v>
      </c>
      <c r="D4739" s="4">
        <v>2.7860532545010201E-2</v>
      </c>
      <c r="E4739" s="3" t="s">
        <v>16049</v>
      </c>
      <c r="F4739" s="3" t="s">
        <v>16050</v>
      </c>
      <c r="G4739" s="3">
        <v>72549</v>
      </c>
      <c r="H4739" s="7" t="str">
        <f>HYPERLINK("http://www.ensembl.org/Mus_musculus/Gene/Summary?db=core;g=ENSMUSG00000033589","ENSMUSG00000033589")</f>
        <v>ENSMUSG00000033589</v>
      </c>
      <c r="I4739" s="7" t="str">
        <f>HYPERLINK("http://www.informatics.jax.org/marker/MGI:1919799","MGI:1919799")</f>
        <v>MGI:1919799</v>
      </c>
      <c r="J4739" s="4" t="s">
        <v>12</v>
      </c>
    </row>
    <row r="4740" spans="1:10" x14ac:dyDescent="0.25">
      <c r="A4740" s="2">
        <v>255.73527424335799</v>
      </c>
      <c r="B4740" s="3">
        <v>-0.230615862659513</v>
      </c>
      <c r="C4740" s="3">
        <v>5.3671954039722896E-3</v>
      </c>
      <c r="D4740" s="4">
        <v>1.41180409939315E-2</v>
      </c>
      <c r="E4740" s="3" t="s">
        <v>14994</v>
      </c>
      <c r="F4740" s="3" t="s">
        <v>14995</v>
      </c>
      <c r="G4740" s="3">
        <v>216080</v>
      </c>
      <c r="H4740" s="7" t="str">
        <f>HYPERLINK("http://www.ensembl.org/Mus_musculus/Gene/Summary?db=core;g=ENSMUSG00000019927","ENSMUSG00000019927")</f>
        <v>ENSMUSG00000019927</v>
      </c>
      <c r="I4740" s="7" t="str">
        <f>HYPERLINK("http://www.informatics.jax.org/marker/MGI:2384911","MGI:2384911")</f>
        <v>MGI:2384911</v>
      </c>
      <c r="J4740" s="4" t="s">
        <v>12</v>
      </c>
    </row>
    <row r="4741" spans="1:10" x14ac:dyDescent="0.25">
      <c r="A4741" s="2">
        <v>1229.31795183497</v>
      </c>
      <c r="B4741" s="3">
        <v>-0.23062479285028101</v>
      </c>
      <c r="C4741" s="3">
        <v>3.8283286430479299E-4</v>
      </c>
      <c r="D4741" s="4">
        <v>1.19567058664721E-3</v>
      </c>
      <c r="E4741" s="3" t="s">
        <v>12641</v>
      </c>
      <c r="F4741" s="3" t="s">
        <v>12642</v>
      </c>
      <c r="G4741" s="3">
        <v>56409</v>
      </c>
      <c r="H4741" s="7" t="str">
        <f>HYPERLINK("http://www.ensembl.org/Mus_musculus/Gene/Summary?db=core;g=ENSMUSG00000024213","ENSMUSG00000024213")</f>
        <v>ENSMUSG00000024213</v>
      </c>
      <c r="I4741" s="7" t="str">
        <f>HYPERLINK("http://www.informatics.jax.org/marker/MGI:1928484","MGI:1928484")</f>
        <v>MGI:1928484</v>
      </c>
      <c r="J4741" s="4" t="s">
        <v>12</v>
      </c>
    </row>
    <row r="4742" spans="1:10" x14ac:dyDescent="0.25">
      <c r="A4742" s="2">
        <v>983.76759759737502</v>
      </c>
      <c r="B4742" s="3">
        <v>-0.23079025090308999</v>
      </c>
      <c r="C4742" s="5">
        <v>3.1586459874223901E-7</v>
      </c>
      <c r="D4742" s="6">
        <v>1.3756293920488E-6</v>
      </c>
      <c r="E4742" s="3" t="s">
        <v>9071</v>
      </c>
      <c r="F4742" s="3" t="s">
        <v>9072</v>
      </c>
      <c r="G4742" s="3">
        <v>75710</v>
      </c>
      <c r="H4742" s="7" t="str">
        <f>HYPERLINK("http://www.ensembl.org/Mus_musculus/Gene/Summary?db=core;g=ENSMUSG00000089824","ENSMUSG00000089824")</f>
        <v>ENSMUSG00000089824</v>
      </c>
      <c r="I4742" s="7" t="str">
        <f>HYPERLINK("http://www.informatics.jax.org/marker/MGI:1922960","MGI:1922960")</f>
        <v>MGI:1922960</v>
      </c>
      <c r="J4742" s="4" t="s">
        <v>12</v>
      </c>
    </row>
    <row r="4743" spans="1:10" x14ac:dyDescent="0.25">
      <c r="A4743" s="2">
        <v>1427.0906968863701</v>
      </c>
      <c r="B4743" s="3">
        <v>-0.23083331064144499</v>
      </c>
      <c r="C4743" s="3">
        <v>6.7194756405457102E-3</v>
      </c>
      <c r="D4743" s="4">
        <v>1.72919300054236E-2</v>
      </c>
      <c r="E4743" s="3" t="s">
        <v>15331</v>
      </c>
      <c r="F4743" s="3" t="s">
        <v>15332</v>
      </c>
      <c r="G4743" s="3">
        <v>15204</v>
      </c>
      <c r="H4743" s="7" t="str">
        <f>HYPERLINK("http://www.ensembl.org/Mus_musculus/Gene/Summary?db=core;g=ENSMUSG00000030451","ENSMUSG00000030451")</f>
        <v>ENSMUSG00000030451</v>
      </c>
      <c r="I4743" s="7" t="str">
        <f>HYPERLINK("http://www.informatics.jax.org/marker/MGI:103234","MGI:103234")</f>
        <v>MGI:103234</v>
      </c>
      <c r="J4743" s="4" t="s">
        <v>12</v>
      </c>
    </row>
    <row r="4744" spans="1:10" x14ac:dyDescent="0.25">
      <c r="A4744" s="2">
        <v>305.04051386471099</v>
      </c>
      <c r="B4744" s="3">
        <v>-0.23140786730954199</v>
      </c>
      <c r="C4744" s="3">
        <v>3.7903436683725698E-3</v>
      </c>
      <c r="D4744" s="4">
        <v>1.02433297437724E-2</v>
      </c>
      <c r="E4744" s="3" t="s">
        <v>14597</v>
      </c>
      <c r="F4744" s="3" t="s">
        <v>14598</v>
      </c>
      <c r="G4744" s="3">
        <v>218699</v>
      </c>
      <c r="H4744" s="7" t="str">
        <f>HYPERLINK("http://www.ensembl.org/Mus_musculus/Gene/Summary?db=core;g=ENSMUSG00000033885","ENSMUSG00000033885")</f>
        <v>ENSMUSG00000033885</v>
      </c>
      <c r="I4744" s="7" t="str">
        <f>HYPERLINK("http://www.informatics.jax.org/marker/MGI:1289230","MGI:1289230")</f>
        <v>MGI:1289230</v>
      </c>
      <c r="J4744" s="4" t="s">
        <v>12</v>
      </c>
    </row>
    <row r="4745" spans="1:10" x14ac:dyDescent="0.25">
      <c r="A4745" s="2">
        <v>550.94455816764298</v>
      </c>
      <c r="B4745" s="3">
        <v>-0.231543571993269</v>
      </c>
      <c r="C4745" s="3">
        <v>3.1688513974941998E-4</v>
      </c>
      <c r="D4745" s="4">
        <v>1.00095706485E-3</v>
      </c>
      <c r="E4745" s="3" t="s">
        <v>12499</v>
      </c>
      <c r="F4745" s="3" t="s">
        <v>12500</v>
      </c>
      <c r="G4745" s="3">
        <v>218214</v>
      </c>
      <c r="H4745" s="7" t="str">
        <f>HYPERLINK("http://www.ensembl.org/Mus_musculus/Gene/Summary?db=core;g=ENSMUSG00000038080","ENSMUSG00000038080")</f>
        <v>ENSMUSG00000038080</v>
      </c>
      <c r="I4745" s="7" t="str">
        <f>HYPERLINK("http://www.informatics.jax.org/marker/MGI:2145261","MGI:2145261")</f>
        <v>MGI:2145261</v>
      </c>
      <c r="J4745" s="4" t="s">
        <v>12</v>
      </c>
    </row>
    <row r="4746" spans="1:10" x14ac:dyDescent="0.25">
      <c r="A4746" s="2">
        <v>671.53893225883803</v>
      </c>
      <c r="B4746" s="3">
        <v>-0.231625617410466</v>
      </c>
      <c r="C4746" s="3">
        <v>1.6518348347781099E-4</v>
      </c>
      <c r="D4746" s="4">
        <v>5.4127921139621497E-4</v>
      </c>
      <c r="E4746" s="3" t="s">
        <v>12047</v>
      </c>
      <c r="F4746" s="3" t="s">
        <v>12048</v>
      </c>
      <c r="G4746" s="3">
        <v>68758</v>
      </c>
      <c r="H4746" s="7" t="str">
        <f>HYPERLINK("http://www.ensembl.org/Mus_musculus/Gene/Summary?db=core;g=ENSMUSG00000040532","ENSMUSG00000040532")</f>
        <v>ENSMUSG00000040532</v>
      </c>
      <c r="I4746" s="7" t="str">
        <f>HYPERLINK("http://www.informatics.jax.org/marker/MGI:1916008","MGI:1916008")</f>
        <v>MGI:1916008</v>
      </c>
      <c r="J4746" s="4" t="s">
        <v>12</v>
      </c>
    </row>
    <row r="4747" spans="1:10" x14ac:dyDescent="0.25">
      <c r="A4747" s="2">
        <v>881.53303185915502</v>
      </c>
      <c r="B4747" s="3">
        <v>-0.23164626916190301</v>
      </c>
      <c r="C4747" s="5">
        <v>7.7089917746388006E-5</v>
      </c>
      <c r="D4747" s="4">
        <v>2.6324037713571798E-4</v>
      </c>
      <c r="E4747" s="3" t="s">
        <v>11561</v>
      </c>
      <c r="F4747" s="3" t="s">
        <v>11562</v>
      </c>
      <c r="G4747" s="3">
        <v>12005</v>
      </c>
      <c r="H4747" s="7" t="str">
        <f>HYPERLINK("http://www.ensembl.org/Mus_musculus/Gene/Summary?db=core;g=ENSMUSG00000024182","ENSMUSG00000024182")</f>
        <v>ENSMUSG00000024182</v>
      </c>
      <c r="I4747" s="7" t="str">
        <f>HYPERLINK("http://www.informatics.jax.org/marker/MGI:1096327","MGI:1096327")</f>
        <v>MGI:1096327</v>
      </c>
      <c r="J4747" s="4" t="s">
        <v>12</v>
      </c>
    </row>
    <row r="4748" spans="1:10" x14ac:dyDescent="0.25">
      <c r="A4748" s="2">
        <v>3103.7784108544602</v>
      </c>
      <c r="B4748" s="3">
        <v>-0.23192513113322899</v>
      </c>
      <c r="C4748" s="5">
        <v>3.29501577545888E-10</v>
      </c>
      <c r="D4748" s="6">
        <v>1.8370854139680201E-9</v>
      </c>
      <c r="E4748" s="3" t="s">
        <v>7092</v>
      </c>
      <c r="F4748" s="3" t="s">
        <v>7093</v>
      </c>
      <c r="G4748" s="3">
        <v>58231</v>
      </c>
      <c r="H4748" s="7" t="str">
        <f>HYPERLINK("http://www.ensembl.org/Mus_musculus/Gene/Summary?db=core;g=ENSMUSG00000018209","ENSMUSG00000018209")</f>
        <v>ENSMUSG00000018209</v>
      </c>
      <c r="I4748" s="7" t="str">
        <f>HYPERLINK("http://www.informatics.jax.org/marker/MGI:1929004","MGI:1929004")</f>
        <v>MGI:1929004</v>
      </c>
      <c r="J4748" s="4" t="s">
        <v>12</v>
      </c>
    </row>
    <row r="4749" spans="1:10" x14ac:dyDescent="0.25">
      <c r="A4749" s="2">
        <v>3012.83622378985</v>
      </c>
      <c r="B4749" s="3">
        <v>-0.23213430800905799</v>
      </c>
      <c r="C4749" s="5">
        <v>8.2649576422017602E-9</v>
      </c>
      <c r="D4749" s="6">
        <v>4.1303843057328603E-8</v>
      </c>
      <c r="E4749" s="3" t="s">
        <v>7908</v>
      </c>
      <c r="F4749" s="3" t="s">
        <v>7909</v>
      </c>
      <c r="G4749" s="3">
        <v>56459</v>
      </c>
      <c r="H4749" s="7" t="str">
        <f>HYPERLINK("http://www.ensembl.org/Mus_musculus/Gene/Summary?db=core;g=ENSMUSG00000052833","ENSMUSG00000052833")</f>
        <v>ENSMUSG00000052833</v>
      </c>
      <c r="I4749" s="7" t="str">
        <f>HYPERLINK("http://www.informatics.jax.org/marker/MGI:1929264","MGI:1929264")</f>
        <v>MGI:1929264</v>
      </c>
      <c r="J4749" s="4" t="s">
        <v>12</v>
      </c>
    </row>
    <row r="4750" spans="1:10" x14ac:dyDescent="0.25">
      <c r="A4750" s="2">
        <v>414.73345072150602</v>
      </c>
      <c r="B4750" s="3">
        <v>-0.23232028474323699</v>
      </c>
      <c r="C4750" s="3">
        <v>5.4337475927118196E-4</v>
      </c>
      <c r="D4750" s="4">
        <v>1.66516709445652E-3</v>
      </c>
      <c r="E4750" s="3" t="s">
        <v>12879</v>
      </c>
      <c r="F4750" s="3" t="s">
        <v>12880</v>
      </c>
      <c r="G4750" s="3">
        <v>16162</v>
      </c>
      <c r="H4750" s="7" t="str">
        <f>HYPERLINK("http://www.ensembl.org/Mus_musculus/Gene/Summary?db=core;g=ENSMUSG00000018341","ENSMUSG00000018341")</f>
        <v>ENSMUSG00000018341</v>
      </c>
      <c r="I4750" s="7" t="str">
        <f>HYPERLINK("http://www.informatics.jax.org/marker/MGI:1270861","MGI:1270861")</f>
        <v>MGI:1270861</v>
      </c>
      <c r="J4750" s="4" t="s">
        <v>12</v>
      </c>
    </row>
    <row r="4751" spans="1:10" x14ac:dyDescent="0.25">
      <c r="A4751" s="2">
        <v>596.05293864421697</v>
      </c>
      <c r="B4751" s="3">
        <v>-0.23244449887945001</v>
      </c>
      <c r="C4751" s="5">
        <v>4.9005346730245897E-5</v>
      </c>
      <c r="D4751" s="4">
        <v>1.7082549122973299E-4</v>
      </c>
      <c r="E4751" s="3" t="s">
        <v>11327</v>
      </c>
      <c r="F4751" s="3" t="s">
        <v>11328</v>
      </c>
      <c r="G4751" s="3">
        <v>233545</v>
      </c>
      <c r="H4751" s="7" t="str">
        <f>HYPERLINK("http://www.ensembl.org/Mus_musculus/Gene/Summary?db=core;g=ENSMUSG00000035401","ENSMUSG00000035401")</f>
        <v>ENSMUSG00000035401</v>
      </c>
      <c r="I4751" s="7" t="str">
        <f>HYPERLINK("http://www.informatics.jax.org/marker/MGI:1924203","MGI:1924203")</f>
        <v>MGI:1924203</v>
      </c>
      <c r="J4751" s="4" t="s">
        <v>12</v>
      </c>
    </row>
    <row r="4752" spans="1:10" x14ac:dyDescent="0.25">
      <c r="A4752" s="2">
        <v>461.19436217984497</v>
      </c>
      <c r="B4752" s="3">
        <v>-0.23291222411327001</v>
      </c>
      <c r="C4752" s="3">
        <v>1.4159836797949599E-4</v>
      </c>
      <c r="D4752" s="4">
        <v>4.6851003633484399E-4</v>
      </c>
      <c r="E4752" s="3" t="s">
        <v>11931</v>
      </c>
      <c r="F4752" s="3" t="s">
        <v>11932</v>
      </c>
      <c r="G4752" s="3">
        <v>14356</v>
      </c>
      <c r="H4752" s="7" t="str">
        <f>HYPERLINK("http://www.ensembl.org/Mus_musculus/Gene/Summary?db=core;g=ENSMUSG00000089847","ENSMUSG00000089847")</f>
        <v>ENSMUSG00000089847</v>
      </c>
      <c r="I4752" s="7" t="str">
        <f>HYPERLINK("http://www.informatics.jax.org/marker/MGI:1315196","MGI:1315196")</f>
        <v>MGI:1315196</v>
      </c>
      <c r="J4752" s="4" t="s">
        <v>12</v>
      </c>
    </row>
    <row r="4753" spans="1:10" x14ac:dyDescent="0.25">
      <c r="A4753" s="2">
        <v>1997.4069944548501</v>
      </c>
      <c r="B4753" s="3">
        <v>-0.233593859705335</v>
      </c>
      <c r="C4753" s="5">
        <v>4.9012709400498499E-5</v>
      </c>
      <c r="D4753" s="4">
        <v>1.7082549122973299E-4</v>
      </c>
      <c r="E4753" s="3" t="s">
        <v>11325</v>
      </c>
      <c r="F4753" s="3" t="s">
        <v>11326</v>
      </c>
      <c r="G4753" s="3">
        <v>228012</v>
      </c>
      <c r="H4753" s="7" t="str">
        <f>HYPERLINK("http://www.ensembl.org/Mus_musculus/Gene/Summary?db=core;g=ENSMUSG00000041997","ENSMUSG00000041997")</f>
        <v>ENSMUSG00000041997</v>
      </c>
      <c r="I4753" s="7" t="str">
        <f>HYPERLINK("http://www.informatics.jax.org/marker/MGI:2441683","MGI:2441683")</f>
        <v>MGI:2441683</v>
      </c>
      <c r="J4753" s="4" t="s">
        <v>12</v>
      </c>
    </row>
    <row r="4754" spans="1:10" x14ac:dyDescent="0.25">
      <c r="A4754" s="2">
        <v>2021.1640710163699</v>
      </c>
      <c r="B4754" s="3">
        <v>-0.23382189424039701</v>
      </c>
      <c r="C4754" s="3">
        <v>2.15163796405227E-3</v>
      </c>
      <c r="D4754" s="4">
        <v>6.0502353701854901E-3</v>
      </c>
      <c r="E4754" s="3" t="s">
        <v>14033</v>
      </c>
      <c r="F4754" s="3" t="s">
        <v>14034</v>
      </c>
      <c r="G4754" s="3">
        <v>13875</v>
      </c>
      <c r="H4754" s="7" t="str">
        <f>HYPERLINK("http://www.ensembl.org/Mus_musculus/Gene/Summary?db=core;g=ENSMUSG00000040857","ENSMUSG00000040857")</f>
        <v>ENSMUSG00000040857</v>
      </c>
      <c r="I4754" s="7" t="str">
        <f>HYPERLINK("http://www.informatics.jax.org/marker/MGI:109637","MGI:109637")</f>
        <v>MGI:109637</v>
      </c>
      <c r="J4754" s="4" t="s">
        <v>12</v>
      </c>
    </row>
    <row r="4755" spans="1:10" x14ac:dyDescent="0.25">
      <c r="A4755" s="2">
        <v>1291.55397369563</v>
      </c>
      <c r="B4755" s="3">
        <v>-0.234193456451145</v>
      </c>
      <c r="C4755" s="3">
        <v>2.9353301146654701E-4</v>
      </c>
      <c r="D4755" s="4">
        <v>9.3152091826847604E-4</v>
      </c>
      <c r="E4755" s="3" t="s">
        <v>12441</v>
      </c>
      <c r="F4755" s="3" t="s">
        <v>12442</v>
      </c>
      <c r="G4755" s="3">
        <v>12036</v>
      </c>
      <c r="H4755" s="7" t="str">
        <f>HYPERLINK("http://www.ensembl.org/Mus_musculus/Gene/Summary?db=core;g=ENSMUSG00000030826","ENSMUSG00000030826")</f>
        <v>ENSMUSG00000030826</v>
      </c>
      <c r="I4755" s="7" t="str">
        <f>HYPERLINK("http://www.informatics.jax.org/marker/MGI:1276534","MGI:1276534")</f>
        <v>MGI:1276534</v>
      </c>
      <c r="J4755" s="4" t="s">
        <v>12</v>
      </c>
    </row>
    <row r="4756" spans="1:10" x14ac:dyDescent="0.25">
      <c r="A4756" s="2">
        <v>1820.7194077378499</v>
      </c>
      <c r="B4756" s="3">
        <v>-0.23440109133334699</v>
      </c>
      <c r="C4756" s="3">
        <v>1.8653295190575701E-2</v>
      </c>
      <c r="D4756" s="4">
        <v>4.38012599616757E-2</v>
      </c>
      <c r="E4756" s="3" t="s">
        <v>16800</v>
      </c>
      <c r="F4756" s="3" t="s">
        <v>16801</v>
      </c>
      <c r="G4756" s="3">
        <v>20198</v>
      </c>
      <c r="H4756" s="7" t="str">
        <f>HYPERLINK("http://www.ensembl.org/Mus_musculus/Gene/Summary?db=core;g=ENSMUSG00000001020","ENSMUSG00000001020")</f>
        <v>ENSMUSG00000001020</v>
      </c>
      <c r="I4756" s="7" t="str">
        <f>HYPERLINK("http://www.informatics.jax.org/marker/MGI:1330282","MGI:1330282")</f>
        <v>MGI:1330282</v>
      </c>
      <c r="J4756" s="4" t="s">
        <v>12</v>
      </c>
    </row>
    <row r="4757" spans="1:10" x14ac:dyDescent="0.25">
      <c r="A4757" s="2">
        <v>320.674196919385</v>
      </c>
      <c r="B4757" s="3">
        <v>-0.23473199505407899</v>
      </c>
      <c r="C4757" s="3">
        <v>2.3476440267244398E-3</v>
      </c>
      <c r="D4757" s="4">
        <v>6.5555848494769199E-3</v>
      </c>
      <c r="E4757" s="3" t="s">
        <v>14131</v>
      </c>
      <c r="F4757" s="3" t="s">
        <v>14132</v>
      </c>
      <c r="G4757" s="3">
        <v>67851</v>
      </c>
      <c r="H4757" s="7" t="str">
        <f>HYPERLINK("http://www.ensembl.org/Mus_musculus/Gene/Summary?db=core;g=ENSMUSG00000019797","ENSMUSG00000019797")</f>
        <v>ENSMUSG00000019797</v>
      </c>
      <c r="I4757" s="7" t="str">
        <f>HYPERLINK("http://www.informatics.jax.org/marker/MGI:1915101","MGI:1915101")</f>
        <v>MGI:1915101</v>
      </c>
      <c r="J4757" s="4" t="s">
        <v>12</v>
      </c>
    </row>
    <row r="4758" spans="1:10" x14ac:dyDescent="0.25">
      <c r="A4758" s="2">
        <v>281.86160231525503</v>
      </c>
      <c r="B4758" s="3">
        <v>-0.23475905385662199</v>
      </c>
      <c r="C4758" s="3">
        <v>5.5572695754200997E-3</v>
      </c>
      <c r="D4758" s="4">
        <v>1.4563369571732101E-2</v>
      </c>
      <c r="E4758" s="3" t="s">
        <v>15054</v>
      </c>
      <c r="F4758" s="3" t="s">
        <v>15055</v>
      </c>
      <c r="G4758" s="3">
        <v>66101</v>
      </c>
      <c r="H4758" s="7" t="str">
        <f>HYPERLINK("http://www.ensembl.org/Mus_musculus/Gene/Summary?db=core;g=ENSMUSG00000060288","ENSMUSG00000060288")</f>
        <v>ENSMUSG00000060288</v>
      </c>
      <c r="I4758" s="7" t="str">
        <f>HYPERLINK("http://www.informatics.jax.org/marker/MGI:106499","MGI:106499")</f>
        <v>MGI:106499</v>
      </c>
      <c r="J4758" s="4" t="s">
        <v>12</v>
      </c>
    </row>
    <row r="4759" spans="1:10" x14ac:dyDescent="0.25">
      <c r="A4759" s="2">
        <v>3350.90276159924</v>
      </c>
      <c r="B4759" s="3">
        <v>-0.235076261194758</v>
      </c>
      <c r="C4759" s="3">
        <v>8.6438845592536305E-3</v>
      </c>
      <c r="D4759" s="4">
        <v>2.1755890683916E-2</v>
      </c>
      <c r="E4759" s="3" t="s">
        <v>15675</v>
      </c>
      <c r="F4759" s="3" t="s">
        <v>15676</v>
      </c>
      <c r="G4759" s="3">
        <v>353047</v>
      </c>
      <c r="H4759" s="7" t="str">
        <f>HYPERLINK("http://www.ensembl.org/Mus_musculus/Gene/Summary?db=core;g=ENSMUSG00000034247","ENSMUSG00000034247")</f>
        <v>ENSMUSG00000034247</v>
      </c>
      <c r="I4759" s="7" t="str">
        <f>HYPERLINK("http://www.informatics.jax.org/marker/MGI:2443207","MGI:2443207")</f>
        <v>MGI:2443207</v>
      </c>
      <c r="J4759" s="4" t="s">
        <v>12</v>
      </c>
    </row>
    <row r="4760" spans="1:10" x14ac:dyDescent="0.25">
      <c r="A4760" s="2">
        <v>364.19904482158103</v>
      </c>
      <c r="B4760" s="3">
        <v>-0.235099353134779</v>
      </c>
      <c r="C4760" s="3">
        <v>1.11240394395179E-2</v>
      </c>
      <c r="D4760" s="4">
        <v>2.7389943531938299E-2</v>
      </c>
      <c r="E4760" s="3" t="s">
        <v>16023</v>
      </c>
      <c r="F4760" s="3" t="s">
        <v>16024</v>
      </c>
      <c r="G4760" s="3">
        <v>223773</v>
      </c>
      <c r="H4760" s="7" t="str">
        <f>HYPERLINK("http://www.ensembl.org/Mus_musculus/Gene/Summary?db=core;g=ENSMUSG00000034333","ENSMUSG00000034333")</f>
        <v>ENSMUSG00000034333</v>
      </c>
      <c r="I4760" s="7" t="str">
        <f>HYPERLINK("http://www.informatics.jax.org/marker/MGI:2682302","MGI:2682302")</f>
        <v>MGI:2682302</v>
      </c>
      <c r="J4760" s="4" t="s">
        <v>12</v>
      </c>
    </row>
    <row r="4761" spans="1:10" x14ac:dyDescent="0.25">
      <c r="A4761" s="2">
        <v>180.77320037896001</v>
      </c>
      <c r="B4761" s="3">
        <v>-0.23526917078101101</v>
      </c>
      <c r="C4761" s="3">
        <v>1.0388811588300901E-2</v>
      </c>
      <c r="D4761" s="4">
        <v>2.5756520558372398E-2</v>
      </c>
      <c r="E4761" s="3" t="s">
        <v>15913</v>
      </c>
      <c r="F4761" s="3" t="s">
        <v>15914</v>
      </c>
      <c r="G4761" s="3">
        <v>75593</v>
      </c>
      <c r="H4761" s="7" t="str">
        <f>HYPERLINK("http://www.ensembl.org/Mus_musculus/Gene/Summary?db=core;g=ENSMUSG00000029815","ENSMUSG00000029815")</f>
        <v>ENSMUSG00000029815</v>
      </c>
      <c r="I4761" s="7" t="str">
        <f>HYPERLINK("http://www.informatics.jax.org/marker/MGI:1922843","MGI:1922843")</f>
        <v>MGI:1922843</v>
      </c>
      <c r="J4761" s="4" t="s">
        <v>12</v>
      </c>
    </row>
    <row r="4762" spans="1:10" x14ac:dyDescent="0.25">
      <c r="A4762" s="2">
        <v>1121.7319356066801</v>
      </c>
      <c r="B4762" s="3">
        <v>-0.23528386569593701</v>
      </c>
      <c r="C4762" s="5">
        <v>1.95407064485883E-5</v>
      </c>
      <c r="D4762" s="6">
        <v>7.1030918187310895E-5</v>
      </c>
      <c r="E4762" s="3" t="s">
        <v>10862</v>
      </c>
      <c r="F4762" s="3" t="s">
        <v>10863</v>
      </c>
      <c r="G4762" s="3">
        <v>338366</v>
      </c>
      <c r="H4762" s="7" t="str">
        <f>HYPERLINK("http://www.ensembl.org/Mus_musculus/Gene/Summary?db=core;g=ENSMUSG00000056050","ENSMUSG00000056050")</f>
        <v>ENSMUSG00000056050</v>
      </c>
      <c r="I4762" s="7" t="str">
        <f>HYPERLINK("http://www.informatics.jax.org/marker/MGI:2443183","MGI:2443183")</f>
        <v>MGI:2443183</v>
      </c>
      <c r="J4762" s="4" t="s">
        <v>12</v>
      </c>
    </row>
    <row r="4763" spans="1:10" x14ac:dyDescent="0.25">
      <c r="A4763" s="2">
        <v>425.092707834343</v>
      </c>
      <c r="B4763" s="3">
        <v>-0.23542710827265001</v>
      </c>
      <c r="C4763" s="3">
        <v>2.86249587701351E-3</v>
      </c>
      <c r="D4763" s="4">
        <v>7.87835571454382E-3</v>
      </c>
      <c r="E4763" s="3" t="s">
        <v>14333</v>
      </c>
      <c r="F4763" s="3" t="s">
        <v>14334</v>
      </c>
      <c r="G4763" s="3">
        <v>93685</v>
      </c>
      <c r="H4763" s="7" t="str">
        <f>HYPERLINK("http://www.ensembl.org/Mus_musculus/Gene/Summary?db=core;g=ENSMUSG00000025192","ENSMUSG00000025192")</f>
        <v>ENSMUSG00000025192</v>
      </c>
      <c r="I4763" s="7" t="str">
        <f>HYPERLINK("http://www.informatics.jax.org/marker/MGI:2135885","MGI:2135885")</f>
        <v>MGI:2135885</v>
      </c>
      <c r="J4763" s="4" t="s">
        <v>12</v>
      </c>
    </row>
    <row r="4764" spans="1:10" x14ac:dyDescent="0.25">
      <c r="A4764" s="2">
        <v>428.436718529215</v>
      </c>
      <c r="B4764" s="3">
        <v>-0.23559378149190199</v>
      </c>
      <c r="C4764" s="3">
        <v>5.5978051319638302E-4</v>
      </c>
      <c r="D4764" s="4">
        <v>1.7133123886749399E-3</v>
      </c>
      <c r="E4764" s="3" t="s">
        <v>12895</v>
      </c>
      <c r="F4764" s="3" t="s">
        <v>12896</v>
      </c>
      <c r="G4764" s="3">
        <v>30840</v>
      </c>
      <c r="H4764" s="7" t="str">
        <f>HYPERLINK("http://www.ensembl.org/Mus_musculus/Gene/Summary?db=core;g=ENSMUSG00000022559","ENSMUSG00000022559")</f>
        <v>ENSMUSG00000022559</v>
      </c>
      <c r="I4764" s="7" t="str">
        <f>HYPERLINK("http://www.informatics.jax.org/marker/MGI:1354705","MGI:1354705")</f>
        <v>MGI:1354705</v>
      </c>
      <c r="J4764" s="4" t="s">
        <v>12</v>
      </c>
    </row>
    <row r="4765" spans="1:10" x14ac:dyDescent="0.25">
      <c r="A4765" s="2">
        <v>2169.7361286609798</v>
      </c>
      <c r="B4765" s="3">
        <v>-0.23609021914575201</v>
      </c>
      <c r="C4765" s="3">
        <v>1.5057773374337799E-3</v>
      </c>
      <c r="D4765" s="4">
        <v>4.3298234316410198E-3</v>
      </c>
      <c r="E4765" s="3" t="s">
        <v>13725</v>
      </c>
      <c r="F4765" s="3" t="s">
        <v>13726</v>
      </c>
      <c r="G4765" s="3">
        <v>231834</v>
      </c>
      <c r="H4765" s="7" t="str">
        <f>HYPERLINK("http://www.ensembl.org/Mus_musculus/Gene/Summary?db=core;g=ENSMUSG00000029560","ENSMUSG00000029560")</f>
        <v>ENSMUSG00000029560</v>
      </c>
      <c r="I4765" s="7" t="str">
        <f>HYPERLINK("http://www.informatics.jax.org/marker/MGI:2443816","MGI:2443816")</f>
        <v>MGI:2443816</v>
      </c>
      <c r="J4765" s="4" t="s">
        <v>12</v>
      </c>
    </row>
    <row r="4766" spans="1:10" x14ac:dyDescent="0.25">
      <c r="A4766" s="2">
        <v>1051.9545698663501</v>
      </c>
      <c r="B4766" s="3">
        <v>-0.236100508986022</v>
      </c>
      <c r="C4766" s="3">
        <v>2.3583163374741598E-3</v>
      </c>
      <c r="D4766" s="4">
        <v>6.58165838876175E-3</v>
      </c>
      <c r="E4766" s="3" t="s">
        <v>14139</v>
      </c>
      <c r="F4766" s="3" t="s">
        <v>14140</v>
      </c>
      <c r="G4766" s="3">
        <v>74140</v>
      </c>
      <c r="H4766" s="7" t="str">
        <f>HYPERLINK("http://www.ensembl.org/Mus_musculus/Gene/Summary?db=core;g=ENSMUSG00000002320","ENSMUSG00000002320")</f>
        <v>ENSMUSG00000002320</v>
      </c>
      <c r="I4766" s="7" t="str">
        <f>HYPERLINK("http://www.informatics.jax.org/marker/MGI:1921390","MGI:1921390")</f>
        <v>MGI:1921390</v>
      </c>
      <c r="J4766" s="4" t="s">
        <v>12</v>
      </c>
    </row>
    <row r="4767" spans="1:10" x14ac:dyDescent="0.25">
      <c r="A4767" s="2">
        <v>789.95233322470403</v>
      </c>
      <c r="B4767" s="3">
        <v>-0.23622452159138699</v>
      </c>
      <c r="C4767" s="5">
        <v>9.64200922834322E-5</v>
      </c>
      <c r="D4767" s="4">
        <v>3.25750251812452E-4</v>
      </c>
      <c r="E4767" s="3" t="s">
        <v>11685</v>
      </c>
      <c r="F4767" s="3" t="s">
        <v>11686</v>
      </c>
      <c r="G4767" s="3">
        <v>67444</v>
      </c>
      <c r="H4767" s="7" t="str">
        <f>HYPERLINK("http://www.ensembl.org/Mus_musculus/Gene/Summary?db=core;g=ENSMUSG00000026309","ENSMUSG00000026309")</f>
        <v>ENSMUSG00000026309</v>
      </c>
      <c r="I4767" s="7" t="str">
        <f>HYPERLINK("http://www.informatics.jax.org/marker/MGI:1914694","MGI:1914694")</f>
        <v>MGI:1914694</v>
      </c>
      <c r="J4767" s="4" t="s">
        <v>12</v>
      </c>
    </row>
    <row r="4768" spans="1:10" x14ac:dyDescent="0.25">
      <c r="A4768" s="2">
        <v>1426.87074746501</v>
      </c>
      <c r="B4768" s="3">
        <v>-0.236249418583905</v>
      </c>
      <c r="C4768" s="5">
        <v>4.7422692484094399E-8</v>
      </c>
      <c r="D4768" s="6">
        <v>2.20612289640562E-7</v>
      </c>
      <c r="E4768" s="3" t="s">
        <v>8495</v>
      </c>
      <c r="F4768" s="3" t="s">
        <v>8496</v>
      </c>
      <c r="G4768" s="3">
        <v>13356</v>
      </c>
      <c r="H4768" s="7" t="str">
        <f>HYPERLINK("http://www.ensembl.org/Mus_musculus/Gene/Summary?db=core;g=ENSMUSG00000003166","ENSMUSG00000003166")</f>
        <v>ENSMUSG00000003166</v>
      </c>
      <c r="I4768" s="7" t="str">
        <f>HYPERLINK("http://www.informatics.jax.org/marker/MGI:892866","MGI:892866")</f>
        <v>MGI:892866</v>
      </c>
      <c r="J4768" s="4" t="s">
        <v>12</v>
      </c>
    </row>
    <row r="4769" spans="1:10" x14ac:dyDescent="0.25">
      <c r="A4769" s="2">
        <v>311.76113589533401</v>
      </c>
      <c r="B4769" s="3">
        <v>-0.23660304097701701</v>
      </c>
      <c r="C4769" s="3">
        <v>4.3823536527564603E-3</v>
      </c>
      <c r="D4769" s="4">
        <v>1.17100290016744E-2</v>
      </c>
      <c r="E4769" s="3" t="s">
        <v>14764</v>
      </c>
      <c r="F4769" s="3" t="s">
        <v>14765</v>
      </c>
      <c r="G4769" s="3">
        <v>54652</v>
      </c>
      <c r="H4769" s="7" t="str">
        <f>HYPERLINK("http://www.ensembl.org/Mus_musculus/Gene/Summary?db=core;g=ENSMUSG00000031142","ENSMUSG00000031142")</f>
        <v>ENSMUSG00000031142</v>
      </c>
      <c r="I4769" s="7" t="str">
        <f>HYPERLINK("http://www.informatics.jax.org/marker/MGI:1859639","MGI:1859639")</f>
        <v>MGI:1859639</v>
      </c>
      <c r="J4769" s="4" t="s">
        <v>12</v>
      </c>
    </row>
    <row r="4770" spans="1:10" x14ac:dyDescent="0.25">
      <c r="A4770" s="2">
        <v>430.79039761472598</v>
      </c>
      <c r="B4770" s="3">
        <v>-0.236617524452019</v>
      </c>
      <c r="C4770" s="3">
        <v>3.0459341753246501E-4</v>
      </c>
      <c r="D4770" s="4">
        <v>9.6351976158809795E-4</v>
      </c>
      <c r="E4770" s="3" t="s">
        <v>12481</v>
      </c>
      <c r="F4770" s="3" t="s">
        <v>12482</v>
      </c>
      <c r="G4770" s="3">
        <v>234463</v>
      </c>
      <c r="H4770" s="7" t="str">
        <f>HYPERLINK("http://www.ensembl.org/Mus_musculus/Gene/Summary?db=core;g=ENSMUSG00000031617","ENSMUSG00000031617")</f>
        <v>ENSMUSG00000031617</v>
      </c>
      <c r="I4770" s="7" t="str">
        <f>HYPERLINK("http://www.informatics.jax.org/marker/MGI:2384562","MGI:2384562")</f>
        <v>MGI:2384562</v>
      </c>
      <c r="J4770" s="4" t="s">
        <v>12</v>
      </c>
    </row>
    <row r="4771" spans="1:10" x14ac:dyDescent="0.25">
      <c r="A4771" s="2">
        <v>326.47781281800002</v>
      </c>
      <c r="B4771" s="3">
        <v>-0.23670365529044601</v>
      </c>
      <c r="C4771" s="3">
        <v>9.6496082145065606E-3</v>
      </c>
      <c r="D4771" s="4">
        <v>2.4087376454439199E-2</v>
      </c>
      <c r="E4771" s="3" t="s">
        <v>15805</v>
      </c>
      <c r="F4771" s="3" t="s">
        <v>15806</v>
      </c>
      <c r="G4771" s="3">
        <v>230514</v>
      </c>
      <c r="H4771" s="7" t="str">
        <f>HYPERLINK("http://www.ensembl.org/Mus_musculus/Gene/Summary?db=core;g=ENSMUSG00000035212","ENSMUSG00000035212")</f>
        <v>ENSMUSG00000035212</v>
      </c>
      <c r="I4771" s="7" t="str">
        <f>HYPERLINK("http://www.informatics.jax.org/marker/MGI:2687005","MGI:2687005")</f>
        <v>MGI:2687005</v>
      </c>
      <c r="J4771" s="4" t="s">
        <v>12</v>
      </c>
    </row>
    <row r="4772" spans="1:10" x14ac:dyDescent="0.25">
      <c r="A4772" s="2">
        <v>429.14232910274802</v>
      </c>
      <c r="B4772" s="3">
        <v>-0.23697100440917099</v>
      </c>
      <c r="C4772" s="3">
        <v>3.4097788755302399E-3</v>
      </c>
      <c r="D4772" s="4">
        <v>9.26820667477001E-3</v>
      </c>
      <c r="E4772" s="3" t="s">
        <v>14513</v>
      </c>
      <c r="F4772" s="3" t="s">
        <v>14514</v>
      </c>
      <c r="G4772" s="3">
        <v>54380</v>
      </c>
      <c r="H4772" s="7" t="str">
        <f>HYPERLINK("http://www.ensembl.org/Mus_musculus/Gene/Summary?db=core;g=ENSMUSG00000039354","ENSMUSG00000039354")</f>
        <v>ENSMUSG00000039354</v>
      </c>
      <c r="I4772" s="7" t="str">
        <f>HYPERLINK("http://www.informatics.jax.org/marker/MGI:1859183","MGI:1859183")</f>
        <v>MGI:1859183</v>
      </c>
      <c r="J4772" s="4" t="s">
        <v>12</v>
      </c>
    </row>
    <row r="4773" spans="1:10" x14ac:dyDescent="0.25">
      <c r="A4773" s="2">
        <v>316.396687631833</v>
      </c>
      <c r="B4773" s="3">
        <v>-0.23697776258951</v>
      </c>
      <c r="C4773" s="3">
        <v>8.9587833383001896E-3</v>
      </c>
      <c r="D4773" s="4">
        <v>2.2493914875385799E-2</v>
      </c>
      <c r="E4773" s="3" t="s">
        <v>15713</v>
      </c>
      <c r="F4773" s="3" t="s">
        <v>15714</v>
      </c>
      <c r="G4773" s="3" t="s">
        <v>83</v>
      </c>
      <c r="H4773" s="7" t="str">
        <f>HYPERLINK("http://www.ensembl.org/Mus_musculus/Gene/Summary?db=core;g=ENSMUSG00000099041","ENSMUSG00000099041")</f>
        <v>ENSMUSG00000099041</v>
      </c>
      <c r="I4773" s="7" t="str">
        <f>HYPERLINK("http://www.informatics.jax.org/marker/MGI:5547771","MGI:5547771")</f>
        <v>MGI:5547771</v>
      </c>
      <c r="J4773" s="4" t="s">
        <v>12</v>
      </c>
    </row>
    <row r="4774" spans="1:10" x14ac:dyDescent="0.25">
      <c r="A4774" s="2">
        <v>774.19244790797302</v>
      </c>
      <c r="B4774" s="3">
        <v>-0.23699515621366901</v>
      </c>
      <c r="C4774" s="3">
        <v>4.9258761825139103E-3</v>
      </c>
      <c r="D4774" s="4">
        <v>1.30316981914642E-2</v>
      </c>
      <c r="E4774" s="3" t="s">
        <v>14912</v>
      </c>
      <c r="F4774" s="3" t="s">
        <v>14913</v>
      </c>
      <c r="G4774" s="3">
        <v>69917</v>
      </c>
      <c r="H4774" s="7" t="str">
        <f>HYPERLINK("http://www.ensembl.org/Mus_musculus/Gene/Summary?db=core;g=ENSMUSG00000025374","ENSMUSG00000025374")</f>
        <v>ENSMUSG00000025374</v>
      </c>
      <c r="I4774" s="7" t="str">
        <f>HYPERLINK("http://www.informatics.jax.org/marker/MGI:1917167","MGI:1917167")</f>
        <v>MGI:1917167</v>
      </c>
      <c r="J4774" s="4" t="s">
        <v>12</v>
      </c>
    </row>
    <row r="4775" spans="1:10" x14ac:dyDescent="0.25">
      <c r="A4775" s="2">
        <v>303.716406047303</v>
      </c>
      <c r="B4775" s="3">
        <v>-0.23745605686389401</v>
      </c>
      <c r="C4775" s="3">
        <v>6.7478289884275204E-3</v>
      </c>
      <c r="D4775" s="4">
        <v>1.7355835092186099E-2</v>
      </c>
      <c r="E4775" s="3" t="s">
        <v>15339</v>
      </c>
      <c r="F4775" s="3" t="s">
        <v>15340</v>
      </c>
      <c r="G4775" s="3">
        <v>18693</v>
      </c>
      <c r="H4775" s="7" t="str">
        <f>HYPERLINK("http://www.ensembl.org/Mus_musculus/Gene/Summary?db=core;g=ENSMUSG00000068206","ENSMUSG00000068206")</f>
        <v>ENSMUSG00000068206</v>
      </c>
      <c r="I4775" s="7" t="str">
        <f>HYPERLINK("http://www.informatics.jax.org/marker/MGI:894645","MGI:894645")</f>
        <v>MGI:894645</v>
      </c>
      <c r="J4775" s="4" t="s">
        <v>12</v>
      </c>
    </row>
    <row r="4776" spans="1:10" x14ac:dyDescent="0.25">
      <c r="A4776" s="2">
        <v>4110.4936332123298</v>
      </c>
      <c r="B4776" s="3">
        <v>-0.23756648639591099</v>
      </c>
      <c r="C4776" s="3">
        <v>1.3453588878945999E-3</v>
      </c>
      <c r="D4776" s="4">
        <v>3.8935246946406599E-3</v>
      </c>
      <c r="E4776" s="3" t="s">
        <v>13637</v>
      </c>
      <c r="F4776" s="3" t="s">
        <v>13638</v>
      </c>
      <c r="G4776" s="3">
        <v>328365</v>
      </c>
      <c r="H4776" s="7" t="str">
        <f>HYPERLINK("http://www.ensembl.org/Mus_musculus/Gene/Summary?db=core;g=ENSMUSG00000007817","ENSMUSG00000007817")</f>
        <v>ENSMUSG00000007817</v>
      </c>
      <c r="I4776" s="7" t="str">
        <f>HYPERLINK("http://www.informatics.jax.org/marker/MGI:3040693","MGI:3040693")</f>
        <v>MGI:3040693</v>
      </c>
      <c r="J4776" s="4" t="s">
        <v>12</v>
      </c>
    </row>
    <row r="4777" spans="1:10" x14ac:dyDescent="0.25">
      <c r="A4777" s="2">
        <v>539.964808253353</v>
      </c>
      <c r="B4777" s="3">
        <v>-0.23762689565556799</v>
      </c>
      <c r="C4777" s="3">
        <v>1.3040965057204401E-2</v>
      </c>
      <c r="D4777" s="4">
        <v>3.1686524264178298E-2</v>
      </c>
      <c r="E4777" s="3" t="s">
        <v>16237</v>
      </c>
      <c r="F4777" s="3" t="s">
        <v>16238</v>
      </c>
      <c r="G4777" s="3">
        <v>66897</v>
      </c>
      <c r="H4777" s="7" t="str">
        <f>HYPERLINK("http://www.ensembl.org/Mus_musculus/Gene/Summary?db=core;g=ENSMUSG00000022020","ENSMUSG00000022020")</f>
        <v>ENSMUSG00000022020</v>
      </c>
      <c r="I4777" s="7" t="str">
        <f>HYPERLINK("http://www.informatics.jax.org/marker/MGI:1914147","MGI:1914147")</f>
        <v>MGI:1914147</v>
      </c>
      <c r="J4777" s="4" t="s">
        <v>12</v>
      </c>
    </row>
    <row r="4778" spans="1:10" x14ac:dyDescent="0.25">
      <c r="A4778" s="2">
        <v>1424.7914046288799</v>
      </c>
      <c r="B4778" s="3">
        <v>-0.23778146214013299</v>
      </c>
      <c r="C4778" s="3">
        <v>5.8684062272688301E-3</v>
      </c>
      <c r="D4778" s="4">
        <v>1.5293375287662401E-2</v>
      </c>
      <c r="E4778" s="3" t="s">
        <v>15138</v>
      </c>
      <c r="F4778" s="3" t="s">
        <v>15139</v>
      </c>
      <c r="G4778" s="3">
        <v>68250</v>
      </c>
      <c r="H4778" s="7" t="str">
        <f>HYPERLINK("http://www.ensembl.org/Mus_musculus/Gene/Summary?db=core;g=ENSMUSG00000032381","ENSMUSG00000032381")</f>
        <v>ENSMUSG00000032381</v>
      </c>
      <c r="I4778" s="7" t="str">
        <f>HYPERLINK("http://www.informatics.jax.org/marker/MGI:1915500","MGI:1915500")</f>
        <v>MGI:1915500</v>
      </c>
      <c r="J4778" s="4" t="s">
        <v>12</v>
      </c>
    </row>
    <row r="4779" spans="1:10" x14ac:dyDescent="0.25">
      <c r="A4779" s="2">
        <v>1638.20222101435</v>
      </c>
      <c r="B4779" s="3">
        <v>-0.23787315685361299</v>
      </c>
      <c r="C4779" s="5">
        <v>5.1245563722112303E-6</v>
      </c>
      <c r="D4779" s="6">
        <v>1.9760706229957999E-5</v>
      </c>
      <c r="E4779" s="3" t="s">
        <v>10242</v>
      </c>
      <c r="F4779" s="3" t="s">
        <v>10243</v>
      </c>
      <c r="G4779" s="3">
        <v>58523</v>
      </c>
      <c r="H4779" s="7" t="str">
        <f>HYPERLINK("http://www.ensembl.org/Mus_musculus/Gene/Summary?db=core;g=ENSMUSG00000024271","ENSMUSG00000024271")</f>
        <v>ENSMUSG00000024271</v>
      </c>
      <c r="I4779" s="7" t="str">
        <f>HYPERLINK("http://www.informatics.jax.org/marker/MGI:1889642","MGI:1889642")</f>
        <v>MGI:1889642</v>
      </c>
      <c r="J4779" s="4" t="s">
        <v>12</v>
      </c>
    </row>
    <row r="4780" spans="1:10" x14ac:dyDescent="0.25">
      <c r="A4780" s="2">
        <v>1023.47232859363</v>
      </c>
      <c r="B4780" s="3">
        <v>-0.23803124667547501</v>
      </c>
      <c r="C4780" s="3">
        <v>1.85152014302826E-3</v>
      </c>
      <c r="D4780" s="4">
        <v>5.2512551733808798E-3</v>
      </c>
      <c r="E4780" s="3" t="s">
        <v>13913</v>
      </c>
      <c r="F4780" s="3" t="s">
        <v>13914</v>
      </c>
      <c r="G4780" s="3">
        <v>72544</v>
      </c>
      <c r="H4780" s="7" t="str">
        <f>HYPERLINK("http://www.ensembl.org/Mus_musculus/Gene/Summary?db=core;g=ENSMUSG00000109941","ENSMUSG00000109941")</f>
        <v>ENSMUSG00000109941</v>
      </c>
      <c r="I4780" s="7" t="str">
        <f>HYPERLINK("http://www.informatics.jax.org/marker/MGI:1919794","MGI:1919794")</f>
        <v>MGI:1919794</v>
      </c>
      <c r="J4780" s="4" t="s">
        <v>12</v>
      </c>
    </row>
    <row r="4781" spans="1:10" x14ac:dyDescent="0.25">
      <c r="A4781" s="2">
        <v>182.954392691245</v>
      </c>
      <c r="B4781" s="3">
        <v>-0.238286224117496</v>
      </c>
      <c r="C4781" s="3">
        <v>1.46318334000564E-2</v>
      </c>
      <c r="D4781" s="4">
        <v>3.5200653244981298E-2</v>
      </c>
      <c r="E4781" s="3" t="s">
        <v>16399</v>
      </c>
      <c r="F4781" s="3" t="s">
        <v>16400</v>
      </c>
      <c r="G4781" s="3">
        <v>243371</v>
      </c>
      <c r="H4781" s="7" t="str">
        <f>HYPERLINK("http://www.ensembl.org/Mus_musculus/Gene/Summary?db=core;g=ENSMUSG00000073096","ENSMUSG00000073096")</f>
        <v>ENSMUSG00000073096</v>
      </c>
      <c r="I4781" s="7" t="str">
        <f>HYPERLINK("http://www.informatics.jax.org/marker/MGI:2652848","MGI:2652848")</f>
        <v>MGI:2652848</v>
      </c>
      <c r="J4781" s="4" t="s">
        <v>12</v>
      </c>
    </row>
    <row r="4782" spans="1:10" x14ac:dyDescent="0.25">
      <c r="A4782" s="2">
        <v>784.65028440789695</v>
      </c>
      <c r="B4782" s="3">
        <v>-0.23839594311765699</v>
      </c>
      <c r="C4782" s="3">
        <v>9.7870992071072208E-3</v>
      </c>
      <c r="D4782" s="4">
        <v>2.4405867016205701E-2</v>
      </c>
      <c r="E4782" s="3" t="s">
        <v>15821</v>
      </c>
      <c r="F4782" s="3" t="s">
        <v>15822</v>
      </c>
      <c r="G4782" s="3">
        <v>18647</v>
      </c>
      <c r="H4782" s="7" t="str">
        <f>HYPERLINK("http://www.ensembl.org/Mus_musculus/Gene/Summary?db=core;g=ENSMUSG00000028926","ENSMUSG00000028926")</f>
        <v>ENSMUSG00000028926</v>
      </c>
      <c r="I4782" s="7" t="str">
        <f>HYPERLINK("http://www.informatics.jax.org/marker/MGI:894318","MGI:894318")</f>
        <v>MGI:894318</v>
      </c>
      <c r="J4782" s="4" t="s">
        <v>12</v>
      </c>
    </row>
    <row r="4783" spans="1:10" x14ac:dyDescent="0.25">
      <c r="A4783" s="2">
        <v>551.17079433666697</v>
      </c>
      <c r="B4783" s="3">
        <v>-0.23840344262653099</v>
      </c>
      <c r="C4783" s="3">
        <v>6.4341788708512299E-4</v>
      </c>
      <c r="D4783" s="4">
        <v>1.95113036034424E-3</v>
      </c>
      <c r="E4783" s="3" t="s">
        <v>13015</v>
      </c>
      <c r="F4783" s="3" t="s">
        <v>13016</v>
      </c>
      <c r="G4783" s="3" t="s">
        <v>83</v>
      </c>
      <c r="H4783" s="7" t="str">
        <f>HYPERLINK("http://www.ensembl.org/Mus_musculus/Gene/Summary?db=core;g=ENSMUSG00000117942","ENSMUSG00000117942")</f>
        <v>ENSMUSG00000117942</v>
      </c>
      <c r="I4783" s="7" t="str">
        <f>HYPERLINK("http://www.informatics.jax.org/marker/MGI:3845902","MGI:3845902")</f>
        <v>MGI:3845902</v>
      </c>
      <c r="J4783" s="4" t="s">
        <v>12</v>
      </c>
    </row>
    <row r="4784" spans="1:10" x14ac:dyDescent="0.25">
      <c r="A4784" s="2">
        <v>2486.7320315514798</v>
      </c>
      <c r="B4784" s="3">
        <v>-0.23864268649144199</v>
      </c>
      <c r="C4784" s="5">
        <v>3.43457378110574E-6</v>
      </c>
      <c r="D4784" s="6">
        <v>1.34732036927402E-5</v>
      </c>
      <c r="E4784" s="3" t="s">
        <v>10070</v>
      </c>
      <c r="F4784" s="3" t="s">
        <v>10071</v>
      </c>
      <c r="G4784" s="3">
        <v>22099</v>
      </c>
      <c r="H4784" s="7" t="str">
        <f>HYPERLINK("http://www.ensembl.org/Mus_musculus/Gene/Summary?db=core;g=ENSMUSG00000026374","ENSMUSG00000026374")</f>
        <v>ENSMUSG00000026374</v>
      </c>
      <c r="I4784" s="7" t="str">
        <f>HYPERLINK("http://www.informatics.jax.org/marker/MGI:109263","MGI:109263")</f>
        <v>MGI:109263</v>
      </c>
      <c r="J4784" s="4" t="s">
        <v>12</v>
      </c>
    </row>
    <row r="4785" spans="1:10" x14ac:dyDescent="0.25">
      <c r="A4785" s="2">
        <v>406.637897797324</v>
      </c>
      <c r="B4785" s="3">
        <v>-0.238878029816389</v>
      </c>
      <c r="C4785" s="3">
        <v>1.7077169487995599E-3</v>
      </c>
      <c r="D4785" s="4">
        <v>4.8742478260713901E-3</v>
      </c>
      <c r="E4785" s="3" t="s">
        <v>13825</v>
      </c>
      <c r="F4785" s="3" t="s">
        <v>13826</v>
      </c>
      <c r="G4785" s="3">
        <v>72290</v>
      </c>
      <c r="H4785" s="7" t="str">
        <f>HYPERLINK("http://www.ensembl.org/Mus_musculus/Gene/Summary?db=core;g=ENSMUSG00000044847","ENSMUSG00000044847")</f>
        <v>ENSMUSG00000044847</v>
      </c>
      <c r="I4785" s="7" t="str">
        <f>HYPERLINK("http://www.informatics.jax.org/marker/MGI:1919540","MGI:1919540")</f>
        <v>MGI:1919540</v>
      </c>
      <c r="J4785" s="4" t="s">
        <v>12</v>
      </c>
    </row>
    <row r="4786" spans="1:10" x14ac:dyDescent="0.25">
      <c r="A4786" s="2">
        <v>3107.43180424927</v>
      </c>
      <c r="B4786" s="3">
        <v>-0.23915861044216799</v>
      </c>
      <c r="C4786" s="3">
        <v>1.82778523201413E-4</v>
      </c>
      <c r="D4786" s="4">
        <v>5.9557046885853697E-4</v>
      </c>
      <c r="E4786" s="3" t="s">
        <v>12115</v>
      </c>
      <c r="F4786" s="3" t="s">
        <v>12116</v>
      </c>
      <c r="G4786" s="3">
        <v>14269</v>
      </c>
      <c r="H4786" s="7" t="str">
        <f>HYPERLINK("http://www.ensembl.org/Mus_musculus/Gene/Summary?db=core;g=ENSMUSG00000075415","ENSMUSG00000075415")</f>
        <v>ENSMUSG00000075415</v>
      </c>
      <c r="I4786" s="7" t="str">
        <f>HYPERLINK("http://www.informatics.jax.org/marker/MGI:109606","MGI:109606")</f>
        <v>MGI:109606</v>
      </c>
      <c r="J4786" s="4" t="s">
        <v>12</v>
      </c>
    </row>
    <row r="4787" spans="1:10" x14ac:dyDescent="0.25">
      <c r="A4787" s="2">
        <v>5389.5069652723596</v>
      </c>
      <c r="B4787" s="3">
        <v>-0.23945411979713199</v>
      </c>
      <c r="C4787" s="3">
        <v>5.2832487190691401E-3</v>
      </c>
      <c r="D4787" s="4">
        <v>1.3915542238552601E-2</v>
      </c>
      <c r="E4787" s="3" t="s">
        <v>14978</v>
      </c>
      <c r="F4787" s="3" t="s">
        <v>14979</v>
      </c>
      <c r="G4787" s="3">
        <v>16905</v>
      </c>
      <c r="H4787" s="7" t="str">
        <f>HYPERLINK("http://www.ensembl.org/Mus_musculus/Gene/Summary?db=core;g=ENSMUSG00000028063","ENSMUSG00000028063")</f>
        <v>ENSMUSG00000028063</v>
      </c>
      <c r="I4787" s="7" t="str">
        <f>HYPERLINK("http://www.informatics.jax.org/marker/MGI:96794","MGI:96794")</f>
        <v>MGI:96794</v>
      </c>
      <c r="J4787" s="4" t="s">
        <v>12</v>
      </c>
    </row>
    <row r="4788" spans="1:10" x14ac:dyDescent="0.25">
      <c r="A4788" s="2">
        <v>684.01009145989497</v>
      </c>
      <c r="B4788" s="3">
        <v>-0.23975422495044901</v>
      </c>
      <c r="C4788" s="3">
        <v>5.3960957363248701E-3</v>
      </c>
      <c r="D4788" s="4">
        <v>1.4184351895537999E-2</v>
      </c>
      <c r="E4788" s="3" t="s">
        <v>15008</v>
      </c>
      <c r="F4788" s="3" t="s">
        <v>15009</v>
      </c>
      <c r="G4788" s="3">
        <v>59009</v>
      </c>
      <c r="H4788" s="7" t="str">
        <f>HYPERLINK("http://www.ensembl.org/Mus_musculus/Gene/Summary?db=core;g=ENSMUSG00000031642","ENSMUSG00000031642")</f>
        <v>ENSMUSG00000031642</v>
      </c>
      <c r="I4788" s="7" t="str">
        <f>HYPERLINK("http://www.informatics.jax.org/marker/MGI:1913066","MGI:1913066")</f>
        <v>MGI:1913066</v>
      </c>
      <c r="J4788" s="4" t="s">
        <v>12</v>
      </c>
    </row>
    <row r="4789" spans="1:10" x14ac:dyDescent="0.25">
      <c r="A4789" s="2">
        <v>1161.87457512625</v>
      </c>
      <c r="B4789" s="3">
        <v>-0.2400657408853</v>
      </c>
      <c r="C4789" s="5">
        <v>3.9732317996576603E-6</v>
      </c>
      <c r="D4789" s="6">
        <v>1.5487671691885502E-5</v>
      </c>
      <c r="E4789" s="3" t="s">
        <v>10134</v>
      </c>
      <c r="F4789" s="3" t="s">
        <v>10135</v>
      </c>
      <c r="G4789" s="3">
        <v>67922</v>
      </c>
      <c r="H4789" s="7" t="str">
        <f>HYPERLINK("http://www.ensembl.org/Mus_musculus/Gene/Summary?db=core;g=ENSMUSG00000003039","ENSMUSG00000003039")</f>
        <v>ENSMUSG00000003039</v>
      </c>
      <c r="I4789" s="7" t="str">
        <f>HYPERLINK("http://www.informatics.jax.org/marker/MGI:1915172","MGI:1915172")</f>
        <v>MGI:1915172</v>
      </c>
      <c r="J4789" s="4" t="s">
        <v>12</v>
      </c>
    </row>
    <row r="4790" spans="1:10" x14ac:dyDescent="0.25">
      <c r="A4790" s="2">
        <v>441.00267840960299</v>
      </c>
      <c r="B4790" s="3">
        <v>-0.24026710487897099</v>
      </c>
      <c r="C4790" s="3">
        <v>9.08160036145963E-3</v>
      </c>
      <c r="D4790" s="4">
        <v>2.2767500524788199E-2</v>
      </c>
      <c r="E4790" s="3" t="s">
        <v>15737</v>
      </c>
      <c r="F4790" s="3" t="s">
        <v>15738</v>
      </c>
      <c r="G4790" s="3">
        <v>101831</v>
      </c>
      <c r="H4790" s="7" t="str">
        <f>HYPERLINK("http://www.ensembl.org/Mus_musculus/Gene/Summary?db=core;g=ENSMUSG00000030493","ENSMUSG00000030493")</f>
        <v>ENSMUSG00000030493</v>
      </c>
      <c r="I4790" s="7" t="str">
        <f>HYPERLINK("http://www.informatics.jax.org/marker/MGI:2142208","MGI:2142208")</f>
        <v>MGI:2142208</v>
      </c>
      <c r="J4790" s="4" t="s">
        <v>12</v>
      </c>
    </row>
    <row r="4791" spans="1:10" x14ac:dyDescent="0.25">
      <c r="A4791" s="2">
        <v>1924.81760168805</v>
      </c>
      <c r="B4791" s="3">
        <v>-0.240388565750984</v>
      </c>
      <c r="C4791" s="5">
        <v>2.38898606103434E-8</v>
      </c>
      <c r="D4791" s="6">
        <v>1.1437437514833E-7</v>
      </c>
      <c r="E4791" s="3" t="s">
        <v>8255</v>
      </c>
      <c r="F4791" s="3" t="s">
        <v>8256</v>
      </c>
      <c r="G4791" s="3">
        <v>233863</v>
      </c>
      <c r="H4791" s="7" t="str">
        <f>HYPERLINK("http://www.ensembl.org/Mus_musculus/Gene/Summary?db=core;g=ENSMUSG00000032777","ENSMUSG00000032777")</f>
        <v>ENSMUSG00000032777</v>
      </c>
      <c r="I4791" s="7" t="str">
        <f>HYPERLINK("http://www.informatics.jax.org/marker/MGI:107887","MGI:107887")</f>
        <v>MGI:107887</v>
      </c>
      <c r="J4791" s="4" t="s">
        <v>12</v>
      </c>
    </row>
    <row r="4792" spans="1:10" x14ac:dyDescent="0.25">
      <c r="A4792" s="2">
        <v>234.69779542184301</v>
      </c>
      <c r="B4792" s="3">
        <v>-0.24039223622498601</v>
      </c>
      <c r="C4792" s="3">
        <v>3.8763401791624798E-3</v>
      </c>
      <c r="D4792" s="4">
        <v>1.0457103739136E-2</v>
      </c>
      <c r="E4792" s="3" t="s">
        <v>14623</v>
      </c>
      <c r="F4792" s="3" t="s">
        <v>14624</v>
      </c>
      <c r="G4792" s="3">
        <v>67532</v>
      </c>
      <c r="H4792" s="7" t="str">
        <f>HYPERLINK("http://www.ensembl.org/Mus_musculus/Gene/Summary?db=core;g=ENSMUSG00000068479","ENSMUSG00000068479")</f>
        <v>ENSMUSG00000068479</v>
      </c>
      <c r="I4792" s="7" t="str">
        <f>HYPERLINK("http://www.informatics.jax.org/marker/MGI:1914782","MGI:1914782")</f>
        <v>MGI:1914782</v>
      </c>
      <c r="J4792" s="4" t="s">
        <v>12</v>
      </c>
    </row>
    <row r="4793" spans="1:10" x14ac:dyDescent="0.25">
      <c r="A4793" s="2">
        <v>814.96560433553202</v>
      </c>
      <c r="B4793" s="3">
        <v>-0.24044243350313399</v>
      </c>
      <c r="C4793" s="3">
        <v>5.4041202814970896E-3</v>
      </c>
      <c r="D4793" s="4">
        <v>1.4199767082094901E-2</v>
      </c>
      <c r="E4793" s="3" t="s">
        <v>15014</v>
      </c>
      <c r="F4793" s="3" t="s">
        <v>15015</v>
      </c>
      <c r="G4793" s="3">
        <v>15356</v>
      </c>
      <c r="H4793" s="7" t="str">
        <f>HYPERLINK("http://www.ensembl.org/Mus_musculus/Gene/Summary?db=core;g=ENSMUSG00000028672","ENSMUSG00000028672")</f>
        <v>ENSMUSG00000028672</v>
      </c>
      <c r="I4793" s="7" t="str">
        <f>HYPERLINK("http://www.informatics.jax.org/marker/MGI:96158","MGI:96158")</f>
        <v>MGI:96158</v>
      </c>
      <c r="J4793" s="4" t="s">
        <v>12</v>
      </c>
    </row>
    <row r="4794" spans="1:10" x14ac:dyDescent="0.25">
      <c r="A4794" s="2">
        <v>411.32132309729201</v>
      </c>
      <c r="B4794" s="3">
        <v>-0.240452427272796</v>
      </c>
      <c r="C4794" s="3">
        <v>2.69858197154128E-3</v>
      </c>
      <c r="D4794" s="4">
        <v>7.4605406531324898E-3</v>
      </c>
      <c r="E4794" s="3" t="s">
        <v>14271</v>
      </c>
      <c r="F4794" s="3" t="s">
        <v>14272</v>
      </c>
      <c r="G4794" s="3">
        <v>20892</v>
      </c>
      <c r="H4794" s="7" t="str">
        <f>HYPERLINK("http://www.ensembl.org/Mus_musculus/Gene/Summary?db=core;g=ENSMUSG00000025144","ENSMUSG00000025144")</f>
        <v>ENSMUSG00000025144</v>
      </c>
      <c r="I4794" s="7" t="str">
        <f>HYPERLINK("http://www.informatics.jax.org/marker/MGI:894324","MGI:894324")</f>
        <v>MGI:894324</v>
      </c>
      <c r="J4794" s="4" t="s">
        <v>12</v>
      </c>
    </row>
    <row r="4795" spans="1:10" x14ac:dyDescent="0.25">
      <c r="A4795" s="2">
        <v>283.30715194483901</v>
      </c>
      <c r="B4795" s="3">
        <v>-0.24049885778796101</v>
      </c>
      <c r="C4795" s="3">
        <v>2.24367490374962E-3</v>
      </c>
      <c r="D4795" s="4">
        <v>6.2866253341776696E-3</v>
      </c>
      <c r="E4795" s="3" t="s">
        <v>14083</v>
      </c>
      <c r="F4795" s="3" t="s">
        <v>14084</v>
      </c>
      <c r="G4795" s="3">
        <v>70984</v>
      </c>
      <c r="H4795" s="7" t="str">
        <f>HYPERLINK("http://www.ensembl.org/Mus_musculus/Gene/Summary?db=core;g=ENSMUSG00000031938","ENSMUSG00000031938")</f>
        <v>ENSMUSG00000031938</v>
      </c>
      <c r="I4795" s="7" t="str">
        <f>HYPERLINK("http://www.informatics.jax.org/marker/MGI:1918234","MGI:1918234")</f>
        <v>MGI:1918234</v>
      </c>
      <c r="J4795" s="4" t="s">
        <v>12</v>
      </c>
    </row>
    <row r="4796" spans="1:10" x14ac:dyDescent="0.25">
      <c r="A4796" s="2">
        <v>254.97408474014699</v>
      </c>
      <c r="B4796" s="3">
        <v>-0.240693726651726</v>
      </c>
      <c r="C4796" s="3">
        <v>2.8971110320654601E-3</v>
      </c>
      <c r="D4796" s="4">
        <v>7.9580762713930796E-3</v>
      </c>
      <c r="E4796" s="3" t="s">
        <v>14363</v>
      </c>
      <c r="F4796" s="3" t="s">
        <v>14364</v>
      </c>
      <c r="G4796" s="3">
        <v>235459</v>
      </c>
      <c r="H4796" s="7" t="str">
        <f>HYPERLINK("http://www.ensembl.org/Mus_musculus/Gene/Summary?db=core;g=ENSMUSG00000033543","ENSMUSG00000033543")</f>
        <v>ENSMUSG00000033543</v>
      </c>
      <c r="I4796" s="7" t="str">
        <f>HYPERLINK("http://www.informatics.jax.org/marker/MGI:1933289","MGI:1933289")</f>
        <v>MGI:1933289</v>
      </c>
      <c r="J4796" s="4" t="s">
        <v>12</v>
      </c>
    </row>
    <row r="4797" spans="1:10" x14ac:dyDescent="0.25">
      <c r="A4797" s="2">
        <v>1798.82136599572</v>
      </c>
      <c r="B4797" s="3">
        <v>-0.24069792301766099</v>
      </c>
      <c r="C4797" s="5">
        <v>1.49319553364682E-7</v>
      </c>
      <c r="D4797" s="6">
        <v>6.6574306858501695E-7</v>
      </c>
      <c r="E4797" s="3" t="s">
        <v>8863</v>
      </c>
      <c r="F4797" s="3" t="s">
        <v>8864</v>
      </c>
      <c r="G4797" s="3">
        <v>72265</v>
      </c>
      <c r="H4797" s="7" t="str">
        <f>HYPERLINK("http://www.ensembl.org/Mus_musculus/Gene/Summary?db=core;g=ENSMUSG00000025935","ENSMUSG00000025935")</f>
        <v>ENSMUSG00000025935</v>
      </c>
      <c r="I4797" s="7" t="str">
        <f>HYPERLINK("http://www.informatics.jax.org/marker/MGI:1919515","MGI:1919515")</f>
        <v>MGI:1919515</v>
      </c>
      <c r="J4797" s="4" t="s">
        <v>12</v>
      </c>
    </row>
    <row r="4798" spans="1:10" x14ac:dyDescent="0.25">
      <c r="A4798" s="2">
        <v>2455.7739084631899</v>
      </c>
      <c r="B4798" s="3">
        <v>-0.24080679526406201</v>
      </c>
      <c r="C4798" s="3">
        <v>1.4644326660674801E-2</v>
      </c>
      <c r="D4798" s="4">
        <v>3.5226411533118798E-2</v>
      </c>
      <c r="E4798" s="3" t="s">
        <v>16401</v>
      </c>
      <c r="F4798" s="3" t="s">
        <v>16402</v>
      </c>
      <c r="G4798" s="3">
        <v>12235</v>
      </c>
      <c r="H4798" s="7" t="str">
        <f>HYPERLINK("http://www.ensembl.org/Mus_musculus/Gene/Summary?db=core;g=ENSMUSG00000027379","ENSMUSG00000027379")</f>
        <v>ENSMUSG00000027379</v>
      </c>
      <c r="I4798" s="7" t="str">
        <f>HYPERLINK("http://www.informatics.jax.org/marker/MGI:1100510","MGI:1100510")</f>
        <v>MGI:1100510</v>
      </c>
      <c r="J4798" s="4" t="s">
        <v>12</v>
      </c>
    </row>
    <row r="4799" spans="1:10" x14ac:dyDescent="0.25">
      <c r="A4799" s="2">
        <v>1171.3181735886301</v>
      </c>
      <c r="B4799" s="3">
        <v>-0.24089277571600801</v>
      </c>
      <c r="C4799" s="5">
        <v>6.2201707072094E-5</v>
      </c>
      <c r="D4799" s="4">
        <v>2.1459371299189901E-4</v>
      </c>
      <c r="E4799" s="3" t="s">
        <v>11443</v>
      </c>
      <c r="F4799" s="3" t="s">
        <v>11444</v>
      </c>
      <c r="G4799" s="3">
        <v>15467</v>
      </c>
      <c r="H4799" s="7" t="str">
        <f>HYPERLINK("http://www.ensembl.org/Mus_musculus/Gene/Summary?db=core;g=ENSMUSG00000029613","ENSMUSG00000029613")</f>
        <v>ENSMUSG00000029613</v>
      </c>
      <c r="I4799" s="7" t="str">
        <f>HYPERLINK("http://www.informatics.jax.org/marker/MGI:1353448","MGI:1353448")</f>
        <v>MGI:1353448</v>
      </c>
      <c r="J4799" s="4" t="s">
        <v>12</v>
      </c>
    </row>
    <row r="4800" spans="1:10" x14ac:dyDescent="0.25">
      <c r="A4800" s="2">
        <v>1548.2614479526801</v>
      </c>
      <c r="B4800" s="3">
        <v>-0.241277215664779</v>
      </c>
      <c r="C4800" s="5">
        <v>1.13234968364223E-7</v>
      </c>
      <c r="D4800" s="6">
        <v>5.1109946810310598E-7</v>
      </c>
      <c r="E4800" s="3" t="s">
        <v>8755</v>
      </c>
      <c r="F4800" s="3" t="s">
        <v>8756</v>
      </c>
      <c r="G4800" s="3">
        <v>100336</v>
      </c>
      <c r="H4800" s="7" t="str">
        <f>HYPERLINK("http://www.ensembl.org/Mus_musculus/Gene/Summary?db=core;g=ENSMUSG00000028882","ENSMUSG00000028882")</f>
        <v>ENSMUSG00000028882</v>
      </c>
      <c r="I4800" s="7" t="str">
        <f>HYPERLINK("http://www.informatics.jax.org/marker/MGI:2140494","MGI:2140494")</f>
        <v>MGI:2140494</v>
      </c>
      <c r="J4800" s="4" t="s">
        <v>12</v>
      </c>
    </row>
    <row r="4801" spans="1:10" x14ac:dyDescent="0.25">
      <c r="A4801" s="2">
        <v>795.58118011075499</v>
      </c>
      <c r="B4801" s="3">
        <v>-0.241368301680534</v>
      </c>
      <c r="C4801" s="3">
        <v>1.7265659641492999E-3</v>
      </c>
      <c r="D4801" s="4">
        <v>4.92590868243985E-3</v>
      </c>
      <c r="E4801" s="3" t="s">
        <v>13831</v>
      </c>
      <c r="F4801" s="3" t="s">
        <v>13832</v>
      </c>
      <c r="G4801" s="3">
        <v>104082</v>
      </c>
      <c r="H4801" s="7" t="str">
        <f>HYPERLINK("http://www.ensembl.org/Mus_musculus/Gene/Summary?db=core;g=ENSMUSG00000040560","ENSMUSG00000040560")</f>
        <v>ENSMUSG00000040560</v>
      </c>
      <c r="I4801" s="7" t="str">
        <f>HYPERLINK("http://www.informatics.jax.org/marker/MGI:1860197","MGI:1860197")</f>
        <v>MGI:1860197</v>
      </c>
      <c r="J4801" s="4" t="s">
        <v>12</v>
      </c>
    </row>
    <row r="4802" spans="1:10" x14ac:dyDescent="0.25">
      <c r="A4802" s="2">
        <v>252.84329879993501</v>
      </c>
      <c r="B4802" s="3">
        <v>-0.241452315401603</v>
      </c>
      <c r="C4802" s="3">
        <v>6.1001482658628904E-3</v>
      </c>
      <c r="D4802" s="4">
        <v>1.58366145080064E-2</v>
      </c>
      <c r="E4802" s="3" t="s">
        <v>15197</v>
      </c>
      <c r="F4802" s="3" t="s">
        <v>15198</v>
      </c>
      <c r="G4802" s="3">
        <v>93681</v>
      </c>
      <c r="H4802" s="7" t="str">
        <f>HYPERLINK("http://www.ensembl.org/Mus_musculus/Gene/Summary?db=core;g=ENSMUSG00000063894","ENSMUSG00000063894")</f>
        <v>ENSMUSG00000063894</v>
      </c>
      <c r="I4802" s="7" t="str">
        <f>HYPERLINK("http://www.informatics.jax.org/marker/MGI:1913815","MGI:1913815")</f>
        <v>MGI:1913815</v>
      </c>
      <c r="J4802" s="4" t="s">
        <v>12</v>
      </c>
    </row>
    <row r="4803" spans="1:10" x14ac:dyDescent="0.25">
      <c r="A4803" s="2">
        <v>7029.8229348770501</v>
      </c>
      <c r="B4803" s="3">
        <v>-0.24160796667266299</v>
      </c>
      <c r="C4803" s="5">
        <v>3.28341049888313E-5</v>
      </c>
      <c r="D4803" s="4">
        <v>1.16727699725934E-4</v>
      </c>
      <c r="E4803" s="3" t="s">
        <v>11107</v>
      </c>
      <c r="F4803" s="3" t="s">
        <v>11108</v>
      </c>
      <c r="G4803" s="3">
        <v>69719</v>
      </c>
      <c r="H4803" s="7" t="str">
        <f>HYPERLINK("http://www.ensembl.org/Mus_musculus/Gene/Summary?db=core;g=ENSMUSG00000013629","ENSMUSG00000013629")</f>
        <v>ENSMUSG00000013629</v>
      </c>
      <c r="I4803" s="7" t="str">
        <f>HYPERLINK("http://www.informatics.jax.org/marker/MGI:1916969","MGI:1916969")</f>
        <v>MGI:1916969</v>
      </c>
      <c r="J4803" s="4" t="s">
        <v>12</v>
      </c>
    </row>
    <row r="4804" spans="1:10" x14ac:dyDescent="0.25">
      <c r="A4804" s="2">
        <v>547.71702178589896</v>
      </c>
      <c r="B4804" s="3">
        <v>-0.24262946482664899</v>
      </c>
      <c r="C4804" s="3">
        <v>2.2396618589574299E-3</v>
      </c>
      <c r="D4804" s="4">
        <v>6.2780571227634002E-3</v>
      </c>
      <c r="E4804" s="3" t="s">
        <v>14077</v>
      </c>
      <c r="F4804" s="3" t="s">
        <v>14078</v>
      </c>
      <c r="G4804" s="3">
        <v>68839</v>
      </c>
      <c r="H4804" s="7" t="str">
        <f>HYPERLINK("http://www.ensembl.org/Mus_musculus/Gene/Summary?db=core;g=ENSMUSG00000048307","ENSMUSG00000048307")</f>
        <v>ENSMUSG00000048307</v>
      </c>
      <c r="I4804" s="7" t="str">
        <f>HYPERLINK("http://www.informatics.jax.org/marker/MGI:1916089","MGI:1916089")</f>
        <v>MGI:1916089</v>
      </c>
      <c r="J4804" s="4" t="s">
        <v>12</v>
      </c>
    </row>
    <row r="4805" spans="1:10" x14ac:dyDescent="0.25">
      <c r="A4805" s="2">
        <v>6032.09565520254</v>
      </c>
      <c r="B4805" s="3">
        <v>-0.243293811552943</v>
      </c>
      <c r="C4805" s="5">
        <v>4.6526690326219997E-7</v>
      </c>
      <c r="D4805" s="6">
        <v>1.9898207183540602E-6</v>
      </c>
      <c r="E4805" s="3" t="s">
        <v>9237</v>
      </c>
      <c r="F4805" s="3" t="s">
        <v>9238</v>
      </c>
      <c r="G4805" s="3">
        <v>103573</v>
      </c>
      <c r="H4805" s="7" t="str">
        <f>HYPERLINK("http://www.ensembl.org/Mus_musculus/Gene/Summary?db=core;g=ENSMUSG00000020290","ENSMUSG00000020290")</f>
        <v>ENSMUSG00000020290</v>
      </c>
      <c r="I4805" s="7" t="str">
        <f>HYPERLINK("http://www.informatics.jax.org/marker/MGI:2144013","MGI:2144013")</f>
        <v>MGI:2144013</v>
      </c>
      <c r="J4805" s="4" t="s">
        <v>12</v>
      </c>
    </row>
    <row r="4806" spans="1:10" x14ac:dyDescent="0.25">
      <c r="A4806" s="2">
        <v>581.68745815680404</v>
      </c>
      <c r="B4806" s="3">
        <v>-0.24342078351957799</v>
      </c>
      <c r="C4806" s="3">
        <v>9.3106116525453505E-4</v>
      </c>
      <c r="D4806" s="4">
        <v>2.7576638898797602E-3</v>
      </c>
      <c r="E4806" s="3" t="s">
        <v>13324</v>
      </c>
      <c r="F4806" s="3" t="s">
        <v>13325</v>
      </c>
      <c r="G4806" s="3">
        <v>66379</v>
      </c>
      <c r="H4806" s="7" t="str">
        <f>HYPERLINK("http://www.ensembl.org/Mus_musculus/Gene/Summary?db=core;g=ENSMUSG00000023020","ENSMUSG00000023020")</f>
        <v>ENSMUSG00000023020</v>
      </c>
      <c r="I4806" s="7" t="str">
        <f>HYPERLINK("http://www.informatics.jax.org/marker/MGI:1913629","MGI:1913629")</f>
        <v>MGI:1913629</v>
      </c>
      <c r="J4806" s="4" t="s">
        <v>12</v>
      </c>
    </row>
    <row r="4807" spans="1:10" x14ac:dyDescent="0.25">
      <c r="A4807" s="2">
        <v>5129.65807354348</v>
      </c>
      <c r="B4807" s="3">
        <v>-0.24361869400512701</v>
      </c>
      <c r="C4807" s="3">
        <v>1.3329936645136199E-3</v>
      </c>
      <c r="D4807" s="4">
        <v>3.8594384178841099E-3</v>
      </c>
      <c r="E4807" s="3" t="s">
        <v>13631</v>
      </c>
      <c r="F4807" s="3" t="s">
        <v>13632</v>
      </c>
      <c r="G4807" s="3">
        <v>246707</v>
      </c>
      <c r="H4807" s="7" t="str">
        <f>HYPERLINK("http://www.ensembl.org/Mus_musculus/Gene/Summary?db=core;g=ENSMUSG00000024053","ENSMUSG00000024053")</f>
        <v>ENSMUSG00000024053</v>
      </c>
      <c r="I4807" s="7" t="str">
        <f>HYPERLINK("http://www.informatics.jax.org/marker/MGI:2389136","MGI:2389136")</f>
        <v>MGI:2389136</v>
      </c>
      <c r="J4807" s="4" t="s">
        <v>12</v>
      </c>
    </row>
    <row r="4808" spans="1:10" x14ac:dyDescent="0.25">
      <c r="A4808" s="2">
        <v>884.14798777262797</v>
      </c>
      <c r="B4808" s="3">
        <v>-0.243630585023006</v>
      </c>
      <c r="C4808" s="5">
        <v>6.7905417000818093E-5</v>
      </c>
      <c r="D4808" s="4">
        <v>2.3308874208113699E-4</v>
      </c>
      <c r="E4808" s="3" t="s">
        <v>11501</v>
      </c>
      <c r="F4808" s="3" t="s">
        <v>11502</v>
      </c>
      <c r="G4808" s="3">
        <v>78610</v>
      </c>
      <c r="H4808" s="7" t="str">
        <f>HYPERLINK("http://www.ensembl.org/Mus_musculus/Gene/Summary?db=core;g=ENSMUSG00000035354","ENSMUSG00000035354")</f>
        <v>ENSMUSG00000035354</v>
      </c>
      <c r="I4808" s="7" t="str">
        <f>HYPERLINK("http://www.informatics.jax.org/marker/MGI:1925860","MGI:1925860")</f>
        <v>MGI:1925860</v>
      </c>
      <c r="J4808" s="4" t="s">
        <v>12</v>
      </c>
    </row>
    <row r="4809" spans="1:10" x14ac:dyDescent="0.25">
      <c r="A4809" s="2">
        <v>713.01062346651997</v>
      </c>
      <c r="B4809" s="3">
        <v>-0.243859719463796</v>
      </c>
      <c r="C4809" s="3">
        <v>3.7868950545715999E-4</v>
      </c>
      <c r="D4809" s="4">
        <v>1.1838549536485701E-3</v>
      </c>
      <c r="E4809" s="3" t="s">
        <v>12629</v>
      </c>
      <c r="F4809" s="3" t="s">
        <v>12630</v>
      </c>
      <c r="G4809" s="3">
        <v>67153</v>
      </c>
      <c r="H4809" s="7" t="str">
        <f>HYPERLINK("http://www.ensembl.org/Mus_musculus/Gene/Summary?db=core;g=ENSMUSG00000021932","ENSMUSG00000021932")</f>
        <v>ENSMUSG00000021932</v>
      </c>
      <c r="I4809" s="7" t="str">
        <f>HYPERLINK("http://www.informatics.jax.org/marker/MGI:1914403","MGI:1914403")</f>
        <v>MGI:1914403</v>
      </c>
      <c r="J4809" s="4" t="s">
        <v>12</v>
      </c>
    </row>
    <row r="4810" spans="1:10" x14ac:dyDescent="0.25">
      <c r="A4810" s="2">
        <v>169.82034333042699</v>
      </c>
      <c r="B4810" s="3">
        <v>-0.244204029907268</v>
      </c>
      <c r="C4810" s="3">
        <v>1.19473160050218E-2</v>
      </c>
      <c r="D4810" s="4">
        <v>2.9263578638558E-2</v>
      </c>
      <c r="E4810" s="3" t="s">
        <v>16107</v>
      </c>
      <c r="F4810" s="3" t="s">
        <v>16108</v>
      </c>
      <c r="G4810" s="3">
        <v>78323</v>
      </c>
      <c r="H4810" s="7" t="str">
        <f>HYPERLINK("http://www.ensembl.org/Mus_musculus/Gene/Summary?db=core;g=ENSMUSG00000032305","ENSMUSG00000032305")</f>
        <v>ENSMUSG00000032305</v>
      </c>
      <c r="I4810" s="7" t="str">
        <f>HYPERLINK("http://www.informatics.jax.org/marker/MGI:1925573","MGI:1925573")</f>
        <v>MGI:1925573</v>
      </c>
      <c r="J4810" s="4" t="s">
        <v>12</v>
      </c>
    </row>
    <row r="4811" spans="1:10" x14ac:dyDescent="0.25">
      <c r="A4811" s="2">
        <v>573.10021368418802</v>
      </c>
      <c r="B4811" s="3">
        <v>-0.24422614164759199</v>
      </c>
      <c r="C4811" s="3">
        <v>9.2477588602854304E-4</v>
      </c>
      <c r="D4811" s="4">
        <v>2.74028256536181E-3</v>
      </c>
      <c r="E4811" s="3" t="s">
        <v>13318</v>
      </c>
      <c r="F4811" s="3" t="s">
        <v>13319</v>
      </c>
      <c r="G4811" s="3">
        <v>70456</v>
      </c>
      <c r="H4811" s="7" t="str">
        <f>HYPERLINK("http://www.ensembl.org/Mus_musculus/Gene/Summary?db=core;g=ENSMUSG00000026568","ENSMUSG00000026568")</f>
        <v>ENSMUSG00000026568</v>
      </c>
      <c r="I4811" s="7" t="str">
        <f>HYPERLINK("http://www.informatics.jax.org/marker/MGI:1917706","MGI:1917706")</f>
        <v>MGI:1917706</v>
      </c>
      <c r="J4811" s="4" t="s">
        <v>12</v>
      </c>
    </row>
    <row r="4812" spans="1:10" x14ac:dyDescent="0.25">
      <c r="A4812" s="2">
        <v>433.124809707883</v>
      </c>
      <c r="B4812" s="3">
        <v>-0.24429310476934701</v>
      </c>
      <c r="C4812" s="3">
        <v>2.3534749192582701E-3</v>
      </c>
      <c r="D4812" s="4">
        <v>6.5700064280539497E-3</v>
      </c>
      <c r="E4812" s="3" t="s">
        <v>14135</v>
      </c>
      <c r="F4812" s="3" t="s">
        <v>14136</v>
      </c>
      <c r="G4812" s="3">
        <v>66044</v>
      </c>
      <c r="H4812" s="7" t="str">
        <f>HYPERLINK("http://www.ensembl.org/Mus_musculus/Gene/Summary?db=core;g=ENSMUSG00000027430","ENSMUSG00000027430")</f>
        <v>ENSMUSG00000027430</v>
      </c>
      <c r="I4812" s="7" t="str">
        <f>HYPERLINK("http://www.informatics.jax.org/marker/MGI:1913294","MGI:1913294")</f>
        <v>MGI:1913294</v>
      </c>
      <c r="J4812" s="4" t="s">
        <v>12</v>
      </c>
    </row>
    <row r="4813" spans="1:10" x14ac:dyDescent="0.25">
      <c r="A4813" s="2">
        <v>1877.9772953905599</v>
      </c>
      <c r="B4813" s="3">
        <v>-0.244412005018036</v>
      </c>
      <c r="C4813" s="5">
        <v>3.35776303587124E-6</v>
      </c>
      <c r="D4813" s="6">
        <v>1.3179754591437301E-5</v>
      </c>
      <c r="E4813" s="3" t="s">
        <v>10064</v>
      </c>
      <c r="F4813" s="3" t="s">
        <v>10065</v>
      </c>
      <c r="G4813" s="3">
        <v>74143</v>
      </c>
      <c r="H4813" s="7" t="str">
        <f>HYPERLINK("http://www.ensembl.org/Mus_musculus/Gene/Summary?db=core;g=ENSMUSG00000038084","ENSMUSG00000038084")</f>
        <v>ENSMUSG00000038084</v>
      </c>
      <c r="I4813" s="7" t="str">
        <f>HYPERLINK("http://www.informatics.jax.org/marker/MGI:1921393","MGI:1921393")</f>
        <v>MGI:1921393</v>
      </c>
      <c r="J4813" s="4" t="s">
        <v>12</v>
      </c>
    </row>
    <row r="4814" spans="1:10" x14ac:dyDescent="0.25">
      <c r="A4814" s="2">
        <v>132.243438178433</v>
      </c>
      <c r="B4814" s="3">
        <v>-0.244640940598501</v>
      </c>
      <c r="C4814" s="3">
        <v>1.90392557027836E-2</v>
      </c>
      <c r="D4814" s="4">
        <v>4.4638464208642599E-2</v>
      </c>
      <c r="E4814" s="3" t="s">
        <v>16824</v>
      </c>
      <c r="F4814" s="3" t="s">
        <v>16825</v>
      </c>
      <c r="G4814" s="3">
        <v>232784</v>
      </c>
      <c r="H4814" s="7" t="str">
        <f>HYPERLINK("http://www.ensembl.org/Mus_musculus/Gene/Summary?db=core;g=ENSMUSG00000052763","ENSMUSG00000052763")</f>
        <v>ENSMUSG00000052763</v>
      </c>
      <c r="I4814" s="7" t="str">
        <f>HYPERLINK("http://www.informatics.jax.org/marker/MGI:2682609","MGI:2682609")</f>
        <v>MGI:2682609</v>
      </c>
      <c r="J4814" s="4" t="s">
        <v>12</v>
      </c>
    </row>
    <row r="4815" spans="1:10" x14ac:dyDescent="0.25">
      <c r="A4815" s="2">
        <v>2730.7158915272798</v>
      </c>
      <c r="B4815" s="3">
        <v>-0.24479160908473199</v>
      </c>
      <c r="C4815" s="5">
        <v>1.12898120055621E-7</v>
      </c>
      <c r="D4815" s="6">
        <v>5.0992920922969305E-7</v>
      </c>
      <c r="E4815" s="3" t="s">
        <v>8749</v>
      </c>
      <c r="F4815" s="3" t="s">
        <v>8750</v>
      </c>
      <c r="G4815" s="3">
        <v>71472</v>
      </c>
      <c r="H4815" s="7" t="str">
        <f>HYPERLINK("http://www.ensembl.org/Mus_musculus/Gene/Summary?db=core;g=ENSMUSG00000006676","ENSMUSG00000006676")</f>
        <v>ENSMUSG00000006676</v>
      </c>
      <c r="I4815" s="7" t="str">
        <f>HYPERLINK("http://www.informatics.jax.org/marker/MGI:1918722","MGI:1918722")</f>
        <v>MGI:1918722</v>
      </c>
      <c r="J4815" s="4" t="s">
        <v>12</v>
      </c>
    </row>
    <row r="4816" spans="1:10" x14ac:dyDescent="0.25">
      <c r="A4816" s="2">
        <v>379.94022379827197</v>
      </c>
      <c r="B4816" s="3">
        <v>-0.24486023885802399</v>
      </c>
      <c r="C4816" s="3">
        <v>1.4255579495017399E-2</v>
      </c>
      <c r="D4816" s="4">
        <v>3.4370953373486099E-2</v>
      </c>
      <c r="E4816" s="3" t="s">
        <v>16363</v>
      </c>
      <c r="F4816" s="3" t="s">
        <v>16364</v>
      </c>
      <c r="G4816" s="3">
        <v>30963</v>
      </c>
      <c r="H4816" s="7" t="str">
        <f>HYPERLINK("http://www.ensembl.org/Mus_musculus/Gene/Summary?db=core;g=ENSMUSG00000063275","ENSMUSG00000063275")</f>
        <v>ENSMUSG00000063275</v>
      </c>
      <c r="I4816" s="7" t="str">
        <f>HYPERLINK("http://www.informatics.jax.org/marker/MGI:1353592","MGI:1353592")</f>
        <v>MGI:1353592</v>
      </c>
      <c r="J4816" s="4" t="s">
        <v>12</v>
      </c>
    </row>
    <row r="4817" spans="1:10" x14ac:dyDescent="0.25">
      <c r="A4817" s="2">
        <v>1418.1267954935199</v>
      </c>
      <c r="B4817" s="3">
        <v>-0.246198441983046</v>
      </c>
      <c r="C4817" s="3">
        <v>1.6276037077731699E-4</v>
      </c>
      <c r="D4817" s="4">
        <v>5.3387134260290796E-4</v>
      </c>
      <c r="E4817" s="3" t="s">
        <v>12035</v>
      </c>
      <c r="F4817" s="3" t="s">
        <v>12036</v>
      </c>
      <c r="G4817" s="3">
        <v>140488</v>
      </c>
      <c r="H4817" s="7" t="str">
        <f>HYPERLINK("http://www.ensembl.org/Mus_musculus/Gene/Summary?db=core;g=ENSMUSG00000029814","ENSMUSG00000029814")</f>
        <v>ENSMUSG00000029814</v>
      </c>
      <c r="I4817" s="7" t="str">
        <f>HYPERLINK("http://www.informatics.jax.org/marker/MGI:1890359","MGI:1890359")</f>
        <v>MGI:1890359</v>
      </c>
      <c r="J4817" s="4" t="s">
        <v>12</v>
      </c>
    </row>
    <row r="4818" spans="1:10" x14ac:dyDescent="0.25">
      <c r="A4818" s="2">
        <v>1883.7730338479</v>
      </c>
      <c r="B4818" s="3">
        <v>-0.24648322618270299</v>
      </c>
      <c r="C4818" s="5">
        <v>2.5240453351487799E-5</v>
      </c>
      <c r="D4818" s="6">
        <v>9.0828784688200598E-5</v>
      </c>
      <c r="E4818" s="3" t="s">
        <v>10972</v>
      </c>
      <c r="F4818" s="3" t="s">
        <v>10973</v>
      </c>
      <c r="G4818" s="3">
        <v>23856</v>
      </c>
      <c r="H4818" s="7" t="str">
        <f>HYPERLINK("http://www.ensembl.org/Mus_musculus/Gene/Summary?db=core;g=ENSMUSG00000038914","ENSMUSG00000038914")</f>
        <v>ENSMUSG00000038914</v>
      </c>
      <c r="I4818" s="7" t="str">
        <f>HYPERLINK("http://www.informatics.jax.org/marker/MGI:1344352","MGI:1344352")</f>
        <v>MGI:1344352</v>
      </c>
      <c r="J4818" s="4" t="s">
        <v>12</v>
      </c>
    </row>
    <row r="4819" spans="1:10" x14ac:dyDescent="0.25">
      <c r="A4819" s="2">
        <v>367.29671617577901</v>
      </c>
      <c r="B4819" s="3">
        <v>-0.24656854407936901</v>
      </c>
      <c r="C4819" s="3">
        <v>2.8826292638736901E-3</v>
      </c>
      <c r="D4819" s="4">
        <v>7.9260246909633597E-3</v>
      </c>
      <c r="E4819" s="3" t="s">
        <v>14349</v>
      </c>
      <c r="F4819" s="3" t="s">
        <v>14350</v>
      </c>
      <c r="G4819" s="3">
        <v>66242</v>
      </c>
      <c r="H4819" s="7" t="str">
        <f>HYPERLINK("http://www.ensembl.org/Mus_musculus/Gene/Summary?db=core;g=ENSMUSG00000049960","ENSMUSG00000049960")</f>
        <v>ENSMUSG00000049960</v>
      </c>
      <c r="I4819" s="7" t="str">
        <f>HYPERLINK("http://www.informatics.jax.org/marker/MGI:1913492","MGI:1913492")</f>
        <v>MGI:1913492</v>
      </c>
      <c r="J4819" s="4" t="s">
        <v>12</v>
      </c>
    </row>
    <row r="4820" spans="1:10" x14ac:dyDescent="0.25">
      <c r="A4820" s="2">
        <v>352.14302799229603</v>
      </c>
      <c r="B4820" s="3">
        <v>-0.246589667476518</v>
      </c>
      <c r="C4820" s="3">
        <v>6.0573356518268202E-4</v>
      </c>
      <c r="D4820" s="4">
        <v>1.8447978232281801E-3</v>
      </c>
      <c r="E4820" s="3" t="s">
        <v>12959</v>
      </c>
      <c r="F4820" s="3" t="s">
        <v>12960</v>
      </c>
      <c r="G4820" s="3">
        <v>100756</v>
      </c>
      <c r="H4820" s="7" t="str">
        <f>HYPERLINK("http://www.ensembl.org/Mus_musculus/Gene/Summary?db=core;g=ENSMUSG00000029592","ENSMUSG00000029592")</f>
        <v>ENSMUSG00000029592</v>
      </c>
      <c r="I4820" s="7" t="str">
        <f>HYPERLINK("http://www.informatics.jax.org/marker/MGI:2140991","MGI:2140991")</f>
        <v>MGI:2140991</v>
      </c>
      <c r="J4820" s="4" t="s">
        <v>12</v>
      </c>
    </row>
    <row r="4821" spans="1:10" x14ac:dyDescent="0.25">
      <c r="A4821" s="2">
        <v>3301.5574487311601</v>
      </c>
      <c r="B4821" s="3">
        <v>-0.246650002211627</v>
      </c>
      <c r="C4821" s="3">
        <v>5.6371432914853097E-3</v>
      </c>
      <c r="D4821" s="4">
        <v>1.4756997970010699E-2</v>
      </c>
      <c r="E4821" s="3" t="s">
        <v>15070</v>
      </c>
      <c r="F4821" s="3" t="s">
        <v>15071</v>
      </c>
      <c r="G4821" s="3">
        <v>11804</v>
      </c>
      <c r="H4821" s="7" t="str">
        <f>HYPERLINK("http://www.ensembl.org/Mus_musculus/Gene/Summary?db=core;g=ENSMUSG00000031996","ENSMUSG00000031996")</f>
        <v>ENSMUSG00000031996</v>
      </c>
      <c r="I4821" s="7" t="str">
        <f>HYPERLINK("http://www.informatics.jax.org/marker/MGI:88047","MGI:88047")</f>
        <v>MGI:88047</v>
      </c>
      <c r="J4821" s="4" t="s">
        <v>12</v>
      </c>
    </row>
    <row r="4822" spans="1:10" x14ac:dyDescent="0.25">
      <c r="A4822" s="2">
        <v>831.22194400174703</v>
      </c>
      <c r="B4822" s="3">
        <v>-0.24670490289998601</v>
      </c>
      <c r="C4822" s="5">
        <v>7.1649402063076901E-5</v>
      </c>
      <c r="D4822" s="4">
        <v>2.4521454506835802E-4</v>
      </c>
      <c r="E4822" s="3" t="s">
        <v>11535</v>
      </c>
      <c r="F4822" s="3" t="s">
        <v>11536</v>
      </c>
      <c r="G4822" s="3">
        <v>241915</v>
      </c>
      <c r="H4822" s="7" t="str">
        <f>HYPERLINK("http://www.ensembl.org/Mus_musculus/Gene/Summary?db=core;g=ENSMUSG00000037652","ENSMUSG00000037652")</f>
        <v>ENSMUSG00000037652</v>
      </c>
      <c r="I4822" s="7" t="str">
        <f>HYPERLINK("http://www.informatics.jax.org/marker/MGI:2181434","MGI:2181434")</f>
        <v>MGI:2181434</v>
      </c>
      <c r="J4822" s="4" t="s">
        <v>12</v>
      </c>
    </row>
    <row r="4823" spans="1:10" x14ac:dyDescent="0.25">
      <c r="A4823" s="2">
        <v>946.04459502804798</v>
      </c>
      <c r="B4823" s="3">
        <v>-0.24672767942853499</v>
      </c>
      <c r="C4823" s="5">
        <v>1.13277835072207E-5</v>
      </c>
      <c r="D4823" s="6">
        <v>4.2219597573689598E-5</v>
      </c>
      <c r="E4823" s="3" t="s">
        <v>10595</v>
      </c>
      <c r="F4823" s="3" t="s">
        <v>10596</v>
      </c>
      <c r="G4823" s="3">
        <v>94315</v>
      </c>
      <c r="H4823" s="7" t="str">
        <f>HYPERLINK("http://www.ensembl.org/Mus_musculus/Gene/Summary?db=core;g=ENSMUSG00000004895","ENSMUSG00000004895")</f>
        <v>ENSMUSG00000004895</v>
      </c>
      <c r="I4823" s="7" t="str">
        <f>HYPERLINK("http://www.informatics.jax.org/marker/MGI:2137738","MGI:2137738")</f>
        <v>MGI:2137738</v>
      </c>
      <c r="J4823" s="4" t="s">
        <v>12</v>
      </c>
    </row>
    <row r="4824" spans="1:10" x14ac:dyDescent="0.25">
      <c r="A4824" s="2">
        <v>1874.02456517992</v>
      </c>
      <c r="B4824" s="3">
        <v>-0.24684710781665001</v>
      </c>
      <c r="C4824" s="5">
        <v>1.59123577167051E-5</v>
      </c>
      <c r="D4824" s="6">
        <v>5.85059535238618E-5</v>
      </c>
      <c r="E4824" s="3" t="s">
        <v>10740</v>
      </c>
      <c r="F4824" s="3" t="s">
        <v>10741</v>
      </c>
      <c r="G4824" s="3">
        <v>66154</v>
      </c>
      <c r="H4824" s="7" t="str">
        <f>HYPERLINK("http://www.ensembl.org/Mus_musculus/Gene/Summary?db=core;g=ENSMUSG00000021361","ENSMUSG00000021361")</f>
        <v>ENSMUSG00000021361</v>
      </c>
      <c r="I4824" s="7" t="str">
        <f>HYPERLINK("http://www.informatics.jax.org/marker/MGI:1913404","MGI:1913404")</f>
        <v>MGI:1913404</v>
      </c>
      <c r="J4824" s="4" t="s">
        <v>12</v>
      </c>
    </row>
    <row r="4825" spans="1:10" x14ac:dyDescent="0.25">
      <c r="A4825" s="2">
        <v>981.223156341552</v>
      </c>
      <c r="B4825" s="3">
        <v>-0.24703589914054</v>
      </c>
      <c r="C4825" s="5">
        <v>1.31770160173818E-6</v>
      </c>
      <c r="D4825" s="6">
        <v>5.3866242923459603E-6</v>
      </c>
      <c r="E4825" s="3" t="s">
        <v>9663</v>
      </c>
      <c r="F4825" s="3" t="s">
        <v>9664</v>
      </c>
      <c r="G4825" s="3">
        <v>242291</v>
      </c>
      <c r="H4825" s="7" t="str">
        <f>HYPERLINK("http://www.ensembl.org/Mus_musculus/Gene/Summary?db=core;g=ENSMUSG00000066324","ENSMUSG00000066324")</f>
        <v>ENSMUSG00000066324</v>
      </c>
      <c r="I4825" s="7" t="str">
        <f>HYPERLINK("http://www.informatics.jax.org/marker/MGI:1915720","MGI:1915720")</f>
        <v>MGI:1915720</v>
      </c>
      <c r="J4825" s="4" t="s">
        <v>12</v>
      </c>
    </row>
    <row r="4826" spans="1:10" x14ac:dyDescent="0.25">
      <c r="A4826" s="2">
        <v>1753.06631323022</v>
      </c>
      <c r="B4826" s="3">
        <v>-0.24715643703585699</v>
      </c>
      <c r="C4826" s="5">
        <v>7.87540803147191E-6</v>
      </c>
      <c r="D4826" s="6">
        <v>2.9854487962442499E-5</v>
      </c>
      <c r="E4826" s="3" t="s">
        <v>10418</v>
      </c>
      <c r="F4826" s="3" t="s">
        <v>10419</v>
      </c>
      <c r="G4826" s="3">
        <v>11640</v>
      </c>
      <c r="H4826" s="7" t="str">
        <f>HYPERLINK("http://www.ensembl.org/Mus_musculus/Gene/Summary?db=core;g=ENSMUSG00000018428","ENSMUSG00000018428")</f>
        <v>ENSMUSG00000018428</v>
      </c>
      <c r="I4826" s="7" t="str">
        <f>HYPERLINK("http://www.informatics.jax.org/marker/MGI:104729","MGI:104729")</f>
        <v>MGI:104729</v>
      </c>
      <c r="J4826" s="4" t="s">
        <v>12</v>
      </c>
    </row>
    <row r="4827" spans="1:10" x14ac:dyDescent="0.25">
      <c r="A4827" s="2">
        <v>1002.47691629961</v>
      </c>
      <c r="B4827" s="3">
        <v>-0.24721453952140099</v>
      </c>
      <c r="C4827" s="3">
        <v>3.0294609773068299E-4</v>
      </c>
      <c r="D4827" s="4">
        <v>9.5923202428533499E-4</v>
      </c>
      <c r="E4827" s="3" t="s">
        <v>12469</v>
      </c>
      <c r="F4827" s="3" t="s">
        <v>12470</v>
      </c>
      <c r="G4827" s="3">
        <v>319965</v>
      </c>
      <c r="H4827" s="7" t="str">
        <f>HYPERLINK("http://www.ensembl.org/Mus_musculus/Gene/Summary?db=core;g=ENSMUSG00000028582","ENSMUSG00000028582")</f>
        <v>ENSMUSG00000028582</v>
      </c>
      <c r="I4827" s="7" t="str">
        <f>HYPERLINK("http://www.informatics.jax.org/marker/MGI:2443076","MGI:2443076")</f>
        <v>MGI:2443076</v>
      </c>
      <c r="J4827" s="4" t="s">
        <v>12</v>
      </c>
    </row>
    <row r="4828" spans="1:10" x14ac:dyDescent="0.25">
      <c r="A4828" s="2">
        <v>516.727640122499</v>
      </c>
      <c r="B4828" s="3">
        <v>-0.24749982460648601</v>
      </c>
      <c r="C4828" s="3">
        <v>1.86897385329626E-4</v>
      </c>
      <c r="D4828" s="4">
        <v>6.0838831936286402E-4</v>
      </c>
      <c r="E4828" s="3" t="s">
        <v>12127</v>
      </c>
      <c r="F4828" s="3" t="s">
        <v>12128</v>
      </c>
      <c r="G4828" s="3">
        <v>107371</v>
      </c>
      <c r="H4828" s="7" t="str">
        <f>HYPERLINK("http://www.ensembl.org/Mus_musculus/Gene/Summary?db=core;g=ENSMUSG00000053799","ENSMUSG00000053799")</f>
        <v>ENSMUSG00000053799</v>
      </c>
      <c r="I4828" s="7" t="str">
        <f>HYPERLINK("http://www.informatics.jax.org/marker/MGI:1351611","MGI:1351611")</f>
        <v>MGI:1351611</v>
      </c>
      <c r="J4828" s="4" t="s">
        <v>12</v>
      </c>
    </row>
    <row r="4829" spans="1:10" x14ac:dyDescent="0.25">
      <c r="A4829" s="2">
        <v>355.01858943979198</v>
      </c>
      <c r="B4829" s="3">
        <v>-0.24753299537492901</v>
      </c>
      <c r="C4829" s="3">
        <v>7.7535907177143596E-3</v>
      </c>
      <c r="D4829" s="4">
        <v>1.97037124939855E-2</v>
      </c>
      <c r="E4829" s="3" t="s">
        <v>15525</v>
      </c>
      <c r="F4829" s="3" t="s">
        <v>15526</v>
      </c>
      <c r="G4829" s="3">
        <v>192192</v>
      </c>
      <c r="H4829" s="7" t="str">
        <f>HYPERLINK("http://www.ensembl.org/Mus_musculus/Gene/Summary?db=core;g=ENSMUSG00000089832","ENSMUSG00000089832")</f>
        <v>ENSMUSG00000089832</v>
      </c>
      <c r="I4829" s="7" t="str">
        <f>HYPERLINK("http://www.informatics.jax.org/marker/MGI:2385803","MGI:2385803")</f>
        <v>MGI:2385803</v>
      </c>
      <c r="J4829" s="4" t="s">
        <v>12</v>
      </c>
    </row>
    <row r="4830" spans="1:10" x14ac:dyDescent="0.25">
      <c r="A4830" s="2">
        <v>1759.15274169945</v>
      </c>
      <c r="B4830" s="3">
        <v>-0.24784926722487699</v>
      </c>
      <c r="C4830" s="5">
        <v>2.1771246190138099E-6</v>
      </c>
      <c r="D4830" s="6">
        <v>8.7226528823552095E-6</v>
      </c>
      <c r="E4830" s="3" t="s">
        <v>9859</v>
      </c>
      <c r="F4830" s="3" t="s">
        <v>9860</v>
      </c>
      <c r="G4830" s="3">
        <v>240028</v>
      </c>
      <c r="H4830" s="7" t="str">
        <f>HYPERLINK("http://www.ensembl.org/Mus_musculus/Gene/Summary?db=core;g=ENSMUSG00000023845","ENSMUSG00000023845")</f>
        <v>ENSMUSG00000023845</v>
      </c>
      <c r="I4830" s="7" t="str">
        <f>HYPERLINK("http://www.informatics.jax.org/marker/MGI:2387123","MGI:2387123")</f>
        <v>MGI:2387123</v>
      </c>
      <c r="J4830" s="4" t="s">
        <v>12</v>
      </c>
    </row>
    <row r="4831" spans="1:10" x14ac:dyDescent="0.25">
      <c r="A4831" s="2">
        <v>756.92591082720401</v>
      </c>
      <c r="B4831" s="3">
        <v>-0.24787345101264599</v>
      </c>
      <c r="C4831" s="3">
        <v>5.8285656988601E-3</v>
      </c>
      <c r="D4831" s="4">
        <v>1.5203613172158899E-2</v>
      </c>
      <c r="E4831" s="3" t="s">
        <v>15124</v>
      </c>
      <c r="F4831" s="3" t="s">
        <v>15125</v>
      </c>
      <c r="G4831" s="3">
        <v>24116</v>
      </c>
      <c r="H4831" s="7" t="str">
        <f>HYPERLINK("http://www.ensembl.org/Mus_musculus/Gene/Summary?db=core;g=ENSMUSG00000029111","ENSMUSG00000029111")</f>
        <v>ENSMUSG00000029111</v>
      </c>
      <c r="I4831" s="7" t="str">
        <f>HYPERLINK("http://www.informatics.jax.org/marker/MGI:1346098","MGI:1346098")</f>
        <v>MGI:1346098</v>
      </c>
      <c r="J4831" s="4" t="s">
        <v>12</v>
      </c>
    </row>
    <row r="4832" spans="1:10" x14ac:dyDescent="0.25">
      <c r="A4832" s="2">
        <v>1302.94705715758</v>
      </c>
      <c r="B4832" s="3">
        <v>-0.24848504313369699</v>
      </c>
      <c r="C4832" s="5">
        <v>4.0544855245766104E-6</v>
      </c>
      <c r="D4832" s="6">
        <v>1.5788794341360699E-5</v>
      </c>
      <c r="E4832" s="3" t="s">
        <v>10144</v>
      </c>
      <c r="F4832" s="3" t="s">
        <v>10145</v>
      </c>
      <c r="G4832" s="3">
        <v>71952</v>
      </c>
      <c r="H4832" s="7" t="str">
        <f>HYPERLINK("http://www.ensembl.org/Mus_musculus/Gene/Summary?db=core;g=ENSMUSG00000046791","ENSMUSG00000046791")</f>
        <v>ENSMUSG00000046791</v>
      </c>
      <c r="I4832" s="7" t="str">
        <f>HYPERLINK("http://www.informatics.jax.org/marker/MGI:1919202","MGI:1919202")</f>
        <v>MGI:1919202</v>
      </c>
      <c r="J4832" s="4" t="s">
        <v>12</v>
      </c>
    </row>
    <row r="4833" spans="1:10" x14ac:dyDescent="0.25">
      <c r="A4833" s="2">
        <v>553.59611915734399</v>
      </c>
      <c r="B4833" s="3">
        <v>-0.248925114494291</v>
      </c>
      <c r="C4833" s="3">
        <v>5.9160260250674503E-3</v>
      </c>
      <c r="D4833" s="4">
        <v>1.54072944023151E-2</v>
      </c>
      <c r="E4833" s="3" t="s">
        <v>15148</v>
      </c>
      <c r="F4833" s="3" t="s">
        <v>15149</v>
      </c>
      <c r="G4833" s="3">
        <v>67096</v>
      </c>
      <c r="H4833" s="7" t="str">
        <f>HYPERLINK("http://www.ensembl.org/Mus_musculus/Gene/Summary?db=core;g=ENSMUSG00000028690","ENSMUSG00000028690")</f>
        <v>ENSMUSG00000028690</v>
      </c>
      <c r="I4833" s="7" t="str">
        <f>HYPERLINK("http://www.informatics.jax.org/marker/MGI:1914346","MGI:1914346")</f>
        <v>MGI:1914346</v>
      </c>
      <c r="J4833" s="4" t="s">
        <v>12</v>
      </c>
    </row>
    <row r="4834" spans="1:10" x14ac:dyDescent="0.25">
      <c r="A4834" s="2">
        <v>318.21230473520899</v>
      </c>
      <c r="B4834" s="3">
        <v>-0.24903217027883001</v>
      </c>
      <c r="C4834" s="3">
        <v>3.8372523461695902E-3</v>
      </c>
      <c r="D4834" s="4">
        <v>1.0360161044149E-2</v>
      </c>
      <c r="E4834" s="3" t="s">
        <v>14611</v>
      </c>
      <c r="F4834" s="3" t="s">
        <v>14612</v>
      </c>
      <c r="G4834" s="3">
        <v>69109</v>
      </c>
      <c r="H4834" s="7" t="str">
        <f>HYPERLINK("http://www.ensembl.org/Mus_musculus/Gene/Summary?db=core;g=ENSMUSG00000049489","ENSMUSG00000049489")</f>
        <v>ENSMUSG00000049489</v>
      </c>
      <c r="I4834" s="7" t="str">
        <f>HYPERLINK("http://www.informatics.jax.org/marker/MGI:1916359","MGI:1916359")</f>
        <v>MGI:1916359</v>
      </c>
      <c r="J4834" s="4" t="s">
        <v>12</v>
      </c>
    </row>
    <row r="4835" spans="1:10" x14ac:dyDescent="0.25">
      <c r="A4835" s="2">
        <v>769.52012483863996</v>
      </c>
      <c r="B4835" s="3">
        <v>-0.24907880938089499</v>
      </c>
      <c r="C4835" s="3">
        <v>2.4705452499403E-3</v>
      </c>
      <c r="D4835" s="4">
        <v>6.8734695723508196E-3</v>
      </c>
      <c r="E4835" s="3" t="s">
        <v>14183</v>
      </c>
      <c r="F4835" s="3" t="s">
        <v>14184</v>
      </c>
      <c r="G4835" s="3">
        <v>20873</v>
      </c>
      <c r="H4835" s="7" t="str">
        <f>HYPERLINK("http://www.ensembl.org/Mus_musculus/Gene/Summary?db=core;g=ENSMUSG00000025758","ENSMUSG00000025758")</f>
        <v>ENSMUSG00000025758</v>
      </c>
      <c r="I4835" s="7" t="str">
        <f>HYPERLINK("http://www.informatics.jax.org/marker/MGI:101783","MGI:101783")</f>
        <v>MGI:101783</v>
      </c>
      <c r="J4835" s="4" t="s">
        <v>12</v>
      </c>
    </row>
    <row r="4836" spans="1:10" x14ac:dyDescent="0.25">
      <c r="A4836" s="2">
        <v>863.19205714424595</v>
      </c>
      <c r="B4836" s="3">
        <v>-0.249161989195154</v>
      </c>
      <c r="C4836" s="5">
        <v>1.47202548955327E-5</v>
      </c>
      <c r="D4836" s="6">
        <v>5.4299181919174301E-5</v>
      </c>
      <c r="E4836" s="3" t="s">
        <v>10704</v>
      </c>
      <c r="F4836" s="3" t="s">
        <v>10705</v>
      </c>
      <c r="G4836" s="3">
        <v>75137</v>
      </c>
      <c r="H4836" s="7" t="str">
        <f>HYPERLINK("http://www.ensembl.org/Mus_musculus/Gene/Summary?db=core;g=ENSMUSG00000028106","ENSMUSG00000028106")</f>
        <v>ENSMUSG00000028106</v>
      </c>
      <c r="I4836" s="7" t="str">
        <f>HYPERLINK("http://www.informatics.jax.org/marker/MGI:1922387","MGI:1922387")</f>
        <v>MGI:1922387</v>
      </c>
      <c r="J4836" s="4" t="s">
        <v>12</v>
      </c>
    </row>
    <row r="4837" spans="1:10" x14ac:dyDescent="0.25">
      <c r="A4837" s="2">
        <v>214.75716911506001</v>
      </c>
      <c r="B4837" s="3">
        <v>-0.24918265828477701</v>
      </c>
      <c r="C4837" s="3">
        <v>1.4560381620141401E-2</v>
      </c>
      <c r="D4837" s="4">
        <v>3.5033031423766299E-2</v>
      </c>
      <c r="E4837" s="3" t="s">
        <v>16397</v>
      </c>
      <c r="F4837" s="3" t="s">
        <v>16398</v>
      </c>
      <c r="G4837" s="3">
        <v>68607</v>
      </c>
      <c r="H4837" s="7" t="str">
        <f>HYPERLINK("http://www.ensembl.org/Mus_musculus/Gene/Summary?db=core;g=ENSMUSG00000058586","ENSMUSG00000058586")</f>
        <v>ENSMUSG00000058586</v>
      </c>
      <c r="I4837" s="7" t="str">
        <f>HYPERLINK("http://www.informatics.jax.org/marker/MGI:1890404","MGI:1890404")</f>
        <v>MGI:1890404</v>
      </c>
      <c r="J4837" s="4" t="s">
        <v>12</v>
      </c>
    </row>
    <row r="4838" spans="1:10" x14ac:dyDescent="0.25">
      <c r="A4838" s="2">
        <v>315.47606169982203</v>
      </c>
      <c r="B4838" s="3">
        <v>-0.249618279799421</v>
      </c>
      <c r="C4838" s="3">
        <v>4.1785888389791496E-3</v>
      </c>
      <c r="D4838" s="4">
        <v>1.12125701532947E-2</v>
      </c>
      <c r="E4838" s="3" t="s">
        <v>14704</v>
      </c>
      <c r="F4838" s="3" t="s">
        <v>14705</v>
      </c>
      <c r="G4838" s="3">
        <v>67862</v>
      </c>
      <c r="H4838" s="7" t="str">
        <f>HYPERLINK("http://www.ensembl.org/Mus_musculus/Gene/Summary?db=core;g=ENSMUSG00000020441","ENSMUSG00000020441")</f>
        <v>ENSMUSG00000020441</v>
      </c>
      <c r="I4838" s="7" t="str">
        <f>HYPERLINK("http://www.informatics.jax.org/marker/MGI:1915112","MGI:1915112")</f>
        <v>MGI:1915112</v>
      </c>
      <c r="J4838" s="4" t="s">
        <v>12</v>
      </c>
    </row>
    <row r="4839" spans="1:10" x14ac:dyDescent="0.25">
      <c r="A4839" s="2">
        <v>780.80843045695099</v>
      </c>
      <c r="B4839" s="3">
        <v>-0.24968284978819</v>
      </c>
      <c r="C4839" s="3">
        <v>2.9579843576373701E-3</v>
      </c>
      <c r="D4839" s="4">
        <v>8.1094747021561095E-3</v>
      </c>
      <c r="E4839" s="3" t="s">
        <v>14389</v>
      </c>
      <c r="F4839" s="3" t="s">
        <v>14390</v>
      </c>
      <c r="G4839" s="3">
        <v>234814</v>
      </c>
      <c r="H4839" s="7" t="str">
        <f>HYPERLINK("http://www.ensembl.org/Mus_musculus/Gene/Summary?db=core;g=ENSMUSG00000031816","ENSMUSG00000031816")</f>
        <v>ENSMUSG00000031816</v>
      </c>
      <c r="I4839" s="7" t="str">
        <f>HYPERLINK("http://www.informatics.jax.org/marker/MGI:2679252","MGI:2679252")</f>
        <v>MGI:2679252</v>
      </c>
      <c r="J4839" s="4" t="s">
        <v>12</v>
      </c>
    </row>
    <row r="4840" spans="1:10" x14ac:dyDescent="0.25">
      <c r="A4840" s="2">
        <v>1692.41892575986</v>
      </c>
      <c r="B4840" s="3">
        <v>-0.24987931021151</v>
      </c>
      <c r="C4840" s="5">
        <v>5.6897050429167799E-9</v>
      </c>
      <c r="D4840" s="6">
        <v>2.87621080354573E-8</v>
      </c>
      <c r="E4840" s="3" t="s">
        <v>7818</v>
      </c>
      <c r="F4840" s="3" t="s">
        <v>7819</v>
      </c>
      <c r="G4840" s="3">
        <v>229543</v>
      </c>
      <c r="H4840" s="7" t="str">
        <f>HYPERLINK("http://www.ensembl.org/Mus_musculus/Gene/Summary?db=core;g=ENSMUSG00000027933","ENSMUSG00000027933")</f>
        <v>ENSMUSG00000027933</v>
      </c>
      <c r="I4840" s="7" t="str">
        <f>HYPERLINK("http://www.informatics.jax.org/marker/MGI:2140050","MGI:2140050")</f>
        <v>MGI:2140050</v>
      </c>
      <c r="J4840" s="4" t="s">
        <v>12</v>
      </c>
    </row>
    <row r="4841" spans="1:10" x14ac:dyDescent="0.25">
      <c r="A4841" s="2">
        <v>251.41237484458199</v>
      </c>
      <c r="B4841" s="3">
        <v>-0.25025573408775298</v>
      </c>
      <c r="C4841" s="3">
        <v>1.0377101104084701E-2</v>
      </c>
      <c r="D4841" s="4">
        <v>2.5733957969385001E-2</v>
      </c>
      <c r="E4841" s="3" t="s">
        <v>15909</v>
      </c>
      <c r="F4841" s="3" t="s">
        <v>15910</v>
      </c>
      <c r="G4841" s="3">
        <v>381802</v>
      </c>
      <c r="H4841" s="7" t="str">
        <f>HYPERLINK("http://www.ensembl.org/Mus_musculus/Gene/Summary?db=core;g=ENSMUSG00000042389","ENSMUSG00000042389")</f>
        <v>ENSMUSG00000042389</v>
      </c>
      <c r="I4841" s="7" t="str">
        <f>HYPERLINK("http://www.informatics.jax.org/marker/MGI:2141599","MGI:2141599")</f>
        <v>MGI:2141599</v>
      </c>
      <c r="J4841" s="4" t="s">
        <v>12</v>
      </c>
    </row>
    <row r="4842" spans="1:10" x14ac:dyDescent="0.25">
      <c r="A4842" s="2">
        <v>360.93088330166398</v>
      </c>
      <c r="B4842" s="3">
        <v>-0.25080475904001198</v>
      </c>
      <c r="C4842" s="3">
        <v>3.6830919823243298E-3</v>
      </c>
      <c r="D4842" s="4">
        <v>9.97398707654981E-3</v>
      </c>
      <c r="E4842" s="3" t="s">
        <v>14567</v>
      </c>
      <c r="F4842" s="3" t="s">
        <v>14568</v>
      </c>
      <c r="G4842" s="3">
        <v>12361</v>
      </c>
      <c r="H4842" s="7" t="str">
        <f>HYPERLINK("http://www.ensembl.org/Mus_musculus/Gene/Summary?db=core;g=ENSMUSG00000031012","ENSMUSG00000031012")</f>
        <v>ENSMUSG00000031012</v>
      </c>
      <c r="I4842" s="7" t="str">
        <f>HYPERLINK("http://www.informatics.jax.org/marker/MGI:1309489","MGI:1309489")</f>
        <v>MGI:1309489</v>
      </c>
      <c r="J4842" s="4" t="s">
        <v>12</v>
      </c>
    </row>
    <row r="4843" spans="1:10" x14ac:dyDescent="0.25">
      <c r="A4843" s="2">
        <v>439.69098889529101</v>
      </c>
      <c r="B4843" s="3">
        <v>-0.25101045558715601</v>
      </c>
      <c r="C4843" s="3">
        <v>1.74724372175127E-3</v>
      </c>
      <c r="D4843" s="4">
        <v>4.9784201983723401E-3</v>
      </c>
      <c r="E4843" s="3" t="s">
        <v>13849</v>
      </c>
      <c r="F4843" s="3" t="s">
        <v>13850</v>
      </c>
      <c r="G4843" s="3">
        <v>211986</v>
      </c>
      <c r="H4843" s="7" t="str">
        <f>HYPERLINK("http://www.ensembl.org/Mus_musculus/Gene/Summary?db=core;g=ENSMUSG00000043061","ENSMUSG00000043061")</f>
        <v>ENSMUSG00000043061</v>
      </c>
      <c r="I4843" s="7" t="str">
        <f>HYPERLINK("http://www.informatics.jax.org/marker/MGI:2387176","MGI:2387176")</f>
        <v>MGI:2387176</v>
      </c>
      <c r="J4843" s="4" t="s">
        <v>12</v>
      </c>
    </row>
    <row r="4844" spans="1:10" x14ac:dyDescent="0.25">
      <c r="A4844" s="2">
        <v>995.42397314186405</v>
      </c>
      <c r="B4844" s="3">
        <v>-0.25137362507654498</v>
      </c>
      <c r="C4844" s="3">
        <v>1.84131387431301E-3</v>
      </c>
      <c r="D4844" s="4">
        <v>5.2238109051147398E-3</v>
      </c>
      <c r="E4844" s="3" t="s">
        <v>13909</v>
      </c>
      <c r="F4844" s="3" t="s">
        <v>13910</v>
      </c>
      <c r="G4844" s="3">
        <v>18824</v>
      </c>
      <c r="H4844" s="7" t="str">
        <f>HYPERLINK("http://www.ensembl.org/Mus_musculus/Gene/Summary?db=core;g=ENSMUSG00000031146","ENSMUSG00000031146")</f>
        <v>ENSMUSG00000031146</v>
      </c>
      <c r="I4844" s="7" t="str">
        <f>HYPERLINK("http://www.informatics.jax.org/marker/MGI:1298382","MGI:1298382")</f>
        <v>MGI:1298382</v>
      </c>
      <c r="J4844" s="4" t="s">
        <v>12</v>
      </c>
    </row>
    <row r="4845" spans="1:10" x14ac:dyDescent="0.25">
      <c r="A4845" s="2">
        <v>471.54766681103501</v>
      </c>
      <c r="B4845" s="3">
        <v>-0.25163608613052402</v>
      </c>
      <c r="C4845" s="3">
        <v>3.2653881657019701E-4</v>
      </c>
      <c r="D4845" s="4">
        <v>1.02996568502308E-3</v>
      </c>
      <c r="E4845" s="3" t="s">
        <v>12517</v>
      </c>
      <c r="F4845" s="3" t="s">
        <v>12518</v>
      </c>
      <c r="G4845" s="3">
        <v>72519</v>
      </c>
      <c r="H4845" s="7" t="str">
        <f>HYPERLINK("http://www.ensembl.org/Mus_musculus/Gene/Summary?db=core;g=ENSMUSG00000028221","ENSMUSG00000028221")</f>
        <v>ENSMUSG00000028221</v>
      </c>
      <c r="I4845" s="7" t="str">
        <f>HYPERLINK("http://www.informatics.jax.org/marker/MGI:1919769","MGI:1919769")</f>
        <v>MGI:1919769</v>
      </c>
      <c r="J4845" s="4" t="s">
        <v>12</v>
      </c>
    </row>
    <row r="4846" spans="1:10" x14ac:dyDescent="0.25">
      <c r="A4846" s="2">
        <v>2585.84355230657</v>
      </c>
      <c r="B4846" s="3">
        <v>-0.25168301129731102</v>
      </c>
      <c r="C4846" s="5">
        <v>6.86263778723217E-10</v>
      </c>
      <c r="D4846" s="6">
        <v>3.7199345014903298E-9</v>
      </c>
      <c r="E4846" s="3" t="s">
        <v>7294</v>
      </c>
      <c r="F4846" s="3" t="s">
        <v>7295</v>
      </c>
      <c r="G4846" s="3">
        <v>224020</v>
      </c>
      <c r="H4846" s="7" t="str">
        <f>HYPERLINK("http://www.ensembl.org/Mus_musculus/Gene/Summary?db=core;g=ENSMUSG00000041720","ENSMUSG00000041720")</f>
        <v>ENSMUSG00000041720</v>
      </c>
      <c r="I4846" s="7" t="str">
        <f>HYPERLINK("http://www.informatics.jax.org/marker/MGI:2448506","MGI:2448506")</f>
        <v>MGI:2448506</v>
      </c>
      <c r="J4846" s="4" t="s">
        <v>12</v>
      </c>
    </row>
    <row r="4847" spans="1:10" x14ac:dyDescent="0.25">
      <c r="A4847" s="2">
        <v>368.78122688688097</v>
      </c>
      <c r="B4847" s="3">
        <v>-0.25194669914689999</v>
      </c>
      <c r="C4847" s="3">
        <v>8.8776867217909498E-4</v>
      </c>
      <c r="D4847" s="4">
        <v>2.6385528583830801E-3</v>
      </c>
      <c r="E4847" s="3" t="s">
        <v>13278</v>
      </c>
      <c r="F4847" s="3" t="s">
        <v>13279</v>
      </c>
      <c r="G4847" s="3">
        <v>71382</v>
      </c>
      <c r="H4847" s="7" t="str">
        <f>HYPERLINK("http://www.ensembl.org/Mus_musculus/Gene/Summary?db=core;g=ENSMUSG00000005907","ENSMUSG00000005907")</f>
        <v>ENSMUSG00000005907</v>
      </c>
      <c r="I4847" s="7" t="str">
        <f>HYPERLINK("http://www.informatics.jax.org/marker/MGI:1918632","MGI:1918632")</f>
        <v>MGI:1918632</v>
      </c>
      <c r="J4847" s="4" t="s">
        <v>12</v>
      </c>
    </row>
    <row r="4848" spans="1:10" x14ac:dyDescent="0.25">
      <c r="A4848" s="2">
        <v>691.02866813042795</v>
      </c>
      <c r="B4848" s="3">
        <v>-0.252163431011727</v>
      </c>
      <c r="C4848" s="3">
        <v>1.71757080707729E-4</v>
      </c>
      <c r="D4848" s="4">
        <v>5.6151353308295997E-4</v>
      </c>
      <c r="E4848" s="3" t="s">
        <v>12075</v>
      </c>
      <c r="F4848" s="3" t="s">
        <v>12076</v>
      </c>
      <c r="G4848" s="3">
        <v>242860</v>
      </c>
      <c r="H4848" s="7" t="str">
        <f>HYPERLINK("http://www.ensembl.org/Mus_musculus/Gene/Summary?db=core;g=ENSMUSG00000039968","ENSMUSG00000039968")</f>
        <v>ENSMUSG00000039968</v>
      </c>
      <c r="I4848" s="7" t="str">
        <f>HYPERLINK("http://www.informatics.jax.org/marker/MGI:3036237","MGI:3036237")</f>
        <v>MGI:3036237</v>
      </c>
      <c r="J4848" s="4" t="s">
        <v>12</v>
      </c>
    </row>
    <row r="4849" spans="1:10" x14ac:dyDescent="0.25">
      <c r="A4849" s="2">
        <v>161.78574507968401</v>
      </c>
      <c r="B4849" s="3">
        <v>-0.25266634348911399</v>
      </c>
      <c r="C4849" s="3">
        <v>1.31223774935222E-2</v>
      </c>
      <c r="D4849" s="4">
        <v>3.1852939952272001E-2</v>
      </c>
      <c r="E4849" s="3" t="s">
        <v>16253</v>
      </c>
      <c r="F4849" s="3" t="s">
        <v>16254</v>
      </c>
      <c r="G4849" s="3" t="s">
        <v>83</v>
      </c>
      <c r="H4849" s="7" t="str">
        <f>HYPERLINK("http://www.ensembl.org/Mus_musculus/Gene/Summary?db=core;g=ENSMUSG00000093456","ENSMUSG00000093456")</f>
        <v>ENSMUSG00000093456</v>
      </c>
      <c r="I4849" s="7" t="str">
        <f>HYPERLINK("http://www.informatics.jax.org/marker/MGI:5313109","MGI:5313109")</f>
        <v>MGI:5313109</v>
      </c>
      <c r="J4849" s="4" t="s">
        <v>12</v>
      </c>
    </row>
    <row r="4850" spans="1:10" x14ac:dyDescent="0.25">
      <c r="A4850" s="2">
        <v>4365.17236388731</v>
      </c>
      <c r="B4850" s="3">
        <v>-0.252820818959819</v>
      </c>
      <c r="C4850" s="3">
        <v>1.5405449908803799E-3</v>
      </c>
      <c r="D4850" s="4">
        <v>4.4239911489968101E-3</v>
      </c>
      <c r="E4850" s="3" t="s">
        <v>13741</v>
      </c>
      <c r="F4850" s="3" t="s">
        <v>13742</v>
      </c>
      <c r="G4850" s="3">
        <v>98415</v>
      </c>
      <c r="H4850" s="7" t="str">
        <f>HYPERLINK("http://www.ensembl.org/Mus_musculus/Gene/Summary?db=core;g=ENSMUSG00000026434","ENSMUSG00000026434")</f>
        <v>ENSMUSG00000026434</v>
      </c>
      <c r="I4850" s="7" t="str">
        <f>HYPERLINK("http://www.informatics.jax.org/marker/MGI:1934811","MGI:1934811")</f>
        <v>MGI:1934811</v>
      </c>
      <c r="J4850" s="4" t="s">
        <v>12</v>
      </c>
    </row>
    <row r="4851" spans="1:10" x14ac:dyDescent="0.25">
      <c r="A4851" s="2">
        <v>1029.68179459253</v>
      </c>
      <c r="B4851" s="3">
        <v>-0.25301309889280899</v>
      </c>
      <c r="C4851" s="5">
        <v>2.9710708545921499E-6</v>
      </c>
      <c r="D4851" s="6">
        <v>1.1734331514631899E-5</v>
      </c>
      <c r="E4851" s="3" t="s">
        <v>10002</v>
      </c>
      <c r="F4851" s="3" t="s">
        <v>10003</v>
      </c>
      <c r="G4851" s="3">
        <v>71778</v>
      </c>
      <c r="H4851" s="7" t="str">
        <f>HYPERLINK("http://www.ensembl.org/Mus_musculus/Gene/Summary?db=core;g=ENSMUSG00000054920","ENSMUSG00000054920")</f>
        <v>ENSMUSG00000054920</v>
      </c>
      <c r="I4851" s="7" t="str">
        <f>HYPERLINK("http://www.informatics.jax.org/marker/MGI:1919028","MGI:1919028")</f>
        <v>MGI:1919028</v>
      </c>
      <c r="J4851" s="4" t="s">
        <v>12</v>
      </c>
    </row>
    <row r="4852" spans="1:10" x14ac:dyDescent="0.25">
      <c r="A4852" s="2">
        <v>824.50113883265396</v>
      </c>
      <c r="B4852" s="3">
        <v>-0.25320563275049601</v>
      </c>
      <c r="C4852" s="5">
        <v>4.1515383701684698E-6</v>
      </c>
      <c r="D4852" s="6">
        <v>1.6153973295130701E-5</v>
      </c>
      <c r="E4852" s="3" t="s">
        <v>10150</v>
      </c>
      <c r="F4852" s="3" t="s">
        <v>10151</v>
      </c>
      <c r="G4852" s="3">
        <v>78689</v>
      </c>
      <c r="H4852" s="7" t="str">
        <f>HYPERLINK("http://www.ensembl.org/Mus_musculus/Gene/Summary?db=core;g=ENSMUSG00000021555","ENSMUSG00000021555")</f>
        <v>ENSMUSG00000021555</v>
      </c>
      <c r="I4852" s="7" t="str">
        <f>HYPERLINK("http://www.informatics.jax.org/marker/MGI:1925939","MGI:1925939")</f>
        <v>MGI:1925939</v>
      </c>
      <c r="J4852" s="4" t="s">
        <v>12</v>
      </c>
    </row>
    <row r="4853" spans="1:10" x14ac:dyDescent="0.25">
      <c r="A4853" s="2">
        <v>1211.8284148571499</v>
      </c>
      <c r="B4853" s="3">
        <v>-0.25369890522237698</v>
      </c>
      <c r="C4853" s="5">
        <v>4.4206309911820299E-6</v>
      </c>
      <c r="D4853" s="6">
        <v>1.7157024827024099E-5</v>
      </c>
      <c r="E4853" s="3" t="s">
        <v>10176</v>
      </c>
      <c r="F4853" s="3" t="s">
        <v>10177</v>
      </c>
      <c r="G4853" s="3">
        <v>69976</v>
      </c>
      <c r="H4853" s="7" t="str">
        <f>HYPERLINK("http://www.ensembl.org/Mus_musculus/Gene/Summary?db=core;g=ENSMUSG00000027207","ENSMUSG00000027207")</f>
        <v>ENSMUSG00000027207</v>
      </c>
      <c r="I4853" s="7" t="str">
        <f>HYPERLINK("http://www.informatics.jax.org/marker/MGI:1917226","MGI:1917226")</f>
        <v>MGI:1917226</v>
      </c>
      <c r="J4853" s="4" t="s">
        <v>12</v>
      </c>
    </row>
    <row r="4854" spans="1:10" x14ac:dyDescent="0.25">
      <c r="A4854" s="2">
        <v>158.03391329211499</v>
      </c>
      <c r="B4854" s="3">
        <v>-0.25393191282133598</v>
      </c>
      <c r="C4854" s="3">
        <v>5.87112009143717E-3</v>
      </c>
      <c r="D4854" s="4">
        <v>1.5297470869071701E-2</v>
      </c>
      <c r="E4854" s="3" t="s">
        <v>15140</v>
      </c>
      <c r="F4854" s="3" t="s">
        <v>15141</v>
      </c>
      <c r="G4854" s="3">
        <v>26363</v>
      </c>
      <c r="H4854" s="7" t="str">
        <f>HYPERLINK("http://www.ensembl.org/Mus_musculus/Gene/Summary?db=core;g=ENSMUSG00000021900","ENSMUSG00000021900")</f>
        <v>ENSMUSG00000021900</v>
      </c>
      <c r="I4854" s="7" t="str">
        <f>HYPERLINK("http://www.informatics.jax.org/marker/MGI:1347001","MGI:1347001")</f>
        <v>MGI:1347001</v>
      </c>
      <c r="J4854" s="4" t="s">
        <v>12</v>
      </c>
    </row>
    <row r="4855" spans="1:10" x14ac:dyDescent="0.25">
      <c r="A4855" s="2">
        <v>346.43455950040499</v>
      </c>
      <c r="B4855" s="3">
        <v>-0.25404429863123101</v>
      </c>
      <c r="C4855" s="3">
        <v>4.97630482736185E-4</v>
      </c>
      <c r="D4855" s="4">
        <v>1.5330843804964201E-3</v>
      </c>
      <c r="E4855" s="3" t="s">
        <v>12811</v>
      </c>
      <c r="F4855" s="3" t="s">
        <v>12812</v>
      </c>
      <c r="G4855" s="3">
        <v>76804</v>
      </c>
      <c r="H4855" s="7" t="str">
        <f>HYPERLINK("http://www.ensembl.org/Mus_musculus/Gene/Summary?db=core;g=ENSMUSG00000028397","ENSMUSG00000028397")</f>
        <v>ENSMUSG00000028397</v>
      </c>
      <c r="I4855" s="7" t="str">
        <f>HYPERLINK("http://www.informatics.jax.org/marker/MGI:1924054","MGI:1924054")</f>
        <v>MGI:1924054</v>
      </c>
      <c r="J4855" s="4" t="s">
        <v>12</v>
      </c>
    </row>
    <row r="4856" spans="1:10" x14ac:dyDescent="0.25">
      <c r="A4856" s="2">
        <v>218.96525592236</v>
      </c>
      <c r="B4856" s="3">
        <v>-0.25431692436446601</v>
      </c>
      <c r="C4856" s="3">
        <v>4.1554424362505397E-3</v>
      </c>
      <c r="D4856" s="4">
        <v>1.115509458792E-2</v>
      </c>
      <c r="E4856" s="3" t="s">
        <v>14696</v>
      </c>
      <c r="F4856" s="3" t="s">
        <v>14697</v>
      </c>
      <c r="G4856" s="3">
        <v>70207</v>
      </c>
      <c r="H4856" s="7" t="str">
        <f>HYPERLINK("http://www.ensembl.org/Mus_musculus/Gene/Summary?db=core;g=ENSMUSG00000001983","ENSMUSG00000001983")</f>
        <v>ENSMUSG00000001983</v>
      </c>
      <c r="I4856" s="7" t="str">
        <f>HYPERLINK("http://www.informatics.jax.org/marker/MGI:1917457","MGI:1917457")</f>
        <v>MGI:1917457</v>
      </c>
      <c r="J4856" s="4" t="s">
        <v>12</v>
      </c>
    </row>
    <row r="4857" spans="1:10" x14ac:dyDescent="0.25">
      <c r="A4857" s="2">
        <v>1159.8166808518999</v>
      </c>
      <c r="B4857" s="3">
        <v>-0.25452720375443999</v>
      </c>
      <c r="C4857" s="5">
        <v>1.26055083298897E-5</v>
      </c>
      <c r="D4857" s="6">
        <v>4.6778438890745997E-5</v>
      </c>
      <c r="E4857" s="3" t="s">
        <v>10640</v>
      </c>
      <c r="F4857" s="3" t="s">
        <v>10641</v>
      </c>
      <c r="G4857" s="3">
        <v>223870</v>
      </c>
      <c r="H4857" s="7" t="str">
        <f>HYPERLINK("http://www.ensembl.org/Mus_musculus/Gene/Summary?db=core;g=ENSMUSG00000033075","ENSMUSG00000033075")</f>
        <v>ENSMUSG00000033075</v>
      </c>
      <c r="I4857" s="7" t="str">
        <f>HYPERLINK("http://www.informatics.jax.org/marker/MGI:2445054","MGI:2445054")</f>
        <v>MGI:2445054</v>
      </c>
      <c r="J4857" s="4" t="s">
        <v>12</v>
      </c>
    </row>
    <row r="4858" spans="1:10" x14ac:dyDescent="0.25">
      <c r="A4858" s="2">
        <v>3310.18904467417</v>
      </c>
      <c r="B4858" s="3">
        <v>-0.25457656644684701</v>
      </c>
      <c r="C4858" s="5">
        <v>5.2901473366802504E-7</v>
      </c>
      <c r="D4858" s="6">
        <v>2.2526820444684602E-6</v>
      </c>
      <c r="E4858" s="3" t="s">
        <v>9277</v>
      </c>
      <c r="F4858" s="3" t="s">
        <v>9278</v>
      </c>
      <c r="G4858" s="3">
        <v>15312</v>
      </c>
      <c r="H4858" s="7" t="str">
        <f>HYPERLINK("http://www.ensembl.org/Mus_musculus/Gene/Summary?db=core;g=ENSMUSG00000040681","ENSMUSG00000040681")</f>
        <v>ENSMUSG00000040681</v>
      </c>
      <c r="I4858" s="7" t="str">
        <f>HYPERLINK("http://www.informatics.jax.org/marker/MGI:96120","MGI:96120")</f>
        <v>MGI:96120</v>
      </c>
      <c r="J4858" s="4" t="s">
        <v>12</v>
      </c>
    </row>
    <row r="4859" spans="1:10" x14ac:dyDescent="0.25">
      <c r="A4859" s="2">
        <v>2485.8029131714802</v>
      </c>
      <c r="B4859" s="3">
        <v>-0.25490204407308198</v>
      </c>
      <c r="C4859" s="5">
        <v>9.5006465786343106E-8</v>
      </c>
      <c r="D4859" s="6">
        <v>4.3139016930847E-7</v>
      </c>
      <c r="E4859" s="3" t="s">
        <v>8703</v>
      </c>
      <c r="F4859" s="3" t="s">
        <v>8704</v>
      </c>
      <c r="G4859" s="3">
        <v>12607</v>
      </c>
      <c r="H4859" s="7" t="str">
        <f>HYPERLINK("http://www.ensembl.org/Mus_musculus/Gene/Summary?db=core;g=ENSMUSG00000024081","ENSMUSG00000024081")</f>
        <v>ENSMUSG00000024081</v>
      </c>
      <c r="I4859" s="7" t="str">
        <f>HYPERLINK("http://www.informatics.jax.org/marker/MGI:109386","MGI:109386")</f>
        <v>MGI:109386</v>
      </c>
      <c r="J4859" s="4" t="s">
        <v>12</v>
      </c>
    </row>
    <row r="4860" spans="1:10" x14ac:dyDescent="0.25">
      <c r="A4860" s="2">
        <v>745.67837764815897</v>
      </c>
      <c r="B4860" s="3">
        <v>-0.25492049026631602</v>
      </c>
      <c r="C4860" s="5">
        <v>1.58296241268841E-5</v>
      </c>
      <c r="D4860" s="6">
        <v>5.8217118198835202E-5</v>
      </c>
      <c r="E4860" s="3" t="s">
        <v>10736</v>
      </c>
      <c r="F4860" s="3" t="s">
        <v>10737</v>
      </c>
      <c r="G4860" s="3">
        <v>69091</v>
      </c>
      <c r="H4860" s="7" t="str">
        <f>HYPERLINK("http://www.ensembl.org/Mus_musculus/Gene/Summary?db=core;g=ENSMUSG00000031988","ENSMUSG00000031988")</f>
        <v>ENSMUSG00000031988</v>
      </c>
      <c r="I4860" s="7" t="str">
        <f>HYPERLINK("http://www.informatics.jax.org/marker/MGI:1917656","MGI:1917656")</f>
        <v>MGI:1917656</v>
      </c>
      <c r="J4860" s="4" t="s">
        <v>12</v>
      </c>
    </row>
    <row r="4861" spans="1:10" x14ac:dyDescent="0.25">
      <c r="A4861" s="2">
        <v>923.04426261980996</v>
      </c>
      <c r="B4861" s="3">
        <v>-0.25542647556329601</v>
      </c>
      <c r="C4861" s="5">
        <v>6.70753320859713E-7</v>
      </c>
      <c r="D4861" s="6">
        <v>2.82694068975284E-6</v>
      </c>
      <c r="E4861" s="3" t="s">
        <v>9373</v>
      </c>
      <c r="F4861" s="3" t="s">
        <v>9374</v>
      </c>
      <c r="G4861" s="3">
        <v>218506</v>
      </c>
      <c r="H4861" s="7" t="str">
        <f>HYPERLINK("http://www.ensembl.org/Mus_musculus/Gene/Summary?db=core;g=ENSMUSG00000041632","ENSMUSG00000041632")</f>
        <v>ENSMUSG00000041632</v>
      </c>
      <c r="I4861" s="7" t="str">
        <f>HYPERLINK("http://www.informatics.jax.org/marker/MGI:1919064","MGI:1919064")</f>
        <v>MGI:1919064</v>
      </c>
      <c r="J4861" s="4" t="s">
        <v>12</v>
      </c>
    </row>
    <row r="4862" spans="1:10" x14ac:dyDescent="0.25">
      <c r="A4862" s="2">
        <v>690.57388990563004</v>
      </c>
      <c r="B4862" s="3">
        <v>-0.25543325357046898</v>
      </c>
      <c r="C4862" s="3">
        <v>1.00187247040305E-4</v>
      </c>
      <c r="D4862" s="4">
        <v>3.3807195613190001E-4</v>
      </c>
      <c r="E4862" s="3" t="s">
        <v>11699</v>
      </c>
      <c r="F4862" s="3" t="s">
        <v>11700</v>
      </c>
      <c r="G4862" s="3">
        <v>50789</v>
      </c>
      <c r="H4862" s="7" t="str">
        <f>HYPERLINK("http://www.ensembl.org/Mus_musculus/Gene/Summary?db=core;g=ENSMUSG00000022124","ENSMUSG00000022124")</f>
        <v>ENSMUSG00000022124</v>
      </c>
      <c r="I4862" s="7" t="str">
        <f>HYPERLINK("http://www.informatics.jax.org/marker/MGI:1354702","MGI:1354702")</f>
        <v>MGI:1354702</v>
      </c>
      <c r="J4862" s="4" t="s">
        <v>12</v>
      </c>
    </row>
    <row r="4863" spans="1:10" x14ac:dyDescent="0.25">
      <c r="A4863" s="2">
        <v>592.83699121055702</v>
      </c>
      <c r="B4863" s="3">
        <v>-0.255490143760705</v>
      </c>
      <c r="C4863" s="3">
        <v>2.6015204911094701E-4</v>
      </c>
      <c r="D4863" s="4">
        <v>8.3268924013437295E-4</v>
      </c>
      <c r="E4863" s="3" t="s">
        <v>12333</v>
      </c>
      <c r="F4863" s="3" t="s">
        <v>12334</v>
      </c>
      <c r="G4863" s="3">
        <v>54160</v>
      </c>
      <c r="H4863" s="7" t="str">
        <f>HYPERLINK("http://www.ensembl.org/Mus_musculus/Gene/Summary?db=core;g=ENSMUSG00000025607","ENSMUSG00000025607")</f>
        <v>ENSMUSG00000025607</v>
      </c>
      <c r="I4863" s="7" t="str">
        <f>HYPERLINK("http://www.informatics.jax.org/marker/MGI:1858683","MGI:1858683")</f>
        <v>MGI:1858683</v>
      </c>
      <c r="J4863" s="4" t="s">
        <v>12</v>
      </c>
    </row>
    <row r="4864" spans="1:10" x14ac:dyDescent="0.25">
      <c r="A4864" s="2">
        <v>2170.9754120285102</v>
      </c>
      <c r="B4864" s="3">
        <v>-0.25550368786627897</v>
      </c>
      <c r="C4864" s="5">
        <v>3.7922670407886702E-7</v>
      </c>
      <c r="D4864" s="6">
        <v>1.6367587227917E-6</v>
      </c>
      <c r="E4864" s="3" t="s">
        <v>9153</v>
      </c>
      <c r="F4864" s="3" t="s">
        <v>9154</v>
      </c>
      <c r="G4864" s="3">
        <v>76559</v>
      </c>
      <c r="H4864" s="7" t="str">
        <f>HYPERLINK("http://www.ensembl.org/Mus_musculus/Gene/Summary?db=core;g=ENSMUSG00000041341","ENSMUSG00000041341")</f>
        <v>ENSMUSG00000041341</v>
      </c>
      <c r="I4864" s="7" t="str">
        <f>HYPERLINK("http://www.informatics.jax.org/marker/MGI:1923809","MGI:1923809")</f>
        <v>MGI:1923809</v>
      </c>
      <c r="J4864" s="4" t="s">
        <v>12</v>
      </c>
    </row>
    <row r="4865" spans="1:10" x14ac:dyDescent="0.25">
      <c r="A4865" s="2">
        <v>220.675981295463</v>
      </c>
      <c r="B4865" s="3">
        <v>-0.25558573995634098</v>
      </c>
      <c r="C4865" s="3">
        <v>2.1766469655735499E-3</v>
      </c>
      <c r="D4865" s="4">
        <v>6.1127140645272499E-3</v>
      </c>
      <c r="E4865" s="3" t="s">
        <v>14051</v>
      </c>
      <c r="F4865" s="3" t="s">
        <v>14052</v>
      </c>
      <c r="G4865" s="3">
        <v>22025</v>
      </c>
      <c r="H4865" s="7" t="str">
        <f>HYPERLINK("http://www.ensembl.org/Mus_musculus/Gene/Summary?db=core;g=ENSMUSG00000005897","ENSMUSG00000005897")</f>
        <v>ENSMUSG00000005897</v>
      </c>
      <c r="I4865" s="7" t="str">
        <f>HYPERLINK("http://www.informatics.jax.org/marker/MGI:1352465","MGI:1352465")</f>
        <v>MGI:1352465</v>
      </c>
      <c r="J4865" s="4" t="s">
        <v>12</v>
      </c>
    </row>
    <row r="4866" spans="1:10" x14ac:dyDescent="0.25">
      <c r="A4866" s="2">
        <v>626.00558064725499</v>
      </c>
      <c r="B4866" s="3">
        <v>-0.25599585727197799</v>
      </c>
      <c r="C4866" s="3">
        <v>1.17924593798472E-3</v>
      </c>
      <c r="D4866" s="4">
        <v>3.4415761280240801E-3</v>
      </c>
      <c r="E4866" s="3" t="s">
        <v>13523</v>
      </c>
      <c r="F4866" s="3" t="s">
        <v>13524</v>
      </c>
      <c r="G4866" s="3">
        <v>55936</v>
      </c>
      <c r="H4866" s="7" t="str">
        <f>HYPERLINK("http://www.ensembl.org/Mus_musculus/Gene/Summary?db=core;g=ENSMUSG00000031360","ENSMUSG00000031360")</f>
        <v>ENSMUSG00000031360</v>
      </c>
      <c r="I4866" s="7" t="str">
        <f>HYPERLINK("http://www.informatics.jax.org/marker/MGI:1933185","MGI:1933185")</f>
        <v>MGI:1933185</v>
      </c>
      <c r="J4866" s="4" t="s">
        <v>12</v>
      </c>
    </row>
    <row r="4867" spans="1:10" x14ac:dyDescent="0.25">
      <c r="A4867" s="2">
        <v>4212.1320871886701</v>
      </c>
      <c r="B4867" s="3">
        <v>-0.256231535514367</v>
      </c>
      <c r="C4867" s="3">
        <v>1.6448522433503601E-2</v>
      </c>
      <c r="D4867" s="4">
        <v>3.9122525918307997E-2</v>
      </c>
      <c r="E4867" s="3" t="s">
        <v>16586</v>
      </c>
      <c r="F4867" s="3" t="s">
        <v>16587</v>
      </c>
      <c r="G4867" s="3">
        <v>11490</v>
      </c>
      <c r="H4867" s="7" t="str">
        <f>HYPERLINK("http://www.ensembl.org/Mus_musculus/Gene/Summary?db=core;g=ENSMUSG00000028041","ENSMUSG00000028041")</f>
        <v>ENSMUSG00000028041</v>
      </c>
      <c r="I4867" s="7" t="str">
        <f>HYPERLINK("http://www.informatics.jax.org/marker/MGI:1333882","MGI:1333882")</f>
        <v>MGI:1333882</v>
      </c>
      <c r="J4867" s="4" t="s">
        <v>12</v>
      </c>
    </row>
    <row r="4868" spans="1:10" x14ac:dyDescent="0.25">
      <c r="A4868" s="2">
        <v>450.26064736328402</v>
      </c>
      <c r="B4868" s="3">
        <v>-0.25624460492719198</v>
      </c>
      <c r="C4868" s="3">
        <v>5.8053750142342498E-3</v>
      </c>
      <c r="D4868" s="4">
        <v>1.5147128245660099E-2</v>
      </c>
      <c r="E4868" s="3" t="s">
        <v>15120</v>
      </c>
      <c r="F4868" s="3" t="s">
        <v>15121</v>
      </c>
      <c r="G4868" s="3">
        <v>68001</v>
      </c>
      <c r="H4868" s="7" t="str">
        <f>HYPERLINK("http://www.ensembl.org/Mus_musculus/Gene/Summary?db=core;g=ENSMUSG00000022972","ENSMUSG00000022972")</f>
        <v>ENSMUSG00000022972</v>
      </c>
      <c r="I4868" s="7" t="str">
        <f>HYPERLINK("http://www.informatics.jax.org/marker/MGI:1915251","MGI:1915251")</f>
        <v>MGI:1915251</v>
      </c>
      <c r="J4868" s="4" t="s">
        <v>12</v>
      </c>
    </row>
    <row r="4869" spans="1:10" x14ac:dyDescent="0.25">
      <c r="A4869" s="2">
        <v>498.46051035620798</v>
      </c>
      <c r="B4869" s="3">
        <v>-0.25639081191066998</v>
      </c>
      <c r="C4869" s="3">
        <v>2.00858011177049E-4</v>
      </c>
      <c r="D4869" s="4">
        <v>6.5189598097620304E-4</v>
      </c>
      <c r="E4869" s="3" t="s">
        <v>12163</v>
      </c>
      <c r="F4869" s="3" t="s">
        <v>12164</v>
      </c>
      <c r="G4869" s="3">
        <v>28113</v>
      </c>
      <c r="H4869" s="7" t="str">
        <f>HYPERLINK("http://www.ensembl.org/Mus_musculus/Gene/Summary?db=core;g=ENSMUSG00000007589","ENSMUSG00000007589")</f>
        <v>ENSMUSG00000007589</v>
      </c>
      <c r="I4869" s="7" t="str">
        <f>HYPERLINK("http://www.informatics.jax.org/marker/MGI:107246","MGI:107246")</f>
        <v>MGI:107246</v>
      </c>
      <c r="J4869" s="4" t="s">
        <v>12</v>
      </c>
    </row>
    <row r="4870" spans="1:10" x14ac:dyDescent="0.25">
      <c r="A4870" s="2">
        <v>3605.2980413789501</v>
      </c>
      <c r="B4870" s="3">
        <v>-0.25742437520066902</v>
      </c>
      <c r="C4870" s="5">
        <v>1.4629387543898099E-7</v>
      </c>
      <c r="D4870" s="6">
        <v>6.5299122310020396E-7</v>
      </c>
      <c r="E4870" s="3" t="s">
        <v>8853</v>
      </c>
      <c r="F4870" s="3" t="s">
        <v>8854</v>
      </c>
      <c r="G4870" s="3">
        <v>20660</v>
      </c>
      <c r="H4870" s="7" t="str">
        <f>HYPERLINK("http://www.ensembl.org/Mus_musculus/Gene/Summary?db=core;g=ENSMUSG00000049313","ENSMUSG00000049313")</f>
        <v>ENSMUSG00000049313</v>
      </c>
      <c r="I4870" s="7" t="str">
        <f>HYPERLINK("http://www.informatics.jax.org/marker/MGI:1202296","MGI:1202296")</f>
        <v>MGI:1202296</v>
      </c>
      <c r="J4870" s="4" t="s">
        <v>12</v>
      </c>
    </row>
    <row r="4871" spans="1:10" x14ac:dyDescent="0.25">
      <c r="A4871" s="2">
        <v>839.57982402437494</v>
      </c>
      <c r="B4871" s="3">
        <v>-0.257543871144849</v>
      </c>
      <c r="C4871" s="3">
        <v>5.1337394333815503E-3</v>
      </c>
      <c r="D4871" s="4">
        <v>1.35579672728384E-2</v>
      </c>
      <c r="E4871" s="3" t="s">
        <v>14938</v>
      </c>
      <c r="F4871" s="3" t="s">
        <v>14939</v>
      </c>
      <c r="G4871" s="3">
        <v>73212</v>
      </c>
      <c r="H4871" s="7" t="str">
        <f>HYPERLINK("http://www.ensembl.org/Mus_musculus/Gene/Summary?db=core;g=ENSMUSG00000053553","ENSMUSG00000053553")</f>
        <v>ENSMUSG00000053553</v>
      </c>
      <c r="I4871" s="7" t="str">
        <f>HYPERLINK("http://www.informatics.jax.org/marker/MGI:1920462","MGI:1920462")</f>
        <v>MGI:1920462</v>
      </c>
      <c r="J4871" s="4" t="s">
        <v>12</v>
      </c>
    </row>
    <row r="4872" spans="1:10" x14ac:dyDescent="0.25">
      <c r="A4872" s="2">
        <v>214.183139871436</v>
      </c>
      <c r="B4872" s="3">
        <v>-0.25778420675029701</v>
      </c>
      <c r="C4872" s="3">
        <v>7.9398006549170203E-3</v>
      </c>
      <c r="D4872" s="4">
        <v>2.0129223415244899E-2</v>
      </c>
      <c r="E4872" s="3" t="s">
        <v>15561</v>
      </c>
      <c r="F4872" s="3" t="s">
        <v>15562</v>
      </c>
      <c r="G4872" s="3">
        <v>216618</v>
      </c>
      <c r="H4872" s="7" t="str">
        <f>HYPERLINK("http://www.ensembl.org/Mus_musculus/Gene/Summary?db=core;g=ENSMUSG00000020462","ENSMUSG00000020462")</f>
        <v>ENSMUSG00000020462</v>
      </c>
      <c r="I4872" s="7" t="str">
        <f>HYPERLINK("http://www.informatics.jax.org/marker/MGI:1913994","MGI:1913994")</f>
        <v>MGI:1913994</v>
      </c>
      <c r="J4872" s="4" t="s">
        <v>12</v>
      </c>
    </row>
    <row r="4873" spans="1:10" x14ac:dyDescent="0.25">
      <c r="A4873" s="2">
        <v>6293.1658153284397</v>
      </c>
      <c r="B4873" s="3">
        <v>-0.25778757804486302</v>
      </c>
      <c r="C4873" s="5">
        <v>8.0599242521379497E-7</v>
      </c>
      <c r="D4873" s="6">
        <v>3.3645577106723202E-6</v>
      </c>
      <c r="E4873" s="3" t="s">
        <v>9463</v>
      </c>
      <c r="F4873" s="3" t="s">
        <v>9464</v>
      </c>
      <c r="G4873" s="3">
        <v>110911</v>
      </c>
      <c r="H4873" s="7" t="str">
        <f>HYPERLINK("http://www.ensembl.org/Mus_musculus/Gene/Summary?db=core;g=ENSMUSG00000058793","ENSMUSG00000058793")</f>
        <v>ENSMUSG00000058793</v>
      </c>
      <c r="I4873" s="7" t="str">
        <f>HYPERLINK("http://www.informatics.jax.org/marker/MGI:1332236","MGI:1332236")</f>
        <v>MGI:1332236</v>
      </c>
      <c r="J4873" s="4" t="s">
        <v>12</v>
      </c>
    </row>
    <row r="4874" spans="1:10" x14ac:dyDescent="0.25">
      <c r="A4874" s="2">
        <v>237.781394387001</v>
      </c>
      <c r="B4874" s="3">
        <v>-0.25778763947154798</v>
      </c>
      <c r="C4874" s="3">
        <v>5.7803031590575003E-3</v>
      </c>
      <c r="D4874" s="4">
        <v>1.50936941600389E-2</v>
      </c>
      <c r="E4874" s="3" t="s">
        <v>15108</v>
      </c>
      <c r="F4874" s="3" t="s">
        <v>15109</v>
      </c>
      <c r="G4874" s="3">
        <v>52840</v>
      </c>
      <c r="H4874" s="7" t="str">
        <f>HYPERLINK("http://www.ensembl.org/Mus_musculus/Gene/Summary?db=core;g=ENSMUSG00000017734","ENSMUSG00000017734")</f>
        <v>ENSMUSG00000017734</v>
      </c>
      <c r="I4874" s="7" t="str">
        <f>HYPERLINK("http://www.informatics.jax.org/marker/MGI:106562","MGI:106562")</f>
        <v>MGI:106562</v>
      </c>
      <c r="J4874" s="4" t="s">
        <v>12</v>
      </c>
    </row>
    <row r="4875" spans="1:10" x14ac:dyDescent="0.25">
      <c r="A4875" s="2">
        <v>1352.8252213109699</v>
      </c>
      <c r="B4875" s="3">
        <v>-0.25803239395057598</v>
      </c>
      <c r="C4875" s="5">
        <v>4.4757260147889001E-6</v>
      </c>
      <c r="D4875" s="6">
        <v>1.73503670162448E-5</v>
      </c>
      <c r="E4875" s="3" t="s">
        <v>10188</v>
      </c>
      <c r="F4875" s="3" t="s">
        <v>10189</v>
      </c>
      <c r="G4875" s="3">
        <v>19055</v>
      </c>
      <c r="H4875" s="7" t="str">
        <f>HYPERLINK("http://www.ensembl.org/Mus_musculus/Gene/Summary?db=core;g=ENSMUSG00000028161","ENSMUSG00000028161")</f>
        <v>ENSMUSG00000028161</v>
      </c>
      <c r="I4875" s="7" t="str">
        <f>HYPERLINK("http://www.informatics.jax.org/marker/MGI:107164","MGI:107164")</f>
        <v>MGI:107164</v>
      </c>
      <c r="J4875" s="4" t="s">
        <v>12</v>
      </c>
    </row>
    <row r="4876" spans="1:10" x14ac:dyDescent="0.25">
      <c r="A4876" s="2">
        <v>201.106294097236</v>
      </c>
      <c r="B4876" s="3">
        <v>-0.258041435798468</v>
      </c>
      <c r="C4876" s="3">
        <v>5.1474319087629096E-3</v>
      </c>
      <c r="D4876" s="4">
        <v>1.35886689746726E-2</v>
      </c>
      <c r="E4876" s="3" t="s">
        <v>14944</v>
      </c>
      <c r="F4876" s="3" t="s">
        <v>14945</v>
      </c>
      <c r="G4876" s="3">
        <v>76594</v>
      </c>
      <c r="H4876" s="7" t="str">
        <f>HYPERLINK("http://www.ensembl.org/Mus_musculus/Gene/Summary?db=core;g=ENSMUSG00000024350","ENSMUSG00000024350")</f>
        <v>ENSMUSG00000024350</v>
      </c>
      <c r="I4876" s="7" t="str">
        <f>HYPERLINK("http://www.informatics.jax.org/marker/MGI:1923844","MGI:1923844")</f>
        <v>MGI:1923844</v>
      </c>
      <c r="J4876" s="4" t="s">
        <v>12</v>
      </c>
    </row>
    <row r="4877" spans="1:10" x14ac:dyDescent="0.25">
      <c r="A4877" s="2">
        <v>3042.2113349896699</v>
      </c>
      <c r="B4877" s="3">
        <v>-0.258139779985532</v>
      </c>
      <c r="C4877" s="5">
        <v>1.6485491496581201E-8</v>
      </c>
      <c r="D4877" s="6">
        <v>8.0131597809361805E-8</v>
      </c>
      <c r="E4877" s="3" t="s">
        <v>8131</v>
      </c>
      <c r="F4877" s="3" t="s">
        <v>8132</v>
      </c>
      <c r="G4877" s="3">
        <v>209497</v>
      </c>
      <c r="H4877" s="7" t="str">
        <f>HYPERLINK("http://www.ensembl.org/Mus_musculus/Gene/Summary?db=core;g=ENSMUSG00000047045","ENSMUSG00000047045")</f>
        <v>ENSMUSG00000047045</v>
      </c>
      <c r="I4877" s="7" t="str">
        <f>HYPERLINK("http://www.informatics.jax.org/marker/MGI:2148020","MGI:2148020")</f>
        <v>MGI:2148020</v>
      </c>
      <c r="J4877" s="4" t="s">
        <v>12</v>
      </c>
    </row>
    <row r="4878" spans="1:10" x14ac:dyDescent="0.25">
      <c r="A4878" s="2">
        <v>1209.5538395645101</v>
      </c>
      <c r="B4878" s="3">
        <v>-0.25814768726010001</v>
      </c>
      <c r="C4878" s="5">
        <v>8.5495636960866696E-7</v>
      </c>
      <c r="D4878" s="6">
        <v>3.55690709043943E-6</v>
      </c>
      <c r="E4878" s="3" t="s">
        <v>9495</v>
      </c>
      <c r="F4878" s="3" t="s">
        <v>9496</v>
      </c>
      <c r="G4878" s="3">
        <v>224023</v>
      </c>
      <c r="H4878" s="7" t="str">
        <f>HYPERLINK("http://www.ensembl.org/Mus_musculus/Gene/Summary?db=core;g=ENSMUSG00000022750","ENSMUSG00000022750")</f>
        <v>ENSMUSG00000022750</v>
      </c>
      <c r="I4878" s="7" t="str">
        <f>HYPERLINK("http://www.informatics.jax.org/marker/MGI:1337995","MGI:1337995")</f>
        <v>MGI:1337995</v>
      </c>
      <c r="J4878" s="4" t="s">
        <v>12</v>
      </c>
    </row>
    <row r="4879" spans="1:10" x14ac:dyDescent="0.25">
      <c r="A4879" s="2">
        <v>967.670356059293</v>
      </c>
      <c r="B4879" s="3">
        <v>-0.25843259019162601</v>
      </c>
      <c r="C4879" s="3">
        <v>1.1331196162627801E-3</v>
      </c>
      <c r="D4879" s="4">
        <v>3.31628359048708E-3</v>
      </c>
      <c r="E4879" s="3" t="s">
        <v>13485</v>
      </c>
      <c r="F4879" s="3" t="s">
        <v>13486</v>
      </c>
      <c r="G4879" s="3">
        <v>98910</v>
      </c>
      <c r="H4879" s="7" t="str">
        <f>HYPERLINK("http://www.ensembl.org/Mus_musculus/Gene/Summary?db=core;g=ENSMUSG00000039046","ENSMUSG00000039046")</f>
        <v>ENSMUSG00000039046</v>
      </c>
      <c r="I4879" s="7" t="str">
        <f>HYPERLINK("http://www.informatics.jax.org/marker/MGI:2138893","MGI:2138893")</f>
        <v>MGI:2138893</v>
      </c>
      <c r="J4879" s="4" t="s">
        <v>12</v>
      </c>
    </row>
    <row r="4880" spans="1:10" x14ac:dyDescent="0.25">
      <c r="A4880" s="2">
        <v>191.31523733978099</v>
      </c>
      <c r="B4880" s="3">
        <v>-0.25854707765232898</v>
      </c>
      <c r="C4880" s="3">
        <v>1.1821534408111701E-2</v>
      </c>
      <c r="D4880" s="4">
        <v>2.8973484778518799E-2</v>
      </c>
      <c r="E4880" s="3" t="s">
        <v>16097</v>
      </c>
      <c r="F4880" s="3" t="s">
        <v>16098</v>
      </c>
      <c r="G4880" s="3">
        <v>71538</v>
      </c>
      <c r="H4880" s="7" t="str">
        <f>HYPERLINK("http://www.ensembl.org/Mus_musculus/Gene/Summary?db=core;g=ENSMUSG00000001366","ENSMUSG00000001366")</f>
        <v>ENSMUSG00000001366</v>
      </c>
      <c r="I4880" s="7" t="str">
        <f>HYPERLINK("http://www.informatics.jax.org/marker/MGI:1918788","MGI:1918788")</f>
        <v>MGI:1918788</v>
      </c>
      <c r="J4880" s="4" t="s">
        <v>12</v>
      </c>
    </row>
    <row r="4881" spans="1:10" x14ac:dyDescent="0.25">
      <c r="A4881" s="2">
        <v>806.66436015594695</v>
      </c>
      <c r="B4881" s="3">
        <v>-0.25861440563683102</v>
      </c>
      <c r="C4881" s="5">
        <v>4.5417053770700102E-6</v>
      </c>
      <c r="D4881" s="6">
        <v>1.75957622860158E-5</v>
      </c>
      <c r="E4881" s="3" t="s">
        <v>10194</v>
      </c>
      <c r="F4881" s="3" t="s">
        <v>10195</v>
      </c>
      <c r="G4881" s="3">
        <v>52846</v>
      </c>
      <c r="H4881" s="7" t="str">
        <f>HYPERLINK("http://www.ensembl.org/Mus_musculus/Gene/Summary?db=core;g=ENSMUSG00000003135","ENSMUSG00000003135")</f>
        <v>ENSMUSG00000003135</v>
      </c>
      <c r="I4881" s="7" t="str">
        <f>HYPERLINK("http://www.informatics.jax.org/marker/MGI:106580","MGI:106580")</f>
        <v>MGI:106580</v>
      </c>
      <c r="J4881" s="4" t="s">
        <v>12</v>
      </c>
    </row>
    <row r="4882" spans="1:10" x14ac:dyDescent="0.25">
      <c r="A4882" s="2">
        <v>1248.1249276803901</v>
      </c>
      <c r="B4882" s="3">
        <v>-0.25886150430369198</v>
      </c>
      <c r="C4882" s="3">
        <v>3.6933585144578902E-4</v>
      </c>
      <c r="D4882" s="4">
        <v>1.1562633736324701E-3</v>
      </c>
      <c r="E4882" s="3" t="s">
        <v>12611</v>
      </c>
      <c r="F4882" s="3" t="s">
        <v>12612</v>
      </c>
      <c r="G4882" s="3">
        <v>71279</v>
      </c>
      <c r="H4882" s="7" t="str">
        <f>HYPERLINK("http://www.ensembl.org/Mus_musculus/Gene/Summary?db=core;g=ENSMUSG00000020100","ENSMUSG00000020100")</f>
        <v>ENSMUSG00000020100</v>
      </c>
      <c r="I4882" s="7" t="str">
        <f>HYPERLINK("http://www.informatics.jax.org/marker/MGI:1918529","MGI:1918529")</f>
        <v>MGI:1918529</v>
      </c>
      <c r="J4882" s="4" t="s">
        <v>12</v>
      </c>
    </row>
    <row r="4883" spans="1:10" x14ac:dyDescent="0.25">
      <c r="A4883" s="2">
        <v>2986.3120788897299</v>
      </c>
      <c r="B4883" s="3">
        <v>-0.25906918168411203</v>
      </c>
      <c r="C4883" s="3">
        <v>1.7197013948502099E-3</v>
      </c>
      <c r="D4883" s="4">
        <v>4.90703393234641E-3</v>
      </c>
      <c r="E4883" s="3" t="s">
        <v>13829</v>
      </c>
      <c r="F4883" s="3" t="s">
        <v>13830</v>
      </c>
      <c r="G4883" s="3">
        <v>72567</v>
      </c>
      <c r="H4883" s="7" t="str">
        <f>HYPERLINK("http://www.ensembl.org/Mus_musculus/Gene/Summary?db=core;g=ENSMUSG00000037608","ENSMUSG00000037608")</f>
        <v>ENSMUSG00000037608</v>
      </c>
      <c r="I4883" s="7" t="str">
        <f>HYPERLINK("http://www.informatics.jax.org/marker/MGI:1917580","MGI:1917580")</f>
        <v>MGI:1917580</v>
      </c>
      <c r="J4883" s="4" t="s">
        <v>12</v>
      </c>
    </row>
    <row r="4884" spans="1:10" x14ac:dyDescent="0.25">
      <c r="A4884" s="2">
        <v>1178.4837611195101</v>
      </c>
      <c r="B4884" s="3">
        <v>-0.25917435752144702</v>
      </c>
      <c r="C4884" s="5">
        <v>4.6957513849630797E-6</v>
      </c>
      <c r="D4884" s="6">
        <v>1.81747237117707E-5</v>
      </c>
      <c r="E4884" s="3" t="s">
        <v>10204</v>
      </c>
      <c r="F4884" s="3" t="s">
        <v>10205</v>
      </c>
      <c r="G4884" s="3">
        <v>74388</v>
      </c>
      <c r="H4884" s="7" t="str">
        <f>HYPERLINK("http://www.ensembl.org/Mus_musculus/Gene/Summary?db=core;g=ENSMUSG00000032393","ENSMUSG00000032393")</f>
        <v>ENSMUSG00000032393</v>
      </c>
      <c r="I4884" s="7" t="str">
        <f>HYPERLINK("http://www.informatics.jax.org/marker/MGI:1921638","MGI:1921638")</f>
        <v>MGI:1921638</v>
      </c>
      <c r="J4884" s="4" t="s">
        <v>12</v>
      </c>
    </row>
    <row r="4885" spans="1:10" x14ac:dyDescent="0.25">
      <c r="A4885" s="2">
        <v>465.53910343856199</v>
      </c>
      <c r="B4885" s="3">
        <v>-0.25984165939820197</v>
      </c>
      <c r="C4885" s="3">
        <v>2.8870473413528299E-3</v>
      </c>
      <c r="D4885" s="4">
        <v>7.9348534594394105E-3</v>
      </c>
      <c r="E4885" s="3" t="s">
        <v>14355</v>
      </c>
      <c r="F4885" s="3" t="s">
        <v>14356</v>
      </c>
      <c r="G4885" s="3">
        <v>69912</v>
      </c>
      <c r="H4885" s="7" t="str">
        <f>HYPERLINK("http://www.ensembl.org/Mus_musculus/Gene/Summary?db=core;g=ENSMUSG00000040034","ENSMUSG00000040034")</f>
        <v>ENSMUSG00000040034</v>
      </c>
      <c r="I4885" s="7" t="str">
        <f>HYPERLINK("http://www.informatics.jax.org/marker/MGI:1917162","MGI:1917162")</f>
        <v>MGI:1917162</v>
      </c>
      <c r="J4885" s="4" t="s">
        <v>12</v>
      </c>
    </row>
    <row r="4886" spans="1:10" x14ac:dyDescent="0.25">
      <c r="A4886" s="2">
        <v>367.85688305679702</v>
      </c>
      <c r="B4886" s="3">
        <v>-0.260119292787241</v>
      </c>
      <c r="C4886" s="3">
        <v>3.0099753642511999E-4</v>
      </c>
      <c r="D4886" s="4">
        <v>9.5413461152601996E-4</v>
      </c>
      <c r="E4886" s="3" t="s">
        <v>12455</v>
      </c>
      <c r="F4886" s="3" t="s">
        <v>12456</v>
      </c>
      <c r="G4886" s="3">
        <v>53332</v>
      </c>
      <c r="H4886" s="7" t="str">
        <f>HYPERLINK("http://www.ensembl.org/Mus_musculus/Gene/Summary?db=core;g=ENSMUSG00000015214","ENSMUSG00000015214")</f>
        <v>ENSMUSG00000015214</v>
      </c>
      <c r="I4886" s="7" t="str">
        <f>HYPERLINK("http://www.informatics.jax.org/marker/MGI:1858271","MGI:1858271")</f>
        <v>MGI:1858271</v>
      </c>
      <c r="J4886" s="4" t="s">
        <v>12</v>
      </c>
    </row>
    <row r="4887" spans="1:10" x14ac:dyDescent="0.25">
      <c r="A4887" s="2">
        <v>2482.4671812061601</v>
      </c>
      <c r="B4887" s="3">
        <v>-0.26038341412298599</v>
      </c>
      <c r="C4887" s="3">
        <v>1.0717476515444299E-4</v>
      </c>
      <c r="D4887" s="4">
        <v>3.60294300860145E-4</v>
      </c>
      <c r="E4887" s="3" t="s">
        <v>11743</v>
      </c>
      <c r="F4887" s="3" t="s">
        <v>11744</v>
      </c>
      <c r="G4887" s="3">
        <v>228790</v>
      </c>
      <c r="H4887" s="7" t="str">
        <f>HYPERLINK("http://www.ensembl.org/Mus_musculus/Gene/Summary?db=core;g=ENSMUSG00000042548","ENSMUSG00000042548")</f>
        <v>ENSMUSG00000042548</v>
      </c>
      <c r="I4887" s="7" t="str">
        <f>HYPERLINK("http://www.informatics.jax.org/marker/MGI:2684063","MGI:2684063")</f>
        <v>MGI:2684063</v>
      </c>
      <c r="J4887" s="4" t="s">
        <v>12</v>
      </c>
    </row>
    <row r="4888" spans="1:10" x14ac:dyDescent="0.25">
      <c r="A4888" s="2">
        <v>329.82278187957201</v>
      </c>
      <c r="B4888" s="3">
        <v>-0.26043841464624901</v>
      </c>
      <c r="C4888" s="3">
        <v>9.4712585502440393E-3</v>
      </c>
      <c r="D4888" s="4">
        <v>2.3675144962709099E-2</v>
      </c>
      <c r="E4888" s="3" t="s">
        <v>15783</v>
      </c>
      <c r="F4888" s="3" t="s">
        <v>15784</v>
      </c>
      <c r="G4888" s="3">
        <v>19401</v>
      </c>
      <c r="H4888" s="7" t="str">
        <f>HYPERLINK("http://www.ensembl.org/Mus_musculus/Gene/Summary?db=core;g=ENSMUSG00000037992","ENSMUSG00000037992")</f>
        <v>ENSMUSG00000037992</v>
      </c>
      <c r="I4888" s="7" t="str">
        <f>HYPERLINK("http://www.informatics.jax.org/marker/MGI:97856","MGI:97856")</f>
        <v>MGI:97856</v>
      </c>
      <c r="J4888" s="4" t="s">
        <v>12</v>
      </c>
    </row>
    <row r="4889" spans="1:10" x14ac:dyDescent="0.25">
      <c r="A4889" s="2">
        <v>1051.48127932331</v>
      </c>
      <c r="B4889" s="3">
        <v>-0.26054316236522901</v>
      </c>
      <c r="C4889" s="5">
        <v>1.1402985643184101E-5</v>
      </c>
      <c r="D4889" s="6">
        <v>4.2472913687532801E-5</v>
      </c>
      <c r="E4889" s="3" t="s">
        <v>10601</v>
      </c>
      <c r="F4889" s="3" t="s">
        <v>10602</v>
      </c>
      <c r="G4889" s="3">
        <v>227695</v>
      </c>
      <c r="H4889" s="7" t="str">
        <f>HYPERLINK("http://www.ensembl.org/Mus_musculus/Gene/Summary?db=core;g=ENSMUSG00000039660","ENSMUSG00000039660")</f>
        <v>ENSMUSG00000039660</v>
      </c>
      <c r="I4889" s="7" t="str">
        <f>HYPERLINK("http://www.informatics.jax.org/marker/MGI:106544","MGI:106544")</f>
        <v>MGI:106544</v>
      </c>
      <c r="J4889" s="4" t="s">
        <v>12</v>
      </c>
    </row>
    <row r="4890" spans="1:10" x14ac:dyDescent="0.25">
      <c r="A4890" s="2">
        <v>776.50356830689702</v>
      </c>
      <c r="B4890" s="3">
        <v>-0.26059761597306003</v>
      </c>
      <c r="C4890" s="3">
        <v>1.9248978442440801E-3</v>
      </c>
      <c r="D4890" s="4">
        <v>5.4523104694762002E-3</v>
      </c>
      <c r="E4890" s="3" t="s">
        <v>13931</v>
      </c>
      <c r="F4890" s="3" t="s">
        <v>13932</v>
      </c>
      <c r="G4890" s="3">
        <v>13998</v>
      </c>
      <c r="H4890" s="7" t="str">
        <f>HYPERLINK("http://www.ensembl.org/Mus_musculus/Gene/Summary?db=core;g=ENSMUSG00000020021","ENSMUSG00000020021")</f>
        <v>ENSMUSG00000020021</v>
      </c>
      <c r="I4890" s="7" t="str">
        <f>HYPERLINK("http://www.informatics.jax.org/marker/MGI:1261419","MGI:1261419")</f>
        <v>MGI:1261419</v>
      </c>
      <c r="J4890" s="4" t="s">
        <v>12</v>
      </c>
    </row>
    <row r="4891" spans="1:10" x14ac:dyDescent="0.25">
      <c r="A4891" s="2">
        <v>2574.0441626613501</v>
      </c>
      <c r="B4891" s="3">
        <v>-0.26066330379798403</v>
      </c>
      <c r="C4891" s="3">
        <v>6.1342710189555196E-3</v>
      </c>
      <c r="D4891" s="4">
        <v>1.5914724969583301E-2</v>
      </c>
      <c r="E4891" s="3" t="s">
        <v>15207</v>
      </c>
      <c r="F4891" s="3" t="s">
        <v>15208</v>
      </c>
      <c r="G4891" s="3">
        <v>17084</v>
      </c>
      <c r="H4891" s="7" t="str">
        <f>HYPERLINK("http://www.ensembl.org/Mus_musculus/Gene/Summary?db=core;g=ENSMUSG00000021423","ENSMUSG00000021423")</f>
        <v>ENSMUSG00000021423</v>
      </c>
      <c r="I4891" s="7" t="str">
        <f>HYPERLINK("http://www.informatics.jax.org/marker/MGI:1321404","MGI:1321404")</f>
        <v>MGI:1321404</v>
      </c>
      <c r="J4891" s="4" t="s">
        <v>12</v>
      </c>
    </row>
    <row r="4892" spans="1:10" x14ac:dyDescent="0.25">
      <c r="A4892" s="2">
        <v>455.67122798526901</v>
      </c>
      <c r="B4892" s="3">
        <v>-0.26091039467994198</v>
      </c>
      <c r="C4892" s="3">
        <v>4.2035069586889096E-3</v>
      </c>
      <c r="D4892" s="4">
        <v>1.1270313694812399E-2</v>
      </c>
      <c r="E4892" s="3" t="s">
        <v>14714</v>
      </c>
      <c r="F4892" s="3" t="s">
        <v>14715</v>
      </c>
      <c r="G4892" s="3">
        <v>84585</v>
      </c>
      <c r="H4892" s="7" t="str">
        <f>HYPERLINK("http://www.ensembl.org/Mus_musculus/Gene/Summary?db=core;g=ENSMUSG00000041528","ENSMUSG00000041528")</f>
        <v>ENSMUSG00000041528</v>
      </c>
      <c r="I4892" s="7" t="str">
        <f>HYPERLINK("http://www.informatics.jax.org/marker/MGI:2148796","MGI:2148796")</f>
        <v>MGI:2148796</v>
      </c>
      <c r="J4892" s="4" t="s">
        <v>12</v>
      </c>
    </row>
    <row r="4893" spans="1:10" x14ac:dyDescent="0.25">
      <c r="A4893" s="2">
        <v>1476.7003291979199</v>
      </c>
      <c r="B4893" s="3">
        <v>-0.26092220560366303</v>
      </c>
      <c r="C4893" s="5">
        <v>1.8866023992165E-7</v>
      </c>
      <c r="D4893" s="6">
        <v>8.3735762576073399E-7</v>
      </c>
      <c r="E4893" s="3" t="s">
        <v>8903</v>
      </c>
      <c r="F4893" s="3" t="s">
        <v>8904</v>
      </c>
      <c r="G4893" s="3">
        <v>70804</v>
      </c>
      <c r="H4893" s="7" t="str">
        <f>HYPERLINK("http://www.ensembl.org/Mus_musculus/Gene/Summary?db=core;g=ENSMUSG00000049940","ENSMUSG00000049940")</f>
        <v>ENSMUSG00000049940</v>
      </c>
      <c r="I4893" s="7" t="str">
        <f>HYPERLINK("http://www.informatics.jax.org/marker/MGI:1918054","MGI:1918054")</f>
        <v>MGI:1918054</v>
      </c>
      <c r="J4893" s="4" t="s">
        <v>12</v>
      </c>
    </row>
    <row r="4894" spans="1:10" x14ac:dyDescent="0.25">
      <c r="A4894" s="2">
        <v>616.74327193956901</v>
      </c>
      <c r="B4894" s="3">
        <v>-0.26096121426503399</v>
      </c>
      <c r="C4894" s="5">
        <v>4.0172483985158402E-5</v>
      </c>
      <c r="D4894" s="4">
        <v>1.4133833794599901E-4</v>
      </c>
      <c r="E4894" s="3" t="s">
        <v>11221</v>
      </c>
      <c r="F4894" s="3" t="s">
        <v>11222</v>
      </c>
      <c r="G4894" s="3">
        <v>20615</v>
      </c>
      <c r="H4894" s="7" t="str">
        <f>HYPERLINK("http://www.ensembl.org/Mus_musculus/Gene/Summary?db=core;g=ENSMUSG00000001018","ENSMUSG00000001018")</f>
        <v>ENSMUSG00000001018</v>
      </c>
      <c r="I4894" s="7" t="str">
        <f>HYPERLINK("http://www.informatics.jax.org/marker/MGI:1333745","MGI:1333745")</f>
        <v>MGI:1333745</v>
      </c>
      <c r="J4894" s="4" t="s">
        <v>12</v>
      </c>
    </row>
    <row r="4895" spans="1:10" x14ac:dyDescent="0.25">
      <c r="A4895" s="2">
        <v>291.929660663589</v>
      </c>
      <c r="B4895" s="3">
        <v>-0.26106085747909902</v>
      </c>
      <c r="C4895" s="3">
        <v>6.0824323025590998E-3</v>
      </c>
      <c r="D4895" s="4">
        <v>1.5796860925387301E-2</v>
      </c>
      <c r="E4895" s="3" t="s">
        <v>15191</v>
      </c>
      <c r="F4895" s="3" t="s">
        <v>15192</v>
      </c>
      <c r="G4895" s="3">
        <v>14651</v>
      </c>
      <c r="H4895" s="7" t="str">
        <f>HYPERLINK("http://www.ensembl.org/Mus_musculus/Gene/Summary?db=core;g=ENSMUSG00000024158","ENSMUSG00000024158")</f>
        <v>ENSMUSG00000024158</v>
      </c>
      <c r="I4895" s="7" t="str">
        <f>HYPERLINK("http://www.informatics.jax.org/marker/MGI:95745","MGI:95745")</f>
        <v>MGI:95745</v>
      </c>
      <c r="J4895" s="4" t="s">
        <v>12</v>
      </c>
    </row>
    <row r="4896" spans="1:10" x14ac:dyDescent="0.25">
      <c r="A4896" s="2">
        <v>131.813552149808</v>
      </c>
      <c r="B4896" s="3">
        <v>-0.261297030962796</v>
      </c>
      <c r="C4896" s="3">
        <v>2.1182393963118499E-2</v>
      </c>
      <c r="D4896" s="4">
        <v>4.91720787466388E-2</v>
      </c>
      <c r="E4896" s="3" t="s">
        <v>16994</v>
      </c>
      <c r="F4896" s="3" t="s">
        <v>16995</v>
      </c>
      <c r="G4896" s="3">
        <v>192289</v>
      </c>
      <c r="H4896" s="7" t="str">
        <f>HYPERLINK("http://www.ensembl.org/Mus_musculus/Gene/Summary?db=core;g=ENSMUSG00000079834","ENSMUSG00000079834")</f>
        <v>ENSMUSG00000079834</v>
      </c>
      <c r="I4896" s="7" t="str">
        <f>HYPERLINK("http://www.informatics.jax.org/marker/MGI:2180203","MGI:2180203")</f>
        <v>MGI:2180203</v>
      </c>
      <c r="J4896" s="4" t="s">
        <v>12</v>
      </c>
    </row>
    <row r="4897" spans="1:10" x14ac:dyDescent="0.25">
      <c r="A4897" s="2">
        <v>818.06582552209397</v>
      </c>
      <c r="B4897" s="3">
        <v>-0.26156135298026401</v>
      </c>
      <c r="C4897" s="3">
        <v>5.1699280585441995E-4</v>
      </c>
      <c r="D4897" s="4">
        <v>1.58802151580205E-3</v>
      </c>
      <c r="E4897" s="3" t="s">
        <v>12849</v>
      </c>
      <c r="F4897" s="3" t="s">
        <v>12850</v>
      </c>
      <c r="G4897" s="3">
        <v>72587</v>
      </c>
      <c r="H4897" s="7" t="str">
        <f>HYPERLINK("http://www.ensembl.org/Mus_musculus/Gene/Summary?db=core;g=ENSMUSG00000029647","ENSMUSG00000029647")</f>
        <v>ENSMUSG00000029647</v>
      </c>
      <c r="I4897" s="7" t="str">
        <f>HYPERLINK("http://www.informatics.jax.org/marker/MGI:1919837","MGI:1919837")</f>
        <v>MGI:1919837</v>
      </c>
      <c r="J4897" s="4" t="s">
        <v>12</v>
      </c>
    </row>
    <row r="4898" spans="1:10" x14ac:dyDescent="0.25">
      <c r="A4898" s="2">
        <v>2102.6573450737001</v>
      </c>
      <c r="B4898" s="3">
        <v>-0.26156953148826401</v>
      </c>
      <c r="C4898" s="5">
        <v>7.0570349160266903E-8</v>
      </c>
      <c r="D4898" s="6">
        <v>3.2363975148379298E-7</v>
      </c>
      <c r="E4898" s="3" t="s">
        <v>8615</v>
      </c>
      <c r="F4898" s="3" t="s">
        <v>8616</v>
      </c>
      <c r="G4898" s="3">
        <v>20320</v>
      </c>
      <c r="H4898" s="7" t="str">
        <f>HYPERLINK("http://www.ensembl.org/Mus_musculus/Gene/Summary?db=core;g=ENSMUSG00000032336","ENSMUSG00000032336")</f>
        <v>ENSMUSG00000032336</v>
      </c>
      <c r="I4898" s="7" t="str">
        <f>HYPERLINK("http://www.informatics.jax.org/marker/MGI:108077","MGI:108077")</f>
        <v>MGI:108077</v>
      </c>
      <c r="J4898" s="4" t="s">
        <v>12</v>
      </c>
    </row>
    <row r="4899" spans="1:10" x14ac:dyDescent="0.25">
      <c r="A4899" s="2">
        <v>1623.7696807402299</v>
      </c>
      <c r="B4899" s="3">
        <v>-0.26163272196493298</v>
      </c>
      <c r="C4899" s="3">
        <v>3.8474906547711798E-3</v>
      </c>
      <c r="D4899" s="4">
        <v>1.03821176398587E-2</v>
      </c>
      <c r="E4899" s="3" t="s">
        <v>14619</v>
      </c>
      <c r="F4899" s="3" t="s">
        <v>14620</v>
      </c>
      <c r="G4899" s="3">
        <v>14211</v>
      </c>
      <c r="H4899" s="7" t="str">
        <f>HYPERLINK("http://www.ensembl.org/Mus_musculus/Gene/Summary?db=core;g=ENSMUSG00000028312","ENSMUSG00000028312")</f>
        <v>ENSMUSG00000028312</v>
      </c>
      <c r="I4899" s="7" t="str">
        <f>HYPERLINK("http://www.informatics.jax.org/marker/MGI:106067","MGI:106067")</f>
        <v>MGI:106067</v>
      </c>
      <c r="J4899" s="4" t="s">
        <v>12</v>
      </c>
    </row>
    <row r="4900" spans="1:10" x14ac:dyDescent="0.25">
      <c r="A4900" s="2">
        <v>257.19094834850603</v>
      </c>
      <c r="B4900" s="3">
        <v>-0.26168684351071803</v>
      </c>
      <c r="C4900" s="3">
        <v>9.48381570421668E-4</v>
      </c>
      <c r="D4900" s="4">
        <v>2.8043311693980002E-3</v>
      </c>
      <c r="E4900" s="3" t="s">
        <v>13347</v>
      </c>
      <c r="F4900" s="3" t="s">
        <v>13348</v>
      </c>
      <c r="G4900" s="3">
        <v>70564</v>
      </c>
      <c r="H4900" s="7" t="str">
        <f>HYPERLINK("http://www.ensembl.org/Mus_musculus/Gene/Summary?db=core;g=ENSMUSG00000021792","ENSMUSG00000021792")</f>
        <v>ENSMUSG00000021792</v>
      </c>
      <c r="I4900" s="7" t="str">
        <f>HYPERLINK("http://www.informatics.jax.org/marker/MGI:1917814","MGI:1917814")</f>
        <v>MGI:1917814</v>
      </c>
      <c r="J4900" s="4" t="s">
        <v>12</v>
      </c>
    </row>
    <row r="4901" spans="1:10" x14ac:dyDescent="0.25">
      <c r="A4901" s="2">
        <v>1312.26461287693</v>
      </c>
      <c r="B4901" s="3">
        <v>-0.26208825002859498</v>
      </c>
      <c r="C4901" s="5">
        <v>2.88732817719368E-7</v>
      </c>
      <c r="D4901" s="6">
        <v>1.2619262334720601E-6</v>
      </c>
      <c r="E4901" s="3" t="s">
        <v>9039</v>
      </c>
      <c r="F4901" s="3" t="s">
        <v>9040</v>
      </c>
      <c r="G4901" s="3">
        <v>68183</v>
      </c>
      <c r="H4901" s="7" t="str">
        <f>HYPERLINK("http://www.ensembl.org/Mus_musculus/Gene/Summary?db=core;g=ENSMUSG00000005687","ENSMUSG00000005687")</f>
        <v>ENSMUSG00000005687</v>
      </c>
      <c r="I4901" s="7" t="str">
        <f>HYPERLINK("http://www.informatics.jax.org/marker/MGI:1915433","MGI:1915433")</f>
        <v>MGI:1915433</v>
      </c>
      <c r="J4901" s="4" t="s">
        <v>12</v>
      </c>
    </row>
    <row r="4902" spans="1:10" x14ac:dyDescent="0.25">
      <c r="A4902" s="2">
        <v>912.72065155437201</v>
      </c>
      <c r="B4902" s="3">
        <v>-0.26209792066425602</v>
      </c>
      <c r="C4902" s="5">
        <v>3.3474799969694699E-5</v>
      </c>
      <c r="D4902" s="4">
        <v>1.18919664096988E-4</v>
      </c>
      <c r="E4902" s="3" t="s">
        <v>11115</v>
      </c>
      <c r="F4902" s="3" t="s">
        <v>11116</v>
      </c>
      <c r="G4902" s="3">
        <v>225467</v>
      </c>
      <c r="H4902" s="7" t="str">
        <f>HYPERLINK("http://www.ensembl.org/Mus_musculus/Gene/Summary?db=core;g=ENSMUSG00000024477","ENSMUSG00000024477")</f>
        <v>ENSMUSG00000024477</v>
      </c>
      <c r="I4902" s="7" t="str">
        <f>HYPERLINK("http://www.informatics.jax.org/marker/MGI:1917514","MGI:1917514")</f>
        <v>MGI:1917514</v>
      </c>
      <c r="J4902" s="4" t="s">
        <v>12</v>
      </c>
    </row>
    <row r="4903" spans="1:10" x14ac:dyDescent="0.25">
      <c r="A4903" s="2">
        <v>1052.4767256935399</v>
      </c>
      <c r="B4903" s="3">
        <v>-0.26219788221426898</v>
      </c>
      <c r="C4903" s="3">
        <v>1.45008767727396E-4</v>
      </c>
      <c r="D4903" s="4">
        <v>4.7915095502417001E-4</v>
      </c>
      <c r="E4903" s="3" t="s">
        <v>11947</v>
      </c>
      <c r="F4903" s="3" t="s">
        <v>11948</v>
      </c>
      <c r="G4903" s="3">
        <v>66420</v>
      </c>
      <c r="H4903" s="7" t="str">
        <f>HYPERLINK("http://www.ensembl.org/Mus_musculus/Gene/Summary?db=core;g=ENSMUSG00000004667","ENSMUSG00000004667")</f>
        <v>ENSMUSG00000004667</v>
      </c>
      <c r="I4903" s="7" t="str">
        <f>HYPERLINK("http://www.informatics.jax.org/marker/MGI:1913670","MGI:1913670")</f>
        <v>MGI:1913670</v>
      </c>
      <c r="J4903" s="4" t="s">
        <v>12</v>
      </c>
    </row>
    <row r="4904" spans="1:10" x14ac:dyDescent="0.25">
      <c r="A4904" s="2">
        <v>222.303907845738</v>
      </c>
      <c r="B4904" s="3">
        <v>-0.26259172937300401</v>
      </c>
      <c r="C4904" s="3">
        <v>5.1991983966855901E-3</v>
      </c>
      <c r="D4904" s="4">
        <v>1.3716146138145801E-2</v>
      </c>
      <c r="E4904" s="3" t="s">
        <v>14954</v>
      </c>
      <c r="F4904" s="3" t="s">
        <v>14955</v>
      </c>
      <c r="G4904" s="3">
        <v>224703</v>
      </c>
      <c r="H4904" s="7" t="str">
        <f>HYPERLINK("http://www.ensembl.org/Mus_musculus/Gene/Summary?db=core;g=ENSMUSG00000079557","ENSMUSG00000079557")</f>
        <v>ENSMUSG00000079557</v>
      </c>
      <c r="I4904" s="7" t="str">
        <f>HYPERLINK("http://www.informatics.jax.org/marker/MGI:1925915","MGI:1925915")</f>
        <v>MGI:1925915</v>
      </c>
      <c r="J4904" s="4" t="s">
        <v>12</v>
      </c>
    </row>
    <row r="4905" spans="1:10" x14ac:dyDescent="0.25">
      <c r="A4905" s="2">
        <v>1127.86544351105</v>
      </c>
      <c r="B4905" s="3">
        <v>-0.26261011888494401</v>
      </c>
      <c r="C4905" s="5">
        <v>2.3740747558996999E-7</v>
      </c>
      <c r="D4905" s="6">
        <v>1.0450168345165601E-6</v>
      </c>
      <c r="E4905" s="3" t="s">
        <v>8977</v>
      </c>
      <c r="F4905" s="3" t="s">
        <v>8978</v>
      </c>
      <c r="G4905" s="3">
        <v>52335</v>
      </c>
      <c r="H4905" s="7" t="str">
        <f>HYPERLINK("http://www.ensembl.org/Mus_musculus/Gene/Summary?db=core;g=ENSMUSG00000069895","ENSMUSG00000069895")</f>
        <v>ENSMUSG00000069895</v>
      </c>
      <c r="I4905" s="7" t="str">
        <f>HYPERLINK("http://www.informatics.jax.org/marker/MGI:3694797","MGI:3694797")</f>
        <v>MGI:3694797</v>
      </c>
      <c r="J4905" s="4" t="s">
        <v>12</v>
      </c>
    </row>
    <row r="4906" spans="1:10" x14ac:dyDescent="0.25">
      <c r="A4906" s="2">
        <v>140.05046790071901</v>
      </c>
      <c r="B4906" s="3">
        <v>-0.26277539654339499</v>
      </c>
      <c r="C4906" s="3">
        <v>1.0216624166499801E-2</v>
      </c>
      <c r="D4906" s="4">
        <v>2.5386916702183401E-2</v>
      </c>
      <c r="E4906" s="3" t="s">
        <v>15877</v>
      </c>
      <c r="F4906" s="3" t="s">
        <v>15878</v>
      </c>
      <c r="G4906" s="3">
        <v>55983</v>
      </c>
      <c r="H4906" s="7" t="str">
        <f>HYPERLINK("http://www.ensembl.org/Mus_musculus/Gene/Summary?db=core;g=ENSMUSG00000035357","ENSMUSG00000035357")</f>
        <v>ENSMUSG00000035357</v>
      </c>
      <c r="I4906" s="7" t="str">
        <f>HYPERLINK("http://www.informatics.jax.org/marker/MGI:1933157","MGI:1933157")</f>
        <v>MGI:1933157</v>
      </c>
      <c r="J4906" s="4" t="s">
        <v>12</v>
      </c>
    </row>
    <row r="4907" spans="1:10" x14ac:dyDescent="0.25">
      <c r="A4907" s="2">
        <v>430.65841126094602</v>
      </c>
      <c r="B4907" s="3">
        <v>-0.26281350911280299</v>
      </c>
      <c r="C4907" s="3">
        <v>7.7192207745019304E-4</v>
      </c>
      <c r="D4907" s="4">
        <v>2.3151792193639299E-3</v>
      </c>
      <c r="E4907" s="3" t="s">
        <v>13159</v>
      </c>
      <c r="F4907" s="3" t="s">
        <v>13160</v>
      </c>
      <c r="G4907" s="3">
        <v>209011</v>
      </c>
      <c r="H4907" s="7" t="str">
        <f>HYPERLINK("http://www.ensembl.org/Mus_musculus/Gene/Summary?db=core;g=ENSMUSG00000025138","ENSMUSG00000025138")</f>
        <v>ENSMUSG00000025138</v>
      </c>
      <c r="I4907" s="7" t="str">
        <f>HYPERLINK("http://www.informatics.jax.org/marker/MGI:2385849","MGI:2385849")</f>
        <v>MGI:2385849</v>
      </c>
      <c r="J4907" s="4" t="s">
        <v>12</v>
      </c>
    </row>
    <row r="4908" spans="1:10" x14ac:dyDescent="0.25">
      <c r="A4908" s="2">
        <v>3167.53995243806</v>
      </c>
      <c r="B4908" s="3">
        <v>-0.26285789217135003</v>
      </c>
      <c r="C4908" s="5">
        <v>7.5303887181206997E-7</v>
      </c>
      <c r="D4908" s="6">
        <v>3.1548601130516302E-6</v>
      </c>
      <c r="E4908" s="3" t="s">
        <v>9429</v>
      </c>
      <c r="F4908" s="3" t="s">
        <v>9430</v>
      </c>
      <c r="G4908" s="3">
        <v>58521</v>
      </c>
      <c r="H4908" s="7" t="str">
        <f>HYPERLINK("http://www.ensembl.org/Mus_musculus/Gene/Summary?db=core;g=ENSMUSG00000091337","ENSMUSG00000091337")</f>
        <v>ENSMUSG00000091337</v>
      </c>
      <c r="I4908" s="7" t="str">
        <f>HYPERLINK("http://www.informatics.jax.org/marker/MGI:1889651","MGI:1889651")</f>
        <v>MGI:1889651</v>
      </c>
      <c r="J4908" s="4" t="s">
        <v>12</v>
      </c>
    </row>
    <row r="4909" spans="1:10" x14ac:dyDescent="0.25">
      <c r="A4909" s="2">
        <v>1062.81400998035</v>
      </c>
      <c r="B4909" s="3">
        <v>-0.26292432087075301</v>
      </c>
      <c r="C4909" s="5">
        <v>1.3918370179729501E-9</v>
      </c>
      <c r="D4909" s="6">
        <v>7.3742681339136299E-9</v>
      </c>
      <c r="E4909" s="3" t="s">
        <v>7462</v>
      </c>
      <c r="F4909" s="3" t="s">
        <v>7463</v>
      </c>
      <c r="G4909" s="3">
        <v>103733</v>
      </c>
      <c r="H4909" s="7" t="str">
        <f>HYPERLINK("http://www.ensembl.org/Mus_musculus/Gene/Summary?db=core;g=ENSMUSG00000035198","ENSMUSG00000035198")</f>
        <v>ENSMUSG00000035198</v>
      </c>
      <c r="I4909" s="7" t="str">
        <f>HYPERLINK("http://www.informatics.jax.org/marker/MGI:101834","MGI:101834")</f>
        <v>MGI:101834</v>
      </c>
      <c r="J4909" s="4" t="s">
        <v>12</v>
      </c>
    </row>
    <row r="4910" spans="1:10" x14ac:dyDescent="0.25">
      <c r="A4910" s="2">
        <v>809.05712797124295</v>
      </c>
      <c r="B4910" s="3">
        <v>-0.26314360672607001</v>
      </c>
      <c r="C4910" s="5">
        <v>3.7287584847623698E-7</v>
      </c>
      <c r="D4910" s="6">
        <v>1.61075832025222E-6</v>
      </c>
      <c r="E4910" s="3" t="s">
        <v>9145</v>
      </c>
      <c r="F4910" s="3" t="s">
        <v>9146</v>
      </c>
      <c r="G4910" s="3">
        <v>99889</v>
      </c>
      <c r="H4910" s="7" t="str">
        <f>HYPERLINK("http://www.ensembl.org/Mus_musculus/Gene/Summary?db=core;g=ENSMUSG00000074513","ENSMUSG00000074513")</f>
        <v>ENSMUSG00000074513</v>
      </c>
      <c r="I4910" s="7" t="str">
        <f>HYPERLINK("http://www.informatics.jax.org/marker/MGI:1277120","MGI:1277120")</f>
        <v>MGI:1277120</v>
      </c>
      <c r="J4910" s="4" t="s">
        <v>12</v>
      </c>
    </row>
    <row r="4911" spans="1:10" x14ac:dyDescent="0.25">
      <c r="A4911" s="2">
        <v>258.16358952414902</v>
      </c>
      <c r="B4911" s="3">
        <v>-0.26326973211791699</v>
      </c>
      <c r="C4911" s="3">
        <v>1.43909745298987E-2</v>
      </c>
      <c r="D4911" s="4">
        <v>3.4650795815580303E-2</v>
      </c>
      <c r="E4911" s="3" t="s">
        <v>16385</v>
      </c>
      <c r="F4911" s="3" t="s">
        <v>16386</v>
      </c>
      <c r="G4911" s="3">
        <v>76429</v>
      </c>
      <c r="H4911" s="7" t="str">
        <f>HYPERLINK("http://www.ensembl.org/Mus_musculus/Gene/Summary?db=core;g=ENSMUSG00000030946","ENSMUSG00000030946")</f>
        <v>ENSMUSG00000030946</v>
      </c>
      <c r="I4911" s="7" t="str">
        <f>HYPERLINK("http://www.informatics.jax.org/marker/MGI:1923679","MGI:1923679")</f>
        <v>MGI:1923679</v>
      </c>
      <c r="J4911" s="4" t="s">
        <v>12</v>
      </c>
    </row>
    <row r="4912" spans="1:10" x14ac:dyDescent="0.25">
      <c r="A4912" s="2">
        <v>5019.2310789360699</v>
      </c>
      <c r="B4912" s="3">
        <v>-0.26347988300036801</v>
      </c>
      <c r="C4912" s="3">
        <v>4.2486203941526903E-3</v>
      </c>
      <c r="D4912" s="4">
        <v>1.1383531816941701E-2</v>
      </c>
      <c r="E4912" s="3" t="s">
        <v>14724</v>
      </c>
      <c r="F4912" s="3" t="s">
        <v>14725</v>
      </c>
      <c r="G4912" s="3">
        <v>16592</v>
      </c>
      <c r="H4912" s="7" t="str">
        <f>HYPERLINK("http://www.ensembl.org/Mus_musculus/Gene/Summary?db=core;g=ENSMUSG00000027533","ENSMUSG00000027533")</f>
        <v>ENSMUSG00000027533</v>
      </c>
      <c r="I4912" s="7" t="str">
        <f>HYPERLINK("http://www.informatics.jax.org/marker/MGI:101790","MGI:101790")</f>
        <v>MGI:101790</v>
      </c>
      <c r="J4912" s="4" t="s">
        <v>12</v>
      </c>
    </row>
    <row r="4913" spans="1:10" x14ac:dyDescent="0.25">
      <c r="A4913" s="2">
        <v>1517.74524724619</v>
      </c>
      <c r="B4913" s="3">
        <v>-0.26351246329875</v>
      </c>
      <c r="C4913" s="5">
        <v>9.1009406681769898E-7</v>
      </c>
      <c r="D4913" s="6">
        <v>3.77912297276164E-6</v>
      </c>
      <c r="E4913" s="3" t="s">
        <v>9513</v>
      </c>
      <c r="F4913" s="3" t="s">
        <v>9514</v>
      </c>
      <c r="G4913" s="3">
        <v>74412</v>
      </c>
      <c r="H4913" s="7" t="str">
        <f>HYPERLINK("http://www.ensembl.org/Mus_musculus/Gene/Summary?db=core;g=ENSMUSG00000019715","ENSMUSG00000019715")</f>
        <v>ENSMUSG00000019715</v>
      </c>
      <c r="I4913" s="7" t="str">
        <f>HYPERLINK("http://www.informatics.jax.org/marker/MGI:1921662","MGI:1921662")</f>
        <v>MGI:1921662</v>
      </c>
      <c r="J4913" s="4" t="s">
        <v>12</v>
      </c>
    </row>
    <row r="4914" spans="1:10" x14ac:dyDescent="0.25">
      <c r="A4914" s="2">
        <v>336.89996688178297</v>
      </c>
      <c r="B4914" s="3">
        <v>-0.26378358433819799</v>
      </c>
      <c r="C4914" s="3">
        <v>5.6336089841205303E-4</v>
      </c>
      <c r="D4914" s="4">
        <v>1.7234683395416801E-3</v>
      </c>
      <c r="E4914" s="3" t="s">
        <v>12901</v>
      </c>
      <c r="F4914" s="3" t="s">
        <v>12902</v>
      </c>
      <c r="G4914" s="3">
        <v>117109</v>
      </c>
      <c r="H4914" s="7" t="str">
        <f>HYPERLINK("http://www.ensembl.org/Mus_musculus/Gene/Summary?db=core;g=ENSMUSG00000060152","ENSMUSG00000060152")</f>
        <v>ENSMUSG00000060152</v>
      </c>
      <c r="I4914" s="7" t="str">
        <f>HYPERLINK("http://www.informatics.jax.org/marker/MGI:2151221","MGI:2151221")</f>
        <v>MGI:2151221</v>
      </c>
      <c r="J4914" s="4" t="s">
        <v>12</v>
      </c>
    </row>
    <row r="4915" spans="1:10" x14ac:dyDescent="0.25">
      <c r="A4915" s="2">
        <v>1414.5137161139301</v>
      </c>
      <c r="B4915" s="3">
        <v>-0.26380118822877102</v>
      </c>
      <c r="C4915" s="3">
        <v>8.9166044269354608E-3</v>
      </c>
      <c r="D4915" s="4">
        <v>2.2405127331698201E-2</v>
      </c>
      <c r="E4915" s="3" t="s">
        <v>15701</v>
      </c>
      <c r="F4915" s="3" t="s">
        <v>15702</v>
      </c>
      <c r="G4915" s="3">
        <v>26912</v>
      </c>
      <c r="H4915" s="7" t="str">
        <f>HYPERLINK("http://www.ensembl.org/Mus_musculus/Gene/Summary?db=core;g=ENSMUSG00000006378","ENSMUSG00000006378")</f>
        <v>ENSMUSG00000006378</v>
      </c>
      <c r="I4915" s="7" t="str">
        <f>HYPERLINK("http://www.informatics.jax.org/marker/MGI:1349389","MGI:1349389")</f>
        <v>MGI:1349389</v>
      </c>
      <c r="J4915" s="4" t="s">
        <v>12</v>
      </c>
    </row>
    <row r="4916" spans="1:10" x14ac:dyDescent="0.25">
      <c r="A4916" s="2">
        <v>1506.4835587283201</v>
      </c>
      <c r="B4916" s="3">
        <v>-0.26389118127466199</v>
      </c>
      <c r="C4916" s="3">
        <v>5.9632133066119496E-4</v>
      </c>
      <c r="D4916" s="4">
        <v>1.8186601671263201E-3</v>
      </c>
      <c r="E4916" s="3" t="s">
        <v>12941</v>
      </c>
      <c r="F4916" s="3" t="s">
        <v>12942</v>
      </c>
      <c r="G4916" s="3">
        <v>233876</v>
      </c>
      <c r="H4916" s="7" t="str">
        <f>HYPERLINK("http://www.ensembl.org/Mus_musculus/Gene/Summary?db=core;g=ENSMUSG00000042606","ENSMUSG00000042606")</f>
        <v>ENSMUSG00000042606</v>
      </c>
      <c r="I4916" s="7" t="str">
        <f>HYPERLINK("http://www.informatics.jax.org/marker/MGI:2142364","MGI:2142364")</f>
        <v>MGI:2142364</v>
      </c>
      <c r="J4916" s="4" t="s">
        <v>12</v>
      </c>
    </row>
    <row r="4917" spans="1:10" x14ac:dyDescent="0.25">
      <c r="A4917" s="2">
        <v>976.57018088174402</v>
      </c>
      <c r="B4917" s="3">
        <v>-0.264028682298527</v>
      </c>
      <c r="C4917" s="3">
        <v>2.70343133035483E-4</v>
      </c>
      <c r="D4917" s="4">
        <v>8.6195094316244604E-4</v>
      </c>
      <c r="E4917" s="3" t="s">
        <v>12382</v>
      </c>
      <c r="F4917" s="3" t="s">
        <v>12383</v>
      </c>
      <c r="G4917" s="3">
        <v>66853</v>
      </c>
      <c r="H4917" s="7" t="str">
        <f>HYPERLINK("http://www.ensembl.org/Mus_musculus/Gene/Summary?db=core;g=ENSMUSG00000025509","ENSMUSG00000025509")</f>
        <v>ENSMUSG00000025509</v>
      </c>
      <c r="I4917" s="7" t="str">
        <f>HYPERLINK("http://www.informatics.jax.org/marker/MGI:1914103","MGI:1914103")</f>
        <v>MGI:1914103</v>
      </c>
      <c r="J4917" s="4" t="s">
        <v>12</v>
      </c>
    </row>
    <row r="4918" spans="1:10" x14ac:dyDescent="0.25">
      <c r="A4918" s="2">
        <v>1593.60751700779</v>
      </c>
      <c r="B4918" s="3">
        <v>-0.26414586220762798</v>
      </c>
      <c r="C4918" s="5">
        <v>1.29605011697883E-5</v>
      </c>
      <c r="D4918" s="6">
        <v>4.80415569677117E-5</v>
      </c>
      <c r="E4918" s="3" t="s">
        <v>10652</v>
      </c>
      <c r="F4918" s="3" t="s">
        <v>10653</v>
      </c>
      <c r="G4918" s="3">
        <v>235574</v>
      </c>
      <c r="H4918" s="7" t="str">
        <f>HYPERLINK("http://www.ensembl.org/Mus_musculus/Gene/Summary?db=core;g=ENSMUSG00000032570","ENSMUSG00000032570")</f>
        <v>ENSMUSG00000032570</v>
      </c>
      <c r="I4918" s="7" t="str">
        <f>HYPERLINK("http://www.informatics.jax.org/marker/MGI:1889008","MGI:1889008")</f>
        <v>MGI:1889008</v>
      </c>
      <c r="J4918" s="4" t="s">
        <v>12</v>
      </c>
    </row>
    <row r="4919" spans="1:10" x14ac:dyDescent="0.25">
      <c r="A4919" s="2">
        <v>1434.88411326348</v>
      </c>
      <c r="B4919" s="3">
        <v>-0.26421401945921302</v>
      </c>
      <c r="C4919" s="3">
        <v>1.8101284704608799E-3</v>
      </c>
      <c r="D4919" s="4">
        <v>5.1412549960375403E-3</v>
      </c>
      <c r="E4919" s="3" t="s">
        <v>13893</v>
      </c>
      <c r="F4919" s="3" t="s">
        <v>13894</v>
      </c>
      <c r="G4919" s="3">
        <v>269400</v>
      </c>
      <c r="H4919" s="7" t="str">
        <f>HYPERLINK("http://www.ensembl.org/Mus_musculus/Gene/Summary?db=core;g=ENSMUSG00000038685","ENSMUSG00000038685")</f>
        <v>ENSMUSG00000038685</v>
      </c>
      <c r="I4919" s="7" t="str">
        <f>HYPERLINK("http://www.informatics.jax.org/marker/MGI:2139369","MGI:2139369")</f>
        <v>MGI:2139369</v>
      </c>
      <c r="J4919" s="4" t="s">
        <v>12</v>
      </c>
    </row>
    <row r="4920" spans="1:10" x14ac:dyDescent="0.25">
      <c r="A4920" s="2">
        <v>263.72927085909203</v>
      </c>
      <c r="B4920" s="3">
        <v>-0.26438033862688498</v>
      </c>
      <c r="C4920" s="3">
        <v>5.7886267847994501E-3</v>
      </c>
      <c r="D4920" s="4">
        <v>1.51115653427731E-2</v>
      </c>
      <c r="E4920" s="3" t="s">
        <v>15112</v>
      </c>
      <c r="F4920" s="3" t="s">
        <v>15113</v>
      </c>
      <c r="G4920" s="3">
        <v>112403</v>
      </c>
      <c r="H4920" s="7" t="str">
        <f>HYPERLINK("http://www.ensembl.org/Mus_musculus/Gene/Summary?db=core;g=ENSMUSG00000040482","ENSMUSG00000040482")</f>
        <v>ENSMUSG00000040482</v>
      </c>
      <c r="I4920" s="7" t="str">
        <f>HYPERLINK("http://www.informatics.jax.org/marker/MGI:1890444","MGI:1890444")</f>
        <v>MGI:1890444</v>
      </c>
      <c r="J4920" s="4" t="s">
        <v>12</v>
      </c>
    </row>
    <row r="4921" spans="1:10" x14ac:dyDescent="0.25">
      <c r="A4921" s="2">
        <v>161.971896083882</v>
      </c>
      <c r="B4921" s="3">
        <v>-0.26440099248191101</v>
      </c>
      <c r="C4921" s="3">
        <v>1.39531705758002E-2</v>
      </c>
      <c r="D4921" s="4">
        <v>3.3702389000933898E-2</v>
      </c>
      <c r="E4921" s="3" t="s">
        <v>16333</v>
      </c>
      <c r="F4921" s="3" t="s">
        <v>16334</v>
      </c>
      <c r="G4921" s="3">
        <v>320080</v>
      </c>
      <c r="H4921" s="7" t="str">
        <f>HYPERLINK("http://www.ensembl.org/Mus_musculus/Gene/Summary?db=core;g=ENSMUSG00000044617","ENSMUSG00000044617")</f>
        <v>ENSMUSG00000044617</v>
      </c>
      <c r="I4921" s="7" t="str">
        <f>HYPERLINK("http://www.informatics.jax.org/marker/MGI:2443316","MGI:2443316")</f>
        <v>MGI:2443316</v>
      </c>
      <c r="J4921" s="4" t="s">
        <v>12</v>
      </c>
    </row>
    <row r="4922" spans="1:10" x14ac:dyDescent="0.25">
      <c r="A4922" s="2">
        <v>507.53743734193301</v>
      </c>
      <c r="B4922" s="3">
        <v>-0.26449637772019202</v>
      </c>
      <c r="C4922" s="3">
        <v>1.31324022297656E-3</v>
      </c>
      <c r="D4922" s="4">
        <v>3.8078366706510501E-3</v>
      </c>
      <c r="E4922" s="3" t="s">
        <v>13611</v>
      </c>
      <c r="F4922" s="3" t="s">
        <v>13612</v>
      </c>
      <c r="G4922" s="3">
        <v>71723</v>
      </c>
      <c r="H4922" s="7" t="str">
        <f>HYPERLINK("http://www.ensembl.org/Mus_musculus/Gene/Summary?db=core;g=ENSMUSG00000006019","ENSMUSG00000006019")</f>
        <v>ENSMUSG00000006019</v>
      </c>
      <c r="I4922" s="7" t="str">
        <f>HYPERLINK("http://www.informatics.jax.org/marker/MGI:1918973","MGI:1918973")</f>
        <v>MGI:1918973</v>
      </c>
      <c r="J4922" s="4" t="s">
        <v>12</v>
      </c>
    </row>
    <row r="4923" spans="1:10" x14ac:dyDescent="0.25">
      <c r="A4923" s="2">
        <v>2932.3056532939299</v>
      </c>
      <c r="B4923" s="3">
        <v>-0.26495941207080898</v>
      </c>
      <c r="C4923" s="3">
        <v>2.6537542204350901E-4</v>
      </c>
      <c r="D4923" s="4">
        <v>8.4844411846595196E-4</v>
      </c>
      <c r="E4923" s="3" t="s">
        <v>12348</v>
      </c>
      <c r="F4923" s="3" t="s">
        <v>12349</v>
      </c>
      <c r="G4923" s="3">
        <v>17979</v>
      </c>
      <c r="H4923" s="7" t="str">
        <f>HYPERLINK("http://www.ensembl.org/Mus_musculus/Gene/Summary?db=core;g=ENSMUSG00000027678","ENSMUSG00000027678")</f>
        <v>ENSMUSG00000027678</v>
      </c>
      <c r="I4923" s="7" t="str">
        <f>HYPERLINK("http://www.informatics.jax.org/marker/MGI:1276535","MGI:1276535")</f>
        <v>MGI:1276535</v>
      </c>
      <c r="J4923" s="4" t="s">
        <v>12</v>
      </c>
    </row>
    <row r="4924" spans="1:10" x14ac:dyDescent="0.25">
      <c r="A4924" s="2">
        <v>562.61848131575903</v>
      </c>
      <c r="B4924" s="3">
        <v>-0.26519439282413798</v>
      </c>
      <c r="C4924" s="3">
        <v>9.2362864599946303E-4</v>
      </c>
      <c r="D4924" s="4">
        <v>2.7372943942154202E-3</v>
      </c>
      <c r="E4924" s="3" t="s">
        <v>13316</v>
      </c>
      <c r="F4924" s="3" t="s">
        <v>13317</v>
      </c>
      <c r="G4924" s="3">
        <v>66296</v>
      </c>
      <c r="H4924" s="7" t="str">
        <f>HYPERLINK("http://www.ensembl.org/Mus_musculus/Gene/Summary?db=core;g=ENSMUSG00000027285","ENSMUSG00000027285")</f>
        <v>ENSMUSG00000027285</v>
      </c>
      <c r="I4924" s="7" t="str">
        <f>HYPERLINK("http://www.informatics.jax.org/marker/MGI:1913546","MGI:1913546")</f>
        <v>MGI:1913546</v>
      </c>
      <c r="J4924" s="4" t="s">
        <v>12</v>
      </c>
    </row>
    <row r="4925" spans="1:10" x14ac:dyDescent="0.25">
      <c r="A4925" s="2">
        <v>4668.6353637286402</v>
      </c>
      <c r="B4925" s="3">
        <v>-0.26550231779546402</v>
      </c>
      <c r="C4925" s="5">
        <v>1.5588655877652601E-12</v>
      </c>
      <c r="D4925" s="6">
        <v>1.0322642508640301E-11</v>
      </c>
      <c r="E4925" s="3" t="s">
        <v>5973</v>
      </c>
      <c r="F4925" s="3" t="s">
        <v>5974</v>
      </c>
      <c r="G4925" s="3">
        <v>54138</v>
      </c>
      <c r="H4925" s="7" t="str">
        <f>HYPERLINK("http://www.ensembl.org/Mus_musculus/Gene/Summary?db=core;g=ENSMUSG00000016541","ENSMUSG00000016541")</f>
        <v>ENSMUSG00000016541</v>
      </c>
      <c r="I4925" s="7" t="str">
        <f>HYPERLINK("http://www.informatics.jax.org/marker/MGI:1859293","MGI:1859293")</f>
        <v>MGI:1859293</v>
      </c>
      <c r="J4925" s="4" t="s">
        <v>12</v>
      </c>
    </row>
    <row r="4926" spans="1:10" x14ac:dyDescent="0.25">
      <c r="A4926" s="2">
        <v>445.00921791702501</v>
      </c>
      <c r="B4926" s="3">
        <v>-0.26599150747085598</v>
      </c>
      <c r="C4926" s="3">
        <v>3.8046273102299298E-4</v>
      </c>
      <c r="D4926" s="4">
        <v>1.1888329988549199E-3</v>
      </c>
      <c r="E4926" s="3" t="s">
        <v>12635</v>
      </c>
      <c r="F4926" s="3" t="s">
        <v>12636</v>
      </c>
      <c r="G4926" s="3">
        <v>209456</v>
      </c>
      <c r="H4926" s="7" t="str">
        <f>HYPERLINK("http://www.ensembl.org/Mus_musculus/Gene/Summary?db=core;g=ENSMUSG00000026510","ENSMUSG00000026510")</f>
        <v>ENSMUSG00000026510</v>
      </c>
      <c r="I4926" s="7" t="str">
        <f>HYPERLINK("http://www.informatics.jax.org/marker/MGI:2138319","MGI:2138319")</f>
        <v>MGI:2138319</v>
      </c>
      <c r="J4926" s="4" t="s">
        <v>12</v>
      </c>
    </row>
    <row r="4927" spans="1:10" x14ac:dyDescent="0.25">
      <c r="A4927" s="2">
        <v>1032.9134386083999</v>
      </c>
      <c r="B4927" s="3">
        <v>-0.26639381516832</v>
      </c>
      <c r="C4927" s="5">
        <v>2.77602404587024E-6</v>
      </c>
      <c r="D4927" s="6">
        <v>1.09970257502132E-5</v>
      </c>
      <c r="E4927" s="3" t="s">
        <v>9972</v>
      </c>
      <c r="F4927" s="3" t="s">
        <v>9973</v>
      </c>
      <c r="G4927" s="3">
        <v>12371</v>
      </c>
      <c r="H4927" s="7" t="str">
        <f>HYPERLINK("http://www.ensembl.org/Mus_musculus/Gene/Summary?db=core;g=ENSMUSG00000028914","ENSMUSG00000028914")</f>
        <v>ENSMUSG00000028914</v>
      </c>
      <c r="I4927" s="7" t="str">
        <f>HYPERLINK("http://www.informatics.jax.org/marker/MGI:1277950","MGI:1277950")</f>
        <v>MGI:1277950</v>
      </c>
      <c r="J4927" s="4" t="s">
        <v>12</v>
      </c>
    </row>
    <row r="4928" spans="1:10" x14ac:dyDescent="0.25">
      <c r="A4928" s="2">
        <v>659.62929841872301</v>
      </c>
      <c r="B4928" s="3">
        <v>-0.266693922447162</v>
      </c>
      <c r="C4928" s="5">
        <v>3.4339068114798298E-5</v>
      </c>
      <c r="D4928" s="4">
        <v>1.21683094918926E-4</v>
      </c>
      <c r="E4928" s="3" t="s">
        <v>11143</v>
      </c>
      <c r="F4928" s="3" t="s">
        <v>11144</v>
      </c>
      <c r="G4928" s="3">
        <v>74159</v>
      </c>
      <c r="H4928" s="7" t="str">
        <f>HYPERLINK("http://www.ensembl.org/Mus_musculus/Gene/Summary?db=core;g=ENSMUSG00000026781","ENSMUSG00000026781")</f>
        <v>ENSMUSG00000026781</v>
      </c>
      <c r="I4928" s="7" t="str">
        <f>HYPERLINK("http://www.informatics.jax.org/marker/MGI:1921409","MGI:1921409")</f>
        <v>MGI:1921409</v>
      </c>
      <c r="J4928" s="4" t="s">
        <v>12</v>
      </c>
    </row>
    <row r="4929" spans="1:10" x14ac:dyDescent="0.25">
      <c r="A4929" s="2">
        <v>1768.6241492230399</v>
      </c>
      <c r="B4929" s="3">
        <v>-0.2666997356718</v>
      </c>
      <c r="C4929" s="5">
        <v>1.9083737731395199E-5</v>
      </c>
      <c r="D4929" s="6">
        <v>6.9497933160316396E-5</v>
      </c>
      <c r="E4929" s="3" t="s">
        <v>10842</v>
      </c>
      <c r="F4929" s="3" t="s">
        <v>10843</v>
      </c>
      <c r="G4929" s="3">
        <v>231876</v>
      </c>
      <c r="H4929" s="7" t="str">
        <f>HYPERLINK("http://www.ensembl.org/Mus_musculus/Gene/Summary?db=core;g=ENSMUSG00000038970","ENSMUSG00000038970")</f>
        <v>ENSMUSG00000038970</v>
      </c>
      <c r="I4929" s="7" t="str">
        <f>HYPERLINK("http://www.informatics.jax.org/marker/MGI:3036247","MGI:3036247")</f>
        <v>MGI:3036247</v>
      </c>
      <c r="J4929" s="4" t="s">
        <v>12</v>
      </c>
    </row>
    <row r="4930" spans="1:10" x14ac:dyDescent="0.25">
      <c r="A4930" s="2">
        <v>167.576608740919</v>
      </c>
      <c r="B4930" s="3">
        <v>-0.26695779196675501</v>
      </c>
      <c r="C4930" s="3">
        <v>5.61200323888321E-3</v>
      </c>
      <c r="D4930" s="4">
        <v>1.46970390266636E-2</v>
      </c>
      <c r="E4930" s="3" t="s">
        <v>15064</v>
      </c>
      <c r="F4930" s="3" t="s">
        <v>15065</v>
      </c>
      <c r="G4930" s="3" t="s">
        <v>83</v>
      </c>
      <c r="H4930" s="7" t="str">
        <f>HYPERLINK("http://www.ensembl.org/Mus_musculus/Gene/Summary?db=core;g=ENSMUSG00000090118","ENSMUSG00000090118")</f>
        <v>ENSMUSG00000090118</v>
      </c>
      <c r="I4930" s="7" t="str">
        <f>HYPERLINK("http://www.informatics.jax.org/marker/MGI:3833836","MGI:3833836")</f>
        <v>MGI:3833836</v>
      </c>
      <c r="J4930" s="4" t="s">
        <v>331</v>
      </c>
    </row>
    <row r="4931" spans="1:10" x14ac:dyDescent="0.25">
      <c r="A4931" s="2">
        <v>1229.10169555067</v>
      </c>
      <c r="B4931" s="3">
        <v>-0.26716911513840802</v>
      </c>
      <c r="C4931" s="5">
        <v>2.92473506110511E-5</v>
      </c>
      <c r="D4931" s="4">
        <v>1.04560869117101E-4</v>
      </c>
      <c r="E4931" s="3" t="s">
        <v>11044</v>
      </c>
      <c r="F4931" s="3" t="s">
        <v>11045</v>
      </c>
      <c r="G4931" s="3">
        <v>268752</v>
      </c>
      <c r="H4931" s="7" t="str">
        <f>HYPERLINK("http://www.ensembl.org/Mus_musculus/Gene/Summary?db=core;g=ENSMUSG00000014547","ENSMUSG00000014547")</f>
        <v>ENSMUSG00000014547</v>
      </c>
      <c r="I4931" s="7" t="str">
        <f>HYPERLINK("http://www.informatics.jax.org/marker/MGI:2442811","MGI:2442811")</f>
        <v>MGI:2442811</v>
      </c>
      <c r="J4931" s="4" t="s">
        <v>12</v>
      </c>
    </row>
    <row r="4932" spans="1:10" x14ac:dyDescent="0.25">
      <c r="A4932" s="2">
        <v>1874.0020601881999</v>
      </c>
      <c r="B4932" s="3">
        <v>-0.26718434514221301</v>
      </c>
      <c r="C4932" s="5">
        <v>1.2298251091357199E-10</v>
      </c>
      <c r="D4932" s="6">
        <v>7.10581633523483E-10</v>
      </c>
      <c r="E4932" s="3" t="s">
        <v>6844</v>
      </c>
      <c r="F4932" s="3" t="s">
        <v>6845</v>
      </c>
      <c r="G4932" s="3">
        <v>108888</v>
      </c>
      <c r="H4932" s="7" t="str">
        <f>HYPERLINK("http://www.ensembl.org/Mus_musculus/Gene/Summary?db=core;g=ENSMUSG00000029036","ENSMUSG00000029036")</f>
        <v>ENSMUSG00000029036</v>
      </c>
      <c r="I4932" s="7" t="str">
        <f>HYPERLINK("http://www.informatics.jax.org/marker/MGI:1919214","MGI:1919214")</f>
        <v>MGI:1919214</v>
      </c>
      <c r="J4932" s="4" t="s">
        <v>12</v>
      </c>
    </row>
    <row r="4933" spans="1:10" x14ac:dyDescent="0.25">
      <c r="A4933" s="2">
        <v>497.134397204854</v>
      </c>
      <c r="B4933" s="3">
        <v>-0.26786328625983202</v>
      </c>
      <c r="C4933" s="3">
        <v>3.0357024805616401E-4</v>
      </c>
      <c r="D4933" s="4">
        <v>9.6089972578933302E-4</v>
      </c>
      <c r="E4933" s="3" t="s">
        <v>12473</v>
      </c>
      <c r="F4933" s="3" t="s">
        <v>12474</v>
      </c>
      <c r="G4933" s="3">
        <v>70186</v>
      </c>
      <c r="H4933" s="7" t="str">
        <f>HYPERLINK("http://www.ensembl.org/Mus_musculus/Gene/Summary?db=core;g=ENSMUSG00000003955","ENSMUSG00000003955")</f>
        <v>ENSMUSG00000003955</v>
      </c>
      <c r="I4933" s="7" t="str">
        <f>HYPERLINK("http://www.informatics.jax.org/marker/MGI:1917436","MGI:1917436")</f>
        <v>MGI:1917436</v>
      </c>
      <c r="J4933" s="4" t="s">
        <v>12</v>
      </c>
    </row>
    <row r="4934" spans="1:10" x14ac:dyDescent="0.25">
      <c r="A4934" s="2">
        <v>1123.6489669887501</v>
      </c>
      <c r="B4934" s="3">
        <v>-0.26799665641729697</v>
      </c>
      <c r="C4934" s="3">
        <v>3.3237664372980102E-4</v>
      </c>
      <c r="D4934" s="4">
        <v>1.04670511248031E-3</v>
      </c>
      <c r="E4934" s="3" t="s">
        <v>12537</v>
      </c>
      <c r="F4934" s="3" t="s">
        <v>12538</v>
      </c>
      <c r="G4934" s="3">
        <v>54124</v>
      </c>
      <c r="H4934" s="7" t="str">
        <f>HYPERLINK("http://www.ensembl.org/Mus_musculus/Gene/Summary?db=core;g=ENSMUSG00000028044","ENSMUSG00000028044")</f>
        <v>ENSMUSG00000028044</v>
      </c>
      <c r="I4934" s="7" t="str">
        <f>HYPERLINK("http://www.informatics.jax.org/marker/MGI:1889208","MGI:1889208")</f>
        <v>MGI:1889208</v>
      </c>
      <c r="J4934" s="4" t="s">
        <v>12</v>
      </c>
    </row>
    <row r="4935" spans="1:10" x14ac:dyDescent="0.25">
      <c r="A4935" s="2">
        <v>1610.27686500748</v>
      </c>
      <c r="B4935" s="3">
        <v>-0.26802340531913599</v>
      </c>
      <c r="C4935" s="3">
        <v>3.0668516555013101E-3</v>
      </c>
      <c r="D4935" s="4">
        <v>8.3916074159131292E-3</v>
      </c>
      <c r="E4935" s="3" t="s">
        <v>14419</v>
      </c>
      <c r="F4935" s="3" t="s">
        <v>14420</v>
      </c>
      <c r="G4935" s="3">
        <v>170644</v>
      </c>
      <c r="H4935" s="7" t="str">
        <f>HYPERLINK("http://www.ensembl.org/Mus_musculus/Gene/Summary?db=core;g=ENSMUSG00000039473","ENSMUSG00000039473")</f>
        <v>ENSMUSG00000039473</v>
      </c>
      <c r="I4935" s="7" t="str">
        <f>HYPERLINK("http://www.informatics.jax.org/marker/MGI:1891307","MGI:1891307")</f>
        <v>MGI:1891307</v>
      </c>
      <c r="J4935" s="4" t="s">
        <v>12</v>
      </c>
    </row>
    <row r="4936" spans="1:10" x14ac:dyDescent="0.25">
      <c r="A4936" s="2">
        <v>4871.6132395311797</v>
      </c>
      <c r="B4936" s="3">
        <v>-0.268497245775634</v>
      </c>
      <c r="C4936" s="5">
        <v>2.1261436333079802E-18</v>
      </c>
      <c r="D4936" s="6">
        <v>1.95923142284268E-17</v>
      </c>
      <c r="E4936" s="3" t="s">
        <v>4297</v>
      </c>
      <c r="F4936" s="3" t="s">
        <v>4298</v>
      </c>
      <c r="G4936" s="3">
        <v>214469</v>
      </c>
      <c r="H4936" s="7" t="str">
        <f>HYPERLINK("http://www.ensembl.org/Mus_musculus/Gene/Summary?db=core;g=ENSMUSG00000037503","ENSMUSG00000037503")</f>
        <v>ENSMUSG00000037503</v>
      </c>
      <c r="I4936" s="7" t="str">
        <f>HYPERLINK("http://www.informatics.jax.org/marker/MGI:2448487","MGI:2448487")</f>
        <v>MGI:2448487</v>
      </c>
      <c r="J4936" s="4" t="s">
        <v>12</v>
      </c>
    </row>
    <row r="4937" spans="1:10" x14ac:dyDescent="0.25">
      <c r="A4937" s="2">
        <v>3196.6942553696799</v>
      </c>
      <c r="B4937" s="3">
        <v>-0.26906965693938401</v>
      </c>
      <c r="C4937" s="5">
        <v>1.47462519141695E-14</v>
      </c>
      <c r="D4937" s="6">
        <v>1.10610912037818E-13</v>
      </c>
      <c r="E4937" s="3" t="s">
        <v>5275</v>
      </c>
      <c r="F4937" s="3" t="s">
        <v>5276</v>
      </c>
      <c r="G4937" s="3">
        <v>14421</v>
      </c>
      <c r="H4937" s="7" t="str">
        <f>HYPERLINK("http://www.ensembl.org/Mus_musculus/Gene/Summary?db=core;g=ENSMUSG00000006731","ENSMUSG00000006731")</f>
        <v>ENSMUSG00000006731</v>
      </c>
      <c r="I4937" s="7" t="str">
        <f>HYPERLINK("http://www.informatics.jax.org/marker/MGI:1342057","MGI:1342057")</f>
        <v>MGI:1342057</v>
      </c>
      <c r="J4937" s="4" t="s">
        <v>12</v>
      </c>
    </row>
    <row r="4938" spans="1:10" x14ac:dyDescent="0.25">
      <c r="A4938" s="2">
        <v>656.44705480829703</v>
      </c>
      <c r="B4938" s="3">
        <v>-0.26926564128842501</v>
      </c>
      <c r="C4938" s="3">
        <v>1.4698703059848699E-4</v>
      </c>
      <c r="D4938" s="4">
        <v>4.8511870182462997E-4</v>
      </c>
      <c r="E4938" s="3" t="s">
        <v>11961</v>
      </c>
      <c r="F4938" s="3" t="s">
        <v>11962</v>
      </c>
      <c r="G4938" s="3">
        <v>70359</v>
      </c>
      <c r="H4938" s="7" t="str">
        <f>HYPERLINK("http://www.ensembl.org/Mus_musculus/Gene/Summary?db=core;g=ENSMUSG00000007610","ENSMUSG00000007610")</f>
        <v>ENSMUSG00000007610</v>
      </c>
      <c r="I4938" s="7" t="str">
        <f>HYPERLINK("http://www.informatics.jax.org/marker/MGI:1917609","MGI:1917609")</f>
        <v>MGI:1917609</v>
      </c>
      <c r="J4938" s="4" t="s">
        <v>12</v>
      </c>
    </row>
    <row r="4939" spans="1:10" x14ac:dyDescent="0.25">
      <c r="A4939" s="2">
        <v>1149.67954822664</v>
      </c>
      <c r="B4939" s="3">
        <v>-0.26928981796414497</v>
      </c>
      <c r="C4939" s="3">
        <v>1.50729239912459E-2</v>
      </c>
      <c r="D4939" s="4">
        <v>3.6133972903886397E-2</v>
      </c>
      <c r="E4939" s="3" t="s">
        <v>15701</v>
      </c>
      <c r="F4939" s="3" t="s">
        <v>15702</v>
      </c>
      <c r="G4939" s="3">
        <v>26912</v>
      </c>
      <c r="H4939" s="7" t="str">
        <f>HYPERLINK("http://www.ensembl.org/Mus_musculus/Gene/Summary?db=core;g=ENSMUSG00000116378","ENSMUSG00000116378")</f>
        <v>ENSMUSG00000116378</v>
      </c>
      <c r="I4939" s="7" t="str">
        <f>HYPERLINK("http://www.informatics.jax.org/marker/MGI:1349389","MGI:1349389")</f>
        <v>MGI:1349389</v>
      </c>
      <c r="J4939" s="4" t="s">
        <v>12</v>
      </c>
    </row>
    <row r="4940" spans="1:10" x14ac:dyDescent="0.25">
      <c r="A4940" s="2">
        <v>146.73973241924401</v>
      </c>
      <c r="B4940" s="3">
        <v>-0.26972753717470999</v>
      </c>
      <c r="C4940" s="3">
        <v>8.9663205155694099E-3</v>
      </c>
      <c r="D4940" s="4">
        <v>2.2509973337623002E-2</v>
      </c>
      <c r="E4940" s="3" t="s">
        <v>15715</v>
      </c>
      <c r="F4940" s="3" t="s">
        <v>15716</v>
      </c>
      <c r="G4940" s="3">
        <v>216565</v>
      </c>
      <c r="H4940" s="7" t="str">
        <f>HYPERLINK("http://www.ensembl.org/Mus_musculus/Gene/Summary?db=core;g=ENSMUSG00000042302","ENSMUSG00000042302")</f>
        <v>ENSMUSG00000042302</v>
      </c>
      <c r="I4940" s="7" t="str">
        <f>HYPERLINK("http://www.informatics.jax.org/marker/MGI:2667252","MGI:2667252")</f>
        <v>MGI:2667252</v>
      </c>
      <c r="J4940" s="4" t="s">
        <v>12</v>
      </c>
    </row>
    <row r="4941" spans="1:10" x14ac:dyDescent="0.25">
      <c r="A4941" s="2">
        <v>5582.4392075640599</v>
      </c>
      <c r="B4941" s="3">
        <v>-0.26976893961263598</v>
      </c>
      <c r="C4941" s="5">
        <v>1.6757759892569801E-10</v>
      </c>
      <c r="D4941" s="6">
        <v>9.5841944629198601E-10</v>
      </c>
      <c r="E4941" s="3" t="s">
        <v>6914</v>
      </c>
      <c r="F4941" s="3" t="s">
        <v>6915</v>
      </c>
      <c r="G4941" s="3">
        <v>14678</v>
      </c>
      <c r="H4941" s="7" t="str">
        <f>HYPERLINK("http://www.ensembl.org/Mus_musculus/Gene/Summary?db=core;g=ENSMUSG00000032562","ENSMUSG00000032562")</f>
        <v>ENSMUSG00000032562</v>
      </c>
      <c r="I4941" s="7" t="str">
        <f>HYPERLINK("http://www.informatics.jax.org/marker/MGI:95772","MGI:95772")</f>
        <v>MGI:95772</v>
      </c>
      <c r="J4941" s="4" t="s">
        <v>12</v>
      </c>
    </row>
    <row r="4942" spans="1:10" x14ac:dyDescent="0.25">
      <c r="A4942" s="2">
        <v>134.04401459378201</v>
      </c>
      <c r="B4942" s="3">
        <v>-0.27003168269349698</v>
      </c>
      <c r="C4942" s="3">
        <v>7.9808920330600597E-3</v>
      </c>
      <c r="D4942" s="4">
        <v>2.0216109688948498E-2</v>
      </c>
      <c r="E4942" s="3" t="s">
        <v>15577</v>
      </c>
      <c r="F4942" s="3" t="s">
        <v>15578</v>
      </c>
      <c r="G4942" s="3">
        <v>67287</v>
      </c>
      <c r="H4942" s="7" t="str">
        <f>HYPERLINK("http://www.ensembl.org/Mus_musculus/Gene/Summary?db=core;g=ENSMUSG00000025237","ENSMUSG00000025237")</f>
        <v>ENSMUSG00000025237</v>
      </c>
      <c r="I4942" s="7" t="str">
        <f>HYPERLINK("http://www.informatics.jax.org/marker/MGI:1914537","MGI:1914537")</f>
        <v>MGI:1914537</v>
      </c>
      <c r="J4942" s="4" t="s">
        <v>12</v>
      </c>
    </row>
    <row r="4943" spans="1:10" x14ac:dyDescent="0.25">
      <c r="A4943" s="2">
        <v>4379.13085917632</v>
      </c>
      <c r="B4943" s="3">
        <v>-0.27006042394699897</v>
      </c>
      <c r="C4943" s="5">
        <v>3.4935838289819501E-9</v>
      </c>
      <c r="D4943" s="6">
        <v>1.79643997672814E-8</v>
      </c>
      <c r="E4943" s="3" t="s">
        <v>7686</v>
      </c>
      <c r="F4943" s="3" t="s">
        <v>7687</v>
      </c>
      <c r="G4943" s="3">
        <v>20397</v>
      </c>
      <c r="H4943" s="7" t="str">
        <f>HYPERLINK("http://www.ensembl.org/Mus_musculus/Gene/Summary?db=core;g=ENSMUSG00000020097","ENSMUSG00000020097")</f>
        <v>ENSMUSG00000020097</v>
      </c>
      <c r="I4943" s="7" t="str">
        <f>HYPERLINK("http://www.informatics.jax.org/marker/MGI:1261415","MGI:1261415")</f>
        <v>MGI:1261415</v>
      </c>
      <c r="J4943" s="4" t="s">
        <v>12</v>
      </c>
    </row>
    <row r="4944" spans="1:10" x14ac:dyDescent="0.25">
      <c r="A4944" s="2">
        <v>1162.0692995433601</v>
      </c>
      <c r="B4944" s="3">
        <v>-0.27046365324611699</v>
      </c>
      <c r="C4944" s="5">
        <v>3.2702338908380797E-5</v>
      </c>
      <c r="D4944" s="4">
        <v>1.16280224174769E-4</v>
      </c>
      <c r="E4944" s="3" t="s">
        <v>11105</v>
      </c>
      <c r="F4944" s="3" t="s">
        <v>11106</v>
      </c>
      <c r="G4944" s="3">
        <v>75423</v>
      </c>
      <c r="H4944" s="7" t="str">
        <f>HYPERLINK("http://www.ensembl.org/Mus_musculus/Gene/Summary?db=core;g=ENSMUSG00000036093","ENSMUSG00000036093")</f>
        <v>ENSMUSG00000036093</v>
      </c>
      <c r="I4944" s="7" t="str">
        <f>HYPERLINK("http://www.informatics.jax.org/marker/MGI:1922673","MGI:1922673")</f>
        <v>MGI:1922673</v>
      </c>
      <c r="J4944" s="4" t="s">
        <v>12</v>
      </c>
    </row>
    <row r="4945" spans="1:10" x14ac:dyDescent="0.25">
      <c r="A4945" s="2">
        <v>178.79820884978699</v>
      </c>
      <c r="B4945" s="3">
        <v>-0.27082491228413103</v>
      </c>
      <c r="C4945" s="3">
        <v>1.97624387429318E-2</v>
      </c>
      <c r="D4945" s="4">
        <v>4.6196691798318402E-2</v>
      </c>
      <c r="E4945" s="3" t="s">
        <v>16876</v>
      </c>
      <c r="F4945" s="3" t="s">
        <v>16877</v>
      </c>
      <c r="G4945" s="3">
        <v>66128</v>
      </c>
      <c r="H4945" s="7" t="str">
        <f>HYPERLINK("http://www.ensembl.org/Mus_musculus/Gene/Summary?db=core;g=ENSMUSG00000061474","ENSMUSG00000061474")</f>
        <v>ENSMUSG00000061474</v>
      </c>
      <c r="I4945" s="7" t="str">
        <f>HYPERLINK("http://www.informatics.jax.org/marker/MGI:1913378","MGI:1913378")</f>
        <v>MGI:1913378</v>
      </c>
      <c r="J4945" s="4" t="s">
        <v>12</v>
      </c>
    </row>
    <row r="4946" spans="1:10" x14ac:dyDescent="0.25">
      <c r="A4946" s="2">
        <v>355.621608933728</v>
      </c>
      <c r="B4946" s="3">
        <v>-0.27092751458331699</v>
      </c>
      <c r="C4946" s="3">
        <v>2.1963565927277399E-4</v>
      </c>
      <c r="D4946" s="4">
        <v>7.0968625280339297E-4</v>
      </c>
      <c r="E4946" s="3" t="s">
        <v>12217</v>
      </c>
      <c r="F4946" s="3" t="s">
        <v>12218</v>
      </c>
      <c r="G4946" s="3">
        <v>217201</v>
      </c>
      <c r="H4946" s="7" t="str">
        <f>HYPERLINK("http://www.ensembl.org/Mus_musculus/Gene/Summary?db=core;g=ENSMUSG00000035007","ENSMUSG00000035007")</f>
        <v>ENSMUSG00000035007</v>
      </c>
      <c r="I4946" s="7" t="str">
        <f>HYPERLINK("http://www.informatics.jax.org/marker/MGI:2144506","MGI:2144506")</f>
        <v>MGI:2144506</v>
      </c>
      <c r="J4946" s="4" t="s">
        <v>12</v>
      </c>
    </row>
    <row r="4947" spans="1:10" x14ac:dyDescent="0.25">
      <c r="A4947" s="2">
        <v>326.390089828957</v>
      </c>
      <c r="B4947" s="3">
        <v>-0.27098932412210103</v>
      </c>
      <c r="C4947" s="3">
        <v>3.27353244498579E-4</v>
      </c>
      <c r="D4947" s="4">
        <v>1.03220434626031E-3</v>
      </c>
      <c r="E4947" s="3" t="s">
        <v>12521</v>
      </c>
      <c r="F4947" s="3" t="s">
        <v>12522</v>
      </c>
      <c r="G4947" s="3">
        <v>66278</v>
      </c>
      <c r="H4947" s="7" t="str">
        <f>HYPERLINK("http://www.ensembl.org/Mus_musculus/Gene/Summary?db=core;g=ENSMUSG00000061461","ENSMUSG00000061461")</f>
        <v>ENSMUSG00000061461</v>
      </c>
      <c r="I4947" s="7" t="str">
        <f>HYPERLINK("http://www.informatics.jax.org/marker/MGI:1913528","MGI:1913528")</f>
        <v>MGI:1913528</v>
      </c>
      <c r="J4947" s="4" t="s">
        <v>12</v>
      </c>
    </row>
    <row r="4948" spans="1:10" x14ac:dyDescent="0.25">
      <c r="A4948" s="2">
        <v>235.61311714055799</v>
      </c>
      <c r="B4948" s="3">
        <v>-0.27126496797722599</v>
      </c>
      <c r="C4948" s="3">
        <v>1.4526497721094401E-3</v>
      </c>
      <c r="D4948" s="4">
        <v>4.1849895552955596E-3</v>
      </c>
      <c r="E4948" s="3" t="s">
        <v>13699</v>
      </c>
      <c r="F4948" s="3" t="s">
        <v>13700</v>
      </c>
      <c r="G4948" s="3">
        <v>66170</v>
      </c>
      <c r="H4948" s="7" t="str">
        <f>HYPERLINK("http://www.ensembl.org/Mus_musculus/Gene/Summary?db=core;g=ENSMUSG00000037938","ENSMUSG00000037938")</f>
        <v>ENSMUSG00000037938</v>
      </c>
      <c r="I4948" s="7" t="str">
        <f>HYPERLINK("http://www.informatics.jax.org/marker/MGI:1913420","MGI:1913420")</f>
        <v>MGI:1913420</v>
      </c>
      <c r="J4948" s="4" t="s">
        <v>12</v>
      </c>
    </row>
    <row r="4949" spans="1:10" x14ac:dyDescent="0.25">
      <c r="A4949" s="2">
        <v>880.46852213410898</v>
      </c>
      <c r="B4949" s="3">
        <v>-0.271374111189992</v>
      </c>
      <c r="C4949" s="3">
        <v>1.94005023945656E-4</v>
      </c>
      <c r="D4949" s="4">
        <v>6.3048435600005599E-4</v>
      </c>
      <c r="E4949" s="3" t="s">
        <v>12147</v>
      </c>
      <c r="F4949" s="3" t="s">
        <v>12148</v>
      </c>
      <c r="G4949" s="3">
        <v>66156</v>
      </c>
      <c r="H4949" s="7" t="str">
        <f>HYPERLINK("http://www.ensembl.org/Mus_musculus/Gene/Summary?db=core;g=ENSMUSG00000025135","ENSMUSG00000025135")</f>
        <v>ENSMUSG00000025135</v>
      </c>
      <c r="I4949" s="7" t="str">
        <f>HYPERLINK("http://www.informatics.jax.org/marker/MGI:1913406","MGI:1913406")</f>
        <v>MGI:1913406</v>
      </c>
      <c r="J4949" s="4" t="s">
        <v>12</v>
      </c>
    </row>
    <row r="4950" spans="1:10" x14ac:dyDescent="0.25">
      <c r="A4950" s="2">
        <v>2358.4985722393199</v>
      </c>
      <c r="B4950" s="3">
        <v>-0.27142627805826802</v>
      </c>
      <c r="C4950" s="5">
        <v>4.5674263561851499E-5</v>
      </c>
      <c r="D4950" s="4">
        <v>1.5978294792260301E-4</v>
      </c>
      <c r="E4950" s="3" t="s">
        <v>11285</v>
      </c>
      <c r="F4950" s="3" t="s">
        <v>11286</v>
      </c>
      <c r="G4950" s="3">
        <v>26931</v>
      </c>
      <c r="H4950" s="7" t="str">
        <f>HYPERLINK("http://www.ensembl.org/Mus_musculus/Gene/Summary?db=core;g=ENSMUSG00000017843","ENSMUSG00000017843")</f>
        <v>ENSMUSG00000017843</v>
      </c>
      <c r="I4950" s="7" t="str">
        <f>HYPERLINK("http://www.informatics.jax.org/marker/MGI:1349475","MGI:1349475")</f>
        <v>MGI:1349475</v>
      </c>
      <c r="J4950" s="4" t="s">
        <v>12</v>
      </c>
    </row>
    <row r="4951" spans="1:10" x14ac:dyDescent="0.25">
      <c r="A4951" s="2">
        <v>3319.5147918018502</v>
      </c>
      <c r="B4951" s="3">
        <v>-0.271558208943257</v>
      </c>
      <c r="C4951" s="5">
        <v>3.0744543222588E-9</v>
      </c>
      <c r="D4951" s="6">
        <v>1.5862961599932901E-8</v>
      </c>
      <c r="E4951" s="3" t="s">
        <v>7660</v>
      </c>
      <c r="F4951" s="3" t="s">
        <v>7661</v>
      </c>
      <c r="G4951" s="3">
        <v>105245</v>
      </c>
      <c r="H4951" s="7" t="str">
        <f>HYPERLINK("http://www.ensembl.org/Mus_musculus/Gene/Summary?db=core;g=ENSMUSG00000038991","ENSMUSG00000038991")</f>
        <v>ENSMUSG00000038991</v>
      </c>
      <c r="I4951" s="7" t="str">
        <f>HYPERLINK("http://www.informatics.jax.org/marker/MGI:2145316","MGI:2145316")</f>
        <v>MGI:2145316</v>
      </c>
      <c r="J4951" s="4" t="s">
        <v>12</v>
      </c>
    </row>
    <row r="4952" spans="1:10" x14ac:dyDescent="0.25">
      <c r="A4952" s="2">
        <v>379.07053542336701</v>
      </c>
      <c r="B4952" s="3">
        <v>-0.27161438072378602</v>
      </c>
      <c r="C4952" s="3">
        <v>1.19036421143906E-3</v>
      </c>
      <c r="D4952" s="4">
        <v>3.4719689764203801E-3</v>
      </c>
      <c r="E4952" s="3" t="s">
        <v>13531</v>
      </c>
      <c r="F4952" s="3" t="s">
        <v>13532</v>
      </c>
      <c r="G4952" s="3">
        <v>19302</v>
      </c>
      <c r="H4952" s="7" t="str">
        <f>HYPERLINK("http://www.ensembl.org/Mus_musculus/Gene/Summary?db=core;g=ENSMUSG00000040374","ENSMUSG00000040374")</f>
        <v>ENSMUSG00000040374</v>
      </c>
      <c r="I4952" s="7" t="str">
        <f>HYPERLINK("http://www.informatics.jax.org/marker/MGI:107486","MGI:107486")</f>
        <v>MGI:107486</v>
      </c>
      <c r="J4952" s="4" t="s">
        <v>12</v>
      </c>
    </row>
    <row r="4953" spans="1:10" x14ac:dyDescent="0.25">
      <c r="A4953" s="2">
        <v>814.32827079595597</v>
      </c>
      <c r="B4953" s="3">
        <v>-0.271619244116446</v>
      </c>
      <c r="C4953" s="3">
        <v>2.0568134357881499E-4</v>
      </c>
      <c r="D4953" s="4">
        <v>6.67111199897079E-4</v>
      </c>
      <c r="E4953" s="3" t="s">
        <v>12171</v>
      </c>
      <c r="F4953" s="3" t="s">
        <v>12172</v>
      </c>
      <c r="G4953" s="3">
        <v>14731</v>
      </c>
      <c r="H4953" s="7" t="str">
        <f>HYPERLINK("http://www.ensembl.org/Mus_musculus/Gene/Summary?db=core;g=ENSMUSG00000022561","ENSMUSG00000022561")</f>
        <v>ENSMUSG00000022561</v>
      </c>
      <c r="I4953" s="7" t="str">
        <f>HYPERLINK("http://www.informatics.jax.org/marker/MGI:1202392","MGI:1202392")</f>
        <v>MGI:1202392</v>
      </c>
      <c r="J4953" s="4" t="s">
        <v>12</v>
      </c>
    </row>
    <row r="4954" spans="1:10" x14ac:dyDescent="0.25">
      <c r="A4954" s="2">
        <v>1334.1328441359699</v>
      </c>
      <c r="B4954" s="3">
        <v>-0.272195032187038</v>
      </c>
      <c r="C4954" s="3">
        <v>1.8288532278557101E-2</v>
      </c>
      <c r="D4954" s="4">
        <v>4.3036975719945803E-2</v>
      </c>
      <c r="E4954" s="3" t="s">
        <v>16764</v>
      </c>
      <c r="F4954" s="3" t="s">
        <v>16765</v>
      </c>
      <c r="G4954" s="3">
        <v>52033</v>
      </c>
      <c r="H4954" s="7" t="str">
        <f>HYPERLINK("http://www.ensembl.org/Mus_musculus/Gene/Summary?db=core;g=ENSMUSG00000022033","ENSMUSG00000022033")</f>
        <v>ENSMUSG00000022033</v>
      </c>
      <c r="I4954" s="7" t="str">
        <f>HYPERLINK("http://www.informatics.jax.org/marker/MGI:1289156","MGI:1289156")</f>
        <v>MGI:1289156</v>
      </c>
      <c r="J4954" s="4" t="s">
        <v>12</v>
      </c>
    </row>
    <row r="4955" spans="1:10" x14ac:dyDescent="0.25">
      <c r="A4955" s="2">
        <v>679.29382595620302</v>
      </c>
      <c r="B4955" s="3">
        <v>-0.27266631653516998</v>
      </c>
      <c r="C4955" s="3">
        <v>8.9194935777483098E-3</v>
      </c>
      <c r="D4955" s="4">
        <v>2.2406676860279799E-2</v>
      </c>
      <c r="E4955" s="3" t="s">
        <v>15705</v>
      </c>
      <c r="F4955" s="3" t="s">
        <v>15706</v>
      </c>
      <c r="G4955" s="3">
        <v>230676</v>
      </c>
      <c r="H4955" s="7" t="str">
        <f>HYPERLINK("http://www.ensembl.org/Mus_musculus/Gene/Summary?db=core;g=ENSMUSG00000033253","ENSMUSG00000033253")</f>
        <v>ENSMUSG00000033253</v>
      </c>
      <c r="I4955" s="7" t="str">
        <f>HYPERLINK("http://www.informatics.jax.org/marker/MGI:3033336","MGI:3033336")</f>
        <v>MGI:3033336</v>
      </c>
      <c r="J4955" s="4" t="s">
        <v>12</v>
      </c>
    </row>
    <row r="4956" spans="1:10" x14ac:dyDescent="0.25">
      <c r="A4956" s="2">
        <v>1302.5937422074001</v>
      </c>
      <c r="B4956" s="3">
        <v>-0.27294576169538898</v>
      </c>
      <c r="C4956" s="3">
        <v>1.7624486619645201E-4</v>
      </c>
      <c r="D4956" s="4">
        <v>5.7532672759378202E-4</v>
      </c>
      <c r="E4956" s="3" t="s">
        <v>12093</v>
      </c>
      <c r="F4956" s="3" t="s">
        <v>12094</v>
      </c>
      <c r="G4956" s="3">
        <v>69900</v>
      </c>
      <c r="H4956" s="7" t="str">
        <f>HYPERLINK("http://www.ensembl.org/Mus_musculus/Gene/Summary?db=core;g=ENSMUSG00000020818","ENSMUSG00000020818")</f>
        <v>ENSMUSG00000020818</v>
      </c>
      <c r="I4956" s="7" t="str">
        <f>HYPERLINK("http://www.informatics.jax.org/marker/MGI:1917150","MGI:1917150")</f>
        <v>MGI:1917150</v>
      </c>
      <c r="J4956" s="4" t="s">
        <v>12</v>
      </c>
    </row>
    <row r="4957" spans="1:10" x14ac:dyDescent="0.25">
      <c r="A4957" s="2">
        <v>208.58919016542501</v>
      </c>
      <c r="B4957" s="3">
        <v>-0.27317075338268199</v>
      </c>
      <c r="C4957" s="3">
        <v>1.7427423598206399E-3</v>
      </c>
      <c r="D4957" s="4">
        <v>4.96702982160182E-3</v>
      </c>
      <c r="E4957" s="3" t="s">
        <v>13845</v>
      </c>
      <c r="F4957" s="3" t="s">
        <v>13846</v>
      </c>
      <c r="G4957" s="3">
        <v>73172</v>
      </c>
      <c r="H4957" s="7" t="str">
        <f>HYPERLINK("http://www.ensembl.org/Mus_musculus/Gene/Summary?db=core;g=ENSMUSG00000028629","ENSMUSG00000028629")</f>
        <v>ENSMUSG00000028629</v>
      </c>
      <c r="I4957" s="7" t="str">
        <f>HYPERLINK("http://www.informatics.jax.org/marker/MGI:1920422","MGI:1920422")</f>
        <v>MGI:1920422</v>
      </c>
      <c r="J4957" s="4" t="s">
        <v>12</v>
      </c>
    </row>
    <row r="4958" spans="1:10" x14ac:dyDescent="0.25">
      <c r="A4958" s="2">
        <v>202.62764022112501</v>
      </c>
      <c r="B4958" s="3">
        <v>-0.27343269651760199</v>
      </c>
      <c r="C4958" s="3">
        <v>1.4027555438654901E-3</v>
      </c>
      <c r="D4958" s="4">
        <v>4.0495299846329104E-3</v>
      </c>
      <c r="E4958" s="3" t="s">
        <v>13671</v>
      </c>
      <c r="F4958" s="3" t="s">
        <v>13672</v>
      </c>
      <c r="G4958" s="3">
        <v>69955</v>
      </c>
      <c r="H4958" s="7" t="str">
        <f>HYPERLINK("http://www.ensembl.org/Mus_musculus/Gene/Summary?db=core;g=ENSMUSG00000021420","ENSMUSG00000021420")</f>
        <v>ENSMUSG00000021420</v>
      </c>
      <c r="I4958" s="7" t="str">
        <f>HYPERLINK("http://www.informatics.jax.org/marker/MGI:1917205","MGI:1917205")</f>
        <v>MGI:1917205</v>
      </c>
      <c r="J4958" s="4" t="s">
        <v>12</v>
      </c>
    </row>
    <row r="4959" spans="1:10" x14ac:dyDescent="0.25">
      <c r="A4959" s="2">
        <v>401.36196917392999</v>
      </c>
      <c r="B4959" s="3">
        <v>-0.27378974085965802</v>
      </c>
      <c r="C4959" s="3">
        <v>1.98530179334661E-2</v>
      </c>
      <c r="D4959" s="4">
        <v>4.6391931940745597E-2</v>
      </c>
      <c r="E4959" s="3" t="s">
        <v>16882</v>
      </c>
      <c r="F4959" s="3" t="s">
        <v>16883</v>
      </c>
      <c r="G4959" s="3">
        <v>66197</v>
      </c>
      <c r="H4959" s="7" t="str">
        <f>HYPERLINK("http://www.ensembl.org/Mus_musculus/Gene/Summary?db=core;g=ENSMUSG00000062248","ENSMUSG00000062248")</f>
        <v>ENSMUSG00000062248</v>
      </c>
      <c r="I4959" s="7" t="str">
        <f>HYPERLINK("http://www.informatics.jax.org/marker/MGI:1913447","MGI:1913447")</f>
        <v>MGI:1913447</v>
      </c>
      <c r="J4959" s="4" t="s">
        <v>12</v>
      </c>
    </row>
    <row r="4960" spans="1:10" x14ac:dyDescent="0.25">
      <c r="A4960" s="2">
        <v>175.82061754002899</v>
      </c>
      <c r="B4960" s="3">
        <v>-0.27458046826367999</v>
      </c>
      <c r="C4960" s="3">
        <v>1.0560200925570499E-2</v>
      </c>
      <c r="D4960" s="4">
        <v>2.6145280885404999E-2</v>
      </c>
      <c r="E4960" s="3" t="s">
        <v>15933</v>
      </c>
      <c r="F4960" s="3" t="s">
        <v>15934</v>
      </c>
      <c r="G4960" s="3">
        <v>67148</v>
      </c>
      <c r="H4960" s="7" t="str">
        <f>HYPERLINK("http://www.ensembl.org/Mus_musculus/Gene/Summary?db=core;g=ENSMUSG00000038646","ENSMUSG00000038646")</f>
        <v>ENSMUSG00000038646</v>
      </c>
      <c r="I4960" s="7" t="str">
        <f>HYPERLINK("http://www.informatics.jax.org/marker/MGI:1914398","MGI:1914398")</f>
        <v>MGI:1914398</v>
      </c>
      <c r="J4960" s="4" t="s">
        <v>12</v>
      </c>
    </row>
    <row r="4961" spans="1:10" x14ac:dyDescent="0.25">
      <c r="A4961" s="2">
        <v>547.19567034159604</v>
      </c>
      <c r="B4961" s="3">
        <v>-0.27481745726953899</v>
      </c>
      <c r="C4961" s="5">
        <v>7.9802793314382697E-5</v>
      </c>
      <c r="D4961" s="4">
        <v>2.7208006295982503E-4</v>
      </c>
      <c r="E4961" s="3" t="s">
        <v>11579</v>
      </c>
      <c r="F4961" s="3" t="s">
        <v>11580</v>
      </c>
      <c r="G4961" s="3">
        <v>52004</v>
      </c>
      <c r="H4961" s="7" t="str">
        <f>HYPERLINK("http://www.ensembl.org/Mus_musculus/Gene/Summary?db=core;g=ENSMUSG00000024856","ENSMUSG00000024856")</f>
        <v>ENSMUSG00000024856</v>
      </c>
      <c r="I4961" s="7" t="str">
        <f>HYPERLINK("http://www.informatics.jax.org/marker/MGI:1098779","MGI:1098779")</f>
        <v>MGI:1098779</v>
      </c>
      <c r="J4961" s="4" t="s">
        <v>12</v>
      </c>
    </row>
    <row r="4962" spans="1:10" x14ac:dyDescent="0.25">
      <c r="A4962" s="2">
        <v>355.34394267173201</v>
      </c>
      <c r="B4962" s="3">
        <v>-0.27482941591551402</v>
      </c>
      <c r="C4962" s="3">
        <v>1.1233079319109101E-4</v>
      </c>
      <c r="D4962" s="4">
        <v>3.7640836732851402E-4</v>
      </c>
      <c r="E4962" s="3" t="s">
        <v>11781</v>
      </c>
      <c r="F4962" s="3" t="s">
        <v>11782</v>
      </c>
      <c r="G4962" s="3">
        <v>209416</v>
      </c>
      <c r="H4962" s="7" t="str">
        <f>HYPERLINK("http://www.ensembl.org/Mus_musculus/Gene/Summary?db=core;g=ENSMUSG00000031148","ENSMUSG00000031148")</f>
        <v>ENSMUSG00000031148</v>
      </c>
      <c r="I4962" s="7" t="str">
        <f>HYPERLINK("http://www.informatics.jax.org/marker/MGI:1859610","MGI:1859610")</f>
        <v>MGI:1859610</v>
      </c>
      <c r="J4962" s="4" t="s">
        <v>12</v>
      </c>
    </row>
    <row r="4963" spans="1:10" x14ac:dyDescent="0.25">
      <c r="A4963" s="2">
        <v>844.12876092485203</v>
      </c>
      <c r="B4963" s="3">
        <v>-0.27492360530764698</v>
      </c>
      <c r="C4963" s="5">
        <v>3.53203894273637E-8</v>
      </c>
      <c r="D4963" s="6">
        <v>1.6639227890769501E-7</v>
      </c>
      <c r="E4963" s="3" t="s">
        <v>8389</v>
      </c>
      <c r="F4963" s="3" t="s">
        <v>8390</v>
      </c>
      <c r="G4963" s="3">
        <v>67276</v>
      </c>
      <c r="H4963" s="7" t="str">
        <f>HYPERLINK("http://www.ensembl.org/Mus_musculus/Gene/Summary?db=core;g=ENSMUSG00000031527","ENSMUSG00000031527")</f>
        <v>ENSMUSG00000031527</v>
      </c>
      <c r="I4963" s="7" t="str">
        <f>HYPERLINK("http://www.informatics.jax.org/marker/MGI:1914526","MGI:1914526")</f>
        <v>MGI:1914526</v>
      </c>
      <c r="J4963" s="4" t="s">
        <v>12</v>
      </c>
    </row>
    <row r="4964" spans="1:10" x14ac:dyDescent="0.25">
      <c r="A4964" s="2">
        <v>1062.9338053507699</v>
      </c>
      <c r="B4964" s="3">
        <v>-0.27548939762817398</v>
      </c>
      <c r="C4964" s="5">
        <v>4.8712704071285097E-7</v>
      </c>
      <c r="D4964" s="6">
        <v>2.0801527160800002E-6</v>
      </c>
      <c r="E4964" s="3" t="s">
        <v>9251</v>
      </c>
      <c r="F4964" s="3" t="s">
        <v>9252</v>
      </c>
      <c r="G4964" s="3">
        <v>29812</v>
      </c>
      <c r="H4964" s="7" t="str">
        <f>HYPERLINK("http://www.ensembl.org/Mus_musculus/Gene/Summary?db=core;g=ENSMUSG00000027634","ENSMUSG00000027634")</f>
        <v>ENSMUSG00000027634</v>
      </c>
      <c r="I4964" s="7" t="str">
        <f>HYPERLINK("http://www.informatics.jax.org/marker/MGI:1352499","MGI:1352499")</f>
        <v>MGI:1352499</v>
      </c>
      <c r="J4964" s="4" t="s">
        <v>12</v>
      </c>
    </row>
    <row r="4965" spans="1:10" x14ac:dyDescent="0.25">
      <c r="A4965" s="2">
        <v>559.29021210887595</v>
      </c>
      <c r="B4965" s="3">
        <v>-0.27562589102227097</v>
      </c>
      <c r="C4965" s="3">
        <v>3.5309760591776302E-3</v>
      </c>
      <c r="D4965" s="4">
        <v>9.5778332719371195E-3</v>
      </c>
      <c r="E4965" s="3" t="s">
        <v>14543</v>
      </c>
      <c r="F4965" s="3" t="s">
        <v>14544</v>
      </c>
      <c r="G4965" s="3">
        <v>72351</v>
      </c>
      <c r="H4965" s="7" t="str">
        <f>HYPERLINK("http://www.ensembl.org/Mus_musculus/Gene/Summary?db=core;g=ENSMUSG00000074925","ENSMUSG00000074925")</f>
        <v>ENSMUSG00000074925</v>
      </c>
      <c r="I4965" s="7" t="str">
        <f>HYPERLINK("http://www.informatics.jax.org/marker/MGI:1921875","MGI:1921875")</f>
        <v>MGI:1921875</v>
      </c>
      <c r="J4965" s="4" t="s">
        <v>12</v>
      </c>
    </row>
    <row r="4966" spans="1:10" x14ac:dyDescent="0.25">
      <c r="A4966" s="2">
        <v>1037.7493698680701</v>
      </c>
      <c r="B4966" s="3">
        <v>-0.27562610416768701</v>
      </c>
      <c r="C4966" s="3">
        <v>9.32231108878823E-4</v>
      </c>
      <c r="D4966" s="4">
        <v>2.7607144416714798E-3</v>
      </c>
      <c r="E4966" s="3" t="s">
        <v>13326</v>
      </c>
      <c r="F4966" s="3" t="s">
        <v>13327</v>
      </c>
      <c r="G4966" s="3">
        <v>17283</v>
      </c>
      <c r="H4966" s="7" t="str">
        <f>HYPERLINK("http://www.ensembl.org/Mus_musculus/Gene/Summary?db=core;g=ENSMUSG00000024947","ENSMUSG00000024947")</f>
        <v>ENSMUSG00000024947</v>
      </c>
      <c r="I4966" s="7" t="str">
        <f>HYPERLINK("http://www.informatics.jax.org/marker/MGI:1316736","MGI:1316736")</f>
        <v>MGI:1316736</v>
      </c>
      <c r="J4966" s="4" t="s">
        <v>12</v>
      </c>
    </row>
    <row r="4967" spans="1:10" x14ac:dyDescent="0.25">
      <c r="A4967" s="2">
        <v>1134.03121700574</v>
      </c>
      <c r="B4967" s="3">
        <v>-0.27567027525823301</v>
      </c>
      <c r="C4967" s="5">
        <v>9.1405192004215903E-9</v>
      </c>
      <c r="D4967" s="6">
        <v>4.5506447521412198E-8</v>
      </c>
      <c r="E4967" s="3" t="s">
        <v>7938</v>
      </c>
      <c r="F4967" s="3" t="s">
        <v>7939</v>
      </c>
      <c r="G4967" s="3">
        <v>12764</v>
      </c>
      <c r="H4967" s="7" t="str">
        <f>HYPERLINK("http://www.ensembl.org/Mus_musculus/Gene/Summary?db=core;g=ENSMUSG00000030282","ENSMUSG00000030282")</f>
        <v>ENSMUSG00000030282</v>
      </c>
      <c r="I4967" s="7" t="str">
        <f>HYPERLINK("http://www.informatics.jax.org/marker/MGI:1337124","MGI:1337124")</f>
        <v>MGI:1337124</v>
      </c>
      <c r="J4967" s="4" t="s">
        <v>12</v>
      </c>
    </row>
    <row r="4968" spans="1:10" x14ac:dyDescent="0.25">
      <c r="A4968" s="2">
        <v>6132.9164642474798</v>
      </c>
      <c r="B4968" s="3">
        <v>-0.27569349462373099</v>
      </c>
      <c r="C4968" s="5">
        <v>2.0971533914392202E-9</v>
      </c>
      <c r="D4968" s="6">
        <v>1.0963909034777699E-8</v>
      </c>
      <c r="E4968" s="3" t="s">
        <v>7562</v>
      </c>
      <c r="F4968" s="3" t="s">
        <v>7563</v>
      </c>
      <c r="G4968" s="3">
        <v>15388</v>
      </c>
      <c r="H4968" s="7" t="str">
        <f>HYPERLINK("http://www.ensembl.org/Mus_musculus/Gene/Summary?db=core;g=ENSMUSG00000015165","ENSMUSG00000015165")</f>
        <v>ENSMUSG00000015165</v>
      </c>
      <c r="I4968" s="7" t="str">
        <f>HYPERLINK("http://www.informatics.jax.org/marker/MGI:104816","MGI:104816")</f>
        <v>MGI:104816</v>
      </c>
      <c r="J4968" s="4" t="s">
        <v>12</v>
      </c>
    </row>
    <row r="4969" spans="1:10" x14ac:dyDescent="0.25">
      <c r="A4969" s="2">
        <v>2309.69477077597</v>
      </c>
      <c r="B4969" s="3">
        <v>-0.27577266502229603</v>
      </c>
      <c r="C4969" s="5">
        <v>9.3503979986865601E-9</v>
      </c>
      <c r="D4969" s="6">
        <v>4.6527844696971698E-8</v>
      </c>
      <c r="E4969" s="3" t="s">
        <v>7942</v>
      </c>
      <c r="F4969" s="3" t="s">
        <v>7943</v>
      </c>
      <c r="G4969" s="3">
        <v>269252</v>
      </c>
      <c r="H4969" s="7" t="str">
        <f>HYPERLINK("http://www.ensembl.org/Mus_musculus/Gene/Summary?db=core;g=ENSMUSG00000035666","ENSMUSG00000035666")</f>
        <v>ENSMUSG00000035666</v>
      </c>
      <c r="I4969" s="7" t="str">
        <f>HYPERLINK("http://www.informatics.jax.org/marker/MGI:2138937","MGI:2138937")</f>
        <v>MGI:2138937</v>
      </c>
      <c r="J4969" s="4" t="s">
        <v>12</v>
      </c>
    </row>
    <row r="4970" spans="1:10" x14ac:dyDescent="0.25">
      <c r="A4970" s="2">
        <v>2843.9245840426702</v>
      </c>
      <c r="B4970" s="3">
        <v>-0.275889114967452</v>
      </c>
      <c r="C4970" s="5">
        <v>2.38310554341695E-9</v>
      </c>
      <c r="D4970" s="6">
        <v>1.23964234545456E-8</v>
      </c>
      <c r="E4970" s="3" t="s">
        <v>7598</v>
      </c>
      <c r="F4970" s="3" t="s">
        <v>7599</v>
      </c>
      <c r="G4970" s="3">
        <v>227624</v>
      </c>
      <c r="H4970" s="7" t="str">
        <f>HYPERLINK("http://www.ensembl.org/Mus_musculus/Gene/Summary?db=core;g=ENSMUSG00000015087","ENSMUSG00000015087")</f>
        <v>ENSMUSG00000015087</v>
      </c>
      <c r="I4970" s="7" t="str">
        <f>HYPERLINK("http://www.informatics.jax.org/marker/MGI:2442633","MGI:2442633")</f>
        <v>MGI:2442633</v>
      </c>
      <c r="J4970" s="4" t="s">
        <v>12</v>
      </c>
    </row>
    <row r="4971" spans="1:10" x14ac:dyDescent="0.25">
      <c r="A4971" s="2">
        <v>387.65347314512201</v>
      </c>
      <c r="B4971" s="3">
        <v>-0.27607632594937598</v>
      </c>
      <c r="C4971" s="3">
        <v>2.2412228457513801E-3</v>
      </c>
      <c r="D4971" s="4">
        <v>6.2815398689905202E-3</v>
      </c>
      <c r="E4971" s="3" t="s">
        <v>14079</v>
      </c>
      <c r="F4971" s="3" t="s">
        <v>14080</v>
      </c>
      <c r="G4971" s="3">
        <v>22401</v>
      </c>
      <c r="H4971" s="7" t="str">
        <f>HYPERLINK("http://www.ensembl.org/Mus_musculus/Gene/Summary?db=core;g=ENSMUSG00000027663","ENSMUSG00000027663")</f>
        <v>ENSMUSG00000027663</v>
      </c>
      <c r="I4971" s="7" t="str">
        <f>HYPERLINK("http://www.informatics.jax.org/marker/MGI:1195270","MGI:1195270")</f>
        <v>MGI:1195270</v>
      </c>
      <c r="J4971" s="4" t="s">
        <v>12</v>
      </c>
    </row>
    <row r="4972" spans="1:10" x14ac:dyDescent="0.25">
      <c r="A4972" s="2">
        <v>202.15138655175201</v>
      </c>
      <c r="B4972" s="3">
        <v>-0.27610091699015399</v>
      </c>
      <c r="C4972" s="3">
        <v>1.02152701952477E-2</v>
      </c>
      <c r="D4972" s="4">
        <v>2.5386909672373701E-2</v>
      </c>
      <c r="E4972" s="3" t="s">
        <v>15875</v>
      </c>
      <c r="F4972" s="3" t="s">
        <v>15876</v>
      </c>
      <c r="G4972" s="3">
        <v>230649</v>
      </c>
      <c r="H4972" s="7" t="str">
        <f>HYPERLINK("http://www.ensembl.org/Mus_musculus/Gene/Summary?db=core;g=ENSMUSG00000028710","ENSMUSG00000028710")</f>
        <v>ENSMUSG00000028710</v>
      </c>
      <c r="I4972" s="7" t="str">
        <f>HYPERLINK("http://www.informatics.jax.org/marker/MGI:2180560","MGI:2180560")</f>
        <v>MGI:2180560</v>
      </c>
      <c r="J4972" s="4" t="s">
        <v>12</v>
      </c>
    </row>
    <row r="4973" spans="1:10" x14ac:dyDescent="0.25">
      <c r="A4973" s="2">
        <v>7096.2528682780503</v>
      </c>
      <c r="B4973" s="3">
        <v>-0.27618175217718099</v>
      </c>
      <c r="C4973" s="5">
        <v>9.3816855113206502E-18</v>
      </c>
      <c r="D4973" s="6">
        <v>8.3713501485630405E-17</v>
      </c>
      <c r="E4973" s="3" t="s">
        <v>4437</v>
      </c>
      <c r="F4973" s="3" t="s">
        <v>4438</v>
      </c>
      <c r="G4973" s="3">
        <v>17222</v>
      </c>
      <c r="H4973" s="7" t="str">
        <f>HYPERLINK("http://www.ensembl.org/Mus_musculus/Gene/Summary?db=core;g=ENSMUSG00000014355","ENSMUSG00000014355")</f>
        <v>ENSMUSG00000014355</v>
      </c>
      <c r="I4973" s="7" t="str">
        <f>HYPERLINK("http://www.informatics.jax.org/marker/MGI:103097","MGI:103097")</f>
        <v>MGI:103097</v>
      </c>
      <c r="J4973" s="4" t="s">
        <v>12</v>
      </c>
    </row>
    <row r="4974" spans="1:10" x14ac:dyDescent="0.25">
      <c r="A4974" s="2">
        <v>3847.68628431057</v>
      </c>
      <c r="B4974" s="3">
        <v>-0.27636123424270898</v>
      </c>
      <c r="C4974" s="3">
        <v>8.6398692992402E-3</v>
      </c>
      <c r="D4974" s="4">
        <v>2.17485604520062E-2</v>
      </c>
      <c r="E4974" s="3" t="s">
        <v>15673</v>
      </c>
      <c r="F4974" s="3" t="s">
        <v>15674</v>
      </c>
      <c r="G4974" s="3">
        <v>234407</v>
      </c>
      <c r="H4974" s="7" t="str">
        <f>HYPERLINK("http://www.ensembl.org/Mus_musculus/Gene/Summary?db=core;g=ENSMUSG00000034807","ENSMUSG00000034807")</f>
        <v>ENSMUSG00000034807</v>
      </c>
      <c r="I4974" s="7" t="str">
        <f>HYPERLINK("http://www.informatics.jax.org/marker/MGI:1924348","MGI:1924348")</f>
        <v>MGI:1924348</v>
      </c>
      <c r="J4974" s="4" t="s">
        <v>12</v>
      </c>
    </row>
    <row r="4975" spans="1:10" x14ac:dyDescent="0.25">
      <c r="A4975" s="2">
        <v>835.34316369887699</v>
      </c>
      <c r="B4975" s="3">
        <v>-0.27685212194312703</v>
      </c>
      <c r="C4975" s="5">
        <v>9.3175441916848105E-7</v>
      </c>
      <c r="D4975" s="6">
        <v>3.8649972961721601E-6</v>
      </c>
      <c r="E4975" s="3" t="s">
        <v>9523</v>
      </c>
      <c r="F4975" s="3" t="s">
        <v>9524</v>
      </c>
      <c r="G4975" s="3">
        <v>75406</v>
      </c>
      <c r="H4975" s="7" t="str">
        <f>HYPERLINK("http://www.ensembl.org/Mus_musculus/Gene/Summary?db=core;g=ENSMUSG00000020153","ENSMUSG00000020153")</f>
        <v>ENSMUSG00000020153</v>
      </c>
      <c r="I4975" s="7" t="str">
        <f>HYPERLINK("http://www.informatics.jax.org/marker/MGI:1922656","MGI:1922656")</f>
        <v>MGI:1922656</v>
      </c>
      <c r="J4975" s="4" t="s">
        <v>12</v>
      </c>
    </row>
    <row r="4976" spans="1:10" x14ac:dyDescent="0.25">
      <c r="A4976" s="2">
        <v>3508.7820860038501</v>
      </c>
      <c r="B4976" s="3">
        <v>-0.27687499501047602</v>
      </c>
      <c r="C4976" s="3">
        <v>6.1606699136913497E-3</v>
      </c>
      <c r="D4976" s="4">
        <v>1.5974807455357499E-2</v>
      </c>
      <c r="E4976" s="3" t="s">
        <v>15215</v>
      </c>
      <c r="F4976" s="3" t="s">
        <v>15216</v>
      </c>
      <c r="G4976" s="3">
        <v>70099</v>
      </c>
      <c r="H4976" s="7" t="str">
        <f>HYPERLINK("http://www.ensembl.org/Mus_musculus/Gene/Summary?db=core;g=ENSMUSG00000034349","ENSMUSG00000034349")</f>
        <v>ENSMUSG00000034349</v>
      </c>
      <c r="I4976" s="7" t="str">
        <f>HYPERLINK("http://www.informatics.jax.org/marker/MGI:1917349","MGI:1917349")</f>
        <v>MGI:1917349</v>
      </c>
      <c r="J4976" s="4" t="s">
        <v>12</v>
      </c>
    </row>
    <row r="4977" spans="1:10" x14ac:dyDescent="0.25">
      <c r="A4977" s="2">
        <v>498.11561166394199</v>
      </c>
      <c r="B4977" s="3">
        <v>-0.277004640633989</v>
      </c>
      <c r="C4977" s="3">
        <v>6.5292967752023602E-3</v>
      </c>
      <c r="D4977" s="4">
        <v>1.6848353503887501E-2</v>
      </c>
      <c r="E4977" s="3" t="s">
        <v>15291</v>
      </c>
      <c r="F4977" s="3" t="s">
        <v>15292</v>
      </c>
      <c r="G4977" s="3">
        <v>18577</v>
      </c>
      <c r="H4977" s="7" t="str">
        <f>HYPERLINK("http://www.ensembl.org/Mus_musculus/Gene/Summary?db=core;g=ENSMUSG00000032177","ENSMUSG00000032177")</f>
        <v>ENSMUSG00000032177</v>
      </c>
      <c r="I4977" s="7" t="str">
        <f>HYPERLINK("http://www.informatics.jax.org/marker/MGI:99558","MGI:99558")</f>
        <v>MGI:99558</v>
      </c>
      <c r="J4977" s="4" t="s">
        <v>12</v>
      </c>
    </row>
    <row r="4978" spans="1:10" x14ac:dyDescent="0.25">
      <c r="A4978" s="2">
        <v>130.14623235353801</v>
      </c>
      <c r="B4978" s="3">
        <v>-0.27710020370483102</v>
      </c>
      <c r="C4978" s="3">
        <v>9.2396477154026609E-3</v>
      </c>
      <c r="D4978" s="4">
        <v>2.31401896047423E-2</v>
      </c>
      <c r="E4978" s="3" t="s">
        <v>15753</v>
      </c>
      <c r="F4978" s="3" t="s">
        <v>15754</v>
      </c>
      <c r="G4978" s="3">
        <v>192986</v>
      </c>
      <c r="H4978" s="7" t="str">
        <f>HYPERLINK("http://www.ensembl.org/Mus_musculus/Gene/Summary?db=core;g=ENSMUSG00000057778","ENSMUSG00000057778")</f>
        <v>ENSMUSG00000057778</v>
      </c>
      <c r="I4978" s="7" t="str">
        <f>HYPERLINK("http://www.informatics.jax.org/marker/MGI:2684848","MGI:2684848")</f>
        <v>MGI:2684848</v>
      </c>
      <c r="J4978" s="4" t="s">
        <v>12</v>
      </c>
    </row>
    <row r="4979" spans="1:10" x14ac:dyDescent="0.25">
      <c r="A4979" s="2">
        <v>3360.6703067850899</v>
      </c>
      <c r="B4979" s="3">
        <v>-0.27751397323251897</v>
      </c>
      <c r="C4979" s="5">
        <v>3.3466916456401199E-9</v>
      </c>
      <c r="D4979" s="6">
        <v>1.72180431129724E-8</v>
      </c>
      <c r="E4979" s="3" t="s">
        <v>7682</v>
      </c>
      <c r="F4979" s="3" t="s">
        <v>7683</v>
      </c>
      <c r="G4979" s="3">
        <v>66912</v>
      </c>
      <c r="H4979" s="7" t="str">
        <f>HYPERLINK("http://www.ensembl.org/Mus_musculus/Gene/Summary?db=core;g=ENSMUSG00000020547","ENSMUSG00000020547")</f>
        <v>ENSMUSG00000020547</v>
      </c>
      <c r="I4979" s="7" t="str">
        <f>HYPERLINK("http://www.informatics.jax.org/marker/MGI:1914162","MGI:1914162")</f>
        <v>MGI:1914162</v>
      </c>
      <c r="J4979" s="4" t="s">
        <v>12</v>
      </c>
    </row>
    <row r="4980" spans="1:10" x14ac:dyDescent="0.25">
      <c r="A4980" s="2">
        <v>237.602486318106</v>
      </c>
      <c r="B4980" s="3">
        <v>-0.27751824502866501</v>
      </c>
      <c r="C4980" s="3">
        <v>2.1338870486154E-3</v>
      </c>
      <c r="D4980" s="4">
        <v>6.0028891010978202E-3</v>
      </c>
      <c r="E4980" s="3" t="s">
        <v>14027</v>
      </c>
      <c r="F4980" s="3" t="s">
        <v>14028</v>
      </c>
      <c r="G4980" s="3">
        <v>328092</v>
      </c>
      <c r="H4980" s="7" t="str">
        <f>HYPERLINK("http://www.ensembl.org/Mus_musculus/Gene/Summary?db=core;g=ENSMUSG00000020956","ENSMUSG00000020956")</f>
        <v>ENSMUSG00000020956</v>
      </c>
      <c r="I4980" s="7" t="str">
        <f>HYPERLINK("http://www.informatics.jax.org/marker/MGI:1923485","MGI:1923485")</f>
        <v>MGI:1923485</v>
      </c>
      <c r="J4980" s="4" t="s">
        <v>12</v>
      </c>
    </row>
    <row r="4981" spans="1:10" x14ac:dyDescent="0.25">
      <c r="A4981" s="2">
        <v>393.73990949474199</v>
      </c>
      <c r="B4981" s="3">
        <v>-0.27752200543057498</v>
      </c>
      <c r="C4981" s="3">
        <v>1.4635523640577799E-3</v>
      </c>
      <c r="D4981" s="4">
        <v>4.2145520764047002E-3</v>
      </c>
      <c r="E4981" s="3" t="s">
        <v>13705</v>
      </c>
      <c r="F4981" s="3" t="s">
        <v>13706</v>
      </c>
      <c r="G4981" s="3">
        <v>229589</v>
      </c>
      <c r="H4981" s="7" t="str">
        <f>HYPERLINK("http://www.ensembl.org/Mus_musculus/Gene/Summary?db=core;g=ENSMUSG00000015711","ENSMUSG00000015711")</f>
        <v>ENSMUSG00000015711</v>
      </c>
      <c r="I4981" s="7" t="str">
        <f>HYPERLINK("http://www.informatics.jax.org/marker/MGI:1925152","MGI:1925152")</f>
        <v>MGI:1925152</v>
      </c>
      <c r="J4981" s="4" t="s">
        <v>12</v>
      </c>
    </row>
    <row r="4982" spans="1:10" x14ac:dyDescent="0.25">
      <c r="A4982" s="2">
        <v>659.59777787237203</v>
      </c>
      <c r="B4982" s="3">
        <v>-0.27774605412905201</v>
      </c>
      <c r="C4982" s="5">
        <v>8.2249454937593502E-6</v>
      </c>
      <c r="D4982" s="6">
        <v>3.1113739715506301E-5</v>
      </c>
      <c r="E4982" s="3" t="s">
        <v>10440</v>
      </c>
      <c r="F4982" s="3" t="s">
        <v>10441</v>
      </c>
      <c r="G4982" s="3">
        <v>13544</v>
      </c>
      <c r="H4982" s="7" t="str">
        <f>HYPERLINK("http://www.ensembl.org/Mus_musculus/Gene/Summary?db=core;g=ENSMUSG00000003233","ENSMUSG00000003233")</f>
        <v>ENSMUSG00000003233</v>
      </c>
      <c r="I4982" s="7" t="str">
        <f>HYPERLINK("http://www.informatics.jax.org/marker/MGI:108100","MGI:108100")</f>
        <v>MGI:108100</v>
      </c>
      <c r="J4982" s="4" t="s">
        <v>12</v>
      </c>
    </row>
    <row r="4983" spans="1:10" x14ac:dyDescent="0.25">
      <c r="A4983" s="2">
        <v>815.03603376356205</v>
      </c>
      <c r="B4983" s="3">
        <v>-0.27803537961478297</v>
      </c>
      <c r="C4983" s="5">
        <v>3.3619929718693502E-5</v>
      </c>
      <c r="D4983" s="4">
        <v>1.19370726332848E-4</v>
      </c>
      <c r="E4983" s="3" t="s">
        <v>11121</v>
      </c>
      <c r="F4983" s="3" t="s">
        <v>11122</v>
      </c>
      <c r="G4983" s="3">
        <v>76789</v>
      </c>
      <c r="H4983" s="7" t="str">
        <f>HYPERLINK("http://www.ensembl.org/Mus_musculus/Gene/Summary?db=core;g=ENSMUSG00000033186","ENSMUSG00000033186")</f>
        <v>ENSMUSG00000033186</v>
      </c>
      <c r="I4983" s="7" t="str">
        <f>HYPERLINK("http://www.informatics.jax.org/marker/MGI:1924039","MGI:1924039")</f>
        <v>MGI:1924039</v>
      </c>
      <c r="J4983" s="4" t="s">
        <v>12</v>
      </c>
    </row>
    <row r="4984" spans="1:10" x14ac:dyDescent="0.25">
      <c r="A4984" s="2">
        <v>151.17791063589701</v>
      </c>
      <c r="B4984" s="3">
        <v>-0.27807337969839502</v>
      </c>
      <c r="C4984" s="3">
        <v>1.8708915349786401E-2</v>
      </c>
      <c r="D4984" s="4">
        <v>4.3921406035450999E-2</v>
      </c>
      <c r="E4984" s="3" t="s">
        <v>16804</v>
      </c>
      <c r="F4984" s="3" t="s">
        <v>16805</v>
      </c>
      <c r="G4984" s="3">
        <v>217194</v>
      </c>
      <c r="H4984" s="7" t="str">
        <f>HYPERLINK("http://www.ensembl.org/Mus_musculus/Gene/Summary?db=core;g=ENSMUSG00000048732","ENSMUSG00000048732")</f>
        <v>ENSMUSG00000048732</v>
      </c>
      <c r="I4984" s="7" t="str">
        <f>HYPERLINK("http://www.informatics.jax.org/marker/MGI:2388648","MGI:2388648")</f>
        <v>MGI:2388648</v>
      </c>
      <c r="J4984" s="4" t="s">
        <v>12</v>
      </c>
    </row>
    <row r="4985" spans="1:10" x14ac:dyDescent="0.25">
      <c r="A4985" s="2">
        <v>628.17187236255199</v>
      </c>
      <c r="B4985" s="3">
        <v>-0.27821450589423202</v>
      </c>
      <c r="C4985" s="3">
        <v>3.11604107054581E-3</v>
      </c>
      <c r="D4985" s="4">
        <v>8.5179276283841605E-3</v>
      </c>
      <c r="E4985" s="3" t="s">
        <v>14433</v>
      </c>
      <c r="F4985" s="3" t="s">
        <v>14434</v>
      </c>
      <c r="G4985" s="3">
        <v>58186</v>
      </c>
      <c r="H4985" s="7" t="str">
        <f>HYPERLINK("http://www.ensembl.org/Mus_musculus/Gene/Summary?db=core;g=ENSMUSG00000030254","ENSMUSG00000030254")</f>
        <v>ENSMUSG00000030254</v>
      </c>
      <c r="I4985" s="7" t="str">
        <f>HYPERLINK("http://www.informatics.jax.org/marker/MGI:1890476","MGI:1890476")</f>
        <v>MGI:1890476</v>
      </c>
      <c r="J4985" s="4" t="s">
        <v>12</v>
      </c>
    </row>
    <row r="4986" spans="1:10" x14ac:dyDescent="0.25">
      <c r="A4986" s="2">
        <v>445.05293209324202</v>
      </c>
      <c r="B4986" s="3">
        <v>-0.27878978967909701</v>
      </c>
      <c r="C4986" s="3">
        <v>1.8399173115988901E-3</v>
      </c>
      <c r="D4986" s="4">
        <v>5.2205999114719598E-3</v>
      </c>
      <c r="E4986" s="3" t="s">
        <v>13907</v>
      </c>
      <c r="F4986" s="3" t="s">
        <v>13908</v>
      </c>
      <c r="G4986" s="3">
        <v>215705</v>
      </c>
      <c r="H4986" s="7" t="str">
        <f>HYPERLINK("http://www.ensembl.org/Mus_musculus/Gene/Summary?db=core;g=ENSMUSG00000026972","ENSMUSG00000026972")</f>
        <v>ENSMUSG00000026972</v>
      </c>
      <c r="I4986" s="7" t="str">
        <f>HYPERLINK("http://www.informatics.jax.org/marker/MGI:2446136","MGI:2446136")</f>
        <v>MGI:2446136</v>
      </c>
      <c r="J4986" s="4" t="s">
        <v>12</v>
      </c>
    </row>
    <row r="4987" spans="1:10" x14ac:dyDescent="0.25">
      <c r="A4987" s="2">
        <v>267.10280934811198</v>
      </c>
      <c r="B4987" s="3">
        <v>-0.278860150210896</v>
      </c>
      <c r="C4987" s="3">
        <v>8.1643445070301301E-3</v>
      </c>
      <c r="D4987" s="4">
        <v>2.0635846408438099E-2</v>
      </c>
      <c r="E4987" s="3" t="s">
        <v>15609</v>
      </c>
      <c r="F4987" s="3" t="s">
        <v>15610</v>
      </c>
      <c r="G4987" s="3">
        <v>78752</v>
      </c>
      <c r="H4987" s="7" t="str">
        <f>HYPERLINK("http://www.ensembl.org/Mus_musculus/Gene/Summary?db=core;g=ENSMUSG00000042042","ENSMUSG00000042042")</f>
        <v>ENSMUSG00000042042</v>
      </c>
      <c r="I4987" s="7" t="str">
        <f>HYPERLINK("http://www.informatics.jax.org/marker/MGI:1926002","MGI:1926002")</f>
        <v>MGI:1926002</v>
      </c>
      <c r="J4987" s="4" t="s">
        <v>12</v>
      </c>
    </row>
    <row r="4988" spans="1:10" x14ac:dyDescent="0.25">
      <c r="A4988" s="2">
        <v>128.01750648877999</v>
      </c>
      <c r="B4988" s="3">
        <v>-0.279008573680742</v>
      </c>
      <c r="C4988" s="3">
        <v>1.7423335864717102E-2</v>
      </c>
      <c r="D4988" s="4">
        <v>4.1212448512920899E-2</v>
      </c>
      <c r="E4988" s="3" t="s">
        <v>16678</v>
      </c>
      <c r="F4988" s="3" t="s">
        <v>16679</v>
      </c>
      <c r="G4988" s="3">
        <v>66400</v>
      </c>
      <c r="H4988" s="7" t="str">
        <f>HYPERLINK("http://www.ensembl.org/Mus_musculus/Gene/Summary?db=core;g=ENSMUSG00000002661","ENSMUSG00000002661")</f>
        <v>ENSMUSG00000002661</v>
      </c>
      <c r="I4988" s="7" t="str">
        <f>HYPERLINK("http://www.informatics.jax.org/marker/MGI:1913650","MGI:1913650")</f>
        <v>MGI:1913650</v>
      </c>
      <c r="J4988" s="4" t="s">
        <v>12</v>
      </c>
    </row>
    <row r="4989" spans="1:10" x14ac:dyDescent="0.25">
      <c r="A4989" s="2">
        <v>5456.7323618296296</v>
      </c>
      <c r="B4989" s="3">
        <v>-0.27902778465504002</v>
      </c>
      <c r="C4989" s="5">
        <v>8.2730852835914899E-11</v>
      </c>
      <c r="D4989" s="6">
        <v>4.82392790634016E-10</v>
      </c>
      <c r="E4989" s="3" t="s">
        <v>6782</v>
      </c>
      <c r="F4989" s="3" t="s">
        <v>6783</v>
      </c>
      <c r="G4989" s="3">
        <v>17918</v>
      </c>
      <c r="H4989" s="7" t="str">
        <f>HYPERLINK("http://www.ensembl.org/Mus_musculus/Gene/Summary?db=core;g=ENSMUSG00000034593","ENSMUSG00000034593")</f>
        <v>ENSMUSG00000034593</v>
      </c>
      <c r="I4989" s="7" t="str">
        <f>HYPERLINK("http://www.informatics.jax.org/marker/MGI:105976","MGI:105976")</f>
        <v>MGI:105976</v>
      </c>
      <c r="J4989" s="4" t="s">
        <v>12</v>
      </c>
    </row>
    <row r="4990" spans="1:10" x14ac:dyDescent="0.25">
      <c r="A4990" s="2">
        <v>1205.1996287011</v>
      </c>
      <c r="B4990" s="3">
        <v>-0.27915240069443698</v>
      </c>
      <c r="C4990" s="5">
        <v>1.1200507502580099E-8</v>
      </c>
      <c r="D4990" s="6">
        <v>5.5356894223277901E-8</v>
      </c>
      <c r="E4990" s="3" t="s">
        <v>7997</v>
      </c>
      <c r="F4990" s="3" t="s">
        <v>7998</v>
      </c>
      <c r="G4990" s="3">
        <v>13858</v>
      </c>
      <c r="H4990" s="7" t="str">
        <f>HYPERLINK("http://www.ensembl.org/Mus_musculus/Gene/Summary?db=core;g=ENSMUSG00000028552","ENSMUSG00000028552")</f>
        <v>ENSMUSG00000028552</v>
      </c>
      <c r="I4990" s="7" t="str">
        <f>HYPERLINK("http://www.informatics.jax.org/marker/MGI:104583","MGI:104583")</f>
        <v>MGI:104583</v>
      </c>
      <c r="J4990" s="4" t="s">
        <v>12</v>
      </c>
    </row>
    <row r="4991" spans="1:10" x14ac:dyDescent="0.25">
      <c r="A4991" s="2">
        <v>2224.1590321588001</v>
      </c>
      <c r="B4991" s="3">
        <v>-0.279374153068078</v>
      </c>
      <c r="C4991" s="5">
        <v>3.5566172880088698E-10</v>
      </c>
      <c r="D4991" s="6">
        <v>1.9767895411368301E-9</v>
      </c>
      <c r="E4991" s="3" t="s">
        <v>7114</v>
      </c>
      <c r="F4991" s="3" t="s">
        <v>7115</v>
      </c>
      <c r="G4991" s="3">
        <v>231580</v>
      </c>
      <c r="H4991" s="7" t="str">
        <f>HYPERLINK("http://www.ensembl.org/Mus_musculus/Gene/Summary?db=core;g=ENSMUSG00000062234","ENSMUSG00000062234")</f>
        <v>ENSMUSG00000062234</v>
      </c>
      <c r="I4991" s="7" t="str">
        <f>HYPERLINK("http://www.informatics.jax.org/marker/MGI:2442153","MGI:2442153")</f>
        <v>MGI:2442153</v>
      </c>
      <c r="J4991" s="4" t="s">
        <v>12</v>
      </c>
    </row>
    <row r="4992" spans="1:10" x14ac:dyDescent="0.25">
      <c r="A4992" s="2">
        <v>8753.2896867349391</v>
      </c>
      <c r="B4992" s="3">
        <v>-0.279562788073699</v>
      </c>
      <c r="C4992" s="5">
        <v>3.0434529525825601E-12</v>
      </c>
      <c r="D4992" s="6">
        <v>1.98731431208371E-11</v>
      </c>
      <c r="E4992" s="3" t="s">
        <v>6057</v>
      </c>
      <c r="F4992" s="3" t="s">
        <v>6058</v>
      </c>
      <c r="G4992" s="3">
        <v>74148</v>
      </c>
      <c r="H4992" s="7" t="str">
        <f>HYPERLINK("http://www.ensembl.org/Mus_musculus/Gene/Summary?db=core;g=ENSMUSG00000020741","ENSMUSG00000020741")</f>
        <v>ENSMUSG00000020741</v>
      </c>
      <c r="I4992" s="7" t="str">
        <f>HYPERLINK("http://www.informatics.jax.org/marker/MGI:1921398","MGI:1921398")</f>
        <v>MGI:1921398</v>
      </c>
      <c r="J4992" s="4" t="s">
        <v>12</v>
      </c>
    </row>
    <row r="4993" spans="1:10" x14ac:dyDescent="0.25">
      <c r="A4993" s="2">
        <v>707.22916962710497</v>
      </c>
      <c r="B4993" s="3">
        <v>-0.27975183642891699</v>
      </c>
      <c r="C4993" s="5">
        <v>9.3057892566986706E-8</v>
      </c>
      <c r="D4993" s="6">
        <v>4.2322454829819602E-7</v>
      </c>
      <c r="E4993" s="3" t="s">
        <v>8689</v>
      </c>
      <c r="F4993" s="3" t="s">
        <v>8690</v>
      </c>
      <c r="G4993" s="3">
        <v>321006</v>
      </c>
      <c r="H4993" s="7" t="str">
        <f>HYPERLINK("http://www.ensembl.org/Mus_musculus/Gene/Summary?db=core;g=ENSMUSG00000040325","ENSMUSG00000040325")</f>
        <v>ENSMUSG00000040325</v>
      </c>
      <c r="I4993" s="7" t="str">
        <f>HYPERLINK("http://www.informatics.jax.org/marker/MGI:2445220","MGI:2445220")</f>
        <v>MGI:2445220</v>
      </c>
      <c r="J4993" s="4" t="s">
        <v>12</v>
      </c>
    </row>
    <row r="4994" spans="1:10" x14ac:dyDescent="0.25">
      <c r="A4994" s="2">
        <v>704.64452298585195</v>
      </c>
      <c r="B4994" s="3">
        <v>-0.27975970766702701</v>
      </c>
      <c r="C4994" s="3">
        <v>7.0767906027550595E-4</v>
      </c>
      <c r="D4994" s="4">
        <v>2.1286502545199799E-3</v>
      </c>
      <c r="E4994" s="3" t="s">
        <v>13121</v>
      </c>
      <c r="F4994" s="3" t="s">
        <v>13122</v>
      </c>
      <c r="G4994" s="3">
        <v>74450</v>
      </c>
      <c r="H4994" s="7" t="str">
        <f>HYPERLINK("http://www.ensembl.org/Mus_musculus/Gene/Summary?db=core;g=ENSMUSG00000037514","ENSMUSG00000037514")</f>
        <v>ENSMUSG00000037514</v>
      </c>
      <c r="I4994" s="7" t="str">
        <f>HYPERLINK("http://www.informatics.jax.org/marker/MGI:1921700","MGI:1921700")</f>
        <v>MGI:1921700</v>
      </c>
      <c r="J4994" s="4" t="s">
        <v>12</v>
      </c>
    </row>
    <row r="4995" spans="1:10" x14ac:dyDescent="0.25">
      <c r="A4995" s="2">
        <v>760.68160981261803</v>
      </c>
      <c r="B4995" s="3">
        <v>-0.279868892275833</v>
      </c>
      <c r="C4995" s="5">
        <v>3.4078877855726399E-5</v>
      </c>
      <c r="D4995" s="4">
        <v>1.20826226414046E-4</v>
      </c>
      <c r="E4995" s="3" t="s">
        <v>11137</v>
      </c>
      <c r="F4995" s="3" t="s">
        <v>11138</v>
      </c>
      <c r="G4995" s="3">
        <v>56749</v>
      </c>
      <c r="H4995" s="7" t="str">
        <f>HYPERLINK("http://www.ensembl.org/Mus_musculus/Gene/Summary?db=core;g=ENSMUSG00000031730","ENSMUSG00000031730")</f>
        <v>ENSMUSG00000031730</v>
      </c>
      <c r="I4995" s="7" t="str">
        <f>HYPERLINK("http://www.informatics.jax.org/marker/MGI:1928378","MGI:1928378")</f>
        <v>MGI:1928378</v>
      </c>
      <c r="J4995" s="4" t="s">
        <v>12</v>
      </c>
    </row>
    <row r="4996" spans="1:10" x14ac:dyDescent="0.25">
      <c r="A4996" s="2">
        <v>505.93249457983302</v>
      </c>
      <c r="B4996" s="3">
        <v>-0.280015105793955</v>
      </c>
      <c r="C4996" s="3">
        <v>1.3480677297013301E-3</v>
      </c>
      <c r="D4996" s="4">
        <v>3.9007917284974601E-3</v>
      </c>
      <c r="E4996" s="3" t="s">
        <v>13639</v>
      </c>
      <c r="F4996" s="3" t="s">
        <v>13640</v>
      </c>
      <c r="G4996" s="3">
        <v>72972</v>
      </c>
      <c r="H4996" s="7" t="str">
        <f>HYPERLINK("http://www.ensembl.org/Mus_musculus/Gene/Summary?db=core;g=ENSMUSG00000058690","ENSMUSG00000058690")</f>
        <v>ENSMUSG00000058690</v>
      </c>
      <c r="I4996" s="7" t="str">
        <f>HYPERLINK("http://www.informatics.jax.org/marker/MGI:101859","MGI:101859")</f>
        <v>MGI:101859</v>
      </c>
      <c r="J4996" s="4" t="s">
        <v>12</v>
      </c>
    </row>
    <row r="4997" spans="1:10" x14ac:dyDescent="0.25">
      <c r="A4997" s="2">
        <v>369.23464684605398</v>
      </c>
      <c r="B4997" s="3">
        <v>-0.28040721122511503</v>
      </c>
      <c r="C4997" s="3">
        <v>2.4315516206452098E-3</v>
      </c>
      <c r="D4997" s="4">
        <v>6.7774131390987398E-3</v>
      </c>
      <c r="E4997" s="3" t="s">
        <v>14157</v>
      </c>
      <c r="F4997" s="3" t="s">
        <v>14158</v>
      </c>
      <c r="G4997" s="3">
        <v>73469</v>
      </c>
      <c r="H4997" s="7" t="str">
        <f>HYPERLINK("http://www.ensembl.org/Mus_musculus/Gene/Summary?db=core;g=ENSMUSG00000035696","ENSMUSG00000035696")</f>
        <v>ENSMUSG00000035696</v>
      </c>
      <c r="I4997" s="7" t="str">
        <f>HYPERLINK("http://www.informatics.jax.org/marker/MGI:1920719","MGI:1920719")</f>
        <v>MGI:1920719</v>
      </c>
      <c r="J4997" s="4" t="s">
        <v>12</v>
      </c>
    </row>
    <row r="4998" spans="1:10" x14ac:dyDescent="0.25">
      <c r="A4998" s="2">
        <v>466.93291958405501</v>
      </c>
      <c r="B4998" s="3">
        <v>-0.28048755266842501</v>
      </c>
      <c r="C4998" s="3">
        <v>3.7352800678560399E-3</v>
      </c>
      <c r="D4998" s="4">
        <v>1.01056006225986E-2</v>
      </c>
      <c r="E4998" s="3" t="s">
        <v>14581</v>
      </c>
      <c r="F4998" s="3" t="s">
        <v>14582</v>
      </c>
      <c r="G4998" s="3">
        <v>414801</v>
      </c>
      <c r="H4998" s="7" t="str">
        <f>HYPERLINK("http://www.ensembl.org/Mus_musculus/Gene/Summary?db=core;g=ENSMUSG00000117975","ENSMUSG00000117975")</f>
        <v>ENSMUSG00000117975</v>
      </c>
      <c r="I4998" s="7" t="str">
        <f>HYPERLINK("http://www.informatics.jax.org/marker/MGI:3042776","MGI:3042776")</f>
        <v>MGI:3042776</v>
      </c>
      <c r="J4998" s="4" t="s">
        <v>12</v>
      </c>
    </row>
    <row r="4999" spans="1:10" x14ac:dyDescent="0.25">
      <c r="A4999" s="2">
        <v>1161.7888188909501</v>
      </c>
      <c r="B4999" s="3">
        <v>-0.28099372576952403</v>
      </c>
      <c r="C4999" s="5">
        <v>1.5149192900551101E-6</v>
      </c>
      <c r="D4999" s="6">
        <v>6.1469564608820601E-6</v>
      </c>
      <c r="E4999" s="3" t="s">
        <v>9735</v>
      </c>
      <c r="F4999" s="3" t="s">
        <v>9736</v>
      </c>
      <c r="G4999" s="3">
        <v>224619</v>
      </c>
      <c r="H4999" s="7" t="str">
        <f>HYPERLINK("http://www.ensembl.org/Mus_musculus/Gene/Summary?db=core;g=ENSMUSG00000052752","ENSMUSG00000052752")</f>
        <v>ENSMUSG00000052752</v>
      </c>
      <c r="I4999" s="7" t="str">
        <f>HYPERLINK("http://www.informatics.jax.org/marker/MGI:3042141","MGI:3042141")</f>
        <v>MGI:3042141</v>
      </c>
      <c r="J4999" s="4" t="s">
        <v>12</v>
      </c>
    </row>
    <row r="5000" spans="1:10" x14ac:dyDescent="0.25">
      <c r="A5000" s="2">
        <v>1284.2255209392499</v>
      </c>
      <c r="B5000" s="3">
        <v>-0.281134783979897</v>
      </c>
      <c r="C5000" s="5">
        <v>3.2068381121624399E-6</v>
      </c>
      <c r="D5000" s="6">
        <v>1.26049128108119E-5</v>
      </c>
      <c r="E5000" s="3" t="s">
        <v>10050</v>
      </c>
      <c r="F5000" s="3" t="s">
        <v>10051</v>
      </c>
      <c r="G5000" s="3">
        <v>223770</v>
      </c>
      <c r="H5000" s="7" t="str">
        <f>HYPERLINK("http://www.ensembl.org/Mus_musculus/Gene/Summary?db=core;g=ENSMUSG00000022387","ENSMUSG00000022387")</f>
        <v>ENSMUSG00000022387</v>
      </c>
      <c r="I5000" s="7" t="str">
        <f>HYPERLINK("http://www.informatics.jax.org/marker/MGI:1924161","MGI:1924161")</f>
        <v>MGI:1924161</v>
      </c>
      <c r="J5000" s="4" t="s">
        <v>12</v>
      </c>
    </row>
    <row r="5001" spans="1:10" x14ac:dyDescent="0.25">
      <c r="A5001" s="2">
        <v>1078.7063343181801</v>
      </c>
      <c r="B5001" s="3">
        <v>-0.28153222390878002</v>
      </c>
      <c r="C5001" s="5">
        <v>4.8085334552396001E-8</v>
      </c>
      <c r="D5001" s="6">
        <v>2.2364216919180401E-7</v>
      </c>
      <c r="E5001" s="3" t="s">
        <v>8497</v>
      </c>
      <c r="F5001" s="3" t="s">
        <v>8498</v>
      </c>
      <c r="G5001" s="3">
        <v>69994</v>
      </c>
      <c r="H5001" s="7" t="str">
        <f>HYPERLINK("http://www.ensembl.org/Mus_musculus/Gene/Summary?db=core;g=ENSMUSG00000040715","ENSMUSG00000040715")</f>
        <v>ENSMUSG00000040715</v>
      </c>
      <c r="I5001" s="7" t="str">
        <f>HYPERLINK("http://www.informatics.jax.org/marker/MGI:3526447","MGI:3526447")</f>
        <v>MGI:3526447</v>
      </c>
      <c r="J5001" s="4" t="s">
        <v>12</v>
      </c>
    </row>
    <row r="5002" spans="1:10" x14ac:dyDescent="0.25">
      <c r="A5002" s="2">
        <v>3183.11597630492</v>
      </c>
      <c r="B5002" s="3">
        <v>-0.28181610279102098</v>
      </c>
      <c r="C5002" s="3">
        <v>2.4162142041832899E-3</v>
      </c>
      <c r="D5002" s="4">
        <v>6.7365678080721697E-3</v>
      </c>
      <c r="E5002" s="3" t="s">
        <v>14153</v>
      </c>
      <c r="F5002" s="3" t="s">
        <v>14154</v>
      </c>
      <c r="G5002" s="3">
        <v>17748</v>
      </c>
      <c r="H5002" s="7" t="str">
        <f>HYPERLINK("http://www.ensembl.org/Mus_musculus/Gene/Summary?db=core;g=ENSMUSG00000031765","ENSMUSG00000031765")</f>
        <v>ENSMUSG00000031765</v>
      </c>
      <c r="I5002" s="7" t="str">
        <f>HYPERLINK("http://www.informatics.jax.org/marker/MGI:97171","MGI:97171")</f>
        <v>MGI:97171</v>
      </c>
      <c r="J5002" s="4" t="s">
        <v>12</v>
      </c>
    </row>
    <row r="5003" spans="1:10" x14ac:dyDescent="0.25">
      <c r="A5003" s="2">
        <v>1551.2704770990499</v>
      </c>
      <c r="B5003" s="3">
        <v>-0.28191220662026401</v>
      </c>
      <c r="C5003" s="5">
        <v>7.62851119120453E-6</v>
      </c>
      <c r="D5003" s="6">
        <v>2.8979819050385899E-5</v>
      </c>
      <c r="E5003" s="3" t="s">
        <v>10396</v>
      </c>
      <c r="F5003" s="3" t="s">
        <v>10397</v>
      </c>
      <c r="G5003" s="3">
        <v>77034</v>
      </c>
      <c r="H5003" s="7" t="str">
        <f>HYPERLINK("http://www.ensembl.org/Mus_musculus/Gene/Summary?db=core;g=ENSMUSG00000044496","ENSMUSG00000044496")</f>
        <v>ENSMUSG00000044496</v>
      </c>
      <c r="I5003" s="7" t="str">
        <f>HYPERLINK("http://www.informatics.jax.org/marker/MGI:1924284","MGI:1924284")</f>
        <v>MGI:1924284</v>
      </c>
      <c r="J5003" s="4" t="s">
        <v>12</v>
      </c>
    </row>
    <row r="5004" spans="1:10" x14ac:dyDescent="0.25">
      <c r="A5004" s="2">
        <v>1073.53135643822</v>
      </c>
      <c r="B5004" s="3">
        <v>-0.28235678939715397</v>
      </c>
      <c r="C5004" s="3">
        <v>5.3001557717013395E-4</v>
      </c>
      <c r="D5004" s="4">
        <v>1.62585926820715E-3</v>
      </c>
      <c r="E5004" s="3" t="s">
        <v>12865</v>
      </c>
      <c r="F5004" s="3" t="s">
        <v>12866</v>
      </c>
      <c r="G5004" s="3">
        <v>69069</v>
      </c>
      <c r="H5004" s="7" t="str">
        <f>HYPERLINK("http://www.ensembl.org/Mus_musculus/Gene/Summary?db=core;g=ENSMUSG00000041707","ENSMUSG00000041707")</f>
        <v>ENSMUSG00000041707</v>
      </c>
      <c r="I5004" s="7" t="str">
        <f>HYPERLINK("http://www.informatics.jax.org/marker/MGI:1916319","MGI:1916319")</f>
        <v>MGI:1916319</v>
      </c>
      <c r="J5004" s="4" t="s">
        <v>12</v>
      </c>
    </row>
    <row r="5005" spans="1:10" x14ac:dyDescent="0.25">
      <c r="A5005" s="2">
        <v>394.207249426413</v>
      </c>
      <c r="B5005" s="3">
        <v>-0.28264442570309101</v>
      </c>
      <c r="C5005" s="3">
        <v>7.4854779888291001E-3</v>
      </c>
      <c r="D5005" s="4">
        <v>1.90739922392699E-2</v>
      </c>
      <c r="E5005" s="3" t="s">
        <v>15483</v>
      </c>
      <c r="F5005" s="3" t="s">
        <v>15484</v>
      </c>
      <c r="G5005" s="3">
        <v>67463</v>
      </c>
      <c r="H5005" s="7" t="str">
        <f>HYPERLINK("http://www.ensembl.org/Mus_musculus/Gene/Summary?db=core;g=ENSMUSG00000021671","ENSMUSG00000021671")</f>
        <v>ENSMUSG00000021671</v>
      </c>
      <c r="I5005" s="7" t="str">
        <f>HYPERLINK("http://www.informatics.jax.org/marker/MGI:1914713","MGI:1914713")</f>
        <v>MGI:1914713</v>
      </c>
      <c r="J5005" s="4" t="s">
        <v>12</v>
      </c>
    </row>
    <row r="5006" spans="1:10" x14ac:dyDescent="0.25">
      <c r="A5006" s="2">
        <v>782.396837099251</v>
      </c>
      <c r="B5006" s="3">
        <v>-0.282673303033245</v>
      </c>
      <c r="C5006" s="3">
        <v>5.7933462689697002E-3</v>
      </c>
      <c r="D5006" s="4">
        <v>1.51217456550738E-2</v>
      </c>
      <c r="E5006" s="3" t="s">
        <v>15114</v>
      </c>
      <c r="F5006" s="3" t="s">
        <v>15115</v>
      </c>
      <c r="G5006" s="3">
        <v>11789</v>
      </c>
      <c r="H5006" s="7" t="str">
        <f>HYPERLINK("http://www.ensembl.org/Mus_musculus/Gene/Summary?db=core;g=ENSMUSG00000005871","ENSMUSG00000005871")</f>
        <v>ENSMUSG00000005871</v>
      </c>
      <c r="I5006" s="7" t="str">
        <f>HYPERLINK("http://www.informatics.jax.org/marker/MGI:88039","MGI:88039")</f>
        <v>MGI:88039</v>
      </c>
      <c r="J5006" s="4" t="s">
        <v>12</v>
      </c>
    </row>
    <row r="5007" spans="1:10" x14ac:dyDescent="0.25">
      <c r="A5007" s="2">
        <v>1043.5066998935999</v>
      </c>
      <c r="B5007" s="3">
        <v>-0.28329781036461399</v>
      </c>
      <c r="C5007" s="3">
        <v>1.041985981107E-4</v>
      </c>
      <c r="D5007" s="4">
        <v>3.50887355659667E-4</v>
      </c>
      <c r="E5007" s="3" t="s">
        <v>11723</v>
      </c>
      <c r="F5007" s="3" t="s">
        <v>11724</v>
      </c>
      <c r="G5007" s="3">
        <v>15488</v>
      </c>
      <c r="H5007" s="7" t="str">
        <f>HYPERLINK("http://www.ensembl.org/Mus_musculus/Gene/Summary?db=core;g=ENSMUSG00000024507","ENSMUSG00000024507")</f>
        <v>ENSMUSG00000024507</v>
      </c>
      <c r="I5007" s="7" t="str">
        <f>HYPERLINK("http://www.informatics.jax.org/marker/MGI:105089","MGI:105089")</f>
        <v>MGI:105089</v>
      </c>
      <c r="J5007" s="4" t="s">
        <v>12</v>
      </c>
    </row>
    <row r="5008" spans="1:10" x14ac:dyDescent="0.25">
      <c r="A5008" s="2">
        <v>486.44908879760197</v>
      </c>
      <c r="B5008" s="3">
        <v>-0.28441428395207002</v>
      </c>
      <c r="C5008" s="5">
        <v>3.6799050775372498E-5</v>
      </c>
      <c r="D5008" s="4">
        <v>1.30096321493429E-4</v>
      </c>
      <c r="E5008" s="3" t="s">
        <v>11167</v>
      </c>
      <c r="F5008" s="3" t="s">
        <v>11168</v>
      </c>
      <c r="G5008" s="3">
        <v>12617</v>
      </c>
      <c r="H5008" s="7" t="str">
        <f>HYPERLINK("http://www.ensembl.org/Mus_musculus/Gene/Summary?db=core;g=ENSMUSG00000029253","ENSMUSG00000029253")</f>
        <v>ENSMUSG00000029253</v>
      </c>
      <c r="I5008" s="7" t="str">
        <f>HYPERLINK("http://www.informatics.jax.org/marker/MGI:99700","MGI:99700")</f>
        <v>MGI:99700</v>
      </c>
      <c r="J5008" s="4" t="s">
        <v>12</v>
      </c>
    </row>
    <row r="5009" spans="1:10" x14ac:dyDescent="0.25">
      <c r="A5009" s="2">
        <v>634.41479971436502</v>
      </c>
      <c r="B5009" s="3">
        <v>-0.28442437843548901</v>
      </c>
      <c r="C5009" s="5">
        <v>1.1272781338811999E-6</v>
      </c>
      <c r="D5009" s="6">
        <v>4.6370306216389896E-6</v>
      </c>
      <c r="E5009" s="3" t="s">
        <v>9603</v>
      </c>
      <c r="F5009" s="3" t="s">
        <v>9604</v>
      </c>
      <c r="G5009" s="3">
        <v>99889</v>
      </c>
      <c r="H5009" s="7" t="str">
        <f>HYPERLINK("http://www.ensembl.org/Mus_musculus/Gene/Summary?db=core;g=ENSMUSG00000102805","ENSMUSG00000102805")</f>
        <v>ENSMUSG00000102805</v>
      </c>
      <c r="I5009" s="7" t="str">
        <f>HYPERLINK("http://www.informatics.jax.org/marker/MGI:5610468","MGI:5610468")</f>
        <v>MGI:5610468</v>
      </c>
      <c r="J5009" s="4" t="s">
        <v>12</v>
      </c>
    </row>
    <row r="5010" spans="1:10" x14ac:dyDescent="0.25">
      <c r="A5010" s="2">
        <v>375.87109638029102</v>
      </c>
      <c r="B5010" s="3">
        <v>-0.28453043903629799</v>
      </c>
      <c r="C5010" s="5">
        <v>2.34660473138848E-5</v>
      </c>
      <c r="D5010" s="6">
        <v>8.4752830225239594E-5</v>
      </c>
      <c r="E5010" s="3" t="s">
        <v>10932</v>
      </c>
      <c r="F5010" s="3" t="s">
        <v>10933</v>
      </c>
      <c r="G5010" s="3">
        <v>76892</v>
      </c>
      <c r="H5010" s="7" t="str">
        <f>HYPERLINK("http://www.ensembl.org/Mus_musculus/Gene/Summary?db=core;g=ENSMUSG00000020521","ENSMUSG00000020521")</f>
        <v>ENSMUSG00000020521</v>
      </c>
      <c r="I5010" s="7" t="str">
        <f>HYPERLINK("http://www.informatics.jax.org/marker/MGI:1924142","MGI:1924142")</f>
        <v>MGI:1924142</v>
      </c>
      <c r="J5010" s="4" t="s">
        <v>12</v>
      </c>
    </row>
    <row r="5011" spans="1:10" x14ac:dyDescent="0.25">
      <c r="A5011" s="2">
        <v>1659.00773591896</v>
      </c>
      <c r="B5011" s="3">
        <v>-0.28479612466154203</v>
      </c>
      <c r="C5011" s="3">
        <v>2.1307732276589601E-2</v>
      </c>
      <c r="D5011" s="4">
        <v>4.9439755323490701E-2</v>
      </c>
      <c r="E5011" s="3" t="s">
        <v>17002</v>
      </c>
      <c r="F5011" s="3" t="s">
        <v>17003</v>
      </c>
      <c r="G5011" s="3">
        <v>12534</v>
      </c>
      <c r="H5011" s="7" t="str">
        <f>HYPERLINK("http://www.ensembl.org/Mus_musculus/Gene/Summary?db=core;g=ENSMUSG00000019942","ENSMUSG00000019942")</f>
        <v>ENSMUSG00000019942</v>
      </c>
      <c r="I5011" s="7" t="str">
        <f>HYPERLINK("http://www.informatics.jax.org/marker/MGI:88351","MGI:88351")</f>
        <v>MGI:88351</v>
      </c>
      <c r="J5011" s="4" t="s">
        <v>12</v>
      </c>
    </row>
    <row r="5012" spans="1:10" x14ac:dyDescent="0.25">
      <c r="A5012" s="2">
        <v>1228.7997595760201</v>
      </c>
      <c r="B5012" s="3">
        <v>-0.28507628136915097</v>
      </c>
      <c r="C5012" s="5">
        <v>6.13891623967636E-6</v>
      </c>
      <c r="D5012" s="6">
        <v>2.3497559830438201E-5</v>
      </c>
      <c r="E5012" s="3" t="s">
        <v>10318</v>
      </c>
      <c r="F5012" s="3" t="s">
        <v>10319</v>
      </c>
      <c r="G5012" s="3">
        <v>71330</v>
      </c>
      <c r="H5012" s="7" t="str">
        <f>HYPERLINK("http://www.ensembl.org/Mus_musculus/Gene/Summary?db=core;g=ENSMUSG00000035469","ENSMUSG00000035469")</f>
        <v>ENSMUSG00000035469</v>
      </c>
      <c r="I5012" s="7" t="str">
        <f>HYPERLINK("http://www.informatics.jax.org/marker/MGI:1918580","MGI:1918580")</f>
        <v>MGI:1918580</v>
      </c>
      <c r="J5012" s="4" t="s">
        <v>12</v>
      </c>
    </row>
    <row r="5013" spans="1:10" x14ac:dyDescent="0.25">
      <c r="A5013" s="2">
        <v>2082.4610778687802</v>
      </c>
      <c r="B5013" s="3">
        <v>-0.285200828040448</v>
      </c>
      <c r="C5013" s="5">
        <v>3.1364098075556899E-6</v>
      </c>
      <c r="D5013" s="6">
        <v>1.2352706491911E-5</v>
      </c>
      <c r="E5013" s="3" t="s">
        <v>10030</v>
      </c>
      <c r="F5013" s="3" t="s">
        <v>10031</v>
      </c>
      <c r="G5013" s="3">
        <v>15289</v>
      </c>
      <c r="H5013" s="7" t="str">
        <f>HYPERLINK("http://www.ensembl.org/Mus_musculus/Gene/Summary?db=core;g=ENSMUSG00000066551","ENSMUSG00000066551")</f>
        <v>ENSMUSG00000066551</v>
      </c>
      <c r="I5013" s="7" t="str">
        <f>HYPERLINK("http://www.informatics.jax.org/marker/MGI:96113","MGI:96113")</f>
        <v>MGI:96113</v>
      </c>
      <c r="J5013" s="4" t="s">
        <v>12</v>
      </c>
    </row>
    <row r="5014" spans="1:10" x14ac:dyDescent="0.25">
      <c r="A5014" s="2">
        <v>382.80862904874198</v>
      </c>
      <c r="B5014" s="3">
        <v>-0.28541451101151399</v>
      </c>
      <c r="C5014" s="3">
        <v>2.2896006964001599E-3</v>
      </c>
      <c r="D5014" s="4">
        <v>6.4043866287959196E-3</v>
      </c>
      <c r="E5014" s="3" t="s">
        <v>14107</v>
      </c>
      <c r="F5014" s="3" t="s">
        <v>14108</v>
      </c>
      <c r="G5014" s="3">
        <v>224617</v>
      </c>
      <c r="H5014" s="7" t="str">
        <f>HYPERLINK("http://www.ensembl.org/Mus_musculus/Gene/Summary?db=core;g=ENSMUSG00000036473","ENSMUSG00000036473")</f>
        <v>ENSMUSG00000036473</v>
      </c>
      <c r="I5014" s="7" t="str">
        <f>HYPERLINK("http://www.informatics.jax.org/marker/MGI:2443456","MGI:2443456")</f>
        <v>MGI:2443456</v>
      </c>
      <c r="J5014" s="4" t="s">
        <v>12</v>
      </c>
    </row>
    <row r="5015" spans="1:10" x14ac:dyDescent="0.25">
      <c r="A5015" s="2">
        <v>393.260980510769</v>
      </c>
      <c r="B5015" s="3">
        <v>-0.28559415292528201</v>
      </c>
      <c r="C5015" s="3">
        <v>2.4725412826508402E-4</v>
      </c>
      <c r="D5015" s="4">
        <v>7.93337359158388E-4</v>
      </c>
      <c r="E5015" s="3" t="s">
        <v>12303</v>
      </c>
      <c r="F5015" s="3" t="s">
        <v>12304</v>
      </c>
      <c r="G5015" s="3">
        <v>71986</v>
      </c>
      <c r="H5015" s="7" t="str">
        <f>HYPERLINK("http://www.ensembl.org/Mus_musculus/Gene/Summary?db=core;g=ENSMUSG00000045538","ENSMUSG00000045538")</f>
        <v>ENSMUSG00000045538</v>
      </c>
      <c r="I5015" s="7" t="str">
        <f>HYPERLINK("http://www.informatics.jax.org/marker/MGI:1919236","MGI:1919236")</f>
        <v>MGI:1919236</v>
      </c>
      <c r="J5015" s="4" t="s">
        <v>12</v>
      </c>
    </row>
    <row r="5016" spans="1:10" x14ac:dyDescent="0.25">
      <c r="A5016" s="2">
        <v>262.801138157357</v>
      </c>
      <c r="B5016" s="3">
        <v>-0.28576995559613799</v>
      </c>
      <c r="C5016" s="3">
        <v>8.7491506255086497E-4</v>
      </c>
      <c r="D5016" s="4">
        <v>2.6015266938333899E-3</v>
      </c>
      <c r="E5016" s="3" t="s">
        <v>13273</v>
      </c>
      <c r="F5016" s="3" t="s">
        <v>13274</v>
      </c>
      <c r="G5016" s="3">
        <v>244713</v>
      </c>
      <c r="H5016" s="7" t="str">
        <f>HYPERLINK("http://www.ensembl.org/Mus_musculus/Gene/Summary?db=core;g=ENSMUSG00000057551","ENSMUSG00000057551")</f>
        <v>ENSMUSG00000057551</v>
      </c>
      <c r="I5016" s="7" t="str">
        <f>HYPERLINK("http://www.informatics.jax.org/marker/MGI:107775","MGI:107775")</f>
        <v>MGI:107775</v>
      </c>
      <c r="J5016" s="4" t="s">
        <v>12</v>
      </c>
    </row>
    <row r="5017" spans="1:10" x14ac:dyDescent="0.25">
      <c r="A5017" s="2">
        <v>609.02756163545598</v>
      </c>
      <c r="B5017" s="3">
        <v>-0.285813313553824</v>
      </c>
      <c r="C5017" s="5">
        <v>3.1087830343548899E-5</v>
      </c>
      <c r="D5017" s="4">
        <v>1.10759171522093E-4</v>
      </c>
      <c r="E5017" s="3" t="s">
        <v>11082</v>
      </c>
      <c r="F5017" s="3" t="s">
        <v>11083</v>
      </c>
      <c r="G5017" s="3">
        <v>17527</v>
      </c>
      <c r="H5017" s="7" t="str">
        <f>HYPERLINK("http://www.ensembl.org/Mus_musculus/Gene/Summary?db=core;g=ENSMUSG00000107283","ENSMUSG00000107283")</f>
        <v>ENSMUSG00000107283</v>
      </c>
      <c r="I5017" s="7" t="str">
        <f>HYPERLINK("http://www.informatics.jax.org/marker/MGI:97138","MGI:97138")</f>
        <v>MGI:97138</v>
      </c>
      <c r="J5017" s="4" t="s">
        <v>12</v>
      </c>
    </row>
    <row r="5018" spans="1:10" x14ac:dyDescent="0.25">
      <c r="A5018" s="2">
        <v>428.79634768484698</v>
      </c>
      <c r="B5018" s="3">
        <v>-0.28581331544732702</v>
      </c>
      <c r="C5018" s="5">
        <v>6.5686932057128697E-5</v>
      </c>
      <c r="D5018" s="4">
        <v>2.2594563058897201E-4</v>
      </c>
      <c r="E5018" s="3" t="s">
        <v>11477</v>
      </c>
      <c r="F5018" s="3" t="s">
        <v>11478</v>
      </c>
      <c r="G5018" s="3">
        <v>235469</v>
      </c>
      <c r="H5018" s="7" t="str">
        <f>HYPERLINK("http://www.ensembl.org/Mus_musculus/Gene/Summary?db=core;g=ENSMUSG00000038535","ENSMUSG00000038535")</f>
        <v>ENSMUSG00000038535</v>
      </c>
      <c r="I5018" s="7" t="str">
        <f>HYPERLINK("http://www.informatics.jax.org/marker/MGI:2384583","MGI:2384583")</f>
        <v>MGI:2384583</v>
      </c>
      <c r="J5018" s="4" t="s">
        <v>12</v>
      </c>
    </row>
    <row r="5019" spans="1:10" x14ac:dyDescent="0.25">
      <c r="A5019" s="2">
        <v>2545.7783696782599</v>
      </c>
      <c r="B5019" s="3">
        <v>-0.28602139587770897</v>
      </c>
      <c r="C5019" s="5">
        <v>1.37393751661219E-7</v>
      </c>
      <c r="D5019" s="6">
        <v>6.1507486555261005E-7</v>
      </c>
      <c r="E5019" s="3" t="s">
        <v>8827</v>
      </c>
      <c r="F5019" s="3" t="s">
        <v>8828</v>
      </c>
      <c r="G5019" s="3">
        <v>66925</v>
      </c>
      <c r="H5019" s="7" t="str">
        <f>HYPERLINK("http://www.ensembl.org/Mus_musculus/Gene/Summary?db=core;g=ENSMUSG00000000171","ENSMUSG00000000171")</f>
        <v>ENSMUSG00000000171</v>
      </c>
      <c r="I5019" s="7" t="str">
        <f>HYPERLINK("http://www.informatics.jax.org/marker/MGI:1914175","MGI:1914175")</f>
        <v>MGI:1914175</v>
      </c>
      <c r="J5019" s="4" t="s">
        <v>12</v>
      </c>
    </row>
    <row r="5020" spans="1:10" x14ac:dyDescent="0.25">
      <c r="A5020" s="2">
        <v>238.109690262958</v>
      </c>
      <c r="B5020" s="3">
        <v>-0.28616263610228898</v>
      </c>
      <c r="C5020" s="3">
        <v>2.5907122407407201E-3</v>
      </c>
      <c r="D5020" s="4">
        <v>7.1834709487355198E-3</v>
      </c>
      <c r="E5020" s="3" t="s">
        <v>14231</v>
      </c>
      <c r="F5020" s="3" t="s">
        <v>14232</v>
      </c>
      <c r="G5020" s="3">
        <v>101513</v>
      </c>
      <c r="H5020" s="7" t="str">
        <f>HYPERLINK("http://www.ensembl.org/Mus_musculus/Gene/Summary?db=core;g=ENSMUSG00000025147","ENSMUSG00000025147")</f>
        <v>ENSMUSG00000025147</v>
      </c>
      <c r="I5020" s="7" t="str">
        <f>HYPERLINK("http://www.informatics.jax.org/marker/MGI:1919891","MGI:1919891")</f>
        <v>MGI:1919891</v>
      </c>
      <c r="J5020" s="4" t="s">
        <v>12</v>
      </c>
    </row>
    <row r="5021" spans="1:10" x14ac:dyDescent="0.25">
      <c r="A5021" s="2">
        <v>1034.596400511</v>
      </c>
      <c r="B5021" s="3">
        <v>-0.28655967082679001</v>
      </c>
      <c r="C5021" s="5">
        <v>2.9235864016653401E-6</v>
      </c>
      <c r="D5021" s="6">
        <v>1.15583648437932E-5</v>
      </c>
      <c r="E5021" s="3" t="s">
        <v>9992</v>
      </c>
      <c r="F5021" s="3" t="s">
        <v>9993</v>
      </c>
      <c r="G5021" s="3">
        <v>17827</v>
      </c>
      <c r="H5021" s="7" t="str">
        <f>HYPERLINK("http://www.ensembl.org/Mus_musculus/Gene/Summary?db=core;g=ENSMUSG00000064068","ENSMUSG00000064068")</f>
        <v>ENSMUSG00000064068</v>
      </c>
      <c r="I5021" s="7" t="str">
        <f>HYPERLINK("http://www.informatics.jax.org/marker/MGI:103025","MGI:103025")</f>
        <v>MGI:103025</v>
      </c>
      <c r="J5021" s="4" t="s">
        <v>12</v>
      </c>
    </row>
    <row r="5022" spans="1:10" x14ac:dyDescent="0.25">
      <c r="A5022" s="2">
        <v>563.29958807812</v>
      </c>
      <c r="B5022" s="3">
        <v>-0.28671030609909898</v>
      </c>
      <c r="C5022" s="3">
        <v>3.60030241664652E-4</v>
      </c>
      <c r="D5022" s="4">
        <v>1.12964142651184E-3</v>
      </c>
      <c r="E5022" s="3" t="s">
        <v>12583</v>
      </c>
      <c r="F5022" s="3" t="s">
        <v>12584</v>
      </c>
      <c r="G5022" s="3">
        <v>69662</v>
      </c>
      <c r="H5022" s="7" t="str">
        <f>HYPERLINK("http://www.ensembl.org/Mus_musculus/Gene/Summary?db=core;g=ENSMUSG00000050705","ENSMUSG00000050705")</f>
        <v>ENSMUSG00000050705</v>
      </c>
      <c r="I5022" s="7" t="str">
        <f>HYPERLINK("http://www.informatics.jax.org/marker/MGI:1916912","MGI:1916912")</f>
        <v>MGI:1916912</v>
      </c>
      <c r="J5022" s="4" t="s">
        <v>12</v>
      </c>
    </row>
    <row r="5023" spans="1:10" x14ac:dyDescent="0.25">
      <c r="A5023" s="2">
        <v>1089.8609380105199</v>
      </c>
      <c r="B5023" s="3">
        <v>-0.28672933840648201</v>
      </c>
      <c r="C5023" s="3">
        <v>2.13615361705963E-3</v>
      </c>
      <c r="D5023" s="4">
        <v>6.0084081198710504E-3</v>
      </c>
      <c r="E5023" s="3" t="s">
        <v>14029</v>
      </c>
      <c r="F5023" s="3" t="s">
        <v>14030</v>
      </c>
      <c r="G5023" s="3">
        <v>12286</v>
      </c>
      <c r="H5023" s="7" t="str">
        <f>HYPERLINK("http://www.ensembl.org/Mus_musculus/Gene/Summary?db=core;g=ENSMUSG00000034656","ENSMUSG00000034656")</f>
        <v>ENSMUSG00000034656</v>
      </c>
      <c r="I5023" s="7" t="str">
        <f>HYPERLINK("http://www.informatics.jax.org/marker/MGI:109482","MGI:109482")</f>
        <v>MGI:109482</v>
      </c>
      <c r="J5023" s="4" t="s">
        <v>12</v>
      </c>
    </row>
    <row r="5024" spans="1:10" x14ac:dyDescent="0.25">
      <c r="A5024" s="2">
        <v>2207.71852251665</v>
      </c>
      <c r="B5024" s="3">
        <v>-0.286945574703933</v>
      </c>
      <c r="C5024" s="5">
        <v>6.3256957715600597E-5</v>
      </c>
      <c r="D5024" s="4">
        <v>2.1800545371402399E-4</v>
      </c>
      <c r="E5024" s="3" t="s">
        <v>11455</v>
      </c>
      <c r="F5024" s="3" t="s">
        <v>11456</v>
      </c>
      <c r="G5024" s="3">
        <v>56462</v>
      </c>
      <c r="H5024" s="7" t="str">
        <f>HYPERLINK("http://www.ensembl.org/Mus_musculus/Gene/Summary?db=core;g=ENSMUSG00000024012","ENSMUSG00000024012")</f>
        <v>ENSMUSG00000024012</v>
      </c>
      <c r="I5024" s="7" t="str">
        <f>HYPERLINK("http://www.informatics.jax.org/marker/MGI:1929261","MGI:1929261")</f>
        <v>MGI:1929261</v>
      </c>
      <c r="J5024" s="4" t="s">
        <v>12</v>
      </c>
    </row>
    <row r="5025" spans="1:10" x14ac:dyDescent="0.25">
      <c r="A5025" s="2">
        <v>2446.87370814928</v>
      </c>
      <c r="B5025" s="3">
        <v>-0.28718576276455499</v>
      </c>
      <c r="C5025" s="5">
        <v>1.1078106137427E-8</v>
      </c>
      <c r="D5025" s="6">
        <v>5.4765668846843902E-8</v>
      </c>
      <c r="E5025" s="3" t="s">
        <v>7993</v>
      </c>
      <c r="F5025" s="3" t="s">
        <v>7994</v>
      </c>
      <c r="G5025" s="3">
        <v>231329</v>
      </c>
      <c r="H5025" s="7" t="str">
        <f>HYPERLINK("http://www.ensembl.org/Mus_musculus/Gene/Summary?db=core;g=ENSMUSG00000029250","ENSMUSG00000029250")</f>
        <v>ENSMUSG00000029250</v>
      </c>
      <c r="I5025" s="7" t="str">
        <f>HYPERLINK("http://www.informatics.jax.org/marker/MGI:2388280","MGI:2388280")</f>
        <v>MGI:2388280</v>
      </c>
      <c r="J5025" s="4" t="s">
        <v>12</v>
      </c>
    </row>
    <row r="5026" spans="1:10" x14ac:dyDescent="0.25">
      <c r="A5026" s="2">
        <v>179.66760648983299</v>
      </c>
      <c r="B5026" s="3">
        <v>-0.28723685583393099</v>
      </c>
      <c r="C5026" s="3">
        <v>1.94112871461068E-2</v>
      </c>
      <c r="D5026" s="4">
        <v>4.5451268406699899E-2</v>
      </c>
      <c r="E5026" s="3" t="s">
        <v>16848</v>
      </c>
      <c r="F5026" s="3" t="s">
        <v>16849</v>
      </c>
      <c r="G5026" s="3">
        <v>66274</v>
      </c>
      <c r="H5026" s="7" t="str">
        <f>HYPERLINK("http://www.ensembl.org/Mus_musculus/Gene/Summary?db=core;g=ENSMUSG00000072640","ENSMUSG00000072640")</f>
        <v>ENSMUSG00000072640</v>
      </c>
      <c r="I5026" s="7" t="str">
        <f>HYPERLINK("http://www.informatics.jax.org/marker/MGI:1913524","MGI:1913524")</f>
        <v>MGI:1913524</v>
      </c>
      <c r="J5026" s="4" t="s">
        <v>12</v>
      </c>
    </row>
    <row r="5027" spans="1:10" x14ac:dyDescent="0.25">
      <c r="A5027" s="2">
        <v>399.33721266289598</v>
      </c>
      <c r="B5027" s="3">
        <v>-0.28729018993383598</v>
      </c>
      <c r="C5027" s="3">
        <v>4.2099513994947E-4</v>
      </c>
      <c r="D5027" s="4">
        <v>1.3086418915201001E-3</v>
      </c>
      <c r="E5027" s="3" t="s">
        <v>12701</v>
      </c>
      <c r="F5027" s="3" t="s">
        <v>12702</v>
      </c>
      <c r="G5027" s="3">
        <v>66148</v>
      </c>
      <c r="H5027" s="7" t="str">
        <f>HYPERLINK("http://www.ensembl.org/Mus_musculus/Gene/Summary?db=core;g=ENSMUSG00000022013","ENSMUSG00000022013")</f>
        <v>ENSMUSG00000022013</v>
      </c>
      <c r="I5027" s="7" t="str">
        <f>HYPERLINK("http://www.informatics.jax.org/marker/MGI:1913398","MGI:1913398")</f>
        <v>MGI:1913398</v>
      </c>
      <c r="J5027" s="4" t="s">
        <v>12</v>
      </c>
    </row>
    <row r="5028" spans="1:10" x14ac:dyDescent="0.25">
      <c r="A5028" s="2">
        <v>1319.17681517392</v>
      </c>
      <c r="B5028" s="3">
        <v>-0.28740457483394699</v>
      </c>
      <c r="C5028" s="5">
        <v>5.5193577147826802E-6</v>
      </c>
      <c r="D5028" s="6">
        <v>2.1229127001270601E-5</v>
      </c>
      <c r="E5028" s="3" t="s">
        <v>10268</v>
      </c>
      <c r="F5028" s="3" t="s">
        <v>10269</v>
      </c>
      <c r="G5028" s="3">
        <v>26891</v>
      </c>
      <c r="H5028" s="7" t="str">
        <f>HYPERLINK("http://www.ensembl.org/Mus_musculus/Gene/Summary?db=core;g=ENSMUSG00000035297","ENSMUSG00000035297")</f>
        <v>ENSMUSG00000035297</v>
      </c>
      <c r="I5028" s="7" t="str">
        <f>HYPERLINK("http://www.informatics.jax.org/marker/MGI:1349414","MGI:1349414")</f>
        <v>MGI:1349414</v>
      </c>
      <c r="J5028" s="4" t="s">
        <v>12</v>
      </c>
    </row>
    <row r="5029" spans="1:10" x14ac:dyDescent="0.25">
      <c r="A5029" s="2">
        <v>289.27034625341599</v>
      </c>
      <c r="B5029" s="3">
        <v>-0.28766074381307599</v>
      </c>
      <c r="C5029" s="3">
        <v>1.6903012918135199E-3</v>
      </c>
      <c r="D5029" s="4">
        <v>4.8266350238289502E-3</v>
      </c>
      <c r="E5029" s="3" t="s">
        <v>13819</v>
      </c>
      <c r="F5029" s="3" t="s">
        <v>13820</v>
      </c>
      <c r="G5029" s="3">
        <v>170472</v>
      </c>
      <c r="H5029" s="7" t="str">
        <f>HYPERLINK("http://www.ensembl.org/Mus_musculus/Gene/Summary?db=core;g=ENSMUSG00000020752","ENSMUSG00000020752")</f>
        <v>ENSMUSG00000020752</v>
      </c>
      <c r="I5029" s="7" t="str">
        <f>HYPERLINK("http://www.informatics.jax.org/marker/MGI:2156841","MGI:2156841")</f>
        <v>MGI:2156841</v>
      </c>
      <c r="J5029" s="4" t="s">
        <v>12</v>
      </c>
    </row>
    <row r="5030" spans="1:10" x14ac:dyDescent="0.25">
      <c r="A5030" s="2">
        <v>455.81747146943002</v>
      </c>
      <c r="B5030" s="3">
        <v>-0.28779781244824698</v>
      </c>
      <c r="C5030" s="3">
        <v>1.42553092101787E-3</v>
      </c>
      <c r="D5030" s="4">
        <v>4.1104649455289497E-3</v>
      </c>
      <c r="E5030" s="3" t="s">
        <v>13687</v>
      </c>
      <c r="F5030" s="3" t="s">
        <v>13688</v>
      </c>
      <c r="G5030" s="3">
        <v>56395</v>
      </c>
      <c r="H5030" s="7" t="str">
        <f>HYPERLINK("http://www.ensembl.org/Mus_musculus/Gene/Summary?db=core;g=ENSMUSG00000010045","ENSMUSG00000010045")</f>
        <v>ENSMUSG00000010045</v>
      </c>
      <c r="I5030" s="7" t="str">
        <f>HYPERLINK("http://www.informatics.jax.org/marker/MGI:1930765","MGI:1930765")</f>
        <v>MGI:1930765</v>
      </c>
      <c r="J5030" s="4" t="s">
        <v>12</v>
      </c>
    </row>
    <row r="5031" spans="1:10" x14ac:dyDescent="0.25">
      <c r="A5031" s="2">
        <v>165.54378390384301</v>
      </c>
      <c r="B5031" s="3">
        <v>-0.28797867786619702</v>
      </c>
      <c r="C5031" s="3">
        <v>8.5782640332268192E-3</v>
      </c>
      <c r="D5031" s="4">
        <v>2.1601757979215E-2</v>
      </c>
      <c r="E5031" s="3" t="s">
        <v>15667</v>
      </c>
      <c r="F5031" s="3" t="s">
        <v>15668</v>
      </c>
      <c r="G5031" s="3">
        <v>108012</v>
      </c>
      <c r="H5031" s="7" t="str">
        <f>HYPERLINK("http://www.ensembl.org/Mus_musculus/Gene/Summary?db=core;g=ENSMUSG00000031367","ENSMUSG00000031367")</f>
        <v>ENSMUSG00000031367</v>
      </c>
      <c r="I5031" s="7" t="str">
        <f>HYPERLINK("http://www.informatics.jax.org/marker/MGI:1889383","MGI:1889383")</f>
        <v>MGI:1889383</v>
      </c>
      <c r="J5031" s="4" t="s">
        <v>12</v>
      </c>
    </row>
    <row r="5032" spans="1:10" x14ac:dyDescent="0.25">
      <c r="A5032" s="2">
        <v>219.013295207292</v>
      </c>
      <c r="B5032" s="3">
        <v>-0.28802397624739801</v>
      </c>
      <c r="C5032" s="3">
        <v>2.4296449394325499E-3</v>
      </c>
      <c r="D5032" s="4">
        <v>6.7730560087093401E-3</v>
      </c>
      <c r="E5032" s="3" t="s">
        <v>14155</v>
      </c>
      <c r="F5032" s="3" t="s">
        <v>14156</v>
      </c>
      <c r="G5032" s="3">
        <v>22704</v>
      </c>
      <c r="H5032" s="7" t="str">
        <f>HYPERLINK("http://www.ensembl.org/Mus_musculus/Gene/Summary?db=core;g=ENSMUSG00000051351","ENSMUSG00000051351")</f>
        <v>ENSMUSG00000051351</v>
      </c>
      <c r="I5032" s="7" t="str">
        <f>HYPERLINK("http://www.informatics.jax.org/marker/MGI:99192","MGI:99192")</f>
        <v>MGI:99192</v>
      </c>
      <c r="J5032" s="4" t="s">
        <v>12</v>
      </c>
    </row>
    <row r="5033" spans="1:10" x14ac:dyDescent="0.25">
      <c r="A5033" s="2">
        <v>205.97619590286001</v>
      </c>
      <c r="B5033" s="3">
        <v>-0.288032146105489</v>
      </c>
      <c r="C5033" s="3">
        <v>4.5750327712604198E-3</v>
      </c>
      <c r="D5033" s="4">
        <v>1.21786779494135E-2</v>
      </c>
      <c r="E5033" s="3" t="s">
        <v>14820</v>
      </c>
      <c r="F5033" s="3" t="s">
        <v>14821</v>
      </c>
      <c r="G5033" s="3">
        <v>231326</v>
      </c>
      <c r="H5033" s="7" t="str">
        <f>HYPERLINK("http://www.ensembl.org/Mus_musculus/Gene/Summary?db=core;g=ENSMUSG00000055923","ENSMUSG00000055923")</f>
        <v>ENSMUSG00000055923</v>
      </c>
      <c r="I5033" s="7" t="str">
        <f>HYPERLINK("http://www.informatics.jax.org/marker/MGI:2442517","MGI:2442517")</f>
        <v>MGI:2442517</v>
      </c>
      <c r="J5033" s="4" t="s">
        <v>12</v>
      </c>
    </row>
    <row r="5034" spans="1:10" x14ac:dyDescent="0.25">
      <c r="A5034" s="2">
        <v>2474.144002643</v>
      </c>
      <c r="B5034" s="3">
        <v>-0.28820189994469497</v>
      </c>
      <c r="C5034" s="5">
        <v>3.1410624321684901E-6</v>
      </c>
      <c r="D5034" s="6">
        <v>1.23685605356155E-5</v>
      </c>
      <c r="E5034" s="3" t="s">
        <v>10032</v>
      </c>
      <c r="F5034" s="3" t="s">
        <v>10033</v>
      </c>
      <c r="G5034" s="3">
        <v>69860</v>
      </c>
      <c r="H5034" s="7" t="str">
        <f>HYPERLINK("http://www.ensembl.org/Mus_musculus/Gene/Summary?db=core;g=ENSMUSG00000024841","ENSMUSG00000024841")</f>
        <v>ENSMUSG00000024841</v>
      </c>
      <c r="I5034" s="7" t="str">
        <f>HYPERLINK("http://www.informatics.jax.org/marker/MGI:1917110","MGI:1917110")</f>
        <v>MGI:1917110</v>
      </c>
      <c r="J5034" s="4" t="s">
        <v>12</v>
      </c>
    </row>
    <row r="5035" spans="1:10" x14ac:dyDescent="0.25">
      <c r="A5035" s="2">
        <v>267.42710186468997</v>
      </c>
      <c r="B5035" s="3">
        <v>-0.28838196192323501</v>
      </c>
      <c r="C5035" s="3">
        <v>4.1087206158627199E-3</v>
      </c>
      <c r="D5035" s="4">
        <v>1.10432016552832E-2</v>
      </c>
      <c r="E5035" s="3" t="s">
        <v>14677</v>
      </c>
      <c r="F5035" s="3" t="s">
        <v>14678</v>
      </c>
      <c r="G5035" s="3">
        <v>15278</v>
      </c>
      <c r="H5035" s="7" t="str">
        <f>HYPERLINK("http://www.ensembl.org/Mus_musculus/Gene/Summary?db=core;g=ENSMUSG00000026492","ENSMUSG00000026492")</f>
        <v>ENSMUSG00000026492</v>
      </c>
      <c r="I5035" s="7" t="str">
        <f>HYPERLINK("http://www.informatics.jax.org/marker/MGI:107937","MGI:107937")</f>
        <v>MGI:107937</v>
      </c>
      <c r="J5035" s="4" t="s">
        <v>12</v>
      </c>
    </row>
    <row r="5036" spans="1:10" x14ac:dyDescent="0.25">
      <c r="A5036" s="2">
        <v>1247.41220238395</v>
      </c>
      <c r="B5036" s="3">
        <v>-0.288956407396527</v>
      </c>
      <c r="C5036" s="5">
        <v>1.8914584129657701E-10</v>
      </c>
      <c r="D5036" s="6">
        <v>1.0758453967027699E-9</v>
      </c>
      <c r="E5036" s="3" t="s">
        <v>6952</v>
      </c>
      <c r="F5036" s="3" t="s">
        <v>6953</v>
      </c>
      <c r="G5036" s="3">
        <v>56705</v>
      </c>
      <c r="H5036" s="7" t="str">
        <f>HYPERLINK("http://www.ensembl.org/Mus_musculus/Gene/Summary?db=core;g=ENSMUSG00000038546","ENSMUSG00000038546")</f>
        <v>ENSMUSG00000038546</v>
      </c>
      <c r="I5036" s="7" t="str">
        <f>HYPERLINK("http://www.informatics.jax.org/marker/MGI:1928741","MGI:1928741")</f>
        <v>MGI:1928741</v>
      </c>
      <c r="J5036" s="4" t="s">
        <v>12</v>
      </c>
    </row>
    <row r="5037" spans="1:10" x14ac:dyDescent="0.25">
      <c r="A5037" s="2">
        <v>2120.5846142343698</v>
      </c>
      <c r="B5037" s="3">
        <v>-0.28898522268411803</v>
      </c>
      <c r="C5037" s="5">
        <v>5.3690662335453399E-5</v>
      </c>
      <c r="D5037" s="4">
        <v>1.86569138547161E-4</v>
      </c>
      <c r="E5037" s="3" t="s">
        <v>11361</v>
      </c>
      <c r="F5037" s="3" t="s">
        <v>11362</v>
      </c>
      <c r="G5037" s="3">
        <v>68539</v>
      </c>
      <c r="H5037" s="7" t="str">
        <f>HYPERLINK("http://www.ensembl.org/Mus_musculus/Gene/Summary?db=core;g=ENSMUSG00000034659","ENSMUSG00000034659")</f>
        <v>ENSMUSG00000034659</v>
      </c>
      <c r="I5037" s="7" t="str">
        <f>HYPERLINK("http://www.informatics.jax.org/marker/MGI:1915789","MGI:1915789")</f>
        <v>MGI:1915789</v>
      </c>
      <c r="J5037" s="4" t="s">
        <v>12</v>
      </c>
    </row>
    <row r="5038" spans="1:10" x14ac:dyDescent="0.25">
      <c r="A5038" s="2">
        <v>348.87922202949898</v>
      </c>
      <c r="B5038" s="3">
        <v>-0.28902409182734001</v>
      </c>
      <c r="C5038" s="5">
        <v>5.0647923029306401E-5</v>
      </c>
      <c r="D5038" s="4">
        <v>1.7640004276544001E-4</v>
      </c>
      <c r="E5038" s="3" t="s">
        <v>11335</v>
      </c>
      <c r="F5038" s="3" t="s">
        <v>11336</v>
      </c>
      <c r="G5038" s="3">
        <v>217707</v>
      </c>
      <c r="H5038" s="7" t="str">
        <f>HYPERLINK("http://www.ensembl.org/Mus_musculus/Gene/Summary?db=core;g=ENSMUSG00000021235","ENSMUSG00000021235")</f>
        <v>ENSMUSG00000021235</v>
      </c>
      <c r="I5038" s="7" t="str">
        <f>HYPERLINK("http://www.informatics.jax.org/marker/MGI:1924408","MGI:1924408")</f>
        <v>MGI:1924408</v>
      </c>
      <c r="J5038" s="4" t="s">
        <v>12</v>
      </c>
    </row>
    <row r="5039" spans="1:10" x14ac:dyDescent="0.25">
      <c r="A5039" s="2">
        <v>1027.9880919663999</v>
      </c>
      <c r="B5039" s="3">
        <v>-0.29002988671600399</v>
      </c>
      <c r="C5039" s="5">
        <v>4.3232397140938899E-9</v>
      </c>
      <c r="D5039" s="6">
        <v>2.20751649823748E-8</v>
      </c>
      <c r="E5039" s="3" t="s">
        <v>7740</v>
      </c>
      <c r="F5039" s="3" t="s">
        <v>7741</v>
      </c>
      <c r="G5039" s="3">
        <v>108086</v>
      </c>
      <c r="H5039" s="7" t="str">
        <f>HYPERLINK("http://www.ensembl.org/Mus_musculus/Gene/Summary?db=core;g=ENSMUSG00000045078","ENSMUSG00000045078")</f>
        <v>ENSMUSG00000045078</v>
      </c>
      <c r="I5039" s="7" t="str">
        <f>HYPERLINK("http://www.informatics.jax.org/marker/MGI:1344349","MGI:1344349")</f>
        <v>MGI:1344349</v>
      </c>
      <c r="J5039" s="4" t="s">
        <v>12</v>
      </c>
    </row>
    <row r="5040" spans="1:10" x14ac:dyDescent="0.25">
      <c r="A5040" s="2">
        <v>202.62655213802</v>
      </c>
      <c r="B5040" s="3">
        <v>-0.29004910570780401</v>
      </c>
      <c r="C5040" s="3">
        <v>4.1655830498921803E-3</v>
      </c>
      <c r="D5040" s="4">
        <v>1.11807945751836E-2</v>
      </c>
      <c r="E5040" s="3" t="s">
        <v>14698</v>
      </c>
      <c r="F5040" s="3" t="s">
        <v>14699</v>
      </c>
      <c r="G5040" s="3">
        <v>27261</v>
      </c>
      <c r="H5040" s="7" t="str">
        <f>HYPERLINK("http://www.ensembl.org/Mus_musculus/Gene/Summary?db=core;g=ENSMUSG00000035711","ENSMUSG00000035711")</f>
        <v>ENSMUSG00000035711</v>
      </c>
      <c r="I5040" s="7" t="str">
        <f>HYPERLINK("http://www.informatics.jax.org/marker/MGI:1351490","MGI:1351490")</f>
        <v>MGI:1351490</v>
      </c>
      <c r="J5040" s="4" t="s">
        <v>12</v>
      </c>
    </row>
    <row r="5041" spans="1:10" x14ac:dyDescent="0.25">
      <c r="A5041" s="2">
        <v>434.70423941004901</v>
      </c>
      <c r="B5041" s="3">
        <v>-0.29063741959497102</v>
      </c>
      <c r="C5041" s="5">
        <v>6.1244153341170299E-5</v>
      </c>
      <c r="D5041" s="4">
        <v>2.1132715728571801E-4</v>
      </c>
      <c r="E5041" s="3" t="s">
        <v>11441</v>
      </c>
      <c r="F5041" s="3" t="s">
        <v>11442</v>
      </c>
      <c r="G5041" s="3">
        <v>30947</v>
      </c>
      <c r="H5041" s="7" t="str">
        <f>HYPERLINK("http://www.ensembl.org/Mus_musculus/Gene/Summary?db=core;g=ENSMUSG00000031949","ENSMUSG00000031949")</f>
        <v>ENSMUSG00000031949</v>
      </c>
      <c r="I5041" s="7" t="str">
        <f>HYPERLINK("http://www.informatics.jax.org/marker/MGI:1353631","MGI:1353631")</f>
        <v>MGI:1353631</v>
      </c>
      <c r="J5041" s="4" t="s">
        <v>12</v>
      </c>
    </row>
    <row r="5042" spans="1:10" x14ac:dyDescent="0.25">
      <c r="A5042" s="2">
        <v>299.63056680094502</v>
      </c>
      <c r="B5042" s="3">
        <v>-0.29094274156438399</v>
      </c>
      <c r="C5042" s="3">
        <v>5.4748579243020696E-4</v>
      </c>
      <c r="D5042" s="4">
        <v>1.6772440308721001E-3</v>
      </c>
      <c r="E5042" s="3" t="s">
        <v>12883</v>
      </c>
      <c r="F5042" s="3" t="s">
        <v>12884</v>
      </c>
      <c r="G5042" s="3">
        <v>64291</v>
      </c>
      <c r="H5042" s="7" t="str">
        <f>HYPERLINK("http://www.ensembl.org/Mus_musculus/Gene/Summary?db=core;g=ENSMUSG00000044252","ENSMUSG00000044252")</f>
        <v>ENSMUSG00000044252</v>
      </c>
      <c r="I5042" s="7" t="str">
        <f>HYPERLINK("http://www.informatics.jax.org/marker/MGI:1927551","MGI:1927551")</f>
        <v>MGI:1927551</v>
      </c>
      <c r="J5042" s="4" t="s">
        <v>12</v>
      </c>
    </row>
    <row r="5043" spans="1:10" x14ac:dyDescent="0.25">
      <c r="A5043" s="2">
        <v>179.91489259740001</v>
      </c>
      <c r="B5043" s="3">
        <v>-0.29099358556362398</v>
      </c>
      <c r="C5043" s="3">
        <v>1.99357100864331E-3</v>
      </c>
      <c r="D5043" s="4">
        <v>5.63147031652081E-3</v>
      </c>
      <c r="E5043" s="3" t="s">
        <v>13969</v>
      </c>
      <c r="F5043" s="3" t="s">
        <v>13970</v>
      </c>
      <c r="G5043" s="3">
        <v>233890</v>
      </c>
      <c r="H5043" s="7" t="str">
        <f>HYPERLINK("http://www.ensembl.org/Mus_musculus/Gene/Summary?db=core;g=ENSMUSG00000047371","ENSMUSG00000047371")</f>
        <v>ENSMUSG00000047371</v>
      </c>
      <c r="I5043" s="7" t="str">
        <f>HYPERLINK("http://www.informatics.jax.org/marker/MGI:2384582","MGI:2384582")</f>
        <v>MGI:2384582</v>
      </c>
      <c r="J5043" s="4" t="s">
        <v>12</v>
      </c>
    </row>
    <row r="5044" spans="1:10" x14ac:dyDescent="0.25">
      <c r="A5044" s="2">
        <v>1301.82952071916</v>
      </c>
      <c r="B5044" s="3">
        <v>-0.29111335946555</v>
      </c>
      <c r="C5044" s="5">
        <v>3.4596778990610602E-5</v>
      </c>
      <c r="D5044" s="4">
        <v>1.22574287045426E-4</v>
      </c>
      <c r="E5044" s="3" t="s">
        <v>11145</v>
      </c>
      <c r="F5044" s="3" t="s">
        <v>11146</v>
      </c>
      <c r="G5044" s="3">
        <v>97487</v>
      </c>
      <c r="H5044" s="7" t="str">
        <f>HYPERLINK("http://www.ensembl.org/Mus_musculus/Gene/Summary?db=core;g=ENSMUSG00000096188","ENSMUSG00000096188")</f>
        <v>ENSMUSG00000096188</v>
      </c>
      <c r="I5044" s="7" t="str">
        <f>HYPERLINK("http://www.informatics.jax.org/marker/MGI:2142888","MGI:2142888")</f>
        <v>MGI:2142888</v>
      </c>
      <c r="J5044" s="4" t="s">
        <v>12</v>
      </c>
    </row>
    <row r="5045" spans="1:10" x14ac:dyDescent="0.25">
      <c r="A5045" s="2">
        <v>153.28595900547899</v>
      </c>
      <c r="B5045" s="3">
        <v>-0.29135000875473199</v>
      </c>
      <c r="C5045" s="3">
        <v>1.6152455736707198E-2</v>
      </c>
      <c r="D5045" s="4">
        <v>3.8500064464678303E-2</v>
      </c>
      <c r="E5045" s="3" t="s">
        <v>16550</v>
      </c>
      <c r="F5045" s="3" t="s">
        <v>16551</v>
      </c>
      <c r="G5045" s="3">
        <v>93706</v>
      </c>
      <c r="H5045" s="7" t="str">
        <f>HYPERLINK("http://www.ensembl.org/Mus_musculus/Gene/Summary?db=core;g=ENSMUSG00000102918","ENSMUSG00000102918")</f>
        <v>ENSMUSG00000102918</v>
      </c>
      <c r="I5045" s="7" t="str">
        <f>HYPERLINK("http://www.informatics.jax.org/marker/MGI:1935201","MGI:1935201")</f>
        <v>MGI:1935201</v>
      </c>
      <c r="J5045" s="4" t="s">
        <v>12</v>
      </c>
    </row>
    <row r="5046" spans="1:10" x14ac:dyDescent="0.25">
      <c r="A5046" s="2">
        <v>423.63875354362102</v>
      </c>
      <c r="B5046" s="3">
        <v>-0.291359205288648</v>
      </c>
      <c r="C5046" s="3">
        <v>6.13677612952515E-4</v>
      </c>
      <c r="D5046" s="4">
        <v>1.8663976754200501E-3</v>
      </c>
      <c r="E5046" s="3" t="s">
        <v>12977</v>
      </c>
      <c r="F5046" s="3" t="s">
        <v>12978</v>
      </c>
      <c r="G5046" s="3">
        <v>56367</v>
      </c>
      <c r="H5046" s="7" t="str">
        <f>HYPERLINK("http://www.ensembl.org/Mus_musculus/Gene/Summary?db=core;g=ENSMUSG00000063253","ENSMUSG00000063253")</f>
        <v>ENSMUSG00000063253</v>
      </c>
      <c r="I5046" s="7" t="str">
        <f>HYPERLINK("http://www.informatics.jax.org/marker/MGI:1927654","MGI:1927654")</f>
        <v>MGI:1927654</v>
      </c>
      <c r="J5046" s="4" t="s">
        <v>12</v>
      </c>
    </row>
    <row r="5047" spans="1:10" x14ac:dyDescent="0.25">
      <c r="A5047" s="2">
        <v>1926.7443578652901</v>
      </c>
      <c r="B5047" s="3">
        <v>-0.29150227566213899</v>
      </c>
      <c r="C5047" s="5">
        <v>6.7573830970278397E-7</v>
      </c>
      <c r="D5047" s="6">
        <v>2.84430298128899E-6</v>
      </c>
      <c r="E5047" s="3" t="s">
        <v>9385</v>
      </c>
      <c r="F5047" s="3" t="s">
        <v>9386</v>
      </c>
      <c r="G5047" s="3">
        <v>13018</v>
      </c>
      <c r="H5047" s="7" t="str">
        <f>HYPERLINK("http://www.ensembl.org/Mus_musculus/Gene/Summary?db=core;g=ENSMUSG00000005698","ENSMUSG00000005698")</f>
        <v>ENSMUSG00000005698</v>
      </c>
      <c r="I5047" s="7" t="str">
        <f>HYPERLINK("http://www.informatics.jax.org/marker/MGI:109447","MGI:109447")</f>
        <v>MGI:109447</v>
      </c>
      <c r="J5047" s="4" t="s">
        <v>12</v>
      </c>
    </row>
    <row r="5048" spans="1:10" x14ac:dyDescent="0.25">
      <c r="A5048" s="2">
        <v>1312.7815520295501</v>
      </c>
      <c r="B5048" s="3">
        <v>-0.291513303780425</v>
      </c>
      <c r="C5048" s="5">
        <v>2.89230293265941E-8</v>
      </c>
      <c r="D5048" s="6">
        <v>1.37469785085668E-7</v>
      </c>
      <c r="E5048" s="3" t="s">
        <v>8315</v>
      </c>
      <c r="F5048" s="3" t="s">
        <v>8316</v>
      </c>
      <c r="G5048" s="3">
        <v>66147</v>
      </c>
      <c r="H5048" s="7" t="str">
        <f>HYPERLINK("http://www.ensembl.org/Mus_musculus/Gene/Summary?db=core;g=ENSMUSG00000028923","ENSMUSG00000028923")</f>
        <v>ENSMUSG00000028923</v>
      </c>
      <c r="I5048" s="7" t="str">
        <f>HYPERLINK("http://www.informatics.jax.org/marker/MGI:1913397","MGI:1913397")</f>
        <v>MGI:1913397</v>
      </c>
      <c r="J5048" s="4" t="s">
        <v>12</v>
      </c>
    </row>
    <row r="5049" spans="1:10" x14ac:dyDescent="0.25">
      <c r="A5049" s="2">
        <v>462.00988276475698</v>
      </c>
      <c r="B5049" s="3">
        <v>-0.29162218221250502</v>
      </c>
      <c r="C5049" s="3">
        <v>8.7188542921376507E-3</v>
      </c>
      <c r="D5049" s="4">
        <v>2.1938982600606699E-2</v>
      </c>
      <c r="E5049" s="3" t="s">
        <v>15679</v>
      </c>
      <c r="F5049" s="3" t="s">
        <v>15680</v>
      </c>
      <c r="G5049" s="3">
        <v>72461</v>
      </c>
      <c r="H5049" s="7" t="str">
        <f>HYPERLINK("http://www.ensembl.org/Mus_musculus/Gene/Summary?db=core;g=ENSMUSG00000061119","ENSMUSG00000061119")</f>
        <v>ENSMUSG00000061119</v>
      </c>
      <c r="I5049" s="7" t="str">
        <f>HYPERLINK("http://www.informatics.jax.org/marker/MGI:1919711","MGI:1919711")</f>
        <v>MGI:1919711</v>
      </c>
      <c r="J5049" s="4" t="s">
        <v>12</v>
      </c>
    </row>
    <row r="5050" spans="1:10" x14ac:dyDescent="0.25">
      <c r="A5050" s="2">
        <v>1754.97785295775</v>
      </c>
      <c r="B5050" s="3">
        <v>-0.29179701569768801</v>
      </c>
      <c r="C5050" s="3">
        <v>9.75171324097942E-4</v>
      </c>
      <c r="D5050" s="4">
        <v>2.8783682848692398E-3</v>
      </c>
      <c r="E5050" s="3" t="s">
        <v>13371</v>
      </c>
      <c r="F5050" s="3" t="s">
        <v>13372</v>
      </c>
      <c r="G5050" s="3">
        <v>15441</v>
      </c>
      <c r="H5050" s="7" t="str">
        <f>HYPERLINK("http://www.ensembl.org/Mus_musculus/Gene/Summary?db=core;g=ENSMUSG00000028759","ENSMUSG00000028759")</f>
        <v>ENSMUSG00000028759</v>
      </c>
      <c r="I5050" s="7" t="str">
        <f>HYPERLINK("http://www.informatics.jax.org/marker/MGI:109369","MGI:109369")</f>
        <v>MGI:109369</v>
      </c>
      <c r="J5050" s="4" t="s">
        <v>12</v>
      </c>
    </row>
    <row r="5051" spans="1:10" x14ac:dyDescent="0.25">
      <c r="A5051" s="2">
        <v>369.275614843119</v>
      </c>
      <c r="B5051" s="3">
        <v>-0.29183621167053903</v>
      </c>
      <c r="C5051" s="5">
        <v>4.3531209950930997E-5</v>
      </c>
      <c r="D5051" s="4">
        <v>1.5255650617244701E-4</v>
      </c>
      <c r="E5051" s="3" t="s">
        <v>11265</v>
      </c>
      <c r="F5051" s="3" t="s">
        <v>11266</v>
      </c>
      <c r="G5051" s="3">
        <v>56805</v>
      </c>
      <c r="H5051" s="7" t="str">
        <f>HYPERLINK("http://www.ensembl.org/Mus_musculus/Gene/Summary?db=core;g=ENSMUSG00000048047","ENSMUSG00000048047")</f>
        <v>ENSMUSG00000048047</v>
      </c>
      <c r="I5051" s="7" t="str">
        <f>HYPERLINK("http://www.informatics.jax.org/marker/MGI:1927290","MGI:1927290")</f>
        <v>MGI:1927290</v>
      </c>
      <c r="J5051" s="4" t="s">
        <v>12</v>
      </c>
    </row>
    <row r="5052" spans="1:10" x14ac:dyDescent="0.25">
      <c r="A5052" s="2">
        <v>622.52859739006601</v>
      </c>
      <c r="B5052" s="3">
        <v>-0.29190738993548299</v>
      </c>
      <c r="C5052" s="5">
        <v>1.1980398380077401E-6</v>
      </c>
      <c r="D5052" s="6">
        <v>4.9198970440467799E-6</v>
      </c>
      <c r="E5052" s="3" t="s">
        <v>9619</v>
      </c>
      <c r="F5052" s="3" t="s">
        <v>9620</v>
      </c>
      <c r="G5052" s="3">
        <v>94223</v>
      </c>
      <c r="H5052" s="7" t="str">
        <f>HYPERLINK("http://www.ensembl.org/Mus_musculus/Gene/Summary?db=core;g=ENSMUSG00000022718","ENSMUSG00000022718")</f>
        <v>ENSMUSG00000022718</v>
      </c>
      <c r="I5052" s="7" t="str">
        <f>HYPERLINK("http://www.informatics.jax.org/marker/MGI:2151114","MGI:2151114")</f>
        <v>MGI:2151114</v>
      </c>
      <c r="J5052" s="4" t="s">
        <v>12</v>
      </c>
    </row>
    <row r="5053" spans="1:10" x14ac:dyDescent="0.25">
      <c r="A5053" s="2">
        <v>119.69746107828</v>
      </c>
      <c r="B5053" s="3">
        <v>-0.29194222687251797</v>
      </c>
      <c r="C5053" s="3">
        <v>9.6378214917178899E-3</v>
      </c>
      <c r="D5053" s="4">
        <v>2.4064046570863099E-2</v>
      </c>
      <c r="E5053" s="3" t="s">
        <v>15801</v>
      </c>
      <c r="F5053" s="3" t="s">
        <v>15802</v>
      </c>
      <c r="G5053" s="3">
        <v>69961</v>
      </c>
      <c r="H5053" s="7" t="str">
        <f>HYPERLINK("http://www.ensembl.org/Mus_musculus/Gene/Summary?db=core;g=ENSMUSG00000036114","ENSMUSG00000036114")</f>
        <v>ENSMUSG00000036114</v>
      </c>
      <c r="I5053" s="7" t="str">
        <f>HYPERLINK("http://www.informatics.jax.org/marker/MGI:1917211","MGI:1917211")</f>
        <v>MGI:1917211</v>
      </c>
      <c r="J5053" s="4" t="s">
        <v>12</v>
      </c>
    </row>
    <row r="5054" spans="1:10" x14ac:dyDescent="0.25">
      <c r="A5054" s="2">
        <v>6291.01331211652</v>
      </c>
      <c r="B5054" s="3">
        <v>-0.29199703715285302</v>
      </c>
      <c r="C5054" s="3">
        <v>3.5323960292492299E-3</v>
      </c>
      <c r="D5054" s="4">
        <v>9.5803671705122894E-3</v>
      </c>
      <c r="E5054" s="3" t="s">
        <v>14545</v>
      </c>
      <c r="F5054" s="3" t="s">
        <v>14546</v>
      </c>
      <c r="G5054" s="3">
        <v>11426</v>
      </c>
      <c r="H5054" s="7" t="str">
        <f>HYPERLINK("http://www.ensembl.org/Mus_musculus/Gene/Summary?db=core;g=ENSMUSG00000028649","ENSMUSG00000028649")</f>
        <v>ENSMUSG00000028649</v>
      </c>
      <c r="I5054" s="7" t="str">
        <f>HYPERLINK("http://www.informatics.jax.org/marker/MGI:108559","MGI:108559")</f>
        <v>MGI:108559</v>
      </c>
      <c r="J5054" s="4" t="s">
        <v>12</v>
      </c>
    </row>
    <row r="5055" spans="1:10" x14ac:dyDescent="0.25">
      <c r="A5055" s="2">
        <v>594.56799143948297</v>
      </c>
      <c r="B5055" s="3">
        <v>-0.29222399841491098</v>
      </c>
      <c r="C5055" s="5">
        <v>4.9708245366930296E-6</v>
      </c>
      <c r="D5055" s="6">
        <v>1.91904189239598E-5</v>
      </c>
      <c r="E5055" s="3" t="s">
        <v>10230</v>
      </c>
      <c r="F5055" s="3" t="s">
        <v>10231</v>
      </c>
      <c r="G5055" s="3">
        <v>60315</v>
      </c>
      <c r="H5055" s="7" t="str">
        <f>HYPERLINK("http://www.ensembl.org/Mus_musculus/Gene/Summary?db=core;g=ENSMUSG00000001285","ENSMUSG00000001285")</f>
        <v>ENSMUSG00000001285</v>
      </c>
      <c r="I5055" s="7" t="str">
        <f>HYPERLINK("http://www.informatics.jax.org/marker/MGI:1929864","MGI:1929864")</f>
        <v>MGI:1929864</v>
      </c>
      <c r="J5055" s="4" t="s">
        <v>12</v>
      </c>
    </row>
    <row r="5056" spans="1:10" x14ac:dyDescent="0.25">
      <c r="A5056" s="2">
        <v>914.87432930813304</v>
      </c>
      <c r="B5056" s="3">
        <v>-0.29278803090469901</v>
      </c>
      <c r="C5056" s="5">
        <v>2.4200073532029199E-6</v>
      </c>
      <c r="D5056" s="6">
        <v>9.6487151243755692E-6</v>
      </c>
      <c r="E5056" s="3" t="s">
        <v>9907</v>
      </c>
      <c r="F5056" s="3" t="s">
        <v>9908</v>
      </c>
      <c r="G5056" s="3">
        <v>68911</v>
      </c>
      <c r="H5056" s="7" t="str">
        <f>HYPERLINK("http://www.ensembl.org/Mus_musculus/Gene/Summary?db=core;g=ENSMUSG00000047824","ENSMUSG00000047824")</f>
        <v>ENSMUSG00000047824</v>
      </c>
      <c r="I5056" s="7" t="str">
        <f>HYPERLINK("http://www.informatics.jax.org/marker/MGI:1916161","MGI:1916161")</f>
        <v>MGI:1916161</v>
      </c>
      <c r="J5056" s="4" t="s">
        <v>12</v>
      </c>
    </row>
    <row r="5057" spans="1:10" x14ac:dyDescent="0.25">
      <c r="A5057" s="2">
        <v>2644.69661805034</v>
      </c>
      <c r="B5057" s="3">
        <v>-0.29289716706173802</v>
      </c>
      <c r="C5057" s="5">
        <v>7.9825011667633804E-6</v>
      </c>
      <c r="D5057" s="6">
        <v>3.0254645975124701E-5</v>
      </c>
      <c r="E5057" s="3" t="s">
        <v>10420</v>
      </c>
      <c r="F5057" s="3" t="s">
        <v>10421</v>
      </c>
      <c r="G5057" s="3">
        <v>17913</v>
      </c>
      <c r="H5057" s="7" t="str">
        <f>HYPERLINK("http://www.ensembl.org/Mus_musculus/Gene/Summary?db=core;g=ENSMUSG00000017774","ENSMUSG00000017774")</f>
        <v>ENSMUSG00000017774</v>
      </c>
      <c r="I5057" s="7" t="str">
        <f>HYPERLINK("http://www.informatics.jax.org/marker/MGI:106612","MGI:106612")</f>
        <v>MGI:106612</v>
      </c>
      <c r="J5057" s="4" t="s">
        <v>12</v>
      </c>
    </row>
    <row r="5058" spans="1:10" x14ac:dyDescent="0.25">
      <c r="A5058" s="2">
        <v>1689.96266501691</v>
      </c>
      <c r="B5058" s="3">
        <v>-0.29294188003205102</v>
      </c>
      <c r="C5058" s="3">
        <v>4.3007217607803002E-4</v>
      </c>
      <c r="D5058" s="4">
        <v>1.3353842251261599E-3</v>
      </c>
      <c r="E5058" s="3" t="s">
        <v>12360</v>
      </c>
      <c r="F5058" s="3" t="s">
        <v>12361</v>
      </c>
      <c r="G5058" s="3">
        <v>78797</v>
      </c>
      <c r="H5058" s="7" t="str">
        <f>HYPERLINK("http://www.ensembl.org/Mus_musculus/Gene/Summary?db=core;g=ENSMUSG00000006471","ENSMUSG00000006471")</f>
        <v>ENSMUSG00000006471</v>
      </c>
      <c r="I5058" s="7" t="str">
        <f>HYPERLINK("http://www.informatics.jax.org/marker/MGI:1926047","MGI:1926047")</f>
        <v>MGI:1926047</v>
      </c>
      <c r="J5058" s="4" t="s">
        <v>12</v>
      </c>
    </row>
    <row r="5059" spans="1:10" x14ac:dyDescent="0.25">
      <c r="A5059" s="2">
        <v>337.41521642474203</v>
      </c>
      <c r="B5059" s="3">
        <v>-0.29330720150551398</v>
      </c>
      <c r="C5059" s="3">
        <v>7.9312444330002698E-3</v>
      </c>
      <c r="D5059" s="4">
        <v>2.0113701159820599E-2</v>
      </c>
      <c r="E5059" s="3" t="s">
        <v>15557</v>
      </c>
      <c r="F5059" s="3" t="s">
        <v>15558</v>
      </c>
      <c r="G5059" s="3">
        <v>103135</v>
      </c>
      <c r="H5059" s="7" t="str">
        <f>HYPERLINK("http://www.ensembl.org/Mus_musculus/Gene/Summary?db=core;g=ENSMUSG00000005682","ENSMUSG00000005682")</f>
        <v>ENSMUSG00000005682</v>
      </c>
      <c r="I5059" s="7" t="str">
        <f>HYPERLINK("http://www.informatics.jax.org/marker/MGI:1918984","MGI:1918984")</f>
        <v>MGI:1918984</v>
      </c>
      <c r="J5059" s="4" t="s">
        <v>12</v>
      </c>
    </row>
    <row r="5060" spans="1:10" x14ac:dyDescent="0.25">
      <c r="A5060" s="2">
        <v>1757.61899814967</v>
      </c>
      <c r="B5060" s="3">
        <v>-0.29331057800886901</v>
      </c>
      <c r="C5060" s="5">
        <v>1.03705718035443E-6</v>
      </c>
      <c r="D5060" s="6">
        <v>4.2828832663014499E-6</v>
      </c>
      <c r="E5060" s="3" t="s">
        <v>9565</v>
      </c>
      <c r="F5060" s="3" t="s">
        <v>9566</v>
      </c>
      <c r="G5060" s="3">
        <v>110651</v>
      </c>
      <c r="H5060" s="7" t="str">
        <f>HYPERLINK("http://www.ensembl.org/Mus_musculus/Gene/Summary?db=core;g=ENSMUSG00000031309","ENSMUSG00000031309")</f>
        <v>ENSMUSG00000031309</v>
      </c>
      <c r="I5060" s="7" t="str">
        <f>HYPERLINK("http://www.informatics.jax.org/marker/MGI:104557","MGI:104557")</f>
        <v>MGI:104557</v>
      </c>
      <c r="J5060" s="4" t="s">
        <v>12</v>
      </c>
    </row>
    <row r="5061" spans="1:10" x14ac:dyDescent="0.25">
      <c r="A5061" s="2">
        <v>1132.04702773554</v>
      </c>
      <c r="B5061" s="3">
        <v>-0.29372766603523498</v>
      </c>
      <c r="C5061" s="3">
        <v>2.3781393436108199E-4</v>
      </c>
      <c r="D5061" s="4">
        <v>7.6479921837369004E-4</v>
      </c>
      <c r="E5061" s="3" t="s">
        <v>12273</v>
      </c>
      <c r="F5061" s="3" t="s">
        <v>12274</v>
      </c>
      <c r="G5061" s="3">
        <v>219189</v>
      </c>
      <c r="H5061" s="7" t="str">
        <f>HYPERLINK("http://www.ensembl.org/Mus_musculus/Gene/Summary?db=core;g=ENSMUSG00000058997","ENSMUSG00000058997")</f>
        <v>ENSMUSG00000058997</v>
      </c>
      <c r="I5061" s="7" t="str">
        <f>HYPERLINK("http://www.informatics.jax.org/marker/MGI:1919008","MGI:1919008")</f>
        <v>MGI:1919008</v>
      </c>
      <c r="J5061" s="4" t="s">
        <v>12</v>
      </c>
    </row>
    <row r="5062" spans="1:10" x14ac:dyDescent="0.25">
      <c r="A5062" s="2">
        <v>148.71696842746499</v>
      </c>
      <c r="B5062" s="3">
        <v>-0.29380008420211601</v>
      </c>
      <c r="C5062" s="3">
        <v>1.3332858187679399E-2</v>
      </c>
      <c r="D5062" s="4">
        <v>3.2316121369350803E-2</v>
      </c>
      <c r="E5062" s="3" t="s">
        <v>16277</v>
      </c>
      <c r="F5062" s="3" t="s">
        <v>16278</v>
      </c>
      <c r="G5062" s="3">
        <v>232987</v>
      </c>
      <c r="H5062" s="7" t="str">
        <f>HYPERLINK("http://www.ensembl.org/Mus_musculus/Gene/Summary?db=core;g=ENSMUSG00000063439","ENSMUSG00000063439")</f>
        <v>ENSMUSG00000063439</v>
      </c>
      <c r="I5062" s="7" t="str">
        <f>HYPERLINK("http://www.informatics.jax.org/marker/MGI:2387643","MGI:2387643")</f>
        <v>MGI:2387643</v>
      </c>
      <c r="J5062" s="4" t="s">
        <v>12</v>
      </c>
    </row>
    <row r="5063" spans="1:10" x14ac:dyDescent="0.25">
      <c r="A5063" s="2">
        <v>850.10901389151002</v>
      </c>
      <c r="B5063" s="3">
        <v>-0.29380385919800101</v>
      </c>
      <c r="C5063" s="5">
        <v>5.9009822915296198E-7</v>
      </c>
      <c r="D5063" s="6">
        <v>2.5019860414741801E-6</v>
      </c>
      <c r="E5063" s="3" t="s">
        <v>9317</v>
      </c>
      <c r="F5063" s="3" t="s">
        <v>9318</v>
      </c>
      <c r="G5063" s="3">
        <v>17344</v>
      </c>
      <c r="H5063" s="7" t="str">
        <f>HYPERLINK("http://www.ensembl.org/Mus_musculus/Gene/Summary?db=core;g=ENSMUSG00000025423","ENSMUSG00000025423")</f>
        <v>ENSMUSG00000025423</v>
      </c>
      <c r="I5063" s="7" t="str">
        <f>HYPERLINK("http://www.informatics.jax.org/marker/MGI:1096566","MGI:1096566")</f>
        <v>MGI:1096566</v>
      </c>
      <c r="J5063" s="4" t="s">
        <v>12</v>
      </c>
    </row>
    <row r="5064" spans="1:10" x14ac:dyDescent="0.25">
      <c r="A5064" s="2">
        <v>1015.43966243045</v>
      </c>
      <c r="B5064" s="3">
        <v>-0.29385020404863998</v>
      </c>
      <c r="C5064" s="5">
        <v>6.5984250534360902E-7</v>
      </c>
      <c r="D5064" s="6">
        <v>2.7839311521985399E-6</v>
      </c>
      <c r="E5064" s="3" t="s">
        <v>9361</v>
      </c>
      <c r="F5064" s="3" t="s">
        <v>9362</v>
      </c>
      <c r="G5064" s="3" t="s">
        <v>83</v>
      </c>
      <c r="H5064" s="7" t="str">
        <f>HYPERLINK("http://www.ensembl.org/Mus_musculus/Gene/Summary?db=core;g=ENSMUSG00000117789","ENSMUSG00000117789")</f>
        <v>ENSMUSG00000117789</v>
      </c>
      <c r="I5064" s="7" t="str">
        <f>HYPERLINK("http://www.informatics.jax.org/marker/MGI:6303291","MGI:6303291")</f>
        <v>MGI:6303291</v>
      </c>
      <c r="J5064" s="4" t="s">
        <v>12</v>
      </c>
    </row>
    <row r="5065" spans="1:10" x14ac:dyDescent="0.25">
      <c r="A5065" s="2">
        <v>1743.7170773929799</v>
      </c>
      <c r="B5065" s="3">
        <v>-0.29407725592658901</v>
      </c>
      <c r="C5065" s="3">
        <v>7.1684992996916004E-4</v>
      </c>
      <c r="D5065" s="4">
        <v>2.1552493701771399E-3</v>
      </c>
      <c r="E5065" s="3" t="s">
        <v>13127</v>
      </c>
      <c r="F5065" s="3" t="s">
        <v>13128</v>
      </c>
      <c r="G5065" s="3">
        <v>18005</v>
      </c>
      <c r="H5065" s="7" t="str">
        <f>HYPERLINK("http://www.ensembl.org/Mus_musculus/Gene/Summary?db=core;g=ENSMUSG00000026622","ENSMUSG00000026622")</f>
        <v>ENSMUSG00000026622</v>
      </c>
      <c r="I5065" s="7" t="str">
        <f>HYPERLINK("http://www.informatics.jax.org/marker/MGI:109359","MGI:109359")</f>
        <v>MGI:109359</v>
      </c>
      <c r="J5065" s="4" t="s">
        <v>12</v>
      </c>
    </row>
    <row r="5066" spans="1:10" x14ac:dyDescent="0.25">
      <c r="A5066" s="2">
        <v>2573.3458890359798</v>
      </c>
      <c r="B5066" s="3">
        <v>-0.29424634379886799</v>
      </c>
      <c r="C5066" s="5">
        <v>6.6633889541197901E-12</v>
      </c>
      <c r="D5066" s="6">
        <v>4.2237875337589897E-11</v>
      </c>
      <c r="E5066" s="3" t="s">
        <v>6239</v>
      </c>
      <c r="F5066" s="3" t="s">
        <v>6240</v>
      </c>
      <c r="G5066" s="3">
        <v>18141</v>
      </c>
      <c r="H5066" s="7" t="str">
        <f>HYPERLINK("http://www.ensembl.org/Mus_musculus/Gene/Summary?db=core;g=ENSMUSG00000016619","ENSMUSG00000016619")</f>
        <v>ENSMUSG00000016619</v>
      </c>
      <c r="I5066" s="7" t="str">
        <f>HYPERLINK("http://www.informatics.jax.org/marker/MGI:1351502","MGI:1351502")</f>
        <v>MGI:1351502</v>
      </c>
      <c r="J5066" s="4" t="s">
        <v>12</v>
      </c>
    </row>
    <row r="5067" spans="1:10" x14ac:dyDescent="0.25">
      <c r="A5067" s="2">
        <v>289.17985020210898</v>
      </c>
      <c r="B5067" s="3">
        <v>-0.29438526924519798</v>
      </c>
      <c r="C5067" s="3">
        <v>4.2269061237674996E-3</v>
      </c>
      <c r="D5067" s="4">
        <v>1.1329969928054301E-2</v>
      </c>
      <c r="E5067" s="3" t="s">
        <v>14718</v>
      </c>
      <c r="F5067" s="3" t="s">
        <v>14719</v>
      </c>
      <c r="G5067" s="3">
        <v>110524</v>
      </c>
      <c r="H5067" s="7" t="str">
        <f>HYPERLINK("http://www.ensembl.org/Mus_musculus/Gene/Summary?db=core;g=ENSMUSG00000004815","ENSMUSG00000004815")</f>
        <v>ENSMUSG00000004815</v>
      </c>
      <c r="I5067" s="7" t="str">
        <f>HYPERLINK("http://www.informatics.jax.org/marker/MGI:102918","MGI:102918")</f>
        <v>MGI:102918</v>
      </c>
      <c r="J5067" s="4" t="s">
        <v>12</v>
      </c>
    </row>
    <row r="5068" spans="1:10" x14ac:dyDescent="0.25">
      <c r="A5068" s="2">
        <v>1365.0471953312201</v>
      </c>
      <c r="B5068" s="3">
        <v>-0.294475914572775</v>
      </c>
      <c r="C5068" s="5">
        <v>7.8343329291479208E-6</v>
      </c>
      <c r="D5068" s="6">
        <v>2.9715915630466801E-5</v>
      </c>
      <c r="E5068" s="3" t="s">
        <v>10412</v>
      </c>
      <c r="F5068" s="3" t="s">
        <v>10413</v>
      </c>
      <c r="G5068" s="3">
        <v>72900</v>
      </c>
      <c r="H5068" s="7" t="str">
        <f>HYPERLINK("http://www.ensembl.org/Mus_musculus/Gene/Summary?db=core;g=ENSMUSG00000024099","ENSMUSG00000024099")</f>
        <v>ENSMUSG00000024099</v>
      </c>
      <c r="I5068" s="7" t="str">
        <f>HYPERLINK("http://www.informatics.jax.org/marker/MGI:1920150","MGI:1920150")</f>
        <v>MGI:1920150</v>
      </c>
      <c r="J5068" s="4" t="s">
        <v>12</v>
      </c>
    </row>
    <row r="5069" spans="1:10" x14ac:dyDescent="0.25">
      <c r="A5069" s="2">
        <v>273.59184514604402</v>
      </c>
      <c r="B5069" s="3">
        <v>-0.29484196031189502</v>
      </c>
      <c r="C5069" s="3">
        <v>1.3373390276528001E-4</v>
      </c>
      <c r="D5069" s="4">
        <v>4.4397854588069398E-4</v>
      </c>
      <c r="E5069" s="3" t="s">
        <v>11891</v>
      </c>
      <c r="F5069" s="3" t="s">
        <v>11892</v>
      </c>
      <c r="G5069" s="3">
        <v>66526</v>
      </c>
      <c r="H5069" s="7" t="str">
        <f>HYPERLINK("http://www.ensembl.org/Mus_musculus/Gene/Summary?db=core;g=ENSMUSG00000028619","ENSMUSG00000028619")</f>
        <v>ENSMUSG00000028619</v>
      </c>
      <c r="I5069" s="7" t="str">
        <f>HYPERLINK("http://www.informatics.jax.org/marker/MGI:1913776","MGI:1913776")</f>
        <v>MGI:1913776</v>
      </c>
      <c r="J5069" s="4" t="s">
        <v>12</v>
      </c>
    </row>
    <row r="5070" spans="1:10" x14ac:dyDescent="0.25">
      <c r="A5070" s="2">
        <v>766.42384562036898</v>
      </c>
      <c r="B5070" s="3">
        <v>-0.29493403590235501</v>
      </c>
      <c r="C5070" s="5">
        <v>2.8113640195317701E-5</v>
      </c>
      <c r="D5070" s="4">
        <v>1.00745227085529E-4</v>
      </c>
      <c r="E5070" s="3" t="s">
        <v>11018</v>
      </c>
      <c r="F5070" s="3" t="s">
        <v>11019</v>
      </c>
      <c r="G5070" s="3">
        <v>96979</v>
      </c>
      <c r="H5070" s="7" t="str">
        <f>HYPERLINK("http://www.ensembl.org/Mus_musculus/Gene/Summary?db=core;g=ENSMUSG00000026820","ENSMUSG00000026820")</f>
        <v>ENSMUSG00000026820</v>
      </c>
      <c r="I5070" s="7" t="str">
        <f>HYPERLINK("http://www.informatics.jax.org/marker/MGI:1917592","MGI:1917592")</f>
        <v>MGI:1917592</v>
      </c>
      <c r="J5070" s="4" t="s">
        <v>12</v>
      </c>
    </row>
    <row r="5071" spans="1:10" x14ac:dyDescent="0.25">
      <c r="A5071" s="2">
        <v>663.60343248353604</v>
      </c>
      <c r="B5071" s="3">
        <v>-0.295139939738432</v>
      </c>
      <c r="C5071" s="3">
        <v>1.52304438732928E-4</v>
      </c>
      <c r="D5071" s="4">
        <v>5.0166085381883E-4</v>
      </c>
      <c r="E5071" s="3" t="s">
        <v>11985</v>
      </c>
      <c r="F5071" s="3" t="s">
        <v>11986</v>
      </c>
      <c r="G5071" s="3">
        <v>66493</v>
      </c>
      <c r="H5071" s="7" t="str">
        <f>HYPERLINK("http://www.ensembl.org/Mus_musculus/Gene/Summary?db=core;g=ENSMUSG00000030335","ENSMUSG00000030335")</f>
        <v>ENSMUSG00000030335</v>
      </c>
      <c r="I5071" s="7" t="str">
        <f>HYPERLINK("http://www.informatics.jax.org/marker/MGI:1913743","MGI:1913743")</f>
        <v>MGI:1913743</v>
      </c>
      <c r="J5071" s="4" t="s">
        <v>12</v>
      </c>
    </row>
    <row r="5072" spans="1:10" x14ac:dyDescent="0.25">
      <c r="A5072" s="2">
        <v>1306.2071220656201</v>
      </c>
      <c r="B5072" s="3">
        <v>-0.29536667530703797</v>
      </c>
      <c r="C5072" s="5">
        <v>1.01878483995413E-10</v>
      </c>
      <c r="D5072" s="6">
        <v>5.9141704574316696E-10</v>
      </c>
      <c r="E5072" s="3" t="s">
        <v>6812</v>
      </c>
      <c r="F5072" s="3" t="s">
        <v>6813</v>
      </c>
      <c r="G5072" s="3">
        <v>223723</v>
      </c>
      <c r="H5072" s="7" t="str">
        <f>HYPERLINK("http://www.ensembl.org/Mus_musculus/Gene/Summary?db=core;g=ENSMUSG00000016757","ENSMUSG00000016757")</f>
        <v>ENSMUSG00000016757</v>
      </c>
      <c r="I5072" s="7" t="str">
        <f>HYPERLINK("http://www.informatics.jax.org/marker/MGI:3039573","MGI:3039573")</f>
        <v>MGI:3039573</v>
      </c>
      <c r="J5072" s="4" t="s">
        <v>12</v>
      </c>
    </row>
    <row r="5073" spans="1:10" x14ac:dyDescent="0.25">
      <c r="A5073" s="2">
        <v>950.15005092747697</v>
      </c>
      <c r="B5073" s="3">
        <v>-0.29552282187079398</v>
      </c>
      <c r="C5073" s="5">
        <v>7.0137170176220103E-7</v>
      </c>
      <c r="D5073" s="6">
        <v>2.9484225023983398E-6</v>
      </c>
      <c r="E5073" s="3" t="s">
        <v>9397</v>
      </c>
      <c r="F5073" s="3" t="s">
        <v>9398</v>
      </c>
      <c r="G5073" s="3">
        <v>236732</v>
      </c>
      <c r="H5073" s="7" t="str">
        <f>HYPERLINK("http://www.ensembl.org/Mus_musculus/Gene/Summary?db=core;g=ENSMUSG00000031060","ENSMUSG00000031060")</f>
        <v>ENSMUSG00000031060</v>
      </c>
      <c r="I5073" s="7" t="str">
        <f>HYPERLINK("http://www.informatics.jax.org/marker/MGI:2384310","MGI:2384310")</f>
        <v>MGI:2384310</v>
      </c>
      <c r="J5073" s="4" t="s">
        <v>12</v>
      </c>
    </row>
    <row r="5074" spans="1:10" x14ac:dyDescent="0.25">
      <c r="A5074" s="2">
        <v>430.105438381608</v>
      </c>
      <c r="B5074" s="3">
        <v>-0.295728079933196</v>
      </c>
      <c r="C5074" s="3">
        <v>8.4087280604464906E-3</v>
      </c>
      <c r="D5074" s="4">
        <v>2.1201907345864301E-2</v>
      </c>
      <c r="E5074" s="3" t="s">
        <v>15645</v>
      </c>
      <c r="F5074" s="3" t="s">
        <v>15646</v>
      </c>
      <c r="G5074" s="3">
        <v>56615</v>
      </c>
      <c r="H5074" s="7" t="str">
        <f>HYPERLINK("http://www.ensembl.org/Mus_musculus/Gene/Summary?db=core;g=ENSMUSG00000008540","ENSMUSG00000008540")</f>
        <v>ENSMUSG00000008540</v>
      </c>
      <c r="I5074" s="7" t="str">
        <f>HYPERLINK("http://www.informatics.jax.org/marker/MGI:1913850","MGI:1913850")</f>
        <v>MGI:1913850</v>
      </c>
      <c r="J5074" s="4" t="s">
        <v>12</v>
      </c>
    </row>
    <row r="5075" spans="1:10" x14ac:dyDescent="0.25">
      <c r="A5075" s="2">
        <v>136.01491310152099</v>
      </c>
      <c r="B5075" s="3">
        <v>-0.29589502510721599</v>
      </c>
      <c r="C5075" s="3">
        <v>1.46518459287214E-2</v>
      </c>
      <c r="D5075" s="4">
        <v>3.5240200233490102E-2</v>
      </c>
      <c r="E5075" s="3" t="s">
        <v>16403</v>
      </c>
      <c r="F5075" s="3" t="s">
        <v>16404</v>
      </c>
      <c r="G5075" s="3">
        <v>71163</v>
      </c>
      <c r="H5075" s="7" t="str">
        <f>HYPERLINK("http://www.ensembl.org/Mus_musculus/Gene/Summary?db=core;g=ENSMUSG00000030604","ENSMUSG00000030604")</f>
        <v>ENSMUSG00000030604</v>
      </c>
      <c r="I5075" s="7" t="str">
        <f>HYPERLINK("http://www.informatics.jax.org/marker/MGI:1918413","MGI:1918413")</f>
        <v>MGI:1918413</v>
      </c>
      <c r="J5075" s="4" t="s">
        <v>12</v>
      </c>
    </row>
    <row r="5076" spans="1:10" x14ac:dyDescent="0.25">
      <c r="A5076" s="2">
        <v>8623.6819471638992</v>
      </c>
      <c r="B5076" s="3">
        <v>-0.29615470221610701</v>
      </c>
      <c r="C5076" s="5">
        <v>1.5549921819271401E-12</v>
      </c>
      <c r="D5076" s="6">
        <v>1.03004520751102E-11</v>
      </c>
      <c r="E5076" s="3" t="s">
        <v>5971</v>
      </c>
      <c r="F5076" s="3" t="s">
        <v>5972</v>
      </c>
      <c r="G5076" s="3">
        <v>72503</v>
      </c>
      <c r="H5076" s="7" t="str">
        <f>HYPERLINK("http://www.ensembl.org/Mus_musculus/Gene/Summary?db=core;g=ENSMUSG00000010277","ENSMUSG00000010277")</f>
        <v>ENSMUSG00000010277</v>
      </c>
      <c r="I5076" s="7" t="str">
        <f>HYPERLINK("http://www.informatics.jax.org/marker/MGI:1919753","MGI:1919753")</f>
        <v>MGI:1919753</v>
      </c>
      <c r="J5076" s="4" t="s">
        <v>12</v>
      </c>
    </row>
    <row r="5077" spans="1:10" x14ac:dyDescent="0.25">
      <c r="A5077" s="2">
        <v>753.51610985370098</v>
      </c>
      <c r="B5077" s="3">
        <v>-0.296510061499068</v>
      </c>
      <c r="C5077" s="5">
        <v>1.18305274305476E-6</v>
      </c>
      <c r="D5077" s="6">
        <v>4.8613878085100803E-6</v>
      </c>
      <c r="E5077" s="3" t="s">
        <v>9613</v>
      </c>
      <c r="F5077" s="3" t="s">
        <v>9614</v>
      </c>
      <c r="G5077" s="3">
        <v>22764</v>
      </c>
      <c r="H5077" s="7" t="str">
        <f>HYPERLINK("http://www.ensembl.org/Mus_musculus/Gene/Summary?db=core;g=ENSMUSG00000079509","ENSMUSG00000079509")</f>
        <v>ENSMUSG00000079509</v>
      </c>
      <c r="I5077" s="7" t="str">
        <f>HYPERLINK("http://www.informatics.jax.org/marker/MGI:99211","MGI:99211")</f>
        <v>MGI:99211</v>
      </c>
      <c r="J5077" s="4" t="s">
        <v>12</v>
      </c>
    </row>
    <row r="5078" spans="1:10" x14ac:dyDescent="0.25">
      <c r="A5078" s="2">
        <v>2003.9515824033999</v>
      </c>
      <c r="B5078" s="3">
        <v>-0.29676148880057801</v>
      </c>
      <c r="C5078" s="5">
        <v>3.8266608616840298E-8</v>
      </c>
      <c r="D5078" s="6">
        <v>1.7958532173348199E-7</v>
      </c>
      <c r="E5078" s="3" t="s">
        <v>8421</v>
      </c>
      <c r="F5078" s="3" t="s">
        <v>8422</v>
      </c>
      <c r="G5078" s="3">
        <v>21372</v>
      </c>
      <c r="H5078" s="7" t="str">
        <f>HYPERLINK("http://www.ensembl.org/Mus_musculus/Gene/Summary?db=core;g=ENSMUSG00000025246","ENSMUSG00000025246")</f>
        <v>ENSMUSG00000025246</v>
      </c>
      <c r="I5078" s="7" t="str">
        <f>HYPERLINK("http://www.informatics.jax.org/marker/MGI:1336172","MGI:1336172")</f>
        <v>MGI:1336172</v>
      </c>
      <c r="J5078" s="4" t="s">
        <v>12</v>
      </c>
    </row>
    <row r="5079" spans="1:10" x14ac:dyDescent="0.25">
      <c r="A5079" s="2">
        <v>166.38946128465901</v>
      </c>
      <c r="B5079" s="3">
        <v>-0.29677535396592702</v>
      </c>
      <c r="C5079" s="3">
        <v>2.0724530650673202E-3</v>
      </c>
      <c r="D5079" s="4">
        <v>5.8392305248074899E-3</v>
      </c>
      <c r="E5079" s="3" t="s">
        <v>14005</v>
      </c>
      <c r="F5079" s="3" t="s">
        <v>14006</v>
      </c>
      <c r="G5079" s="3">
        <v>68916</v>
      </c>
      <c r="H5079" s="7" t="str">
        <f>HYPERLINK("http://www.ensembl.org/Mus_musculus/Gene/Summary?db=core;g=ENSMUSG00000006191","ENSMUSG00000006191")</f>
        <v>ENSMUSG00000006191</v>
      </c>
      <c r="I5079" s="7" t="str">
        <f>HYPERLINK("http://www.informatics.jax.org/marker/MGI:1921765","MGI:1921765")</f>
        <v>MGI:1921765</v>
      </c>
      <c r="J5079" s="4" t="s">
        <v>12</v>
      </c>
    </row>
    <row r="5080" spans="1:10" x14ac:dyDescent="0.25">
      <c r="A5080" s="2">
        <v>126.198733828659</v>
      </c>
      <c r="B5080" s="3">
        <v>-0.29717347761317298</v>
      </c>
      <c r="C5080" s="3">
        <v>7.6635284148037401E-3</v>
      </c>
      <c r="D5080" s="4">
        <v>1.9494940704325298E-2</v>
      </c>
      <c r="E5080" s="3" t="s">
        <v>15509</v>
      </c>
      <c r="F5080" s="3" t="s">
        <v>15510</v>
      </c>
      <c r="G5080" s="3">
        <v>68177</v>
      </c>
      <c r="H5080" s="7" t="str">
        <f>HYPERLINK("http://www.ensembl.org/Mus_musculus/Gene/Summary?db=core;g=ENSMUSG00000021928","ENSMUSG00000021928")</f>
        <v>ENSMUSG00000021928</v>
      </c>
      <c r="I5080" s="7" t="str">
        <f>HYPERLINK("http://www.informatics.jax.org/marker/MGI:1915427","MGI:1915427")</f>
        <v>MGI:1915427</v>
      </c>
      <c r="J5080" s="4" t="s">
        <v>12</v>
      </c>
    </row>
    <row r="5081" spans="1:10" x14ac:dyDescent="0.25">
      <c r="A5081" s="2">
        <v>1093.5187516788401</v>
      </c>
      <c r="B5081" s="3">
        <v>-0.29718051615749902</v>
      </c>
      <c r="C5081" s="3">
        <v>3.6339641138365798E-4</v>
      </c>
      <c r="D5081" s="4">
        <v>1.13947801438794E-3</v>
      </c>
      <c r="E5081" s="3" t="s">
        <v>12591</v>
      </c>
      <c r="F5081" s="3" t="s">
        <v>12592</v>
      </c>
      <c r="G5081" s="3">
        <v>22222</v>
      </c>
      <c r="H5081" s="7" t="str">
        <f>HYPERLINK("http://www.ensembl.org/Mus_musculus/Gene/Summary?db=core;g=ENSMUSG00000027272","ENSMUSG00000027272")</f>
        <v>ENSMUSG00000027272</v>
      </c>
      <c r="I5081" s="7" t="str">
        <f>HYPERLINK("http://www.informatics.jax.org/marker/MGI:1277977","MGI:1277977")</f>
        <v>MGI:1277977</v>
      </c>
      <c r="J5081" s="4" t="s">
        <v>12</v>
      </c>
    </row>
    <row r="5082" spans="1:10" x14ac:dyDescent="0.25">
      <c r="A5082" s="2">
        <v>562.25558662405399</v>
      </c>
      <c r="B5082" s="3">
        <v>-0.29731185009299299</v>
      </c>
      <c r="C5082" s="3">
        <v>2.44255522102591E-4</v>
      </c>
      <c r="D5082" s="4">
        <v>7.8409879470341896E-4</v>
      </c>
      <c r="E5082" s="3" t="s">
        <v>12297</v>
      </c>
      <c r="F5082" s="3" t="s">
        <v>12298</v>
      </c>
      <c r="G5082" s="3">
        <v>69727</v>
      </c>
      <c r="H5082" s="7" t="str">
        <f>HYPERLINK("http://www.ensembl.org/Mus_musculus/Gene/Summary?db=core;g=ENSMUSG00000054814","ENSMUSG00000054814")</f>
        <v>ENSMUSG00000054814</v>
      </c>
      <c r="I5082" s="7" t="str">
        <f>HYPERLINK("http://www.informatics.jax.org/marker/MGI:1916977","MGI:1916977")</f>
        <v>MGI:1916977</v>
      </c>
      <c r="J5082" s="4" t="s">
        <v>12</v>
      </c>
    </row>
    <row r="5083" spans="1:10" x14ac:dyDescent="0.25">
      <c r="A5083" s="2">
        <v>1829.67497036706</v>
      </c>
      <c r="B5083" s="3">
        <v>-0.297435655705036</v>
      </c>
      <c r="C5083" s="5">
        <v>3.8985419678656098E-8</v>
      </c>
      <c r="D5083" s="6">
        <v>1.82697831764044E-7</v>
      </c>
      <c r="E5083" s="3" t="s">
        <v>8433</v>
      </c>
      <c r="F5083" s="3" t="s">
        <v>8434</v>
      </c>
      <c r="G5083" s="3">
        <v>192119</v>
      </c>
      <c r="H5083" s="7" t="str">
        <f>HYPERLINK("http://www.ensembl.org/Mus_musculus/Gene/Summary?db=core;g=ENSMUSG00000041415","ENSMUSG00000041415")</f>
        <v>ENSMUSG00000041415</v>
      </c>
      <c r="I5083" s="7" t="str">
        <f>HYPERLINK("http://www.informatics.jax.org/marker/MGI:2177178","MGI:2177178")</f>
        <v>MGI:2177178</v>
      </c>
      <c r="J5083" s="4" t="s">
        <v>12</v>
      </c>
    </row>
    <row r="5084" spans="1:10" x14ac:dyDescent="0.25">
      <c r="A5084" s="2">
        <v>1882.8014943522101</v>
      </c>
      <c r="B5084" s="3">
        <v>-0.29758988977422002</v>
      </c>
      <c r="C5084" s="5">
        <v>5.4361786635683303E-11</v>
      </c>
      <c r="D5084" s="6">
        <v>3.2270151488731899E-10</v>
      </c>
      <c r="E5084" s="3" t="s">
        <v>6661</v>
      </c>
      <c r="F5084" s="3" t="s">
        <v>6662</v>
      </c>
      <c r="G5084" s="3">
        <v>83945</v>
      </c>
      <c r="H5084" s="7" t="str">
        <f>HYPERLINK("http://www.ensembl.org/Mus_musculus/Gene/Summary?db=core;g=ENSMUSG00000004069","ENSMUSG00000004069")</f>
        <v>ENSMUSG00000004069</v>
      </c>
      <c r="I5084" s="7" t="str">
        <f>HYPERLINK("http://www.informatics.jax.org/marker/MGI:1933786","MGI:1933786")</f>
        <v>MGI:1933786</v>
      </c>
      <c r="J5084" s="4" t="s">
        <v>12</v>
      </c>
    </row>
    <row r="5085" spans="1:10" x14ac:dyDescent="0.25">
      <c r="A5085" s="2">
        <v>192.555974839562</v>
      </c>
      <c r="B5085" s="3">
        <v>-0.29763106850036303</v>
      </c>
      <c r="C5085" s="3">
        <v>1.57631365723052E-3</v>
      </c>
      <c r="D5085" s="4">
        <v>4.5201258282079196E-3</v>
      </c>
      <c r="E5085" s="3" t="s">
        <v>13761</v>
      </c>
      <c r="F5085" s="3" t="s">
        <v>13762</v>
      </c>
      <c r="G5085" s="3">
        <v>53859</v>
      </c>
      <c r="H5085" s="7" t="str">
        <f>HYPERLINK("http://www.ensembl.org/Mus_musculus/Gene/Summary?db=core;g=ENSMUSG00000020941","ENSMUSG00000020941")</f>
        <v>ENSMUSG00000020941</v>
      </c>
      <c r="I5085" s="7" t="str">
        <f>HYPERLINK("http://www.informatics.jax.org/marker/MGI:1858204","MGI:1858204")</f>
        <v>MGI:1858204</v>
      </c>
      <c r="J5085" s="4" t="s">
        <v>12</v>
      </c>
    </row>
    <row r="5086" spans="1:10" x14ac:dyDescent="0.25">
      <c r="A5086" s="2">
        <v>496.98568409509699</v>
      </c>
      <c r="B5086" s="3">
        <v>-0.297796078879836</v>
      </c>
      <c r="C5086" s="5">
        <v>1.1404365008898901E-5</v>
      </c>
      <c r="D5086" s="6">
        <v>4.2472913687532801E-5</v>
      </c>
      <c r="E5086" s="3" t="s">
        <v>10603</v>
      </c>
      <c r="F5086" s="3" t="s">
        <v>10604</v>
      </c>
      <c r="G5086" s="3">
        <v>24030</v>
      </c>
      <c r="H5086" s="7" t="str">
        <f>HYPERLINK("http://www.ensembl.org/Mus_musculus/Gene/Summary?db=core;g=ENSMUSG00000045948","ENSMUSG00000045948")</f>
        <v>ENSMUSG00000045948</v>
      </c>
      <c r="I5086" s="7" t="str">
        <f>HYPERLINK("http://www.informatics.jax.org/marker/MGI:1346333","MGI:1346333")</f>
        <v>MGI:1346333</v>
      </c>
      <c r="J5086" s="4" t="s">
        <v>12</v>
      </c>
    </row>
    <row r="5087" spans="1:10" x14ac:dyDescent="0.25">
      <c r="A5087" s="2">
        <v>736.49702610257896</v>
      </c>
      <c r="B5087" s="3">
        <v>-0.29830044866469602</v>
      </c>
      <c r="C5087" s="5">
        <v>2.9360842082834601E-5</v>
      </c>
      <c r="D5087" s="4">
        <v>1.0492856213727801E-4</v>
      </c>
      <c r="E5087" s="3" t="s">
        <v>11048</v>
      </c>
      <c r="F5087" s="3" t="s">
        <v>11049</v>
      </c>
      <c r="G5087" s="3">
        <v>104884</v>
      </c>
      <c r="H5087" s="7" t="str">
        <f>HYPERLINK("http://www.ensembl.org/Mus_musculus/Gene/Summary?db=core;g=ENSMUSG00000021177","ENSMUSG00000021177")</f>
        <v>ENSMUSG00000021177</v>
      </c>
      <c r="I5087" s="7" t="str">
        <f>HYPERLINK("http://www.informatics.jax.org/marker/MGI:1920036","MGI:1920036")</f>
        <v>MGI:1920036</v>
      </c>
      <c r="J5087" s="4" t="s">
        <v>12</v>
      </c>
    </row>
    <row r="5088" spans="1:10" x14ac:dyDescent="0.25">
      <c r="A5088" s="2">
        <v>232.36094031104801</v>
      </c>
      <c r="B5088" s="3">
        <v>-0.29855067962369602</v>
      </c>
      <c r="C5088" s="3">
        <v>3.6528158317701098E-4</v>
      </c>
      <c r="D5088" s="4">
        <v>1.1446611823058401E-3</v>
      </c>
      <c r="E5088" s="3" t="s">
        <v>12599</v>
      </c>
      <c r="F5088" s="3" t="s">
        <v>12600</v>
      </c>
      <c r="G5088" s="3">
        <v>22427</v>
      </c>
      <c r="H5088" s="7" t="str">
        <f>HYPERLINK("http://www.ensembl.org/Mus_musculus/Gene/Summary?db=core;g=ENSMUSG00000031583","ENSMUSG00000031583")</f>
        <v>ENSMUSG00000031583</v>
      </c>
      <c r="I5088" s="7" t="str">
        <f>HYPERLINK("http://www.informatics.jax.org/marker/MGI:109635","MGI:109635")</f>
        <v>MGI:109635</v>
      </c>
      <c r="J5088" s="4" t="s">
        <v>12</v>
      </c>
    </row>
    <row r="5089" spans="1:10" x14ac:dyDescent="0.25">
      <c r="A5089" s="2">
        <v>569.60547892244199</v>
      </c>
      <c r="B5089" s="3">
        <v>-0.29855365901021502</v>
      </c>
      <c r="C5089" s="5">
        <v>1.85170759011745E-7</v>
      </c>
      <c r="D5089" s="6">
        <v>8.2223989365269195E-7</v>
      </c>
      <c r="E5089" s="3" t="s">
        <v>8899</v>
      </c>
      <c r="F5089" s="3" t="s">
        <v>8900</v>
      </c>
      <c r="G5089" s="3">
        <v>11546</v>
      </c>
      <c r="H5089" s="7" t="str">
        <f>HYPERLINK("http://www.ensembl.org/Mus_musculus/Gene/Summary?db=core;g=ENSMUSG00000036023","ENSMUSG00000036023")</f>
        <v>ENSMUSG00000036023</v>
      </c>
      <c r="I5089" s="7" t="str">
        <f>HYPERLINK("http://www.informatics.jax.org/marker/MGI:1341112","MGI:1341112")</f>
        <v>MGI:1341112</v>
      </c>
      <c r="J5089" s="4" t="s">
        <v>12</v>
      </c>
    </row>
    <row r="5090" spans="1:10" x14ac:dyDescent="0.25">
      <c r="A5090" s="2">
        <v>575.21314647675797</v>
      </c>
      <c r="B5090" s="3">
        <v>-0.29865962533526802</v>
      </c>
      <c r="C5090" s="5">
        <v>3.4944073742728401E-6</v>
      </c>
      <c r="D5090" s="6">
        <v>1.36970211529836E-5</v>
      </c>
      <c r="E5090" s="3" t="s">
        <v>10078</v>
      </c>
      <c r="F5090" s="3" t="s">
        <v>10079</v>
      </c>
      <c r="G5090" s="3">
        <v>74108</v>
      </c>
      <c r="H5090" s="7" t="str">
        <f>HYPERLINK("http://www.ensembl.org/Mus_musculus/Gene/Summary?db=core;g=ENSMUSG00000022685","ENSMUSG00000022685")</f>
        <v>ENSMUSG00000022685</v>
      </c>
      <c r="I5090" s="7" t="str">
        <f>HYPERLINK("http://www.informatics.jax.org/marker/MGI:1921358","MGI:1921358")</f>
        <v>MGI:1921358</v>
      </c>
      <c r="J5090" s="4" t="s">
        <v>12</v>
      </c>
    </row>
    <row r="5091" spans="1:10" x14ac:dyDescent="0.25">
      <c r="A5091" s="2">
        <v>399.89324214010799</v>
      </c>
      <c r="B5091" s="3">
        <v>-0.29874205513851698</v>
      </c>
      <c r="C5091" s="3">
        <v>1.33558179241102E-3</v>
      </c>
      <c r="D5091" s="4">
        <v>3.8663642023407702E-3</v>
      </c>
      <c r="E5091" s="3" t="s">
        <v>13633</v>
      </c>
      <c r="F5091" s="3" t="s">
        <v>13634</v>
      </c>
      <c r="G5091" s="3" t="s">
        <v>83</v>
      </c>
      <c r="H5091" s="7" t="str">
        <f>HYPERLINK("http://www.ensembl.org/Mus_musculus/Gene/Summary?db=core;g=ENSMUSG00000097119","ENSMUSG00000097119")</f>
        <v>ENSMUSG00000097119</v>
      </c>
      <c r="I5091" s="7" t="str">
        <f>HYPERLINK("http://www.informatics.jax.org/marker/MGI:2443272","MGI:2443272")</f>
        <v>MGI:2443272</v>
      </c>
      <c r="J5091" s="4" t="s">
        <v>3187</v>
      </c>
    </row>
    <row r="5092" spans="1:10" x14ac:dyDescent="0.25">
      <c r="A5092" s="2">
        <v>579.81354030477496</v>
      </c>
      <c r="B5092" s="3">
        <v>-0.29885464906000597</v>
      </c>
      <c r="C5092" s="3">
        <v>1.7815630709747399E-2</v>
      </c>
      <c r="D5092" s="4">
        <v>4.2049579604574401E-2</v>
      </c>
      <c r="E5092" s="3" t="s">
        <v>16714</v>
      </c>
      <c r="F5092" s="3" t="s">
        <v>16715</v>
      </c>
      <c r="G5092" s="3">
        <v>68339</v>
      </c>
      <c r="H5092" s="7" t="str">
        <f>HYPERLINK("http://www.ensembl.org/Mus_musculus/Gene/Summary?db=core;g=ENSMUSG00000021182","ENSMUSG00000021182")</f>
        <v>ENSMUSG00000021182</v>
      </c>
      <c r="I5092" s="7" t="str">
        <f>HYPERLINK("http://www.informatics.jax.org/marker/MGI:1915589","MGI:1915589")</f>
        <v>MGI:1915589</v>
      </c>
      <c r="J5092" s="4" t="s">
        <v>12</v>
      </c>
    </row>
    <row r="5093" spans="1:10" x14ac:dyDescent="0.25">
      <c r="A5093" s="2">
        <v>791.82977538639102</v>
      </c>
      <c r="B5093" s="3">
        <v>-0.29886384463327698</v>
      </c>
      <c r="C5093" s="5">
        <v>4.2639735163580699E-6</v>
      </c>
      <c r="D5093" s="6">
        <v>1.6568582806419899E-5</v>
      </c>
      <c r="E5093" s="3" t="s">
        <v>10164</v>
      </c>
      <c r="F5093" s="3" t="s">
        <v>10165</v>
      </c>
      <c r="G5093" s="3">
        <v>74244</v>
      </c>
      <c r="H5093" s="7" t="str">
        <f>HYPERLINK("http://www.ensembl.org/Mus_musculus/Gene/Summary?db=core;g=ENSMUSG00000030314","ENSMUSG00000030314")</f>
        <v>ENSMUSG00000030314</v>
      </c>
      <c r="I5093" s="7" t="str">
        <f>HYPERLINK("http://www.informatics.jax.org/marker/MGI:1921494","MGI:1921494")</f>
        <v>MGI:1921494</v>
      </c>
      <c r="J5093" s="4" t="s">
        <v>12</v>
      </c>
    </row>
    <row r="5094" spans="1:10" x14ac:dyDescent="0.25">
      <c r="A5094" s="2">
        <v>107.959722780386</v>
      </c>
      <c r="B5094" s="3">
        <v>-0.29887690596448802</v>
      </c>
      <c r="C5094" s="3">
        <v>1.0954513544333499E-2</v>
      </c>
      <c r="D5094" s="4">
        <v>2.7013005763943498E-2</v>
      </c>
      <c r="E5094" s="3" t="s">
        <v>15999</v>
      </c>
      <c r="F5094" s="3" t="s">
        <v>16000</v>
      </c>
      <c r="G5094" s="3">
        <v>72041</v>
      </c>
      <c r="H5094" s="7" t="str">
        <f>HYPERLINK("http://www.ensembl.org/Mus_musculus/Gene/Summary?db=core;g=ENSMUSG00000039754","ENSMUSG00000039754")</f>
        <v>ENSMUSG00000039754</v>
      </c>
      <c r="I5094" s="7" t="str">
        <f>HYPERLINK("http://www.informatics.jax.org/marker/MGI:1919291","MGI:1919291")</f>
        <v>MGI:1919291</v>
      </c>
      <c r="J5094" s="4" t="s">
        <v>12</v>
      </c>
    </row>
    <row r="5095" spans="1:10" x14ac:dyDescent="0.25">
      <c r="A5095" s="2">
        <v>1789.313822909</v>
      </c>
      <c r="B5095" s="3">
        <v>-0.299185854746986</v>
      </c>
      <c r="C5095" s="5">
        <v>2.29865726170144E-10</v>
      </c>
      <c r="D5095" s="6">
        <v>1.29809625431708E-9</v>
      </c>
      <c r="E5095" s="3" t="s">
        <v>7002</v>
      </c>
      <c r="F5095" s="3" t="s">
        <v>7003</v>
      </c>
      <c r="G5095" s="3">
        <v>16195</v>
      </c>
      <c r="H5095" s="7" t="str">
        <f>HYPERLINK("http://www.ensembl.org/Mus_musculus/Gene/Summary?db=core;g=ENSMUSG00000021756","ENSMUSG00000021756")</f>
        <v>ENSMUSG00000021756</v>
      </c>
      <c r="I5095" s="7" t="str">
        <f>HYPERLINK("http://www.informatics.jax.org/marker/MGI:96560","MGI:96560")</f>
        <v>MGI:96560</v>
      </c>
      <c r="J5095" s="4" t="s">
        <v>12</v>
      </c>
    </row>
    <row r="5096" spans="1:10" x14ac:dyDescent="0.25">
      <c r="A5096" s="2">
        <v>517.67376551877601</v>
      </c>
      <c r="B5096" s="3">
        <v>-0.29932111571860898</v>
      </c>
      <c r="C5096" s="3">
        <v>1.02593242813516E-4</v>
      </c>
      <c r="D5096" s="4">
        <v>3.4577657636003002E-4</v>
      </c>
      <c r="E5096" s="3" t="s">
        <v>11713</v>
      </c>
      <c r="F5096" s="3" t="s">
        <v>11714</v>
      </c>
      <c r="G5096" s="3">
        <v>67136</v>
      </c>
      <c r="H5096" s="7" t="str">
        <f>HYPERLINK("http://www.ensembl.org/Mus_musculus/Gene/Summary?db=core;g=ENSMUSG00000005505","ENSMUSG00000005505")</f>
        <v>ENSMUSG00000005505</v>
      </c>
      <c r="I5096" s="7" t="str">
        <f>HYPERLINK("http://www.informatics.jax.org/marker/MGI:1914386","MGI:1914386")</f>
        <v>MGI:1914386</v>
      </c>
      <c r="J5096" s="4" t="s">
        <v>12</v>
      </c>
    </row>
    <row r="5097" spans="1:10" x14ac:dyDescent="0.25">
      <c r="A5097" s="2">
        <v>1648.47329779137</v>
      </c>
      <c r="B5097" s="3">
        <v>-0.29970302926160602</v>
      </c>
      <c r="C5097" s="5">
        <v>8.0879675698197702E-7</v>
      </c>
      <c r="D5097" s="6">
        <v>3.3748353888456598E-6</v>
      </c>
      <c r="E5097" s="3" t="s">
        <v>9467</v>
      </c>
      <c r="F5097" s="3" t="s">
        <v>9468</v>
      </c>
      <c r="G5097" s="3">
        <v>16443</v>
      </c>
      <c r="H5097" s="7" t="str">
        <f>HYPERLINK("http://www.ensembl.org/Mus_musculus/Gene/Summary?db=core;g=ENSMUSG00000022957","ENSMUSG00000022957")</f>
        <v>ENSMUSG00000022957</v>
      </c>
      <c r="I5097" s="7" t="str">
        <f>HYPERLINK("http://www.informatics.jax.org/marker/MGI:1338069","MGI:1338069")</f>
        <v>MGI:1338069</v>
      </c>
      <c r="J5097" s="4" t="s">
        <v>12</v>
      </c>
    </row>
    <row r="5098" spans="1:10" x14ac:dyDescent="0.25">
      <c r="A5098" s="2">
        <v>622.03642658721503</v>
      </c>
      <c r="B5098" s="3">
        <v>-0.29972683566025898</v>
      </c>
      <c r="C5098" s="5">
        <v>2.9307173980405902E-6</v>
      </c>
      <c r="D5098" s="6">
        <v>1.15842347342875E-5</v>
      </c>
      <c r="E5098" s="3" t="s">
        <v>9994</v>
      </c>
      <c r="F5098" s="3" t="s">
        <v>9995</v>
      </c>
      <c r="G5098" s="3">
        <v>497652</v>
      </c>
      <c r="H5098" s="7" t="str">
        <f>HYPERLINK("http://www.ensembl.org/Mus_musculus/Gene/Summary?db=core;g=ENSMUSG00000038000","ENSMUSG00000038000")</f>
        <v>ENSMUSG00000038000</v>
      </c>
      <c r="I5098" s="7" t="str">
        <f>HYPERLINK("http://www.informatics.jax.org/marker/MGI:87873","MGI:87873")</f>
        <v>MGI:87873</v>
      </c>
      <c r="J5098" s="4" t="s">
        <v>12</v>
      </c>
    </row>
    <row r="5099" spans="1:10" x14ac:dyDescent="0.25">
      <c r="A5099" s="2">
        <v>744.75296565710698</v>
      </c>
      <c r="B5099" s="3">
        <v>-0.30076992003638597</v>
      </c>
      <c r="C5099" s="3">
        <v>1.0104417490190699E-4</v>
      </c>
      <c r="D5099" s="4">
        <v>3.4090524021653001E-4</v>
      </c>
      <c r="E5099" s="3" t="s">
        <v>11701</v>
      </c>
      <c r="F5099" s="3" t="s">
        <v>11702</v>
      </c>
      <c r="G5099" s="3">
        <v>17826</v>
      </c>
      <c r="H5099" s="7" t="str">
        <f>HYPERLINK("http://www.ensembl.org/Mus_musculus/Gene/Summary?db=core;g=ENSMUSG00000024939","ENSMUSG00000024939")</f>
        <v>ENSMUSG00000024939</v>
      </c>
      <c r="I5099" s="7" t="str">
        <f>HYPERLINK("http://www.informatics.jax.org/marker/MGI:106595","MGI:106595")</f>
        <v>MGI:106595</v>
      </c>
      <c r="J5099" s="4" t="s">
        <v>12</v>
      </c>
    </row>
    <row r="5100" spans="1:10" x14ac:dyDescent="0.25">
      <c r="A5100" s="2">
        <v>2798.0042698472298</v>
      </c>
      <c r="B5100" s="3">
        <v>-0.30089682861487399</v>
      </c>
      <c r="C5100" s="3">
        <v>3.2573196249729498E-4</v>
      </c>
      <c r="D5100" s="4">
        <v>1.02758507445955E-3</v>
      </c>
      <c r="E5100" s="3" t="s">
        <v>12515</v>
      </c>
      <c r="F5100" s="3" t="s">
        <v>12516</v>
      </c>
      <c r="G5100" s="3">
        <v>74355</v>
      </c>
      <c r="H5100" s="7" t="str">
        <f>HYPERLINK("http://www.ensembl.org/Mus_musculus/Gene/Summary?db=core;g=ENSMUSG00000024054","ENSMUSG00000024054")</f>
        <v>ENSMUSG00000024054</v>
      </c>
      <c r="I5100" s="7" t="str">
        <f>HYPERLINK("http://www.informatics.jax.org/marker/MGI:1921605","MGI:1921605")</f>
        <v>MGI:1921605</v>
      </c>
      <c r="J5100" s="4" t="s">
        <v>12</v>
      </c>
    </row>
    <row r="5101" spans="1:10" x14ac:dyDescent="0.25">
      <c r="A5101" s="2">
        <v>480.80408755132299</v>
      </c>
      <c r="B5101" s="3">
        <v>-0.301195636385306</v>
      </c>
      <c r="C5101" s="3">
        <v>1.86403207585359E-3</v>
      </c>
      <c r="D5101" s="4">
        <v>5.2844612616205896E-3</v>
      </c>
      <c r="E5101" s="3" t="s">
        <v>13919</v>
      </c>
      <c r="F5101" s="3" t="s">
        <v>13920</v>
      </c>
      <c r="G5101" s="3">
        <v>19159</v>
      </c>
      <c r="H5101" s="7" t="str">
        <f>HYPERLINK("http://www.ensembl.org/Mus_musculus/Gene/Summary?db=core;g=ENSMUSG00000018001","ENSMUSG00000018001")</f>
        <v>ENSMUSG00000018001</v>
      </c>
      <c r="I5101" s="7" t="str">
        <f>HYPERLINK("http://www.informatics.jax.org/marker/MGI:1335107","MGI:1335107")</f>
        <v>MGI:1335107</v>
      </c>
      <c r="J5101" s="4" t="s">
        <v>12</v>
      </c>
    </row>
    <row r="5102" spans="1:10" x14ac:dyDescent="0.25">
      <c r="A5102" s="2">
        <v>2903.4867506095002</v>
      </c>
      <c r="B5102" s="3">
        <v>-0.30158644816935698</v>
      </c>
      <c r="C5102" s="5">
        <v>7.0384764316990496E-8</v>
      </c>
      <c r="D5102" s="6">
        <v>3.2293800659168298E-7</v>
      </c>
      <c r="E5102" s="3" t="s">
        <v>8613</v>
      </c>
      <c r="F5102" s="3" t="s">
        <v>8614</v>
      </c>
      <c r="G5102" s="3">
        <v>52615</v>
      </c>
      <c r="H5102" s="7" t="str">
        <f>HYPERLINK("http://www.ensembl.org/Mus_musculus/Gene/Summary?db=core;g=ENSMUSG00000017548","ENSMUSG00000017548")</f>
        <v>ENSMUSG00000017548</v>
      </c>
      <c r="I5102" s="7" t="str">
        <f>HYPERLINK("http://www.informatics.jax.org/marker/MGI:1261758","MGI:1261758")</f>
        <v>MGI:1261758</v>
      </c>
      <c r="J5102" s="4" t="s">
        <v>12</v>
      </c>
    </row>
    <row r="5103" spans="1:10" x14ac:dyDescent="0.25">
      <c r="A5103" s="2">
        <v>1690.91069588917</v>
      </c>
      <c r="B5103" s="3">
        <v>-0.30166734175746701</v>
      </c>
      <c r="C5103" s="5">
        <v>7.8811926976291605E-8</v>
      </c>
      <c r="D5103" s="6">
        <v>3.6026221603441602E-7</v>
      </c>
      <c r="E5103" s="3" t="s">
        <v>8645</v>
      </c>
      <c r="F5103" s="3" t="s">
        <v>8646</v>
      </c>
      <c r="G5103" s="3">
        <v>104248</v>
      </c>
      <c r="H5103" s="7" t="str">
        <f>HYPERLINK("http://www.ensembl.org/Mus_musculus/Gene/Summary?db=core;g=ENSMUSG00000020196","ENSMUSG00000020196")</f>
        <v>ENSMUSG00000020196</v>
      </c>
      <c r="I5103" s="7" t="str">
        <f>HYPERLINK("http://www.informatics.jax.org/marker/MGI:1298375","MGI:1298375")</f>
        <v>MGI:1298375</v>
      </c>
      <c r="J5103" s="4" t="s">
        <v>12</v>
      </c>
    </row>
    <row r="5104" spans="1:10" x14ac:dyDescent="0.25">
      <c r="A5104" s="2">
        <v>2608.1500633393998</v>
      </c>
      <c r="B5104" s="3">
        <v>-0.30173347172645398</v>
      </c>
      <c r="C5104" s="5">
        <v>4.06343318037565E-8</v>
      </c>
      <c r="D5104" s="6">
        <v>1.90018739191387E-7</v>
      </c>
      <c r="E5104" s="3" t="s">
        <v>8451</v>
      </c>
      <c r="F5104" s="3" t="s">
        <v>8452</v>
      </c>
      <c r="G5104" s="3">
        <v>100683</v>
      </c>
      <c r="H5104" s="7" t="str">
        <f>HYPERLINK("http://www.ensembl.org/Mus_musculus/Gene/Summary?db=core;g=ENSMUSG00000045482","ENSMUSG00000045482")</f>
        <v>ENSMUSG00000045482</v>
      </c>
      <c r="I5104" s="7" t="str">
        <f>HYPERLINK("http://www.informatics.jax.org/marker/MGI:2153272","MGI:2153272")</f>
        <v>MGI:2153272</v>
      </c>
      <c r="J5104" s="4" t="s">
        <v>12</v>
      </c>
    </row>
    <row r="5105" spans="1:10" x14ac:dyDescent="0.25">
      <c r="A5105" s="2">
        <v>124.033378101699</v>
      </c>
      <c r="B5105" s="3">
        <v>-0.30180838063830701</v>
      </c>
      <c r="C5105" s="3">
        <v>1.50914919456837E-2</v>
      </c>
      <c r="D5105" s="4">
        <v>3.6174087901894102E-2</v>
      </c>
      <c r="E5105" s="3" t="s">
        <v>16457</v>
      </c>
      <c r="F5105" s="3" t="s">
        <v>16458</v>
      </c>
      <c r="G5105" s="3">
        <v>74766</v>
      </c>
      <c r="H5105" s="7" t="str">
        <f>HYPERLINK("http://www.ensembl.org/Mus_musculus/Gene/Summary?db=core;g=ENSMUSG00000032182","ENSMUSG00000032182")</f>
        <v>ENSMUSG00000032182</v>
      </c>
      <c r="I5105" s="7" t="str">
        <f>HYPERLINK("http://www.informatics.jax.org/marker/MGI:1922016","MGI:1922016")</f>
        <v>MGI:1922016</v>
      </c>
      <c r="J5105" s="4" t="s">
        <v>12</v>
      </c>
    </row>
    <row r="5106" spans="1:10" x14ac:dyDescent="0.25">
      <c r="A5106" s="2">
        <v>1820.49572331113</v>
      </c>
      <c r="B5106" s="3">
        <v>-0.30188400246630498</v>
      </c>
      <c r="C5106" s="5">
        <v>1.37205597195793E-10</v>
      </c>
      <c r="D5106" s="6">
        <v>7.8952272445317904E-10</v>
      </c>
      <c r="E5106" s="3" t="s">
        <v>6872</v>
      </c>
      <c r="F5106" s="3" t="s">
        <v>6873</v>
      </c>
      <c r="G5106" s="3">
        <v>228875</v>
      </c>
      <c r="H5106" s="7" t="str">
        <f>HYPERLINK("http://www.ensembl.org/Mus_musculus/Gene/Summary?db=core;g=ENSMUSG00000017664","ENSMUSG00000017664")</f>
        <v>ENSMUSG00000017664</v>
      </c>
      <c r="I5106" s="7" t="str">
        <f>HYPERLINK("http://www.informatics.jax.org/marker/MGI:2385166","MGI:2385166")</f>
        <v>MGI:2385166</v>
      </c>
      <c r="J5106" s="4" t="s">
        <v>12</v>
      </c>
    </row>
    <row r="5107" spans="1:10" x14ac:dyDescent="0.25">
      <c r="A5107" s="2">
        <v>308.27471592845302</v>
      </c>
      <c r="B5107" s="3">
        <v>-0.30199819770699499</v>
      </c>
      <c r="C5107" s="3">
        <v>5.9908864725709699E-4</v>
      </c>
      <c r="D5107" s="4">
        <v>1.8262526084263299E-3</v>
      </c>
      <c r="E5107" s="3" t="s">
        <v>12947</v>
      </c>
      <c r="F5107" s="3" t="s">
        <v>12948</v>
      </c>
      <c r="G5107" s="3">
        <v>21841</v>
      </c>
      <c r="H5107" s="7" t="str">
        <f>HYPERLINK("http://www.ensembl.org/Mus_musculus/Gene/Summary?db=core;g=ENSMUSG00000071337","ENSMUSG00000071337")</f>
        <v>ENSMUSG00000071337</v>
      </c>
      <c r="I5107" s="7" t="str">
        <f>HYPERLINK("http://www.informatics.jax.org/marker/MGI:107914","MGI:107914")</f>
        <v>MGI:107914</v>
      </c>
      <c r="J5107" s="4" t="s">
        <v>12</v>
      </c>
    </row>
    <row r="5108" spans="1:10" x14ac:dyDescent="0.25">
      <c r="A5108" s="2">
        <v>370.00040247523498</v>
      </c>
      <c r="B5108" s="3">
        <v>-0.30233321294288801</v>
      </c>
      <c r="C5108" s="3">
        <v>1.2829907530943901E-4</v>
      </c>
      <c r="D5108" s="4">
        <v>4.2679786860697202E-4</v>
      </c>
      <c r="E5108" s="3" t="s">
        <v>11867</v>
      </c>
      <c r="F5108" s="3" t="s">
        <v>11868</v>
      </c>
      <c r="G5108" s="3">
        <v>66867</v>
      </c>
      <c r="H5108" s="7" t="str">
        <f>HYPERLINK("http://www.ensembl.org/Mus_musculus/Gene/Summary?db=core;g=ENSMUSG00000032329","ENSMUSG00000032329")</f>
        <v>ENSMUSG00000032329</v>
      </c>
      <c r="I5108" s="7" t="str">
        <f>HYPERLINK("http://www.informatics.jax.org/marker/MGI:1914117","MGI:1914117")</f>
        <v>MGI:1914117</v>
      </c>
      <c r="J5108" s="4" t="s">
        <v>12</v>
      </c>
    </row>
    <row r="5109" spans="1:10" x14ac:dyDescent="0.25">
      <c r="A5109" s="2">
        <v>212.84501700441399</v>
      </c>
      <c r="B5109" s="3">
        <v>-0.30238397343774298</v>
      </c>
      <c r="C5109" s="3">
        <v>1.0895862447031499E-3</v>
      </c>
      <c r="D5109" s="4">
        <v>3.1959899963626601E-3</v>
      </c>
      <c r="E5109" s="3" t="s">
        <v>13455</v>
      </c>
      <c r="F5109" s="3" t="s">
        <v>13456</v>
      </c>
      <c r="G5109" s="3">
        <v>54632</v>
      </c>
      <c r="H5109" s="7" t="str">
        <f>HYPERLINK("http://www.ensembl.org/Mus_musculus/Gene/Summary?db=core;g=ENSMUSG00000031171","ENSMUSG00000031171")</f>
        <v>ENSMUSG00000031171</v>
      </c>
      <c r="I5109" s="7" t="str">
        <f>HYPERLINK("http://www.informatics.jax.org/marker/MGI:1859648","MGI:1859648")</f>
        <v>MGI:1859648</v>
      </c>
      <c r="J5109" s="4" t="s">
        <v>12</v>
      </c>
    </row>
    <row r="5110" spans="1:10" x14ac:dyDescent="0.25">
      <c r="A5110" s="2">
        <v>959.12120573214099</v>
      </c>
      <c r="B5110" s="3">
        <v>-0.30263527954546798</v>
      </c>
      <c r="C5110" s="3">
        <v>1.85432912002032E-4</v>
      </c>
      <c r="D5110" s="4">
        <v>6.0392023528985604E-4</v>
      </c>
      <c r="E5110" s="3" t="s">
        <v>12121</v>
      </c>
      <c r="F5110" s="3" t="s">
        <v>12122</v>
      </c>
      <c r="G5110" s="3">
        <v>218294</v>
      </c>
      <c r="H5110" s="7" t="str">
        <f>HYPERLINK("http://www.ensembl.org/Mus_musculus/Gene/Summary?db=core;g=ENSMUSG00000033102","ENSMUSG00000033102")</f>
        <v>ENSMUSG00000033102</v>
      </c>
      <c r="I5110" s="7" t="str">
        <f>HYPERLINK("http://www.informatics.jax.org/marker/MGI:2441808","MGI:2441808")</f>
        <v>MGI:2441808</v>
      </c>
      <c r="J5110" s="4" t="s">
        <v>12</v>
      </c>
    </row>
    <row r="5111" spans="1:10" x14ac:dyDescent="0.25">
      <c r="A5111" s="2">
        <v>921.57129200807799</v>
      </c>
      <c r="B5111" s="3">
        <v>-0.30289041444388098</v>
      </c>
      <c r="C5111" s="3">
        <v>1.30062802507909E-2</v>
      </c>
      <c r="D5111" s="4">
        <v>3.1608376481834899E-2</v>
      </c>
      <c r="E5111" s="3" t="s">
        <v>16235</v>
      </c>
      <c r="F5111" s="3" t="s">
        <v>16236</v>
      </c>
      <c r="G5111" s="3">
        <v>71914</v>
      </c>
      <c r="H5111" s="7" t="str">
        <f>HYPERLINK("http://www.ensembl.org/Mus_musculus/Gene/Summary?db=core;g=ENSMUSG00000029338","ENSMUSG00000029338")</f>
        <v>ENSMUSG00000029338</v>
      </c>
      <c r="I5111" s="7" t="str">
        <f>HYPERLINK("http://www.informatics.jax.org/marker/MGI:1919164","MGI:1919164")</f>
        <v>MGI:1919164</v>
      </c>
      <c r="J5111" s="4" t="s">
        <v>12</v>
      </c>
    </row>
    <row r="5112" spans="1:10" x14ac:dyDescent="0.25">
      <c r="A5112" s="2">
        <v>342.17685014115102</v>
      </c>
      <c r="B5112" s="3">
        <v>-0.30347921499026898</v>
      </c>
      <c r="C5112" s="3">
        <v>1.5855709409801801E-4</v>
      </c>
      <c r="D5112" s="4">
        <v>5.2086388399348799E-4</v>
      </c>
      <c r="E5112" s="3" t="s">
        <v>12017</v>
      </c>
      <c r="F5112" s="3" t="s">
        <v>12018</v>
      </c>
      <c r="G5112" s="3">
        <v>223665</v>
      </c>
      <c r="H5112" s="7" t="str">
        <f>HYPERLINK("http://www.ensembl.org/Mus_musculus/Gene/Summary?db=core;g=ENSMUSG00000116138","ENSMUSG00000116138")</f>
        <v>ENSMUSG00000116138</v>
      </c>
      <c r="I5112" s="7" t="str">
        <f>HYPERLINK("http://www.informatics.jax.org/marker/MGI:1925941","MGI:1925941")</f>
        <v>MGI:1925941</v>
      </c>
      <c r="J5112" s="4" t="s">
        <v>12</v>
      </c>
    </row>
    <row r="5113" spans="1:10" x14ac:dyDescent="0.25">
      <c r="A5113" s="2">
        <v>305.72941349963497</v>
      </c>
      <c r="B5113" s="3">
        <v>-0.30366222787530001</v>
      </c>
      <c r="C5113" s="3">
        <v>1.7805017316903299E-3</v>
      </c>
      <c r="D5113" s="4">
        <v>5.0665936722847603E-3</v>
      </c>
      <c r="E5113" s="3" t="s">
        <v>13867</v>
      </c>
      <c r="F5113" s="3" t="s">
        <v>13868</v>
      </c>
      <c r="G5113" s="3">
        <v>18203</v>
      </c>
      <c r="H5113" s="7" t="str">
        <f>HYPERLINK("http://www.ensembl.org/Mus_musculus/Gene/Summary?db=core;g=ENSMUSG00000022681","ENSMUSG00000022681")</f>
        <v>ENSMUSG00000022681</v>
      </c>
      <c r="I5113" s="7" t="str">
        <f>HYPERLINK("http://www.informatics.jax.org/marker/MGI:108471","MGI:108471")</f>
        <v>MGI:108471</v>
      </c>
      <c r="J5113" s="4" t="s">
        <v>12</v>
      </c>
    </row>
    <row r="5114" spans="1:10" x14ac:dyDescent="0.25">
      <c r="A5114" s="2">
        <v>425.98861329676498</v>
      </c>
      <c r="B5114" s="3">
        <v>-0.30416484060981003</v>
      </c>
      <c r="C5114" s="5">
        <v>6.8365874336060096E-5</v>
      </c>
      <c r="D5114" s="4">
        <v>2.3454680617729701E-4</v>
      </c>
      <c r="E5114" s="3" t="s">
        <v>11507</v>
      </c>
      <c r="F5114" s="3" t="s">
        <v>11508</v>
      </c>
      <c r="G5114" s="3">
        <v>67106</v>
      </c>
      <c r="H5114" s="7" t="str">
        <f>HYPERLINK("http://www.ensembl.org/Mus_musculus/Gene/Summary?db=core;g=ENSMUSG00000057572","ENSMUSG00000057572")</f>
        <v>ENSMUSG00000057572</v>
      </c>
      <c r="I5114" s="7" t="str">
        <f>HYPERLINK("http://www.informatics.jax.org/marker/MGI:1914356","MGI:1914356")</f>
        <v>MGI:1914356</v>
      </c>
      <c r="J5114" s="4" t="s">
        <v>12</v>
      </c>
    </row>
    <row r="5115" spans="1:10" x14ac:dyDescent="0.25">
      <c r="A5115" s="2">
        <v>1077.3456009773699</v>
      </c>
      <c r="B5115" s="3">
        <v>-0.30417796564911798</v>
      </c>
      <c r="C5115" s="5">
        <v>5.6295885293777397E-7</v>
      </c>
      <c r="D5115" s="6">
        <v>2.39205959490043E-6</v>
      </c>
      <c r="E5115" s="3" t="s">
        <v>9297</v>
      </c>
      <c r="F5115" s="3" t="s">
        <v>9298</v>
      </c>
      <c r="G5115" s="3">
        <v>75805</v>
      </c>
      <c r="H5115" s="7" t="str">
        <f>HYPERLINK("http://www.ensembl.org/Mus_musculus/Gene/Summary?db=core;g=ENSMUSG00000021710","ENSMUSG00000021710")</f>
        <v>ENSMUSG00000021710</v>
      </c>
      <c r="I5115" s="7" t="str">
        <f>HYPERLINK("http://www.informatics.jax.org/marker/MGI:1923055","MGI:1923055")</f>
        <v>MGI:1923055</v>
      </c>
      <c r="J5115" s="4" t="s">
        <v>12</v>
      </c>
    </row>
    <row r="5116" spans="1:10" x14ac:dyDescent="0.25">
      <c r="A5116" s="2">
        <v>271.07869008505099</v>
      </c>
      <c r="B5116" s="3">
        <v>-0.304834147677357</v>
      </c>
      <c r="C5116" s="5">
        <v>5.9433367258694002E-5</v>
      </c>
      <c r="D5116" s="4">
        <v>2.0543838778991201E-4</v>
      </c>
      <c r="E5116" s="3" t="s">
        <v>11421</v>
      </c>
      <c r="F5116" s="3" t="s">
        <v>11422</v>
      </c>
      <c r="G5116" s="3">
        <v>233405</v>
      </c>
      <c r="H5116" s="7" t="str">
        <f>HYPERLINK("http://www.ensembl.org/Mus_musculus/Gene/Summary?db=core;g=ENSMUSG00000030534","ENSMUSG00000030534")</f>
        <v>ENSMUSG00000030534</v>
      </c>
      <c r="I5116" s="7" t="str">
        <f>HYPERLINK("http://www.informatics.jax.org/marker/MGI:2446237","MGI:2446237")</f>
        <v>MGI:2446237</v>
      </c>
      <c r="J5116" s="4" t="s">
        <v>12</v>
      </c>
    </row>
    <row r="5117" spans="1:10" x14ac:dyDescent="0.25">
      <c r="A5117" s="2">
        <v>429.64018165520099</v>
      </c>
      <c r="B5117" s="3">
        <v>-0.30494846625092398</v>
      </c>
      <c r="C5117" s="3">
        <v>5.6259019153854298E-3</v>
      </c>
      <c r="D5117" s="4">
        <v>1.47314813134246E-2</v>
      </c>
      <c r="E5117" s="3" t="s">
        <v>15066</v>
      </c>
      <c r="F5117" s="3" t="s">
        <v>15067</v>
      </c>
      <c r="G5117" s="3">
        <v>72504</v>
      </c>
      <c r="H5117" s="7" t="str">
        <f>HYPERLINK("http://www.ensembl.org/Mus_musculus/Gene/Summary?db=core;g=ENSMUSG00000054321","ENSMUSG00000054321")</f>
        <v>ENSMUSG00000054321</v>
      </c>
      <c r="I5117" s="7" t="str">
        <f>HYPERLINK("http://www.informatics.jax.org/marker/MGI:2152345","MGI:2152345")</f>
        <v>MGI:2152345</v>
      </c>
      <c r="J5117" s="4" t="s">
        <v>12</v>
      </c>
    </row>
    <row r="5118" spans="1:10" x14ac:dyDescent="0.25">
      <c r="A5118" s="2">
        <v>380.96231186118399</v>
      </c>
      <c r="B5118" s="3">
        <v>-0.30502351949894801</v>
      </c>
      <c r="C5118" s="3">
        <v>3.3748356410246302E-3</v>
      </c>
      <c r="D5118" s="4">
        <v>9.1770213514900303E-3</v>
      </c>
      <c r="E5118" s="3" t="s">
        <v>14507</v>
      </c>
      <c r="F5118" s="3" t="s">
        <v>14508</v>
      </c>
      <c r="G5118" s="3">
        <v>211660</v>
      </c>
      <c r="H5118" s="7" t="str">
        <f>HYPERLINK("http://www.ensembl.org/Mus_musculus/Gene/Summary?db=core;g=ENSMUSG00000056763","ENSMUSG00000056763")</f>
        <v>ENSMUSG00000056763</v>
      </c>
      <c r="I5118" s="7" t="str">
        <f>HYPERLINK("http://www.informatics.jax.org/marker/MGI:2681832","MGI:2681832")</f>
        <v>MGI:2681832</v>
      </c>
      <c r="J5118" s="4" t="s">
        <v>12</v>
      </c>
    </row>
    <row r="5119" spans="1:10" x14ac:dyDescent="0.25">
      <c r="A5119" s="2">
        <v>1060.98108522491</v>
      </c>
      <c r="B5119" s="3">
        <v>-0.30529929319613502</v>
      </c>
      <c r="C5119" s="3">
        <v>2.6708398055776198E-4</v>
      </c>
      <c r="D5119" s="4">
        <v>8.5293863912535596E-4</v>
      </c>
      <c r="E5119" s="3" t="s">
        <v>12360</v>
      </c>
      <c r="F5119" s="3" t="s">
        <v>12361</v>
      </c>
      <c r="G5119" s="3">
        <v>78797</v>
      </c>
      <c r="H5119" s="7" t="str">
        <f>HYPERLINK("http://www.ensembl.org/Mus_musculus/Gene/Summary?db=core;g=ENSMUSG00000115074","ENSMUSG00000115074")</f>
        <v>ENSMUSG00000115074</v>
      </c>
      <c r="I5119" s="7" t="str">
        <f>HYPERLINK("http://www.informatics.jax.org/marker/MGI:1926047","MGI:1926047")</f>
        <v>MGI:1926047</v>
      </c>
      <c r="J5119" s="4" t="s">
        <v>12</v>
      </c>
    </row>
    <row r="5120" spans="1:10" x14ac:dyDescent="0.25">
      <c r="A5120" s="2">
        <v>884.87652183420801</v>
      </c>
      <c r="B5120" s="3">
        <v>-0.30562966096264199</v>
      </c>
      <c r="C5120" s="3">
        <v>5.6676963988491497E-3</v>
      </c>
      <c r="D5120" s="4">
        <v>1.48271388943095E-2</v>
      </c>
      <c r="E5120" s="3" t="s">
        <v>15080</v>
      </c>
      <c r="F5120" s="3" t="s">
        <v>15081</v>
      </c>
      <c r="G5120" s="3">
        <v>11676</v>
      </c>
      <c r="H5120" s="7" t="str">
        <f>HYPERLINK("http://www.ensembl.org/Mus_musculus/Gene/Summary?db=core;g=ENSMUSG00000017390","ENSMUSG00000017390")</f>
        <v>ENSMUSG00000017390</v>
      </c>
      <c r="I5120" s="7" t="str">
        <f>HYPERLINK("http://www.informatics.jax.org/marker/MGI:101863","MGI:101863")</f>
        <v>MGI:101863</v>
      </c>
      <c r="J5120" s="4" t="s">
        <v>12</v>
      </c>
    </row>
    <row r="5121" spans="1:10" x14ac:dyDescent="0.25">
      <c r="A5121" s="2">
        <v>1139.04436951351</v>
      </c>
      <c r="B5121" s="3">
        <v>-0.30592531869178402</v>
      </c>
      <c r="C5121" s="3">
        <v>1.35804353150019E-3</v>
      </c>
      <c r="D5121" s="4">
        <v>3.9267768975342803E-3</v>
      </c>
      <c r="E5121" s="3" t="s">
        <v>13649</v>
      </c>
      <c r="F5121" s="3" t="s">
        <v>13650</v>
      </c>
      <c r="G5121" s="3">
        <v>27401</v>
      </c>
      <c r="H5121" s="7" t="str">
        <f>HYPERLINK("http://www.ensembl.org/Mus_musculus/Gene/Summary?db=core;g=ENSMUSG00000054115","ENSMUSG00000054115")</f>
        <v>ENSMUSG00000054115</v>
      </c>
      <c r="I5121" s="7" t="str">
        <f>HYPERLINK("http://www.informatics.jax.org/marker/MGI:1351663","MGI:1351663")</f>
        <v>MGI:1351663</v>
      </c>
      <c r="J5121" s="4" t="s">
        <v>12</v>
      </c>
    </row>
    <row r="5122" spans="1:10" x14ac:dyDescent="0.25">
      <c r="A5122" s="2">
        <v>3085.5519461414701</v>
      </c>
      <c r="B5122" s="3">
        <v>-0.30594389791289101</v>
      </c>
      <c r="C5122" s="5">
        <v>6.6027277128305396E-11</v>
      </c>
      <c r="D5122" s="6">
        <v>3.88674001483636E-10</v>
      </c>
      <c r="E5122" s="3" t="s">
        <v>6718</v>
      </c>
      <c r="F5122" s="3" t="s">
        <v>6719</v>
      </c>
      <c r="G5122" s="3">
        <v>20322</v>
      </c>
      <c r="H5122" s="7" t="str">
        <f>HYPERLINK("http://www.ensembl.org/Mus_musculus/Gene/Summary?db=core;g=ENSMUSG00000027227","ENSMUSG00000027227")</f>
        <v>ENSMUSG00000027227</v>
      </c>
      <c r="I5122" s="7" t="str">
        <f>HYPERLINK("http://www.informatics.jax.org/marker/MGI:98266","MGI:98266")</f>
        <v>MGI:98266</v>
      </c>
      <c r="J5122" s="4" t="s">
        <v>12</v>
      </c>
    </row>
    <row r="5123" spans="1:10" x14ac:dyDescent="0.25">
      <c r="A5123" s="2">
        <v>322.93119080770498</v>
      </c>
      <c r="B5123" s="3">
        <v>-0.30601919889696599</v>
      </c>
      <c r="C5123" s="3">
        <v>6.8890968133448202E-4</v>
      </c>
      <c r="D5123" s="4">
        <v>2.0778982740770899E-3</v>
      </c>
      <c r="E5123" s="3" t="s">
        <v>13085</v>
      </c>
      <c r="F5123" s="3" t="s">
        <v>13086</v>
      </c>
      <c r="G5123" s="3">
        <v>225523</v>
      </c>
      <c r="H5123" s="7" t="str">
        <f>HYPERLINK("http://www.ensembl.org/Mus_musculus/Gene/Summary?db=core;g=ENSMUSG00000048799","ENSMUSG00000048799")</f>
        <v>ENSMUSG00000048799</v>
      </c>
      <c r="I5123" s="7" t="str">
        <f>HYPERLINK("http://www.informatics.jax.org/marker/MGI:2147298","MGI:2147298")</f>
        <v>MGI:2147298</v>
      </c>
      <c r="J5123" s="4" t="s">
        <v>12</v>
      </c>
    </row>
    <row r="5124" spans="1:10" x14ac:dyDescent="0.25">
      <c r="A5124" s="2">
        <v>1116.7158785066699</v>
      </c>
      <c r="B5124" s="3">
        <v>-0.30608157155763899</v>
      </c>
      <c r="C5124" s="3">
        <v>1.9879357658131301E-3</v>
      </c>
      <c r="D5124" s="4">
        <v>5.6187606853712003E-3</v>
      </c>
      <c r="E5124" s="3" t="s">
        <v>13961</v>
      </c>
      <c r="F5124" s="3" t="s">
        <v>13962</v>
      </c>
      <c r="G5124" s="3">
        <v>269424</v>
      </c>
      <c r="H5124" s="7" t="str">
        <f>HYPERLINK("http://www.ensembl.org/Mus_musculus/Gene/Summary?db=core;g=ENSMUSG00000025764","ENSMUSG00000025764")</f>
        <v>ENSMUSG00000025764</v>
      </c>
      <c r="I5124" s="7" t="str">
        <f>HYPERLINK("http://www.informatics.jax.org/marker/MGI:1925835","MGI:1925835")</f>
        <v>MGI:1925835</v>
      </c>
      <c r="J5124" s="4" t="s">
        <v>12</v>
      </c>
    </row>
    <row r="5125" spans="1:10" x14ac:dyDescent="0.25">
      <c r="A5125" s="2">
        <v>861.61412527684604</v>
      </c>
      <c r="B5125" s="3">
        <v>-0.30615912318411997</v>
      </c>
      <c r="C5125" s="5">
        <v>1.7248095067548799E-5</v>
      </c>
      <c r="D5125" s="6">
        <v>6.3116057660431006E-5</v>
      </c>
      <c r="E5125" s="3" t="s">
        <v>10790</v>
      </c>
      <c r="F5125" s="3" t="s">
        <v>10791</v>
      </c>
      <c r="G5125" s="3">
        <v>19290</v>
      </c>
      <c r="H5125" s="7" t="str">
        <f>HYPERLINK("http://www.ensembl.org/Mus_musculus/Gene/Summary?db=core;g=ENSMUSG00000043991","ENSMUSG00000043991")</f>
        <v>ENSMUSG00000043991</v>
      </c>
      <c r="I5125" s="7" t="str">
        <f>HYPERLINK("http://www.informatics.jax.org/marker/MGI:103079","MGI:103079")</f>
        <v>MGI:103079</v>
      </c>
      <c r="J5125" s="4" t="s">
        <v>12</v>
      </c>
    </row>
    <row r="5126" spans="1:10" x14ac:dyDescent="0.25">
      <c r="A5126" s="2">
        <v>9606.2139194339798</v>
      </c>
      <c r="B5126" s="3">
        <v>-0.306176939670536</v>
      </c>
      <c r="C5126" s="5">
        <v>3.4983234880796602E-14</v>
      </c>
      <c r="D5126" s="6">
        <v>2.56171330059157E-13</v>
      </c>
      <c r="E5126" s="3" t="s">
        <v>5403</v>
      </c>
      <c r="F5126" s="3" t="s">
        <v>5404</v>
      </c>
      <c r="G5126" s="3">
        <v>218236</v>
      </c>
      <c r="H5126" s="7" t="str">
        <f>HYPERLINK("http://www.ensembl.org/Mus_musculus/Gene/Summary?db=core;g=ENSMUSG00000038014","ENSMUSG00000038014")</f>
        <v>ENSMUSG00000038014</v>
      </c>
      <c r="I5126" s="7" t="str">
        <f>HYPERLINK("http://www.informatics.jax.org/marker/MGI:2446163","MGI:2446163")</f>
        <v>MGI:2446163</v>
      </c>
      <c r="J5126" s="4" t="s">
        <v>12</v>
      </c>
    </row>
    <row r="5127" spans="1:10" x14ac:dyDescent="0.25">
      <c r="A5127" s="2">
        <v>379.24452921433698</v>
      </c>
      <c r="B5127" s="3">
        <v>-0.30619391863791401</v>
      </c>
      <c r="C5127" s="3">
        <v>1.3521510836812101E-4</v>
      </c>
      <c r="D5127" s="4">
        <v>4.4859386558198901E-4</v>
      </c>
      <c r="E5127" s="3" t="s">
        <v>11899</v>
      </c>
      <c r="F5127" s="3" t="s">
        <v>11900</v>
      </c>
      <c r="G5127" s="3">
        <v>74270</v>
      </c>
      <c r="H5127" s="7" t="str">
        <f>HYPERLINK("http://www.ensembl.org/Mus_musculus/Gene/Summary?db=core;g=ENSMUSG00000026854","ENSMUSG00000026854")</f>
        <v>ENSMUSG00000026854</v>
      </c>
      <c r="I5127" s="7" t="str">
        <f>HYPERLINK("http://www.informatics.jax.org/marker/MGI:1921520","MGI:1921520")</f>
        <v>MGI:1921520</v>
      </c>
      <c r="J5127" s="4" t="s">
        <v>12</v>
      </c>
    </row>
    <row r="5128" spans="1:10" x14ac:dyDescent="0.25">
      <c r="A5128" s="2">
        <v>1300.6831278775401</v>
      </c>
      <c r="B5128" s="3">
        <v>-0.30662286854355197</v>
      </c>
      <c r="C5128" s="5">
        <v>5.1901704013885003E-8</v>
      </c>
      <c r="D5128" s="6">
        <v>2.4093728887801598E-7</v>
      </c>
      <c r="E5128" s="3" t="s">
        <v>8513</v>
      </c>
      <c r="F5128" s="3" t="s">
        <v>8514</v>
      </c>
      <c r="G5128" s="3">
        <v>170707</v>
      </c>
      <c r="H5128" s="7" t="str">
        <f>HYPERLINK("http://www.ensembl.org/Mus_musculus/Gene/Summary?db=core;g=ENSMUSG00000043411","ENSMUSG00000043411")</f>
        <v>ENSMUSG00000043411</v>
      </c>
      <c r="I5128" s="7" t="str">
        <f>HYPERLINK("http://www.informatics.jax.org/marker/MGI:2158502","MGI:2158502")</f>
        <v>MGI:2158502</v>
      </c>
      <c r="J5128" s="4" t="s">
        <v>12</v>
      </c>
    </row>
    <row r="5129" spans="1:10" x14ac:dyDescent="0.25">
      <c r="A5129" s="2">
        <v>359.37042584563102</v>
      </c>
      <c r="B5129" s="3">
        <v>-0.30687718214062498</v>
      </c>
      <c r="C5129" s="5">
        <v>8.3954850809703305E-5</v>
      </c>
      <c r="D5129" s="4">
        <v>2.8529892434384801E-4</v>
      </c>
      <c r="E5129" s="3" t="s">
        <v>11617</v>
      </c>
      <c r="F5129" s="3" t="s">
        <v>11618</v>
      </c>
      <c r="G5129" s="3">
        <v>19355</v>
      </c>
      <c r="H5129" s="7" t="str">
        <f>HYPERLINK("http://www.ensembl.org/Mus_musculus/Gene/Summary?db=core;g=ENSMUSG00000022248","ENSMUSG00000022248")</f>
        <v>ENSMUSG00000022248</v>
      </c>
      <c r="I5129" s="7" t="str">
        <f>HYPERLINK("http://www.informatics.jax.org/marker/MGI:1316678","MGI:1316678")</f>
        <v>MGI:1316678</v>
      </c>
      <c r="J5129" s="4" t="s">
        <v>12</v>
      </c>
    </row>
    <row r="5130" spans="1:10" x14ac:dyDescent="0.25">
      <c r="A5130" s="2">
        <v>481.57158060622601</v>
      </c>
      <c r="B5130" s="3">
        <v>-0.30714327740869302</v>
      </c>
      <c r="C5130" s="5">
        <v>4.2257960790100502E-6</v>
      </c>
      <c r="D5130" s="6">
        <v>1.6429948477539101E-5</v>
      </c>
      <c r="E5130" s="3" t="s">
        <v>10158</v>
      </c>
      <c r="F5130" s="3" t="s">
        <v>10159</v>
      </c>
      <c r="G5130" s="3">
        <v>74533</v>
      </c>
      <c r="H5130" s="7" t="str">
        <f>HYPERLINK("http://www.ensembl.org/Mus_musculus/Gene/Summary?db=core;g=ENSMUSG00000027439","ENSMUSG00000027439")</f>
        <v>ENSMUSG00000027439</v>
      </c>
      <c r="I5130" s="7" t="str">
        <f>HYPERLINK("http://www.informatics.jax.org/marker/MGI:1921783","MGI:1921783")</f>
        <v>MGI:1921783</v>
      </c>
      <c r="J5130" s="4" t="s">
        <v>12</v>
      </c>
    </row>
    <row r="5131" spans="1:10" x14ac:dyDescent="0.25">
      <c r="A5131" s="2">
        <v>2199.00724588299</v>
      </c>
      <c r="B5131" s="3">
        <v>-0.30734980147611901</v>
      </c>
      <c r="C5131" s="5">
        <v>5.3310721062690998E-9</v>
      </c>
      <c r="D5131" s="6">
        <v>2.70045573942016E-8</v>
      </c>
      <c r="E5131" s="3" t="s">
        <v>7802</v>
      </c>
      <c r="F5131" s="3" t="s">
        <v>7803</v>
      </c>
      <c r="G5131" s="3">
        <v>67811</v>
      </c>
      <c r="H5131" s="7" t="str">
        <f>HYPERLINK("http://www.ensembl.org/Mus_musculus/Gene/Summary?db=core;g=ENSMUSG00000001100","ENSMUSG00000001100")</f>
        <v>ENSMUSG00000001100</v>
      </c>
      <c r="I5131" s="7" t="str">
        <f>HYPERLINK("http://www.informatics.jax.org/marker/MGI:1915061","MGI:1915061")</f>
        <v>MGI:1915061</v>
      </c>
      <c r="J5131" s="4" t="s">
        <v>12</v>
      </c>
    </row>
    <row r="5132" spans="1:10" x14ac:dyDescent="0.25">
      <c r="A5132" s="2">
        <v>117.34571597071201</v>
      </c>
      <c r="B5132" s="3">
        <v>-0.30740010253118799</v>
      </c>
      <c r="C5132" s="3">
        <v>4.4757756793612101E-3</v>
      </c>
      <c r="D5132" s="4">
        <v>1.19337880471881E-2</v>
      </c>
      <c r="E5132" s="3" t="s">
        <v>14796</v>
      </c>
      <c r="F5132" s="3" t="s">
        <v>14797</v>
      </c>
      <c r="G5132" s="3">
        <v>241547</v>
      </c>
      <c r="H5132" s="7" t="str">
        <f>HYPERLINK("http://www.ensembl.org/Mus_musculus/Gene/Summary?db=core;g=ENSMUSG00000027243","ENSMUSG00000027243")</f>
        <v>ENSMUSG00000027243</v>
      </c>
      <c r="I5132" s="7" t="str">
        <f>HYPERLINK("http://www.informatics.jax.org/marker/MGI:2443194","MGI:2443194")</f>
        <v>MGI:2443194</v>
      </c>
      <c r="J5132" s="4" t="s">
        <v>12</v>
      </c>
    </row>
    <row r="5133" spans="1:10" x14ac:dyDescent="0.25">
      <c r="A5133" s="2">
        <v>936.43325318274196</v>
      </c>
      <c r="B5133" s="3">
        <v>-0.30764679930538902</v>
      </c>
      <c r="C5133" s="5">
        <v>8.2995915699852401E-7</v>
      </c>
      <c r="D5133" s="6">
        <v>3.4572865602050898E-6</v>
      </c>
      <c r="E5133" s="3" t="s">
        <v>9483</v>
      </c>
      <c r="F5133" s="3" t="s">
        <v>9484</v>
      </c>
      <c r="G5133" s="3">
        <v>68611</v>
      </c>
      <c r="H5133" s="7" t="str">
        <f>HYPERLINK("http://www.ensembl.org/Mus_musculus/Gene/Summary?db=core;g=ENSMUSG00000024181","ENSMUSG00000024181")</f>
        <v>ENSMUSG00000024181</v>
      </c>
      <c r="I5133" s="7" t="str">
        <f>HYPERLINK("http://www.informatics.jax.org/marker/MGI:1915861","MGI:1915861")</f>
        <v>MGI:1915861</v>
      </c>
      <c r="J5133" s="4" t="s">
        <v>12</v>
      </c>
    </row>
    <row r="5134" spans="1:10" x14ac:dyDescent="0.25">
      <c r="A5134" s="2">
        <v>857.56197460109001</v>
      </c>
      <c r="B5134" s="3">
        <v>-0.30766599224605601</v>
      </c>
      <c r="C5134" s="3">
        <v>2.1911857263129299E-4</v>
      </c>
      <c r="D5134" s="4">
        <v>7.0813147366258699E-4</v>
      </c>
      <c r="E5134" s="3" t="s">
        <v>12215</v>
      </c>
      <c r="F5134" s="3" t="s">
        <v>12216</v>
      </c>
      <c r="G5134" s="3">
        <v>52150</v>
      </c>
      <c r="H5134" s="7" t="str">
        <f>HYPERLINK("http://www.ensembl.org/Mus_musculus/Gene/Summary?db=core;g=ENSMUSG00000046410","ENSMUSG00000046410")</f>
        <v>ENSMUSG00000046410</v>
      </c>
      <c r="I5134" s="7" t="str">
        <f>HYPERLINK("http://www.informatics.jax.org/marker/MGI:1891291","MGI:1891291")</f>
        <v>MGI:1891291</v>
      </c>
      <c r="J5134" s="4" t="s">
        <v>12</v>
      </c>
    </row>
    <row r="5135" spans="1:10" x14ac:dyDescent="0.25">
      <c r="A5135" s="2">
        <v>2215.73314135396</v>
      </c>
      <c r="B5135" s="3">
        <v>-0.30768212335996298</v>
      </c>
      <c r="C5135" s="5">
        <v>1.5668353471671301E-9</v>
      </c>
      <c r="D5135" s="6">
        <v>8.2725550324326395E-9</v>
      </c>
      <c r="E5135" s="3" t="s">
        <v>7488</v>
      </c>
      <c r="F5135" s="3" t="s">
        <v>7489</v>
      </c>
      <c r="G5135" s="3">
        <v>226641</v>
      </c>
      <c r="H5135" s="7" t="str">
        <f>HYPERLINK("http://www.ensembl.org/Mus_musculus/Gene/Summary?db=core;g=ENSMUSG00000026663","ENSMUSG00000026663")</f>
        <v>ENSMUSG00000026663</v>
      </c>
      <c r="I5135" s="7" t="str">
        <f>HYPERLINK("http://www.informatics.jax.org/marker/MGI:1926157","MGI:1926157")</f>
        <v>MGI:1926157</v>
      </c>
      <c r="J5135" s="4" t="s">
        <v>12</v>
      </c>
    </row>
    <row r="5136" spans="1:10" x14ac:dyDescent="0.25">
      <c r="A5136" s="2">
        <v>1893.9844356660799</v>
      </c>
      <c r="B5136" s="3">
        <v>-0.30773076966493401</v>
      </c>
      <c r="C5136" s="3">
        <v>7.6693369225077105E-4</v>
      </c>
      <c r="D5136" s="4">
        <v>2.3009177561517098E-3</v>
      </c>
      <c r="E5136" s="3" t="s">
        <v>13155</v>
      </c>
      <c r="F5136" s="3" t="s">
        <v>13156</v>
      </c>
      <c r="G5136" s="3">
        <v>70435</v>
      </c>
      <c r="H5136" s="7" t="str">
        <f>HYPERLINK("http://www.ensembl.org/Mus_musculus/Gene/Summary?db=core;g=ENSMUSG00000037679","ENSMUSG00000037679")</f>
        <v>ENSMUSG00000037679</v>
      </c>
      <c r="I5136" s="7" t="str">
        <f>HYPERLINK("http://www.informatics.jax.org/marker/MGI:1917685","MGI:1917685")</f>
        <v>MGI:1917685</v>
      </c>
      <c r="J5136" s="4" t="s">
        <v>12</v>
      </c>
    </row>
    <row r="5137" spans="1:10" x14ac:dyDescent="0.25">
      <c r="A5137" s="2">
        <v>923.04720999532503</v>
      </c>
      <c r="B5137" s="3">
        <v>-0.307761294926095</v>
      </c>
      <c r="C5137" s="5">
        <v>3.8543072363384398E-11</v>
      </c>
      <c r="D5137" s="6">
        <v>2.3130535210162501E-10</v>
      </c>
      <c r="E5137" s="3" t="s">
        <v>6589</v>
      </c>
      <c r="F5137" s="3" t="s">
        <v>6590</v>
      </c>
      <c r="G5137" s="3">
        <v>211922</v>
      </c>
      <c r="H5137" s="7" t="str">
        <f>HYPERLINK("http://www.ensembl.org/Mus_musculus/Gene/Summary?db=core;g=ENSMUSG00000040818","ENSMUSG00000040818")</f>
        <v>ENSMUSG00000040818</v>
      </c>
      <c r="I5137" s="7" t="str">
        <f>HYPERLINK("http://www.informatics.jax.org/marker/MGI:2442980","MGI:2442980")</f>
        <v>MGI:2442980</v>
      </c>
      <c r="J5137" s="4" t="s">
        <v>12</v>
      </c>
    </row>
    <row r="5138" spans="1:10" x14ac:dyDescent="0.25">
      <c r="A5138" s="2">
        <v>646.16973295156504</v>
      </c>
      <c r="B5138" s="3">
        <v>-0.308181161301256</v>
      </c>
      <c r="C5138" s="3">
        <v>1.5108136559445899E-4</v>
      </c>
      <c r="D5138" s="4">
        <v>4.9780243305470905E-4</v>
      </c>
      <c r="E5138" s="3" t="s">
        <v>11979</v>
      </c>
      <c r="F5138" s="3" t="s">
        <v>11980</v>
      </c>
      <c r="G5138" s="3">
        <v>382056</v>
      </c>
      <c r="H5138" s="7" t="str">
        <f>HYPERLINK("http://www.ensembl.org/Mus_musculus/Gene/Summary?db=core;g=ENSMUSG00000003575","ENSMUSG00000003575")</f>
        <v>ENSMUSG00000003575</v>
      </c>
      <c r="I5138" s="7" t="str">
        <f>HYPERLINK("http://www.informatics.jax.org/marker/MGI:2142523","MGI:2142523")</f>
        <v>MGI:2142523</v>
      </c>
      <c r="J5138" s="4" t="s">
        <v>12</v>
      </c>
    </row>
    <row r="5139" spans="1:10" x14ac:dyDescent="0.25">
      <c r="A5139" s="2">
        <v>2229.0588501019902</v>
      </c>
      <c r="B5139" s="3">
        <v>-0.30820736345213801</v>
      </c>
      <c r="C5139" s="5">
        <v>1.28394775698913E-6</v>
      </c>
      <c r="D5139" s="6">
        <v>5.2562694141219797E-6</v>
      </c>
      <c r="E5139" s="3" t="s">
        <v>9647</v>
      </c>
      <c r="F5139" s="3" t="s">
        <v>9648</v>
      </c>
      <c r="G5139" s="3">
        <v>170736</v>
      </c>
      <c r="H5139" s="7" t="str">
        <f>HYPERLINK("http://www.ensembl.org/Mus_musculus/Gene/Summary?db=core;g=ENSMUSG00000022438","ENSMUSG00000022438")</f>
        <v>ENSMUSG00000022438</v>
      </c>
      <c r="I5139" s="7" t="str">
        <f>HYPERLINK("http://www.informatics.jax.org/marker/MGI:2153063","MGI:2153063")</f>
        <v>MGI:2153063</v>
      </c>
      <c r="J5139" s="4" t="s">
        <v>12</v>
      </c>
    </row>
    <row r="5140" spans="1:10" x14ac:dyDescent="0.25">
      <c r="A5140" s="2">
        <v>105.72613561721001</v>
      </c>
      <c r="B5140" s="3">
        <v>-0.30826286862124902</v>
      </c>
      <c r="C5140" s="3">
        <v>1.27989735895513E-2</v>
      </c>
      <c r="D5140" s="4">
        <v>3.1156123834829099E-2</v>
      </c>
      <c r="E5140" s="3" t="s">
        <v>16207</v>
      </c>
      <c r="F5140" s="3" t="s">
        <v>16208</v>
      </c>
      <c r="G5140" s="3">
        <v>51960</v>
      </c>
      <c r="H5140" s="7" t="str">
        <f>HYPERLINK("http://www.ensembl.org/Mus_musculus/Gene/Summary?db=core;g=ENSMUSG00000054770","ENSMUSG00000054770")</f>
        <v>ENSMUSG00000054770</v>
      </c>
      <c r="I5140" s="7" t="str">
        <f>HYPERLINK("http://www.informatics.jax.org/marker/MGI:3603813","MGI:3603813")</f>
        <v>MGI:3603813</v>
      </c>
      <c r="J5140" s="4" t="s">
        <v>12</v>
      </c>
    </row>
    <row r="5141" spans="1:10" x14ac:dyDescent="0.25">
      <c r="A5141" s="2">
        <v>1091.8968855291801</v>
      </c>
      <c r="B5141" s="3">
        <v>-0.30836517994451401</v>
      </c>
      <c r="C5141" s="3">
        <v>7.0685281145095201E-4</v>
      </c>
      <c r="D5141" s="4">
        <v>2.12648931225214E-3</v>
      </c>
      <c r="E5141" s="3" t="s">
        <v>13119</v>
      </c>
      <c r="F5141" s="3" t="s">
        <v>13120</v>
      </c>
      <c r="G5141" s="3">
        <v>226844</v>
      </c>
      <c r="H5141" s="7" t="str">
        <f>HYPERLINK("http://www.ensembl.org/Mus_musculus/Gene/Summary?db=core;g=ENSMUSG00000066595","ENSMUSG00000066595")</f>
        <v>ENSMUSG00000066595</v>
      </c>
      <c r="I5141" s="7" t="str">
        <f>HYPERLINK("http://www.informatics.jax.org/marker/MGI:2444881","MGI:2444881")</f>
        <v>MGI:2444881</v>
      </c>
      <c r="J5141" s="4" t="s">
        <v>12</v>
      </c>
    </row>
    <row r="5142" spans="1:10" x14ac:dyDescent="0.25">
      <c r="A5142" s="2">
        <v>2538.3072912365501</v>
      </c>
      <c r="B5142" s="3">
        <v>-0.30844914526915401</v>
      </c>
      <c r="C5142" s="5">
        <v>9.6389000926662093E-6</v>
      </c>
      <c r="D5142" s="6">
        <v>3.6143584298797798E-5</v>
      </c>
      <c r="E5142" s="3" t="s">
        <v>10532</v>
      </c>
      <c r="F5142" s="3" t="s">
        <v>10533</v>
      </c>
      <c r="G5142" s="3">
        <v>217718</v>
      </c>
      <c r="H5142" s="7" t="str">
        <f>HYPERLINK("http://www.ensembl.org/Mus_musculus/Gene/Summary?db=core;g=ENSMUSG00000034290","ENSMUSG00000034290")</f>
        <v>ENSMUSG00000034290</v>
      </c>
      <c r="I5142" s="7" t="str">
        <f>HYPERLINK("http://www.informatics.jax.org/marker/MGI:2387995","MGI:2387995")</f>
        <v>MGI:2387995</v>
      </c>
      <c r="J5142" s="4" t="s">
        <v>12</v>
      </c>
    </row>
    <row r="5143" spans="1:10" x14ac:dyDescent="0.25">
      <c r="A5143" s="2">
        <v>654.44307491515201</v>
      </c>
      <c r="B5143" s="3">
        <v>-0.30872519118388497</v>
      </c>
      <c r="C5143" s="5">
        <v>3.6765571699976E-7</v>
      </c>
      <c r="D5143" s="6">
        <v>1.58960112677818E-6</v>
      </c>
      <c r="E5143" s="3" t="s">
        <v>9137</v>
      </c>
      <c r="F5143" s="3" t="s">
        <v>9138</v>
      </c>
      <c r="G5143" s="3">
        <v>68675</v>
      </c>
      <c r="H5143" s="7" t="str">
        <f>HYPERLINK("http://www.ensembl.org/Mus_musculus/Gene/Summary?db=core;g=ENSMUSG00000064138","ENSMUSG00000064138")</f>
        <v>ENSMUSG00000064138</v>
      </c>
      <c r="I5143" s="7" t="str">
        <f>HYPERLINK("http://www.informatics.jax.org/marker/MGI:1915925","MGI:1915925")</f>
        <v>MGI:1915925</v>
      </c>
      <c r="J5143" s="4" t="s">
        <v>12</v>
      </c>
    </row>
    <row r="5144" spans="1:10" x14ac:dyDescent="0.25">
      <c r="A5144" s="2">
        <v>339.46566995349099</v>
      </c>
      <c r="B5144" s="3">
        <v>-0.30888667484385002</v>
      </c>
      <c r="C5144" s="5">
        <v>5.0979744420197002E-5</v>
      </c>
      <c r="D5144" s="4">
        <v>1.7749303671721101E-4</v>
      </c>
      <c r="E5144" s="3" t="s">
        <v>11339</v>
      </c>
      <c r="F5144" s="3" t="s">
        <v>11340</v>
      </c>
      <c r="G5144" s="3">
        <v>320615</v>
      </c>
      <c r="H5144" s="7" t="str">
        <f>HYPERLINK("http://www.ensembl.org/Mus_musculus/Gene/Summary?db=core;g=ENSMUSG00000034973","ENSMUSG00000034973")</f>
        <v>ENSMUSG00000034973</v>
      </c>
      <c r="I5144" s="7" t="str">
        <f>HYPERLINK("http://www.informatics.jax.org/marker/MGI:1289294","MGI:1289294")</f>
        <v>MGI:1289294</v>
      </c>
      <c r="J5144" s="4" t="s">
        <v>12</v>
      </c>
    </row>
    <row r="5145" spans="1:10" x14ac:dyDescent="0.25">
      <c r="A5145" s="2">
        <v>363.703267473035</v>
      </c>
      <c r="B5145" s="3">
        <v>-0.30900022671411798</v>
      </c>
      <c r="C5145" s="5">
        <v>1.8801481095848999E-5</v>
      </c>
      <c r="D5145" s="6">
        <v>6.8520644466853203E-5</v>
      </c>
      <c r="E5145" s="3" t="s">
        <v>10834</v>
      </c>
      <c r="F5145" s="3" t="s">
        <v>10835</v>
      </c>
      <c r="G5145" s="3">
        <v>52637</v>
      </c>
      <c r="H5145" s="7" t="str">
        <f>HYPERLINK("http://www.ensembl.org/Mus_musculus/Gene/Summary?db=core;g=ENSMUSG00000037710","ENSMUSG00000037710")</f>
        <v>ENSMUSG00000037710</v>
      </c>
      <c r="I5145" s="7" t="str">
        <f>HYPERLINK("http://www.informatics.jax.org/marker/MGI:1261855","MGI:1261855")</f>
        <v>MGI:1261855</v>
      </c>
      <c r="J5145" s="4" t="s">
        <v>12</v>
      </c>
    </row>
    <row r="5146" spans="1:10" x14ac:dyDescent="0.25">
      <c r="A5146" s="2">
        <v>279.019076747231</v>
      </c>
      <c r="B5146" s="3">
        <v>-0.30901973240799901</v>
      </c>
      <c r="C5146" s="3">
        <v>2.6313165522691E-4</v>
      </c>
      <c r="D5146" s="4">
        <v>8.4181639212762205E-4</v>
      </c>
      <c r="E5146" s="3" t="s">
        <v>12339</v>
      </c>
      <c r="F5146" s="3" t="s">
        <v>12340</v>
      </c>
      <c r="G5146" s="3">
        <v>93697</v>
      </c>
      <c r="H5146" s="7" t="str">
        <f>HYPERLINK("http://www.ensembl.org/Mus_musculus/Gene/Summary?db=core;g=ENSMUSG00000032235","ENSMUSG00000032235")</f>
        <v>ENSMUSG00000032235</v>
      </c>
      <c r="I5146" s="7" t="str">
        <f>HYPERLINK("http://www.informatics.jax.org/marker/MGI:2135947","MGI:2135947")</f>
        <v>MGI:2135947</v>
      </c>
      <c r="J5146" s="4" t="s">
        <v>12</v>
      </c>
    </row>
    <row r="5147" spans="1:10" x14ac:dyDescent="0.25">
      <c r="A5147" s="2">
        <v>377.273866160507</v>
      </c>
      <c r="B5147" s="3">
        <v>-0.30905114546187201</v>
      </c>
      <c r="C5147" s="3">
        <v>1.3838918016852801E-4</v>
      </c>
      <c r="D5147" s="4">
        <v>4.5850716278954398E-4</v>
      </c>
      <c r="E5147" s="3" t="s">
        <v>11915</v>
      </c>
      <c r="F5147" s="3" t="s">
        <v>11916</v>
      </c>
      <c r="G5147" s="3">
        <v>70544</v>
      </c>
      <c r="H5147" s="7" t="str">
        <f>HYPERLINK("http://www.ensembl.org/Mus_musculus/Gene/Summary?db=core;g=ENSMUSG00000004945","ENSMUSG00000004945")</f>
        <v>ENSMUSG00000004945</v>
      </c>
      <c r="I5147" s="7" t="str">
        <f>HYPERLINK("http://www.informatics.jax.org/marker/MGI:1917794","MGI:1917794")</f>
        <v>MGI:1917794</v>
      </c>
      <c r="J5147" s="4" t="s">
        <v>12</v>
      </c>
    </row>
    <row r="5148" spans="1:10" x14ac:dyDescent="0.25">
      <c r="A5148" s="2">
        <v>645.36670797363001</v>
      </c>
      <c r="B5148" s="3">
        <v>-0.30914559080475701</v>
      </c>
      <c r="C5148" s="5">
        <v>2.0833417453285498E-6</v>
      </c>
      <c r="D5148" s="6">
        <v>8.36050045133883E-6</v>
      </c>
      <c r="E5148" s="3" t="s">
        <v>9843</v>
      </c>
      <c r="F5148" s="3" t="s">
        <v>9844</v>
      </c>
      <c r="G5148" s="3">
        <v>72981</v>
      </c>
      <c r="H5148" s="7" t="str">
        <f>HYPERLINK("http://www.ensembl.org/Mus_musculus/Gene/Summary?db=core;g=ENSMUSG00000030753","ENSMUSG00000030753")</f>
        <v>ENSMUSG00000030753</v>
      </c>
      <c r="I5148" s="7" t="str">
        <f>HYPERLINK("http://www.informatics.jax.org/marker/MGI:1920231","MGI:1920231")</f>
        <v>MGI:1920231</v>
      </c>
      <c r="J5148" s="4" t="s">
        <v>12</v>
      </c>
    </row>
    <row r="5149" spans="1:10" x14ac:dyDescent="0.25">
      <c r="A5149" s="2">
        <v>1406.79152676546</v>
      </c>
      <c r="B5149" s="3">
        <v>-0.30916732943488601</v>
      </c>
      <c r="C5149" s="5">
        <v>1.6564211874737499E-8</v>
      </c>
      <c r="D5149" s="6">
        <v>8.0494395803308004E-8</v>
      </c>
      <c r="E5149" s="3" t="s">
        <v>8133</v>
      </c>
      <c r="F5149" s="3" t="s">
        <v>8134</v>
      </c>
      <c r="G5149" s="3">
        <v>229542</v>
      </c>
      <c r="H5149" s="7" t="str">
        <f>HYPERLINK("http://www.ensembl.org/Mus_musculus/Gene/Summary?db=core;g=ENSMUSG00000042390","ENSMUSG00000042390")</f>
        <v>ENSMUSG00000042390</v>
      </c>
      <c r="I5149" s="7" t="str">
        <f>HYPERLINK("http://www.informatics.jax.org/marker/MGI:2443225","MGI:2443225")</f>
        <v>MGI:2443225</v>
      </c>
      <c r="J5149" s="4" t="s">
        <v>12</v>
      </c>
    </row>
    <row r="5150" spans="1:10" x14ac:dyDescent="0.25">
      <c r="A5150" s="2">
        <v>226.07276582558899</v>
      </c>
      <c r="B5150" s="3">
        <v>-0.309740524764965</v>
      </c>
      <c r="C5150" s="3">
        <v>7.1554069853766301E-4</v>
      </c>
      <c r="D5150" s="4">
        <v>2.1516411368043202E-3</v>
      </c>
      <c r="E5150" s="3" t="s">
        <v>13125</v>
      </c>
      <c r="F5150" s="3" t="s">
        <v>13126</v>
      </c>
      <c r="G5150" s="3">
        <v>110417</v>
      </c>
      <c r="H5150" s="7" t="str">
        <f>HYPERLINK("http://www.ensembl.org/Mus_musculus/Gene/Summary?db=core;g=ENSMUSG00000021120","ENSMUSG00000021120")</f>
        <v>ENSMUSG00000021120</v>
      </c>
      <c r="I5150" s="7" t="str">
        <f>HYPERLINK("http://www.informatics.jax.org/marker/MGI:99463","MGI:99463")</f>
        <v>MGI:99463</v>
      </c>
      <c r="J5150" s="4" t="s">
        <v>12</v>
      </c>
    </row>
    <row r="5151" spans="1:10" x14ac:dyDescent="0.25">
      <c r="A5151" s="2">
        <v>715.515591021722</v>
      </c>
      <c r="B5151" s="3">
        <v>-0.30991831989152302</v>
      </c>
      <c r="C5151" s="5">
        <v>4.4619173264724502E-5</v>
      </c>
      <c r="D5151" s="4">
        <v>1.5623048593401399E-4</v>
      </c>
      <c r="E5151" s="3" t="s">
        <v>11275</v>
      </c>
      <c r="F5151" s="3" t="s">
        <v>11276</v>
      </c>
      <c r="G5151" s="3">
        <v>12611</v>
      </c>
      <c r="H5151" s="7" t="str">
        <f>HYPERLINK("http://www.ensembl.org/Mus_musculus/Gene/Summary?db=core;g=ENSMUSG00000056216","ENSMUSG00000056216")</f>
        <v>ENSMUSG00000056216</v>
      </c>
      <c r="I5151" s="7" t="str">
        <f>HYPERLINK("http://www.informatics.jax.org/marker/MGI:104982","MGI:104982")</f>
        <v>MGI:104982</v>
      </c>
      <c r="J5151" s="4" t="s">
        <v>12</v>
      </c>
    </row>
    <row r="5152" spans="1:10" x14ac:dyDescent="0.25">
      <c r="A5152" s="2">
        <v>335.74145675115199</v>
      </c>
      <c r="B5152" s="3">
        <v>-0.310061756916576</v>
      </c>
      <c r="C5152" s="5">
        <v>3.5358329586023E-5</v>
      </c>
      <c r="D5152" s="4">
        <v>1.2518245232250901E-4</v>
      </c>
      <c r="E5152" s="3" t="s">
        <v>11153</v>
      </c>
      <c r="F5152" s="3" t="s">
        <v>11154</v>
      </c>
      <c r="G5152" s="3">
        <v>233276</v>
      </c>
      <c r="H5152" s="7" t="str">
        <f>HYPERLINK("http://www.ensembl.org/Mus_musculus/Gene/Summary?db=core;g=ENSMUSG00000033790","ENSMUSG00000033790")</f>
        <v>ENSMUSG00000033790</v>
      </c>
      <c r="I5152" s="7" t="str">
        <f>HYPERLINK("http://www.informatics.jax.org/marker/MGI:2178836","MGI:2178836")</f>
        <v>MGI:2178836</v>
      </c>
      <c r="J5152" s="4" t="s">
        <v>12</v>
      </c>
    </row>
    <row r="5153" spans="1:10" x14ac:dyDescent="0.25">
      <c r="A5153" s="2">
        <v>1209.14673649272</v>
      </c>
      <c r="B5153" s="3">
        <v>-0.310336269947034</v>
      </c>
      <c r="C5153" s="5">
        <v>3.5824876075691698E-7</v>
      </c>
      <c r="D5153" s="6">
        <v>1.5506289644702399E-6</v>
      </c>
      <c r="E5153" s="3" t="s">
        <v>9127</v>
      </c>
      <c r="F5153" s="3" t="s">
        <v>9128</v>
      </c>
      <c r="G5153" s="3">
        <v>83493</v>
      </c>
      <c r="H5153" s="7" t="str">
        <f>HYPERLINK("http://www.ensembl.org/Mus_musculus/Gene/Summary?db=core;g=ENSMUSG00000025240","ENSMUSG00000025240")</f>
        <v>ENSMUSG00000025240</v>
      </c>
      <c r="I5153" s="7" t="str">
        <f>HYPERLINK("http://www.informatics.jax.org/marker/MGI:1933169","MGI:1933169")</f>
        <v>MGI:1933169</v>
      </c>
      <c r="J5153" s="4" t="s">
        <v>12</v>
      </c>
    </row>
    <row r="5154" spans="1:10" x14ac:dyDescent="0.25">
      <c r="A5154" s="2">
        <v>492.35890343647401</v>
      </c>
      <c r="B5154" s="3">
        <v>-0.31046362029159402</v>
      </c>
      <c r="C5154" s="5">
        <v>1.21057293185466E-5</v>
      </c>
      <c r="D5154" s="6">
        <v>4.50169681617459E-5</v>
      </c>
      <c r="E5154" s="3" t="s">
        <v>10618</v>
      </c>
      <c r="F5154" s="3" t="s">
        <v>10619</v>
      </c>
      <c r="G5154" s="3">
        <v>13478</v>
      </c>
      <c r="H5154" s="7" t="str">
        <f>HYPERLINK("http://www.ensembl.org/Mus_musculus/Gene/Summary?db=core;g=ENSMUSG00000032123","ENSMUSG00000032123")</f>
        <v>ENSMUSG00000032123</v>
      </c>
      <c r="I5154" s="7" t="str">
        <f>HYPERLINK("http://www.informatics.jax.org/marker/MGI:1196396","MGI:1196396")</f>
        <v>MGI:1196396</v>
      </c>
      <c r="J5154" s="4" t="s">
        <v>12</v>
      </c>
    </row>
    <row r="5155" spans="1:10" x14ac:dyDescent="0.25">
      <c r="A5155" s="2">
        <v>2215.24988092994</v>
      </c>
      <c r="B5155" s="3">
        <v>-0.31059808116996801</v>
      </c>
      <c r="C5155" s="5">
        <v>6.52973401682736E-9</v>
      </c>
      <c r="D5155" s="6">
        <v>3.2865327925430199E-8</v>
      </c>
      <c r="E5155" s="3" t="s">
        <v>7852</v>
      </c>
      <c r="F5155" s="3" t="s">
        <v>7853</v>
      </c>
      <c r="G5155" s="3">
        <v>77980</v>
      </c>
      <c r="H5155" s="7" t="str">
        <f>HYPERLINK("http://www.ensembl.org/Mus_musculus/Gene/Summary?db=core;g=ENSMUSG00000036529","ENSMUSG00000036529")</f>
        <v>ENSMUSG00000036529</v>
      </c>
      <c r="I5155" s="7" t="str">
        <f>HYPERLINK("http://www.informatics.jax.org/marker/MGI:1925230","MGI:1925230")</f>
        <v>MGI:1925230</v>
      </c>
      <c r="J5155" s="4" t="s">
        <v>12</v>
      </c>
    </row>
    <row r="5156" spans="1:10" x14ac:dyDescent="0.25">
      <c r="A5156" s="2">
        <v>218.78972205341799</v>
      </c>
      <c r="B5156" s="3">
        <v>-0.31073299971342599</v>
      </c>
      <c r="C5156" s="3">
        <v>4.6523296856026903E-3</v>
      </c>
      <c r="D5156" s="4">
        <v>1.23644125876125E-2</v>
      </c>
      <c r="E5156" s="3" t="s">
        <v>14844</v>
      </c>
      <c r="F5156" s="3" t="s">
        <v>14845</v>
      </c>
      <c r="G5156" s="3">
        <v>72084</v>
      </c>
      <c r="H5156" s="7" t="str">
        <f>HYPERLINK("http://www.ensembl.org/Mus_musculus/Gene/Summary?db=core;g=ENSMUSG00000023791","ENSMUSG00000023791")</f>
        <v>ENSMUSG00000023791</v>
      </c>
      <c r="I5156" s="7" t="str">
        <f>HYPERLINK("http://www.informatics.jax.org/marker/MGI:1919334","MGI:1919334")</f>
        <v>MGI:1919334</v>
      </c>
      <c r="J5156" s="4" t="s">
        <v>12</v>
      </c>
    </row>
    <row r="5157" spans="1:10" x14ac:dyDescent="0.25">
      <c r="A5157" s="2">
        <v>114.825202515233</v>
      </c>
      <c r="B5157" s="3">
        <v>-0.31084806251317498</v>
      </c>
      <c r="C5157" s="3">
        <v>4.3784304979071504E-3</v>
      </c>
      <c r="D5157" s="4">
        <v>1.1702717459843999E-2</v>
      </c>
      <c r="E5157" s="3" t="s">
        <v>14760</v>
      </c>
      <c r="F5157" s="3" t="s">
        <v>14761</v>
      </c>
      <c r="G5157" s="3">
        <v>212276</v>
      </c>
      <c r="H5157" s="7" t="str">
        <f>HYPERLINK("http://www.ensembl.org/Mus_musculus/Gene/Summary?db=core;g=ENSMUSG00000095432","ENSMUSG00000095432")</f>
        <v>ENSMUSG00000095432</v>
      </c>
      <c r="I5157" s="7" t="str">
        <f>HYPERLINK("http://www.informatics.jax.org/marker/MGI:1916455","MGI:1916455")</f>
        <v>MGI:1916455</v>
      </c>
      <c r="J5157" s="4" t="s">
        <v>12</v>
      </c>
    </row>
    <row r="5158" spans="1:10" x14ac:dyDescent="0.25">
      <c r="A5158" s="2">
        <v>318.23755564230299</v>
      </c>
      <c r="B5158" s="3">
        <v>-0.31107180190830502</v>
      </c>
      <c r="C5158" s="3">
        <v>7.6380641018938095E-4</v>
      </c>
      <c r="D5158" s="4">
        <v>2.29258179740253E-3</v>
      </c>
      <c r="E5158" s="3" t="s">
        <v>13149</v>
      </c>
      <c r="F5158" s="3" t="s">
        <v>13150</v>
      </c>
      <c r="G5158" s="3">
        <v>17279</v>
      </c>
      <c r="H5158" s="7" t="str">
        <f>HYPERLINK("http://www.ensembl.org/Mus_musculus/Gene/Summary?db=core;g=ENSMUSG00000035683","ENSMUSG00000035683")</f>
        <v>ENSMUSG00000035683</v>
      </c>
      <c r="I5158" s="7" t="str">
        <f>HYPERLINK("http://www.informatics.jax.org/marker/MGI:106924","MGI:106924")</f>
        <v>MGI:106924</v>
      </c>
      <c r="J5158" s="4" t="s">
        <v>12</v>
      </c>
    </row>
    <row r="5159" spans="1:10" x14ac:dyDescent="0.25">
      <c r="A5159" s="2">
        <v>296.11997619149503</v>
      </c>
      <c r="B5159" s="3">
        <v>-0.31145050767784199</v>
      </c>
      <c r="C5159" s="3">
        <v>1.23042165828356E-4</v>
      </c>
      <c r="D5159" s="4">
        <v>4.1034864030698001E-4</v>
      </c>
      <c r="E5159" s="3" t="s">
        <v>11837</v>
      </c>
      <c r="F5159" s="3" t="s">
        <v>11838</v>
      </c>
      <c r="G5159" s="3">
        <v>102209</v>
      </c>
      <c r="H5159" s="7" t="str">
        <f>HYPERLINK("http://www.ensembl.org/Mus_musculus/Gene/Summary?db=core;g=ENSMUSG00000011837","ENSMUSG00000011837")</f>
        <v>ENSMUSG00000011837</v>
      </c>
      <c r="I5159" s="7" t="str">
        <f>HYPERLINK("http://www.informatics.jax.org/marker/MGI:1914861","MGI:1914861")</f>
        <v>MGI:1914861</v>
      </c>
      <c r="J5159" s="4" t="s">
        <v>12</v>
      </c>
    </row>
    <row r="5160" spans="1:10" x14ac:dyDescent="0.25">
      <c r="A5160" s="2">
        <v>766.19083463284096</v>
      </c>
      <c r="B5160" s="3">
        <v>-0.31158184667303901</v>
      </c>
      <c r="C5160" s="5">
        <v>1.2744405702014801E-7</v>
      </c>
      <c r="D5160" s="6">
        <v>5.7248218779893502E-7</v>
      </c>
      <c r="E5160" s="3" t="s">
        <v>8797</v>
      </c>
      <c r="F5160" s="3" t="s">
        <v>8798</v>
      </c>
      <c r="G5160" s="3">
        <v>170822</v>
      </c>
      <c r="H5160" s="7" t="str">
        <f>HYPERLINK("http://www.ensembl.org/Mus_musculus/Gene/Summary?db=core;g=ENSMUSG00000025437","ENSMUSG00000025437")</f>
        <v>ENSMUSG00000025437</v>
      </c>
      <c r="I5160" s="7" t="str">
        <f>HYPERLINK("http://www.informatics.jax.org/marker/MGI:2159711","MGI:2159711")</f>
        <v>MGI:2159711</v>
      </c>
      <c r="J5160" s="4" t="s">
        <v>12</v>
      </c>
    </row>
    <row r="5161" spans="1:10" x14ac:dyDescent="0.25">
      <c r="A5161" s="2">
        <v>30855.913137133699</v>
      </c>
      <c r="B5161" s="3">
        <v>-0.31164652696987999</v>
      </c>
      <c r="C5161" s="5">
        <v>7.9986436341272502E-7</v>
      </c>
      <c r="D5161" s="6">
        <v>3.3410983364750999E-6</v>
      </c>
      <c r="E5161" s="3" t="s">
        <v>9457</v>
      </c>
      <c r="F5161" s="3" t="s">
        <v>9458</v>
      </c>
      <c r="G5161" s="3">
        <v>19156</v>
      </c>
      <c r="H5161" s="7" t="str">
        <f>HYPERLINK("http://www.ensembl.org/Mus_musculus/Gene/Summary?db=core;g=ENSMUSG00000004207","ENSMUSG00000004207")</f>
        <v>ENSMUSG00000004207</v>
      </c>
      <c r="I5161" s="7" t="str">
        <f>HYPERLINK("http://www.informatics.jax.org/marker/MGI:97783","MGI:97783")</f>
        <v>MGI:97783</v>
      </c>
      <c r="J5161" s="4" t="s">
        <v>12</v>
      </c>
    </row>
    <row r="5162" spans="1:10" x14ac:dyDescent="0.25">
      <c r="A5162" s="2">
        <v>531.908210334263</v>
      </c>
      <c r="B5162" s="3">
        <v>-0.31182423935767101</v>
      </c>
      <c r="C5162" s="3">
        <v>4.8997590399921795E-4</v>
      </c>
      <c r="D5162" s="4">
        <v>1.5102101948834901E-3</v>
      </c>
      <c r="E5162" s="3" t="s">
        <v>12805</v>
      </c>
      <c r="F5162" s="3" t="s">
        <v>12806</v>
      </c>
      <c r="G5162" s="3">
        <v>75763</v>
      </c>
      <c r="H5162" s="7" t="str">
        <f>HYPERLINK("http://www.ensembl.org/Mus_musculus/Gene/Summary?db=core;g=ENSMUSG00000041966","ENSMUSG00000041966")</f>
        <v>ENSMUSG00000041966</v>
      </c>
      <c r="I5162" s="7" t="str">
        <f>HYPERLINK("http://www.informatics.jax.org/marker/MGI:1923013","MGI:1923013")</f>
        <v>MGI:1923013</v>
      </c>
      <c r="J5162" s="4" t="s">
        <v>12</v>
      </c>
    </row>
    <row r="5163" spans="1:10" x14ac:dyDescent="0.25">
      <c r="A5163" s="2">
        <v>1129.4808346831701</v>
      </c>
      <c r="B5163" s="3">
        <v>-0.312100981999681</v>
      </c>
      <c r="C5163" s="5">
        <v>8.2155265741204902E-7</v>
      </c>
      <c r="D5163" s="6">
        <v>3.4258867422638199E-6</v>
      </c>
      <c r="E5163" s="3" t="s">
        <v>9473</v>
      </c>
      <c r="F5163" s="3" t="s">
        <v>9474</v>
      </c>
      <c r="G5163" s="3">
        <v>66743</v>
      </c>
      <c r="H5163" s="7" t="str">
        <f>HYPERLINK("http://www.ensembl.org/Mus_musculus/Gene/Summary?db=core;g=ENSMUSG00000028677","ENSMUSG00000028677")</f>
        <v>ENSMUSG00000028677</v>
      </c>
      <c r="I5163" s="7" t="str">
        <f>HYPERLINK("http://www.informatics.jax.org/marker/MGI:1913993","MGI:1913993")</f>
        <v>MGI:1913993</v>
      </c>
      <c r="J5163" s="4" t="s">
        <v>12</v>
      </c>
    </row>
    <row r="5164" spans="1:10" x14ac:dyDescent="0.25">
      <c r="A5164" s="2">
        <v>2749.5850840552698</v>
      </c>
      <c r="B5164" s="3">
        <v>-0.31210865690735001</v>
      </c>
      <c r="C5164" s="5">
        <v>2.1005645657583499E-8</v>
      </c>
      <c r="D5164" s="6">
        <v>1.01056680255562E-7</v>
      </c>
      <c r="E5164" s="3" t="s">
        <v>8215</v>
      </c>
      <c r="F5164" s="3" t="s">
        <v>8216</v>
      </c>
      <c r="G5164" s="3">
        <v>108660</v>
      </c>
      <c r="H5164" s="7" t="str">
        <f>HYPERLINK("http://www.ensembl.org/Mus_musculus/Gene/Summary?db=core;g=ENSMUSG00000020496","ENSMUSG00000020496")</f>
        <v>ENSMUSG00000020496</v>
      </c>
      <c r="I5164" s="7" t="str">
        <f>HYPERLINK("http://www.informatics.jax.org/marker/MGI:1914224","MGI:1914224")</f>
        <v>MGI:1914224</v>
      </c>
      <c r="J5164" s="4" t="s">
        <v>12</v>
      </c>
    </row>
    <row r="5165" spans="1:10" x14ac:dyDescent="0.25">
      <c r="A5165" s="2">
        <v>231.81972764449</v>
      </c>
      <c r="B5165" s="3">
        <v>-0.312225608741873</v>
      </c>
      <c r="C5165" s="3">
        <v>3.6804945901087999E-4</v>
      </c>
      <c r="D5165" s="4">
        <v>1.1527851543352201E-3</v>
      </c>
      <c r="E5165" s="3" t="s">
        <v>12605</v>
      </c>
      <c r="F5165" s="3" t="s">
        <v>12606</v>
      </c>
      <c r="G5165" s="3">
        <v>69634</v>
      </c>
      <c r="H5165" s="7" t="str">
        <f>HYPERLINK("http://www.ensembl.org/Mus_musculus/Gene/Summary?db=core;g=ENSMUSG00000025545","ENSMUSG00000025545")</f>
        <v>ENSMUSG00000025545</v>
      </c>
      <c r="I5165" s="7" t="str">
        <f>HYPERLINK("http://www.informatics.jax.org/marker/MGI:1916884","MGI:1916884")</f>
        <v>MGI:1916884</v>
      </c>
      <c r="J5165" s="4" t="s">
        <v>12</v>
      </c>
    </row>
    <row r="5166" spans="1:10" x14ac:dyDescent="0.25">
      <c r="A5166" s="2">
        <v>1050.3582336249201</v>
      </c>
      <c r="B5166" s="3">
        <v>-0.31237389532967502</v>
      </c>
      <c r="C5166" s="5">
        <v>1.3453156390506E-8</v>
      </c>
      <c r="D5166" s="6">
        <v>6.5879375222443095E-8</v>
      </c>
      <c r="E5166" s="3" t="s">
        <v>8071</v>
      </c>
      <c r="F5166" s="3" t="s">
        <v>8072</v>
      </c>
      <c r="G5166" s="3">
        <v>268996</v>
      </c>
      <c r="H5166" s="7" t="str">
        <f>HYPERLINK("http://www.ensembl.org/Mus_musculus/Gene/Summary?db=core;g=ENSMUSG00000037013","ENSMUSG00000037013")</f>
        <v>ENSMUSG00000037013</v>
      </c>
      <c r="I5166" s="7" t="str">
        <f>HYPERLINK("http://www.informatics.jax.org/marker/MGI:107708","MGI:107708")</f>
        <v>MGI:107708</v>
      </c>
      <c r="J5166" s="4" t="s">
        <v>12</v>
      </c>
    </row>
    <row r="5167" spans="1:10" x14ac:dyDescent="0.25">
      <c r="A5167" s="2">
        <v>106.481223270282</v>
      </c>
      <c r="B5167" s="3">
        <v>-0.31248334874593398</v>
      </c>
      <c r="C5167" s="3">
        <v>1.2050526145272701E-2</v>
      </c>
      <c r="D5167" s="4">
        <v>2.94870797350512E-2</v>
      </c>
      <c r="E5167" s="3" t="s">
        <v>16123</v>
      </c>
      <c r="F5167" s="3" t="s">
        <v>16124</v>
      </c>
      <c r="G5167" s="3" t="s">
        <v>83</v>
      </c>
      <c r="H5167" s="7" t="str">
        <f>HYPERLINK("http://www.ensembl.org/Mus_musculus/Gene/Summary?db=core;g=ENSMUSG00000109493","ENSMUSG00000109493")</f>
        <v>ENSMUSG00000109493</v>
      </c>
      <c r="I5167" s="7" t="str">
        <f>HYPERLINK("http://www.informatics.jax.org/marker/MGI:5753784","MGI:5753784")</f>
        <v>MGI:5753784</v>
      </c>
      <c r="J5167" s="4" t="s">
        <v>12</v>
      </c>
    </row>
    <row r="5168" spans="1:10" x14ac:dyDescent="0.25">
      <c r="A5168" s="2">
        <v>91.206963439096896</v>
      </c>
      <c r="B5168" s="3">
        <v>-0.31275291534608601</v>
      </c>
      <c r="C5168" s="3">
        <v>1.4068144381931E-2</v>
      </c>
      <c r="D5168" s="4">
        <v>3.3953742574422303E-2</v>
      </c>
      <c r="E5168" s="3" t="s">
        <v>16345</v>
      </c>
      <c r="F5168" s="3" t="s">
        <v>16346</v>
      </c>
      <c r="G5168" s="3">
        <v>623661</v>
      </c>
      <c r="H5168" s="7" t="str">
        <f>HYPERLINK("http://www.ensembl.org/Mus_musculus/Gene/Summary?db=core;g=ENSMUSG00000037216","ENSMUSG00000037216")</f>
        <v>ENSMUSG00000037216</v>
      </c>
      <c r="I5168" s="7" t="str">
        <f>HYPERLINK("http://www.informatics.jax.org/marker/MGI:3645211","MGI:3645211")</f>
        <v>MGI:3645211</v>
      </c>
      <c r="J5168" s="4" t="s">
        <v>12</v>
      </c>
    </row>
    <row r="5169" spans="1:10" x14ac:dyDescent="0.25">
      <c r="A5169" s="2">
        <v>824.33815679297095</v>
      </c>
      <c r="B5169" s="3">
        <v>-0.31288769630581698</v>
      </c>
      <c r="C5169" s="5">
        <v>3.2271684205509097E-8</v>
      </c>
      <c r="D5169" s="6">
        <v>1.5250362150314901E-7</v>
      </c>
      <c r="E5169" s="3" t="s">
        <v>8363</v>
      </c>
      <c r="F5169" s="3" t="s">
        <v>8364</v>
      </c>
      <c r="G5169" s="3">
        <v>66967</v>
      </c>
      <c r="H5169" s="7" t="str">
        <f>HYPERLINK("http://www.ensembl.org/Mus_musculus/Gene/Summary?db=core;g=ENSMUSG00000043019","ENSMUSG00000043019")</f>
        <v>ENSMUSG00000043019</v>
      </c>
      <c r="I5169" s="7" t="str">
        <f>HYPERLINK("http://www.informatics.jax.org/marker/MGI:1914217","MGI:1914217")</f>
        <v>MGI:1914217</v>
      </c>
      <c r="J5169" s="4" t="s">
        <v>12</v>
      </c>
    </row>
    <row r="5170" spans="1:10" x14ac:dyDescent="0.25">
      <c r="A5170" s="2">
        <v>852.82081294576699</v>
      </c>
      <c r="B5170" s="3">
        <v>-0.31308953785034399</v>
      </c>
      <c r="C5170" s="5">
        <v>6.9807867999525897E-5</v>
      </c>
      <c r="D5170" s="4">
        <v>2.39244205239946E-4</v>
      </c>
      <c r="E5170" s="3" t="s">
        <v>11519</v>
      </c>
      <c r="F5170" s="3" t="s">
        <v>11520</v>
      </c>
      <c r="G5170" s="3">
        <v>239554</v>
      </c>
      <c r="H5170" s="7" t="str">
        <f>HYPERLINK("http://www.ensembl.org/Mus_musculus/Gene/Summary?db=core;g=ENSMUSG00000016552","ENSMUSG00000016552")</f>
        <v>ENSMUSG00000016552</v>
      </c>
      <c r="I5170" s="7" t="str">
        <f>HYPERLINK("http://www.informatics.jax.org/marker/MGI:106315","MGI:106315")</f>
        <v>MGI:106315</v>
      </c>
      <c r="J5170" s="4" t="s">
        <v>12</v>
      </c>
    </row>
    <row r="5171" spans="1:10" x14ac:dyDescent="0.25">
      <c r="A5171" s="2">
        <v>4691.3084001679199</v>
      </c>
      <c r="B5171" s="3">
        <v>-0.31319846495200598</v>
      </c>
      <c r="C5171" s="5">
        <v>1.07024208734094E-5</v>
      </c>
      <c r="D5171" s="6">
        <v>3.9971920383264002E-5</v>
      </c>
      <c r="E5171" s="3" t="s">
        <v>10573</v>
      </c>
      <c r="F5171" s="3" t="s">
        <v>10574</v>
      </c>
      <c r="G5171" s="3">
        <v>14718</v>
      </c>
      <c r="H5171" s="7" t="str">
        <f>HYPERLINK("http://www.ensembl.org/Mus_musculus/Gene/Summary?db=core;g=ENSMUSG00000025190","ENSMUSG00000025190")</f>
        <v>ENSMUSG00000025190</v>
      </c>
      <c r="I5171" s="7" t="str">
        <f>HYPERLINK("http://www.informatics.jax.org/marker/MGI:95791","MGI:95791")</f>
        <v>MGI:95791</v>
      </c>
      <c r="J5171" s="4" t="s">
        <v>12</v>
      </c>
    </row>
    <row r="5172" spans="1:10" x14ac:dyDescent="0.25">
      <c r="A5172" s="2">
        <v>283.60255945311297</v>
      </c>
      <c r="B5172" s="3">
        <v>-0.31345055562129798</v>
      </c>
      <c r="C5172" s="3">
        <v>4.5516054103022997E-4</v>
      </c>
      <c r="D5172" s="4">
        <v>1.40752169815213E-3</v>
      </c>
      <c r="E5172" s="3" t="s">
        <v>12763</v>
      </c>
      <c r="F5172" s="3" t="s">
        <v>12764</v>
      </c>
      <c r="G5172" s="3">
        <v>108689</v>
      </c>
      <c r="H5172" s="7" t="str">
        <f>HYPERLINK("http://www.ensembl.org/Mus_musculus/Gene/Summary?db=core;g=ENSMUSG00000042694","ENSMUSG00000042694")</f>
        <v>ENSMUSG00000042694</v>
      </c>
      <c r="I5172" s="7" t="str">
        <f>HYPERLINK("http://www.informatics.jax.org/marker/MGI:1915581","MGI:1915581")</f>
        <v>MGI:1915581</v>
      </c>
      <c r="J5172" s="4" t="s">
        <v>12</v>
      </c>
    </row>
    <row r="5173" spans="1:10" x14ac:dyDescent="0.25">
      <c r="A5173" s="2">
        <v>448.58959726178102</v>
      </c>
      <c r="B5173" s="3">
        <v>-0.31359805817229902</v>
      </c>
      <c r="C5173" s="5">
        <v>1.6971363918636699E-6</v>
      </c>
      <c r="D5173" s="6">
        <v>6.8595059740831202E-6</v>
      </c>
      <c r="E5173" s="3" t="s">
        <v>9773</v>
      </c>
      <c r="F5173" s="3" t="s">
        <v>9774</v>
      </c>
      <c r="G5173" s="3">
        <v>226252</v>
      </c>
      <c r="H5173" s="7" t="str">
        <f>HYPERLINK("http://www.ensembl.org/Mus_musculus/Gene/Summary?db=core;g=ENSMUSG00000033478","ENSMUSG00000033478")</f>
        <v>ENSMUSG00000033478</v>
      </c>
      <c r="I5173" s="7" t="str">
        <f>HYPERLINK("http://www.informatics.jax.org/marker/MGI:2147545","MGI:2147545")</f>
        <v>MGI:2147545</v>
      </c>
      <c r="J5173" s="4" t="s">
        <v>12</v>
      </c>
    </row>
    <row r="5174" spans="1:10" x14ac:dyDescent="0.25">
      <c r="A5174" s="2">
        <v>1047.66824404972</v>
      </c>
      <c r="B5174" s="3">
        <v>-0.313706772591617</v>
      </c>
      <c r="C5174" s="5">
        <v>8.3973966377679705E-5</v>
      </c>
      <c r="D5174" s="4">
        <v>2.8531471691382599E-4</v>
      </c>
      <c r="E5174" s="3" t="s">
        <v>11619</v>
      </c>
      <c r="F5174" s="3" t="s">
        <v>11620</v>
      </c>
      <c r="G5174" s="3">
        <v>71207</v>
      </c>
      <c r="H5174" s="7" t="str">
        <f>HYPERLINK("http://www.ensembl.org/Mus_musculus/Gene/Summary?db=core;g=ENSMUSG00000020029","ENSMUSG00000020029")</f>
        <v>ENSMUSG00000020029</v>
      </c>
      <c r="I5174" s="7" t="str">
        <f>HYPERLINK("http://www.informatics.jax.org/marker/MGI:1918457","MGI:1918457")</f>
        <v>MGI:1918457</v>
      </c>
      <c r="J5174" s="4" t="s">
        <v>12</v>
      </c>
    </row>
    <row r="5175" spans="1:10" x14ac:dyDescent="0.25">
      <c r="A5175" s="2">
        <v>554.21645214064699</v>
      </c>
      <c r="B5175" s="3">
        <v>-0.31410154338104501</v>
      </c>
      <c r="C5175" s="3">
        <v>6.6597729684088804E-3</v>
      </c>
      <c r="D5175" s="4">
        <v>1.7149480665581501E-2</v>
      </c>
      <c r="E5175" s="3" t="s">
        <v>15321</v>
      </c>
      <c r="F5175" s="3" t="s">
        <v>15322</v>
      </c>
      <c r="G5175" s="3">
        <v>18479</v>
      </c>
      <c r="H5175" s="7" t="str">
        <f>HYPERLINK("http://www.ensembl.org/Mus_musculus/Gene/Summary?db=core;g=ENSMUSG00000030774","ENSMUSG00000030774")</f>
        <v>ENSMUSG00000030774</v>
      </c>
      <c r="I5175" s="7" t="str">
        <f>HYPERLINK("http://www.informatics.jax.org/marker/MGI:1339975","MGI:1339975")</f>
        <v>MGI:1339975</v>
      </c>
      <c r="J5175" s="4" t="s">
        <v>12</v>
      </c>
    </row>
    <row r="5176" spans="1:10" x14ac:dyDescent="0.25">
      <c r="A5176" s="2">
        <v>358.07688131305298</v>
      </c>
      <c r="B5176" s="3">
        <v>-0.31410876362406898</v>
      </c>
      <c r="C5176" s="3">
        <v>4.80890676449716E-4</v>
      </c>
      <c r="D5176" s="4">
        <v>1.48383103420254E-3</v>
      </c>
      <c r="E5176" s="3" t="s">
        <v>12791</v>
      </c>
      <c r="F5176" s="3" t="s">
        <v>12792</v>
      </c>
      <c r="G5176" s="3">
        <v>71883</v>
      </c>
      <c r="H5176" s="7" t="str">
        <f>HYPERLINK("http://www.ensembl.org/Mus_musculus/Gene/Summary?db=core;g=ENSMUSG00000029319","ENSMUSG00000029319")</f>
        <v>ENSMUSG00000029319</v>
      </c>
      <c r="I5176" s="7" t="str">
        <f>HYPERLINK("http://www.informatics.jax.org/marker/MGI:1919133","MGI:1919133")</f>
        <v>MGI:1919133</v>
      </c>
      <c r="J5176" s="4" t="s">
        <v>12</v>
      </c>
    </row>
    <row r="5177" spans="1:10" x14ac:dyDescent="0.25">
      <c r="A5177" s="2">
        <v>1645.64549605151</v>
      </c>
      <c r="B5177" s="3">
        <v>-0.31413061768284001</v>
      </c>
      <c r="C5177" s="5">
        <v>8.4789526529683904E-7</v>
      </c>
      <c r="D5177" s="6">
        <v>3.5290195507922498E-6</v>
      </c>
      <c r="E5177" s="3" t="s">
        <v>9491</v>
      </c>
      <c r="F5177" s="3" t="s">
        <v>9492</v>
      </c>
      <c r="G5177" s="3">
        <v>15900</v>
      </c>
      <c r="H5177" s="7" t="str">
        <f>HYPERLINK("http://www.ensembl.org/Mus_musculus/Gene/Summary?db=core;g=ENSMUSG00000041515","ENSMUSG00000041515")</f>
        <v>ENSMUSG00000041515</v>
      </c>
      <c r="I5177" s="7" t="str">
        <f>HYPERLINK("http://www.informatics.jax.org/marker/MGI:96395","MGI:96395")</f>
        <v>MGI:96395</v>
      </c>
      <c r="J5177" s="4" t="s">
        <v>12</v>
      </c>
    </row>
    <row r="5178" spans="1:10" x14ac:dyDescent="0.25">
      <c r="A5178" s="2">
        <v>119.89976705495501</v>
      </c>
      <c r="B5178" s="3">
        <v>-0.31465699269687603</v>
      </c>
      <c r="C5178" s="3">
        <v>1.56186580732072E-2</v>
      </c>
      <c r="D5178" s="4">
        <v>3.7324277411978503E-2</v>
      </c>
      <c r="E5178" s="3" t="s">
        <v>16507</v>
      </c>
      <c r="F5178" s="3" t="s">
        <v>16508</v>
      </c>
      <c r="G5178" s="3">
        <v>317717</v>
      </c>
      <c r="H5178" s="7" t="str">
        <f>HYPERLINK("http://www.ensembl.org/Mus_musculus/Gene/Summary?db=core;g=ENSMUSG00000034473","ENSMUSG00000034473")</f>
        <v>ENSMUSG00000034473</v>
      </c>
      <c r="I5178" s="7" t="str">
        <f>HYPERLINK("http://www.informatics.jax.org/marker/MGI:2447876","MGI:2447876")</f>
        <v>MGI:2447876</v>
      </c>
      <c r="J5178" s="4" t="s">
        <v>12</v>
      </c>
    </row>
    <row r="5179" spans="1:10" x14ac:dyDescent="0.25">
      <c r="A5179" s="2">
        <v>901.01207387409897</v>
      </c>
      <c r="B5179" s="3">
        <v>-0.31466889400495202</v>
      </c>
      <c r="C5179" s="5">
        <v>6.2305068775772899E-5</v>
      </c>
      <c r="D5179" s="4">
        <v>2.14912708808508E-4</v>
      </c>
      <c r="E5179" s="3" t="s">
        <v>11445</v>
      </c>
      <c r="F5179" s="3" t="s">
        <v>11446</v>
      </c>
      <c r="G5179" s="3">
        <v>269878</v>
      </c>
      <c r="H5179" s="7" t="str">
        <f>HYPERLINK("http://www.ensembl.org/Mus_musculus/Gene/Summary?db=core;g=ENSMUSG00000045039","ENSMUSG00000045039")</f>
        <v>ENSMUSG00000045039</v>
      </c>
      <c r="I5179" s="7" t="str">
        <f>HYPERLINK("http://www.informatics.jax.org/marker/MGI:2446294","MGI:2446294")</f>
        <v>MGI:2446294</v>
      </c>
      <c r="J5179" s="4" t="s">
        <v>12</v>
      </c>
    </row>
    <row r="5180" spans="1:10" x14ac:dyDescent="0.25">
      <c r="A5180" s="2">
        <v>432.371123834863</v>
      </c>
      <c r="B5180" s="3">
        <v>-0.315046257490879</v>
      </c>
      <c r="C5180" s="5">
        <v>3.9210462644928998E-6</v>
      </c>
      <c r="D5180" s="6">
        <v>1.5290297080442899E-5</v>
      </c>
      <c r="E5180" s="3" t="s">
        <v>10130</v>
      </c>
      <c r="F5180" s="3" t="s">
        <v>10131</v>
      </c>
      <c r="G5180" s="3">
        <v>65967</v>
      </c>
      <c r="H5180" s="7" t="str">
        <f>HYPERLINK("http://www.ensembl.org/Mus_musculus/Gene/Summary?db=core;g=ENSMUSG00000033216","ENSMUSG00000033216")</f>
        <v>ENSMUSG00000033216</v>
      </c>
      <c r="I5180" s="7" t="str">
        <f>HYPERLINK("http://www.informatics.jax.org/marker/MGI:2137092","MGI:2137092")</f>
        <v>MGI:2137092</v>
      </c>
      <c r="J5180" s="4" t="s">
        <v>12</v>
      </c>
    </row>
    <row r="5181" spans="1:10" x14ac:dyDescent="0.25">
      <c r="A5181" s="2">
        <v>806.19646541140798</v>
      </c>
      <c r="B5181" s="3">
        <v>-0.31518639222237499</v>
      </c>
      <c r="C5181" s="5">
        <v>7.9873928613523296E-8</v>
      </c>
      <c r="D5181" s="6">
        <v>3.6494760710349398E-7</v>
      </c>
      <c r="E5181" s="3" t="s">
        <v>8649</v>
      </c>
      <c r="F5181" s="3" t="s">
        <v>8650</v>
      </c>
      <c r="G5181" s="3">
        <v>74763</v>
      </c>
      <c r="H5181" s="7" t="str">
        <f>HYPERLINK("http://www.ensembl.org/Mus_musculus/Gene/Summary?db=core;g=ENSMUSG00000005982","ENSMUSG00000005982")</f>
        <v>ENSMUSG00000005982</v>
      </c>
      <c r="I5181" s="7" t="str">
        <f>HYPERLINK("http://www.informatics.jax.org/marker/MGI:1922013","MGI:1922013")</f>
        <v>MGI:1922013</v>
      </c>
      <c r="J5181" s="4" t="s">
        <v>12</v>
      </c>
    </row>
    <row r="5182" spans="1:10" x14ac:dyDescent="0.25">
      <c r="A5182" s="2">
        <v>372.163540210424</v>
      </c>
      <c r="B5182" s="3">
        <v>-0.31526035091348498</v>
      </c>
      <c r="C5182" s="5">
        <v>3.3396506562534903E-5</v>
      </c>
      <c r="D5182" s="4">
        <v>1.18662902596971E-4</v>
      </c>
      <c r="E5182" s="3" t="s">
        <v>11113</v>
      </c>
      <c r="F5182" s="3" t="s">
        <v>11114</v>
      </c>
      <c r="G5182" s="3">
        <v>73692</v>
      </c>
      <c r="H5182" s="7" t="str">
        <f>HYPERLINK("http://www.ensembl.org/Mus_musculus/Gene/Summary?db=core;g=ENSMUSG00000039801","ENSMUSG00000039801")</f>
        <v>ENSMUSG00000039801</v>
      </c>
      <c r="I5182" s="7" t="str">
        <f>HYPERLINK("http://www.informatics.jax.org/marker/MGI:1920942","MGI:1920942")</f>
        <v>MGI:1920942</v>
      </c>
      <c r="J5182" s="4" t="s">
        <v>12</v>
      </c>
    </row>
    <row r="5183" spans="1:10" x14ac:dyDescent="0.25">
      <c r="A5183" s="2">
        <v>2083.1514658454298</v>
      </c>
      <c r="B5183" s="3">
        <v>-0.316440594713709</v>
      </c>
      <c r="C5183" s="5">
        <v>1.6950879246789801E-13</v>
      </c>
      <c r="D5183" s="6">
        <v>1.19297408546286E-12</v>
      </c>
      <c r="E5183" s="3" t="s">
        <v>5621</v>
      </c>
      <c r="F5183" s="3" t="s">
        <v>5622</v>
      </c>
      <c r="G5183" s="3">
        <v>105239</v>
      </c>
      <c r="H5183" s="7" t="str">
        <f>HYPERLINK("http://www.ensembl.org/Mus_musculus/Gene/Summary?db=core;g=ENSMUSG00000034928","ENSMUSG00000034928")</f>
        <v>ENSMUSG00000034928</v>
      </c>
      <c r="I5183" s="7" t="str">
        <f>HYPERLINK("http://www.informatics.jax.org/marker/MGI:2145310","MGI:2145310")</f>
        <v>MGI:2145310</v>
      </c>
      <c r="J5183" s="4" t="s">
        <v>12</v>
      </c>
    </row>
    <row r="5184" spans="1:10" x14ac:dyDescent="0.25">
      <c r="A5184" s="2">
        <v>464.12699570395802</v>
      </c>
      <c r="B5184" s="3">
        <v>-0.31660215778655598</v>
      </c>
      <c r="C5184" s="5">
        <v>3.6622017240897598E-6</v>
      </c>
      <c r="D5184" s="6">
        <v>1.4323406981168199E-5</v>
      </c>
      <c r="E5184" s="3" t="s">
        <v>10100</v>
      </c>
      <c r="F5184" s="3" t="s">
        <v>10101</v>
      </c>
      <c r="G5184" s="3">
        <v>17350</v>
      </c>
      <c r="H5184" s="7" t="str">
        <f>HYPERLINK("http://www.ensembl.org/Mus_musculus/Gene/Summary?db=core;g=ENSMUSG00000032498","ENSMUSG00000032498")</f>
        <v>ENSMUSG00000032498</v>
      </c>
      <c r="I5184" s="7" t="str">
        <f>HYPERLINK("http://www.informatics.jax.org/marker/MGI:101938","MGI:101938")</f>
        <v>MGI:101938</v>
      </c>
      <c r="J5184" s="4" t="s">
        <v>12</v>
      </c>
    </row>
    <row r="5185" spans="1:10" x14ac:dyDescent="0.25">
      <c r="A5185" s="2">
        <v>369.95835986354803</v>
      </c>
      <c r="B5185" s="3">
        <v>-0.31715465391011499</v>
      </c>
      <c r="C5185" s="3">
        <v>4.06029116430696E-4</v>
      </c>
      <c r="D5185" s="4">
        <v>1.2639138399389599E-3</v>
      </c>
      <c r="E5185" s="3" t="s">
        <v>12683</v>
      </c>
      <c r="F5185" s="3" t="s">
        <v>12684</v>
      </c>
      <c r="G5185" s="3">
        <v>109275</v>
      </c>
      <c r="H5185" s="7" t="str">
        <f>HYPERLINK("http://www.ensembl.org/Mus_musculus/Gene/Summary?db=core;g=ENSMUSG00000037761","ENSMUSG00000037761")</f>
        <v>ENSMUSG00000037761</v>
      </c>
      <c r="I5185" s="7" t="str">
        <f>HYPERLINK("http://www.informatics.jax.org/marker/MGI:1924748","MGI:1924748")</f>
        <v>MGI:1924748</v>
      </c>
      <c r="J5185" s="4" t="s">
        <v>12</v>
      </c>
    </row>
    <row r="5186" spans="1:10" x14ac:dyDescent="0.25">
      <c r="A5186" s="2">
        <v>634.58597412656502</v>
      </c>
      <c r="B5186" s="3">
        <v>-0.31720286830741401</v>
      </c>
      <c r="C5186" s="5">
        <v>1.2061532337728899E-7</v>
      </c>
      <c r="D5186" s="6">
        <v>5.4294594551827101E-7</v>
      </c>
      <c r="E5186" s="3" t="s">
        <v>8779</v>
      </c>
      <c r="F5186" s="3" t="s">
        <v>8780</v>
      </c>
      <c r="G5186" s="3">
        <v>234678</v>
      </c>
      <c r="H5186" s="7" t="str">
        <f>HYPERLINK("http://www.ensembl.org/Mus_musculus/Gene/Summary?db=core;g=ENSMUSG00000031889","ENSMUSG00000031889")</f>
        <v>ENSMUSG00000031889</v>
      </c>
      <c r="I5186" s="7" t="str">
        <f>HYPERLINK("http://www.informatics.jax.org/marker/MGI:2443049","MGI:2443049")</f>
        <v>MGI:2443049</v>
      </c>
      <c r="J5186" s="4" t="s">
        <v>12</v>
      </c>
    </row>
    <row r="5187" spans="1:10" x14ac:dyDescent="0.25">
      <c r="A5187" s="2">
        <v>1353.41549425058</v>
      </c>
      <c r="B5187" s="3">
        <v>-0.31738410810497902</v>
      </c>
      <c r="C5187" s="5">
        <v>4.3890625430107902E-10</v>
      </c>
      <c r="D5187" s="6">
        <v>2.4176623840271701E-9</v>
      </c>
      <c r="E5187" s="3" t="s">
        <v>7178</v>
      </c>
      <c r="F5187" s="3" t="s">
        <v>7179</v>
      </c>
      <c r="G5187" s="3">
        <v>218397</v>
      </c>
      <c r="H5187" s="7" t="str">
        <f>HYPERLINK("http://www.ensembl.org/Mus_musculus/Gene/Summary?db=core;g=ENSMUSG00000021549","ENSMUSG00000021549")</f>
        <v>ENSMUSG00000021549</v>
      </c>
      <c r="I5187" s="7" t="str">
        <f>HYPERLINK("http://www.informatics.jax.org/marker/MGI:97860","MGI:97860")</f>
        <v>MGI:97860</v>
      </c>
      <c r="J5187" s="4" t="s">
        <v>12</v>
      </c>
    </row>
    <row r="5188" spans="1:10" x14ac:dyDescent="0.25">
      <c r="A5188" s="2">
        <v>172.23369060882001</v>
      </c>
      <c r="B5188" s="3">
        <v>-0.317487893314716</v>
      </c>
      <c r="C5188" s="3">
        <v>7.4005362206715298E-3</v>
      </c>
      <c r="D5188" s="4">
        <v>1.88770630282813E-2</v>
      </c>
      <c r="E5188" s="3" t="s">
        <v>15467</v>
      </c>
      <c r="F5188" s="3" t="s">
        <v>15468</v>
      </c>
      <c r="G5188" s="3" t="s">
        <v>83</v>
      </c>
      <c r="H5188" s="7" t="str">
        <f>HYPERLINK("http://www.ensembl.org/Mus_musculus/Gene/Summary?db=core;g=ENSMUSG00000116930","ENSMUSG00000116930")</f>
        <v>ENSMUSG00000116930</v>
      </c>
      <c r="I5188" s="7" t="str">
        <f>HYPERLINK("http://www.informatics.jax.org/marker/MGI:6215179","MGI:6215179")</f>
        <v>MGI:6215179</v>
      </c>
      <c r="J5188" s="4" t="s">
        <v>12</v>
      </c>
    </row>
    <row r="5189" spans="1:10" x14ac:dyDescent="0.25">
      <c r="A5189" s="2">
        <v>202.22293513538099</v>
      </c>
      <c r="B5189" s="3">
        <v>-0.31757225059004202</v>
      </c>
      <c r="C5189" s="3">
        <v>1.52111070874226E-2</v>
      </c>
      <c r="D5189" s="4">
        <v>3.6451942127108103E-2</v>
      </c>
      <c r="E5189" s="3" t="s">
        <v>16461</v>
      </c>
      <c r="F5189" s="3" t="s">
        <v>16462</v>
      </c>
      <c r="G5189" s="3">
        <v>100039968</v>
      </c>
      <c r="H5189" s="7" t="str">
        <f>HYPERLINK("http://www.ensembl.org/Mus_musculus/Gene/Summary?db=core;g=ENSMUSG00000070737","ENSMUSG00000070737")</f>
        <v>ENSMUSG00000070737</v>
      </c>
      <c r="I5189" s="7" t="str">
        <f>HYPERLINK("http://www.informatics.jax.org/marker/MGI:3758095","MGI:3758095")</f>
        <v>MGI:3758095</v>
      </c>
      <c r="J5189" s="4" t="s">
        <v>12</v>
      </c>
    </row>
    <row r="5190" spans="1:10" x14ac:dyDescent="0.25">
      <c r="A5190" s="2">
        <v>10939.852041527</v>
      </c>
      <c r="B5190" s="3">
        <v>-0.317682602142072</v>
      </c>
      <c r="C5190" s="5">
        <v>5.1533434260632102E-10</v>
      </c>
      <c r="D5190" s="6">
        <v>2.81975395011006E-9</v>
      </c>
      <c r="E5190" s="3" t="s">
        <v>7226</v>
      </c>
      <c r="F5190" s="3" t="s">
        <v>7227</v>
      </c>
      <c r="G5190" s="3">
        <v>108911</v>
      </c>
      <c r="H5190" s="7" t="str">
        <f>HYPERLINK("http://www.ensembl.org/Mus_musculus/Gene/Summary?db=core;g=ENSMUSG00000040945","ENSMUSG00000040945")</f>
        <v>ENSMUSG00000040945</v>
      </c>
      <c r="I5190" s="7" t="str">
        <f>HYPERLINK("http://www.informatics.jax.org/marker/MGI:1919784","MGI:1919784")</f>
        <v>MGI:1919784</v>
      </c>
      <c r="J5190" s="4" t="s">
        <v>12</v>
      </c>
    </row>
    <row r="5191" spans="1:10" x14ac:dyDescent="0.25">
      <c r="A5191" s="2">
        <v>821.32211280868796</v>
      </c>
      <c r="B5191" s="3">
        <v>-0.31769380205892001</v>
      </c>
      <c r="C5191" s="5">
        <v>8.0966916130156095E-5</v>
      </c>
      <c r="D5191" s="4">
        <v>2.75810603918929E-4</v>
      </c>
      <c r="E5191" s="3" t="s">
        <v>11589</v>
      </c>
      <c r="F5191" s="3" t="s">
        <v>11590</v>
      </c>
      <c r="G5191" s="3">
        <v>235627</v>
      </c>
      <c r="H5191" s="7" t="str">
        <f>HYPERLINK("http://www.ensembl.org/Mus_musculus/Gene/Summary?db=core;g=ENSMUSG00000056724","ENSMUSG00000056724")</f>
        <v>ENSMUSG00000056724</v>
      </c>
      <c r="I5191" s="7" t="str">
        <f>HYPERLINK("http://www.informatics.jax.org/marker/MGI:2448554","MGI:2448554")</f>
        <v>MGI:2448554</v>
      </c>
      <c r="J5191" s="4" t="s">
        <v>12</v>
      </c>
    </row>
    <row r="5192" spans="1:10" x14ac:dyDescent="0.25">
      <c r="A5192" s="2">
        <v>570.25519323101798</v>
      </c>
      <c r="B5192" s="3">
        <v>-0.31780115181303098</v>
      </c>
      <c r="C5192" s="5">
        <v>2.4243974884399599E-7</v>
      </c>
      <c r="D5192" s="6">
        <v>1.0659781153185301E-6</v>
      </c>
      <c r="E5192" s="3" t="s">
        <v>8987</v>
      </c>
      <c r="F5192" s="3" t="s">
        <v>8988</v>
      </c>
      <c r="G5192" s="3">
        <v>270166</v>
      </c>
      <c r="H5192" s="7" t="str">
        <f>HYPERLINK("http://www.ensembl.org/Mus_musculus/Gene/Summary?db=core;g=ENSMUSG00000015357","ENSMUSG00000015357")</f>
        <v>ENSMUSG00000015357</v>
      </c>
      <c r="I5192" s="7" t="str">
        <f>HYPERLINK("http://www.informatics.jax.org/marker/MGI:1346017","MGI:1346017")</f>
        <v>MGI:1346017</v>
      </c>
      <c r="J5192" s="4" t="s">
        <v>12</v>
      </c>
    </row>
    <row r="5193" spans="1:10" x14ac:dyDescent="0.25">
      <c r="A5193" s="2">
        <v>113.289708271295</v>
      </c>
      <c r="B5193" s="3">
        <v>-0.31782805166464601</v>
      </c>
      <c r="C5193" s="3">
        <v>1.77181737228863E-2</v>
      </c>
      <c r="D5193" s="4">
        <v>4.1854622162831499E-2</v>
      </c>
      <c r="E5193" s="3" t="s">
        <v>16700</v>
      </c>
      <c r="F5193" s="3" t="s">
        <v>16701</v>
      </c>
      <c r="G5193" s="3">
        <v>66179</v>
      </c>
      <c r="H5193" s="7" t="str">
        <f>HYPERLINK("http://www.ensembl.org/Mus_musculus/Gene/Summary?db=core;g=ENSMUSG00000025169","ENSMUSG00000025169")</f>
        <v>ENSMUSG00000025169</v>
      </c>
      <c r="I5193" s="7" t="str">
        <f>HYPERLINK("http://www.informatics.jax.org/marker/MGI:1913429","MGI:1913429")</f>
        <v>MGI:1913429</v>
      </c>
      <c r="J5193" s="4" t="s">
        <v>12</v>
      </c>
    </row>
    <row r="5194" spans="1:10" x14ac:dyDescent="0.25">
      <c r="A5194" s="2">
        <v>637.36232390329599</v>
      </c>
      <c r="B5194" s="3">
        <v>-0.31787827003400398</v>
      </c>
      <c r="C5194" s="5">
        <v>3.63076895664219E-6</v>
      </c>
      <c r="D5194" s="6">
        <v>1.42089231643152E-5</v>
      </c>
      <c r="E5194" s="3" t="s">
        <v>10094</v>
      </c>
      <c r="F5194" s="3" t="s">
        <v>10095</v>
      </c>
      <c r="G5194" s="3">
        <v>54367</v>
      </c>
      <c r="H5194" s="7" t="str">
        <f>HYPERLINK("http://www.ensembl.org/Mus_musculus/Gene/Summary?db=core;g=ENSMUSG00000029290","ENSMUSG00000029290")</f>
        <v>ENSMUSG00000029290</v>
      </c>
      <c r="I5194" s="7" t="str">
        <f>HYPERLINK("http://www.informatics.jax.org/marker/MGI:1927246","MGI:1927246")</f>
        <v>MGI:1927246</v>
      </c>
      <c r="J5194" s="4" t="s">
        <v>12</v>
      </c>
    </row>
    <row r="5195" spans="1:10" x14ac:dyDescent="0.25">
      <c r="A5195" s="2">
        <v>607.38519490217004</v>
      </c>
      <c r="B5195" s="3">
        <v>-0.31819202428793403</v>
      </c>
      <c r="C5195" s="3">
        <v>2.4941910805367502E-4</v>
      </c>
      <c r="D5195" s="4">
        <v>7.9976338387292303E-4</v>
      </c>
      <c r="E5195" s="3" t="s">
        <v>12311</v>
      </c>
      <c r="F5195" s="3" t="s">
        <v>12312</v>
      </c>
      <c r="G5195" s="3">
        <v>140546</v>
      </c>
      <c r="H5195" s="7" t="str">
        <f>HYPERLINK("http://www.ensembl.org/Mus_musculus/Gene/Summary?db=core;g=ENSMUSG00000033423","ENSMUSG00000033423")</f>
        <v>ENSMUSG00000033423</v>
      </c>
      <c r="I5195" s="7" t="str">
        <f>HYPERLINK("http://www.informatics.jax.org/marker/MGI:2153887","MGI:2153887")</f>
        <v>MGI:2153887</v>
      </c>
      <c r="J5195" s="4" t="s">
        <v>12</v>
      </c>
    </row>
    <row r="5196" spans="1:10" x14ac:dyDescent="0.25">
      <c r="A5196" s="2">
        <v>568.64370741671701</v>
      </c>
      <c r="B5196" s="3">
        <v>-0.318929578863688</v>
      </c>
      <c r="C5196" s="3">
        <v>2.2358138978106399E-4</v>
      </c>
      <c r="D5196" s="4">
        <v>7.2208074131716103E-4</v>
      </c>
      <c r="E5196" s="3" t="s">
        <v>12223</v>
      </c>
      <c r="F5196" s="3" t="s">
        <v>12224</v>
      </c>
      <c r="G5196" s="3">
        <v>234373</v>
      </c>
      <c r="H5196" s="7" t="str">
        <f>HYPERLINK("http://www.ensembl.org/Mus_musculus/Gene/Summary?db=core;g=ENSMUSG00000036054","ENSMUSG00000036054")</f>
        <v>ENSMUSG00000036054</v>
      </c>
      <c r="I5196" s="7" t="str">
        <f>HYPERLINK("http://www.informatics.jax.org/marker/MGI:2678085","MGI:2678085")</f>
        <v>MGI:2678085</v>
      </c>
      <c r="J5196" s="4" t="s">
        <v>12</v>
      </c>
    </row>
    <row r="5197" spans="1:10" x14ac:dyDescent="0.25">
      <c r="A5197" s="2">
        <v>659.27439897816805</v>
      </c>
      <c r="B5197" s="3">
        <v>-0.31961458663594</v>
      </c>
      <c r="C5197" s="3">
        <v>2.26296587873508E-4</v>
      </c>
      <c r="D5197" s="4">
        <v>7.3049086804150801E-4</v>
      </c>
      <c r="E5197" s="3" t="s">
        <v>12229</v>
      </c>
      <c r="F5197" s="3" t="s">
        <v>12230</v>
      </c>
      <c r="G5197" s="3">
        <v>319675</v>
      </c>
      <c r="H5197" s="7" t="str">
        <f>HYPERLINK("http://www.ensembl.org/Mus_musculus/Gene/Summary?db=core;g=ENSMUSG00000046111","ENSMUSG00000046111")</f>
        <v>ENSMUSG00000046111</v>
      </c>
      <c r="I5197" s="7" t="str">
        <f>HYPERLINK("http://www.informatics.jax.org/marker/MGI:2442521","MGI:2442521")</f>
        <v>MGI:2442521</v>
      </c>
      <c r="J5197" s="4" t="s">
        <v>12</v>
      </c>
    </row>
    <row r="5198" spans="1:10" x14ac:dyDescent="0.25">
      <c r="A5198" s="2">
        <v>682.76782667694101</v>
      </c>
      <c r="B5198" s="3">
        <v>-0.31964150727339102</v>
      </c>
      <c r="C5198" s="5">
        <v>1.14622744908597E-5</v>
      </c>
      <c r="D5198" s="6">
        <v>4.2664411657182399E-5</v>
      </c>
      <c r="E5198" s="3" t="s">
        <v>10609</v>
      </c>
      <c r="F5198" s="3" t="s">
        <v>10610</v>
      </c>
      <c r="G5198" s="3">
        <v>235606</v>
      </c>
      <c r="H5198" s="7" t="str">
        <f>HYPERLINK("http://www.ensembl.org/Mus_musculus/Gene/Summary?db=core;g=ENSMUSG00000032590","ENSMUSG00000032590")</f>
        <v>ENSMUSG00000032590</v>
      </c>
      <c r="I5198" s="7" t="str">
        <f>HYPERLINK("http://www.informatics.jax.org/marker/MGI:88041","MGI:88041")</f>
        <v>MGI:88041</v>
      </c>
      <c r="J5198" s="4" t="s">
        <v>12</v>
      </c>
    </row>
    <row r="5199" spans="1:10" x14ac:dyDescent="0.25">
      <c r="A5199" s="2">
        <v>227.97259100558699</v>
      </c>
      <c r="B5199" s="3">
        <v>-0.32025565849941501</v>
      </c>
      <c r="C5199" s="3">
        <v>4.3520044047610498E-3</v>
      </c>
      <c r="D5199" s="4">
        <v>1.16399738046776E-2</v>
      </c>
      <c r="E5199" s="3" t="s">
        <v>14750</v>
      </c>
      <c r="F5199" s="3" t="s">
        <v>14751</v>
      </c>
      <c r="G5199" s="3">
        <v>106794</v>
      </c>
      <c r="H5199" s="7" t="str">
        <f>HYPERLINK("http://www.ensembl.org/Mus_musculus/Gene/Summary?db=core;g=ENSMUSG00000035051","ENSMUSG00000035051")</f>
        <v>ENSMUSG00000035051</v>
      </c>
      <c r="I5199" s="7" t="str">
        <f>HYPERLINK("http://www.informatics.jax.org/marker/MGI:2147067","MGI:2147067")</f>
        <v>MGI:2147067</v>
      </c>
      <c r="J5199" s="4" t="s">
        <v>12</v>
      </c>
    </row>
    <row r="5200" spans="1:10" x14ac:dyDescent="0.25">
      <c r="A5200" s="2">
        <v>560.03349402334197</v>
      </c>
      <c r="B5200" s="3">
        <v>-0.32069536661511799</v>
      </c>
      <c r="C5200" s="3">
        <v>1.98315228295781E-4</v>
      </c>
      <c r="D5200" s="4">
        <v>6.4374918551322001E-4</v>
      </c>
      <c r="E5200" s="3" t="s">
        <v>12161</v>
      </c>
      <c r="F5200" s="3" t="s">
        <v>12162</v>
      </c>
      <c r="G5200" s="3">
        <v>20022</v>
      </c>
      <c r="H5200" s="7" t="str">
        <f>HYPERLINK("http://www.ensembl.org/Mus_musculus/Gene/Summary?db=core;g=ENSMUSG00000039771","ENSMUSG00000039771")</f>
        <v>ENSMUSG00000039771</v>
      </c>
      <c r="I5200" s="7" t="str">
        <f>HYPERLINK("http://www.informatics.jax.org/marker/MGI:109582","MGI:109582")</f>
        <v>MGI:109582</v>
      </c>
      <c r="J5200" s="4" t="s">
        <v>12</v>
      </c>
    </row>
    <row r="5201" spans="1:10" x14ac:dyDescent="0.25">
      <c r="A5201" s="2">
        <v>130.33169089161501</v>
      </c>
      <c r="B5201" s="3">
        <v>-0.32075428691993302</v>
      </c>
      <c r="C5201" s="3">
        <v>8.1409272683197302E-3</v>
      </c>
      <c r="D5201" s="4">
        <v>2.0581934068110899E-2</v>
      </c>
      <c r="E5201" s="3" t="s">
        <v>15605</v>
      </c>
      <c r="F5201" s="3" t="s">
        <v>15606</v>
      </c>
      <c r="G5201" s="3">
        <v>21855</v>
      </c>
      <c r="H5201" s="7" t="str">
        <f>HYPERLINK("http://www.ensembl.org/Mus_musculus/Gene/Summary?db=core;g=ENSMUSG00000031158","ENSMUSG00000031158")</f>
        <v>ENSMUSG00000031158</v>
      </c>
      <c r="I5201" s="7" t="str">
        <f>HYPERLINK("http://www.informatics.jax.org/marker/MGI:1343176","MGI:1343176")</f>
        <v>MGI:1343176</v>
      </c>
      <c r="J5201" s="4" t="s">
        <v>12</v>
      </c>
    </row>
    <row r="5202" spans="1:10" x14ac:dyDescent="0.25">
      <c r="A5202" s="2">
        <v>1061.7492510874099</v>
      </c>
      <c r="B5202" s="3">
        <v>-0.32078769821251701</v>
      </c>
      <c r="C5202" s="5">
        <v>6.3253608480485696E-7</v>
      </c>
      <c r="D5202" s="6">
        <v>2.67329866959961E-6</v>
      </c>
      <c r="E5202" s="3" t="s">
        <v>9347</v>
      </c>
      <c r="F5202" s="3" t="s">
        <v>9348</v>
      </c>
      <c r="G5202" s="3">
        <v>107476</v>
      </c>
      <c r="H5202" s="7" t="str">
        <f>HYPERLINK("http://www.ensembl.org/Mus_musculus/Gene/Summary?db=core;g=ENSMUSG00000020532","ENSMUSG00000020532")</f>
        <v>ENSMUSG00000020532</v>
      </c>
      <c r="I5202" s="7" t="str">
        <f>HYPERLINK("http://www.informatics.jax.org/marker/MGI:108451","MGI:108451")</f>
        <v>MGI:108451</v>
      </c>
      <c r="J5202" s="4" t="s">
        <v>12</v>
      </c>
    </row>
    <row r="5203" spans="1:10" x14ac:dyDescent="0.25">
      <c r="A5203" s="2">
        <v>228.178446324178</v>
      </c>
      <c r="B5203" s="3">
        <v>-0.32091522559219599</v>
      </c>
      <c r="C5203" s="3">
        <v>6.2505548323549503E-4</v>
      </c>
      <c r="D5203" s="4">
        <v>1.8980742422858E-3</v>
      </c>
      <c r="E5203" s="3" t="s">
        <v>12997</v>
      </c>
      <c r="F5203" s="3" t="s">
        <v>12998</v>
      </c>
      <c r="G5203" s="3">
        <v>226791</v>
      </c>
      <c r="H5203" s="7" t="str">
        <f>HYPERLINK("http://www.ensembl.org/Mus_musculus/Gene/Summary?db=core;g=ENSMUSG00000039246","ENSMUSG00000039246")</f>
        <v>ENSMUSG00000039246</v>
      </c>
      <c r="I5203" s="7" t="str">
        <f>HYPERLINK("http://www.informatics.jax.org/marker/MGI:2385115","MGI:2385115")</f>
        <v>MGI:2385115</v>
      </c>
      <c r="J5203" s="4" t="s">
        <v>12</v>
      </c>
    </row>
    <row r="5204" spans="1:10" x14ac:dyDescent="0.25">
      <c r="A5204" s="2">
        <v>587.87574257917004</v>
      </c>
      <c r="B5204" s="3">
        <v>-0.32096008130546</v>
      </c>
      <c r="C5204" s="3">
        <v>5.3005320665840605E-4</v>
      </c>
      <c r="D5204" s="4">
        <v>1.62585926820715E-3</v>
      </c>
      <c r="E5204" s="3" t="s">
        <v>12867</v>
      </c>
      <c r="F5204" s="3" t="s">
        <v>12868</v>
      </c>
      <c r="G5204" s="3">
        <v>69672</v>
      </c>
      <c r="H5204" s="7" t="str">
        <f>HYPERLINK("http://www.ensembl.org/Mus_musculus/Gene/Summary?db=core;g=ENSMUSG00000021497","ENSMUSG00000021497")</f>
        <v>ENSMUSG00000021497</v>
      </c>
      <c r="I5204" s="7" t="str">
        <f>HYPERLINK("http://www.informatics.jax.org/marker/MGI:1916922","MGI:1916922")</f>
        <v>MGI:1916922</v>
      </c>
      <c r="J5204" s="4" t="s">
        <v>12</v>
      </c>
    </row>
    <row r="5205" spans="1:10" x14ac:dyDescent="0.25">
      <c r="A5205" s="2">
        <v>741.12583271869198</v>
      </c>
      <c r="B5205" s="3">
        <v>-0.32103390237249801</v>
      </c>
      <c r="C5205" s="5">
        <v>9.2432498371455006E-8</v>
      </c>
      <c r="D5205" s="6">
        <v>4.20477247493678E-7</v>
      </c>
      <c r="E5205" s="3" t="s">
        <v>8687</v>
      </c>
      <c r="F5205" s="3" t="s">
        <v>8688</v>
      </c>
      <c r="G5205" s="3">
        <v>30839</v>
      </c>
      <c r="H5205" s="7" t="str">
        <f>HYPERLINK("http://www.ensembl.org/Mus_musculus/Gene/Summary?db=core;g=ENSMUSG00000015095","ENSMUSG00000015095")</f>
        <v>ENSMUSG00000015095</v>
      </c>
      <c r="I5205" s="7" t="str">
        <f>HYPERLINK("http://www.informatics.jax.org/marker/MGI:1354731","MGI:1354731")</f>
        <v>MGI:1354731</v>
      </c>
      <c r="J5205" s="4" t="s">
        <v>12</v>
      </c>
    </row>
    <row r="5206" spans="1:10" x14ac:dyDescent="0.25">
      <c r="A5206" s="2">
        <v>250.011093765152</v>
      </c>
      <c r="B5206" s="3">
        <v>-0.321111055277572</v>
      </c>
      <c r="C5206" s="3">
        <v>6.6610589757956998E-4</v>
      </c>
      <c r="D5206" s="4">
        <v>2.01466384973453E-3</v>
      </c>
      <c r="E5206" s="3" t="s">
        <v>13049</v>
      </c>
      <c r="F5206" s="3" t="s">
        <v>13050</v>
      </c>
      <c r="G5206" s="3">
        <v>12015</v>
      </c>
      <c r="H5206" s="7" t="str">
        <f>HYPERLINK("http://www.ensembl.org/Mus_musculus/Gene/Summary?db=core;g=ENSMUSG00000024959","ENSMUSG00000024959")</f>
        <v>ENSMUSG00000024959</v>
      </c>
      <c r="I5206" s="7" t="str">
        <f>HYPERLINK("http://www.informatics.jax.org/marker/MGI:1096330","MGI:1096330")</f>
        <v>MGI:1096330</v>
      </c>
      <c r="J5206" s="4" t="s">
        <v>12</v>
      </c>
    </row>
    <row r="5207" spans="1:10" x14ac:dyDescent="0.25">
      <c r="A5207" s="2">
        <v>98.167875703057206</v>
      </c>
      <c r="B5207" s="3">
        <v>-0.32132497299413298</v>
      </c>
      <c r="C5207" s="3">
        <v>1.5903094484678301E-2</v>
      </c>
      <c r="D5207" s="4">
        <v>3.79396350396633E-2</v>
      </c>
      <c r="E5207" s="3" t="s">
        <v>16535</v>
      </c>
      <c r="F5207" s="3" t="s">
        <v>16536</v>
      </c>
      <c r="G5207" s="3">
        <v>74998</v>
      </c>
      <c r="H5207" s="7" t="str">
        <f>HYPERLINK("http://www.ensembl.org/Mus_musculus/Gene/Summary?db=core;g=ENSMUSG00000040022","ENSMUSG00000040022")</f>
        <v>ENSMUSG00000040022</v>
      </c>
      <c r="I5207" s="7" t="str">
        <f>HYPERLINK("http://www.informatics.jax.org/marker/MGI:1922248","MGI:1922248")</f>
        <v>MGI:1922248</v>
      </c>
      <c r="J5207" s="4" t="s">
        <v>12</v>
      </c>
    </row>
    <row r="5208" spans="1:10" x14ac:dyDescent="0.25">
      <c r="A5208" s="2">
        <v>428.90215763100701</v>
      </c>
      <c r="B5208" s="3">
        <v>-0.32135020735083403</v>
      </c>
      <c r="C5208" s="5">
        <v>8.0462920165275901E-5</v>
      </c>
      <c r="D5208" s="4">
        <v>2.74141117080035E-4</v>
      </c>
      <c r="E5208" s="3" t="s">
        <v>11587</v>
      </c>
      <c r="F5208" s="3" t="s">
        <v>11588</v>
      </c>
      <c r="G5208" s="3">
        <v>223918</v>
      </c>
      <c r="H5208" s="7" t="str">
        <f>HYPERLINK("http://www.ensembl.org/Mus_musculus/Gene/Summary?db=core;g=ENSMUSG00000036966","ENSMUSG00000036966")</f>
        <v>ENSMUSG00000036966</v>
      </c>
      <c r="I5208" s="7" t="str">
        <f>HYPERLINK("http://www.informatics.jax.org/marker/MGI:2446175","MGI:2446175")</f>
        <v>MGI:2446175</v>
      </c>
      <c r="J5208" s="4" t="s">
        <v>12</v>
      </c>
    </row>
    <row r="5209" spans="1:10" x14ac:dyDescent="0.25">
      <c r="A5209" s="2">
        <v>185.057901465681</v>
      </c>
      <c r="B5209" s="3">
        <v>-0.32144877345433498</v>
      </c>
      <c r="C5209" s="3">
        <v>2.1539734693631399E-3</v>
      </c>
      <c r="D5209" s="4">
        <v>6.0550758112389398E-3</v>
      </c>
      <c r="E5209" s="3" t="s">
        <v>14037</v>
      </c>
      <c r="F5209" s="3" t="s">
        <v>14038</v>
      </c>
      <c r="G5209" s="3">
        <v>320541</v>
      </c>
      <c r="H5209" s="7" t="str">
        <f>HYPERLINK("http://www.ensembl.org/Mus_musculus/Gene/Summary?db=core;g=ENSMUSG00000042202","ENSMUSG00000042202")</f>
        <v>ENSMUSG00000042202</v>
      </c>
      <c r="I5209" s="7" t="str">
        <f>HYPERLINK("http://www.informatics.jax.org/marker/MGI:2444240","MGI:2444240")</f>
        <v>MGI:2444240</v>
      </c>
      <c r="J5209" s="4" t="s">
        <v>12</v>
      </c>
    </row>
    <row r="5210" spans="1:10" x14ac:dyDescent="0.25">
      <c r="A5210" s="2">
        <v>517.27575846828699</v>
      </c>
      <c r="B5210" s="3">
        <v>-0.32146093596066799</v>
      </c>
      <c r="C5210" s="3">
        <v>3.0428777461410402E-4</v>
      </c>
      <c r="D5210" s="4">
        <v>9.6288019171267096E-4</v>
      </c>
      <c r="E5210" s="3" t="s">
        <v>12475</v>
      </c>
      <c r="F5210" s="3" t="s">
        <v>12476</v>
      </c>
      <c r="G5210" s="3">
        <v>672284</v>
      </c>
      <c r="H5210" s="7" t="str">
        <f>HYPERLINK("http://www.ensembl.org/Mus_musculus/Gene/Summary?db=core;g=ENSMUSG00000029112","ENSMUSG00000029112")</f>
        <v>ENSMUSG00000029112</v>
      </c>
      <c r="I5210" s="7" t="str">
        <f>HYPERLINK("http://www.informatics.jax.org/marker/MGI:109346","MGI:109346")</f>
        <v>MGI:109346</v>
      </c>
      <c r="J5210" s="4" t="s">
        <v>12</v>
      </c>
    </row>
    <row r="5211" spans="1:10" x14ac:dyDescent="0.25">
      <c r="A5211" s="2">
        <v>1054.00740521633</v>
      </c>
      <c r="B5211" s="3">
        <v>-0.321821531052914</v>
      </c>
      <c r="C5211" s="5">
        <v>4.6871394448101099E-7</v>
      </c>
      <c r="D5211" s="6">
        <v>2.0041281407557601E-6</v>
      </c>
      <c r="E5211" s="3" t="s">
        <v>9239</v>
      </c>
      <c r="F5211" s="3" t="s">
        <v>9240</v>
      </c>
      <c r="G5211" s="3">
        <v>27398</v>
      </c>
      <c r="H5211" s="7" t="str">
        <f>HYPERLINK("http://www.ensembl.org/Mus_musculus/Gene/Summary?db=core;g=ENSMUSG00000002767","ENSMUSG00000002767")</f>
        <v>ENSMUSG00000002767</v>
      </c>
      <c r="I5211" s="7" t="str">
        <f>HYPERLINK("http://www.informatics.jax.org/marker/MGI:1351622","MGI:1351622")</f>
        <v>MGI:1351622</v>
      </c>
      <c r="J5211" s="4" t="s">
        <v>12</v>
      </c>
    </row>
    <row r="5212" spans="1:10" x14ac:dyDescent="0.25">
      <c r="A5212" s="2">
        <v>287.51442062449598</v>
      </c>
      <c r="B5212" s="3">
        <v>-0.32195505166543298</v>
      </c>
      <c r="C5212" s="5">
        <v>8.0333347107706596E-5</v>
      </c>
      <c r="D5212" s="4">
        <v>2.7379426286968099E-4</v>
      </c>
      <c r="E5212" s="3" t="s">
        <v>11583</v>
      </c>
      <c r="F5212" s="3" t="s">
        <v>11584</v>
      </c>
      <c r="G5212" s="3">
        <v>380664</v>
      </c>
      <c r="H5212" s="7" t="str">
        <f>HYPERLINK("http://www.ensembl.org/Mus_musculus/Gene/Summary?db=core;g=ENSMUSG00000048661","ENSMUSG00000048661")</f>
        <v>ENSMUSG00000048661</v>
      </c>
      <c r="I5212" s="7" t="str">
        <f>HYPERLINK("http://www.informatics.jax.org/marker/MGI:3580376","MGI:3580376")</f>
        <v>MGI:3580376</v>
      </c>
      <c r="J5212" s="4" t="s">
        <v>12</v>
      </c>
    </row>
    <row r="5213" spans="1:10" x14ac:dyDescent="0.25">
      <c r="A5213" s="2">
        <v>1478.61040617917</v>
      </c>
      <c r="B5213" s="3">
        <v>-0.32204735887779501</v>
      </c>
      <c r="C5213" s="5">
        <v>4.9974670849811399E-11</v>
      </c>
      <c r="D5213" s="6">
        <v>2.9737492732597501E-10</v>
      </c>
      <c r="E5213" s="3" t="s">
        <v>6645</v>
      </c>
      <c r="F5213" s="3" t="s">
        <v>6646</v>
      </c>
      <c r="G5213" s="3">
        <v>74203</v>
      </c>
      <c r="H5213" s="7" t="str">
        <f>HYPERLINK("http://www.ensembl.org/Mus_musculus/Gene/Summary?db=core;g=ENSMUSG00000020454","ENSMUSG00000020454")</f>
        <v>ENSMUSG00000020454</v>
      </c>
      <c r="I5213" s="7" t="str">
        <f>HYPERLINK("http://www.informatics.jax.org/marker/MGI:1921453","MGI:1921453")</f>
        <v>MGI:1921453</v>
      </c>
      <c r="J5213" s="4" t="s">
        <v>12</v>
      </c>
    </row>
    <row r="5214" spans="1:10" x14ac:dyDescent="0.25">
      <c r="A5214" s="2">
        <v>115.14813987826101</v>
      </c>
      <c r="B5214" s="3">
        <v>-0.32253786840731002</v>
      </c>
      <c r="C5214" s="3">
        <v>7.2706863832917197E-3</v>
      </c>
      <c r="D5214" s="4">
        <v>1.8581899362171202E-2</v>
      </c>
      <c r="E5214" s="3" t="s">
        <v>15437</v>
      </c>
      <c r="F5214" s="3" t="s">
        <v>15438</v>
      </c>
      <c r="G5214" s="3">
        <v>233168</v>
      </c>
      <c r="H5214" s="7" t="str">
        <f>HYPERLINK("http://www.ensembl.org/Mus_musculus/Gene/Summary?db=core;g=ENSMUSG00000056383","ENSMUSG00000056383")</f>
        <v>ENSMUSG00000056383</v>
      </c>
      <c r="I5214" s="7" t="str">
        <f>HYPERLINK("http://www.informatics.jax.org/marker/MGI:2142079","MGI:2142079")</f>
        <v>MGI:2142079</v>
      </c>
      <c r="J5214" s="4" t="s">
        <v>12</v>
      </c>
    </row>
    <row r="5215" spans="1:10" x14ac:dyDescent="0.25">
      <c r="A5215" s="2">
        <v>3239.5110771704199</v>
      </c>
      <c r="B5215" s="3">
        <v>-0.32279653986335399</v>
      </c>
      <c r="C5215" s="5">
        <v>1.4606559882480399E-10</v>
      </c>
      <c r="D5215" s="6">
        <v>8.39281354552777E-10</v>
      </c>
      <c r="E5215" s="3" t="s">
        <v>6882</v>
      </c>
      <c r="F5215" s="3" t="s">
        <v>6883</v>
      </c>
      <c r="G5215" s="3">
        <v>64099</v>
      </c>
      <c r="H5215" s="7" t="str">
        <f>HYPERLINK("http://www.ensembl.org/Mus_musculus/Gene/Summary?db=core;g=ENSMUSG00000022439","ENSMUSG00000022439")</f>
        <v>ENSMUSG00000022439</v>
      </c>
      <c r="I5215" s="7" t="str">
        <f>HYPERLINK("http://www.informatics.jax.org/marker/MGI:2158329","MGI:2158329")</f>
        <v>MGI:2158329</v>
      </c>
      <c r="J5215" s="4" t="s">
        <v>12</v>
      </c>
    </row>
    <row r="5216" spans="1:10" x14ac:dyDescent="0.25">
      <c r="A5216" s="2">
        <v>546.45732842049301</v>
      </c>
      <c r="B5216" s="3">
        <v>-0.322916085923378</v>
      </c>
      <c r="C5216" s="5">
        <v>8.8139648698561305E-7</v>
      </c>
      <c r="D5216" s="6">
        <v>3.6645875444563099E-6</v>
      </c>
      <c r="E5216" s="3" t="s">
        <v>9501</v>
      </c>
      <c r="F5216" s="3" t="s">
        <v>9502</v>
      </c>
      <c r="G5216" s="3">
        <v>94213</v>
      </c>
      <c r="H5216" s="7" t="str">
        <f>HYPERLINK("http://www.ensembl.org/Mus_musculus/Gene/Summary?db=core;g=ENSMUSG00000020076","ENSMUSG00000020076")</f>
        <v>ENSMUSG00000020076</v>
      </c>
      <c r="I5216" s="7" t="str">
        <f>HYPERLINK("http://www.informatics.jax.org/marker/MGI:2182303","MGI:2182303")</f>
        <v>MGI:2182303</v>
      </c>
      <c r="J5216" s="4" t="s">
        <v>12</v>
      </c>
    </row>
    <row r="5217" spans="1:10" x14ac:dyDescent="0.25">
      <c r="A5217" s="2">
        <v>481.956467851551</v>
      </c>
      <c r="B5217" s="3">
        <v>-0.32339184074196903</v>
      </c>
      <c r="C5217" s="5">
        <v>3.8998714278643001E-6</v>
      </c>
      <c r="D5217" s="6">
        <v>1.52167519900048E-5</v>
      </c>
      <c r="E5217" s="3" t="s">
        <v>10124</v>
      </c>
      <c r="F5217" s="3" t="s">
        <v>10125</v>
      </c>
      <c r="G5217" s="3">
        <v>233532</v>
      </c>
      <c r="H5217" s="7" t="str">
        <f>HYPERLINK("http://www.ensembl.org/Mus_musculus/Gene/Summary?db=core;g=ENSMUSG00000035623","ENSMUSG00000035623")</f>
        <v>ENSMUSG00000035623</v>
      </c>
      <c r="I5217" s="7" t="str">
        <f>HYPERLINK("http://www.informatics.jax.org/marker/MGI:2682305","MGI:2682305")</f>
        <v>MGI:2682305</v>
      </c>
      <c r="J5217" s="4" t="s">
        <v>12</v>
      </c>
    </row>
    <row r="5218" spans="1:10" x14ac:dyDescent="0.25">
      <c r="A5218" s="2">
        <v>935.06486545717996</v>
      </c>
      <c r="B5218" s="3">
        <v>-0.32348488975128797</v>
      </c>
      <c r="C5218" s="5">
        <v>1.4182633102490901E-6</v>
      </c>
      <c r="D5218" s="6">
        <v>5.7713892856195101E-6</v>
      </c>
      <c r="E5218" s="3" t="s">
        <v>9707</v>
      </c>
      <c r="F5218" s="3" t="s">
        <v>9708</v>
      </c>
      <c r="G5218" s="3">
        <v>66314</v>
      </c>
      <c r="H5218" s="7" t="str">
        <f>HYPERLINK("http://www.ensembl.org/Mus_musculus/Gene/Summary?db=core;g=ENSMUSG00000000827","ENSMUSG00000000827")</f>
        <v>ENSMUSG00000000827</v>
      </c>
      <c r="I5218" s="7" t="str">
        <f>HYPERLINK("http://www.informatics.jax.org/marker/MGI:1913564","MGI:1913564")</f>
        <v>MGI:1913564</v>
      </c>
      <c r="J5218" s="4" t="s">
        <v>12</v>
      </c>
    </row>
    <row r="5219" spans="1:10" x14ac:dyDescent="0.25">
      <c r="A5219" s="2">
        <v>734.30569519204698</v>
      </c>
      <c r="B5219" s="3">
        <v>-0.32352992591143698</v>
      </c>
      <c r="C5219" s="5">
        <v>3.1221800599446701E-5</v>
      </c>
      <c r="D5219" s="4">
        <v>1.11216385083289E-4</v>
      </c>
      <c r="E5219" s="3" t="s">
        <v>11084</v>
      </c>
      <c r="F5219" s="3" t="s">
        <v>11085</v>
      </c>
      <c r="G5219" s="3">
        <v>21934</v>
      </c>
      <c r="H5219" s="7" t="str">
        <f>HYPERLINK("http://www.ensembl.org/Mus_musculus/Gene/Summary?db=core;g=ENSMUSG00000026321","ENSMUSG00000026321")</f>
        <v>ENSMUSG00000026321</v>
      </c>
      <c r="I5219" s="7" t="str">
        <f>HYPERLINK("http://www.informatics.jax.org/marker/MGI:1314891","MGI:1314891")</f>
        <v>MGI:1314891</v>
      </c>
      <c r="J5219" s="4" t="s">
        <v>12</v>
      </c>
    </row>
    <row r="5220" spans="1:10" x14ac:dyDescent="0.25">
      <c r="A5220" s="2">
        <v>1888.7615730131099</v>
      </c>
      <c r="B5220" s="3">
        <v>-0.32385968152064998</v>
      </c>
      <c r="C5220" s="5">
        <v>8.6151990347707501E-10</v>
      </c>
      <c r="D5220" s="6">
        <v>4.6405824901851696E-9</v>
      </c>
      <c r="E5220" s="3" t="s">
        <v>7340</v>
      </c>
      <c r="F5220" s="3" t="s">
        <v>7341</v>
      </c>
      <c r="G5220" s="3">
        <v>20852</v>
      </c>
      <c r="H5220" s="7" t="str">
        <f>HYPERLINK("http://www.ensembl.org/Mus_musculus/Gene/Summary?db=core;g=ENSMUSG00000002147","ENSMUSG00000002147")</f>
        <v>ENSMUSG00000002147</v>
      </c>
      <c r="I5220" s="7" t="str">
        <f>HYPERLINK("http://www.informatics.jax.org/marker/MGI:103034","MGI:103034")</f>
        <v>MGI:103034</v>
      </c>
      <c r="J5220" s="4" t="s">
        <v>12</v>
      </c>
    </row>
    <row r="5221" spans="1:10" x14ac:dyDescent="0.25">
      <c r="A5221" s="2">
        <v>1755.28384721835</v>
      </c>
      <c r="B5221" s="3">
        <v>-0.32393843660087501</v>
      </c>
      <c r="C5221" s="5">
        <v>4.5654564313795504E-9</v>
      </c>
      <c r="D5221" s="6">
        <v>2.32697856879826E-8</v>
      </c>
      <c r="E5221" s="3" t="s">
        <v>7754</v>
      </c>
      <c r="F5221" s="3" t="s">
        <v>7755</v>
      </c>
      <c r="G5221" s="3">
        <v>11764</v>
      </c>
      <c r="H5221" s="7" t="str">
        <f>HYPERLINK("http://www.ensembl.org/Mus_musculus/Gene/Summary?db=core;g=ENSMUSG00000009090","ENSMUSG00000009090")</f>
        <v>ENSMUSG00000009090</v>
      </c>
      <c r="I5221" s="7" t="str">
        <f>HYPERLINK("http://www.informatics.jax.org/marker/MGI:1096368","MGI:1096368")</f>
        <v>MGI:1096368</v>
      </c>
      <c r="J5221" s="4" t="s">
        <v>12</v>
      </c>
    </row>
    <row r="5222" spans="1:10" x14ac:dyDescent="0.25">
      <c r="A5222" s="2">
        <v>358.895619861667</v>
      </c>
      <c r="B5222" s="3">
        <v>-0.32402102653967402</v>
      </c>
      <c r="C5222" s="5">
        <v>8.8804511816832106E-5</v>
      </c>
      <c r="D5222" s="4">
        <v>3.01156487193109E-4</v>
      </c>
      <c r="E5222" s="3" t="s">
        <v>11641</v>
      </c>
      <c r="F5222" s="3" t="s">
        <v>11642</v>
      </c>
      <c r="G5222" s="3">
        <v>56322</v>
      </c>
      <c r="H5222" s="7" t="str">
        <f>HYPERLINK("http://www.ensembl.org/Mus_musculus/Gene/Summary?db=core;g=ENSMUSG00000020843","ENSMUSG00000020843")</f>
        <v>ENSMUSG00000020843</v>
      </c>
      <c r="I5222" s="7" t="str">
        <f>HYPERLINK("http://www.informatics.jax.org/marker/MGI:1929742","MGI:1929742")</f>
        <v>MGI:1929742</v>
      </c>
      <c r="J5222" s="4" t="s">
        <v>12</v>
      </c>
    </row>
    <row r="5223" spans="1:10" x14ac:dyDescent="0.25">
      <c r="A5223" s="2">
        <v>939.41814552524102</v>
      </c>
      <c r="B5223" s="3">
        <v>-0.32408227851110899</v>
      </c>
      <c r="C5223" s="5">
        <v>3.6137051161627202E-7</v>
      </c>
      <c r="D5223" s="6">
        <v>1.56379778123171E-6</v>
      </c>
      <c r="E5223" s="3" t="s">
        <v>9129</v>
      </c>
      <c r="F5223" s="3" t="s">
        <v>9130</v>
      </c>
      <c r="G5223" s="3">
        <v>27410</v>
      </c>
      <c r="H5223" s="7" t="str">
        <f>HYPERLINK("http://www.ensembl.org/Mus_musculus/Gene/Summary?db=core;g=ENSMUSG00000024130","ENSMUSG00000024130")</f>
        <v>ENSMUSG00000024130</v>
      </c>
      <c r="I5223" s="7" t="str">
        <f>HYPERLINK("http://www.informatics.jax.org/marker/MGI:1351617","MGI:1351617")</f>
        <v>MGI:1351617</v>
      </c>
      <c r="J5223" s="4" t="s">
        <v>12</v>
      </c>
    </row>
    <row r="5224" spans="1:10" x14ac:dyDescent="0.25">
      <c r="A5224" s="2">
        <v>118.255067171343</v>
      </c>
      <c r="B5224" s="3">
        <v>-0.32425422116605002</v>
      </c>
      <c r="C5224" s="3">
        <v>1.18123418442838E-2</v>
      </c>
      <c r="D5224" s="4">
        <v>2.8954553283937399E-2</v>
      </c>
      <c r="E5224" s="3" t="s">
        <v>16095</v>
      </c>
      <c r="F5224" s="3" t="s">
        <v>16096</v>
      </c>
      <c r="G5224" s="3">
        <v>93704</v>
      </c>
      <c r="H5224" s="7" t="str">
        <f>HYPERLINK("http://www.ensembl.org/Mus_musculus/Gene/Summary?db=core;g=ENSMUSG00000104063","ENSMUSG00000104063")</f>
        <v>ENSMUSG00000104063</v>
      </c>
      <c r="I5224" s="7" t="str">
        <f>HYPERLINK("http://www.informatics.jax.org/marker/MGI:1935199","MGI:1935199")</f>
        <v>MGI:1935199</v>
      </c>
      <c r="J5224" s="4" t="s">
        <v>12</v>
      </c>
    </row>
    <row r="5225" spans="1:10" x14ac:dyDescent="0.25">
      <c r="A5225" s="2">
        <v>357.48065539669699</v>
      </c>
      <c r="B5225" s="3">
        <v>-0.32452889106784999</v>
      </c>
      <c r="C5225" s="5">
        <v>1.6712864597944899E-6</v>
      </c>
      <c r="D5225" s="6">
        <v>6.7647309086919799E-6</v>
      </c>
      <c r="E5225" s="3" t="s">
        <v>9759</v>
      </c>
      <c r="F5225" s="3" t="s">
        <v>9760</v>
      </c>
      <c r="G5225" s="3">
        <v>12333</v>
      </c>
      <c r="H5225" s="7" t="str">
        <f>HYPERLINK("http://www.ensembl.org/Mus_musculus/Gene/Summary?db=core;g=ENSMUSG00000024942","ENSMUSG00000024942")</f>
        <v>ENSMUSG00000024942</v>
      </c>
      <c r="I5225" s="7" t="str">
        <f>HYPERLINK("http://www.informatics.jax.org/marker/MGI:88263","MGI:88263")</f>
        <v>MGI:88263</v>
      </c>
      <c r="J5225" s="4" t="s">
        <v>12</v>
      </c>
    </row>
    <row r="5226" spans="1:10" x14ac:dyDescent="0.25">
      <c r="A5226" s="2">
        <v>520.28383025913899</v>
      </c>
      <c r="B5226" s="3">
        <v>-0.32487455870411203</v>
      </c>
      <c r="C5226" s="3">
        <v>8.1410697381535896E-4</v>
      </c>
      <c r="D5226" s="4">
        <v>2.4309796371349002E-3</v>
      </c>
      <c r="E5226" s="3" t="s">
        <v>13217</v>
      </c>
      <c r="F5226" s="3" t="s">
        <v>13218</v>
      </c>
      <c r="G5226" s="3">
        <v>231050</v>
      </c>
      <c r="H5226" s="7" t="str">
        <f>HYPERLINK("http://www.ensembl.org/Mus_musculus/Gene/Summary?db=core;g=ENSMUSG00000038072","ENSMUSG00000038072")</f>
        <v>ENSMUSG00000038072</v>
      </c>
      <c r="I5226" s="7" t="str">
        <f>HYPERLINK("http://www.informatics.jax.org/marker/MGI:2444392","MGI:2444392")</f>
        <v>MGI:2444392</v>
      </c>
      <c r="J5226" s="4" t="s">
        <v>12</v>
      </c>
    </row>
    <row r="5227" spans="1:10" x14ac:dyDescent="0.25">
      <c r="A5227" s="2">
        <v>283.15514167266599</v>
      </c>
      <c r="B5227" s="3">
        <v>-0.32491966550845303</v>
      </c>
      <c r="C5227" s="3">
        <v>2.4800242264684199E-4</v>
      </c>
      <c r="D5227" s="4">
        <v>7.9547946886722898E-4</v>
      </c>
      <c r="E5227" s="3" t="s">
        <v>12307</v>
      </c>
      <c r="F5227" s="3" t="s">
        <v>12308</v>
      </c>
      <c r="G5227" s="3">
        <v>23797</v>
      </c>
      <c r="H5227" s="7" t="str">
        <f>HYPERLINK("http://www.ensembl.org/Mus_musculus/Gene/Summary?db=core;g=ENSMUSG00000019699","ENSMUSG00000019699")</f>
        <v>ENSMUSG00000019699</v>
      </c>
      <c r="I5227" s="7" t="str">
        <f>HYPERLINK("http://www.informatics.jax.org/marker/MGI:1345147","MGI:1345147")</f>
        <v>MGI:1345147</v>
      </c>
      <c r="J5227" s="4" t="s">
        <v>12</v>
      </c>
    </row>
    <row r="5228" spans="1:10" x14ac:dyDescent="0.25">
      <c r="A5228" s="2">
        <v>631.19928955507203</v>
      </c>
      <c r="B5228" s="3">
        <v>-0.32492374190417</v>
      </c>
      <c r="C5228" s="5">
        <v>2.1818152157220399E-6</v>
      </c>
      <c r="D5228" s="6">
        <v>8.7378952181231908E-6</v>
      </c>
      <c r="E5228" s="3" t="s">
        <v>9863</v>
      </c>
      <c r="F5228" s="3" t="s">
        <v>9864</v>
      </c>
      <c r="G5228" s="3">
        <v>268882</v>
      </c>
      <c r="H5228" s="7" t="str">
        <f>HYPERLINK("http://www.ensembl.org/Mus_musculus/Gene/Summary?db=core;g=ENSMUSG00000035764","ENSMUSG00000035764")</f>
        <v>ENSMUSG00000035764</v>
      </c>
      <c r="I5228" s="7" t="str">
        <f>HYPERLINK("http://www.informatics.jax.org/marker/MGI:2447775","MGI:2447775")</f>
        <v>MGI:2447775</v>
      </c>
      <c r="J5228" s="4" t="s">
        <v>12</v>
      </c>
    </row>
    <row r="5229" spans="1:10" x14ac:dyDescent="0.25">
      <c r="A5229" s="2">
        <v>231.13318359410201</v>
      </c>
      <c r="B5229" s="3">
        <v>-0.324973198998455</v>
      </c>
      <c r="C5229" s="3">
        <v>1.7010267386234301E-4</v>
      </c>
      <c r="D5229" s="4">
        <v>5.5647390984827402E-4</v>
      </c>
      <c r="E5229" s="3" t="s">
        <v>12067</v>
      </c>
      <c r="F5229" s="3" t="s">
        <v>12068</v>
      </c>
      <c r="G5229" s="3">
        <v>66648</v>
      </c>
      <c r="H5229" s="7" t="str">
        <f>HYPERLINK("http://www.ensembl.org/Mus_musculus/Gene/Summary?db=core;g=ENSMUSG00000024269","ENSMUSG00000024269")</f>
        <v>ENSMUSG00000024269</v>
      </c>
      <c r="I5229" s="7" t="str">
        <f>HYPERLINK("http://www.informatics.jax.org/marker/MGI:1913898","MGI:1913898")</f>
        <v>MGI:1913898</v>
      </c>
      <c r="J5229" s="4" t="s">
        <v>12</v>
      </c>
    </row>
    <row r="5230" spans="1:10" x14ac:dyDescent="0.25">
      <c r="A5230" s="2">
        <v>935.11794183638801</v>
      </c>
      <c r="B5230" s="3">
        <v>-0.325008910622126</v>
      </c>
      <c r="C5230" s="5">
        <v>1.38224194840412E-5</v>
      </c>
      <c r="D5230" s="6">
        <v>5.1111590516649799E-5</v>
      </c>
      <c r="E5230" s="3" t="s">
        <v>10678</v>
      </c>
      <c r="F5230" s="3" t="s">
        <v>10679</v>
      </c>
      <c r="G5230" s="3">
        <v>232440</v>
      </c>
      <c r="H5230" s="7" t="str">
        <f>HYPERLINK("http://www.ensembl.org/Mus_musculus/Gene/Summary?db=core;g=ENSMUSG00000060032","ENSMUSG00000060032")</f>
        <v>ENSMUSG00000060032</v>
      </c>
      <c r="I5230" s="7" t="str">
        <f>HYPERLINK("http://www.informatics.jax.org/marker/MGI:3606192","MGI:3606192")</f>
        <v>MGI:3606192</v>
      </c>
      <c r="J5230" s="4" t="s">
        <v>12</v>
      </c>
    </row>
    <row r="5231" spans="1:10" x14ac:dyDescent="0.25">
      <c r="A5231" s="2">
        <v>120.838046069675</v>
      </c>
      <c r="B5231" s="3">
        <v>-0.32542764812512498</v>
      </c>
      <c r="C5231" s="3">
        <v>5.1730157637139501E-3</v>
      </c>
      <c r="D5231" s="4">
        <v>1.36525523100159E-2</v>
      </c>
      <c r="E5231" s="3" t="s">
        <v>14946</v>
      </c>
      <c r="F5231" s="3" t="s">
        <v>14947</v>
      </c>
      <c r="G5231" s="3">
        <v>68394</v>
      </c>
      <c r="H5231" s="7" t="str">
        <f>HYPERLINK("http://www.ensembl.org/Mus_musculus/Gene/Summary?db=core;g=ENSMUSG00000028689","ENSMUSG00000028689")</f>
        <v>ENSMUSG00000028689</v>
      </c>
      <c r="I5231" s="7" t="str">
        <f>HYPERLINK("http://www.informatics.jax.org/marker/MGI:1915644","MGI:1915644")</f>
        <v>MGI:1915644</v>
      </c>
      <c r="J5231" s="4" t="s">
        <v>12</v>
      </c>
    </row>
    <row r="5232" spans="1:10" x14ac:dyDescent="0.25">
      <c r="A5232" s="2">
        <v>216.97199675310901</v>
      </c>
      <c r="B5232" s="3">
        <v>-0.32563115606425302</v>
      </c>
      <c r="C5232" s="3">
        <v>6.5715461787363395E-4</v>
      </c>
      <c r="D5232" s="4">
        <v>1.9897265568045502E-3</v>
      </c>
      <c r="E5232" s="3" t="s">
        <v>13035</v>
      </c>
      <c r="F5232" s="3" t="s">
        <v>13036</v>
      </c>
      <c r="G5232" s="3" t="s">
        <v>83</v>
      </c>
      <c r="H5232" s="7" t="str">
        <f>HYPERLINK("http://www.ensembl.org/Mus_musculus/Gene/Summary?db=core;g=ENSMUSG00000087174","ENSMUSG00000087174")</f>
        <v>ENSMUSG00000087174</v>
      </c>
      <c r="I5232" s="7" t="str">
        <f>HYPERLINK("http://www.informatics.jax.org/marker/MGI:1918695","MGI:1918695")</f>
        <v>MGI:1918695</v>
      </c>
      <c r="J5232" s="4" t="s">
        <v>331</v>
      </c>
    </row>
    <row r="5233" spans="1:10" x14ac:dyDescent="0.25">
      <c r="A5233" s="2">
        <v>856.03550318274097</v>
      </c>
      <c r="B5233" s="3">
        <v>-0.32577113649768802</v>
      </c>
      <c r="C5233" s="5">
        <v>7.4378463624317103E-6</v>
      </c>
      <c r="D5233" s="6">
        <v>2.8282747834005599E-5</v>
      </c>
      <c r="E5233" s="3" t="s">
        <v>10386</v>
      </c>
      <c r="F5233" s="3" t="s">
        <v>10387</v>
      </c>
      <c r="G5233" s="3">
        <v>74206</v>
      </c>
      <c r="H5233" s="7" t="str">
        <f>HYPERLINK("http://www.ensembl.org/Mus_musculus/Gene/Summary?db=core;g=ENSMUSG00000030583","ENSMUSG00000030583")</f>
        <v>ENSMUSG00000030583</v>
      </c>
      <c r="I5233" s="7" t="str">
        <f>HYPERLINK("http://www.informatics.jax.org/marker/MGI:1921456","MGI:1921456")</f>
        <v>MGI:1921456</v>
      </c>
      <c r="J5233" s="4" t="s">
        <v>12</v>
      </c>
    </row>
    <row r="5234" spans="1:10" x14ac:dyDescent="0.25">
      <c r="A5234" s="2">
        <v>3588.4144296274899</v>
      </c>
      <c r="B5234" s="3">
        <v>-0.32588526779104499</v>
      </c>
      <c r="C5234" s="5">
        <v>1.6064722256293599E-5</v>
      </c>
      <c r="D5234" s="6">
        <v>5.8971915451898703E-5</v>
      </c>
      <c r="E5234" s="3" t="s">
        <v>10756</v>
      </c>
      <c r="F5234" s="3" t="s">
        <v>10757</v>
      </c>
      <c r="G5234" s="3">
        <v>107939</v>
      </c>
      <c r="H5234" s="7" t="str">
        <f>HYPERLINK("http://www.ensembl.org/Mus_musculus/Gene/Summary?db=core;g=ENSMUSG00000053293","ENSMUSG00000053293")</f>
        <v>ENSMUSG00000053293</v>
      </c>
      <c r="I5234" s="7" t="str">
        <f>HYPERLINK("http://www.informatics.jax.org/marker/MGI:2137624","MGI:2137624")</f>
        <v>MGI:2137624</v>
      </c>
      <c r="J5234" s="4" t="s">
        <v>12</v>
      </c>
    </row>
    <row r="5235" spans="1:10" x14ac:dyDescent="0.25">
      <c r="A5235" s="2">
        <v>239.208480738248</v>
      </c>
      <c r="B5235" s="3">
        <v>-0.32638965816130899</v>
      </c>
      <c r="C5235" s="3">
        <v>2.8008119052186202E-4</v>
      </c>
      <c r="D5235" s="4">
        <v>8.9083888340179402E-4</v>
      </c>
      <c r="E5235" s="3" t="s">
        <v>12412</v>
      </c>
      <c r="F5235" s="3" t="s">
        <v>12413</v>
      </c>
      <c r="G5235" s="3">
        <v>66606</v>
      </c>
      <c r="H5235" s="7" t="str">
        <f>HYPERLINK("http://www.ensembl.org/Mus_musculus/Gene/Summary?db=core;g=ENSMUSG00000027286","ENSMUSG00000027286")</f>
        <v>ENSMUSG00000027286</v>
      </c>
      <c r="I5235" s="7" t="str">
        <f>HYPERLINK("http://www.informatics.jax.org/marker/MGI:1913856","MGI:1913856")</f>
        <v>MGI:1913856</v>
      </c>
      <c r="J5235" s="4" t="s">
        <v>12</v>
      </c>
    </row>
    <row r="5236" spans="1:10" x14ac:dyDescent="0.25">
      <c r="A5236" s="2">
        <v>688.58313578033699</v>
      </c>
      <c r="B5236" s="3">
        <v>-0.32720991636101698</v>
      </c>
      <c r="C5236" s="5">
        <v>1.59759469720758E-9</v>
      </c>
      <c r="D5236" s="6">
        <v>8.4259340542748199E-9</v>
      </c>
      <c r="E5236" s="3" t="s">
        <v>7496</v>
      </c>
      <c r="F5236" s="3" t="s">
        <v>7497</v>
      </c>
      <c r="G5236" s="3">
        <v>268930</v>
      </c>
      <c r="H5236" s="7" t="str">
        <f>HYPERLINK("http://www.ensembl.org/Mus_musculus/Gene/Summary?db=core;g=ENSMUSG00000023908","ENSMUSG00000023908")</f>
        <v>ENSMUSG00000023908</v>
      </c>
      <c r="I5236" s="7" t="str">
        <f>HYPERLINK("http://www.informatics.jax.org/marker/MGI:2137630","MGI:2137630")</f>
        <v>MGI:2137630</v>
      </c>
      <c r="J5236" s="4" t="s">
        <v>12</v>
      </c>
    </row>
    <row r="5237" spans="1:10" x14ac:dyDescent="0.25">
      <c r="A5237" s="2">
        <v>1181.97464905992</v>
      </c>
      <c r="B5237" s="3">
        <v>-0.32724721130798001</v>
      </c>
      <c r="C5237" s="5">
        <v>1.6031227542631E-6</v>
      </c>
      <c r="D5237" s="6">
        <v>6.4968312194961496E-6</v>
      </c>
      <c r="E5237" s="3" t="s">
        <v>9747</v>
      </c>
      <c r="F5237" s="3" t="s">
        <v>9748</v>
      </c>
      <c r="G5237" s="3">
        <v>103468</v>
      </c>
      <c r="H5237" s="7" t="str">
        <f>HYPERLINK("http://www.ensembl.org/Mus_musculus/Gene/Summary?db=core;g=ENSMUSG00000052798","ENSMUSG00000052798")</f>
        <v>ENSMUSG00000052798</v>
      </c>
      <c r="I5237" s="7" t="str">
        <f>HYPERLINK("http://www.informatics.jax.org/marker/MGI:2143854","MGI:2143854")</f>
        <v>MGI:2143854</v>
      </c>
      <c r="J5237" s="4" t="s">
        <v>12</v>
      </c>
    </row>
    <row r="5238" spans="1:10" x14ac:dyDescent="0.25">
      <c r="A5238" s="2">
        <v>618.10926069328502</v>
      </c>
      <c r="B5238" s="3">
        <v>-0.32729942525643801</v>
      </c>
      <c r="C5238" s="5">
        <v>1.4275112681204101E-5</v>
      </c>
      <c r="D5238" s="6">
        <v>5.2736085064320698E-5</v>
      </c>
      <c r="E5238" s="3" t="s">
        <v>10688</v>
      </c>
      <c r="F5238" s="3" t="s">
        <v>10689</v>
      </c>
      <c r="G5238" s="3">
        <v>15108</v>
      </c>
      <c r="H5238" s="7" t="str">
        <f>HYPERLINK("http://www.ensembl.org/Mus_musculus/Gene/Summary?db=core;g=ENSMUSG00000025260","ENSMUSG00000025260")</f>
        <v>ENSMUSG00000025260</v>
      </c>
      <c r="I5238" s="7" t="str">
        <f>HYPERLINK("http://www.informatics.jax.org/marker/MGI:1333871","MGI:1333871")</f>
        <v>MGI:1333871</v>
      </c>
      <c r="J5238" s="4" t="s">
        <v>12</v>
      </c>
    </row>
    <row r="5239" spans="1:10" x14ac:dyDescent="0.25">
      <c r="A5239" s="2">
        <v>1103.8262057158399</v>
      </c>
      <c r="B5239" s="3">
        <v>-0.32755962854911702</v>
      </c>
      <c r="C5239" s="5">
        <v>7.8561553767705298E-5</v>
      </c>
      <c r="D5239" s="4">
        <v>2.6803353638393601E-4</v>
      </c>
      <c r="E5239" s="3" t="s">
        <v>11571</v>
      </c>
      <c r="F5239" s="3" t="s">
        <v>11572</v>
      </c>
      <c r="G5239" s="3">
        <v>625249</v>
      </c>
      <c r="H5239" s="7" t="str">
        <f>HYPERLINK("http://www.ensembl.org/Mus_musculus/Gene/Summary?db=core;g=ENSMUSG00000075706","ENSMUSG00000075706")</f>
        <v>ENSMUSG00000075706</v>
      </c>
      <c r="I5239" s="7" t="str">
        <f>HYPERLINK("http://www.informatics.jax.org/marker/MGI:104767","MGI:104767")</f>
        <v>MGI:104767</v>
      </c>
      <c r="J5239" s="4" t="s">
        <v>12</v>
      </c>
    </row>
    <row r="5240" spans="1:10" x14ac:dyDescent="0.25">
      <c r="A5240" s="2">
        <v>108.253352761972</v>
      </c>
      <c r="B5240" s="3">
        <v>-0.32758920888394899</v>
      </c>
      <c r="C5240" s="3">
        <v>2.1223215036626601E-2</v>
      </c>
      <c r="D5240" s="4">
        <v>4.9261040551115298E-2</v>
      </c>
      <c r="E5240" s="3" t="s">
        <v>16996</v>
      </c>
      <c r="F5240" s="3" t="s">
        <v>16997</v>
      </c>
      <c r="G5240" s="3">
        <v>14676</v>
      </c>
      <c r="H5240" s="7" t="str">
        <f>HYPERLINK("http://www.ensembl.org/Mus_musculus/Gene/Summary?db=core;g=ENSMUSG00000034792","ENSMUSG00000034792")</f>
        <v>ENSMUSG00000034792</v>
      </c>
      <c r="I5240" s="7" t="str">
        <f>HYPERLINK("http://www.informatics.jax.org/marker/MGI:95770","MGI:95770")</f>
        <v>MGI:95770</v>
      </c>
      <c r="J5240" s="4" t="s">
        <v>12</v>
      </c>
    </row>
    <row r="5241" spans="1:10" x14ac:dyDescent="0.25">
      <c r="A5241" s="2">
        <v>112.644810111884</v>
      </c>
      <c r="B5241" s="3">
        <v>-0.32775105349044598</v>
      </c>
      <c r="C5241" s="3">
        <v>2.4593729607072E-3</v>
      </c>
      <c r="D5241" s="4">
        <v>6.8452836676282103E-3</v>
      </c>
      <c r="E5241" s="3" t="s">
        <v>14177</v>
      </c>
      <c r="F5241" s="3" t="s">
        <v>14178</v>
      </c>
      <c r="G5241" s="3">
        <v>80286</v>
      </c>
      <c r="H5241" s="7" t="str">
        <f>HYPERLINK("http://www.ensembl.org/Mus_musculus/Gene/Summary?db=core;g=ENSMUSG00000039530","ENSMUSG00000039530")</f>
        <v>ENSMUSG00000039530</v>
      </c>
      <c r="I5241" s="7" t="str">
        <f>HYPERLINK("http://www.informatics.jax.org/marker/MGI:1933134","MGI:1933134")</f>
        <v>MGI:1933134</v>
      </c>
      <c r="J5241" s="4" t="s">
        <v>12</v>
      </c>
    </row>
    <row r="5242" spans="1:10" x14ac:dyDescent="0.25">
      <c r="A5242" s="2">
        <v>226.94569564445499</v>
      </c>
      <c r="B5242" s="3">
        <v>-0.328008972224128</v>
      </c>
      <c r="C5242" s="3">
        <v>1.7777794602364301E-3</v>
      </c>
      <c r="D5242" s="4">
        <v>5.0595772775093696E-3</v>
      </c>
      <c r="E5242" s="3" t="s">
        <v>13865</v>
      </c>
      <c r="F5242" s="3" t="s">
        <v>13866</v>
      </c>
      <c r="G5242" s="3">
        <v>242620</v>
      </c>
      <c r="H5242" s="7" t="str">
        <f>HYPERLINK("http://www.ensembl.org/Mus_musculus/Gene/Summary?db=core;g=ENSMUSG00000047143","ENSMUSG00000047143")</f>
        <v>ENSMUSG00000047143</v>
      </c>
      <c r="I5242" s="7" t="str">
        <f>HYPERLINK("http://www.informatics.jax.org/marker/MGI:2653629","MGI:2653629")</f>
        <v>MGI:2653629</v>
      </c>
      <c r="J5242" s="4" t="s">
        <v>12</v>
      </c>
    </row>
    <row r="5243" spans="1:10" x14ac:dyDescent="0.25">
      <c r="A5243" s="2">
        <v>351.33975510206398</v>
      </c>
      <c r="B5243" s="3">
        <v>-0.328108277768418</v>
      </c>
      <c r="C5243" s="3">
        <v>3.0174493466474502E-4</v>
      </c>
      <c r="D5243" s="4">
        <v>9.5604275571798997E-4</v>
      </c>
      <c r="E5243" s="3" t="s">
        <v>12461</v>
      </c>
      <c r="F5243" s="3" t="s">
        <v>12462</v>
      </c>
      <c r="G5243" s="3">
        <v>244329</v>
      </c>
      <c r="H5243" s="7" t="str">
        <f>HYPERLINK("http://www.ensembl.org/Mus_musculus/Gene/Summary?db=core;g=ENSMUSG00000039842","ENSMUSG00000039842")</f>
        <v>ENSMUSG00000039842</v>
      </c>
      <c r="I5243" s="7" t="str">
        <f>HYPERLINK("http://www.informatics.jax.org/marker/MGI:2443308","MGI:2443308")</f>
        <v>MGI:2443308</v>
      </c>
      <c r="J5243" s="4" t="s">
        <v>12</v>
      </c>
    </row>
    <row r="5244" spans="1:10" x14ac:dyDescent="0.25">
      <c r="A5244" s="2">
        <v>684.05554769893104</v>
      </c>
      <c r="B5244" s="3">
        <v>-0.32822760170280801</v>
      </c>
      <c r="C5244" s="5">
        <v>5.0358614322873697E-7</v>
      </c>
      <c r="D5244" s="6">
        <v>2.1477477659577399E-6</v>
      </c>
      <c r="E5244" s="3" t="s">
        <v>9261</v>
      </c>
      <c r="F5244" s="3" t="s">
        <v>9262</v>
      </c>
      <c r="G5244" s="3">
        <v>67466</v>
      </c>
      <c r="H5244" s="7" t="str">
        <f>HYPERLINK("http://www.ensembl.org/Mus_musculus/Gene/Summary?db=core;g=ENSMUSG00000009030","ENSMUSG00000009030")</f>
        <v>ENSMUSG00000009030</v>
      </c>
      <c r="I5244" s="7" t="str">
        <f>HYPERLINK("http://www.informatics.jax.org/marker/MGI:1914716","MGI:1914716")</f>
        <v>MGI:1914716</v>
      </c>
      <c r="J5244" s="4" t="s">
        <v>12</v>
      </c>
    </row>
    <row r="5245" spans="1:10" x14ac:dyDescent="0.25">
      <c r="A5245" s="2">
        <v>1375.718139669</v>
      </c>
      <c r="B5245" s="3">
        <v>-0.32881351185943303</v>
      </c>
      <c r="C5245" s="5">
        <v>2.5715906350924902E-7</v>
      </c>
      <c r="D5245" s="6">
        <v>1.1284327397424099E-6</v>
      </c>
      <c r="E5245" s="3" t="s">
        <v>9005</v>
      </c>
      <c r="F5245" s="3" t="s">
        <v>9006</v>
      </c>
      <c r="G5245" s="3">
        <v>68018</v>
      </c>
      <c r="H5245" s="7" t="str">
        <f>HYPERLINK("http://www.ensembl.org/Mus_musculus/Gene/Summary?db=core;g=ENSMUSG00000021669","ENSMUSG00000021669")</f>
        <v>ENSMUSG00000021669</v>
      </c>
      <c r="I5245" s="7" t="str">
        <f>HYPERLINK("http://www.informatics.jax.org/marker/MGI:1915268","MGI:1915268")</f>
        <v>MGI:1915268</v>
      </c>
      <c r="J5245" s="4" t="s">
        <v>12</v>
      </c>
    </row>
    <row r="5246" spans="1:10" x14ac:dyDescent="0.25">
      <c r="A5246" s="2">
        <v>112.087747482418</v>
      </c>
      <c r="B5246" s="3">
        <v>-0.32911118638507503</v>
      </c>
      <c r="C5246" s="3">
        <v>1.29315318458626E-2</v>
      </c>
      <c r="D5246" s="4">
        <v>3.1443872749742301E-2</v>
      </c>
      <c r="E5246" s="3" t="s">
        <v>16225</v>
      </c>
      <c r="F5246" s="3" t="s">
        <v>16226</v>
      </c>
      <c r="G5246" s="3">
        <v>93702</v>
      </c>
      <c r="H5246" s="7" t="str">
        <f>HYPERLINK("http://www.ensembl.org/Mus_musculus/Gene/Summary?db=core;g=ENSMUSG00000103749","ENSMUSG00000103749")</f>
        <v>ENSMUSG00000103749</v>
      </c>
      <c r="I5246" s="7" t="str">
        <f>HYPERLINK("http://www.informatics.jax.org/marker/MGI:1935196","MGI:1935196")</f>
        <v>MGI:1935196</v>
      </c>
      <c r="J5246" s="4" t="s">
        <v>12</v>
      </c>
    </row>
    <row r="5247" spans="1:10" x14ac:dyDescent="0.25">
      <c r="A5247" s="2">
        <v>3075.8893987885799</v>
      </c>
      <c r="B5247" s="3">
        <v>-0.32938535642910099</v>
      </c>
      <c r="C5247" s="5">
        <v>6.6927148245554397E-11</v>
      </c>
      <c r="D5247" s="6">
        <v>3.9350130095477998E-10</v>
      </c>
      <c r="E5247" s="3" t="s">
        <v>6726</v>
      </c>
      <c r="F5247" s="3" t="s">
        <v>6727</v>
      </c>
      <c r="G5247" s="3">
        <v>545030</v>
      </c>
      <c r="H5247" s="7" t="str">
        <f>HYPERLINK("http://www.ensembl.org/Mus_musculus/Gene/Summary?db=core;g=ENSMUSG00000051506","ENSMUSG00000051506")</f>
        <v>ENSMUSG00000051506</v>
      </c>
      <c r="I5247" s="7" t="str">
        <f>HYPERLINK("http://www.informatics.jax.org/marker/MGI:3584510","MGI:3584510")</f>
        <v>MGI:3584510</v>
      </c>
      <c r="J5247" s="4" t="s">
        <v>12</v>
      </c>
    </row>
    <row r="5248" spans="1:10" x14ac:dyDescent="0.25">
      <c r="A5248" s="2">
        <v>669.35958293386398</v>
      </c>
      <c r="B5248" s="3">
        <v>-0.329482722183918</v>
      </c>
      <c r="C5248" s="3">
        <v>3.2224237307339702E-3</v>
      </c>
      <c r="D5248" s="4">
        <v>8.78802322916249E-3</v>
      </c>
      <c r="E5248" s="3" t="s">
        <v>14465</v>
      </c>
      <c r="F5248" s="3" t="s">
        <v>14466</v>
      </c>
      <c r="G5248" s="3">
        <v>54197</v>
      </c>
      <c r="H5248" s="7" t="str">
        <f>HYPERLINK("http://www.ensembl.org/Mus_musculus/Gene/Summary?db=core;g=ENSMUSG00000015478","ENSMUSG00000015478")</f>
        <v>ENSMUSG00000015478</v>
      </c>
      <c r="I5248" s="7" t="str">
        <f>HYPERLINK("http://www.informatics.jax.org/marker/MGI:1860076","MGI:1860076")</f>
        <v>MGI:1860076</v>
      </c>
      <c r="J5248" s="4" t="s">
        <v>12</v>
      </c>
    </row>
    <row r="5249" spans="1:10" x14ac:dyDescent="0.25">
      <c r="A5249" s="2">
        <v>4157.6171492486001</v>
      </c>
      <c r="B5249" s="3">
        <v>-0.32955199922582301</v>
      </c>
      <c r="C5249" s="5">
        <v>8.5626018977075198E-14</v>
      </c>
      <c r="D5249" s="6">
        <v>6.1357016505375098E-13</v>
      </c>
      <c r="E5249" s="3" t="s">
        <v>5521</v>
      </c>
      <c r="F5249" s="3" t="s">
        <v>5522</v>
      </c>
      <c r="G5249" s="3">
        <v>19646</v>
      </c>
      <c r="H5249" s="7" t="str">
        <f>HYPERLINK("http://www.ensembl.org/Mus_musculus/Gene/Summary?db=core;g=ENSMUSG00000057236","ENSMUSG00000057236")</f>
        <v>ENSMUSG00000057236</v>
      </c>
      <c r="I5249" s="7" t="str">
        <f>HYPERLINK("http://www.informatics.jax.org/marker/MGI:1194912","MGI:1194912")</f>
        <v>MGI:1194912</v>
      </c>
      <c r="J5249" s="4" t="s">
        <v>12</v>
      </c>
    </row>
    <row r="5250" spans="1:10" x14ac:dyDescent="0.25">
      <c r="A5250" s="2">
        <v>494.69961317961599</v>
      </c>
      <c r="B5250" s="3">
        <v>-0.32956516443964301</v>
      </c>
      <c r="C5250" s="3">
        <v>1.0497256484602699E-3</v>
      </c>
      <c r="D5250" s="4">
        <v>3.08503573586238E-3</v>
      </c>
      <c r="E5250" s="3" t="s">
        <v>13429</v>
      </c>
      <c r="F5250" s="3" t="s">
        <v>13430</v>
      </c>
      <c r="G5250" s="3">
        <v>230125</v>
      </c>
      <c r="H5250" s="7" t="str">
        <f>HYPERLINK("http://www.ensembl.org/Mus_musculus/Gene/Summary?db=core;g=ENSMUSG00000045973","ENSMUSG00000045973")</f>
        <v>ENSMUSG00000045973</v>
      </c>
      <c r="I5250" s="7" t="str">
        <f>HYPERLINK("http://www.informatics.jax.org/marker/MGI:2684984","MGI:2684984")</f>
        <v>MGI:2684984</v>
      </c>
      <c r="J5250" s="4" t="s">
        <v>12</v>
      </c>
    </row>
    <row r="5251" spans="1:10" x14ac:dyDescent="0.25">
      <c r="A5251" s="2">
        <v>112.306127981548</v>
      </c>
      <c r="B5251" s="3">
        <v>-0.33060511857680203</v>
      </c>
      <c r="C5251" s="3">
        <v>1.31738939311607E-2</v>
      </c>
      <c r="D5251" s="4">
        <v>3.1966155313427398E-2</v>
      </c>
      <c r="E5251" s="3" t="s">
        <v>16259</v>
      </c>
      <c r="F5251" s="3" t="s">
        <v>16260</v>
      </c>
      <c r="G5251" s="3">
        <v>93700</v>
      </c>
      <c r="H5251" s="7" t="str">
        <f>HYPERLINK("http://www.ensembl.org/Mus_musculus/Gene/Summary?db=core;g=ENSMUSG00000102748","ENSMUSG00000102748")</f>
        <v>ENSMUSG00000102748</v>
      </c>
      <c r="I5251" s="7" t="str">
        <f>HYPERLINK("http://www.informatics.jax.org/marker/MGI:1935170","MGI:1935170")</f>
        <v>MGI:1935170</v>
      </c>
      <c r="J5251" s="4" t="s">
        <v>12</v>
      </c>
    </row>
    <row r="5252" spans="1:10" x14ac:dyDescent="0.25">
      <c r="A5252" s="2">
        <v>1016.56193667946</v>
      </c>
      <c r="B5252" s="3">
        <v>-0.33082500348008298</v>
      </c>
      <c r="C5252" s="3">
        <v>2.8904786212113198E-4</v>
      </c>
      <c r="D5252" s="4">
        <v>9.1787823527032602E-4</v>
      </c>
      <c r="E5252" s="3" t="s">
        <v>12433</v>
      </c>
      <c r="F5252" s="3" t="s">
        <v>12434</v>
      </c>
      <c r="G5252" s="3">
        <v>18439</v>
      </c>
      <c r="H5252" s="7" t="str">
        <f>HYPERLINK("http://www.ensembl.org/Mus_musculus/Gene/Summary?db=core;g=ENSMUSG00000029468","ENSMUSG00000029468")</f>
        <v>ENSMUSG00000029468</v>
      </c>
      <c r="I5252" s="7" t="str">
        <f>HYPERLINK("http://www.informatics.jax.org/marker/MGI:1339957","MGI:1339957")</f>
        <v>MGI:1339957</v>
      </c>
      <c r="J5252" s="4" t="s">
        <v>12</v>
      </c>
    </row>
    <row r="5253" spans="1:10" x14ac:dyDescent="0.25">
      <c r="A5253" s="2">
        <v>1203.74968149131</v>
      </c>
      <c r="B5253" s="3">
        <v>-0.33108077827104399</v>
      </c>
      <c r="C5253" s="5">
        <v>1.4946747139154001E-6</v>
      </c>
      <c r="D5253" s="6">
        <v>6.0685578254913998E-6</v>
      </c>
      <c r="E5253" s="3" t="s">
        <v>9729</v>
      </c>
      <c r="F5253" s="3" t="s">
        <v>9730</v>
      </c>
      <c r="G5253" s="3">
        <v>18041</v>
      </c>
      <c r="H5253" s="7" t="str">
        <f>HYPERLINK("http://www.ensembl.org/Mus_musculus/Gene/Summary?db=core;g=ENSMUSG00000027618","ENSMUSG00000027618")</f>
        <v>ENSMUSG00000027618</v>
      </c>
      <c r="I5253" s="7" t="str">
        <f>HYPERLINK("http://www.informatics.jax.org/marker/MGI:1316706","MGI:1316706")</f>
        <v>MGI:1316706</v>
      </c>
      <c r="J5253" s="4" t="s">
        <v>12</v>
      </c>
    </row>
    <row r="5254" spans="1:10" x14ac:dyDescent="0.25">
      <c r="A5254" s="2">
        <v>194.390191440416</v>
      </c>
      <c r="B5254" s="3">
        <v>-0.33151287739735102</v>
      </c>
      <c r="C5254" s="3">
        <v>4.5074106514974904E-3</v>
      </c>
      <c r="D5254" s="4">
        <v>1.2010017301382301E-2</v>
      </c>
      <c r="E5254" s="3" t="s">
        <v>14806</v>
      </c>
      <c r="F5254" s="3" t="s">
        <v>14807</v>
      </c>
      <c r="G5254" s="3">
        <v>69863</v>
      </c>
      <c r="H5254" s="7" t="str">
        <f>HYPERLINK("http://www.ensembl.org/Mus_musculus/Gene/Summary?db=core;g=ENSMUSG00000038172","ENSMUSG00000038172")</f>
        <v>ENSMUSG00000038172</v>
      </c>
      <c r="I5254" s="7" t="str">
        <f>HYPERLINK("http://www.informatics.jax.org/marker/MGI:1917113","MGI:1917113")</f>
        <v>MGI:1917113</v>
      </c>
      <c r="J5254" s="4" t="s">
        <v>12</v>
      </c>
    </row>
    <row r="5255" spans="1:10" x14ac:dyDescent="0.25">
      <c r="A5255" s="2">
        <v>695.19013286860002</v>
      </c>
      <c r="B5255" s="3">
        <v>-0.33172647159171498</v>
      </c>
      <c r="C5255" s="5">
        <v>1.28884850034244E-6</v>
      </c>
      <c r="D5255" s="6">
        <v>5.2730482213180402E-6</v>
      </c>
      <c r="E5255" s="3" t="s">
        <v>9655</v>
      </c>
      <c r="F5255" s="3" t="s">
        <v>9656</v>
      </c>
      <c r="G5255" s="3">
        <v>64656</v>
      </c>
      <c r="H5255" s="7" t="str">
        <f>HYPERLINK("http://www.ensembl.org/Mus_musculus/Gene/Summary?db=core;g=ENSMUSG00000023723","ENSMUSG00000023723")</f>
        <v>ENSMUSG00000023723</v>
      </c>
      <c r="I5255" s="7" t="str">
        <f>HYPERLINK("http://www.informatics.jax.org/marker/MGI:1928138","MGI:1928138")</f>
        <v>MGI:1928138</v>
      </c>
      <c r="J5255" s="4" t="s">
        <v>12</v>
      </c>
    </row>
    <row r="5256" spans="1:10" x14ac:dyDescent="0.25">
      <c r="A5256" s="2">
        <v>445.49633964502198</v>
      </c>
      <c r="B5256" s="3">
        <v>-0.33177906737284801</v>
      </c>
      <c r="C5256" s="5">
        <v>1.4495213009731399E-5</v>
      </c>
      <c r="D5256" s="6">
        <v>5.3499083015516299E-5</v>
      </c>
      <c r="E5256" s="3" t="s">
        <v>10698</v>
      </c>
      <c r="F5256" s="3" t="s">
        <v>10699</v>
      </c>
      <c r="G5256" s="3">
        <v>12421</v>
      </c>
      <c r="H5256" s="7" t="str">
        <f>HYPERLINK("http://www.ensembl.org/Mus_musculus/Gene/Summary?db=core;g=ENSMUSG00000025907","ENSMUSG00000025907")</f>
        <v>ENSMUSG00000025907</v>
      </c>
      <c r="I5256" s="7" t="str">
        <f>HYPERLINK("http://www.informatics.jax.org/marker/MGI:1341850","MGI:1341850")</f>
        <v>MGI:1341850</v>
      </c>
      <c r="J5256" s="4" t="s">
        <v>12</v>
      </c>
    </row>
    <row r="5257" spans="1:10" x14ac:dyDescent="0.25">
      <c r="A5257" s="2">
        <v>331.25187823648298</v>
      </c>
      <c r="B5257" s="3">
        <v>-0.33185323864551602</v>
      </c>
      <c r="C5257" s="3">
        <v>1.5782669576911299E-2</v>
      </c>
      <c r="D5257" s="4">
        <v>3.76751294100824E-2</v>
      </c>
      <c r="E5257" s="3" t="s">
        <v>16525</v>
      </c>
      <c r="F5257" s="3" t="s">
        <v>16526</v>
      </c>
      <c r="G5257" s="3">
        <v>12460</v>
      </c>
      <c r="H5257" s="7" t="str">
        <f>HYPERLINK("http://www.ensembl.org/Mus_musculus/Gene/Summary?db=core;g=ENSMUSG00000034108","ENSMUSG00000034108")</f>
        <v>ENSMUSG00000034108</v>
      </c>
      <c r="I5257" s="7" t="str">
        <f>HYPERLINK("http://www.informatics.jax.org/marker/MGI:1333783","MGI:1333783")</f>
        <v>MGI:1333783</v>
      </c>
      <c r="J5257" s="4" t="s">
        <v>12</v>
      </c>
    </row>
    <row r="5258" spans="1:10" x14ac:dyDescent="0.25">
      <c r="A5258" s="2">
        <v>1531.20877255556</v>
      </c>
      <c r="B5258" s="3">
        <v>-0.33190488205469199</v>
      </c>
      <c r="C5258" s="5">
        <v>1.8136005051893601E-7</v>
      </c>
      <c r="D5258" s="6">
        <v>8.0586304556859403E-7</v>
      </c>
      <c r="E5258" s="3" t="s">
        <v>8893</v>
      </c>
      <c r="F5258" s="3" t="s">
        <v>8894</v>
      </c>
      <c r="G5258" s="3">
        <v>20425</v>
      </c>
      <c r="H5258" s="7" t="str">
        <f>HYPERLINK("http://www.ensembl.org/Mus_musculus/Gene/Summary?db=core;g=ENSMUSG00000020534","ENSMUSG00000020534")</f>
        <v>ENSMUSG00000020534</v>
      </c>
      <c r="I5258" s="7" t="str">
        <f>HYPERLINK("http://www.informatics.jax.org/marker/MGI:98299","MGI:98299")</f>
        <v>MGI:98299</v>
      </c>
      <c r="J5258" s="4" t="s">
        <v>12</v>
      </c>
    </row>
    <row r="5259" spans="1:10" x14ac:dyDescent="0.25">
      <c r="A5259" s="2">
        <v>159.76081227602401</v>
      </c>
      <c r="B5259" s="3">
        <v>-0.33224628103218501</v>
      </c>
      <c r="C5259" s="3">
        <v>8.9957877959027394E-3</v>
      </c>
      <c r="D5259" s="4">
        <v>2.2571546947976098E-2</v>
      </c>
      <c r="E5259" s="3" t="s">
        <v>15725</v>
      </c>
      <c r="F5259" s="3" t="s">
        <v>15726</v>
      </c>
      <c r="G5259" s="3">
        <v>333654</v>
      </c>
      <c r="H5259" s="7" t="str">
        <f>HYPERLINK("http://www.ensembl.org/Mus_musculus/Gene/Summary?db=core;g=ENSMUSG00000040734","ENSMUSG00000040734")</f>
        <v>ENSMUSG00000040734</v>
      </c>
      <c r="I5259" s="7" t="str">
        <f>HYPERLINK("http://www.informatics.jax.org/marker/MGI:3525053","MGI:3525053")</f>
        <v>MGI:3525053</v>
      </c>
      <c r="J5259" s="4" t="s">
        <v>12</v>
      </c>
    </row>
    <row r="5260" spans="1:10" x14ac:dyDescent="0.25">
      <c r="A5260" s="2">
        <v>782.017697529423</v>
      </c>
      <c r="B5260" s="3">
        <v>-0.33243759949768698</v>
      </c>
      <c r="C5260" s="5">
        <v>1.1140080439100199E-6</v>
      </c>
      <c r="D5260" s="6">
        <v>4.5853138438542203E-6</v>
      </c>
      <c r="E5260" s="3" t="s">
        <v>9597</v>
      </c>
      <c r="F5260" s="3" t="s">
        <v>9598</v>
      </c>
      <c r="G5260" s="3">
        <v>17535</v>
      </c>
      <c r="H5260" s="7" t="str">
        <f>HYPERLINK("http://www.ensembl.org/Mus_musculus/Gene/Summary?db=core;g=ENSMUSG00000031928","ENSMUSG00000031928")</f>
        <v>ENSMUSG00000031928</v>
      </c>
      <c r="I5260" s="7" t="str">
        <f>HYPERLINK("http://www.informatics.jax.org/marker/MGI:1100512","MGI:1100512")</f>
        <v>MGI:1100512</v>
      </c>
      <c r="J5260" s="4" t="s">
        <v>12</v>
      </c>
    </row>
    <row r="5261" spans="1:10" x14ac:dyDescent="0.25">
      <c r="A5261" s="2">
        <v>144.92490448035301</v>
      </c>
      <c r="B5261" s="3">
        <v>-0.332692942802433</v>
      </c>
      <c r="C5261" s="3">
        <v>4.9228633318534297E-3</v>
      </c>
      <c r="D5261" s="4">
        <v>1.30258340634872E-2</v>
      </c>
      <c r="E5261" s="3" t="s">
        <v>14910</v>
      </c>
      <c r="F5261" s="3" t="s">
        <v>14911</v>
      </c>
      <c r="G5261" s="3">
        <v>66396</v>
      </c>
      <c r="H5261" s="7" t="str">
        <f>HYPERLINK("http://www.ensembl.org/Mus_musculus/Gene/Summary?db=core;g=ENSMUSG00000079084","ENSMUSG00000079084")</f>
        <v>ENSMUSG00000079084</v>
      </c>
      <c r="I5261" s="7" t="str">
        <f>HYPERLINK("http://www.informatics.jax.org/marker/MGI:1913646","MGI:1913646")</f>
        <v>MGI:1913646</v>
      </c>
      <c r="J5261" s="4" t="s">
        <v>12</v>
      </c>
    </row>
    <row r="5262" spans="1:10" x14ac:dyDescent="0.25">
      <c r="A5262" s="2">
        <v>3249.57449007486</v>
      </c>
      <c r="B5262" s="3">
        <v>-0.33272341306288999</v>
      </c>
      <c r="C5262" s="5">
        <v>9.7882020708088395E-18</v>
      </c>
      <c r="D5262" s="6">
        <v>8.7104397489327794E-17</v>
      </c>
      <c r="E5262" s="3" t="s">
        <v>4447</v>
      </c>
      <c r="F5262" s="3" t="s">
        <v>4448</v>
      </c>
      <c r="G5262" s="3">
        <v>217692</v>
      </c>
      <c r="H5262" s="7" t="str">
        <f>HYPERLINK("http://www.ensembl.org/Mus_musculus/Gene/Summary?db=core;g=ENSMUSG00000042700","ENSMUSG00000042700")</f>
        <v>ENSMUSG00000042700</v>
      </c>
      <c r="I5262" s="7" t="str">
        <f>HYPERLINK("http://www.informatics.jax.org/marker/MGI:2443679","MGI:2443679")</f>
        <v>MGI:2443679</v>
      </c>
      <c r="J5262" s="4" t="s">
        <v>12</v>
      </c>
    </row>
    <row r="5263" spans="1:10" x14ac:dyDescent="0.25">
      <c r="A5263" s="2">
        <v>763.12392523787798</v>
      </c>
      <c r="B5263" s="3">
        <v>-0.33285171247184198</v>
      </c>
      <c r="C5263" s="3">
        <v>8.1310382738111005E-4</v>
      </c>
      <c r="D5263" s="4">
        <v>2.42835188186514E-3</v>
      </c>
      <c r="E5263" s="3" t="s">
        <v>13215</v>
      </c>
      <c r="F5263" s="3" t="s">
        <v>13216</v>
      </c>
      <c r="G5263" s="3">
        <v>331623</v>
      </c>
      <c r="H5263" s="7" t="str">
        <f>HYPERLINK("http://www.ensembl.org/Mus_musculus/Gene/Summary?db=core;g=ENSMUSG00000038214","ENSMUSG00000038214")</f>
        <v>ENSMUSG00000038214</v>
      </c>
      <c r="I5263" s="7" t="str">
        <f>HYPERLINK("http://www.informatics.jax.org/marker/MGI:2677212","MGI:2677212")</f>
        <v>MGI:2677212</v>
      </c>
      <c r="J5263" s="4" t="s">
        <v>12</v>
      </c>
    </row>
    <row r="5264" spans="1:10" x14ac:dyDescent="0.25">
      <c r="A5264" s="2">
        <v>243.179070105763</v>
      </c>
      <c r="B5264" s="3">
        <v>-0.33289324876905602</v>
      </c>
      <c r="C5264" s="3">
        <v>8.2893478897524595E-4</v>
      </c>
      <c r="D5264" s="4">
        <v>2.4730096881379498E-3</v>
      </c>
      <c r="E5264" s="3" t="s">
        <v>13229</v>
      </c>
      <c r="F5264" s="3" t="s">
        <v>13230</v>
      </c>
      <c r="G5264" s="3">
        <v>71887</v>
      </c>
      <c r="H5264" s="7" t="str">
        <f>HYPERLINK("http://www.ensembl.org/Mus_musculus/Gene/Summary?db=core;g=ENSMUSG00000002228","ENSMUSG00000002228")</f>
        <v>ENSMUSG00000002228</v>
      </c>
      <c r="I5264" s="7" t="str">
        <f>HYPERLINK("http://www.informatics.jax.org/marker/MGI:1919137","MGI:1919137")</f>
        <v>MGI:1919137</v>
      </c>
      <c r="J5264" s="4" t="s">
        <v>12</v>
      </c>
    </row>
    <row r="5265" spans="1:10" x14ac:dyDescent="0.25">
      <c r="A5265" s="2">
        <v>589.13782300654202</v>
      </c>
      <c r="B5265" s="3">
        <v>-0.332971059138918</v>
      </c>
      <c r="C5265" s="5">
        <v>3.0331839077785302E-6</v>
      </c>
      <c r="D5265" s="6">
        <v>1.19628773322785E-5</v>
      </c>
      <c r="E5265" s="3" t="s">
        <v>10016</v>
      </c>
      <c r="F5265" s="3" t="s">
        <v>10017</v>
      </c>
      <c r="G5265" s="3">
        <v>71148</v>
      </c>
      <c r="H5265" s="7" t="str">
        <f>HYPERLINK("http://www.ensembl.org/Mus_musculus/Gene/Summary?db=core;g=ENSMUSG00000028522","ENSMUSG00000028522")</f>
        <v>ENSMUSG00000028522</v>
      </c>
      <c r="I5265" s="7" t="str">
        <f>HYPERLINK("http://www.informatics.jax.org/marker/MGI:1918398","MGI:1918398")</f>
        <v>MGI:1918398</v>
      </c>
      <c r="J5265" s="4" t="s">
        <v>12</v>
      </c>
    </row>
    <row r="5266" spans="1:10" x14ac:dyDescent="0.25">
      <c r="A5266" s="2">
        <v>207.392414274598</v>
      </c>
      <c r="B5266" s="3">
        <v>-0.332974324263</v>
      </c>
      <c r="C5266" s="3">
        <v>4.73765306892356E-4</v>
      </c>
      <c r="D5266" s="4">
        <v>1.4629896417032999E-3</v>
      </c>
      <c r="E5266" s="3" t="s">
        <v>12781</v>
      </c>
      <c r="F5266" s="3" t="s">
        <v>12782</v>
      </c>
      <c r="G5266" s="3">
        <v>100504663</v>
      </c>
      <c r="H5266" s="7" t="str">
        <f>HYPERLINK("http://www.ensembl.org/Mus_musculus/Gene/Summary?db=core;g=ENSMUSG00000037526","ENSMUSG00000037526")</f>
        <v>ENSMUSG00000037526</v>
      </c>
      <c r="I5266" s="7" t="str">
        <f>HYPERLINK("http://www.informatics.jax.org/marker/MGI:1261775","MGI:1261775")</f>
        <v>MGI:1261775</v>
      </c>
      <c r="J5266" s="4" t="s">
        <v>12</v>
      </c>
    </row>
    <row r="5267" spans="1:10" x14ac:dyDescent="0.25">
      <c r="A5267" s="2">
        <v>460.22336692339599</v>
      </c>
      <c r="B5267" s="3">
        <v>-0.33332407925187202</v>
      </c>
      <c r="C5267" s="5">
        <v>4.5870677695544701E-5</v>
      </c>
      <c r="D5267" s="4">
        <v>1.6041315200499099E-4</v>
      </c>
      <c r="E5267" s="3" t="s">
        <v>11289</v>
      </c>
      <c r="F5267" s="3" t="s">
        <v>11290</v>
      </c>
      <c r="G5267" s="3">
        <v>72050</v>
      </c>
      <c r="H5267" s="7" t="str">
        <f>HYPERLINK("http://www.ensembl.org/Mus_musculus/Gene/Summary?db=core;g=ENSMUSG00000026047","ENSMUSG00000026047")</f>
        <v>ENSMUSG00000026047</v>
      </c>
      <c r="I5267" s="7" t="str">
        <f>HYPERLINK("http://www.informatics.jax.org/marker/MGI:1919300","MGI:1919300")</f>
        <v>MGI:1919300</v>
      </c>
      <c r="J5267" s="4" t="s">
        <v>12</v>
      </c>
    </row>
    <row r="5268" spans="1:10" x14ac:dyDescent="0.25">
      <c r="A5268" s="2">
        <v>2364.9868748660501</v>
      </c>
      <c r="B5268" s="3">
        <v>-0.333388330454855</v>
      </c>
      <c r="C5268" s="3">
        <v>1.01510812792385E-2</v>
      </c>
      <c r="D5268" s="4">
        <v>2.5249662314150299E-2</v>
      </c>
      <c r="E5268" s="3" t="s">
        <v>15861</v>
      </c>
      <c r="F5268" s="3" t="s">
        <v>15862</v>
      </c>
      <c r="G5268" s="3">
        <v>20775</v>
      </c>
      <c r="H5268" s="7" t="str">
        <f>HYPERLINK("http://www.ensembl.org/Mus_musculus/Gene/Summary?db=core;g=ENSMUSG00000022351","ENSMUSG00000022351")</f>
        <v>ENSMUSG00000022351</v>
      </c>
      <c r="I5268" s="7" t="str">
        <f>HYPERLINK("http://www.informatics.jax.org/marker/MGI:109296","MGI:109296")</f>
        <v>MGI:109296</v>
      </c>
      <c r="J5268" s="4" t="s">
        <v>12</v>
      </c>
    </row>
    <row r="5269" spans="1:10" x14ac:dyDescent="0.25">
      <c r="A5269" s="2">
        <v>452.05445873489401</v>
      </c>
      <c r="B5269" s="3">
        <v>-0.333654683011196</v>
      </c>
      <c r="C5269" s="3">
        <v>1.14229353080137E-2</v>
      </c>
      <c r="D5269" s="4">
        <v>2.80628235049247E-2</v>
      </c>
      <c r="E5269" s="3" t="s">
        <v>16057</v>
      </c>
      <c r="F5269" s="3" t="s">
        <v>16058</v>
      </c>
      <c r="G5269" s="3">
        <v>14705</v>
      </c>
      <c r="H5269" s="7" t="str">
        <f>HYPERLINK("http://www.ensembl.org/Mus_musculus/Gene/Summary?db=core;g=ENSMUSG00000071657","ENSMUSG00000071657")</f>
        <v>ENSMUSG00000071657</v>
      </c>
      <c r="I5269" s="7" t="str">
        <f>HYPERLINK("http://www.informatics.jax.org/marker/MGI:1298392","MGI:1298392")</f>
        <v>MGI:1298392</v>
      </c>
      <c r="J5269" s="4" t="s">
        <v>12</v>
      </c>
    </row>
    <row r="5270" spans="1:10" x14ac:dyDescent="0.25">
      <c r="A5270" s="2">
        <v>111.933818107234</v>
      </c>
      <c r="B5270" s="3">
        <v>-0.33386770781559899</v>
      </c>
      <c r="C5270" s="3">
        <v>1.22247562483895E-2</v>
      </c>
      <c r="D5270" s="4">
        <v>2.9857839140232999E-2</v>
      </c>
      <c r="E5270" s="3" t="s">
        <v>16153</v>
      </c>
      <c r="F5270" s="3" t="s">
        <v>16154</v>
      </c>
      <c r="G5270" s="3">
        <v>93703</v>
      </c>
      <c r="H5270" s="7" t="str">
        <f>HYPERLINK("http://www.ensembl.org/Mus_musculus/Gene/Summary?db=core;g=ENSMUSG00000103088","ENSMUSG00000103088")</f>
        <v>ENSMUSG00000103088</v>
      </c>
      <c r="I5270" s="7" t="str">
        <f>HYPERLINK("http://www.informatics.jax.org/marker/MGI:1935197","MGI:1935197")</f>
        <v>MGI:1935197</v>
      </c>
      <c r="J5270" s="4" t="s">
        <v>12</v>
      </c>
    </row>
    <row r="5271" spans="1:10" x14ac:dyDescent="0.25">
      <c r="A5271" s="2">
        <v>397.81977698100701</v>
      </c>
      <c r="B5271" s="3">
        <v>-0.33404855316535098</v>
      </c>
      <c r="C5271" s="3">
        <v>1.21124470096672E-3</v>
      </c>
      <c r="D5271" s="4">
        <v>3.5292177161737001E-3</v>
      </c>
      <c r="E5271" s="3" t="s">
        <v>13545</v>
      </c>
      <c r="F5271" s="3" t="s">
        <v>13546</v>
      </c>
      <c r="G5271" s="3">
        <v>70335</v>
      </c>
      <c r="H5271" s="7" t="str">
        <f>HYPERLINK("http://www.ensembl.org/Mus_musculus/Gene/Summary?db=core;g=ENSMUSG00000035504","ENSMUSG00000035504")</f>
        <v>ENSMUSG00000035504</v>
      </c>
      <c r="I5271" s="7" t="str">
        <f>HYPERLINK("http://www.informatics.jax.org/marker/MGI:1917585","MGI:1917585")</f>
        <v>MGI:1917585</v>
      </c>
      <c r="J5271" s="4" t="s">
        <v>12</v>
      </c>
    </row>
    <row r="5272" spans="1:10" x14ac:dyDescent="0.25">
      <c r="A5272" s="2">
        <v>112.849127963489</v>
      </c>
      <c r="B5272" s="3">
        <v>-0.33413626895845899</v>
      </c>
      <c r="C5272" s="3">
        <v>8.3177848580690793E-3</v>
      </c>
      <c r="D5272" s="4">
        <v>2.09940762064664E-2</v>
      </c>
      <c r="E5272" s="3" t="s">
        <v>15631</v>
      </c>
      <c r="F5272" s="3" t="s">
        <v>15632</v>
      </c>
      <c r="G5272" s="3">
        <v>544717</v>
      </c>
      <c r="H5272" s="7" t="str">
        <f>HYPERLINK("http://www.ensembl.org/Mus_musculus/Gene/Summary?db=core;g=ENSMUSG00000063320","ENSMUSG00000063320")</f>
        <v>ENSMUSG00000063320</v>
      </c>
      <c r="I5272" s="7" t="str">
        <f>HYPERLINK("http://www.informatics.jax.org/marker/MGI:3698433","MGI:3698433")</f>
        <v>MGI:3698433</v>
      </c>
      <c r="J5272" s="4" t="s">
        <v>12</v>
      </c>
    </row>
    <row r="5273" spans="1:10" x14ac:dyDescent="0.25">
      <c r="A5273" s="2">
        <v>2170.7668446397802</v>
      </c>
      <c r="B5273" s="3">
        <v>-0.33446960490217298</v>
      </c>
      <c r="C5273" s="5">
        <v>5.3756846207491199E-11</v>
      </c>
      <c r="D5273" s="6">
        <v>3.1930271301557998E-10</v>
      </c>
      <c r="E5273" s="3" t="s">
        <v>6657</v>
      </c>
      <c r="F5273" s="3" t="s">
        <v>6658</v>
      </c>
      <c r="G5273" s="3">
        <v>225164</v>
      </c>
      <c r="H5273" s="7" t="str">
        <f>HYPERLINK("http://www.ensembl.org/Mus_musculus/Gene/Summary?db=core;g=ENSMUSG00000024294","ENSMUSG00000024294")</f>
        <v>ENSMUSG00000024294</v>
      </c>
      <c r="I5273" s="7" t="str">
        <f>HYPERLINK("http://www.informatics.jax.org/marker/MGI:2443157","MGI:2443157")</f>
        <v>MGI:2443157</v>
      </c>
      <c r="J5273" s="4" t="s">
        <v>12</v>
      </c>
    </row>
    <row r="5274" spans="1:10" x14ac:dyDescent="0.25">
      <c r="A5274" s="2">
        <v>227.14856963160699</v>
      </c>
      <c r="B5274" s="3">
        <v>-0.334485078918344</v>
      </c>
      <c r="C5274" s="3">
        <v>1.4156495341041599E-3</v>
      </c>
      <c r="D5274" s="4">
        <v>4.0837637233080799E-3</v>
      </c>
      <c r="E5274" s="3" t="s">
        <v>13681</v>
      </c>
      <c r="F5274" s="3" t="s">
        <v>13682</v>
      </c>
      <c r="G5274" s="3">
        <v>22640</v>
      </c>
      <c r="H5274" s="7" t="str">
        <f>HYPERLINK("http://www.ensembl.org/Mus_musculus/Gene/Summary?db=core;g=ENSMUSG00000055835","ENSMUSG00000055835")</f>
        <v>ENSMUSG00000055835</v>
      </c>
      <c r="I5274" s="7" t="str">
        <f>HYPERLINK("http://www.informatics.jax.org/marker/MGI:99154","MGI:99154")</f>
        <v>MGI:99154</v>
      </c>
      <c r="J5274" s="4" t="s">
        <v>12</v>
      </c>
    </row>
    <row r="5275" spans="1:10" x14ac:dyDescent="0.25">
      <c r="A5275" s="2">
        <v>111.764327455414</v>
      </c>
      <c r="B5275" s="3">
        <v>-0.33451561694061799</v>
      </c>
      <c r="C5275" s="3">
        <v>1.19749458269804E-2</v>
      </c>
      <c r="D5275" s="4">
        <v>2.9316689225084101E-2</v>
      </c>
      <c r="E5275" s="3" t="s">
        <v>16113</v>
      </c>
      <c r="F5275" s="3" t="s">
        <v>16114</v>
      </c>
      <c r="G5275" s="3">
        <v>93711</v>
      </c>
      <c r="H5275" s="7" t="str">
        <f>HYPERLINK("http://www.ensembl.org/Mus_musculus/Gene/Summary?db=core;g=ENSMUSG00000104346","ENSMUSG00000104346")</f>
        <v>ENSMUSG00000104346</v>
      </c>
      <c r="I5275" s="7" t="str">
        <f>HYPERLINK("http://www.informatics.jax.org/marker/MGI:1935215","MGI:1935215")</f>
        <v>MGI:1935215</v>
      </c>
      <c r="J5275" s="4" t="s">
        <v>12</v>
      </c>
    </row>
    <row r="5276" spans="1:10" x14ac:dyDescent="0.25">
      <c r="A5276" s="2">
        <v>1362.4977638211201</v>
      </c>
      <c r="B5276" s="3">
        <v>-0.33506487741660401</v>
      </c>
      <c r="C5276" s="5">
        <v>6.1504465441909998E-9</v>
      </c>
      <c r="D5276" s="6">
        <v>3.1011712056110097E-8</v>
      </c>
      <c r="E5276" s="3" t="s">
        <v>7838</v>
      </c>
      <c r="F5276" s="3" t="s">
        <v>7839</v>
      </c>
      <c r="G5276" s="3">
        <v>68801</v>
      </c>
      <c r="H5276" s="7" t="str">
        <f>HYPERLINK("http://www.ensembl.org/Mus_musculus/Gene/Summary?db=core;g=ENSMUSG00000032349","ENSMUSG00000032349")</f>
        <v>ENSMUSG00000032349</v>
      </c>
      <c r="I5276" s="7" t="str">
        <f>HYPERLINK("http://www.informatics.jax.org/marker/MGI:1916051","MGI:1916051")</f>
        <v>MGI:1916051</v>
      </c>
      <c r="J5276" s="4" t="s">
        <v>12</v>
      </c>
    </row>
    <row r="5277" spans="1:10" x14ac:dyDescent="0.25">
      <c r="A5277" s="2">
        <v>111.66487660285</v>
      </c>
      <c r="B5277" s="3">
        <v>-0.33516156684773901</v>
      </c>
      <c r="C5277" s="3">
        <v>1.28984847801384E-2</v>
      </c>
      <c r="D5277" s="4">
        <v>3.13751227167052E-2</v>
      </c>
      <c r="E5277" s="3" t="s">
        <v>16219</v>
      </c>
      <c r="F5277" s="3" t="s">
        <v>16220</v>
      </c>
      <c r="G5277" s="3" t="s">
        <v>83</v>
      </c>
      <c r="H5277" s="7" t="str">
        <f>HYPERLINK("http://www.ensembl.org/Mus_musculus/Gene/Summary?db=core;g=ENSMUSG00000103081","ENSMUSG00000103081")</f>
        <v>ENSMUSG00000103081</v>
      </c>
      <c r="I5277" s="7" t="str">
        <f>HYPERLINK("http://www.informatics.jax.org/marker/MGI:1935200","MGI:1935200")</f>
        <v>MGI:1935200</v>
      </c>
      <c r="J5277" s="4" t="s">
        <v>976</v>
      </c>
    </row>
    <row r="5278" spans="1:10" x14ac:dyDescent="0.25">
      <c r="A5278" s="2">
        <v>304.37411320146401</v>
      </c>
      <c r="B5278" s="3">
        <v>-0.33522551420124802</v>
      </c>
      <c r="C5278" s="3">
        <v>8.6077670593384399E-4</v>
      </c>
      <c r="D5278" s="4">
        <v>2.56257799532237E-3</v>
      </c>
      <c r="E5278" s="3" t="s">
        <v>13257</v>
      </c>
      <c r="F5278" s="3" t="s">
        <v>13258</v>
      </c>
      <c r="G5278" s="3">
        <v>12568</v>
      </c>
      <c r="H5278" s="7" t="str">
        <f>HYPERLINK("http://www.ensembl.org/Mus_musculus/Gene/Summary?db=core;g=ENSMUSG00000028969","ENSMUSG00000028969")</f>
        <v>ENSMUSG00000028969</v>
      </c>
      <c r="I5278" s="7" t="str">
        <f>HYPERLINK("http://www.informatics.jax.org/marker/MGI:101765","MGI:101765")</f>
        <v>MGI:101765</v>
      </c>
      <c r="J5278" s="4" t="s">
        <v>12</v>
      </c>
    </row>
    <row r="5279" spans="1:10" x14ac:dyDescent="0.25">
      <c r="A5279" s="2">
        <v>1156.4356496171199</v>
      </c>
      <c r="B5279" s="3">
        <v>-0.33556174456253302</v>
      </c>
      <c r="C5279" s="5">
        <v>1.2423035272003301E-7</v>
      </c>
      <c r="D5279" s="6">
        <v>5.5849417631325203E-7</v>
      </c>
      <c r="E5279" s="3" t="s">
        <v>8789</v>
      </c>
      <c r="F5279" s="3" t="s">
        <v>8790</v>
      </c>
      <c r="G5279" s="3">
        <v>12041</v>
      </c>
      <c r="H5279" s="7" t="str">
        <f>HYPERLINK("http://www.ensembl.org/Mus_musculus/Gene/Summary?db=core;g=ENSMUSG00000030802","ENSMUSG00000030802")</f>
        <v>ENSMUSG00000030802</v>
      </c>
      <c r="I5279" s="7" t="str">
        <f>HYPERLINK("http://www.informatics.jax.org/marker/MGI:1276121","MGI:1276121")</f>
        <v>MGI:1276121</v>
      </c>
      <c r="J5279" s="4" t="s">
        <v>12</v>
      </c>
    </row>
    <row r="5280" spans="1:10" x14ac:dyDescent="0.25">
      <c r="A5280" s="2">
        <v>560.02306362509501</v>
      </c>
      <c r="B5280" s="3">
        <v>-0.33569909527130298</v>
      </c>
      <c r="C5280" s="5">
        <v>4.5319888176447398E-6</v>
      </c>
      <c r="D5280" s="6">
        <v>1.7565019552664001E-5</v>
      </c>
      <c r="E5280" s="3" t="s">
        <v>10190</v>
      </c>
      <c r="F5280" s="3" t="s">
        <v>10191</v>
      </c>
      <c r="G5280" s="3">
        <v>227697</v>
      </c>
      <c r="H5280" s="7" t="str">
        <f>HYPERLINK("http://www.ensembl.org/Mus_musculus/Gene/Summary?db=core;g=ENSMUSG00000075419","ENSMUSG00000075419")</f>
        <v>ENSMUSG00000075419</v>
      </c>
      <c r="I5280" s="7" t="str">
        <f>HYPERLINK("http://www.informatics.jax.org/marker/MGI:2677836","MGI:2677836")</f>
        <v>MGI:2677836</v>
      </c>
      <c r="J5280" s="4" t="s">
        <v>12</v>
      </c>
    </row>
    <row r="5281" spans="1:10" x14ac:dyDescent="0.25">
      <c r="A5281" s="2">
        <v>1058.6850598368201</v>
      </c>
      <c r="B5281" s="3">
        <v>-0.33574897444789298</v>
      </c>
      <c r="C5281" s="3">
        <v>1.6928413941978199E-4</v>
      </c>
      <c r="D5281" s="4">
        <v>5.5407190528765295E-4</v>
      </c>
      <c r="E5281" s="3" t="s">
        <v>12061</v>
      </c>
      <c r="F5281" s="3" t="s">
        <v>12062</v>
      </c>
      <c r="G5281" s="3">
        <v>73251</v>
      </c>
      <c r="H5281" s="7" t="str">
        <f>HYPERLINK("http://www.ensembl.org/Mus_musculus/Gene/Summary?db=core;g=ENSMUSG00000037111","ENSMUSG00000037111")</f>
        <v>ENSMUSG00000037111</v>
      </c>
      <c r="I5281" s="7" t="str">
        <f>HYPERLINK("http://www.informatics.jax.org/marker/MGI:1920501","MGI:1920501")</f>
        <v>MGI:1920501</v>
      </c>
      <c r="J5281" s="4" t="s">
        <v>12</v>
      </c>
    </row>
    <row r="5282" spans="1:10" x14ac:dyDescent="0.25">
      <c r="A5282" s="2">
        <v>1390.93335100123</v>
      </c>
      <c r="B5282" s="3">
        <v>-0.33577145746475701</v>
      </c>
      <c r="C5282" s="5">
        <v>4.0756149917776503E-9</v>
      </c>
      <c r="D5282" s="6">
        <v>2.0848541540299701E-8</v>
      </c>
      <c r="E5282" s="3" t="s">
        <v>7726</v>
      </c>
      <c r="F5282" s="3" t="s">
        <v>7727</v>
      </c>
      <c r="G5282" s="3">
        <v>71435</v>
      </c>
      <c r="H5282" s="7" t="str">
        <f>HYPERLINK("http://www.ensembl.org/Mus_musculus/Gene/Summary?db=core;g=ENSMUSG00000036591","ENSMUSG00000036591")</f>
        <v>ENSMUSG00000036591</v>
      </c>
      <c r="I5282" s="7" t="str">
        <f>HYPERLINK("http://www.informatics.jax.org/marker/MGI:1918685","MGI:1918685")</f>
        <v>MGI:1918685</v>
      </c>
      <c r="J5282" s="4" t="s">
        <v>12</v>
      </c>
    </row>
    <row r="5283" spans="1:10" x14ac:dyDescent="0.25">
      <c r="A5283" s="2">
        <v>1351.8539211813099</v>
      </c>
      <c r="B5283" s="3">
        <v>-0.33582724226222499</v>
      </c>
      <c r="C5283" s="5">
        <v>2.84681771751378E-8</v>
      </c>
      <c r="D5283" s="6">
        <v>1.3543846897315301E-7</v>
      </c>
      <c r="E5283" s="3" t="s">
        <v>8307</v>
      </c>
      <c r="F5283" s="3" t="s">
        <v>8308</v>
      </c>
      <c r="G5283" s="3">
        <v>94093</v>
      </c>
      <c r="H5283" s="7" t="str">
        <f>HYPERLINK("http://www.ensembl.org/Mus_musculus/Gene/Summary?db=core;g=ENSMUSG00000033014","ENSMUSG00000033014")</f>
        <v>ENSMUSG00000033014</v>
      </c>
      <c r="I5283" s="7" t="str">
        <f>HYPERLINK("http://www.informatics.jax.org/marker/MGI:2137357","MGI:2137357")</f>
        <v>MGI:2137357</v>
      </c>
      <c r="J5283" s="4" t="s">
        <v>12</v>
      </c>
    </row>
    <row r="5284" spans="1:10" x14ac:dyDescent="0.25">
      <c r="A5284" s="2">
        <v>2030.46903379685</v>
      </c>
      <c r="B5284" s="3">
        <v>-0.33646323011186402</v>
      </c>
      <c r="C5284" s="5">
        <v>7.3296062746936701E-9</v>
      </c>
      <c r="D5284" s="6">
        <v>3.6741188545236198E-8</v>
      </c>
      <c r="E5284" s="3" t="s">
        <v>7884</v>
      </c>
      <c r="F5284" s="3" t="s">
        <v>7885</v>
      </c>
      <c r="G5284" s="3">
        <v>16801</v>
      </c>
      <c r="H5284" s="7" t="str">
        <f>HYPERLINK("http://www.ensembl.org/Mus_musculus/Gene/Summary?db=core;g=ENSMUSG00000040940","ENSMUSG00000040940")</f>
        <v>ENSMUSG00000040940</v>
      </c>
      <c r="I5284" s="7" t="str">
        <f>HYPERLINK("http://www.informatics.jax.org/marker/MGI:1353510","MGI:1353510")</f>
        <v>MGI:1353510</v>
      </c>
      <c r="J5284" s="4" t="s">
        <v>12</v>
      </c>
    </row>
    <row r="5285" spans="1:10" x14ac:dyDescent="0.25">
      <c r="A5285" s="2">
        <v>3194.9057067173399</v>
      </c>
      <c r="B5285" s="3">
        <v>-0.33647287278152399</v>
      </c>
      <c r="C5285" s="5">
        <v>3.1654932768090603E-5</v>
      </c>
      <c r="D5285" s="4">
        <v>1.12657512035147E-4</v>
      </c>
      <c r="E5285" s="3" t="s">
        <v>11094</v>
      </c>
      <c r="F5285" s="3" t="s">
        <v>11095</v>
      </c>
      <c r="G5285" s="3">
        <v>17188</v>
      </c>
      <c r="H5285" s="7" t="str">
        <f>HYPERLINK("http://www.ensembl.org/Mus_musculus/Gene/Summary?db=core;g=ENSMUSG00000030678","ENSMUSG00000030678")</f>
        <v>ENSMUSG00000030678</v>
      </c>
      <c r="I5285" s="7" t="str">
        <f>HYPERLINK("http://www.informatics.jax.org/marker/MGI:1338823","MGI:1338823")</f>
        <v>MGI:1338823</v>
      </c>
      <c r="J5285" s="4" t="s">
        <v>12</v>
      </c>
    </row>
    <row r="5286" spans="1:10" x14ac:dyDescent="0.25">
      <c r="A5286" s="2">
        <v>1652.47208111706</v>
      </c>
      <c r="B5286" s="3">
        <v>-0.33661425000419098</v>
      </c>
      <c r="C5286" s="5">
        <v>8.8670582724674093E-6</v>
      </c>
      <c r="D5286" s="6">
        <v>3.3408175226033101E-5</v>
      </c>
      <c r="E5286" s="3" t="s">
        <v>10482</v>
      </c>
      <c r="F5286" s="3" t="s">
        <v>10483</v>
      </c>
      <c r="G5286" s="3">
        <v>270110</v>
      </c>
      <c r="H5286" s="7" t="str">
        <f>HYPERLINK("http://www.ensembl.org/Mus_musculus/Gene/Summary?db=core;g=ENSMUSG00000051495","ENSMUSG00000051495")</f>
        <v>ENSMUSG00000051495</v>
      </c>
      <c r="I5286" s="7" t="str">
        <f>HYPERLINK("http://www.informatics.jax.org/marker/MGI:2443921","MGI:2443921")</f>
        <v>MGI:2443921</v>
      </c>
      <c r="J5286" s="4" t="s">
        <v>12</v>
      </c>
    </row>
    <row r="5287" spans="1:10" x14ac:dyDescent="0.25">
      <c r="A5287" s="2">
        <v>111.318229158512</v>
      </c>
      <c r="B5287" s="3">
        <v>-0.336847646236968</v>
      </c>
      <c r="C5287" s="3">
        <v>1.21366041420114E-2</v>
      </c>
      <c r="D5287" s="4">
        <v>2.9686657613552901E-2</v>
      </c>
      <c r="E5287" s="3" t="s">
        <v>16129</v>
      </c>
      <c r="F5287" s="3" t="s">
        <v>16130</v>
      </c>
      <c r="G5287" s="3">
        <v>93713</v>
      </c>
      <c r="H5287" s="7" t="str">
        <f>HYPERLINK("http://www.ensembl.org/Mus_musculus/Gene/Summary?db=core;g=ENSMUSG00000103567","ENSMUSG00000103567")</f>
        <v>ENSMUSG00000103567</v>
      </c>
      <c r="I5287" s="7" t="str">
        <f>HYPERLINK("http://www.informatics.jax.org/marker/MGI:1935217","MGI:1935217")</f>
        <v>MGI:1935217</v>
      </c>
      <c r="J5287" s="4" t="s">
        <v>12</v>
      </c>
    </row>
    <row r="5288" spans="1:10" x14ac:dyDescent="0.25">
      <c r="A5288" s="2">
        <v>111.76355372289299</v>
      </c>
      <c r="B5288" s="3">
        <v>-0.33708232177702802</v>
      </c>
      <c r="C5288" s="3">
        <v>1.1533475656722201E-2</v>
      </c>
      <c r="D5288" s="4">
        <v>2.8309701263450601E-2</v>
      </c>
      <c r="E5288" s="3" t="s">
        <v>16073</v>
      </c>
      <c r="F5288" s="3" t="s">
        <v>16074</v>
      </c>
      <c r="G5288" s="3">
        <v>93723</v>
      </c>
      <c r="H5288" s="7" t="str">
        <f>HYPERLINK("http://www.ensembl.org/Mus_musculus/Gene/Summary?db=core;g=ENSMUSG00000102742","ENSMUSG00000102742")</f>
        <v>ENSMUSG00000102742</v>
      </c>
      <c r="I5288" s="7" t="str">
        <f>HYPERLINK("http://www.informatics.jax.org/marker/MGI:1935228","MGI:1935228")</f>
        <v>MGI:1935228</v>
      </c>
      <c r="J5288" s="4" t="s">
        <v>12</v>
      </c>
    </row>
    <row r="5289" spans="1:10" x14ac:dyDescent="0.25">
      <c r="A5289" s="2">
        <v>313.963422235667</v>
      </c>
      <c r="B5289" s="3">
        <v>-0.337092624229552</v>
      </c>
      <c r="C5289" s="5">
        <v>8.9957288966234004E-5</v>
      </c>
      <c r="D5289" s="4">
        <v>3.0490851468101298E-4</v>
      </c>
      <c r="E5289" s="3" t="s">
        <v>11647</v>
      </c>
      <c r="F5289" s="3" t="s">
        <v>11648</v>
      </c>
      <c r="G5289" s="3">
        <v>54343</v>
      </c>
      <c r="H5289" s="7" t="str">
        <f>HYPERLINK("http://www.ensembl.org/Mus_musculus/Gene/Summary?db=core;g=ENSMUSG00000030213","ENSMUSG00000030213")</f>
        <v>ENSMUSG00000030213</v>
      </c>
      <c r="I5289" s="7" t="str">
        <f>HYPERLINK("http://www.informatics.jax.org/marker/MGI:1858965","MGI:1858965")</f>
        <v>MGI:1858965</v>
      </c>
      <c r="J5289" s="4" t="s">
        <v>12</v>
      </c>
    </row>
    <row r="5290" spans="1:10" x14ac:dyDescent="0.25">
      <c r="A5290" s="2">
        <v>74.175434509598702</v>
      </c>
      <c r="B5290" s="3">
        <v>-0.33715163787346603</v>
      </c>
      <c r="C5290" s="3">
        <v>1.39543613687944E-2</v>
      </c>
      <c r="D5290" s="4">
        <v>3.3702389000933898E-2</v>
      </c>
      <c r="E5290" s="3" t="s">
        <v>16335</v>
      </c>
      <c r="F5290" s="3" t="s">
        <v>16336</v>
      </c>
      <c r="G5290" s="3">
        <v>66433</v>
      </c>
      <c r="H5290" s="7" t="str">
        <f>HYPERLINK("http://www.ensembl.org/Mus_musculus/Gene/Summary?db=core;g=ENSMUSG00000042198","ENSMUSG00000042198")</f>
        <v>ENSMUSG00000042198</v>
      </c>
      <c r="I5290" s="7" t="str">
        <f>HYPERLINK("http://www.informatics.jax.org/marker/MGI:1913683","MGI:1913683")</f>
        <v>MGI:1913683</v>
      </c>
      <c r="J5290" s="4" t="s">
        <v>12</v>
      </c>
    </row>
    <row r="5291" spans="1:10" x14ac:dyDescent="0.25">
      <c r="A5291" s="2">
        <v>330.22302161421197</v>
      </c>
      <c r="B5291" s="3">
        <v>-0.33715939253170701</v>
      </c>
      <c r="C5291" s="3">
        <v>3.7132799028487902E-4</v>
      </c>
      <c r="D5291" s="4">
        <v>1.1621310852908801E-3</v>
      </c>
      <c r="E5291" s="3" t="s">
        <v>12615</v>
      </c>
      <c r="F5291" s="3" t="s">
        <v>12616</v>
      </c>
      <c r="G5291" s="3">
        <v>21749</v>
      </c>
      <c r="H5291" s="7" t="str">
        <f>HYPERLINK("http://www.ensembl.org/Mus_musculus/Gene/Summary?db=core;g=ENSMUSG00000025925","ENSMUSG00000025925")</f>
        <v>ENSMUSG00000025925</v>
      </c>
      <c r="I5291" s="7" t="str">
        <f>HYPERLINK("http://www.informatics.jax.org/marker/MGI:109634","MGI:109634")</f>
        <v>MGI:109634</v>
      </c>
      <c r="J5291" s="4" t="s">
        <v>12</v>
      </c>
    </row>
    <row r="5292" spans="1:10" x14ac:dyDescent="0.25">
      <c r="A5292" s="2">
        <v>2156.0672170060402</v>
      </c>
      <c r="B5292" s="3">
        <v>-0.33727566635400202</v>
      </c>
      <c r="C5292" s="5">
        <v>3.4249431694184098E-14</v>
      </c>
      <c r="D5292" s="6">
        <v>2.5107761821907401E-13</v>
      </c>
      <c r="E5292" s="3" t="s">
        <v>5397</v>
      </c>
      <c r="F5292" s="3" t="s">
        <v>5398</v>
      </c>
      <c r="G5292" s="3">
        <v>67201</v>
      </c>
      <c r="H5292" s="7" t="str">
        <f>HYPERLINK("http://www.ensembl.org/Mus_musculus/Gene/Summary?db=core;g=ENSMUSG00000017286","ENSMUSG00000017286")</f>
        <v>ENSMUSG00000017286</v>
      </c>
      <c r="I5292" s="7" t="str">
        <f>HYPERLINK("http://www.informatics.jax.org/marker/MGI:1914451","MGI:1914451")</f>
        <v>MGI:1914451</v>
      </c>
      <c r="J5292" s="4" t="s">
        <v>12</v>
      </c>
    </row>
    <row r="5293" spans="1:10" x14ac:dyDescent="0.25">
      <c r="A5293" s="2">
        <v>272.546136749813</v>
      </c>
      <c r="B5293" s="3">
        <v>-0.33797052653924697</v>
      </c>
      <c r="C5293" s="3">
        <v>9.0342042661705705E-4</v>
      </c>
      <c r="D5293" s="4">
        <v>2.6818381473563699E-3</v>
      </c>
      <c r="E5293" s="3" t="s">
        <v>13294</v>
      </c>
      <c r="F5293" s="3" t="s">
        <v>13295</v>
      </c>
      <c r="G5293" s="3">
        <v>214048</v>
      </c>
      <c r="H5293" s="7" t="str">
        <f>HYPERLINK("http://www.ensembl.org/Mus_musculus/Gene/Summary?db=core;g=ENSMUSG00000025762","ENSMUSG00000025762")</f>
        <v>ENSMUSG00000025762</v>
      </c>
      <c r="I5293" s="7" t="str">
        <f>HYPERLINK("http://www.informatics.jax.org/marker/MGI:1914604","MGI:1914604")</f>
        <v>MGI:1914604</v>
      </c>
      <c r="J5293" s="4" t="s">
        <v>12</v>
      </c>
    </row>
    <row r="5294" spans="1:10" x14ac:dyDescent="0.25">
      <c r="A5294" s="2">
        <v>2573.6510828955202</v>
      </c>
      <c r="B5294" s="3">
        <v>-0.33809538691010399</v>
      </c>
      <c r="C5294" s="5">
        <v>3.8119095737102401E-10</v>
      </c>
      <c r="D5294" s="6">
        <v>2.11035532828652E-9</v>
      </c>
      <c r="E5294" s="3" t="s">
        <v>7142</v>
      </c>
      <c r="F5294" s="3" t="s">
        <v>7143</v>
      </c>
      <c r="G5294" s="3">
        <v>68510</v>
      </c>
      <c r="H5294" s="7" t="str">
        <f>HYPERLINK("http://www.ensembl.org/Mus_musculus/Gene/Summary?db=core;g=ENSMUSG00000029547","ENSMUSG00000029547")</f>
        <v>ENSMUSG00000029547</v>
      </c>
      <c r="I5294" s="7" t="str">
        <f>HYPERLINK("http://www.informatics.jax.org/marker/MGI:1915760","MGI:1915760")</f>
        <v>MGI:1915760</v>
      </c>
      <c r="J5294" s="4" t="s">
        <v>12</v>
      </c>
    </row>
    <row r="5295" spans="1:10" x14ac:dyDescent="0.25">
      <c r="A5295" s="2">
        <v>1931.0625737136399</v>
      </c>
      <c r="B5295" s="3">
        <v>-0.338469167925953</v>
      </c>
      <c r="C5295" s="3">
        <v>6.3625385017206798E-3</v>
      </c>
      <c r="D5295" s="4">
        <v>1.6459302014158701E-2</v>
      </c>
      <c r="E5295" s="3" t="s">
        <v>15251</v>
      </c>
      <c r="F5295" s="3" t="s">
        <v>15252</v>
      </c>
      <c r="G5295" s="3">
        <v>68743</v>
      </c>
      <c r="H5295" s="7" t="str">
        <f>HYPERLINK("http://www.ensembl.org/Mus_musculus/Gene/Summary?db=core;g=ENSMUSG00000036777","ENSMUSG00000036777")</f>
        <v>ENSMUSG00000036777</v>
      </c>
      <c r="I5295" s="7" t="str">
        <f>HYPERLINK("http://www.informatics.jax.org/marker/MGI:1920174","MGI:1920174")</f>
        <v>MGI:1920174</v>
      </c>
      <c r="J5295" s="4" t="s">
        <v>12</v>
      </c>
    </row>
    <row r="5296" spans="1:10" x14ac:dyDescent="0.25">
      <c r="A5296" s="2">
        <v>199.21470312340699</v>
      </c>
      <c r="B5296" s="3">
        <v>-0.33858934693977599</v>
      </c>
      <c r="C5296" s="3">
        <v>3.2129763881478699E-3</v>
      </c>
      <c r="D5296" s="4">
        <v>8.7669215009031597E-3</v>
      </c>
      <c r="E5296" s="3" t="s">
        <v>14457</v>
      </c>
      <c r="F5296" s="3" t="s">
        <v>14458</v>
      </c>
      <c r="G5296" s="3">
        <v>233865</v>
      </c>
      <c r="H5296" s="7" t="str">
        <f>HYPERLINK("http://www.ensembl.org/Mus_musculus/Gene/Summary?db=core;g=ENSMUSG00000032743","ENSMUSG00000032743")</f>
        <v>ENSMUSG00000032743</v>
      </c>
      <c r="I5296" s="7" t="str">
        <f>HYPERLINK("http://www.informatics.jax.org/marker/MGI:2442760","MGI:2442760")</f>
        <v>MGI:2442760</v>
      </c>
      <c r="J5296" s="4" t="s">
        <v>12</v>
      </c>
    </row>
    <row r="5297" spans="1:10" x14ac:dyDescent="0.25">
      <c r="A5297" s="2">
        <v>426.20208930914799</v>
      </c>
      <c r="B5297" s="3">
        <v>-0.33863735319128802</v>
      </c>
      <c r="C5297" s="5">
        <v>2.7267578559530802E-6</v>
      </c>
      <c r="D5297" s="6">
        <v>1.08170720014876E-5</v>
      </c>
      <c r="E5297" s="3" t="s">
        <v>9958</v>
      </c>
      <c r="F5297" s="3" t="s">
        <v>9959</v>
      </c>
      <c r="G5297" s="3">
        <v>74385</v>
      </c>
      <c r="H5297" s="7" t="str">
        <f>HYPERLINK("http://www.ensembl.org/Mus_musculus/Gene/Summary?db=core;g=ENSMUSG00000036291","ENSMUSG00000036291")</f>
        <v>ENSMUSG00000036291</v>
      </c>
      <c r="I5297" s="7" t="str">
        <f>HYPERLINK("http://www.informatics.jax.org/marker/MGI:1921635","MGI:1921635")</f>
        <v>MGI:1921635</v>
      </c>
      <c r="J5297" s="4" t="s">
        <v>12</v>
      </c>
    </row>
    <row r="5298" spans="1:10" x14ac:dyDescent="0.25">
      <c r="A5298" s="2">
        <v>372.79851621603302</v>
      </c>
      <c r="B5298" s="3">
        <v>-0.33864343689659898</v>
      </c>
      <c r="C5298" s="3">
        <v>1.0183415508374901E-3</v>
      </c>
      <c r="D5298" s="4">
        <v>2.9959265079091799E-3</v>
      </c>
      <c r="E5298" s="3" t="s">
        <v>13415</v>
      </c>
      <c r="F5298" s="3" t="s">
        <v>13416</v>
      </c>
      <c r="G5298" s="3">
        <v>269999</v>
      </c>
      <c r="H5298" s="7" t="str">
        <f>HYPERLINK("http://www.ensembl.org/Mus_musculus/Gene/Summary?db=core;g=ENSMUSG00000043964","ENSMUSG00000043964")</f>
        <v>ENSMUSG00000043964</v>
      </c>
      <c r="I5298" s="7" t="str">
        <f>HYPERLINK("http://www.informatics.jax.org/marker/MGI:3039586","MGI:3039586")</f>
        <v>MGI:3039586</v>
      </c>
      <c r="J5298" s="4" t="s">
        <v>12</v>
      </c>
    </row>
    <row r="5299" spans="1:10" x14ac:dyDescent="0.25">
      <c r="A5299" s="2">
        <v>1364.16934956355</v>
      </c>
      <c r="B5299" s="3">
        <v>-0.33882083209177999</v>
      </c>
      <c r="C5299" s="5">
        <v>1.2687518990444399E-6</v>
      </c>
      <c r="D5299" s="6">
        <v>5.1994570758845398E-6</v>
      </c>
      <c r="E5299" s="3" t="s">
        <v>9639</v>
      </c>
      <c r="F5299" s="3" t="s">
        <v>9640</v>
      </c>
      <c r="G5299" s="3">
        <v>110157</v>
      </c>
      <c r="H5299" s="7" t="str">
        <f>HYPERLINK("http://www.ensembl.org/Mus_musculus/Gene/Summary?db=core;g=ENSMUSG00000000441","ENSMUSG00000000441")</f>
        <v>ENSMUSG00000000441</v>
      </c>
      <c r="I5299" s="7" t="str">
        <f>HYPERLINK("http://www.informatics.jax.org/marker/MGI:97847","MGI:97847")</f>
        <v>MGI:97847</v>
      </c>
      <c r="J5299" s="4" t="s">
        <v>12</v>
      </c>
    </row>
    <row r="5300" spans="1:10" x14ac:dyDescent="0.25">
      <c r="A5300" s="2">
        <v>111.91235141271299</v>
      </c>
      <c r="B5300" s="3">
        <v>-0.33895163795988098</v>
      </c>
      <c r="C5300" s="3">
        <v>1.08112054323633E-2</v>
      </c>
      <c r="D5300" s="4">
        <v>2.67030274456669E-2</v>
      </c>
      <c r="E5300" s="3" t="s">
        <v>15973</v>
      </c>
      <c r="F5300" s="3" t="s">
        <v>15974</v>
      </c>
      <c r="G5300" s="3">
        <v>93709</v>
      </c>
      <c r="H5300" s="7" t="str">
        <f>HYPERLINK("http://www.ensembl.org/Mus_musculus/Gene/Summary?db=core;g=ENSMUSG00000103144","ENSMUSG00000103144")</f>
        <v>ENSMUSG00000103144</v>
      </c>
      <c r="I5300" s="7" t="str">
        <f>HYPERLINK("http://www.informatics.jax.org/marker/MGI:1935212","MGI:1935212")</f>
        <v>MGI:1935212</v>
      </c>
      <c r="J5300" s="4" t="s">
        <v>12</v>
      </c>
    </row>
    <row r="5301" spans="1:10" x14ac:dyDescent="0.25">
      <c r="A5301" s="2">
        <v>111.45064231572999</v>
      </c>
      <c r="B5301" s="3">
        <v>-0.33895772763825799</v>
      </c>
      <c r="C5301" s="3">
        <v>1.0833425989498701E-2</v>
      </c>
      <c r="D5301" s="4">
        <v>2.67545598638591E-2</v>
      </c>
      <c r="E5301" s="3" t="s">
        <v>15975</v>
      </c>
      <c r="F5301" s="3" t="s">
        <v>15976</v>
      </c>
      <c r="G5301" s="3">
        <v>93724</v>
      </c>
      <c r="H5301" s="7" t="str">
        <f>HYPERLINK("http://www.ensembl.org/Mus_musculus/Gene/Summary?db=core;g=ENSMUSG00000102428","ENSMUSG00000102428")</f>
        <v>ENSMUSG00000102428</v>
      </c>
      <c r="I5301" s="7" t="str">
        <f>HYPERLINK("http://www.informatics.jax.org/marker/MGI:1935229","MGI:1935229")</f>
        <v>MGI:1935229</v>
      </c>
      <c r="J5301" s="4" t="s">
        <v>12</v>
      </c>
    </row>
    <row r="5302" spans="1:10" x14ac:dyDescent="0.25">
      <c r="A5302" s="2">
        <v>131.59516730171799</v>
      </c>
      <c r="B5302" s="3">
        <v>-0.33905605935192201</v>
      </c>
      <c r="C5302" s="3">
        <v>2.0606823742772801E-3</v>
      </c>
      <c r="D5302" s="4">
        <v>5.8102168173788998E-3</v>
      </c>
      <c r="E5302" s="3" t="s">
        <v>13995</v>
      </c>
      <c r="F5302" s="3" t="s">
        <v>13996</v>
      </c>
      <c r="G5302" s="3">
        <v>67694</v>
      </c>
      <c r="H5302" s="7" t="str">
        <f>HYPERLINK("http://www.ensembl.org/Mus_musculus/Gene/Summary?db=core;g=ENSMUSG00000028576","ENSMUSG00000028576")</f>
        <v>ENSMUSG00000028576</v>
      </c>
      <c r="I5302" s="7" t="str">
        <f>HYPERLINK("http://www.informatics.jax.org/marker/MGI:1914944","MGI:1914944")</f>
        <v>MGI:1914944</v>
      </c>
      <c r="J5302" s="4" t="s">
        <v>12</v>
      </c>
    </row>
    <row r="5303" spans="1:10" x14ac:dyDescent="0.25">
      <c r="A5303" s="2">
        <v>123.755612260177</v>
      </c>
      <c r="B5303" s="3">
        <v>-0.33924397065731998</v>
      </c>
      <c r="C5303" s="3">
        <v>1.55613087517797E-3</v>
      </c>
      <c r="D5303" s="4">
        <v>4.4648480806794098E-3</v>
      </c>
      <c r="E5303" s="3" t="s">
        <v>13753</v>
      </c>
      <c r="F5303" s="3" t="s">
        <v>13754</v>
      </c>
      <c r="G5303" s="3">
        <v>77652</v>
      </c>
      <c r="H5303" s="7" t="str">
        <f>HYPERLINK("http://www.ensembl.org/Mus_musculus/Gene/Summary?db=core;g=ENSMUSG00000094441","ENSMUSG00000094441")</f>
        <v>ENSMUSG00000094441</v>
      </c>
      <c r="I5303" s="7" t="str">
        <f>HYPERLINK("http://www.informatics.jax.org/marker/MGI:4834570","MGI:4834570")</f>
        <v>MGI:4834570</v>
      </c>
      <c r="J5303" s="4" t="s">
        <v>12</v>
      </c>
    </row>
    <row r="5304" spans="1:10" x14ac:dyDescent="0.25">
      <c r="A5304" s="2">
        <v>111.324412025399</v>
      </c>
      <c r="B5304" s="3">
        <v>-0.33933769923191598</v>
      </c>
      <c r="C5304" s="3">
        <v>1.07211547339506E-2</v>
      </c>
      <c r="D5304" s="4">
        <v>2.65005228570451E-2</v>
      </c>
      <c r="E5304" s="3" t="s">
        <v>15961</v>
      </c>
      <c r="F5304" s="3" t="s">
        <v>15962</v>
      </c>
      <c r="G5304" s="3">
        <v>93715</v>
      </c>
      <c r="H5304" s="7" t="str">
        <f>HYPERLINK("http://www.ensembl.org/Mus_musculus/Gene/Summary?db=core;g=ENSMUSG00000103472","ENSMUSG00000103472")</f>
        <v>ENSMUSG00000103472</v>
      </c>
      <c r="I5304" s="7" t="str">
        <f>HYPERLINK("http://www.informatics.jax.org/marker/MGI:1935219","MGI:1935219")</f>
        <v>MGI:1935219</v>
      </c>
      <c r="J5304" s="4" t="s">
        <v>12</v>
      </c>
    </row>
    <row r="5305" spans="1:10" x14ac:dyDescent="0.25">
      <c r="A5305" s="2">
        <v>1062.00076357188</v>
      </c>
      <c r="B5305" s="3">
        <v>-0.33940196545057</v>
      </c>
      <c r="C5305" s="5">
        <v>3.2868301576095599E-11</v>
      </c>
      <c r="D5305" s="6">
        <v>1.9821495629376301E-10</v>
      </c>
      <c r="E5305" s="3" t="s">
        <v>6557</v>
      </c>
      <c r="F5305" s="3" t="s">
        <v>6558</v>
      </c>
      <c r="G5305" s="3">
        <v>26383</v>
      </c>
      <c r="H5305" s="7" t="str">
        <f>HYPERLINK("http://www.ensembl.org/Mus_musculus/Gene/Summary?db=core;g=ENSMUSG00000055932","ENSMUSG00000055932")</f>
        <v>ENSMUSG00000055932</v>
      </c>
      <c r="I5305" s="7" t="str">
        <f>HYPERLINK("http://www.informatics.jax.org/marker/MGI:1347093","MGI:1347093")</f>
        <v>MGI:1347093</v>
      </c>
      <c r="J5305" s="4" t="s">
        <v>12</v>
      </c>
    </row>
    <row r="5306" spans="1:10" x14ac:dyDescent="0.25">
      <c r="A5306" s="2">
        <v>367.90513974994099</v>
      </c>
      <c r="B5306" s="3">
        <v>-0.33943437877291499</v>
      </c>
      <c r="C5306" s="5">
        <v>8.2071822383974E-6</v>
      </c>
      <c r="D5306" s="6">
        <v>3.1058459746919401E-5</v>
      </c>
      <c r="E5306" s="3" t="s">
        <v>10436</v>
      </c>
      <c r="F5306" s="3" t="s">
        <v>10437</v>
      </c>
      <c r="G5306" s="3">
        <v>170728</v>
      </c>
      <c r="H5306" s="7" t="str">
        <f>HYPERLINK("http://www.ensembl.org/Mus_musculus/Gene/Summary?db=core;g=ENSMUSG00000019864","ENSMUSG00000019864")</f>
        <v>ENSMUSG00000019864</v>
      </c>
      <c r="I5306" s="7" t="str">
        <f>HYPERLINK("http://www.informatics.jax.org/marker/MGI:2178759","MGI:2178759")</f>
        <v>MGI:2178759</v>
      </c>
      <c r="J5306" s="4" t="s">
        <v>12</v>
      </c>
    </row>
    <row r="5307" spans="1:10" x14ac:dyDescent="0.25">
      <c r="A5307" s="2">
        <v>146.790313276463</v>
      </c>
      <c r="B5307" s="3">
        <v>-0.33973197509151298</v>
      </c>
      <c r="C5307" s="3">
        <v>2.7833716826675499E-3</v>
      </c>
      <c r="D5307" s="4">
        <v>7.6766558856229501E-3</v>
      </c>
      <c r="E5307" s="3" t="s">
        <v>14305</v>
      </c>
      <c r="F5307" s="3" t="s">
        <v>14306</v>
      </c>
      <c r="G5307" s="3">
        <v>209462</v>
      </c>
      <c r="H5307" s="7" t="str">
        <f>HYPERLINK("http://www.ensembl.org/Mus_musculus/Gene/Summary?db=core;g=ENSMUSG00000038822","ENSMUSG00000038822")</f>
        <v>ENSMUSG00000038822</v>
      </c>
      <c r="I5307" s="7" t="str">
        <f>HYPERLINK("http://www.informatics.jax.org/marker/MGI:2446110","MGI:2446110")</f>
        <v>MGI:2446110</v>
      </c>
      <c r="J5307" s="4" t="s">
        <v>12</v>
      </c>
    </row>
    <row r="5308" spans="1:10" x14ac:dyDescent="0.25">
      <c r="A5308" s="2">
        <v>111.30451543735499</v>
      </c>
      <c r="B5308" s="3">
        <v>-0.339800728045342</v>
      </c>
      <c r="C5308" s="3">
        <v>1.0949345648582401E-2</v>
      </c>
      <c r="D5308" s="4">
        <v>2.7003638843177299E-2</v>
      </c>
      <c r="E5308" s="3" t="s">
        <v>15997</v>
      </c>
      <c r="F5308" s="3" t="s">
        <v>15998</v>
      </c>
      <c r="G5308" s="3">
        <v>93717</v>
      </c>
      <c r="H5308" s="7" t="str">
        <f>HYPERLINK("http://www.ensembl.org/Mus_musculus/Gene/Summary?db=core;g=ENSMUSG00000102440","ENSMUSG00000102440")</f>
        <v>ENSMUSG00000102440</v>
      </c>
      <c r="I5308" s="7" t="str">
        <f>HYPERLINK("http://www.informatics.jax.org/marker/MGI:1935226","MGI:1935226")</f>
        <v>MGI:1935226</v>
      </c>
      <c r="J5308" s="4" t="s">
        <v>12</v>
      </c>
    </row>
    <row r="5309" spans="1:10" x14ac:dyDescent="0.25">
      <c r="A5309" s="2">
        <v>111.254923479879</v>
      </c>
      <c r="B5309" s="3">
        <v>-0.33988785441246699</v>
      </c>
      <c r="C5309" s="3">
        <v>1.11979336911991E-2</v>
      </c>
      <c r="D5309" s="4">
        <v>2.7554685848570799E-2</v>
      </c>
      <c r="E5309" s="3" t="s">
        <v>16033</v>
      </c>
      <c r="F5309" s="3" t="s">
        <v>16034</v>
      </c>
      <c r="G5309" s="3">
        <v>93710</v>
      </c>
      <c r="H5309" s="7" t="str">
        <f>HYPERLINK("http://www.ensembl.org/Mus_musculus/Gene/Summary?db=core;g=ENSMUSG00000103332","ENSMUSG00000103332")</f>
        <v>ENSMUSG00000103332</v>
      </c>
      <c r="I5309" s="7" t="str">
        <f>HYPERLINK("http://www.informatics.jax.org/marker/MGI:1935214","MGI:1935214")</f>
        <v>MGI:1935214</v>
      </c>
      <c r="J5309" s="4" t="s">
        <v>12</v>
      </c>
    </row>
    <row r="5310" spans="1:10" x14ac:dyDescent="0.25">
      <c r="A5310" s="2">
        <v>111.30491967249699</v>
      </c>
      <c r="B5310" s="3">
        <v>-0.33988813985134397</v>
      </c>
      <c r="C5310" s="3">
        <v>1.1165385866278001E-2</v>
      </c>
      <c r="D5310" s="4">
        <v>2.7484884444264401E-2</v>
      </c>
      <c r="E5310" s="3" t="s">
        <v>16027</v>
      </c>
      <c r="F5310" s="3" t="s">
        <v>16028</v>
      </c>
      <c r="G5310" s="3">
        <v>93701</v>
      </c>
      <c r="H5310" s="7" t="str">
        <f>HYPERLINK("http://www.ensembl.org/Mus_musculus/Gene/Summary?db=core;g=ENSMUSG00000103585","ENSMUSG00000103585")</f>
        <v>ENSMUSG00000103585</v>
      </c>
      <c r="I5310" s="7" t="str">
        <f>HYPERLINK("http://www.informatics.jax.org/marker/MGI:1935173","MGI:1935173")</f>
        <v>MGI:1935173</v>
      </c>
      <c r="J5310" s="4" t="s">
        <v>12</v>
      </c>
    </row>
    <row r="5311" spans="1:10" x14ac:dyDescent="0.25">
      <c r="A5311" s="2">
        <v>152.18570507510401</v>
      </c>
      <c r="B5311" s="3">
        <v>-0.339915700891742</v>
      </c>
      <c r="C5311" s="3">
        <v>1.38687265445878E-2</v>
      </c>
      <c r="D5311" s="4">
        <v>3.3522046275315499E-2</v>
      </c>
      <c r="E5311" s="3" t="s">
        <v>16321</v>
      </c>
      <c r="F5311" s="3" t="s">
        <v>16322</v>
      </c>
      <c r="G5311" s="3">
        <v>56309</v>
      </c>
      <c r="H5311" s="7" t="str">
        <f>HYPERLINK("http://www.ensembl.org/Mus_musculus/Gene/Summary?db=core;g=ENSMUSG00000028647","ENSMUSG00000028647")</f>
        <v>ENSMUSG00000028647</v>
      </c>
      <c r="I5311" s="7" t="str">
        <f>HYPERLINK("http://www.informatics.jax.org/marker/MGI:1891750","MGI:1891750")</f>
        <v>MGI:1891750</v>
      </c>
      <c r="J5311" s="4" t="s">
        <v>12</v>
      </c>
    </row>
    <row r="5312" spans="1:10" x14ac:dyDescent="0.25">
      <c r="A5312" s="2">
        <v>302.52552428732901</v>
      </c>
      <c r="B5312" s="3">
        <v>-0.34018047915580601</v>
      </c>
      <c r="C5312" s="5">
        <v>2.4418203742219699E-5</v>
      </c>
      <c r="D5312" s="6">
        <v>8.7998351205513897E-5</v>
      </c>
      <c r="E5312" s="3" t="s">
        <v>10956</v>
      </c>
      <c r="F5312" s="3" t="s">
        <v>10957</v>
      </c>
      <c r="G5312" s="3">
        <v>66406</v>
      </c>
      <c r="H5312" s="7" t="str">
        <f>HYPERLINK("http://www.ensembl.org/Mus_musculus/Gene/Summary?db=core;g=ENSMUSG00000024790","ENSMUSG00000024790")</f>
        <v>ENSMUSG00000024790</v>
      </c>
      <c r="I5312" s="7" t="str">
        <f>HYPERLINK("http://www.informatics.jax.org/marker/MGI:1913656","MGI:1913656")</f>
        <v>MGI:1913656</v>
      </c>
      <c r="J5312" s="4" t="s">
        <v>12</v>
      </c>
    </row>
    <row r="5313" spans="1:10" x14ac:dyDescent="0.25">
      <c r="A5313" s="2">
        <v>1190.0799651269101</v>
      </c>
      <c r="B5313" s="3">
        <v>-0.34023837683484298</v>
      </c>
      <c r="C5313" s="5">
        <v>6.3300260694782406E-11</v>
      </c>
      <c r="D5313" s="6">
        <v>3.7328981486277199E-10</v>
      </c>
      <c r="E5313" s="3" t="s">
        <v>6705</v>
      </c>
      <c r="F5313" s="3" t="s">
        <v>6706</v>
      </c>
      <c r="G5313" s="3" t="s">
        <v>83</v>
      </c>
      <c r="H5313" s="7" t="str">
        <f>HYPERLINK("http://www.ensembl.org/Mus_musculus/Gene/Summary?db=core;g=ENSMUSG00000107478","ENSMUSG00000107478")</f>
        <v>ENSMUSG00000107478</v>
      </c>
      <c r="I5313" s="7" t="str">
        <f>HYPERLINK("http://www.informatics.jax.org/marker/MGI:5753810","MGI:5753810")</f>
        <v>MGI:5753810</v>
      </c>
      <c r="J5313" s="4" t="s">
        <v>12</v>
      </c>
    </row>
    <row r="5314" spans="1:10" x14ac:dyDescent="0.25">
      <c r="A5314" s="2">
        <v>128.979768487516</v>
      </c>
      <c r="B5314" s="3">
        <v>-0.34025908504509</v>
      </c>
      <c r="C5314" s="3">
        <v>2.4469376741830702E-3</v>
      </c>
      <c r="D5314" s="4">
        <v>6.81451926774327E-3</v>
      </c>
      <c r="E5314" s="3" t="s">
        <v>14169</v>
      </c>
      <c r="F5314" s="3" t="s">
        <v>14170</v>
      </c>
      <c r="G5314" s="3">
        <v>75698</v>
      </c>
      <c r="H5314" s="7" t="str">
        <f>HYPERLINK("http://www.ensembl.org/Mus_musculus/Gene/Summary?db=core;g=ENSMUSG00000041471","ENSMUSG00000041471")</f>
        <v>ENSMUSG00000041471</v>
      </c>
      <c r="I5314" s="7" t="str">
        <f>HYPERLINK("http://www.informatics.jax.org/marker/MGI:1922948","MGI:1922948")</f>
        <v>MGI:1922948</v>
      </c>
      <c r="J5314" s="4" t="s">
        <v>12</v>
      </c>
    </row>
    <row r="5315" spans="1:10" x14ac:dyDescent="0.25">
      <c r="A5315" s="2">
        <v>385.47055123779199</v>
      </c>
      <c r="B5315" s="3">
        <v>-0.34070614617548001</v>
      </c>
      <c r="C5315" s="5">
        <v>4.1581066473575499E-7</v>
      </c>
      <c r="D5315" s="6">
        <v>1.78839396043383E-6</v>
      </c>
      <c r="E5315" s="3" t="s">
        <v>9185</v>
      </c>
      <c r="F5315" s="3" t="s">
        <v>9186</v>
      </c>
      <c r="G5315" s="3">
        <v>30941</v>
      </c>
      <c r="H5315" s="7" t="str">
        <f>HYPERLINK("http://www.ensembl.org/Mus_musculus/Gene/Summary?db=core;g=ENSMUSG00000053483","ENSMUSG00000053483")</f>
        <v>ENSMUSG00000053483</v>
      </c>
      <c r="I5315" s="7" t="str">
        <f>HYPERLINK("http://www.informatics.jax.org/marker/MGI:1353665","MGI:1353665")</f>
        <v>MGI:1353665</v>
      </c>
      <c r="J5315" s="4" t="s">
        <v>12</v>
      </c>
    </row>
    <row r="5316" spans="1:10" x14ac:dyDescent="0.25">
      <c r="A5316" s="2">
        <v>863.948273025459</v>
      </c>
      <c r="B5316" s="3">
        <v>-0.34074124384461202</v>
      </c>
      <c r="C5316" s="5">
        <v>2.3682698286453702E-6</v>
      </c>
      <c r="D5316" s="6">
        <v>9.4500770985201605E-6</v>
      </c>
      <c r="E5316" s="3" t="s">
        <v>9899</v>
      </c>
      <c r="F5316" s="3" t="s">
        <v>9900</v>
      </c>
      <c r="G5316" s="3">
        <v>242474</v>
      </c>
      <c r="H5316" s="7" t="str">
        <f>HYPERLINK("http://www.ensembl.org/Mus_musculus/Gene/Summary?db=core;g=ENSMUSG00000055296","ENSMUSG00000055296")</f>
        <v>ENSMUSG00000055296</v>
      </c>
      <c r="I5316" s="7" t="str">
        <f>HYPERLINK("http://www.informatics.jax.org/marker/MGI:2445107","MGI:2445107")</f>
        <v>MGI:2445107</v>
      </c>
      <c r="J5316" s="4" t="s">
        <v>12</v>
      </c>
    </row>
    <row r="5317" spans="1:10" x14ac:dyDescent="0.25">
      <c r="A5317" s="2">
        <v>732.78302669727702</v>
      </c>
      <c r="B5317" s="3">
        <v>-0.34114818111782902</v>
      </c>
      <c r="C5317" s="3">
        <v>2.2610943570334301E-4</v>
      </c>
      <c r="D5317" s="4">
        <v>7.3000623314831701E-4</v>
      </c>
      <c r="E5317" s="3" t="s">
        <v>12227</v>
      </c>
      <c r="F5317" s="3" t="s">
        <v>12228</v>
      </c>
      <c r="G5317" s="3">
        <v>233490</v>
      </c>
      <c r="H5317" s="7" t="str">
        <f>HYPERLINK("http://www.ensembl.org/Mus_musculus/Gene/Summary?db=core;g=ENSMUSG00000051451","ENSMUSG00000051451")</f>
        <v>ENSMUSG00000051451</v>
      </c>
      <c r="I5317" s="7" t="str">
        <f>HYPERLINK("http://www.informatics.jax.org/marker/MGI:2675296","MGI:2675296")</f>
        <v>MGI:2675296</v>
      </c>
      <c r="J5317" s="4" t="s">
        <v>12</v>
      </c>
    </row>
    <row r="5318" spans="1:10" x14ac:dyDescent="0.25">
      <c r="A5318" s="2">
        <v>176.50457878248699</v>
      </c>
      <c r="B5318" s="3">
        <v>-0.34137028729938601</v>
      </c>
      <c r="C5318" s="3">
        <v>4.2618384340312497E-3</v>
      </c>
      <c r="D5318" s="4">
        <v>1.1417396266688799E-2</v>
      </c>
      <c r="E5318" s="3" t="s">
        <v>14726</v>
      </c>
      <c r="F5318" s="3" t="s">
        <v>14727</v>
      </c>
      <c r="G5318" s="3">
        <v>59002</v>
      </c>
      <c r="H5318" s="7" t="str">
        <f>HYPERLINK("http://www.ensembl.org/Mus_musculus/Gene/Summary?db=core;g=ENSMUSG00000029029","ENSMUSG00000029029")</f>
        <v>ENSMUSG00000029029</v>
      </c>
      <c r="I5318" s="7" t="str">
        <f>HYPERLINK("http://www.informatics.jax.org/marker/MGI:1891749","MGI:1891749")</f>
        <v>MGI:1891749</v>
      </c>
      <c r="J5318" s="4" t="s">
        <v>12</v>
      </c>
    </row>
    <row r="5319" spans="1:10" x14ac:dyDescent="0.25">
      <c r="A5319" s="2">
        <v>401.94375036328597</v>
      </c>
      <c r="B5319" s="3">
        <v>-0.34157861470126899</v>
      </c>
      <c r="C5319" s="3">
        <v>2.9623783595516102E-3</v>
      </c>
      <c r="D5319" s="4">
        <v>8.1192635511268697E-3</v>
      </c>
      <c r="E5319" s="3" t="s">
        <v>14395</v>
      </c>
      <c r="F5319" s="3" t="s">
        <v>14396</v>
      </c>
      <c r="G5319" s="3">
        <v>66610</v>
      </c>
      <c r="H5319" s="7" t="str">
        <f>HYPERLINK("http://www.ensembl.org/Mus_musculus/Gene/Summary?db=core;g=ENSMUSG00000018381","ENSMUSG00000018381")</f>
        <v>ENSMUSG00000018381</v>
      </c>
      <c r="I5319" s="7" t="str">
        <f>HYPERLINK("http://www.informatics.jax.org/marker/MGI:1913860","MGI:1913860")</f>
        <v>MGI:1913860</v>
      </c>
      <c r="J5319" s="4" t="s">
        <v>12</v>
      </c>
    </row>
    <row r="5320" spans="1:10" x14ac:dyDescent="0.25">
      <c r="A5320" s="2">
        <v>301.03526921277</v>
      </c>
      <c r="B5320" s="3">
        <v>-0.341857462351083</v>
      </c>
      <c r="C5320" s="5">
        <v>2.69774503684629E-5</v>
      </c>
      <c r="D5320" s="6">
        <v>9.6832057019674E-5</v>
      </c>
      <c r="E5320" s="3" t="s">
        <v>11000</v>
      </c>
      <c r="F5320" s="3" t="s">
        <v>11001</v>
      </c>
      <c r="G5320" s="3">
        <v>14672</v>
      </c>
      <c r="H5320" s="7" t="str">
        <f>HYPERLINK("http://www.ensembl.org/Mus_musculus/Gene/Summary?db=core;g=ENSMUSG00000034781","ENSMUSG00000034781")</f>
        <v>ENSMUSG00000034781</v>
      </c>
      <c r="I5320" s="7" t="str">
        <f>HYPERLINK("http://www.informatics.jax.org/marker/MGI:95766","MGI:95766")</f>
        <v>MGI:95766</v>
      </c>
      <c r="J5320" s="4" t="s">
        <v>12</v>
      </c>
    </row>
    <row r="5321" spans="1:10" x14ac:dyDescent="0.25">
      <c r="A5321" s="2">
        <v>3831.5880404896898</v>
      </c>
      <c r="B5321" s="3">
        <v>-0.34193428418405603</v>
      </c>
      <c r="C5321" s="3">
        <v>6.1755166529271104E-4</v>
      </c>
      <c r="D5321" s="4">
        <v>1.8770220159636699E-3</v>
      </c>
      <c r="E5321" s="3" t="s">
        <v>12985</v>
      </c>
      <c r="F5321" s="3" t="s">
        <v>12986</v>
      </c>
      <c r="G5321" s="3">
        <v>51788</v>
      </c>
      <c r="H5321" s="7" t="str">
        <f>HYPERLINK("http://www.ensembl.org/Mus_musculus/Gene/Summary?db=core;g=ENSMUSG00000037894","ENSMUSG00000037894")</f>
        <v>ENSMUSG00000037894</v>
      </c>
      <c r="I5321" s="7" t="str">
        <f>HYPERLINK("http://www.informatics.jax.org/marker/MGI:1888388","MGI:1888388")</f>
        <v>MGI:1888388</v>
      </c>
      <c r="J5321" s="4" t="s">
        <v>12</v>
      </c>
    </row>
    <row r="5322" spans="1:10" x14ac:dyDescent="0.25">
      <c r="A5322" s="2">
        <v>1371.06500136301</v>
      </c>
      <c r="B5322" s="3">
        <v>-0.34194906960416499</v>
      </c>
      <c r="C5322" s="5">
        <v>9.8458641908035798E-13</v>
      </c>
      <c r="D5322" s="6">
        <v>6.6130940682100302E-12</v>
      </c>
      <c r="E5322" s="3" t="s">
        <v>5889</v>
      </c>
      <c r="F5322" s="3" t="s">
        <v>5890</v>
      </c>
      <c r="G5322" s="3">
        <v>276919</v>
      </c>
      <c r="H5322" s="7" t="str">
        <f>HYPERLINK("http://www.ensembl.org/Mus_musculus/Gene/Summary?db=core;g=ENSMUSG00000049396","ENSMUSG00000049396")</f>
        <v>ENSMUSG00000049396</v>
      </c>
      <c r="I5322" s="7" t="str">
        <f>HYPERLINK("http://www.informatics.jax.org/marker/MGI:2449313","MGI:2449313")</f>
        <v>MGI:2449313</v>
      </c>
      <c r="J5322" s="4" t="s">
        <v>12</v>
      </c>
    </row>
    <row r="5323" spans="1:10" x14ac:dyDescent="0.25">
      <c r="A5323" s="2">
        <v>537.29727536882899</v>
      </c>
      <c r="B5323" s="3">
        <v>-0.34205442530311397</v>
      </c>
      <c r="C5323" s="5">
        <v>1.0480794547383499E-6</v>
      </c>
      <c r="D5323" s="6">
        <v>4.3247806753379797E-6</v>
      </c>
      <c r="E5323" s="3" t="s">
        <v>9573</v>
      </c>
      <c r="F5323" s="3" t="s">
        <v>9574</v>
      </c>
      <c r="G5323" s="3">
        <v>72113</v>
      </c>
      <c r="H5323" s="7" t="str">
        <f>HYPERLINK("http://www.ensembl.org/Mus_musculus/Gene/Summary?db=core;g=ENSMUSG00000021044","ENSMUSG00000021044")</f>
        <v>ENSMUSG00000021044</v>
      </c>
      <c r="I5323" s="7" t="str">
        <f>HYPERLINK("http://www.informatics.jax.org/marker/MGI:1919363","MGI:1919363")</f>
        <v>MGI:1919363</v>
      </c>
      <c r="J5323" s="4" t="s">
        <v>12</v>
      </c>
    </row>
    <row r="5324" spans="1:10" x14ac:dyDescent="0.25">
      <c r="A5324" s="2">
        <v>491.592075774541</v>
      </c>
      <c r="B5324" s="3">
        <v>-0.34214787981301198</v>
      </c>
      <c r="C5324" s="3">
        <v>4.4365524951956901E-4</v>
      </c>
      <c r="D5324" s="4">
        <v>1.37301969876427E-3</v>
      </c>
      <c r="E5324" s="3" t="s">
        <v>12360</v>
      </c>
      <c r="F5324" s="3" t="s">
        <v>12361</v>
      </c>
      <c r="G5324" s="3" t="s">
        <v>83</v>
      </c>
      <c r="H5324" s="7" t="str">
        <f>HYPERLINK("http://www.ensembl.org/Mus_musculus/Gene/Summary?db=core;g=ENSMUSG00000115018","ENSMUSG00000115018")</f>
        <v>ENSMUSG00000115018</v>
      </c>
      <c r="I5324" s="7" t="str">
        <f>HYPERLINK("http://www.informatics.jax.org/marker/MGI:1926047","MGI:1926047")</f>
        <v>MGI:1926047</v>
      </c>
      <c r="J5324" s="4" t="s">
        <v>12</v>
      </c>
    </row>
    <row r="5325" spans="1:10" x14ac:dyDescent="0.25">
      <c r="A5325" s="2">
        <v>137.500232599241</v>
      </c>
      <c r="B5325" s="3">
        <v>-0.34227004062080002</v>
      </c>
      <c r="C5325" s="3">
        <v>2.3004987808202901E-3</v>
      </c>
      <c r="D5325" s="4">
        <v>6.4339577305029304E-3</v>
      </c>
      <c r="E5325" s="3" t="s">
        <v>14109</v>
      </c>
      <c r="F5325" s="3" t="s">
        <v>14110</v>
      </c>
      <c r="G5325" s="3">
        <v>67019</v>
      </c>
      <c r="H5325" s="7" t="str">
        <f>HYPERLINK("http://www.ensembl.org/Mus_musculus/Gene/Summary?db=core;g=ENSMUSG00000019948","ENSMUSG00000019948")</f>
        <v>ENSMUSG00000019948</v>
      </c>
      <c r="I5325" s="7" t="str">
        <f>HYPERLINK("http://www.informatics.jax.org/marker/MGI:1914269","MGI:1914269")</f>
        <v>MGI:1914269</v>
      </c>
      <c r="J5325" s="4" t="s">
        <v>12</v>
      </c>
    </row>
    <row r="5326" spans="1:10" x14ac:dyDescent="0.25">
      <c r="A5326" s="2">
        <v>112.388290837204</v>
      </c>
      <c r="B5326" s="3">
        <v>-0.34238138431579801</v>
      </c>
      <c r="C5326" s="3">
        <v>1.38882800643892E-2</v>
      </c>
      <c r="D5326" s="4">
        <v>3.3563343488940502E-2</v>
      </c>
      <c r="E5326" s="3" t="s">
        <v>16325</v>
      </c>
      <c r="F5326" s="3" t="s">
        <v>16326</v>
      </c>
      <c r="G5326" s="3">
        <v>70317</v>
      </c>
      <c r="H5326" s="7" t="str">
        <f>HYPERLINK("http://www.ensembl.org/Mus_musculus/Gene/Summary?db=core;g=ENSMUSG00000057594","ENSMUSG00000057594")</f>
        <v>ENSMUSG00000057594</v>
      </c>
      <c r="I5326" s="7" t="str">
        <f>HYPERLINK("http://www.informatics.jax.org/marker/MGI:1917567","MGI:1917567")</f>
        <v>MGI:1917567</v>
      </c>
      <c r="J5326" s="4" t="s">
        <v>12</v>
      </c>
    </row>
    <row r="5327" spans="1:10" x14ac:dyDescent="0.25">
      <c r="A5327" s="2">
        <v>111.205661037187</v>
      </c>
      <c r="B5327" s="3">
        <v>-0.34249308908631798</v>
      </c>
      <c r="C5327" s="3">
        <v>1.0505196615417101E-2</v>
      </c>
      <c r="D5327" s="4">
        <v>2.6022167724660799E-2</v>
      </c>
      <c r="E5327" s="3" t="s">
        <v>15923</v>
      </c>
      <c r="F5327" s="3" t="s">
        <v>15924</v>
      </c>
      <c r="G5327" s="3">
        <v>93699</v>
      </c>
      <c r="H5327" s="7" t="str">
        <f>HYPERLINK("http://www.ensembl.org/Mus_musculus/Gene/Summary?db=core;g=ENSMUSG00000103037","ENSMUSG00000103037")</f>
        <v>ENSMUSG00000103037</v>
      </c>
      <c r="I5327" s="7" t="str">
        <f>HYPERLINK("http://www.informatics.jax.org/marker/MGI:1935169","MGI:1935169")</f>
        <v>MGI:1935169</v>
      </c>
      <c r="J5327" s="4" t="s">
        <v>12</v>
      </c>
    </row>
    <row r="5328" spans="1:10" x14ac:dyDescent="0.25">
      <c r="A5328" s="2">
        <v>111.205661037187</v>
      </c>
      <c r="B5328" s="3">
        <v>-0.34249308908631798</v>
      </c>
      <c r="C5328" s="3">
        <v>1.0505196615417101E-2</v>
      </c>
      <c r="D5328" s="4">
        <v>2.6022167724660799E-2</v>
      </c>
      <c r="E5328" s="3" t="s">
        <v>15925</v>
      </c>
      <c r="F5328" s="3" t="s">
        <v>15926</v>
      </c>
      <c r="G5328" s="3">
        <v>93714</v>
      </c>
      <c r="H5328" s="7" t="str">
        <f>HYPERLINK("http://www.ensembl.org/Mus_musculus/Gene/Summary?db=core;g=ENSMUSG00000103793","ENSMUSG00000103793")</f>
        <v>ENSMUSG00000103793</v>
      </c>
      <c r="I5328" s="7" t="str">
        <f>HYPERLINK("http://www.informatics.jax.org/marker/MGI:1935218","MGI:1935218")</f>
        <v>MGI:1935218</v>
      </c>
      <c r="J5328" s="4" t="s">
        <v>12</v>
      </c>
    </row>
    <row r="5329" spans="1:10" x14ac:dyDescent="0.25">
      <c r="A5329" s="2">
        <v>111.205661037187</v>
      </c>
      <c r="B5329" s="3">
        <v>-0.34249308908631798</v>
      </c>
      <c r="C5329" s="3">
        <v>1.0505196615417101E-2</v>
      </c>
      <c r="D5329" s="4">
        <v>2.6022167724660799E-2</v>
      </c>
      <c r="E5329" s="3" t="s">
        <v>15927</v>
      </c>
      <c r="F5329" s="3" t="s">
        <v>15928</v>
      </c>
      <c r="G5329" s="3">
        <v>93722</v>
      </c>
      <c r="H5329" s="7" t="str">
        <f>HYPERLINK("http://www.ensembl.org/Mus_musculus/Gene/Summary?db=core;g=ENSMUSG00000102222","ENSMUSG00000102222")</f>
        <v>ENSMUSG00000102222</v>
      </c>
      <c r="I5329" s="7" t="str">
        <f>HYPERLINK("http://www.informatics.jax.org/marker/MGI:1935227","MGI:1935227")</f>
        <v>MGI:1935227</v>
      </c>
      <c r="J5329" s="4" t="s">
        <v>12</v>
      </c>
    </row>
    <row r="5330" spans="1:10" x14ac:dyDescent="0.25">
      <c r="A5330" s="2">
        <v>111.256721073546</v>
      </c>
      <c r="B5330" s="3">
        <v>-0.34250759154316002</v>
      </c>
      <c r="C5330" s="3">
        <v>1.03391137994879E-2</v>
      </c>
      <c r="D5330" s="4">
        <v>2.5649846902469499E-2</v>
      </c>
      <c r="E5330" s="3" t="s">
        <v>15897</v>
      </c>
      <c r="F5330" s="3" t="s">
        <v>15898</v>
      </c>
      <c r="G5330" s="3">
        <v>93707</v>
      </c>
      <c r="H5330" s="7" t="str">
        <f>HYPERLINK("http://www.ensembl.org/Mus_musculus/Gene/Summary?db=core;g=ENSMUSG00000023036","ENSMUSG00000023036")</f>
        <v>ENSMUSG00000023036</v>
      </c>
      <c r="I5330" s="7" t="str">
        <f>HYPERLINK("http://www.informatics.jax.org/marker/MGI:1935203","MGI:1935203")</f>
        <v>MGI:1935203</v>
      </c>
      <c r="J5330" s="4" t="s">
        <v>12</v>
      </c>
    </row>
    <row r="5331" spans="1:10" x14ac:dyDescent="0.25">
      <c r="A5331" s="2">
        <v>3015.1188675591302</v>
      </c>
      <c r="B5331" s="3">
        <v>-0.34255414414032698</v>
      </c>
      <c r="C5331" s="5">
        <v>1.2695173595225399E-13</v>
      </c>
      <c r="D5331" s="6">
        <v>8.9924146299513197E-13</v>
      </c>
      <c r="E5331" s="3" t="s">
        <v>5585</v>
      </c>
      <c r="F5331" s="3" t="s">
        <v>5586</v>
      </c>
      <c r="G5331" s="3">
        <v>94232</v>
      </c>
      <c r="H5331" s="7" t="str">
        <f>HYPERLINK("http://www.ensembl.org/Mus_musculus/Gene/Summary?db=core;g=ENSMUSG00000008604","ENSMUSG00000008604")</f>
        <v>ENSMUSG00000008604</v>
      </c>
      <c r="I5331" s="7" t="str">
        <f>HYPERLINK("http://www.informatics.jax.org/marker/MGI:2150152","MGI:2150152")</f>
        <v>MGI:2150152</v>
      </c>
      <c r="J5331" s="4" t="s">
        <v>12</v>
      </c>
    </row>
    <row r="5332" spans="1:10" x14ac:dyDescent="0.25">
      <c r="A5332" s="2">
        <v>935.13393227545498</v>
      </c>
      <c r="B5332" s="3">
        <v>-0.34311511500797898</v>
      </c>
      <c r="C5332" s="5">
        <v>3.3720965366369101E-5</v>
      </c>
      <c r="D5332" s="4">
        <v>1.19643295614394E-4</v>
      </c>
      <c r="E5332" s="3" t="s">
        <v>11129</v>
      </c>
      <c r="F5332" s="3" t="s">
        <v>11130</v>
      </c>
      <c r="G5332" s="3">
        <v>66146</v>
      </c>
      <c r="H5332" s="7" t="str">
        <f>HYPERLINK("http://www.ensembl.org/Mus_musculus/Gene/Summary?db=core;g=ENSMUSG00000028826","ENSMUSG00000028826")</f>
        <v>ENSMUSG00000028826</v>
      </c>
      <c r="I5332" s="7" t="str">
        <f>HYPERLINK("http://www.informatics.jax.org/marker/MGI:1913396","MGI:1913396")</f>
        <v>MGI:1913396</v>
      </c>
      <c r="J5332" s="4" t="s">
        <v>12</v>
      </c>
    </row>
    <row r="5333" spans="1:10" x14ac:dyDescent="0.25">
      <c r="A5333" s="2">
        <v>238.36479396484901</v>
      </c>
      <c r="B5333" s="3">
        <v>-0.34316687452582101</v>
      </c>
      <c r="C5333" s="3">
        <v>1.54546162051082E-2</v>
      </c>
      <c r="D5333" s="4">
        <v>3.6977072502394299E-2</v>
      </c>
      <c r="E5333" s="3" t="s">
        <v>16487</v>
      </c>
      <c r="F5333" s="3" t="s">
        <v>16488</v>
      </c>
      <c r="G5333" s="3">
        <v>13353</v>
      </c>
      <c r="H5333" s="7" t="str">
        <f>HYPERLINK("http://www.ensembl.org/Mus_musculus/Gene/Summary?db=core;g=ENSMUSG00000003531","ENSMUSG00000003531")</f>
        <v>ENSMUSG00000003531</v>
      </c>
      <c r="I5333" s="7" t="str">
        <f>HYPERLINK("http://www.informatics.jax.org/marker/MGI:1202877","MGI:1202877")</f>
        <v>MGI:1202877</v>
      </c>
      <c r="J5333" s="4" t="s">
        <v>12</v>
      </c>
    </row>
    <row r="5334" spans="1:10" x14ac:dyDescent="0.25">
      <c r="A5334" s="2">
        <v>483.38082547830999</v>
      </c>
      <c r="B5334" s="3">
        <v>-0.34342876988981202</v>
      </c>
      <c r="C5334" s="5">
        <v>5.9288187497374303E-6</v>
      </c>
      <c r="D5334" s="6">
        <v>2.2737515702999299E-5</v>
      </c>
      <c r="E5334" s="3" t="s">
        <v>10298</v>
      </c>
      <c r="F5334" s="3" t="s">
        <v>10299</v>
      </c>
      <c r="G5334" s="3">
        <v>27388</v>
      </c>
      <c r="H5334" s="7" t="str">
        <f>HYPERLINK("http://www.ensembl.org/Mus_musculus/Gene/Summary?db=core;g=ENSMUSG00000025495","ENSMUSG00000025495")</f>
        <v>ENSMUSG00000025495</v>
      </c>
      <c r="I5334" s="7" t="str">
        <f>HYPERLINK("http://www.informatics.jax.org/marker/MGI:1351664","MGI:1351664")</f>
        <v>MGI:1351664</v>
      </c>
      <c r="J5334" s="4" t="s">
        <v>12</v>
      </c>
    </row>
    <row r="5335" spans="1:10" x14ac:dyDescent="0.25">
      <c r="A5335" s="2">
        <v>111.455375365401</v>
      </c>
      <c r="B5335" s="3">
        <v>-0.34356300450953697</v>
      </c>
      <c r="C5335" s="3">
        <v>1.06850602660814E-2</v>
      </c>
      <c r="D5335" s="4">
        <v>2.6427867609071301E-2</v>
      </c>
      <c r="E5335" s="3" t="s">
        <v>15951</v>
      </c>
      <c r="F5335" s="3" t="s">
        <v>15952</v>
      </c>
      <c r="G5335" s="3">
        <v>93716</v>
      </c>
      <c r="H5335" s="7" t="str">
        <f>HYPERLINK("http://www.ensembl.org/Mus_musculus/Gene/Summary?db=core;g=ENSMUSG00000103897","ENSMUSG00000103897")</f>
        <v>ENSMUSG00000103897</v>
      </c>
      <c r="I5335" s="7" t="str">
        <f>HYPERLINK("http://www.informatics.jax.org/marker/MGI:1935221","MGI:1935221")</f>
        <v>MGI:1935221</v>
      </c>
      <c r="J5335" s="4" t="s">
        <v>12</v>
      </c>
    </row>
    <row r="5336" spans="1:10" x14ac:dyDescent="0.25">
      <c r="A5336" s="2">
        <v>262.42402621558801</v>
      </c>
      <c r="B5336" s="3">
        <v>-0.34359393213963801</v>
      </c>
      <c r="C5336" s="3">
        <v>1.0944310346599E-2</v>
      </c>
      <c r="D5336" s="4">
        <v>2.6994596627258501E-2</v>
      </c>
      <c r="E5336" s="3" t="s">
        <v>15995</v>
      </c>
      <c r="F5336" s="3" t="s">
        <v>15996</v>
      </c>
      <c r="G5336" s="3">
        <v>14979</v>
      </c>
      <c r="H5336" s="7" t="str">
        <f>HYPERLINK("http://www.ensembl.org/Mus_musculus/Gene/Summary?db=core;g=ENSMUSG00000073422","ENSMUSG00000073422")</f>
        <v>ENSMUSG00000073422</v>
      </c>
      <c r="I5336" s="7" t="str">
        <f>HYPERLINK("http://www.informatics.jax.org/marker/MGI:95911","MGI:95911")</f>
        <v>MGI:95911</v>
      </c>
      <c r="J5336" s="4" t="s">
        <v>12</v>
      </c>
    </row>
    <row r="5337" spans="1:10" x14ac:dyDescent="0.25">
      <c r="A5337" s="2">
        <v>868.95132415015803</v>
      </c>
      <c r="B5337" s="3">
        <v>-0.34381100764518602</v>
      </c>
      <c r="C5337" s="3">
        <v>1.9661419392298499E-2</v>
      </c>
      <c r="D5337" s="4">
        <v>4.5993261022079103E-2</v>
      </c>
      <c r="E5337" s="3" t="s">
        <v>16864</v>
      </c>
      <c r="F5337" s="3" t="s">
        <v>16865</v>
      </c>
      <c r="G5337" s="3">
        <v>100037258</v>
      </c>
      <c r="H5337" s="7" t="str">
        <f>HYPERLINK("http://www.ensembl.org/Mus_musculus/Gene/Summary?db=core;g=ENSMUSG00000022136","ENSMUSG00000022136")</f>
        <v>ENSMUSG00000022136</v>
      </c>
      <c r="I5337" s="7" t="str">
        <f>HYPERLINK("http://www.informatics.jax.org/marker/MGI:107373","MGI:107373")</f>
        <v>MGI:107373</v>
      </c>
      <c r="J5337" s="4" t="s">
        <v>12</v>
      </c>
    </row>
    <row r="5338" spans="1:10" x14ac:dyDescent="0.25">
      <c r="A5338" s="2">
        <v>2071.8135096291498</v>
      </c>
      <c r="B5338" s="3">
        <v>-0.34382360041219701</v>
      </c>
      <c r="C5338" s="5">
        <v>6.1248647980818798E-12</v>
      </c>
      <c r="D5338" s="6">
        <v>3.8974615623805997E-11</v>
      </c>
      <c r="E5338" s="3" t="s">
        <v>6215</v>
      </c>
      <c r="F5338" s="3" t="s">
        <v>6216</v>
      </c>
      <c r="G5338" s="3">
        <v>226412</v>
      </c>
      <c r="H5338" s="7" t="str">
        <f>HYPERLINK("http://www.ensembl.org/Mus_musculus/Gene/Summary?db=core;g=ENSMUSG00000056211","ENSMUSG00000056211")</f>
        <v>ENSMUSG00000056211</v>
      </c>
      <c r="I5338" s="7" t="str">
        <f>HYPERLINK("http://www.informatics.jax.org/marker/MGI:2448514","MGI:2448514")</f>
        <v>MGI:2448514</v>
      </c>
      <c r="J5338" s="4" t="s">
        <v>12</v>
      </c>
    </row>
    <row r="5339" spans="1:10" x14ac:dyDescent="0.25">
      <c r="A5339" s="2">
        <v>1058.0788658879401</v>
      </c>
      <c r="B5339" s="3">
        <v>-0.34383777215093297</v>
      </c>
      <c r="C5339" s="5">
        <v>1.2209915455122099E-6</v>
      </c>
      <c r="D5339" s="6">
        <v>5.0089355684420096E-6</v>
      </c>
      <c r="E5339" s="3" t="s">
        <v>9629</v>
      </c>
      <c r="F5339" s="3" t="s">
        <v>9630</v>
      </c>
      <c r="G5339" s="3">
        <v>98828</v>
      </c>
      <c r="H5339" s="7" t="str">
        <f>HYPERLINK("http://www.ensembl.org/Mus_musculus/Gene/Summary?db=core;g=ENSMUSG00000039128","ENSMUSG00000039128")</f>
        <v>ENSMUSG00000039128</v>
      </c>
      <c r="I5339" s="7" t="str">
        <f>HYPERLINK("http://www.informatics.jax.org/marker/MGI:2138811","MGI:2138811")</f>
        <v>MGI:2138811</v>
      </c>
      <c r="J5339" s="4" t="s">
        <v>12</v>
      </c>
    </row>
    <row r="5340" spans="1:10" x14ac:dyDescent="0.25">
      <c r="A5340" s="2">
        <v>1680.1224922096101</v>
      </c>
      <c r="B5340" s="3">
        <v>-0.34383869710560599</v>
      </c>
      <c r="C5340" s="3">
        <v>1.6071375525120599E-4</v>
      </c>
      <c r="D5340" s="4">
        <v>5.2759701241115E-4</v>
      </c>
      <c r="E5340" s="3" t="s">
        <v>12025</v>
      </c>
      <c r="F5340" s="3" t="s">
        <v>12026</v>
      </c>
      <c r="G5340" s="3">
        <v>27214</v>
      </c>
      <c r="H5340" s="7" t="str">
        <f>HYPERLINK("http://www.ensembl.org/Mus_musculus/Gene/Summary?db=core;g=ENSMUSG00000002297","ENSMUSG00000002297")</f>
        <v>ENSMUSG00000002297</v>
      </c>
      <c r="I5340" s="7" t="str">
        <f>HYPERLINK("http://www.informatics.jax.org/marker/MGI:1351328","MGI:1351328")</f>
        <v>MGI:1351328</v>
      </c>
      <c r="J5340" s="4" t="s">
        <v>12</v>
      </c>
    </row>
    <row r="5341" spans="1:10" x14ac:dyDescent="0.25">
      <c r="A5341" s="2">
        <v>541.47280350655501</v>
      </c>
      <c r="B5341" s="3">
        <v>-0.34401815769587202</v>
      </c>
      <c r="C5341" s="5">
        <v>5.6719633913148398E-7</v>
      </c>
      <c r="D5341" s="6">
        <v>2.40954584396227E-6</v>
      </c>
      <c r="E5341" s="3" t="s">
        <v>9299</v>
      </c>
      <c r="F5341" s="3" t="s">
        <v>9300</v>
      </c>
      <c r="G5341" s="3">
        <v>78893</v>
      </c>
      <c r="H5341" s="7" t="str">
        <f>HYPERLINK("http://www.ensembl.org/Mus_musculus/Gene/Summary?db=core;g=ENSMUSG00000056167","ENSMUSG00000056167")</f>
        <v>ENSMUSG00000056167</v>
      </c>
      <c r="I5341" s="7" t="str">
        <f>HYPERLINK("http://www.informatics.jax.org/marker/MGI:1926143","MGI:1926143")</f>
        <v>MGI:1926143</v>
      </c>
      <c r="J5341" s="4" t="s">
        <v>12</v>
      </c>
    </row>
    <row r="5342" spans="1:10" x14ac:dyDescent="0.25">
      <c r="A5342" s="2">
        <v>575.19421826685902</v>
      </c>
      <c r="B5342" s="3">
        <v>-0.344327414343367</v>
      </c>
      <c r="C5342" s="3">
        <v>1.05913355715313E-2</v>
      </c>
      <c r="D5342" s="4">
        <v>2.6209202844848602E-2</v>
      </c>
      <c r="E5342" s="3" t="s">
        <v>15943</v>
      </c>
      <c r="F5342" s="3" t="s">
        <v>15944</v>
      </c>
      <c r="G5342" s="3">
        <v>14874</v>
      </c>
      <c r="H5342" s="7" t="str">
        <f>HYPERLINK("http://www.ensembl.org/Mus_musculus/Gene/Summary?db=core;g=ENSMUSG00000021033","ENSMUSG00000021033")</f>
        <v>ENSMUSG00000021033</v>
      </c>
      <c r="I5342" s="7" t="str">
        <f>HYPERLINK("http://www.informatics.jax.org/marker/MGI:1341859","MGI:1341859")</f>
        <v>MGI:1341859</v>
      </c>
      <c r="J5342" s="4" t="s">
        <v>12</v>
      </c>
    </row>
    <row r="5343" spans="1:10" x14ac:dyDescent="0.25">
      <c r="A5343" s="2">
        <v>566.78153060538204</v>
      </c>
      <c r="B5343" s="3">
        <v>-0.34497749228288299</v>
      </c>
      <c r="C5343" s="5">
        <v>1.4589321477574899E-5</v>
      </c>
      <c r="D5343" s="6">
        <v>5.3836343476380602E-5</v>
      </c>
      <c r="E5343" s="3" t="s">
        <v>10700</v>
      </c>
      <c r="F5343" s="3" t="s">
        <v>10701</v>
      </c>
      <c r="G5343" s="3">
        <v>231863</v>
      </c>
      <c r="H5343" s="7" t="str">
        <f>HYPERLINK("http://www.ensembl.org/Mus_musculus/Gene/Summary?db=core;g=ENSMUSG00000066640","ENSMUSG00000066640")</f>
        <v>ENSMUSG00000066640</v>
      </c>
      <c r="I5343" s="7" t="str">
        <f>HYPERLINK("http://www.informatics.jax.org/marker/MGI:2444450","MGI:2444450")</f>
        <v>MGI:2444450</v>
      </c>
      <c r="J5343" s="4" t="s">
        <v>12</v>
      </c>
    </row>
    <row r="5344" spans="1:10" x14ac:dyDescent="0.25">
      <c r="A5344" s="2">
        <v>108.233319909884</v>
      </c>
      <c r="B5344" s="3">
        <v>-0.34498350194517602</v>
      </c>
      <c r="C5344" s="3">
        <v>7.9818777909813707E-3</v>
      </c>
      <c r="D5344" s="4">
        <v>2.0216109688948498E-2</v>
      </c>
      <c r="E5344" s="3" t="s">
        <v>15575</v>
      </c>
      <c r="F5344" s="3" t="s">
        <v>15576</v>
      </c>
      <c r="G5344" s="3">
        <v>233893</v>
      </c>
      <c r="H5344" s="7" t="str">
        <f>HYPERLINK("http://www.ensembl.org/Mus_musculus/Gene/Summary?db=core;g=ENSMUSG00000045757","ENSMUSG00000045757")</f>
        <v>ENSMUSG00000045757</v>
      </c>
      <c r="I5344" s="7" t="str">
        <f>HYPERLINK("http://www.informatics.jax.org/marker/MGI:2443580","MGI:2443580")</f>
        <v>MGI:2443580</v>
      </c>
      <c r="J5344" s="4" t="s">
        <v>12</v>
      </c>
    </row>
    <row r="5345" spans="1:10" x14ac:dyDescent="0.25">
      <c r="A5345" s="2">
        <v>490.27182993717201</v>
      </c>
      <c r="B5345" s="3">
        <v>-0.345239673757051</v>
      </c>
      <c r="C5345" s="5">
        <v>7.1028992680144204E-6</v>
      </c>
      <c r="D5345" s="6">
        <v>2.7040380997151399E-5</v>
      </c>
      <c r="E5345" s="3" t="s">
        <v>10374</v>
      </c>
      <c r="F5345" s="3" t="s">
        <v>10375</v>
      </c>
      <c r="G5345" s="3">
        <v>230789</v>
      </c>
      <c r="H5345" s="7" t="str">
        <f>HYPERLINK("http://www.ensembl.org/Mus_musculus/Gene/Summary?db=core;g=ENSMUSG00000028878","ENSMUSG00000028878")</f>
        <v>ENSMUSG00000028878</v>
      </c>
      <c r="I5345" s="7" t="str">
        <f>HYPERLINK("http://www.informatics.jax.org/marker/MGI:2385211","MGI:2385211")</f>
        <v>MGI:2385211</v>
      </c>
      <c r="J5345" s="4" t="s">
        <v>12</v>
      </c>
    </row>
    <row r="5346" spans="1:10" x14ac:dyDescent="0.25">
      <c r="A5346" s="2">
        <v>967.10750448951001</v>
      </c>
      <c r="B5346" s="3">
        <v>-0.345327367382461</v>
      </c>
      <c r="C5346" s="5">
        <v>2.2443783236808101E-8</v>
      </c>
      <c r="D5346" s="6">
        <v>1.0763409665123001E-7</v>
      </c>
      <c r="E5346" s="3" t="s">
        <v>8241</v>
      </c>
      <c r="F5346" s="3" t="s">
        <v>8242</v>
      </c>
      <c r="G5346" s="3">
        <v>68925</v>
      </c>
      <c r="H5346" s="7" t="str">
        <f>HYPERLINK("http://www.ensembl.org/Mus_musculus/Gene/Summary?db=core;g=ENSMUSG00000034032","ENSMUSG00000034032")</f>
        <v>ENSMUSG00000034032</v>
      </c>
      <c r="I5346" s="7" t="str">
        <f>HYPERLINK("http://www.informatics.jax.org/marker/MGI:1916175","MGI:1916175")</f>
        <v>MGI:1916175</v>
      </c>
      <c r="J5346" s="4" t="s">
        <v>12</v>
      </c>
    </row>
    <row r="5347" spans="1:10" x14ac:dyDescent="0.25">
      <c r="A5347" s="2">
        <v>189.339719860842</v>
      </c>
      <c r="B5347" s="3">
        <v>-0.34547664948286899</v>
      </c>
      <c r="C5347" s="3">
        <v>5.3023720897809603E-4</v>
      </c>
      <c r="D5347" s="4">
        <v>1.62617072489083E-3</v>
      </c>
      <c r="E5347" s="3" t="s">
        <v>12869</v>
      </c>
      <c r="F5347" s="3" t="s">
        <v>12870</v>
      </c>
      <c r="G5347" s="3">
        <v>54201</v>
      </c>
      <c r="H5347" s="7" t="str">
        <f>HYPERLINK("http://www.ensembl.org/Mus_musculus/Gene/Summary?db=core;g=ENSMUSG00000046658","ENSMUSG00000046658")</f>
        <v>ENSMUSG00000046658</v>
      </c>
      <c r="I5347" s="7" t="str">
        <f>HYPERLINK("http://www.informatics.jax.org/marker/MGI:1860402","MGI:1860402")</f>
        <v>MGI:1860402</v>
      </c>
      <c r="J5347" s="4" t="s">
        <v>12</v>
      </c>
    </row>
    <row r="5348" spans="1:10" x14ac:dyDescent="0.25">
      <c r="A5348" s="2">
        <v>87.167278227271396</v>
      </c>
      <c r="B5348" s="3">
        <v>-0.34557050590615501</v>
      </c>
      <c r="C5348" s="3">
        <v>1.03738637265266E-2</v>
      </c>
      <c r="D5348" s="4">
        <v>2.5732401595862299E-2</v>
      </c>
      <c r="E5348" s="3" t="s">
        <v>15905</v>
      </c>
      <c r="F5348" s="3" t="s">
        <v>15906</v>
      </c>
      <c r="G5348" s="3">
        <v>434156</v>
      </c>
      <c r="H5348" s="7" t="str">
        <f>HYPERLINK("http://www.ensembl.org/Mus_musculus/Gene/Summary?db=core;g=ENSMUSG00000070705","ENSMUSG00000070705")</f>
        <v>ENSMUSG00000070705</v>
      </c>
      <c r="I5348" s="7" t="str">
        <f>HYPERLINK("http://www.informatics.jax.org/marker/MGI:1924095","MGI:1924095")</f>
        <v>MGI:1924095</v>
      </c>
      <c r="J5348" s="4" t="s">
        <v>12</v>
      </c>
    </row>
    <row r="5349" spans="1:10" x14ac:dyDescent="0.25">
      <c r="A5349" s="2">
        <v>1159.6785829549599</v>
      </c>
      <c r="B5349" s="3">
        <v>-0.34558411599576999</v>
      </c>
      <c r="C5349" s="5">
        <v>5.5577470107730501E-5</v>
      </c>
      <c r="D5349" s="4">
        <v>1.9288766464703401E-4</v>
      </c>
      <c r="E5349" s="3" t="s">
        <v>11375</v>
      </c>
      <c r="F5349" s="3" t="s">
        <v>11376</v>
      </c>
      <c r="G5349" s="3">
        <v>78808</v>
      </c>
      <c r="H5349" s="7" t="str">
        <f>HYPERLINK("http://www.ensembl.org/Mus_musculus/Gene/Summary?db=core;g=ENSMUSG00000019790","ENSMUSG00000019790")</f>
        <v>ENSMUSG00000019790</v>
      </c>
      <c r="I5349" s="7" t="str">
        <f>HYPERLINK("http://www.informatics.jax.org/marker/MGI:1926058","MGI:1926058")</f>
        <v>MGI:1926058</v>
      </c>
      <c r="J5349" s="4" t="s">
        <v>12</v>
      </c>
    </row>
    <row r="5350" spans="1:10" x14ac:dyDescent="0.25">
      <c r="A5350" s="2">
        <v>401.14327632342599</v>
      </c>
      <c r="B5350" s="3">
        <v>-0.34606381540027997</v>
      </c>
      <c r="C5350" s="5">
        <v>1.6953545725999799E-5</v>
      </c>
      <c r="D5350" s="6">
        <v>6.2061244053594893E-5</v>
      </c>
      <c r="E5350" s="3" t="s">
        <v>10786</v>
      </c>
      <c r="F5350" s="3" t="s">
        <v>10787</v>
      </c>
      <c r="G5350" s="3">
        <v>83703</v>
      </c>
      <c r="H5350" s="7" t="str">
        <f>HYPERLINK("http://www.ensembl.org/Mus_musculus/Gene/Summary?db=core;g=ENSMUSG00000032469","ENSMUSG00000032469")</f>
        <v>ENSMUSG00000032469</v>
      </c>
      <c r="I5350" s="7" t="str">
        <f>HYPERLINK("http://www.informatics.jax.org/marker/MGI:1931520","MGI:1931520")</f>
        <v>MGI:1931520</v>
      </c>
      <c r="J5350" s="4" t="s">
        <v>12</v>
      </c>
    </row>
    <row r="5351" spans="1:10" x14ac:dyDescent="0.25">
      <c r="A5351" s="2">
        <v>365.97151238356099</v>
      </c>
      <c r="B5351" s="3">
        <v>-0.34646731614204601</v>
      </c>
      <c r="C5351" s="5">
        <v>1.0011206169835201E-6</v>
      </c>
      <c r="D5351" s="6">
        <v>4.1405408068194396E-6</v>
      </c>
      <c r="E5351" s="3" t="s">
        <v>9551</v>
      </c>
      <c r="F5351" s="3" t="s">
        <v>9552</v>
      </c>
      <c r="G5351" s="3">
        <v>238831</v>
      </c>
      <c r="H5351" s="7" t="str">
        <f>HYPERLINK("http://www.ensembl.org/Mus_musculus/Gene/Summary?db=core;g=ENSMUSG00000021713","ENSMUSG00000021713")</f>
        <v>ENSMUSG00000021713</v>
      </c>
      <c r="I5351" s="7" t="str">
        <f>HYPERLINK("http://www.informatics.jax.org/marker/MGI:2443069","MGI:2443069")</f>
        <v>MGI:2443069</v>
      </c>
      <c r="J5351" s="4" t="s">
        <v>12</v>
      </c>
    </row>
    <row r="5352" spans="1:10" x14ac:dyDescent="0.25">
      <c r="A5352" s="2">
        <v>284.03095105520498</v>
      </c>
      <c r="B5352" s="3">
        <v>-0.34673110753282699</v>
      </c>
      <c r="C5352" s="5">
        <v>9.8774680703094392E-6</v>
      </c>
      <c r="D5352" s="6">
        <v>3.6988923347227899E-5</v>
      </c>
      <c r="E5352" s="3" t="s">
        <v>10545</v>
      </c>
      <c r="F5352" s="3" t="s">
        <v>10546</v>
      </c>
      <c r="G5352" s="3">
        <v>224656</v>
      </c>
      <c r="H5352" s="7" t="str">
        <f>HYPERLINK("http://www.ensembl.org/Mus_musculus/Gene/Summary?db=core;g=ENSMUSG00000024220","ENSMUSG00000024220")</f>
        <v>ENSMUSG00000024220</v>
      </c>
      <c r="I5352" s="7" t="str">
        <f>HYPERLINK("http://www.informatics.jax.org/marker/MGI:2687278","MGI:2687278")</f>
        <v>MGI:2687278</v>
      </c>
      <c r="J5352" s="4" t="s">
        <v>12</v>
      </c>
    </row>
    <row r="5353" spans="1:10" x14ac:dyDescent="0.25">
      <c r="A5353" s="2">
        <v>549.52155689217795</v>
      </c>
      <c r="B5353" s="3">
        <v>-0.34673801135804999</v>
      </c>
      <c r="C5353" s="5">
        <v>2.6757996313888999E-8</v>
      </c>
      <c r="D5353" s="6">
        <v>1.2773364495519001E-7</v>
      </c>
      <c r="E5353" s="3" t="s">
        <v>8279</v>
      </c>
      <c r="F5353" s="3" t="s">
        <v>8280</v>
      </c>
      <c r="G5353" s="3">
        <v>111173</v>
      </c>
      <c r="H5353" s="7" t="str">
        <f>HYPERLINK("http://www.ensembl.org/Mus_musculus/Gene/Summary?db=core;g=ENSMUSG00000030172","ENSMUSG00000030172")</f>
        <v>ENSMUSG00000030172</v>
      </c>
      <c r="I5353" s="7" t="str">
        <f>HYPERLINK("http://www.informatics.jax.org/marker/MGI:2151013","MGI:2151013")</f>
        <v>MGI:2151013</v>
      </c>
      <c r="J5353" s="4" t="s">
        <v>12</v>
      </c>
    </row>
    <row r="5354" spans="1:10" x14ac:dyDescent="0.25">
      <c r="A5354" s="2">
        <v>582.26338952680896</v>
      </c>
      <c r="B5354" s="3">
        <v>-0.346945396291019</v>
      </c>
      <c r="C5354" s="3">
        <v>5.1992406325456397E-4</v>
      </c>
      <c r="D5354" s="4">
        <v>1.59677659669522E-3</v>
      </c>
      <c r="E5354" s="3" t="s">
        <v>12851</v>
      </c>
      <c r="F5354" s="3" t="s">
        <v>12852</v>
      </c>
      <c r="G5354" s="3">
        <v>26896</v>
      </c>
      <c r="H5354" s="7" t="str">
        <f>HYPERLINK("http://www.ensembl.org/Mus_musculus/Gene/Summary?db=core;g=ENSMUSG00000064127","ENSMUSG00000064127")</f>
        <v>ENSMUSG00000064127</v>
      </c>
      <c r="I5354" s="7" t="str">
        <f>HYPERLINK("http://www.informatics.jax.org/marker/MGI:1349442","MGI:1349442")</f>
        <v>MGI:1349442</v>
      </c>
      <c r="J5354" s="4" t="s">
        <v>12</v>
      </c>
    </row>
    <row r="5355" spans="1:10" x14ac:dyDescent="0.25">
      <c r="A5355" s="2">
        <v>3353.74853330817</v>
      </c>
      <c r="B5355" s="3">
        <v>-0.347012764117473</v>
      </c>
      <c r="C5355" s="5">
        <v>6.3213420093273501E-15</v>
      </c>
      <c r="D5355" s="6">
        <v>4.8448062348983797E-14</v>
      </c>
      <c r="E5355" s="3" t="s">
        <v>5163</v>
      </c>
      <c r="F5355" s="3" t="s">
        <v>5164</v>
      </c>
      <c r="G5355" s="3">
        <v>19087</v>
      </c>
      <c r="H5355" s="7" t="str">
        <f>HYPERLINK("http://www.ensembl.org/Mus_musculus/Gene/Summary?db=core;g=ENSMUSG00000032601","ENSMUSG00000032601")</f>
        <v>ENSMUSG00000032601</v>
      </c>
      <c r="I5355" s="7" t="str">
        <f>HYPERLINK("http://www.informatics.jax.org/marker/MGI:108025","MGI:108025")</f>
        <v>MGI:108025</v>
      </c>
      <c r="J5355" s="4" t="s">
        <v>12</v>
      </c>
    </row>
    <row r="5356" spans="1:10" x14ac:dyDescent="0.25">
      <c r="A5356" s="2">
        <v>2198.9637007350998</v>
      </c>
      <c r="B5356" s="3">
        <v>-0.34738858771692899</v>
      </c>
      <c r="C5356" s="5">
        <v>1.5639389233374699E-11</v>
      </c>
      <c r="D5356" s="6">
        <v>9.6438009906863295E-11</v>
      </c>
      <c r="E5356" s="3" t="s">
        <v>6413</v>
      </c>
      <c r="F5356" s="3" t="s">
        <v>6414</v>
      </c>
      <c r="G5356" s="3">
        <v>71175</v>
      </c>
      <c r="H5356" s="7" t="str">
        <f>HYPERLINK("http://www.ensembl.org/Mus_musculus/Gene/Summary?db=core;g=ENSMUSG00000022141","ENSMUSG00000022141")</f>
        <v>ENSMUSG00000022141</v>
      </c>
      <c r="I5356" s="7" t="str">
        <f>HYPERLINK("http://www.informatics.jax.org/marker/MGI:1913976","MGI:1913976")</f>
        <v>MGI:1913976</v>
      </c>
      <c r="J5356" s="4" t="s">
        <v>12</v>
      </c>
    </row>
    <row r="5357" spans="1:10" x14ac:dyDescent="0.25">
      <c r="A5357" s="2">
        <v>204.20034181625601</v>
      </c>
      <c r="B5357" s="3">
        <v>-0.34744853706608397</v>
      </c>
      <c r="C5357" s="3">
        <v>3.8100832684021202E-4</v>
      </c>
      <c r="D5357" s="4">
        <v>1.1903492086959701E-3</v>
      </c>
      <c r="E5357" s="3" t="s">
        <v>12637</v>
      </c>
      <c r="F5357" s="3" t="s">
        <v>12638</v>
      </c>
      <c r="G5357" s="3">
        <v>71843</v>
      </c>
      <c r="H5357" s="7" t="str">
        <f>HYPERLINK("http://www.ensembl.org/Mus_musculus/Gene/Summary?db=core;g=ENSMUSG00000034194","ENSMUSG00000034194")</f>
        <v>ENSMUSG00000034194</v>
      </c>
      <c r="I5357" s="7" t="str">
        <f>HYPERLINK("http://www.informatics.jax.org/marker/MGI:1919093","MGI:1919093")</f>
        <v>MGI:1919093</v>
      </c>
      <c r="J5357" s="4" t="s">
        <v>12</v>
      </c>
    </row>
    <row r="5358" spans="1:10" x14ac:dyDescent="0.25">
      <c r="A5358" s="2">
        <v>221.57415514936201</v>
      </c>
      <c r="B5358" s="3">
        <v>-0.34746445641574902</v>
      </c>
      <c r="C5358" s="3">
        <v>7.2778848390973405E-4</v>
      </c>
      <c r="D5358" s="4">
        <v>2.1871363765163E-3</v>
      </c>
      <c r="E5358" s="3" t="s">
        <v>13133</v>
      </c>
      <c r="F5358" s="3" t="s">
        <v>13134</v>
      </c>
      <c r="G5358" s="3">
        <v>18020</v>
      </c>
      <c r="H5358" s="7" t="str">
        <f>HYPERLINK("http://www.ensembl.org/Mus_musculus/Gene/Summary?db=core;g=ENSMUSG00000030722","ENSMUSG00000030722")</f>
        <v>ENSMUSG00000030722</v>
      </c>
      <c r="I5358" s="7" t="str">
        <f>HYPERLINK("http://www.informatics.jax.org/marker/MGI:1329015","MGI:1329015")</f>
        <v>MGI:1329015</v>
      </c>
      <c r="J5358" s="4" t="s">
        <v>12</v>
      </c>
    </row>
    <row r="5359" spans="1:10" x14ac:dyDescent="0.25">
      <c r="A5359" s="2">
        <v>1844.47092422165</v>
      </c>
      <c r="B5359" s="3">
        <v>-0.34747627457545999</v>
      </c>
      <c r="C5359" s="5">
        <v>3.7452543379702402E-13</v>
      </c>
      <c r="D5359" s="6">
        <v>2.5796861873829201E-12</v>
      </c>
      <c r="E5359" s="3" t="s">
        <v>5743</v>
      </c>
      <c r="F5359" s="3" t="s">
        <v>5744</v>
      </c>
      <c r="G5359" s="3">
        <v>20687</v>
      </c>
      <c r="H5359" s="7" t="str">
        <f>HYPERLINK("http://www.ensembl.org/Mus_musculus/Gene/Summary?db=core;g=ENSMUSG00000027109","ENSMUSG00000027109")</f>
        <v>ENSMUSG00000027109</v>
      </c>
      <c r="I5359" s="7" t="str">
        <f>HYPERLINK("http://www.informatics.jax.org/marker/MGI:1277166","MGI:1277166")</f>
        <v>MGI:1277166</v>
      </c>
      <c r="J5359" s="4" t="s">
        <v>12</v>
      </c>
    </row>
    <row r="5360" spans="1:10" x14ac:dyDescent="0.25">
      <c r="A5360" s="2">
        <v>713.59281207537595</v>
      </c>
      <c r="B5360" s="3">
        <v>-0.347662229910013</v>
      </c>
      <c r="C5360" s="5">
        <v>8.3414243924274599E-8</v>
      </c>
      <c r="D5360" s="6">
        <v>3.8033037923391801E-7</v>
      </c>
      <c r="E5360" s="3" t="s">
        <v>8667</v>
      </c>
      <c r="F5360" s="3" t="s">
        <v>8668</v>
      </c>
      <c r="G5360" s="3">
        <v>69305</v>
      </c>
      <c r="H5360" s="7" t="str">
        <f>HYPERLINK("http://www.ensembl.org/Mus_musculus/Gene/Summary?db=core;g=ENSMUSG00000032040","ENSMUSG00000032040")</f>
        <v>ENSMUSG00000032040</v>
      </c>
      <c r="I5360" s="7" t="str">
        <f>HYPERLINK("http://www.informatics.jax.org/marker/MGI:1916555","MGI:1916555")</f>
        <v>MGI:1916555</v>
      </c>
      <c r="J5360" s="4" t="s">
        <v>12</v>
      </c>
    </row>
    <row r="5361" spans="1:10" x14ac:dyDescent="0.25">
      <c r="A5361" s="2">
        <v>839.87493799224501</v>
      </c>
      <c r="B5361" s="3">
        <v>-0.347672996156415</v>
      </c>
      <c r="C5361" s="5">
        <v>9.5409304793744099E-7</v>
      </c>
      <c r="D5361" s="6">
        <v>3.9543326829185202E-6</v>
      </c>
      <c r="E5361" s="3" t="s">
        <v>9531</v>
      </c>
      <c r="F5361" s="3" t="s">
        <v>9532</v>
      </c>
      <c r="G5361" s="3">
        <v>12339</v>
      </c>
      <c r="H5361" s="7" t="str">
        <f>HYPERLINK("http://www.ensembl.org/Mus_musculus/Gene/Summary?db=core;g=ENSMUSG00000021893","ENSMUSG00000021893")</f>
        <v>ENSMUSG00000021893</v>
      </c>
      <c r="I5361" s="7" t="str">
        <f>HYPERLINK("http://www.informatics.jax.org/marker/MGI:1338030","MGI:1338030")</f>
        <v>MGI:1338030</v>
      </c>
      <c r="J5361" s="4" t="s">
        <v>12</v>
      </c>
    </row>
    <row r="5362" spans="1:10" x14ac:dyDescent="0.25">
      <c r="A5362" s="2">
        <v>225.328409915886</v>
      </c>
      <c r="B5362" s="3">
        <v>-0.34770624403596101</v>
      </c>
      <c r="C5362" s="3">
        <v>1.8720529512828899E-4</v>
      </c>
      <c r="D5362" s="4">
        <v>6.0929005115198105E-4</v>
      </c>
      <c r="E5362" s="3" t="s">
        <v>12129</v>
      </c>
      <c r="F5362" s="3" t="s">
        <v>12130</v>
      </c>
      <c r="G5362" s="3">
        <v>66192</v>
      </c>
      <c r="H5362" s="7" t="str">
        <f>HYPERLINK("http://www.ensembl.org/Mus_musculus/Gene/Summary?db=core;g=ENSMUSG00000015289","ENSMUSG00000015289")</f>
        <v>ENSMUSG00000015289</v>
      </c>
      <c r="I5362" s="7" t="str">
        <f>HYPERLINK("http://www.informatics.jax.org/marker/MGI:1913442","MGI:1913442")</f>
        <v>MGI:1913442</v>
      </c>
      <c r="J5362" s="4" t="s">
        <v>12</v>
      </c>
    </row>
    <row r="5363" spans="1:10" x14ac:dyDescent="0.25">
      <c r="A5363" s="2">
        <v>111.47613682962501</v>
      </c>
      <c r="B5363" s="3">
        <v>-0.34795420489141199</v>
      </c>
      <c r="C5363" s="3">
        <v>9.3323645347749198E-3</v>
      </c>
      <c r="D5363" s="4">
        <v>2.3348671482588401E-2</v>
      </c>
      <c r="E5363" s="3" t="s">
        <v>15769</v>
      </c>
      <c r="F5363" s="3" t="s">
        <v>15770</v>
      </c>
      <c r="G5363" s="3">
        <v>93712</v>
      </c>
      <c r="H5363" s="7" t="str">
        <f>HYPERLINK("http://www.ensembl.org/Mus_musculus/Gene/Summary?db=core;g=ENSMUSG00000103677","ENSMUSG00000103677")</f>
        <v>ENSMUSG00000103677</v>
      </c>
      <c r="I5363" s="7" t="str">
        <f>HYPERLINK("http://www.informatics.jax.org/marker/MGI:1935216","MGI:1935216")</f>
        <v>MGI:1935216</v>
      </c>
      <c r="J5363" s="4" t="s">
        <v>12</v>
      </c>
    </row>
    <row r="5364" spans="1:10" x14ac:dyDescent="0.25">
      <c r="A5364" s="2">
        <v>660.78792306790899</v>
      </c>
      <c r="B5364" s="3">
        <v>-0.34797440404966001</v>
      </c>
      <c r="C5364" s="5">
        <v>2.0506953085311601E-8</v>
      </c>
      <c r="D5364" s="6">
        <v>9.87779958090732E-8</v>
      </c>
      <c r="E5364" s="3" t="s">
        <v>8205</v>
      </c>
      <c r="F5364" s="3" t="s">
        <v>8206</v>
      </c>
      <c r="G5364" s="3">
        <v>26429</v>
      </c>
      <c r="H5364" s="7" t="str">
        <f>HYPERLINK("http://www.ensembl.org/Mus_musculus/Gene/Summary?db=core;g=ENSMUSG00000029012","ENSMUSG00000029012")</f>
        <v>ENSMUSG00000029012</v>
      </c>
      <c r="I5364" s="7" t="str">
        <f>HYPERLINK("http://www.informatics.jax.org/marker/MGI:1347044","MGI:1347044")</f>
        <v>MGI:1347044</v>
      </c>
      <c r="J5364" s="4" t="s">
        <v>12</v>
      </c>
    </row>
    <row r="5365" spans="1:10" x14ac:dyDescent="0.25">
      <c r="A5365" s="2">
        <v>2718.4056096090699</v>
      </c>
      <c r="B5365" s="3">
        <v>-0.348003437889782</v>
      </c>
      <c r="C5365" s="5">
        <v>4.5582630091528602E-13</v>
      </c>
      <c r="D5365" s="6">
        <v>3.1233129444230098E-12</v>
      </c>
      <c r="E5365" s="3" t="s">
        <v>5773</v>
      </c>
      <c r="F5365" s="3" t="s">
        <v>5774</v>
      </c>
      <c r="G5365" s="3">
        <v>12400</v>
      </c>
      <c r="H5365" s="7" t="str">
        <f>HYPERLINK("http://www.ensembl.org/Mus_musculus/Gene/Summary?db=core;g=ENSMUSG00000031885","ENSMUSG00000031885")</f>
        <v>ENSMUSG00000031885</v>
      </c>
      <c r="I5365" s="7" t="str">
        <f>HYPERLINK("http://www.informatics.jax.org/marker/MGI:99851","MGI:99851")</f>
        <v>MGI:99851</v>
      </c>
      <c r="J5365" s="4" t="s">
        <v>12</v>
      </c>
    </row>
    <row r="5366" spans="1:10" x14ac:dyDescent="0.25">
      <c r="A5366" s="2">
        <v>894.58733988384404</v>
      </c>
      <c r="B5366" s="3">
        <v>-0.34827371914237099</v>
      </c>
      <c r="C5366" s="5">
        <v>1.7380229236513401E-8</v>
      </c>
      <c r="D5366" s="6">
        <v>8.4335167456703798E-8</v>
      </c>
      <c r="E5366" s="3" t="s">
        <v>8145</v>
      </c>
      <c r="F5366" s="3" t="s">
        <v>8146</v>
      </c>
      <c r="G5366" s="3">
        <v>59001</v>
      </c>
      <c r="H5366" s="7" t="str">
        <f>HYPERLINK("http://www.ensembl.org/Mus_musculus/Gene/Summary?db=core;g=ENSMUSG00000028394","ENSMUSG00000028394")</f>
        <v>ENSMUSG00000028394</v>
      </c>
      <c r="I5366" s="7" t="str">
        <f>HYPERLINK("http://www.informatics.jax.org/marker/MGI:1933378","MGI:1933378")</f>
        <v>MGI:1933378</v>
      </c>
      <c r="J5366" s="4" t="s">
        <v>12</v>
      </c>
    </row>
    <row r="5367" spans="1:10" x14ac:dyDescent="0.25">
      <c r="A5367" s="2">
        <v>1036.66675394499</v>
      </c>
      <c r="B5367" s="3">
        <v>-0.34852408918523597</v>
      </c>
      <c r="C5367" s="5">
        <v>1.67017336791166E-6</v>
      </c>
      <c r="D5367" s="6">
        <v>6.7616133884659999E-6</v>
      </c>
      <c r="E5367" s="3" t="s">
        <v>9757</v>
      </c>
      <c r="F5367" s="3" t="s">
        <v>9758</v>
      </c>
      <c r="G5367" s="3">
        <v>224648</v>
      </c>
      <c r="H5367" s="7" t="str">
        <f>HYPERLINK("http://www.ensembl.org/Mus_musculus/Gene/Summary?db=core;g=ENSMUSG00000039512","ENSMUSG00000039512")</f>
        <v>ENSMUSG00000039512</v>
      </c>
      <c r="I5367" s="7" t="str">
        <f>HYPERLINK("http://www.informatics.jax.org/marker/MGI:3041238","MGI:3041238")</f>
        <v>MGI:3041238</v>
      </c>
      <c r="J5367" s="4" t="s">
        <v>12</v>
      </c>
    </row>
    <row r="5368" spans="1:10" x14ac:dyDescent="0.25">
      <c r="A5368" s="2">
        <v>666.78242142238503</v>
      </c>
      <c r="B5368" s="3">
        <v>-0.34893351561635899</v>
      </c>
      <c r="C5368" s="5">
        <v>1.9998665770309701E-9</v>
      </c>
      <c r="D5368" s="6">
        <v>1.04691714624504E-8</v>
      </c>
      <c r="E5368" s="3" t="s">
        <v>7552</v>
      </c>
      <c r="F5368" s="3" t="s">
        <v>7553</v>
      </c>
      <c r="G5368" s="3">
        <v>381101</v>
      </c>
      <c r="H5368" s="7" t="str">
        <f>HYPERLINK("http://www.ensembl.org/Mus_musculus/Gene/Summary?db=core;g=ENSMUSG00000040658","ENSMUSG00000040658")</f>
        <v>ENSMUSG00000040658</v>
      </c>
      <c r="I5368" s="7" t="str">
        <f>HYPERLINK("http://www.informatics.jax.org/marker/MGI:3039376","MGI:3039376")</f>
        <v>MGI:3039376</v>
      </c>
      <c r="J5368" s="4" t="s">
        <v>12</v>
      </c>
    </row>
    <row r="5369" spans="1:10" x14ac:dyDescent="0.25">
      <c r="A5369" s="2">
        <v>1357.86646724254</v>
      </c>
      <c r="B5369" s="3">
        <v>-0.349047501415432</v>
      </c>
      <c r="C5369" s="5">
        <v>1.6015186204167799E-5</v>
      </c>
      <c r="D5369" s="6">
        <v>5.8822773690853002E-5</v>
      </c>
      <c r="E5369" s="3" t="s">
        <v>10750</v>
      </c>
      <c r="F5369" s="3" t="s">
        <v>10751</v>
      </c>
      <c r="G5369" s="3">
        <v>101488212</v>
      </c>
      <c r="H5369" s="7" t="str">
        <f>HYPERLINK("http://www.ensembl.org/Mus_musculus/Gene/Summary?db=core;g=ENSMUSG00000070354","ENSMUSG00000070354")</f>
        <v>ENSMUSG00000070354</v>
      </c>
      <c r="I5369" s="7" t="str">
        <f>HYPERLINK("http://www.informatics.jax.org/marker/MGI:5439444","MGI:5439444")</f>
        <v>MGI:5439444</v>
      </c>
      <c r="J5369" s="4" t="s">
        <v>12</v>
      </c>
    </row>
    <row r="5370" spans="1:10" x14ac:dyDescent="0.25">
      <c r="A5370" s="2">
        <v>318.61044506894501</v>
      </c>
      <c r="B5370" s="3">
        <v>-0.349138110078832</v>
      </c>
      <c r="C5370" s="3">
        <v>1.8342443314888199E-2</v>
      </c>
      <c r="D5370" s="4">
        <v>4.3153541179861102E-2</v>
      </c>
      <c r="E5370" s="3" t="s">
        <v>16768</v>
      </c>
      <c r="F5370" s="3" t="s">
        <v>16769</v>
      </c>
      <c r="G5370" s="3">
        <v>27973</v>
      </c>
      <c r="H5370" s="7" t="str">
        <f>HYPERLINK("http://www.ensembl.org/Mus_musculus/Gene/Summary?db=core;g=ENSMUSG00000096145","ENSMUSG00000096145")</f>
        <v>ENSMUSG00000096145</v>
      </c>
      <c r="I5370" s="7" t="str">
        <f>HYPERLINK("http://www.informatics.jax.org/marker/MGI:106442","MGI:106442")</f>
        <v>MGI:106442</v>
      </c>
      <c r="J5370" s="4" t="s">
        <v>12</v>
      </c>
    </row>
    <row r="5371" spans="1:10" x14ac:dyDescent="0.25">
      <c r="A5371" s="2">
        <v>2176.3685335821201</v>
      </c>
      <c r="B5371" s="3">
        <v>-0.34921522958041501</v>
      </c>
      <c r="C5371" s="5">
        <v>1.01829302891649E-10</v>
      </c>
      <c r="D5371" s="6">
        <v>5.9130561043089201E-10</v>
      </c>
      <c r="E5371" s="3" t="s">
        <v>6810</v>
      </c>
      <c r="F5371" s="3" t="s">
        <v>6811</v>
      </c>
      <c r="G5371" s="3">
        <v>217864</v>
      </c>
      <c r="H5371" s="7" t="str">
        <f>HYPERLINK("http://www.ensembl.org/Mus_musculus/Gene/Summary?db=core;g=ENSMUSG00000037896","ENSMUSG00000037896")</f>
        <v>ENSMUSG00000037896</v>
      </c>
      <c r="I5371" s="7" t="str">
        <f>HYPERLINK("http://www.informatics.jax.org/marker/MGI:106340","MGI:106340")</f>
        <v>MGI:106340</v>
      </c>
      <c r="J5371" s="4" t="s">
        <v>12</v>
      </c>
    </row>
    <row r="5372" spans="1:10" x14ac:dyDescent="0.25">
      <c r="A5372" s="2">
        <v>1082.32394047466</v>
      </c>
      <c r="B5372" s="3">
        <v>-0.34922256723921002</v>
      </c>
      <c r="C5372" s="5">
        <v>4.4726373503532597E-6</v>
      </c>
      <c r="D5372" s="6">
        <v>1.7341802703296599E-5</v>
      </c>
      <c r="E5372" s="3" t="s">
        <v>10186</v>
      </c>
      <c r="F5372" s="3" t="s">
        <v>10187</v>
      </c>
      <c r="G5372" s="3">
        <v>72313</v>
      </c>
      <c r="H5372" s="7" t="str">
        <f>HYPERLINK("http://www.ensembl.org/Mus_musculus/Gene/Summary?db=core;g=ENSMUSG00000070733","ENSMUSG00000070733")</f>
        <v>ENSMUSG00000070733</v>
      </c>
      <c r="I5372" s="7" t="str">
        <f>HYPERLINK("http://www.informatics.jax.org/marker/MGI:1919563","MGI:1919563")</f>
        <v>MGI:1919563</v>
      </c>
      <c r="J5372" s="4" t="s">
        <v>12</v>
      </c>
    </row>
    <row r="5373" spans="1:10" x14ac:dyDescent="0.25">
      <c r="A5373" s="2">
        <v>3450.44476447344</v>
      </c>
      <c r="B5373" s="3">
        <v>-0.34923721980147998</v>
      </c>
      <c r="C5373" s="3">
        <v>1.15218135551351E-2</v>
      </c>
      <c r="D5373" s="4">
        <v>2.8287481057396199E-2</v>
      </c>
      <c r="E5373" s="3" t="s">
        <v>16069</v>
      </c>
      <c r="F5373" s="3" t="s">
        <v>16070</v>
      </c>
      <c r="G5373" s="3">
        <v>15170</v>
      </c>
      <c r="H5373" s="7" t="str">
        <f>HYPERLINK("http://www.ensembl.org/Mus_musculus/Gene/Summary?db=core;g=ENSMUSG00000004266","ENSMUSG00000004266")</f>
        <v>ENSMUSG00000004266</v>
      </c>
      <c r="I5373" s="7" t="str">
        <f>HYPERLINK("http://www.informatics.jax.org/marker/MGI:96055","MGI:96055")</f>
        <v>MGI:96055</v>
      </c>
      <c r="J5373" s="4" t="s">
        <v>12</v>
      </c>
    </row>
    <row r="5374" spans="1:10" x14ac:dyDescent="0.25">
      <c r="A5374" s="2">
        <v>326.307416798227</v>
      </c>
      <c r="B5374" s="3">
        <v>-0.349296403969585</v>
      </c>
      <c r="C5374" s="5">
        <v>2.1549508739400701E-5</v>
      </c>
      <c r="D5374" s="6">
        <v>7.8131331557452095E-5</v>
      </c>
      <c r="E5374" s="3" t="s">
        <v>10890</v>
      </c>
      <c r="F5374" s="3" t="s">
        <v>10891</v>
      </c>
      <c r="G5374" s="3">
        <v>50773</v>
      </c>
      <c r="H5374" s="7" t="str">
        <f>HYPERLINK("http://www.ensembl.org/Mus_musculus/Gene/Summary?db=core;g=ENSMUSG00000020736","ENSMUSG00000020736")</f>
        <v>ENSMUSG00000020736</v>
      </c>
      <c r="I5374" s="7" t="str">
        <f>HYPERLINK("http://www.informatics.jax.org/marker/MGI:1354954","MGI:1354954")</f>
        <v>MGI:1354954</v>
      </c>
      <c r="J5374" s="4" t="s">
        <v>12</v>
      </c>
    </row>
    <row r="5375" spans="1:10" x14ac:dyDescent="0.25">
      <c r="A5375" s="2">
        <v>3009.5500794065902</v>
      </c>
      <c r="B5375" s="3">
        <v>-0.34935094277267298</v>
      </c>
      <c r="C5375" s="5">
        <v>1.3325373310423999E-8</v>
      </c>
      <c r="D5375" s="6">
        <v>6.52860525916924E-8</v>
      </c>
      <c r="E5375" s="3" t="s">
        <v>8067</v>
      </c>
      <c r="F5375" s="3" t="s">
        <v>8068</v>
      </c>
      <c r="G5375" s="3">
        <v>269951</v>
      </c>
      <c r="H5375" s="7" t="str">
        <f>HYPERLINK("http://www.ensembl.org/Mus_musculus/Gene/Summary?db=core;g=ENSMUSG00000030541","ENSMUSG00000030541")</f>
        <v>ENSMUSG00000030541</v>
      </c>
      <c r="I5375" s="7" t="str">
        <f>HYPERLINK("http://www.informatics.jax.org/marker/MGI:96414","MGI:96414")</f>
        <v>MGI:96414</v>
      </c>
      <c r="J5375" s="4" t="s">
        <v>12</v>
      </c>
    </row>
    <row r="5376" spans="1:10" x14ac:dyDescent="0.25">
      <c r="A5376" s="2">
        <v>1100.1844956805301</v>
      </c>
      <c r="B5376" s="3">
        <v>-0.34938629549808797</v>
      </c>
      <c r="C5376" s="5">
        <v>1.87784577432956E-10</v>
      </c>
      <c r="D5376" s="6">
        <v>1.0684108098609E-9</v>
      </c>
      <c r="E5376" s="3" t="s">
        <v>6950</v>
      </c>
      <c r="F5376" s="3" t="s">
        <v>6951</v>
      </c>
      <c r="G5376" s="3">
        <v>70470</v>
      </c>
      <c r="H5376" s="7" t="str">
        <f>HYPERLINK("http://www.ensembl.org/Mus_musculus/Gene/Summary?db=core;g=ENSMUSG00000027651","ENSMUSG00000027651")</f>
        <v>ENSMUSG00000027651</v>
      </c>
      <c r="I5376" s="7" t="str">
        <f>HYPERLINK("http://www.informatics.jax.org/marker/MGI:1917720","MGI:1917720")</f>
        <v>MGI:1917720</v>
      </c>
      <c r="J5376" s="4" t="s">
        <v>12</v>
      </c>
    </row>
    <row r="5377" spans="1:10" x14ac:dyDescent="0.25">
      <c r="A5377" s="2">
        <v>1096.7746711272</v>
      </c>
      <c r="B5377" s="3">
        <v>-0.34970060608200398</v>
      </c>
      <c r="C5377" s="5">
        <v>5.0360982098319495E-7</v>
      </c>
      <c r="D5377" s="6">
        <v>2.1477477659577399E-6</v>
      </c>
      <c r="E5377" s="3" t="s">
        <v>9263</v>
      </c>
      <c r="F5377" s="3" t="s">
        <v>9264</v>
      </c>
      <c r="G5377" s="3">
        <v>14904</v>
      </c>
      <c r="H5377" s="7" t="str">
        <f>HYPERLINK("http://www.ensembl.org/Mus_musculus/Gene/Summary?db=core;g=ENSMUSG00000042535","ENSMUSG00000042535")</f>
        <v>ENSMUSG00000042535</v>
      </c>
      <c r="I5377" s="7" t="str">
        <f>HYPERLINK("http://www.informatics.jax.org/marker/MGI:109443","MGI:109443")</f>
        <v>MGI:109443</v>
      </c>
      <c r="J5377" s="4" t="s">
        <v>12</v>
      </c>
    </row>
    <row r="5378" spans="1:10" x14ac:dyDescent="0.25">
      <c r="A5378" s="2">
        <v>1036.14791695338</v>
      </c>
      <c r="B5378" s="3">
        <v>-0.35024937052305799</v>
      </c>
      <c r="C5378" s="5">
        <v>6.9578682085480806E-5</v>
      </c>
      <c r="D5378" s="4">
        <v>2.38541656941182E-4</v>
      </c>
      <c r="E5378" s="3" t="s">
        <v>11515</v>
      </c>
      <c r="F5378" s="3" t="s">
        <v>11516</v>
      </c>
      <c r="G5378" s="3">
        <v>14043</v>
      </c>
      <c r="H5378" s="7" t="str">
        <f>HYPERLINK("http://www.ensembl.org/Mus_musculus/Gene/Summary?db=core;g=ENSMUSG00000027198","ENSMUSG00000027198")</f>
        <v>ENSMUSG00000027198</v>
      </c>
      <c r="I5378" s="7" t="str">
        <f>HYPERLINK("http://www.informatics.jax.org/marker/MGI:108050","MGI:108050")</f>
        <v>MGI:108050</v>
      </c>
      <c r="J5378" s="4" t="s">
        <v>12</v>
      </c>
    </row>
    <row r="5379" spans="1:10" x14ac:dyDescent="0.25">
      <c r="A5379" s="2">
        <v>176.54909824020001</v>
      </c>
      <c r="B5379" s="3">
        <v>-0.35027458539058398</v>
      </c>
      <c r="C5379" s="3">
        <v>7.23337274917223E-4</v>
      </c>
      <c r="D5379" s="4">
        <v>2.1740910015801899E-3</v>
      </c>
      <c r="E5379" s="3" t="s">
        <v>13131</v>
      </c>
      <c r="F5379" s="3" t="s">
        <v>13132</v>
      </c>
      <c r="G5379" s="3">
        <v>103850</v>
      </c>
      <c r="H5379" s="7" t="str">
        <f>HYPERLINK("http://www.ensembl.org/Mus_musculus/Gene/Summary?db=core;g=ENSMUSG00000032615","ENSMUSG00000032615")</f>
        <v>ENSMUSG00000032615</v>
      </c>
      <c r="I5379" s="7" t="str">
        <f>HYPERLINK("http://www.informatics.jax.org/marker/MGI:1917127","MGI:1917127")</f>
        <v>MGI:1917127</v>
      </c>
      <c r="J5379" s="4" t="s">
        <v>12</v>
      </c>
    </row>
    <row r="5380" spans="1:10" x14ac:dyDescent="0.25">
      <c r="A5380" s="2">
        <v>106.17406531099201</v>
      </c>
      <c r="B5380" s="3">
        <v>-0.35047506342960799</v>
      </c>
      <c r="C5380" s="3">
        <v>1.05706043696787E-2</v>
      </c>
      <c r="D5380" s="4">
        <v>2.61611845092952E-2</v>
      </c>
      <c r="E5380" s="3" t="s">
        <v>15941</v>
      </c>
      <c r="F5380" s="3" t="s">
        <v>15942</v>
      </c>
      <c r="G5380" s="3" t="s">
        <v>83</v>
      </c>
      <c r="H5380" s="7" t="str">
        <f>HYPERLINK("http://www.ensembl.org/Mus_musculus/Gene/Summary?db=core;g=ENSMUSG00000102353","ENSMUSG00000102353")</f>
        <v>ENSMUSG00000102353</v>
      </c>
      <c r="I5380" s="7" t="str">
        <f>HYPERLINK("http://www.informatics.jax.org/marker/MGI:5611573","MGI:5611573")</f>
        <v>MGI:5611573</v>
      </c>
      <c r="J5380" s="4" t="s">
        <v>1828</v>
      </c>
    </row>
    <row r="5381" spans="1:10" x14ac:dyDescent="0.25">
      <c r="A5381" s="2">
        <v>867.20711954893</v>
      </c>
      <c r="B5381" s="3">
        <v>-0.35065753971193703</v>
      </c>
      <c r="C5381" s="5">
        <v>4.8386789240981003E-9</v>
      </c>
      <c r="D5381" s="6">
        <v>2.46051439874199E-8</v>
      </c>
      <c r="E5381" s="3" t="s">
        <v>7772</v>
      </c>
      <c r="F5381" s="3" t="s">
        <v>7773</v>
      </c>
      <c r="G5381" s="3">
        <v>67873</v>
      </c>
      <c r="H5381" s="7" t="str">
        <f>HYPERLINK("http://www.ensembl.org/Mus_musculus/Gene/Summary?db=core;g=ENSMUSG00000004996","ENSMUSG00000004996")</f>
        <v>ENSMUSG00000004996</v>
      </c>
      <c r="I5381" s="7" t="str">
        <f>HYPERLINK("http://www.informatics.jax.org/marker/MGI:1915123","MGI:1915123")</f>
        <v>MGI:1915123</v>
      </c>
      <c r="J5381" s="4" t="s">
        <v>12</v>
      </c>
    </row>
    <row r="5382" spans="1:10" x14ac:dyDescent="0.25">
      <c r="A5382" s="2">
        <v>1036.8713183197499</v>
      </c>
      <c r="B5382" s="3">
        <v>-0.35066522083031298</v>
      </c>
      <c r="C5382" s="5">
        <v>3.8912253001041003E-6</v>
      </c>
      <c r="D5382" s="6">
        <v>1.5186020763517301E-5</v>
      </c>
      <c r="E5382" s="3" t="s">
        <v>10122</v>
      </c>
      <c r="F5382" s="3" t="s">
        <v>10123</v>
      </c>
      <c r="G5382" s="3">
        <v>216860</v>
      </c>
      <c r="H5382" s="7" t="str">
        <f>HYPERLINK("http://www.ensembl.org/Mus_musculus/Gene/Summary?db=core;g=ENSMUSG00000047284","ENSMUSG00000047284")</f>
        <v>ENSMUSG00000047284</v>
      </c>
      <c r="I5382" s="7" t="str">
        <f>HYPERLINK("http://www.informatics.jax.org/marker/MGI:1921092","MGI:1921092")</f>
        <v>MGI:1921092</v>
      </c>
      <c r="J5382" s="4" t="s">
        <v>12</v>
      </c>
    </row>
    <row r="5383" spans="1:10" x14ac:dyDescent="0.25">
      <c r="A5383" s="2">
        <v>368.04318120921198</v>
      </c>
      <c r="B5383" s="3">
        <v>-0.35073145949033102</v>
      </c>
      <c r="C5383" s="3">
        <v>4.1468415107916401E-4</v>
      </c>
      <c r="D5383" s="4">
        <v>1.2898377696027E-3</v>
      </c>
      <c r="E5383" s="3" t="s">
        <v>12693</v>
      </c>
      <c r="F5383" s="3" t="s">
        <v>12694</v>
      </c>
      <c r="G5383" s="3">
        <v>72392</v>
      </c>
      <c r="H5383" s="7" t="str">
        <f>HYPERLINK("http://www.ensembl.org/Mus_musculus/Gene/Summary?db=core;g=ENSMUSG00000013495","ENSMUSG00000013495")</f>
        <v>ENSMUSG00000013495</v>
      </c>
      <c r="I5383" s="7" t="str">
        <f>HYPERLINK("http://www.informatics.jax.org/marker/MGI:1919642","MGI:1919642")</f>
        <v>MGI:1919642</v>
      </c>
      <c r="J5383" s="4" t="s">
        <v>12</v>
      </c>
    </row>
    <row r="5384" spans="1:10" x14ac:dyDescent="0.25">
      <c r="A5384" s="2">
        <v>753.803624035089</v>
      </c>
      <c r="B5384" s="3">
        <v>-0.35088292648636299</v>
      </c>
      <c r="C5384" s="5">
        <v>4.2718014074516997E-5</v>
      </c>
      <c r="D5384" s="4">
        <v>1.4983977900204099E-4</v>
      </c>
      <c r="E5384" s="3" t="s">
        <v>11255</v>
      </c>
      <c r="F5384" s="3" t="s">
        <v>11256</v>
      </c>
      <c r="G5384" s="3">
        <v>72308</v>
      </c>
      <c r="H5384" s="7" t="str">
        <f>HYPERLINK("http://www.ensembl.org/Mus_musculus/Gene/Summary?db=core;g=ENSMUSG00000011158","ENSMUSG00000011158")</f>
        <v>ENSMUSG00000011158</v>
      </c>
      <c r="I5384" s="7" t="str">
        <f>HYPERLINK("http://www.informatics.jax.org/marker/MGI:1919558","MGI:1919558")</f>
        <v>MGI:1919558</v>
      </c>
      <c r="J5384" s="4" t="s">
        <v>12</v>
      </c>
    </row>
    <row r="5385" spans="1:10" x14ac:dyDescent="0.25">
      <c r="A5385" s="2">
        <v>2351.72446184623</v>
      </c>
      <c r="B5385" s="3">
        <v>-0.351731369023837</v>
      </c>
      <c r="C5385" s="5">
        <v>2.94419533097199E-12</v>
      </c>
      <c r="D5385" s="6">
        <v>1.9237750804098002E-11</v>
      </c>
      <c r="E5385" s="3" t="s">
        <v>6053</v>
      </c>
      <c r="F5385" s="3" t="s">
        <v>6054</v>
      </c>
      <c r="G5385" s="3">
        <v>106529</v>
      </c>
      <c r="H5385" s="7" t="str">
        <f>HYPERLINK("http://www.ensembl.org/Mus_musculus/Gene/Summary?db=core;g=ENSMUSG00000031708","ENSMUSG00000031708")</f>
        <v>ENSMUSG00000031708</v>
      </c>
      <c r="I5385" s="7" t="str">
        <f>HYPERLINK("http://www.informatics.jax.org/marker/MGI:1915408","MGI:1915408")</f>
        <v>MGI:1915408</v>
      </c>
      <c r="J5385" s="4" t="s">
        <v>12</v>
      </c>
    </row>
    <row r="5386" spans="1:10" x14ac:dyDescent="0.25">
      <c r="A5386" s="2">
        <v>664.87643083577098</v>
      </c>
      <c r="B5386" s="3">
        <v>-0.35192876572235898</v>
      </c>
      <c r="C5386" s="5">
        <v>3.3993886923364099E-10</v>
      </c>
      <c r="D5386" s="6">
        <v>1.8926014966932201E-9</v>
      </c>
      <c r="E5386" s="3" t="s">
        <v>7102</v>
      </c>
      <c r="F5386" s="3" t="s">
        <v>7103</v>
      </c>
      <c r="G5386" s="3">
        <v>218885</v>
      </c>
      <c r="H5386" s="7" t="str">
        <f>HYPERLINK("http://www.ensembl.org/Mus_musculus/Gene/Summary?db=core;g=ENSMUSG00000021906","ENSMUSG00000021906")</f>
        <v>ENSMUSG00000021906</v>
      </c>
      <c r="I5386" s="7" t="str">
        <f>HYPERLINK("http://www.informatics.jax.org/marker/MGI:1916953","MGI:1916953")</f>
        <v>MGI:1916953</v>
      </c>
      <c r="J5386" s="4" t="s">
        <v>12</v>
      </c>
    </row>
    <row r="5387" spans="1:10" x14ac:dyDescent="0.25">
      <c r="A5387" s="2">
        <v>1460.50071650109</v>
      </c>
      <c r="B5387" s="3">
        <v>-0.352265446917575</v>
      </c>
      <c r="C5387" s="5">
        <v>1.04504880165171E-6</v>
      </c>
      <c r="D5387" s="6">
        <v>4.31408046233447E-6</v>
      </c>
      <c r="E5387" s="3" t="s">
        <v>9569</v>
      </c>
      <c r="F5387" s="3" t="s">
        <v>9570</v>
      </c>
      <c r="G5387" s="3">
        <v>77044</v>
      </c>
      <c r="H5387" s="7" t="str">
        <f>HYPERLINK("http://www.ensembl.org/Mus_musculus/Gene/Summary?db=core;g=ENSMUSG00000033237","ENSMUSG00000033237")</f>
        <v>ENSMUSG00000033237</v>
      </c>
      <c r="I5387" s="7" t="str">
        <f>HYPERLINK("http://www.informatics.jax.org/marker/MGI:1924294","MGI:1924294")</f>
        <v>MGI:1924294</v>
      </c>
      <c r="J5387" s="4" t="s">
        <v>12</v>
      </c>
    </row>
    <row r="5388" spans="1:10" x14ac:dyDescent="0.25">
      <c r="A5388" s="2">
        <v>452.15777505180898</v>
      </c>
      <c r="B5388" s="3">
        <v>-0.352496242221573</v>
      </c>
      <c r="C5388" s="5">
        <v>1.7885793018777899E-5</v>
      </c>
      <c r="D5388" s="6">
        <v>6.5364684642383306E-5</v>
      </c>
      <c r="E5388" s="3" t="s">
        <v>10804</v>
      </c>
      <c r="F5388" s="3" t="s">
        <v>10805</v>
      </c>
      <c r="G5388" s="3">
        <v>72672</v>
      </c>
      <c r="H5388" s="7" t="str">
        <f>HYPERLINK("http://www.ensembl.org/Mus_musculus/Gene/Summary?db=core;g=ENSMUSG00000049164","ENSMUSG00000049164")</f>
        <v>ENSMUSG00000049164</v>
      </c>
      <c r="I5388" s="7" t="str">
        <f>HYPERLINK("http://www.informatics.jax.org/marker/MGI:1919922","MGI:1919922")</f>
        <v>MGI:1919922</v>
      </c>
      <c r="J5388" s="4" t="s">
        <v>12</v>
      </c>
    </row>
    <row r="5389" spans="1:10" x14ac:dyDescent="0.25">
      <c r="A5389" s="2">
        <v>1759.7778880450801</v>
      </c>
      <c r="B5389" s="3">
        <v>-0.35258594784511499</v>
      </c>
      <c r="C5389" s="5">
        <v>5.73721045128654E-6</v>
      </c>
      <c r="D5389" s="6">
        <v>2.2024097741750201E-5</v>
      </c>
      <c r="E5389" s="3" t="s">
        <v>10288</v>
      </c>
      <c r="F5389" s="3" t="s">
        <v>10289</v>
      </c>
      <c r="G5389" s="3">
        <v>16558</v>
      </c>
      <c r="H5389" s="7" t="str">
        <f>HYPERLINK("http://www.ensembl.org/Mus_musculus/Gene/Summary?db=core;g=ENSMUSG00000038844","ENSMUSG00000038844")</f>
        <v>ENSMUSG00000038844</v>
      </c>
      <c r="I5389" s="7" t="str">
        <f>HYPERLINK("http://www.informatics.jax.org/marker/MGI:1098240","MGI:1098240")</f>
        <v>MGI:1098240</v>
      </c>
      <c r="J5389" s="4" t="s">
        <v>12</v>
      </c>
    </row>
    <row r="5390" spans="1:10" x14ac:dyDescent="0.25">
      <c r="A5390" s="2">
        <v>1611.5910449251101</v>
      </c>
      <c r="B5390" s="3">
        <v>-0.35268805982791901</v>
      </c>
      <c r="C5390" s="5">
        <v>1.2043111021742301E-9</v>
      </c>
      <c r="D5390" s="6">
        <v>6.4221241035359103E-9</v>
      </c>
      <c r="E5390" s="3" t="s">
        <v>7414</v>
      </c>
      <c r="F5390" s="3" t="s">
        <v>7415</v>
      </c>
      <c r="G5390" s="3">
        <v>18711</v>
      </c>
      <c r="H5390" s="7" t="str">
        <f>HYPERLINK("http://www.ensembl.org/Mus_musculus/Gene/Summary?db=core;g=ENSMUSG00000025949","ENSMUSG00000025949")</f>
        <v>ENSMUSG00000025949</v>
      </c>
      <c r="I5390" s="7" t="str">
        <f>HYPERLINK("http://www.informatics.jax.org/marker/MGI:1335106","MGI:1335106")</f>
        <v>MGI:1335106</v>
      </c>
      <c r="J5390" s="4" t="s">
        <v>12</v>
      </c>
    </row>
    <row r="5391" spans="1:10" x14ac:dyDescent="0.25">
      <c r="A5391" s="2">
        <v>849.51670326989301</v>
      </c>
      <c r="B5391" s="3">
        <v>-0.35293739710371602</v>
      </c>
      <c r="C5391" s="3">
        <v>2.3215706121659899E-4</v>
      </c>
      <c r="D5391" s="4">
        <v>7.4793942937286895E-4</v>
      </c>
      <c r="E5391" s="3" t="s">
        <v>12253</v>
      </c>
      <c r="F5391" s="3" t="s">
        <v>12254</v>
      </c>
      <c r="G5391" s="3">
        <v>223754</v>
      </c>
      <c r="H5391" s="7" t="str">
        <f>HYPERLINK("http://www.ensembl.org/Mus_musculus/Gene/Summary?db=core;g=ENSMUSG00000051864","ENSMUSG00000051864")</f>
        <v>ENSMUSG00000051864</v>
      </c>
      <c r="I5391" s="7" t="str">
        <f>HYPERLINK("http://www.informatics.jax.org/marker/MGI:1289265","MGI:1289265")</f>
        <v>MGI:1289265</v>
      </c>
      <c r="J5391" s="4" t="s">
        <v>12</v>
      </c>
    </row>
    <row r="5392" spans="1:10" x14ac:dyDescent="0.25">
      <c r="A5392" s="2">
        <v>471.08625003622001</v>
      </c>
      <c r="B5392" s="3">
        <v>-0.35304194947616702</v>
      </c>
      <c r="C5392" s="5">
        <v>5.2036028360791398E-5</v>
      </c>
      <c r="D5392" s="4">
        <v>1.8097892050702099E-4</v>
      </c>
      <c r="E5392" s="3" t="s">
        <v>11351</v>
      </c>
      <c r="F5392" s="3" t="s">
        <v>11352</v>
      </c>
      <c r="G5392" s="3">
        <v>66246</v>
      </c>
      <c r="H5392" s="7" t="str">
        <f>HYPERLINK("http://www.ensembl.org/Mus_musculus/Gene/Summary?db=core;g=ENSMUSG00000006289","ENSMUSG00000006289")</f>
        <v>ENSMUSG00000006289</v>
      </c>
      <c r="I5392" s="7" t="str">
        <f>HYPERLINK("http://www.informatics.jax.org/marker/MGI:1913496","MGI:1913496")</f>
        <v>MGI:1913496</v>
      </c>
      <c r="J5392" s="4" t="s">
        <v>12</v>
      </c>
    </row>
    <row r="5393" spans="1:10" x14ac:dyDescent="0.25">
      <c r="A5393" s="2">
        <v>2083.9611285574001</v>
      </c>
      <c r="B5393" s="3">
        <v>-0.35311679563977899</v>
      </c>
      <c r="C5393" s="5">
        <v>2.81230456403885E-14</v>
      </c>
      <c r="D5393" s="6">
        <v>2.0771028465485399E-13</v>
      </c>
      <c r="E5393" s="3" t="s">
        <v>5357</v>
      </c>
      <c r="F5393" s="3" t="s">
        <v>5358</v>
      </c>
      <c r="G5393" s="3">
        <v>14712</v>
      </c>
      <c r="H5393" s="7" t="str">
        <f>HYPERLINK("http://www.ensembl.org/Mus_musculus/Gene/Summary?db=core;g=ENSMUSG00000031985","ENSMUSG00000031985")</f>
        <v>ENSMUSG00000031985</v>
      </c>
      <c r="I5393" s="7" t="str">
        <f>HYPERLINK("http://www.informatics.jax.org/marker/MGI:1343460","MGI:1343460")</f>
        <v>MGI:1343460</v>
      </c>
      <c r="J5393" s="4" t="s">
        <v>12</v>
      </c>
    </row>
    <row r="5394" spans="1:10" x14ac:dyDescent="0.25">
      <c r="A5394" s="2">
        <v>628.87689891919297</v>
      </c>
      <c r="B5394" s="3">
        <v>-0.35342538396709899</v>
      </c>
      <c r="C5394" s="5">
        <v>1.1780752361302499E-5</v>
      </c>
      <c r="D5394" s="6">
        <v>4.3833289917902699E-5</v>
      </c>
      <c r="E5394" s="3" t="s">
        <v>10613</v>
      </c>
      <c r="F5394" s="3" t="s">
        <v>10614</v>
      </c>
      <c r="G5394" s="3">
        <v>66880</v>
      </c>
      <c r="H5394" s="7" t="str">
        <f>HYPERLINK("http://www.ensembl.org/Mus_musculus/Gene/Summary?db=core;g=ENSMUSG00000034544","ENSMUSG00000034544")</f>
        <v>ENSMUSG00000034544</v>
      </c>
      <c r="I5394" s="7" t="str">
        <f>HYPERLINK("http://www.informatics.jax.org/marker/MGI:1914130","MGI:1914130")</f>
        <v>MGI:1914130</v>
      </c>
      <c r="J5394" s="4" t="s">
        <v>12</v>
      </c>
    </row>
    <row r="5395" spans="1:10" x14ac:dyDescent="0.25">
      <c r="A5395" s="2">
        <v>713.79446686797996</v>
      </c>
      <c r="B5395" s="3">
        <v>-0.35386394572212199</v>
      </c>
      <c r="C5395" s="5">
        <v>1.10285207793022E-5</v>
      </c>
      <c r="D5395" s="6">
        <v>4.1127539668653598E-5</v>
      </c>
      <c r="E5395" s="3" t="s">
        <v>10589</v>
      </c>
      <c r="F5395" s="3" t="s">
        <v>10590</v>
      </c>
      <c r="G5395" s="3">
        <v>69101</v>
      </c>
      <c r="H5395" s="7" t="str">
        <f>HYPERLINK("http://www.ensembl.org/Mus_musculus/Gene/Summary?db=core;g=ENSMUSG00000041774","ENSMUSG00000041774")</f>
        <v>ENSMUSG00000041774</v>
      </c>
      <c r="I5395" s="7" t="str">
        <f>HYPERLINK("http://www.informatics.jax.org/marker/MGI:1916351","MGI:1916351")</f>
        <v>MGI:1916351</v>
      </c>
      <c r="J5395" s="4" t="s">
        <v>12</v>
      </c>
    </row>
    <row r="5396" spans="1:10" x14ac:dyDescent="0.25">
      <c r="A5396" s="2">
        <v>148.23147246136099</v>
      </c>
      <c r="B5396" s="3">
        <v>-0.35424086460485998</v>
      </c>
      <c r="C5396" s="3">
        <v>5.1453794934038502E-3</v>
      </c>
      <c r="D5396" s="4">
        <v>1.3585069434987799E-2</v>
      </c>
      <c r="E5396" s="3" t="s">
        <v>14942</v>
      </c>
      <c r="F5396" s="3" t="s">
        <v>14943</v>
      </c>
      <c r="G5396" s="3">
        <v>100040608</v>
      </c>
      <c r="H5396" s="7" t="str">
        <f>HYPERLINK("http://www.ensembl.org/Mus_musculus/Gene/Summary?db=core;g=ENSMUSG00000092118","ENSMUSG00000092118")</f>
        <v>ENSMUSG00000092118</v>
      </c>
      <c r="I5396" s="7" t="str">
        <f>HYPERLINK("http://www.informatics.jax.org/marker/MGI:3689889","MGI:3689889")</f>
        <v>MGI:3689889</v>
      </c>
      <c r="J5396" s="4" t="s">
        <v>12</v>
      </c>
    </row>
    <row r="5397" spans="1:10" x14ac:dyDescent="0.25">
      <c r="A5397" s="2">
        <v>2485.55834067257</v>
      </c>
      <c r="B5397" s="3">
        <v>-0.35431592057296502</v>
      </c>
      <c r="C5397" s="5">
        <v>1.4061342897188501E-10</v>
      </c>
      <c r="D5397" s="6">
        <v>8.0889638836801899E-10</v>
      </c>
      <c r="E5397" s="3" t="s">
        <v>6874</v>
      </c>
      <c r="F5397" s="3" t="s">
        <v>6875</v>
      </c>
      <c r="G5397" s="3">
        <v>223739</v>
      </c>
      <c r="H5397" s="7" t="str">
        <f>HYPERLINK("http://www.ensembl.org/Mus_musculus/Gene/Summary?db=core;g=ENSMUSG00000036046","ENSMUSG00000036046")</f>
        <v>ENSMUSG00000036046</v>
      </c>
      <c r="I5397" s="7" t="str">
        <f>HYPERLINK("http://www.informatics.jax.org/marker/MGI:2444899","MGI:2444899")</f>
        <v>MGI:2444899</v>
      </c>
      <c r="J5397" s="4" t="s">
        <v>12</v>
      </c>
    </row>
    <row r="5398" spans="1:10" x14ac:dyDescent="0.25">
      <c r="A5398" s="2">
        <v>806.41556029890103</v>
      </c>
      <c r="B5398" s="3">
        <v>-0.35434034344057003</v>
      </c>
      <c r="C5398" s="5">
        <v>6.3361323734225498E-12</v>
      </c>
      <c r="D5398" s="6">
        <v>4.0254036856924199E-11</v>
      </c>
      <c r="E5398" s="3" t="s">
        <v>6225</v>
      </c>
      <c r="F5398" s="3" t="s">
        <v>6226</v>
      </c>
      <c r="G5398" s="3">
        <v>70998</v>
      </c>
      <c r="H5398" s="7" t="str">
        <f>HYPERLINK("http://www.ensembl.org/Mus_musculus/Gene/Summary?db=core;g=ENSMUSG00000025626","ENSMUSG00000025626")</f>
        <v>ENSMUSG00000025626</v>
      </c>
      <c r="I5398" s="7" t="str">
        <f>HYPERLINK("http://www.informatics.jax.org/marker/MGI:1918248","MGI:1918248")</f>
        <v>MGI:1918248</v>
      </c>
      <c r="J5398" s="4" t="s">
        <v>12</v>
      </c>
    </row>
    <row r="5399" spans="1:10" x14ac:dyDescent="0.25">
      <c r="A5399" s="2">
        <v>1028.58715298168</v>
      </c>
      <c r="B5399" s="3">
        <v>-0.35480685924358302</v>
      </c>
      <c r="C5399" s="5">
        <v>6.4920450431675202E-9</v>
      </c>
      <c r="D5399" s="6">
        <v>3.2683974534404801E-8</v>
      </c>
      <c r="E5399" s="3" t="s">
        <v>7850</v>
      </c>
      <c r="F5399" s="3" t="s">
        <v>7851</v>
      </c>
      <c r="G5399" s="3">
        <v>20662</v>
      </c>
      <c r="H5399" s="7" t="str">
        <f>HYPERLINK("http://www.ensembl.org/Mus_musculus/Gene/Summary?db=core;g=ENSMUSG00000024241","ENSMUSG00000024241")</f>
        <v>ENSMUSG00000024241</v>
      </c>
      <c r="I5399" s="7" t="str">
        <f>HYPERLINK("http://www.informatics.jax.org/marker/MGI:98354","MGI:98354")</f>
        <v>MGI:98354</v>
      </c>
      <c r="J5399" s="4" t="s">
        <v>12</v>
      </c>
    </row>
    <row r="5400" spans="1:10" x14ac:dyDescent="0.25">
      <c r="A5400" s="2">
        <v>134.90031472825399</v>
      </c>
      <c r="B5400" s="3">
        <v>-0.35509849450428899</v>
      </c>
      <c r="C5400" s="3">
        <v>2.6297478876665301E-3</v>
      </c>
      <c r="D5400" s="4">
        <v>7.28146986026172E-3</v>
      </c>
      <c r="E5400" s="3" t="s">
        <v>14251</v>
      </c>
      <c r="F5400" s="3" t="s">
        <v>14252</v>
      </c>
      <c r="G5400" s="3">
        <v>64295</v>
      </c>
      <c r="H5400" s="7" t="str">
        <f>HYPERLINK("http://www.ensembl.org/Mus_musculus/Gene/Summary?db=core;g=ENSMUSG00000028958","ENSMUSG00000028958")</f>
        <v>ENSMUSG00000028958</v>
      </c>
      <c r="I5400" s="7" t="str">
        <f>HYPERLINK("http://www.informatics.jax.org/marker/MGI:1923764","MGI:1923764")</f>
        <v>MGI:1923764</v>
      </c>
      <c r="J5400" s="4" t="s">
        <v>12</v>
      </c>
    </row>
    <row r="5401" spans="1:10" x14ac:dyDescent="0.25">
      <c r="A5401" s="2">
        <v>141.396008590918</v>
      </c>
      <c r="B5401" s="3">
        <v>-0.35512047986377498</v>
      </c>
      <c r="C5401" s="3">
        <v>6.9041848602569801E-3</v>
      </c>
      <c r="D5401" s="4">
        <v>1.7744106013849601E-2</v>
      </c>
      <c r="E5401" s="3" t="s">
        <v>15349</v>
      </c>
      <c r="F5401" s="3" t="s">
        <v>15350</v>
      </c>
      <c r="G5401" s="3" t="s">
        <v>83</v>
      </c>
      <c r="H5401" s="7" t="str">
        <f>HYPERLINK("http://www.ensembl.org/Mus_musculus/Gene/Summary?db=core;g=ENSMUSG00000048106","ENSMUSG00000048106")</f>
        <v>ENSMUSG00000048106</v>
      </c>
      <c r="I5401" s="7" t="str">
        <f>HYPERLINK("http://www.informatics.jax.org/marker/MGI:1918058","MGI:1918058")</f>
        <v>MGI:1918058</v>
      </c>
      <c r="J5401" s="4" t="s">
        <v>320</v>
      </c>
    </row>
    <row r="5402" spans="1:10" x14ac:dyDescent="0.25">
      <c r="A5402" s="2">
        <v>1117.0666532827099</v>
      </c>
      <c r="B5402" s="3">
        <v>-0.35539328362577199</v>
      </c>
      <c r="C5402" s="5">
        <v>4.0087376727468702E-8</v>
      </c>
      <c r="D5402" s="6">
        <v>1.8759446347073601E-7</v>
      </c>
      <c r="E5402" s="3" t="s">
        <v>8445</v>
      </c>
      <c r="F5402" s="3" t="s">
        <v>8446</v>
      </c>
      <c r="G5402" s="3">
        <v>13498</v>
      </c>
      <c r="H5402" s="7" t="str">
        <f>HYPERLINK("http://www.ensembl.org/Mus_musculus/Gene/Summary?db=core;g=ENSMUSG00000004263","ENSMUSG00000004263")</f>
        <v>ENSMUSG00000004263</v>
      </c>
      <c r="I5402" s="7" t="str">
        <f>HYPERLINK("http://www.informatics.jax.org/marker/MGI:104725","MGI:104725")</f>
        <v>MGI:104725</v>
      </c>
      <c r="J5402" s="4" t="s">
        <v>12</v>
      </c>
    </row>
    <row r="5403" spans="1:10" x14ac:dyDescent="0.25">
      <c r="A5403" s="2">
        <v>85.642612130483002</v>
      </c>
      <c r="B5403" s="3">
        <v>-0.35564917777703797</v>
      </c>
      <c r="C5403" s="3">
        <v>9.0954230856577899E-3</v>
      </c>
      <c r="D5403" s="4">
        <v>2.27992555293214E-2</v>
      </c>
      <c r="E5403" s="3" t="s">
        <v>15739</v>
      </c>
      <c r="F5403" s="3" t="s">
        <v>15740</v>
      </c>
      <c r="G5403" s="3">
        <v>338354</v>
      </c>
      <c r="H5403" s="7" t="str">
        <f>HYPERLINK("http://www.ensembl.org/Mus_musculus/Gene/Summary?db=core;g=ENSMUSG00000063047","ENSMUSG00000063047")</f>
        <v>ENSMUSG00000063047</v>
      </c>
      <c r="I5403" s="7" t="str">
        <f>HYPERLINK("http://www.informatics.jax.org/marker/MGI:2444764","MGI:2444764")</f>
        <v>MGI:2444764</v>
      </c>
      <c r="J5403" s="4" t="s">
        <v>12</v>
      </c>
    </row>
    <row r="5404" spans="1:10" x14ac:dyDescent="0.25">
      <c r="A5404" s="2">
        <v>823.34817010465497</v>
      </c>
      <c r="B5404" s="3">
        <v>-0.35607695391049898</v>
      </c>
      <c r="C5404" s="5">
        <v>3.84995935261384E-6</v>
      </c>
      <c r="D5404" s="6">
        <v>1.50339006799099E-5</v>
      </c>
      <c r="E5404" s="3" t="s">
        <v>10116</v>
      </c>
      <c r="F5404" s="3" t="s">
        <v>10117</v>
      </c>
      <c r="G5404" s="3">
        <v>17354</v>
      </c>
      <c r="H5404" s="7" t="str">
        <f>HYPERLINK("http://www.ensembl.org/Mus_musculus/Gene/Summary?db=core;g=ENSMUSG00000026743","ENSMUSG00000026743")</f>
        <v>ENSMUSG00000026743</v>
      </c>
      <c r="I5404" s="7" t="str">
        <f>HYPERLINK("http://www.informatics.jax.org/marker/MGI:1329038","MGI:1329038")</f>
        <v>MGI:1329038</v>
      </c>
      <c r="J5404" s="4" t="s">
        <v>12</v>
      </c>
    </row>
    <row r="5405" spans="1:10" x14ac:dyDescent="0.25">
      <c r="A5405" s="2">
        <v>560.08719664119997</v>
      </c>
      <c r="B5405" s="3">
        <v>-0.35652290564793898</v>
      </c>
      <c r="C5405" s="5">
        <v>4.2920467584848801E-7</v>
      </c>
      <c r="D5405" s="6">
        <v>1.84318732746781E-6</v>
      </c>
      <c r="E5405" s="3" t="s">
        <v>9199</v>
      </c>
      <c r="F5405" s="3" t="s">
        <v>9200</v>
      </c>
      <c r="G5405" s="3">
        <v>23894</v>
      </c>
      <c r="H5405" s="7" t="str">
        <f>HYPERLINK("http://www.ensembl.org/Mus_musculus/Gene/Summary?db=core;g=ENSMUSG00000021639","ENSMUSG00000021639")</f>
        <v>ENSMUSG00000021639</v>
      </c>
      <c r="I5405" s="7" t="str">
        <f>HYPERLINK("http://www.informatics.jax.org/marker/MGI:1345669","MGI:1345669")</f>
        <v>MGI:1345669</v>
      </c>
      <c r="J5405" s="4" t="s">
        <v>12</v>
      </c>
    </row>
    <row r="5406" spans="1:10" x14ac:dyDescent="0.25">
      <c r="A5406" s="2">
        <v>205.05838277051799</v>
      </c>
      <c r="B5406" s="3">
        <v>-0.35652331317673902</v>
      </c>
      <c r="C5406" s="5">
        <v>6.1106621809002895E-5</v>
      </c>
      <c r="D5406" s="4">
        <v>2.10889496337686E-4</v>
      </c>
      <c r="E5406" s="3" t="s">
        <v>11439</v>
      </c>
      <c r="F5406" s="3" t="s">
        <v>11440</v>
      </c>
      <c r="G5406" s="3">
        <v>117589</v>
      </c>
      <c r="H5406" s="7" t="str">
        <f>HYPERLINK("http://www.ensembl.org/Mus_musculus/Gene/Summary?db=core;g=ENSMUSG00000030509","ENSMUSG00000030509")</f>
        <v>ENSMUSG00000030509</v>
      </c>
      <c r="I5406" s="7" t="str">
        <f>HYPERLINK("http://www.informatics.jax.org/marker/MGI:2152835","MGI:2152835")</f>
        <v>MGI:2152835</v>
      </c>
      <c r="J5406" s="4" t="s">
        <v>12</v>
      </c>
    </row>
    <row r="5407" spans="1:10" x14ac:dyDescent="0.25">
      <c r="A5407" s="2">
        <v>291.11900458106902</v>
      </c>
      <c r="B5407" s="3">
        <v>-0.356806278264934</v>
      </c>
      <c r="C5407" s="5">
        <v>6.4808035426207398E-6</v>
      </c>
      <c r="D5407" s="6">
        <v>2.4738955838265799E-5</v>
      </c>
      <c r="E5407" s="3" t="s">
        <v>10346</v>
      </c>
      <c r="F5407" s="3" t="s">
        <v>10347</v>
      </c>
      <c r="G5407" s="3">
        <v>12234</v>
      </c>
      <c r="H5407" s="7" t="str">
        <f>HYPERLINK("http://www.ensembl.org/Mus_musculus/Gene/Summary?db=core;g=ENSMUSG00000025217","ENSMUSG00000025217")</f>
        <v>ENSMUSG00000025217</v>
      </c>
      <c r="I5407" s="7" t="str">
        <f>HYPERLINK("http://www.informatics.jax.org/marker/MGI:1338871","MGI:1338871")</f>
        <v>MGI:1338871</v>
      </c>
      <c r="J5407" s="4" t="s">
        <v>12</v>
      </c>
    </row>
    <row r="5408" spans="1:10" x14ac:dyDescent="0.25">
      <c r="A5408" s="2">
        <v>170.93472518142099</v>
      </c>
      <c r="B5408" s="3">
        <v>-0.35703008660003999</v>
      </c>
      <c r="C5408" s="3">
        <v>8.2205713767637698E-4</v>
      </c>
      <c r="D5408" s="4">
        <v>2.4539761966361098E-3</v>
      </c>
      <c r="E5408" s="3" t="s">
        <v>13221</v>
      </c>
      <c r="F5408" s="3" t="s">
        <v>13222</v>
      </c>
      <c r="G5408" s="3">
        <v>74319</v>
      </c>
      <c r="H5408" s="7" t="str">
        <f>HYPERLINK("http://www.ensembl.org/Mus_musculus/Gene/Summary?db=core;g=ENSMUSG00000090266","ENSMUSG00000090266")</f>
        <v>ENSMUSG00000090266</v>
      </c>
      <c r="I5408" s="7" t="str">
        <f>HYPERLINK("http://www.informatics.jax.org/marker/MGI:1921569","MGI:1921569")</f>
        <v>MGI:1921569</v>
      </c>
      <c r="J5408" s="4" t="s">
        <v>12</v>
      </c>
    </row>
    <row r="5409" spans="1:10" x14ac:dyDescent="0.25">
      <c r="A5409" s="2">
        <v>295.91600805904397</v>
      </c>
      <c r="B5409" s="3">
        <v>-0.357853817294494</v>
      </c>
      <c r="C5409" s="5">
        <v>6.8475265073599702E-6</v>
      </c>
      <c r="D5409" s="6">
        <v>2.60933763720075E-5</v>
      </c>
      <c r="E5409" s="3" t="s">
        <v>10364</v>
      </c>
      <c r="F5409" s="3" t="s">
        <v>10365</v>
      </c>
      <c r="G5409" s="3">
        <v>72053</v>
      </c>
      <c r="H5409" s="7" t="str">
        <f>HYPERLINK("http://www.ensembl.org/Mus_musculus/Gene/Summary?db=core;g=ENSMUSG00000034757","ENSMUSG00000034757")</f>
        <v>ENSMUSG00000034757</v>
      </c>
      <c r="I5409" s="7" t="str">
        <f>HYPERLINK("http://www.informatics.jax.org/marker/MGI:1919303","MGI:1919303")</f>
        <v>MGI:1919303</v>
      </c>
      <c r="J5409" s="4" t="s">
        <v>12</v>
      </c>
    </row>
    <row r="5410" spans="1:10" x14ac:dyDescent="0.25">
      <c r="A5410" s="2">
        <v>525.55145345848405</v>
      </c>
      <c r="B5410" s="3">
        <v>-0.35793645084430398</v>
      </c>
      <c r="C5410" s="5">
        <v>2.0681406072004199E-5</v>
      </c>
      <c r="D5410" s="6">
        <v>7.5108163488015104E-5</v>
      </c>
      <c r="E5410" s="3" t="s">
        <v>10872</v>
      </c>
      <c r="F5410" s="3" t="s">
        <v>10873</v>
      </c>
      <c r="G5410" s="3">
        <v>71755</v>
      </c>
      <c r="H5410" s="7" t="str">
        <f>HYPERLINK("http://www.ensembl.org/Mus_musculus/Gene/Summary?db=core;g=ENSMUSG00000011382","ENSMUSG00000011382")</f>
        <v>ENSMUSG00000011382</v>
      </c>
      <c r="I5410" s="7" t="str">
        <f>HYPERLINK("http://www.informatics.jax.org/marker/MGI:1919005","MGI:1919005")</f>
        <v>MGI:1919005</v>
      </c>
      <c r="J5410" s="4" t="s">
        <v>12</v>
      </c>
    </row>
    <row r="5411" spans="1:10" x14ac:dyDescent="0.25">
      <c r="A5411" s="2">
        <v>958.62533724721902</v>
      </c>
      <c r="B5411" s="3">
        <v>-0.35797886685247199</v>
      </c>
      <c r="C5411" s="5">
        <v>4.3255726776811301E-6</v>
      </c>
      <c r="D5411" s="6">
        <v>1.6798009689616399E-5</v>
      </c>
      <c r="E5411" s="3" t="s">
        <v>10170</v>
      </c>
      <c r="F5411" s="3" t="s">
        <v>10171</v>
      </c>
      <c r="G5411" s="3">
        <v>192678</v>
      </c>
      <c r="H5411" s="7" t="str">
        <f>HYPERLINK("http://www.ensembl.org/Mus_musculus/Gene/Summary?db=core;g=ENSMUSG00000025795","ENSMUSG00000025795")</f>
        <v>ENSMUSG00000025795</v>
      </c>
      <c r="I5411" s="7" t="str">
        <f>HYPERLINK("http://www.informatics.jax.org/marker/MGI:2179722","MGI:2179722")</f>
        <v>MGI:2179722</v>
      </c>
      <c r="J5411" s="4" t="s">
        <v>12</v>
      </c>
    </row>
    <row r="5412" spans="1:10" x14ac:dyDescent="0.25">
      <c r="A5412" s="2">
        <v>163.046101131862</v>
      </c>
      <c r="B5412" s="3">
        <v>-0.35841599608200397</v>
      </c>
      <c r="C5412" s="3">
        <v>4.7896835852916802E-4</v>
      </c>
      <c r="D5412" s="4">
        <v>1.4783621897316E-3</v>
      </c>
      <c r="E5412" s="3" t="s">
        <v>12787</v>
      </c>
      <c r="F5412" s="3" t="s">
        <v>12788</v>
      </c>
      <c r="G5412" s="3">
        <v>76547</v>
      </c>
      <c r="H5412" s="7" t="str">
        <f>HYPERLINK("http://www.ensembl.org/Mus_musculus/Gene/Summary?db=core;g=ENSMUSG00000020921","ENSMUSG00000020921")</f>
        <v>ENSMUSG00000020921</v>
      </c>
      <c r="I5412" s="7" t="str">
        <f>HYPERLINK("http://www.informatics.jax.org/marker/MGI:1923797","MGI:1923797")</f>
        <v>MGI:1923797</v>
      </c>
      <c r="J5412" s="4" t="s">
        <v>12</v>
      </c>
    </row>
    <row r="5413" spans="1:10" x14ac:dyDescent="0.25">
      <c r="A5413" s="2">
        <v>1943.6800094104301</v>
      </c>
      <c r="B5413" s="3">
        <v>-0.358474829047642</v>
      </c>
      <c r="C5413" s="5">
        <v>1.35045286578129E-8</v>
      </c>
      <c r="D5413" s="6">
        <v>6.6114524610742202E-8</v>
      </c>
      <c r="E5413" s="3" t="s">
        <v>8073</v>
      </c>
      <c r="F5413" s="3" t="s">
        <v>8074</v>
      </c>
      <c r="G5413" s="3">
        <v>78913</v>
      </c>
      <c r="H5413" s="7" t="str">
        <f>HYPERLINK("http://www.ensembl.org/Mus_musculus/Gene/Summary?db=core;g=ENSMUSG00000052299","ENSMUSG00000052299")</f>
        <v>ENSMUSG00000052299</v>
      </c>
      <c r="I5413" s="7" t="str">
        <f>HYPERLINK("http://www.informatics.jax.org/marker/MGI:1926163","MGI:1926163")</f>
        <v>MGI:1926163</v>
      </c>
      <c r="J5413" s="4" t="s">
        <v>12</v>
      </c>
    </row>
    <row r="5414" spans="1:10" x14ac:dyDescent="0.25">
      <c r="A5414" s="2">
        <v>271.152444752924</v>
      </c>
      <c r="B5414" s="3">
        <v>-0.35873636981149198</v>
      </c>
      <c r="C5414" s="3">
        <v>3.6651533879776901E-4</v>
      </c>
      <c r="D5414" s="4">
        <v>1.1483448492361E-3</v>
      </c>
      <c r="E5414" s="3" t="s">
        <v>12601</v>
      </c>
      <c r="F5414" s="3" t="s">
        <v>12602</v>
      </c>
      <c r="G5414" s="3">
        <v>67836</v>
      </c>
      <c r="H5414" s="7" t="str">
        <f>HYPERLINK("http://www.ensembl.org/Mus_musculus/Gene/Summary?db=core;g=ENSMUSG00000005150","ENSMUSG00000005150")</f>
        <v>ENSMUSG00000005150</v>
      </c>
      <c r="I5414" s="7" t="str">
        <f>HYPERLINK("http://www.informatics.jax.org/marker/MGI:1915086","MGI:1915086")</f>
        <v>MGI:1915086</v>
      </c>
      <c r="J5414" s="4" t="s">
        <v>12</v>
      </c>
    </row>
    <row r="5415" spans="1:10" x14ac:dyDescent="0.25">
      <c r="A5415" s="2">
        <v>1018.52022813161</v>
      </c>
      <c r="B5415" s="3">
        <v>-0.359059060290152</v>
      </c>
      <c r="C5415" s="5">
        <v>1.7303070569587301E-6</v>
      </c>
      <c r="D5415" s="6">
        <v>6.9878466441176E-6</v>
      </c>
      <c r="E5415" s="3" t="s">
        <v>9781</v>
      </c>
      <c r="F5415" s="3" t="s">
        <v>9782</v>
      </c>
      <c r="G5415" s="3">
        <v>68833</v>
      </c>
      <c r="H5415" s="7" t="str">
        <f>HYPERLINK("http://www.ensembl.org/Mus_musculus/Gene/Summary?db=core;g=ENSMUSG00000026078","ENSMUSG00000026078")</f>
        <v>ENSMUSG00000026078</v>
      </c>
      <c r="I5415" s="7" t="str">
        <f>HYPERLINK("http://www.informatics.jax.org/marker/MGI:1916083","MGI:1916083")</f>
        <v>MGI:1916083</v>
      </c>
      <c r="J5415" s="4" t="s">
        <v>12</v>
      </c>
    </row>
    <row r="5416" spans="1:10" x14ac:dyDescent="0.25">
      <c r="A5416" s="2">
        <v>143.46326534077701</v>
      </c>
      <c r="B5416" s="3">
        <v>-0.35954072253140801</v>
      </c>
      <c r="C5416" s="3">
        <v>5.5400542999381897E-4</v>
      </c>
      <c r="D5416" s="4">
        <v>1.6964265651363501E-3</v>
      </c>
      <c r="E5416" s="3" t="s">
        <v>12889</v>
      </c>
      <c r="F5416" s="3" t="s">
        <v>12890</v>
      </c>
      <c r="G5416" s="3">
        <v>21422</v>
      </c>
      <c r="H5416" s="7" t="str">
        <f>HYPERLINK("http://www.ensembl.org/Mus_musculus/Gene/Summary?db=core;g=ENSMUSG00000009733","ENSMUSG00000009733")</f>
        <v>ENSMUSG00000009733</v>
      </c>
      <c r="I5416" s="7" t="str">
        <f>HYPERLINK("http://www.informatics.jax.org/marker/MGI:98509","MGI:98509")</f>
        <v>MGI:98509</v>
      </c>
      <c r="J5416" s="4" t="s">
        <v>12</v>
      </c>
    </row>
    <row r="5417" spans="1:10" x14ac:dyDescent="0.25">
      <c r="A5417" s="2">
        <v>115.38196984997001</v>
      </c>
      <c r="B5417" s="3">
        <v>-0.35998679005394302</v>
      </c>
      <c r="C5417" s="3">
        <v>4.3565969772115199E-3</v>
      </c>
      <c r="D5417" s="4">
        <v>1.16506770261203E-2</v>
      </c>
      <c r="E5417" s="3" t="s">
        <v>14752</v>
      </c>
      <c r="F5417" s="3" t="s">
        <v>14753</v>
      </c>
      <c r="G5417" s="3">
        <v>72836</v>
      </c>
      <c r="H5417" s="7" t="str">
        <f>HYPERLINK("http://www.ensembl.org/Mus_musculus/Gene/Summary?db=core;g=ENSMUSG00000024174","ENSMUSG00000024174")</f>
        <v>ENSMUSG00000024174</v>
      </c>
      <c r="I5417" s="7" t="str">
        <f>HYPERLINK("http://www.informatics.jax.org/marker/MGI:1920086","MGI:1920086")</f>
        <v>MGI:1920086</v>
      </c>
      <c r="J5417" s="4" t="s">
        <v>12</v>
      </c>
    </row>
    <row r="5418" spans="1:10" x14ac:dyDescent="0.25">
      <c r="A5418" s="2">
        <v>564.17400489317095</v>
      </c>
      <c r="B5418" s="3">
        <v>-0.36034802581684999</v>
      </c>
      <c r="C5418" s="5">
        <v>1.31891238255195E-6</v>
      </c>
      <c r="D5418" s="6">
        <v>5.3904564111760599E-6</v>
      </c>
      <c r="E5418" s="3" t="s">
        <v>9665</v>
      </c>
      <c r="F5418" s="3" t="s">
        <v>9666</v>
      </c>
      <c r="G5418" s="3">
        <v>107047</v>
      </c>
      <c r="H5418" s="7" t="str">
        <f>HYPERLINK("http://www.ensembl.org/Mus_musculus/Gene/Summary?db=core;g=ENSMUSG00000024537","ENSMUSG00000024537")</f>
        <v>ENSMUSG00000024537</v>
      </c>
      <c r="I5418" s="7" t="str">
        <f>HYPERLINK("http://www.informatics.jax.org/marker/MGI:1922901","MGI:1922901")</f>
        <v>MGI:1922901</v>
      </c>
      <c r="J5418" s="4" t="s">
        <v>12</v>
      </c>
    </row>
    <row r="5419" spans="1:10" x14ac:dyDescent="0.25">
      <c r="A5419" s="2">
        <v>240.33381277610101</v>
      </c>
      <c r="B5419" s="3">
        <v>-0.360943392048375</v>
      </c>
      <c r="C5419" s="5">
        <v>5.4186134616579798E-5</v>
      </c>
      <c r="D5419" s="4">
        <v>1.88191365734229E-4</v>
      </c>
      <c r="E5419" s="3" t="s">
        <v>11367</v>
      </c>
      <c r="F5419" s="3" t="s">
        <v>11368</v>
      </c>
      <c r="G5419" s="3">
        <v>218989</v>
      </c>
      <c r="H5419" s="7" t="str">
        <f>HYPERLINK("http://www.ensembl.org/Mus_musculus/Gene/Summary?db=core;g=ENSMUSG00000036339","ENSMUSG00000036339")</f>
        <v>ENSMUSG00000036339</v>
      </c>
      <c r="I5419" s="7" t="str">
        <f>HYPERLINK("http://www.informatics.jax.org/marker/MGI:2443219","MGI:2443219")</f>
        <v>MGI:2443219</v>
      </c>
      <c r="J5419" s="4" t="s">
        <v>12</v>
      </c>
    </row>
    <row r="5420" spans="1:10" x14ac:dyDescent="0.25">
      <c r="A5420" s="2">
        <v>174.871505551502</v>
      </c>
      <c r="B5420" s="3">
        <v>-0.36121891212496099</v>
      </c>
      <c r="C5420" s="3">
        <v>1.6258017781079899E-4</v>
      </c>
      <c r="D5420" s="4">
        <v>5.3336900789035895E-4</v>
      </c>
      <c r="E5420" s="3" t="s">
        <v>12033</v>
      </c>
      <c r="F5420" s="3" t="s">
        <v>12034</v>
      </c>
      <c r="G5420" s="3">
        <v>66067</v>
      </c>
      <c r="H5420" s="7" t="str">
        <f>HYPERLINK("http://www.ensembl.org/Mus_musculus/Gene/Summary?db=core;g=ENSMUSG00000022668","ENSMUSG00000022668")</f>
        <v>ENSMUSG00000022668</v>
      </c>
      <c r="I5420" s="7" t="str">
        <f>HYPERLINK("http://www.informatics.jax.org/marker/MGI:1913317","MGI:1913317")</f>
        <v>MGI:1913317</v>
      </c>
      <c r="J5420" s="4" t="s">
        <v>12</v>
      </c>
    </row>
    <row r="5421" spans="1:10" x14ac:dyDescent="0.25">
      <c r="A5421" s="2">
        <v>886.820346300452</v>
      </c>
      <c r="B5421" s="3">
        <v>-0.36124839351584698</v>
      </c>
      <c r="C5421" s="5">
        <v>6.0209107686478696E-6</v>
      </c>
      <c r="D5421" s="6">
        <v>2.30637840632743E-5</v>
      </c>
      <c r="E5421" s="3" t="s">
        <v>10310</v>
      </c>
      <c r="F5421" s="3" t="s">
        <v>10311</v>
      </c>
      <c r="G5421" s="3">
        <v>208146</v>
      </c>
      <c r="H5421" s="7" t="str">
        <f>HYPERLINK("http://www.ensembl.org/Mus_musculus/Gene/Summary?db=core;g=ENSMUSG00000041215","ENSMUSG00000041215")</f>
        <v>ENSMUSG00000041215</v>
      </c>
      <c r="I5421" s="7" t="str">
        <f>HYPERLINK("http://www.informatics.jax.org/marker/MGI:2447762","MGI:2447762")</f>
        <v>MGI:2447762</v>
      </c>
      <c r="J5421" s="4" t="s">
        <v>12</v>
      </c>
    </row>
    <row r="5422" spans="1:10" x14ac:dyDescent="0.25">
      <c r="A5422" s="2">
        <v>687.98815476226105</v>
      </c>
      <c r="B5422" s="3">
        <v>-0.361545704377153</v>
      </c>
      <c r="C5422" s="5">
        <v>2.8596498331402899E-5</v>
      </c>
      <c r="D5422" s="4">
        <v>1.0236394029683501E-4</v>
      </c>
      <c r="E5422" s="3" t="s">
        <v>11030</v>
      </c>
      <c r="F5422" s="3" t="s">
        <v>11031</v>
      </c>
      <c r="G5422" s="3">
        <v>12144</v>
      </c>
      <c r="H5422" s="7" t="str">
        <f>HYPERLINK("http://www.ensembl.org/Mus_musculus/Gene/Summary?db=core;g=ENSMUSG00000030528","ENSMUSG00000030528")</f>
        <v>ENSMUSG00000030528</v>
      </c>
      <c r="I5422" s="7" t="str">
        <f>HYPERLINK("http://www.informatics.jax.org/marker/MGI:1328362","MGI:1328362")</f>
        <v>MGI:1328362</v>
      </c>
      <c r="J5422" s="4" t="s">
        <v>12</v>
      </c>
    </row>
    <row r="5423" spans="1:10" x14ac:dyDescent="0.25">
      <c r="A5423" s="2">
        <v>1155.66084180032</v>
      </c>
      <c r="B5423" s="3">
        <v>-0.36183313918342003</v>
      </c>
      <c r="C5423" s="5">
        <v>4.8879519632321401E-11</v>
      </c>
      <c r="D5423" s="6">
        <v>2.9129771143831302E-10</v>
      </c>
      <c r="E5423" s="3" t="s">
        <v>6635</v>
      </c>
      <c r="F5423" s="3" t="s">
        <v>6636</v>
      </c>
      <c r="G5423" s="3">
        <v>18706</v>
      </c>
      <c r="H5423" s="7" t="str">
        <f>HYPERLINK("http://www.ensembl.org/Mus_musculus/Gene/Summary?db=core;g=ENSMUSG00000027665","ENSMUSG00000027665")</f>
        <v>ENSMUSG00000027665</v>
      </c>
      <c r="I5423" s="7" t="str">
        <f>HYPERLINK("http://www.informatics.jax.org/marker/MGI:1206581","MGI:1206581")</f>
        <v>MGI:1206581</v>
      </c>
      <c r="J5423" s="4" t="s">
        <v>12</v>
      </c>
    </row>
    <row r="5424" spans="1:10" x14ac:dyDescent="0.25">
      <c r="A5424" s="2">
        <v>120.90010435552099</v>
      </c>
      <c r="B5424" s="3">
        <v>-0.36184117244668201</v>
      </c>
      <c r="C5424" s="3">
        <v>2.82563495172005E-3</v>
      </c>
      <c r="D5424" s="4">
        <v>7.7855974916751901E-3</v>
      </c>
      <c r="E5424" s="3" t="s">
        <v>14319</v>
      </c>
      <c r="F5424" s="3" t="s">
        <v>14320</v>
      </c>
      <c r="G5424" s="3">
        <v>116748</v>
      </c>
      <c r="H5424" s="7" t="str">
        <f>HYPERLINK("http://www.ensembl.org/Mus_musculus/Gene/Summary?db=core;g=ENSMUSG00000050188","ENSMUSG00000050188")</f>
        <v>ENSMUSG00000050188</v>
      </c>
      <c r="I5424" s="7" t="str">
        <f>HYPERLINK("http://www.informatics.jax.org/marker/MGI:2151045","MGI:2151045")</f>
        <v>MGI:2151045</v>
      </c>
      <c r="J5424" s="4" t="s">
        <v>12</v>
      </c>
    </row>
    <row r="5425" spans="1:10" x14ac:dyDescent="0.25">
      <c r="A5425" s="2">
        <v>5339.3833402662804</v>
      </c>
      <c r="B5425" s="3">
        <v>-0.36186154652971497</v>
      </c>
      <c r="C5425" s="3">
        <v>1.92216655785687E-4</v>
      </c>
      <c r="D5425" s="4">
        <v>6.2487841280806805E-4</v>
      </c>
      <c r="E5425" s="3" t="s">
        <v>12143</v>
      </c>
      <c r="F5425" s="3" t="s">
        <v>12144</v>
      </c>
      <c r="G5425" s="3">
        <v>67041</v>
      </c>
      <c r="H5425" s="7" t="str">
        <f>HYPERLINK("http://www.ensembl.org/Mus_musculus/Gene/Summary?db=core;g=ENSMUSG00000022186","ENSMUSG00000022186")</f>
        <v>ENSMUSG00000022186</v>
      </c>
      <c r="I5425" s="7" t="str">
        <f>HYPERLINK("http://www.informatics.jax.org/marker/MGI:1914291","MGI:1914291")</f>
        <v>MGI:1914291</v>
      </c>
      <c r="J5425" s="4" t="s">
        <v>12</v>
      </c>
    </row>
    <row r="5426" spans="1:10" x14ac:dyDescent="0.25">
      <c r="A5426" s="2">
        <v>539.70827837484001</v>
      </c>
      <c r="B5426" s="3">
        <v>-0.36189908915191998</v>
      </c>
      <c r="C5426" s="5">
        <v>1.08719436220199E-7</v>
      </c>
      <c r="D5426" s="6">
        <v>4.91731028041816E-7</v>
      </c>
      <c r="E5426" s="3" t="s">
        <v>8737</v>
      </c>
      <c r="F5426" s="3" t="s">
        <v>8738</v>
      </c>
      <c r="G5426" s="3">
        <v>18744</v>
      </c>
      <c r="H5426" s="7" t="str">
        <f>HYPERLINK("http://www.ensembl.org/Mus_musculus/Gene/Summary?db=core;g=ENSMUSG00000034403","ENSMUSG00000034403")</f>
        <v>ENSMUSG00000034403</v>
      </c>
      <c r="I5426" s="7" t="str">
        <f>HYPERLINK("http://www.informatics.jax.org/marker/MGI:1101765","MGI:1101765")</f>
        <v>MGI:1101765</v>
      </c>
      <c r="J5426" s="4" t="s">
        <v>12</v>
      </c>
    </row>
    <row r="5427" spans="1:10" x14ac:dyDescent="0.25">
      <c r="A5427" s="2">
        <v>2114.31509724639</v>
      </c>
      <c r="B5427" s="3">
        <v>-0.362001540729391</v>
      </c>
      <c r="C5427" s="5">
        <v>5.4221337722437403E-8</v>
      </c>
      <c r="D5427" s="6">
        <v>2.5123232610114301E-7</v>
      </c>
      <c r="E5427" s="3" t="s">
        <v>8529</v>
      </c>
      <c r="F5427" s="3" t="s">
        <v>8530</v>
      </c>
      <c r="G5427" s="3">
        <v>16498</v>
      </c>
      <c r="H5427" s="7" t="str">
        <f>HYPERLINK("http://www.ensembl.org/Mus_musculus/Gene/Summary?db=core;g=ENSMUSG00000028931","ENSMUSG00000028931")</f>
        <v>ENSMUSG00000028931</v>
      </c>
      <c r="I5427" s="7" t="str">
        <f>HYPERLINK("http://www.informatics.jax.org/marker/MGI:109239","MGI:109239")</f>
        <v>MGI:109239</v>
      </c>
      <c r="J5427" s="4" t="s">
        <v>12</v>
      </c>
    </row>
    <row r="5428" spans="1:10" x14ac:dyDescent="0.25">
      <c r="A5428" s="2">
        <v>224.38624990119999</v>
      </c>
      <c r="B5428" s="3">
        <v>-0.36202120196146198</v>
      </c>
      <c r="C5428" s="3">
        <v>2.4309378675255199E-4</v>
      </c>
      <c r="D5428" s="4">
        <v>7.8087790760064104E-4</v>
      </c>
      <c r="E5428" s="3" t="s">
        <v>12289</v>
      </c>
      <c r="F5428" s="3" t="s">
        <v>12290</v>
      </c>
      <c r="G5428" s="3">
        <v>73847</v>
      </c>
      <c r="H5428" s="7" t="str">
        <f>HYPERLINK("http://www.ensembl.org/Mus_musculus/Gene/Summary?db=core;g=ENSMUSG00000027459","ENSMUSG00000027459")</f>
        <v>ENSMUSG00000027459</v>
      </c>
      <c r="I5428" s="7" t="str">
        <f>HYPERLINK("http://www.informatics.jax.org/marker/MGI:1921097","MGI:1921097")</f>
        <v>MGI:1921097</v>
      </c>
      <c r="J5428" s="4" t="s">
        <v>12</v>
      </c>
    </row>
    <row r="5429" spans="1:10" x14ac:dyDescent="0.25">
      <c r="A5429" s="2">
        <v>1459.18392892978</v>
      </c>
      <c r="B5429" s="3">
        <v>-0.362192457609463</v>
      </c>
      <c r="C5429" s="5">
        <v>2.4168841320407101E-16</v>
      </c>
      <c r="D5429" s="6">
        <v>1.9844227812461098E-15</v>
      </c>
      <c r="E5429" s="3" t="s">
        <v>4821</v>
      </c>
      <c r="F5429" s="3" t="s">
        <v>4822</v>
      </c>
      <c r="G5429" s="3">
        <v>67037</v>
      </c>
      <c r="H5429" s="7" t="str">
        <f>HYPERLINK("http://www.ensembl.org/Mus_musculus/Gene/Summary?db=core;g=ENSMUSG00000028066","ENSMUSG00000028066")</f>
        <v>ENSMUSG00000028066</v>
      </c>
      <c r="I5429" s="7" t="str">
        <f>HYPERLINK("http://www.informatics.jax.org/marker/MGI:1914287","MGI:1914287")</f>
        <v>MGI:1914287</v>
      </c>
      <c r="J5429" s="4" t="s">
        <v>12</v>
      </c>
    </row>
    <row r="5430" spans="1:10" x14ac:dyDescent="0.25">
      <c r="A5430" s="2">
        <v>162.660695803219</v>
      </c>
      <c r="B5430" s="3">
        <v>-0.36228355944970198</v>
      </c>
      <c r="C5430" s="3">
        <v>2.3804213623356799E-3</v>
      </c>
      <c r="D5430" s="4">
        <v>6.6414699017062302E-3</v>
      </c>
      <c r="E5430" s="3" t="s">
        <v>14143</v>
      </c>
      <c r="F5430" s="3" t="s">
        <v>14144</v>
      </c>
      <c r="G5430" s="3">
        <v>30949</v>
      </c>
      <c r="H5430" s="7" t="str">
        <f>HYPERLINK("http://www.ensembl.org/Mus_musculus/Gene/Summary?db=core;g=ENSMUSG00000030763","ENSMUSG00000030763")</f>
        <v>ENSMUSG00000030763</v>
      </c>
      <c r="I5430" s="7" t="str">
        <f>HYPERLINK("http://www.informatics.jax.org/marker/MGI:1353593","MGI:1353593")</f>
        <v>MGI:1353593</v>
      </c>
      <c r="J5430" s="4" t="s">
        <v>12</v>
      </c>
    </row>
    <row r="5431" spans="1:10" x14ac:dyDescent="0.25">
      <c r="A5431" s="2">
        <v>1027.2043643311199</v>
      </c>
      <c r="B5431" s="3">
        <v>-0.36262967303803501</v>
      </c>
      <c r="C5431" s="5">
        <v>1.47624757723269E-6</v>
      </c>
      <c r="D5431" s="6">
        <v>5.9974458638295498E-6</v>
      </c>
      <c r="E5431" s="3" t="s">
        <v>9723</v>
      </c>
      <c r="F5431" s="3" t="s">
        <v>9724</v>
      </c>
      <c r="G5431" s="3">
        <v>213753</v>
      </c>
      <c r="H5431" s="7" t="str">
        <f>HYPERLINK("http://www.ensembl.org/Mus_musculus/Gene/Summary?db=core;g=ENSMUSG00000041130","ENSMUSG00000041130")</f>
        <v>ENSMUSG00000041130</v>
      </c>
      <c r="I5431" s="7" t="str">
        <f>HYPERLINK("http://www.informatics.jax.org/marker/MGI:2670965","MGI:2670965")</f>
        <v>MGI:2670965</v>
      </c>
      <c r="J5431" s="4" t="s">
        <v>12</v>
      </c>
    </row>
    <row r="5432" spans="1:10" x14ac:dyDescent="0.25">
      <c r="A5432" s="2">
        <v>836.81729586200299</v>
      </c>
      <c r="B5432" s="3">
        <v>-0.36265683666720899</v>
      </c>
      <c r="C5432" s="5">
        <v>3.56200686108171E-7</v>
      </c>
      <c r="D5432" s="6">
        <v>1.5427800417424E-6</v>
      </c>
      <c r="E5432" s="3" t="s">
        <v>9121</v>
      </c>
      <c r="F5432" s="3" t="s">
        <v>9122</v>
      </c>
      <c r="G5432" s="3">
        <v>224860</v>
      </c>
      <c r="H5432" s="7" t="str">
        <f>HYPERLINK("http://www.ensembl.org/Mus_musculus/Gene/Summary?db=core;g=ENSMUSG00000038910","ENSMUSG00000038910")</f>
        <v>ENSMUSG00000038910</v>
      </c>
      <c r="I5432" s="7" t="str">
        <f>HYPERLINK("http://www.informatics.jax.org/marker/MGI:1352756","MGI:1352756")</f>
        <v>MGI:1352756</v>
      </c>
      <c r="J5432" s="4" t="s">
        <v>12</v>
      </c>
    </row>
    <row r="5433" spans="1:10" x14ac:dyDescent="0.25">
      <c r="A5433" s="2">
        <v>1138.6984657492101</v>
      </c>
      <c r="B5433" s="3">
        <v>-0.36292902928075899</v>
      </c>
      <c r="C5433" s="5">
        <v>5.5011642486104497E-11</v>
      </c>
      <c r="D5433" s="6">
        <v>3.2646090575563701E-10</v>
      </c>
      <c r="E5433" s="3" t="s">
        <v>6663</v>
      </c>
      <c r="F5433" s="3" t="s">
        <v>6664</v>
      </c>
      <c r="G5433" s="3">
        <v>18969</v>
      </c>
      <c r="H5433" s="7" t="str">
        <f>HYPERLINK("http://www.ensembl.org/Mus_musculus/Gene/Summary?db=core;g=ENSMUSG00000024833","ENSMUSG00000024833")</f>
        <v>ENSMUSG00000024833</v>
      </c>
      <c r="I5433" s="7" t="str">
        <f>HYPERLINK("http://www.informatics.jax.org/marker/MGI:99690","MGI:99690")</f>
        <v>MGI:99690</v>
      </c>
      <c r="J5433" s="4" t="s">
        <v>12</v>
      </c>
    </row>
    <row r="5434" spans="1:10" x14ac:dyDescent="0.25">
      <c r="A5434" s="2">
        <v>1203.1457678709901</v>
      </c>
      <c r="B5434" s="3">
        <v>-0.36300661616234398</v>
      </c>
      <c r="C5434" s="5">
        <v>5.2803407101912702E-8</v>
      </c>
      <c r="D5434" s="6">
        <v>2.4495017361790601E-7</v>
      </c>
      <c r="E5434" s="3" t="s">
        <v>8519</v>
      </c>
      <c r="F5434" s="3" t="s">
        <v>8520</v>
      </c>
      <c r="G5434" s="3">
        <v>665775</v>
      </c>
      <c r="H5434" s="7" t="str">
        <f>HYPERLINK("http://www.ensembl.org/Mus_musculus/Gene/Summary?db=core;g=ENSMUSG00000061755","ENSMUSG00000061755")</f>
        <v>ENSMUSG00000061755</v>
      </c>
      <c r="I5434" s="7" t="str">
        <f>HYPERLINK("http://www.informatics.jax.org/marker/MGI:2444804","MGI:2444804")</f>
        <v>MGI:2444804</v>
      </c>
      <c r="J5434" s="4" t="s">
        <v>12</v>
      </c>
    </row>
    <row r="5435" spans="1:10" x14ac:dyDescent="0.25">
      <c r="A5435" s="2">
        <v>79.556735657281706</v>
      </c>
      <c r="B5435" s="3">
        <v>-0.36329830671379598</v>
      </c>
      <c r="C5435" s="3">
        <v>1.57051505158598E-2</v>
      </c>
      <c r="D5435" s="4">
        <v>3.7517331093004799E-2</v>
      </c>
      <c r="E5435" s="3" t="s">
        <v>16513</v>
      </c>
      <c r="F5435" s="3" t="s">
        <v>16514</v>
      </c>
      <c r="G5435" s="3">
        <v>225994</v>
      </c>
      <c r="H5435" s="7" t="str">
        <f>HYPERLINK("http://www.ensembl.org/Mus_musculus/Gene/Summary?db=core;g=ENSMUSG00000037847","ENSMUSG00000037847")</f>
        <v>ENSMUSG00000037847</v>
      </c>
      <c r="I5435" s="7" t="str">
        <f>HYPERLINK("http://www.informatics.jax.org/marker/MGI:2147434","MGI:2147434")</f>
        <v>MGI:2147434</v>
      </c>
      <c r="J5435" s="4" t="s">
        <v>12</v>
      </c>
    </row>
    <row r="5436" spans="1:10" x14ac:dyDescent="0.25">
      <c r="A5436" s="2">
        <v>671.80022275595798</v>
      </c>
      <c r="B5436" s="3">
        <v>-0.36333840950359297</v>
      </c>
      <c r="C5436" s="3">
        <v>5.2658068640426005E-4</v>
      </c>
      <c r="D5436" s="4">
        <v>1.61621340636452E-3</v>
      </c>
      <c r="E5436" s="3" t="s">
        <v>12859</v>
      </c>
      <c r="F5436" s="3" t="s">
        <v>12860</v>
      </c>
      <c r="G5436" s="3">
        <v>209131</v>
      </c>
      <c r="H5436" s="7" t="str">
        <f>HYPERLINK("http://www.ensembl.org/Mus_musculus/Gene/Summary?db=core;g=ENSMUSG00000028385","ENSMUSG00000028385")</f>
        <v>ENSMUSG00000028385</v>
      </c>
      <c r="I5436" s="7" t="str">
        <f>HYPERLINK("http://www.informatics.jax.org/marker/MGI:2443882","MGI:2443882")</f>
        <v>MGI:2443882</v>
      </c>
      <c r="J5436" s="4" t="s">
        <v>12</v>
      </c>
    </row>
    <row r="5437" spans="1:10" x14ac:dyDescent="0.25">
      <c r="A5437" s="2">
        <v>858.491541852404</v>
      </c>
      <c r="B5437" s="3">
        <v>-0.36336660661791198</v>
      </c>
      <c r="C5437" s="5">
        <v>4.1096504756468402E-10</v>
      </c>
      <c r="D5437" s="6">
        <v>2.2688215951779301E-9</v>
      </c>
      <c r="E5437" s="3" t="s">
        <v>7162</v>
      </c>
      <c r="F5437" s="3" t="s">
        <v>7163</v>
      </c>
      <c r="G5437" s="3">
        <v>68342</v>
      </c>
      <c r="H5437" s="7" t="str">
        <f>HYPERLINK("http://www.ensembl.org/Mus_musculus/Gene/Summary?db=core;g=ENSMUSG00000040048","ENSMUSG00000040048")</f>
        <v>ENSMUSG00000040048</v>
      </c>
      <c r="I5437" s="7" t="str">
        <f>HYPERLINK("http://www.informatics.jax.org/marker/MGI:1915592","MGI:1915592")</f>
        <v>MGI:1915592</v>
      </c>
      <c r="J5437" s="4" t="s">
        <v>12</v>
      </c>
    </row>
    <row r="5438" spans="1:10" x14ac:dyDescent="0.25">
      <c r="A5438" s="2">
        <v>61.187545244738899</v>
      </c>
      <c r="B5438" s="3">
        <v>-0.36365331828880298</v>
      </c>
      <c r="C5438" s="3">
        <v>1.9889309832869202E-2</v>
      </c>
      <c r="D5438" s="4">
        <v>4.6453944050007301E-2</v>
      </c>
      <c r="E5438" s="3" t="s">
        <v>16890</v>
      </c>
      <c r="F5438" s="3" t="s">
        <v>16891</v>
      </c>
      <c r="G5438" s="3" t="s">
        <v>83</v>
      </c>
      <c r="H5438" s="7" t="str">
        <f>HYPERLINK("http://www.ensembl.org/Mus_musculus/Gene/Summary?db=core;g=ENSMUSG00000109510","ENSMUSG00000109510")</f>
        <v>ENSMUSG00000109510</v>
      </c>
      <c r="I5438" s="7" t="str">
        <f>HYPERLINK("http://www.informatics.jax.org/marker/MGI:5649003","MGI:5649003")</f>
        <v>MGI:5649003</v>
      </c>
      <c r="J5438" s="4" t="s">
        <v>12</v>
      </c>
    </row>
    <row r="5439" spans="1:10" x14ac:dyDescent="0.25">
      <c r="A5439" s="2">
        <v>2863.1176010668501</v>
      </c>
      <c r="B5439" s="3">
        <v>-0.36370338168474198</v>
      </c>
      <c r="C5439" s="5">
        <v>3.8104474263806698E-14</v>
      </c>
      <c r="D5439" s="6">
        <v>2.7809779144421499E-13</v>
      </c>
      <c r="E5439" s="3" t="s">
        <v>5421</v>
      </c>
      <c r="F5439" s="3" t="s">
        <v>5422</v>
      </c>
      <c r="G5439" s="3">
        <v>68817</v>
      </c>
      <c r="H5439" s="7" t="str">
        <f>HYPERLINK("http://www.ensembl.org/Mus_musculus/Gene/Summary?db=core;g=ENSMUSG00000078515","ENSMUSG00000078515")</f>
        <v>ENSMUSG00000078515</v>
      </c>
      <c r="I5439" s="7" t="str">
        <f>HYPERLINK("http://www.informatics.jax.org/marker/MGI:1917244","MGI:1917244")</f>
        <v>MGI:1917244</v>
      </c>
      <c r="J5439" s="4" t="s">
        <v>12</v>
      </c>
    </row>
    <row r="5440" spans="1:10" x14ac:dyDescent="0.25">
      <c r="A5440" s="2">
        <v>423.49696982096202</v>
      </c>
      <c r="B5440" s="3">
        <v>-0.36384231922021798</v>
      </c>
      <c r="C5440" s="5">
        <v>1.06414188157734E-5</v>
      </c>
      <c r="D5440" s="6">
        <v>3.97591472237686E-5</v>
      </c>
      <c r="E5440" s="3" t="s">
        <v>10569</v>
      </c>
      <c r="F5440" s="3" t="s">
        <v>10570</v>
      </c>
      <c r="G5440" s="3">
        <v>15353</v>
      </c>
      <c r="H5440" s="7" t="str">
        <f>HYPERLINK("http://www.ensembl.org/Mus_musculus/Gene/Summary?db=core;g=ENSMUSG00000020232","ENSMUSG00000020232")</f>
        <v>ENSMUSG00000020232</v>
      </c>
      <c r="I5440" s="7" t="str">
        <f>HYPERLINK("http://www.informatics.jax.org/marker/MGI:1341190","MGI:1341190")</f>
        <v>MGI:1341190</v>
      </c>
      <c r="J5440" s="4" t="s">
        <v>12</v>
      </c>
    </row>
    <row r="5441" spans="1:10" x14ac:dyDescent="0.25">
      <c r="A5441" s="2">
        <v>519.94369619551401</v>
      </c>
      <c r="B5441" s="3">
        <v>-0.36417110899962002</v>
      </c>
      <c r="C5441" s="5">
        <v>3.7069191774730702E-8</v>
      </c>
      <c r="D5441" s="6">
        <v>1.7421460004711399E-7</v>
      </c>
      <c r="E5441" s="3" t="s">
        <v>8409</v>
      </c>
      <c r="F5441" s="3" t="s">
        <v>8410</v>
      </c>
      <c r="G5441" s="3">
        <v>66446</v>
      </c>
      <c r="H5441" s="7" t="str">
        <f>HYPERLINK("http://www.ensembl.org/Mus_musculus/Gene/Summary?db=core;g=ENSMUSG00000025785","ENSMUSG00000025785")</f>
        <v>ENSMUSG00000025785</v>
      </c>
      <c r="I5441" s="7" t="str">
        <f>HYPERLINK("http://www.informatics.jax.org/marker/MGI:1913696","MGI:1913696")</f>
        <v>MGI:1913696</v>
      </c>
      <c r="J5441" s="4" t="s">
        <v>12</v>
      </c>
    </row>
    <row r="5442" spans="1:10" x14ac:dyDescent="0.25">
      <c r="A5442" s="2">
        <v>699.00910664061598</v>
      </c>
      <c r="B5442" s="3">
        <v>-0.36495758123748401</v>
      </c>
      <c r="C5442" s="5">
        <v>2.1228071546590801E-11</v>
      </c>
      <c r="D5442" s="6">
        <v>1.2996509497012501E-10</v>
      </c>
      <c r="E5442" s="3" t="s">
        <v>6459</v>
      </c>
      <c r="F5442" s="3" t="s">
        <v>6460</v>
      </c>
      <c r="G5442" s="3">
        <v>320473</v>
      </c>
      <c r="H5442" s="7" t="str">
        <f>HYPERLINK("http://www.ensembl.org/Mus_musculus/Gene/Summary?db=core;g=ENSMUSG00000039414","ENSMUSG00000039414")</f>
        <v>ENSMUSG00000039414</v>
      </c>
      <c r="I5442" s="7" t="str">
        <f>HYPERLINK("http://www.informatics.jax.org/marker/MGI:2444098","MGI:2444098")</f>
        <v>MGI:2444098</v>
      </c>
      <c r="J5442" s="4" t="s">
        <v>12</v>
      </c>
    </row>
    <row r="5443" spans="1:10" x14ac:dyDescent="0.25">
      <c r="A5443" s="2">
        <v>371.68178301921603</v>
      </c>
      <c r="B5443" s="3">
        <v>-0.365373379764596</v>
      </c>
      <c r="C5443" s="3">
        <v>2.0641251550949E-4</v>
      </c>
      <c r="D5443" s="4">
        <v>6.6931767027351204E-4</v>
      </c>
      <c r="E5443" s="3" t="s">
        <v>12175</v>
      </c>
      <c r="F5443" s="3" t="s">
        <v>12176</v>
      </c>
      <c r="G5443" s="3">
        <v>71169</v>
      </c>
      <c r="H5443" s="7" t="str">
        <f>HYPERLINK("http://www.ensembl.org/Mus_musculus/Gene/Summary?db=core;g=ENSMUSG00000020576","ENSMUSG00000020576")</f>
        <v>ENSMUSG00000020576</v>
      </c>
      <c r="I5443" s="7" t="str">
        <f>HYPERLINK("http://www.informatics.jax.org/marker/MGI:1918419","MGI:1918419")</f>
        <v>MGI:1918419</v>
      </c>
      <c r="J5443" s="4" t="s">
        <v>12</v>
      </c>
    </row>
    <row r="5444" spans="1:10" x14ac:dyDescent="0.25">
      <c r="A5444" s="2">
        <v>690.22637578424496</v>
      </c>
      <c r="B5444" s="3">
        <v>-0.36539923120072698</v>
      </c>
      <c r="C5444" s="5">
        <v>2.2189057866327798E-5</v>
      </c>
      <c r="D5444" s="6">
        <v>8.0331966426287006E-5</v>
      </c>
      <c r="E5444" s="3" t="s">
        <v>10906</v>
      </c>
      <c r="F5444" s="3" t="s">
        <v>10907</v>
      </c>
      <c r="G5444" s="3">
        <v>110959</v>
      </c>
      <c r="H5444" s="7" t="str">
        <f>HYPERLINK("http://www.ensembl.org/Mus_musculus/Gene/Summary?db=core;g=ENSMUSG00000034875","ENSMUSG00000034875")</f>
        <v>ENSMUSG00000034875</v>
      </c>
      <c r="I5444" s="7" t="str">
        <f>HYPERLINK("http://www.informatics.jax.org/marker/MGI:94203","MGI:94203")</f>
        <v>MGI:94203</v>
      </c>
      <c r="J5444" s="4" t="s">
        <v>12</v>
      </c>
    </row>
    <row r="5445" spans="1:10" x14ac:dyDescent="0.25">
      <c r="A5445" s="2">
        <v>160.00180996772599</v>
      </c>
      <c r="B5445" s="3">
        <v>-0.36563567018362497</v>
      </c>
      <c r="C5445" s="3">
        <v>1.2337669609475E-4</v>
      </c>
      <c r="D5445" s="4">
        <v>4.1132518123220203E-4</v>
      </c>
      <c r="E5445" s="3" t="s">
        <v>11841</v>
      </c>
      <c r="F5445" s="3" t="s">
        <v>11842</v>
      </c>
      <c r="G5445" s="3">
        <v>114674</v>
      </c>
      <c r="H5445" s="7" t="str">
        <f>HYPERLINK("http://www.ensembl.org/Mus_musculus/Gene/Summary?db=core;g=ENSMUSG00000015942","ENSMUSG00000015942")</f>
        <v>ENSMUSG00000015942</v>
      </c>
      <c r="I5445" s="7" t="str">
        <f>HYPERLINK("http://www.informatics.jax.org/marker/MGI:2149780","MGI:2149780")</f>
        <v>MGI:2149780</v>
      </c>
      <c r="J5445" s="4" t="s">
        <v>12</v>
      </c>
    </row>
    <row r="5446" spans="1:10" x14ac:dyDescent="0.25">
      <c r="A5446" s="2">
        <v>64.605859234388106</v>
      </c>
      <c r="B5446" s="3">
        <v>-0.36568026672342602</v>
      </c>
      <c r="C5446" s="3">
        <v>1.34320318607529E-2</v>
      </c>
      <c r="D5446" s="4">
        <v>3.2540499790423401E-2</v>
      </c>
      <c r="E5446" s="3" t="s">
        <v>16285</v>
      </c>
      <c r="F5446" s="3" t="s">
        <v>16286</v>
      </c>
      <c r="G5446" s="3">
        <v>71790</v>
      </c>
      <c r="H5446" s="7" t="str">
        <f>HYPERLINK("http://www.ensembl.org/Mus_musculus/Gene/Summary?db=core;g=ENSMUSG00000015702","ENSMUSG00000015702")</f>
        <v>ENSMUSG00000015702</v>
      </c>
      <c r="I5446" s="7" t="str">
        <f>HYPERLINK("http://www.informatics.jax.org/marker/MGI:1923711","MGI:1923711")</f>
        <v>MGI:1923711</v>
      </c>
      <c r="J5446" s="4" t="s">
        <v>12</v>
      </c>
    </row>
    <row r="5447" spans="1:10" x14ac:dyDescent="0.25">
      <c r="A5447" s="2">
        <v>186.574026328841</v>
      </c>
      <c r="B5447" s="3">
        <v>-0.365843041309803</v>
      </c>
      <c r="C5447" s="3">
        <v>1.4684690998763501E-3</v>
      </c>
      <c r="D5447" s="4">
        <v>4.2262420679453601E-3</v>
      </c>
      <c r="E5447" s="3" t="s">
        <v>13713</v>
      </c>
      <c r="F5447" s="3" t="s">
        <v>13714</v>
      </c>
      <c r="G5447" s="3" t="s">
        <v>83</v>
      </c>
      <c r="H5447" s="7" t="str">
        <f>HYPERLINK("http://www.ensembl.org/Mus_musculus/Gene/Summary?db=core;g=ENSMUSG00000112980","ENSMUSG00000112980")</f>
        <v>ENSMUSG00000112980</v>
      </c>
      <c r="I5447" s="7" t="str">
        <f>HYPERLINK("http://www.informatics.jax.org/marker/MGI:2442237","MGI:2442237")</f>
        <v>MGI:2442237</v>
      </c>
      <c r="J5447" s="4" t="s">
        <v>3187</v>
      </c>
    </row>
    <row r="5448" spans="1:10" x14ac:dyDescent="0.25">
      <c r="A5448" s="2">
        <v>4199.1720652457798</v>
      </c>
      <c r="B5448" s="3">
        <v>-0.36611860868398299</v>
      </c>
      <c r="C5448" s="5">
        <v>1.40743137265999E-13</v>
      </c>
      <c r="D5448" s="6">
        <v>9.9478661895537597E-13</v>
      </c>
      <c r="E5448" s="3" t="s">
        <v>5597</v>
      </c>
      <c r="F5448" s="3" t="s">
        <v>5598</v>
      </c>
      <c r="G5448" s="3">
        <v>110854</v>
      </c>
      <c r="H5448" s="7" t="str">
        <f>HYPERLINK("http://www.ensembl.org/Mus_musculus/Gene/Summary?db=core;g=ENSMUSG00000039515","ENSMUSG00000039515")</f>
        <v>ENSMUSG00000039515</v>
      </c>
      <c r="I5448" s="7" t="str">
        <f>HYPERLINK("http://www.informatics.jax.org/marker/MGI:1346006","MGI:1346006")</f>
        <v>MGI:1346006</v>
      </c>
      <c r="J5448" s="4" t="s">
        <v>12</v>
      </c>
    </row>
    <row r="5449" spans="1:10" x14ac:dyDescent="0.25">
      <c r="A5449" s="2">
        <v>338.85972166642199</v>
      </c>
      <c r="B5449" s="3">
        <v>-0.36659831991848002</v>
      </c>
      <c r="C5449" s="5">
        <v>2.28749975140899E-6</v>
      </c>
      <c r="D5449" s="6">
        <v>9.1351751919370595E-6</v>
      </c>
      <c r="E5449" s="3" t="s">
        <v>9891</v>
      </c>
      <c r="F5449" s="3" t="s">
        <v>9892</v>
      </c>
      <c r="G5449" s="3">
        <v>67226</v>
      </c>
      <c r="H5449" s="7" t="str">
        <f>HYPERLINK("http://www.ensembl.org/Mus_musculus/Gene/Summary?db=core;g=ENSMUSG00000069520","ENSMUSG00000069520")</f>
        <v>ENSMUSG00000069520</v>
      </c>
      <c r="I5449" s="7" t="str">
        <f>HYPERLINK("http://www.informatics.jax.org/marker/MGI:1914476","MGI:1914476")</f>
        <v>MGI:1914476</v>
      </c>
      <c r="J5449" s="4" t="s">
        <v>12</v>
      </c>
    </row>
    <row r="5450" spans="1:10" x14ac:dyDescent="0.25">
      <c r="A5450" s="2">
        <v>660.19924607824703</v>
      </c>
      <c r="B5450" s="3">
        <v>-0.36693437671117501</v>
      </c>
      <c r="C5450" s="5">
        <v>2.2262564383209102E-6</v>
      </c>
      <c r="D5450" s="6">
        <v>8.9014146317291804E-6</v>
      </c>
      <c r="E5450" s="3" t="s">
        <v>9879</v>
      </c>
      <c r="F5450" s="3" t="s">
        <v>9880</v>
      </c>
      <c r="G5450" s="3">
        <v>228980</v>
      </c>
      <c r="H5450" s="7" t="str">
        <f>HYPERLINK("http://www.ensembl.org/Mus_musculus/Gene/Summary?db=core;g=ENSMUSG00000039117","ENSMUSG00000039117")</f>
        <v>ENSMUSG00000039117</v>
      </c>
      <c r="I5450" s="7" t="str">
        <f>HYPERLINK("http://www.informatics.jax.org/marker/MGI:2152346","MGI:2152346")</f>
        <v>MGI:2152346</v>
      </c>
      <c r="J5450" s="4" t="s">
        <v>12</v>
      </c>
    </row>
    <row r="5451" spans="1:10" x14ac:dyDescent="0.25">
      <c r="A5451" s="2">
        <v>789.44952604451805</v>
      </c>
      <c r="B5451" s="3">
        <v>-0.36714225074828699</v>
      </c>
      <c r="C5451" s="3">
        <v>2.3629578508978301E-4</v>
      </c>
      <c r="D5451" s="4">
        <v>7.6040353818056803E-4</v>
      </c>
      <c r="E5451" s="3" t="s">
        <v>12267</v>
      </c>
      <c r="F5451" s="3" t="s">
        <v>12268</v>
      </c>
      <c r="G5451" s="3">
        <v>218977</v>
      </c>
      <c r="H5451" s="7" t="str">
        <f>HYPERLINK("http://www.ensembl.org/Mus_musculus/Gene/Summary?db=core;g=ENSMUSG00000037544","ENSMUSG00000037544")</f>
        <v>ENSMUSG00000037544</v>
      </c>
      <c r="I5451" s="7" t="str">
        <f>HYPERLINK("http://www.informatics.jax.org/marker/MGI:2183453","MGI:2183453")</f>
        <v>MGI:2183453</v>
      </c>
      <c r="J5451" s="4" t="s">
        <v>12</v>
      </c>
    </row>
    <row r="5452" spans="1:10" x14ac:dyDescent="0.25">
      <c r="A5452" s="2">
        <v>610.47740500719397</v>
      </c>
      <c r="B5452" s="3">
        <v>-0.36734041401454398</v>
      </c>
      <c r="C5452" s="5">
        <v>8.3625285851220894E-6</v>
      </c>
      <c r="D5452" s="6">
        <v>3.1616001475960003E-5</v>
      </c>
      <c r="E5452" s="3" t="s">
        <v>10446</v>
      </c>
      <c r="F5452" s="3" t="s">
        <v>10447</v>
      </c>
      <c r="G5452" s="3">
        <v>232286</v>
      </c>
      <c r="H5452" s="7" t="str">
        <f>HYPERLINK("http://www.ensembl.org/Mus_musculus/Gene/Summary?db=core;g=ENSMUSG00000030059","ENSMUSG00000030059")</f>
        <v>ENSMUSG00000030059</v>
      </c>
      <c r="I5452" s="7" t="str">
        <f>HYPERLINK("http://www.informatics.jax.org/marker/MGI:2684999","MGI:2684999")</f>
        <v>MGI:2684999</v>
      </c>
      <c r="J5452" s="4" t="s">
        <v>12</v>
      </c>
    </row>
    <row r="5453" spans="1:10" x14ac:dyDescent="0.25">
      <c r="A5453" s="2">
        <v>440.54036364677302</v>
      </c>
      <c r="B5453" s="3">
        <v>-0.36749912721695199</v>
      </c>
      <c r="C5453" s="5">
        <v>3.5001155358697599E-9</v>
      </c>
      <c r="D5453" s="6">
        <v>1.79932946734493E-8</v>
      </c>
      <c r="E5453" s="3" t="s">
        <v>7688</v>
      </c>
      <c r="F5453" s="3" t="s">
        <v>7689</v>
      </c>
      <c r="G5453" s="3">
        <v>109801</v>
      </c>
      <c r="H5453" s="7" t="str">
        <f>HYPERLINK("http://www.ensembl.org/Mus_musculus/Gene/Summary?db=core;g=ENSMUSG00000024026","ENSMUSG00000024026")</f>
        <v>ENSMUSG00000024026</v>
      </c>
      <c r="I5453" s="7" t="str">
        <f>HYPERLINK("http://www.informatics.jax.org/marker/MGI:95742","MGI:95742")</f>
        <v>MGI:95742</v>
      </c>
      <c r="J5453" s="4" t="s">
        <v>12</v>
      </c>
    </row>
    <row r="5454" spans="1:10" x14ac:dyDescent="0.25">
      <c r="A5454" s="2">
        <v>1697.79757479822</v>
      </c>
      <c r="B5454" s="3">
        <v>-0.36798602377146999</v>
      </c>
      <c r="C5454" s="5">
        <v>1.34367649401001E-9</v>
      </c>
      <c r="D5454" s="6">
        <v>7.1363588639583796E-9</v>
      </c>
      <c r="E5454" s="3" t="s">
        <v>7444</v>
      </c>
      <c r="F5454" s="3" t="s">
        <v>7445</v>
      </c>
      <c r="G5454" s="3">
        <v>67187</v>
      </c>
      <c r="H5454" s="7" t="str">
        <f>HYPERLINK("http://www.ensembl.org/Mus_musculus/Gene/Summary?db=core;g=ENSMUSG00000026974","ENSMUSG00000026974")</f>
        <v>ENSMUSG00000026974</v>
      </c>
      <c r="I5454" s="7" t="str">
        <f>HYPERLINK("http://www.informatics.jax.org/marker/MGI:1914437","MGI:1914437")</f>
        <v>MGI:1914437</v>
      </c>
      <c r="J5454" s="4" t="s">
        <v>12</v>
      </c>
    </row>
    <row r="5455" spans="1:10" x14ac:dyDescent="0.25">
      <c r="A5455" s="2">
        <v>61.113974499963703</v>
      </c>
      <c r="B5455" s="3">
        <v>-0.36851253158063801</v>
      </c>
      <c r="C5455" s="3">
        <v>1.78355488541494E-2</v>
      </c>
      <c r="D5455" s="4">
        <v>4.2086517099895498E-2</v>
      </c>
      <c r="E5455" s="3" t="s">
        <v>16718</v>
      </c>
      <c r="F5455" s="3" t="s">
        <v>16719</v>
      </c>
      <c r="G5455" s="3">
        <v>271005</v>
      </c>
      <c r="H5455" s="7" t="str">
        <f>HYPERLINK("http://www.ensembl.org/Mus_musculus/Gene/Summary?db=core;g=ENSMUSG00000051890","ENSMUSG00000051890")</f>
        <v>ENSMUSG00000051890</v>
      </c>
      <c r="I5455" s="7" t="str">
        <f>HYPERLINK("http://www.informatics.jax.org/marker/MGI:2672853","MGI:2672853")</f>
        <v>MGI:2672853</v>
      </c>
      <c r="J5455" s="4" t="s">
        <v>12</v>
      </c>
    </row>
    <row r="5456" spans="1:10" x14ac:dyDescent="0.25">
      <c r="A5456" s="2">
        <v>207.48607466862799</v>
      </c>
      <c r="B5456" s="3">
        <v>-0.369106701508566</v>
      </c>
      <c r="C5456" s="3">
        <v>2.17446550164101E-3</v>
      </c>
      <c r="D5456" s="4">
        <v>6.1083275915043899E-3</v>
      </c>
      <c r="E5456" s="3" t="s">
        <v>14047</v>
      </c>
      <c r="F5456" s="3" t="s">
        <v>14048</v>
      </c>
      <c r="G5456" s="3">
        <v>76438</v>
      </c>
      <c r="H5456" s="7" t="str">
        <f>HYPERLINK("http://www.ensembl.org/Mus_musculus/Gene/Summary?db=core;g=ENSMUSG00000039316","ENSMUSG00000039316")</f>
        <v>ENSMUSG00000039316</v>
      </c>
      <c r="I5456" s="7" t="str">
        <f>HYPERLINK("http://www.informatics.jax.org/marker/MGI:1923688","MGI:1923688")</f>
        <v>MGI:1923688</v>
      </c>
      <c r="J5456" s="4" t="s">
        <v>12</v>
      </c>
    </row>
    <row r="5457" spans="1:10" x14ac:dyDescent="0.25">
      <c r="A5457" s="2">
        <v>775.06126422631496</v>
      </c>
      <c r="B5457" s="3">
        <v>-0.36939700989414298</v>
      </c>
      <c r="C5457" s="3">
        <v>1.5069177658089001E-4</v>
      </c>
      <c r="D5457" s="4">
        <v>4.9668090158368E-4</v>
      </c>
      <c r="E5457" s="3" t="s">
        <v>11977</v>
      </c>
      <c r="F5457" s="3" t="s">
        <v>11978</v>
      </c>
      <c r="G5457" s="3">
        <v>18286</v>
      </c>
      <c r="H5457" s="7" t="str">
        <f>HYPERLINK("http://www.ensembl.org/Mus_musculus/Gene/Summary?db=core;g=ENSMUSG00000026790","ENSMUSG00000026790")</f>
        <v>ENSMUSG00000026790</v>
      </c>
      <c r="I5457" s="7" t="str">
        <f>HYPERLINK("http://www.informatics.jax.org/marker/MGI:1098824","MGI:1098824")</f>
        <v>MGI:1098824</v>
      </c>
      <c r="J5457" s="4" t="s">
        <v>12</v>
      </c>
    </row>
    <row r="5458" spans="1:10" x14ac:dyDescent="0.25">
      <c r="A5458" s="2">
        <v>122.26259332726499</v>
      </c>
      <c r="B5458" s="3">
        <v>-0.369418938243818</v>
      </c>
      <c r="C5458" s="3">
        <v>1.4471008349410799E-2</v>
      </c>
      <c r="D5458" s="4">
        <v>3.4830743885070299E-2</v>
      </c>
      <c r="E5458" s="3" t="s">
        <v>16391</v>
      </c>
      <c r="F5458" s="3" t="s">
        <v>16392</v>
      </c>
      <c r="G5458" s="3" t="s">
        <v>83</v>
      </c>
      <c r="H5458" s="7" t="str">
        <f>HYPERLINK("http://www.ensembl.org/Mus_musculus/Gene/Summary?db=core;g=ENSMUSG00000105283","ENSMUSG00000105283")</f>
        <v>ENSMUSG00000105283</v>
      </c>
      <c r="I5458" s="7" t="str">
        <f>HYPERLINK("http://www.informatics.jax.org/marker/MGI:5592529","MGI:5592529")</f>
        <v>MGI:5592529</v>
      </c>
      <c r="J5458" s="4" t="s">
        <v>939</v>
      </c>
    </row>
    <row r="5459" spans="1:10" x14ac:dyDescent="0.25">
      <c r="A5459" s="2">
        <v>572.09808216274996</v>
      </c>
      <c r="B5459" s="3">
        <v>-0.369433766566585</v>
      </c>
      <c r="C5459" s="5">
        <v>3.6380320292347602E-9</v>
      </c>
      <c r="D5459" s="6">
        <v>1.8663369307104499E-8</v>
      </c>
      <c r="E5459" s="3" t="s">
        <v>7704</v>
      </c>
      <c r="F5459" s="3" t="s">
        <v>7705</v>
      </c>
      <c r="G5459" s="3">
        <v>72008</v>
      </c>
      <c r="H5459" s="7" t="str">
        <f>HYPERLINK("http://www.ensembl.org/Mus_musculus/Gene/Summary?db=core;g=ENSMUSG00000068580","ENSMUSG00000068580")</f>
        <v>ENSMUSG00000068580</v>
      </c>
      <c r="I5459" s="7" t="str">
        <f>HYPERLINK("http://www.informatics.jax.org/marker/MGI:1919258","MGI:1919258")</f>
        <v>MGI:1919258</v>
      </c>
      <c r="J5459" s="4" t="s">
        <v>12</v>
      </c>
    </row>
    <row r="5460" spans="1:10" x14ac:dyDescent="0.25">
      <c r="A5460" s="2">
        <v>2178.4570400722801</v>
      </c>
      <c r="B5460" s="3">
        <v>-0.36966251639668701</v>
      </c>
      <c r="C5460" s="5">
        <v>2.58865790455728E-13</v>
      </c>
      <c r="D5460" s="6">
        <v>1.8012820704964501E-12</v>
      </c>
      <c r="E5460" s="3" t="s">
        <v>5685</v>
      </c>
      <c r="F5460" s="3" t="s">
        <v>5686</v>
      </c>
      <c r="G5460" s="3">
        <v>14194</v>
      </c>
      <c r="H5460" s="7" t="str">
        <f>HYPERLINK("http://www.ensembl.org/Mus_musculus/Gene/Summary?db=core;g=ENSMUSG00000026526","ENSMUSG00000026526")</f>
        <v>ENSMUSG00000026526</v>
      </c>
      <c r="I5460" s="7" t="str">
        <f>HYPERLINK("http://www.informatics.jax.org/marker/MGI:95530","MGI:95530")</f>
        <v>MGI:95530</v>
      </c>
      <c r="J5460" s="4" t="s">
        <v>12</v>
      </c>
    </row>
    <row r="5461" spans="1:10" x14ac:dyDescent="0.25">
      <c r="A5461" s="2">
        <v>321.135867342469</v>
      </c>
      <c r="B5461" s="3">
        <v>-0.37055921161973399</v>
      </c>
      <c r="C5461" s="5">
        <v>4.4207482722709401E-7</v>
      </c>
      <c r="D5461" s="6">
        <v>1.8951555636778899E-6</v>
      </c>
      <c r="E5461" s="3" t="s">
        <v>9215</v>
      </c>
      <c r="F5461" s="3" t="s">
        <v>9216</v>
      </c>
      <c r="G5461" s="3" t="s">
        <v>83</v>
      </c>
      <c r="H5461" s="7" t="str">
        <f>HYPERLINK("http://www.ensembl.org/Mus_musculus/Gene/Summary?db=core;g=ENSMUSG00000093593","ENSMUSG00000093593")</f>
        <v>ENSMUSG00000093593</v>
      </c>
      <c r="I5461" s="7" t="str">
        <f>HYPERLINK("http://www.informatics.jax.org/marker/MGI:5313130","MGI:5313130")</f>
        <v>MGI:5313130</v>
      </c>
      <c r="J5461" s="4" t="s">
        <v>12</v>
      </c>
    </row>
    <row r="5462" spans="1:10" x14ac:dyDescent="0.25">
      <c r="A5462" s="2">
        <v>197.459032528336</v>
      </c>
      <c r="B5462" s="3">
        <v>-0.37057371677402401</v>
      </c>
      <c r="C5462" s="3">
        <v>1.08616685202439E-2</v>
      </c>
      <c r="D5462" s="4">
        <v>2.6817591488570099E-2</v>
      </c>
      <c r="E5462" s="3" t="s">
        <v>15979</v>
      </c>
      <c r="F5462" s="3" t="s">
        <v>15980</v>
      </c>
      <c r="G5462" s="3">
        <v>17131</v>
      </c>
      <c r="H5462" s="7" t="str">
        <f>HYPERLINK("http://www.ensembl.org/Mus_musculus/Gene/Summary?db=core;g=ENSMUSG00000025880","ENSMUSG00000025880")</f>
        <v>ENSMUSG00000025880</v>
      </c>
      <c r="I5462" s="7" t="str">
        <f>HYPERLINK("http://www.informatics.jax.org/marker/MGI:1100518","MGI:1100518")</f>
        <v>MGI:1100518</v>
      </c>
      <c r="J5462" s="4" t="s">
        <v>12</v>
      </c>
    </row>
    <row r="5463" spans="1:10" x14ac:dyDescent="0.25">
      <c r="A5463" s="2">
        <v>613.88074579331703</v>
      </c>
      <c r="B5463" s="3">
        <v>-0.370733078574075</v>
      </c>
      <c r="C5463" s="5">
        <v>3.1096507941275399E-7</v>
      </c>
      <c r="D5463" s="6">
        <v>1.3554888076966199E-6</v>
      </c>
      <c r="E5463" s="3" t="s">
        <v>9063</v>
      </c>
      <c r="F5463" s="3" t="s">
        <v>9064</v>
      </c>
      <c r="G5463" s="3">
        <v>21780</v>
      </c>
      <c r="H5463" s="7" t="str">
        <f>HYPERLINK("http://www.ensembl.org/Mus_musculus/Gene/Summary?db=core;g=ENSMUSG00000003923","ENSMUSG00000003923")</f>
        <v>ENSMUSG00000003923</v>
      </c>
      <c r="I5463" s="7" t="str">
        <f>HYPERLINK("http://www.informatics.jax.org/marker/MGI:107810","MGI:107810")</f>
        <v>MGI:107810</v>
      </c>
      <c r="J5463" s="4" t="s">
        <v>12</v>
      </c>
    </row>
    <row r="5464" spans="1:10" x14ac:dyDescent="0.25">
      <c r="A5464" s="2">
        <v>257.79011467613401</v>
      </c>
      <c r="B5464" s="3">
        <v>-0.37119405369084502</v>
      </c>
      <c r="C5464" s="3">
        <v>6.1115487933120199E-3</v>
      </c>
      <c r="D5464" s="4">
        <v>1.5862035036076999E-2</v>
      </c>
      <c r="E5464" s="3" t="s">
        <v>15201</v>
      </c>
      <c r="F5464" s="3" t="s">
        <v>15202</v>
      </c>
      <c r="G5464" s="3">
        <v>382090</v>
      </c>
      <c r="H5464" s="7" t="str">
        <f>HYPERLINK("http://www.ensembl.org/Mus_musculus/Gene/Summary?db=core;g=ENSMUSG00000056919","ENSMUSG00000056919")</f>
        <v>ENSMUSG00000056919</v>
      </c>
      <c r="I5464" s="7" t="str">
        <f>HYPERLINK("http://www.informatics.jax.org/marker/MGI:1925343","MGI:1925343")</f>
        <v>MGI:1925343</v>
      </c>
      <c r="J5464" s="4" t="s">
        <v>12</v>
      </c>
    </row>
    <row r="5465" spans="1:10" x14ac:dyDescent="0.25">
      <c r="A5465" s="2">
        <v>7701.7828692511903</v>
      </c>
      <c r="B5465" s="3">
        <v>-0.37145100988551599</v>
      </c>
      <c r="C5465" s="5">
        <v>5.0886447102715804E-6</v>
      </c>
      <c r="D5465" s="6">
        <v>1.9633745585317101E-5</v>
      </c>
      <c r="E5465" s="3" t="s">
        <v>10236</v>
      </c>
      <c r="F5465" s="3" t="s">
        <v>10237</v>
      </c>
      <c r="G5465" s="3">
        <v>107932</v>
      </c>
      <c r="H5465" s="7" t="str">
        <f>HYPERLINK("http://www.ensembl.org/Mus_musculus/Gene/Summary?db=core;g=ENSMUSG00000063870","ENSMUSG00000063870")</f>
        <v>ENSMUSG00000063870</v>
      </c>
      <c r="I5465" s="7" t="str">
        <f>HYPERLINK("http://www.informatics.jax.org/marker/MGI:1344380","MGI:1344380")</f>
        <v>MGI:1344380</v>
      </c>
      <c r="J5465" s="4" t="s">
        <v>12</v>
      </c>
    </row>
    <row r="5466" spans="1:10" x14ac:dyDescent="0.25">
      <c r="A5466" s="2">
        <v>664.48462970771197</v>
      </c>
      <c r="B5466" s="3">
        <v>-0.37169771836933702</v>
      </c>
      <c r="C5466" s="5">
        <v>2.25763685921164E-7</v>
      </c>
      <c r="D5466" s="6">
        <v>9.9598655175958706E-7</v>
      </c>
      <c r="E5466" s="3" t="s">
        <v>8957</v>
      </c>
      <c r="F5466" s="3" t="s">
        <v>8958</v>
      </c>
      <c r="G5466" s="3">
        <v>69190</v>
      </c>
      <c r="H5466" s="7" t="str">
        <f>HYPERLINK("http://www.ensembl.org/Mus_musculus/Gene/Summary?db=core;g=ENSMUSG00000035765","ENSMUSG00000035765")</f>
        <v>ENSMUSG00000035765</v>
      </c>
      <c r="I5466" s="7" t="str">
        <f>HYPERLINK("http://www.informatics.jax.org/marker/MGI:1918480","MGI:1918480")</f>
        <v>MGI:1918480</v>
      </c>
      <c r="J5466" s="4" t="s">
        <v>12</v>
      </c>
    </row>
    <row r="5467" spans="1:10" x14ac:dyDescent="0.25">
      <c r="A5467" s="2">
        <v>95.156970857570997</v>
      </c>
      <c r="B5467" s="3">
        <v>-0.37203649481530099</v>
      </c>
      <c r="C5467" s="3">
        <v>1.9977631338633098E-3</v>
      </c>
      <c r="D5467" s="4">
        <v>5.6424934115990397E-3</v>
      </c>
      <c r="E5467" s="3" t="s">
        <v>13971</v>
      </c>
      <c r="F5467" s="3" t="s">
        <v>13972</v>
      </c>
      <c r="G5467" s="3">
        <v>57431</v>
      </c>
      <c r="H5467" s="7" t="str">
        <f>HYPERLINK("http://www.ensembl.org/Mus_musculus/Gene/Summary?db=core;g=ENSMUSG00000024963","ENSMUSG00000024963")</f>
        <v>ENSMUSG00000024963</v>
      </c>
      <c r="I5467" s="7" t="str">
        <f>HYPERLINK("http://www.informatics.jax.org/marker/MGI:1927346","MGI:1927346")</f>
        <v>MGI:1927346</v>
      </c>
      <c r="J5467" s="4" t="s">
        <v>12</v>
      </c>
    </row>
    <row r="5468" spans="1:10" x14ac:dyDescent="0.25">
      <c r="A5468" s="2">
        <v>1324.5167465802599</v>
      </c>
      <c r="B5468" s="3">
        <v>-0.37204630846831199</v>
      </c>
      <c r="C5468" s="5">
        <v>4.5009194265835102E-10</v>
      </c>
      <c r="D5468" s="6">
        <v>2.47651035413579E-9</v>
      </c>
      <c r="E5468" s="3" t="s">
        <v>7186</v>
      </c>
      <c r="F5468" s="3" t="s">
        <v>7187</v>
      </c>
      <c r="G5468" s="3">
        <v>99045</v>
      </c>
      <c r="H5468" s="7" t="str">
        <f>HYPERLINK("http://www.ensembl.org/Mus_musculus/Gene/Summary?db=core;g=ENSMUSG00000037740","ENSMUSG00000037740")</f>
        <v>ENSMUSG00000037740</v>
      </c>
      <c r="I5468" s="7" t="str">
        <f>HYPERLINK("http://www.informatics.jax.org/marker/MGI:1333830","MGI:1333830")</f>
        <v>MGI:1333830</v>
      </c>
      <c r="J5468" s="4" t="s">
        <v>12</v>
      </c>
    </row>
    <row r="5469" spans="1:10" x14ac:dyDescent="0.25">
      <c r="A5469" s="2">
        <v>2050.0102397724399</v>
      </c>
      <c r="B5469" s="3">
        <v>-0.37222959534100403</v>
      </c>
      <c r="C5469" s="5">
        <v>1.2351892228152799E-14</v>
      </c>
      <c r="D5469" s="6">
        <v>9.3182599364641695E-14</v>
      </c>
      <c r="E5469" s="3" t="s">
        <v>5245</v>
      </c>
      <c r="F5469" s="3" t="s">
        <v>5246</v>
      </c>
      <c r="G5469" s="3">
        <v>231327</v>
      </c>
      <c r="H5469" s="7" t="str">
        <f>HYPERLINK("http://www.ensembl.org/Mus_musculus/Gene/Summary?db=core;g=ENSMUSG00000029246","ENSMUSG00000029246")</f>
        <v>ENSMUSG00000029246</v>
      </c>
      <c r="I5469" s="7" t="str">
        <f>HYPERLINK("http://www.informatics.jax.org/marker/MGI:2387203","MGI:2387203")</f>
        <v>MGI:2387203</v>
      </c>
      <c r="J5469" s="4" t="s">
        <v>12</v>
      </c>
    </row>
    <row r="5470" spans="1:10" x14ac:dyDescent="0.25">
      <c r="A5470" s="2">
        <v>753.58302923410201</v>
      </c>
      <c r="B5470" s="3">
        <v>-0.37291523620053502</v>
      </c>
      <c r="C5470" s="5">
        <v>1.4557419353545801E-9</v>
      </c>
      <c r="D5470" s="6">
        <v>7.7010054734850603E-9</v>
      </c>
      <c r="E5470" s="3" t="s">
        <v>7472</v>
      </c>
      <c r="F5470" s="3" t="s">
        <v>7473</v>
      </c>
      <c r="G5470" s="3">
        <v>70422</v>
      </c>
      <c r="H5470" s="7" t="str">
        <f>HYPERLINK("http://www.ensembl.org/Mus_musculus/Gene/Summary?db=core;g=ENSMUSG00000018068","ENSMUSG00000018068")</f>
        <v>ENSMUSG00000018068</v>
      </c>
      <c r="I5470" s="7" t="str">
        <f>HYPERLINK("http://www.informatics.jax.org/marker/MGI:1917672","MGI:1917672")</f>
        <v>MGI:1917672</v>
      </c>
      <c r="J5470" s="4" t="s">
        <v>12</v>
      </c>
    </row>
    <row r="5471" spans="1:10" x14ac:dyDescent="0.25">
      <c r="A5471" s="2">
        <v>332.22394943237998</v>
      </c>
      <c r="B5471" s="3">
        <v>-0.37359588095795998</v>
      </c>
      <c r="C5471" s="5">
        <v>4.1938578874916103E-6</v>
      </c>
      <c r="D5471" s="6">
        <v>1.63089878803657E-5</v>
      </c>
      <c r="E5471" s="3" t="s">
        <v>10156</v>
      </c>
      <c r="F5471" s="3" t="s">
        <v>10157</v>
      </c>
      <c r="G5471" s="3">
        <v>328801</v>
      </c>
      <c r="H5471" s="7" t="str">
        <f>HYPERLINK("http://www.ensembl.org/Mus_musculus/Gene/Summary?db=core;g=ENSMUSG00000073423","ENSMUSG00000073423")</f>
        <v>ENSMUSG00000073423</v>
      </c>
      <c r="I5471" s="7" t="str">
        <f>HYPERLINK("http://www.informatics.jax.org/marker/MGI:1915641","MGI:1915641")</f>
        <v>MGI:1915641</v>
      </c>
      <c r="J5471" s="4" t="s">
        <v>12</v>
      </c>
    </row>
    <row r="5472" spans="1:10" x14ac:dyDescent="0.25">
      <c r="A5472" s="2">
        <v>513.64726552024399</v>
      </c>
      <c r="B5472" s="3">
        <v>-0.37360528492990902</v>
      </c>
      <c r="C5472" s="5">
        <v>1.9558053956357301E-5</v>
      </c>
      <c r="D5472" s="6">
        <v>7.1080874312452397E-5</v>
      </c>
      <c r="E5472" s="3" t="s">
        <v>10864</v>
      </c>
      <c r="F5472" s="3" t="s">
        <v>10865</v>
      </c>
      <c r="G5472" s="3">
        <v>68614</v>
      </c>
      <c r="H5472" s="7" t="str">
        <f>HYPERLINK("http://www.ensembl.org/Mus_musculus/Gene/Summary?db=core;g=ENSMUSG00000037353","ENSMUSG00000037353")</f>
        <v>ENSMUSG00000037353</v>
      </c>
      <c r="I5472" s="7" t="str">
        <f>HYPERLINK("http://www.informatics.jax.org/marker/MGI:1915864","MGI:1915864")</f>
        <v>MGI:1915864</v>
      </c>
      <c r="J5472" s="4" t="s">
        <v>12</v>
      </c>
    </row>
    <row r="5473" spans="1:10" x14ac:dyDescent="0.25">
      <c r="A5473" s="2">
        <v>1549.27544805717</v>
      </c>
      <c r="B5473" s="3">
        <v>-0.37364856256227402</v>
      </c>
      <c r="C5473" s="5">
        <v>1.4882305238609399E-11</v>
      </c>
      <c r="D5473" s="6">
        <v>9.1855730612011403E-11</v>
      </c>
      <c r="E5473" s="3" t="s">
        <v>6407</v>
      </c>
      <c r="F5473" s="3" t="s">
        <v>6408</v>
      </c>
      <c r="G5473" s="3">
        <v>110616</v>
      </c>
      <c r="H5473" s="7" t="str">
        <f>HYPERLINK("http://www.ensembl.org/Mus_musculus/Gene/Summary?db=core;g=ENSMUSG00000021189","ENSMUSG00000021189")</f>
        <v>ENSMUSG00000021189</v>
      </c>
      <c r="I5473" s="7" t="str">
        <f>HYPERLINK("http://www.informatics.jax.org/marker/MGI:1099442","MGI:1099442")</f>
        <v>MGI:1099442</v>
      </c>
      <c r="J5473" s="4" t="s">
        <v>12</v>
      </c>
    </row>
    <row r="5474" spans="1:10" x14ac:dyDescent="0.25">
      <c r="A5474" s="2">
        <v>265.19607975081198</v>
      </c>
      <c r="B5474" s="3">
        <v>-0.37369061883307497</v>
      </c>
      <c r="C5474" s="5">
        <v>1.5914094051825298E-5</v>
      </c>
      <c r="D5474" s="6">
        <v>5.85059535238618E-5</v>
      </c>
      <c r="E5474" s="3" t="s">
        <v>10738</v>
      </c>
      <c r="F5474" s="3" t="s">
        <v>10739</v>
      </c>
      <c r="G5474" s="3">
        <v>67390</v>
      </c>
      <c r="H5474" s="7" t="str">
        <f>HYPERLINK("http://www.ensembl.org/Mus_musculus/Gene/Summary?db=core;g=ENSMUSG00000038046","ENSMUSG00000038046")</f>
        <v>ENSMUSG00000038046</v>
      </c>
      <c r="I5474" s="7" t="str">
        <f>HYPERLINK("http://www.informatics.jax.org/marker/MGI:1914640","MGI:1914640")</f>
        <v>MGI:1914640</v>
      </c>
      <c r="J5474" s="4" t="s">
        <v>12</v>
      </c>
    </row>
    <row r="5475" spans="1:10" x14ac:dyDescent="0.25">
      <c r="A5475" s="2">
        <v>204.78409515207301</v>
      </c>
      <c r="B5475" s="3">
        <v>-0.374179936233764</v>
      </c>
      <c r="C5475" s="3">
        <v>3.31913928723032E-4</v>
      </c>
      <c r="D5475" s="4">
        <v>1.04541489768698E-3</v>
      </c>
      <c r="E5475" s="3" t="s">
        <v>12535</v>
      </c>
      <c r="F5475" s="3" t="s">
        <v>12536</v>
      </c>
      <c r="G5475" s="3">
        <v>330361</v>
      </c>
      <c r="H5475" s="7" t="str">
        <f>HYPERLINK("http://www.ensembl.org/Mus_musculus/Gene/Summary?db=core;g=ENSMUSG00000035125","ENSMUSG00000035125")</f>
        <v>ENSMUSG00000035125</v>
      </c>
      <c r="I5475" s="7" t="str">
        <f>HYPERLINK("http://www.informatics.jax.org/marker/MGI:2141656","MGI:2141656")</f>
        <v>MGI:2141656</v>
      </c>
      <c r="J5475" s="4" t="s">
        <v>12</v>
      </c>
    </row>
    <row r="5476" spans="1:10" x14ac:dyDescent="0.25">
      <c r="A5476" s="2">
        <v>810.20934636386096</v>
      </c>
      <c r="B5476" s="3">
        <v>-0.37427620999622702</v>
      </c>
      <c r="C5476" s="5">
        <v>1.66819992204046E-8</v>
      </c>
      <c r="D5476" s="6">
        <v>8.1026853356250898E-8</v>
      </c>
      <c r="E5476" s="3" t="s">
        <v>8137</v>
      </c>
      <c r="F5476" s="3" t="s">
        <v>8138</v>
      </c>
      <c r="G5476" s="3">
        <v>19063</v>
      </c>
      <c r="H5476" s="7" t="str">
        <f>HYPERLINK("http://www.ensembl.org/Mus_musculus/Gene/Summary?db=core;g=ENSMUSG00000028657","ENSMUSG00000028657")</f>
        <v>ENSMUSG00000028657</v>
      </c>
      <c r="I5476" s="7" t="str">
        <f>HYPERLINK("http://www.informatics.jax.org/marker/MGI:1298204","MGI:1298204")</f>
        <v>MGI:1298204</v>
      </c>
      <c r="J5476" s="4" t="s">
        <v>12</v>
      </c>
    </row>
    <row r="5477" spans="1:10" x14ac:dyDescent="0.25">
      <c r="A5477" s="2">
        <v>941.81844478051801</v>
      </c>
      <c r="B5477" s="3">
        <v>-0.37437228253847499</v>
      </c>
      <c r="C5477" s="5">
        <v>5.0002976711105298E-5</v>
      </c>
      <c r="D5477" s="4">
        <v>1.7418454349814501E-4</v>
      </c>
      <c r="E5477" s="3" t="s">
        <v>11333</v>
      </c>
      <c r="F5477" s="3" t="s">
        <v>11334</v>
      </c>
      <c r="G5477" s="3">
        <v>67549</v>
      </c>
      <c r="H5477" s="7" t="str">
        <f>HYPERLINK("http://www.ensembl.org/Mus_musculus/Gene/Summary?db=core;g=ENSMUSG00000028096","ENSMUSG00000028096")</f>
        <v>ENSMUSG00000028096</v>
      </c>
      <c r="I5477" s="7" t="str">
        <f>HYPERLINK("http://www.informatics.jax.org/marker/MGI:1914799","MGI:1914799")</f>
        <v>MGI:1914799</v>
      </c>
      <c r="J5477" s="4" t="s">
        <v>12</v>
      </c>
    </row>
    <row r="5478" spans="1:10" x14ac:dyDescent="0.25">
      <c r="A5478" s="2">
        <v>377.13959608910898</v>
      </c>
      <c r="B5478" s="3">
        <v>-0.374488988904565</v>
      </c>
      <c r="C5478" s="5">
        <v>2.3126551736178499E-5</v>
      </c>
      <c r="D5478" s="6">
        <v>8.36185552323873E-5</v>
      </c>
      <c r="E5478" s="3" t="s">
        <v>10920</v>
      </c>
      <c r="F5478" s="3" t="s">
        <v>10921</v>
      </c>
      <c r="G5478" s="3">
        <v>102141</v>
      </c>
      <c r="H5478" s="7" t="str">
        <f>HYPERLINK("http://www.ensembl.org/Mus_musculus/Gene/Summary?db=core;g=ENSMUSG00000038291","ENSMUSG00000038291")</f>
        <v>ENSMUSG00000038291</v>
      </c>
      <c r="I5478" s="7" t="str">
        <f>HYPERLINK("http://www.informatics.jax.org/marker/MGI:2142610","MGI:2142610")</f>
        <v>MGI:2142610</v>
      </c>
      <c r="J5478" s="4" t="s">
        <v>12</v>
      </c>
    </row>
    <row r="5479" spans="1:10" x14ac:dyDescent="0.25">
      <c r="A5479" s="2">
        <v>746.80317496836904</v>
      </c>
      <c r="B5479" s="3">
        <v>-0.37449038512789501</v>
      </c>
      <c r="C5479" s="3">
        <v>2.7032852949958E-4</v>
      </c>
      <c r="D5479" s="4">
        <v>8.6195094316244604E-4</v>
      </c>
      <c r="E5479" s="3" t="s">
        <v>12380</v>
      </c>
      <c r="F5479" s="3" t="s">
        <v>12381</v>
      </c>
      <c r="G5479" s="3">
        <v>77582</v>
      </c>
      <c r="H5479" s="7" t="str">
        <f>HYPERLINK("http://www.ensembl.org/Mus_musculus/Gene/Summary?db=core;g=ENSMUSG00000035596","ENSMUSG00000035596")</f>
        <v>ENSMUSG00000035596</v>
      </c>
      <c r="I5479" s="7" t="str">
        <f>HYPERLINK("http://www.informatics.jax.org/marker/MGI:1924832","MGI:1924832")</f>
        <v>MGI:1924832</v>
      </c>
      <c r="J5479" s="4" t="s">
        <v>12</v>
      </c>
    </row>
    <row r="5480" spans="1:10" x14ac:dyDescent="0.25">
      <c r="A5480" s="2">
        <v>703.16443433084703</v>
      </c>
      <c r="B5480" s="3">
        <v>-0.37454745246473597</v>
      </c>
      <c r="C5480" s="5">
        <v>5.94864999660582E-8</v>
      </c>
      <c r="D5480" s="6">
        <v>2.7466021524951202E-7</v>
      </c>
      <c r="E5480" s="3" t="s">
        <v>8559</v>
      </c>
      <c r="F5480" s="3" t="s">
        <v>8560</v>
      </c>
      <c r="G5480" s="3">
        <v>26406</v>
      </c>
      <c r="H5480" s="7" t="str">
        <f>HYPERLINK("http://www.ensembl.org/Mus_musculus/Gene/Summary?db=core;g=ENSMUSG00000020700","ENSMUSG00000020700")</f>
        <v>ENSMUSG00000020700</v>
      </c>
      <c r="I5480" s="7" t="str">
        <f>HYPERLINK("http://www.informatics.jax.org/marker/MGI:1346874","MGI:1346874")</f>
        <v>MGI:1346874</v>
      </c>
      <c r="J5480" s="4" t="s">
        <v>12</v>
      </c>
    </row>
    <row r="5481" spans="1:10" x14ac:dyDescent="0.25">
      <c r="A5481" s="2">
        <v>2306.6629962877601</v>
      </c>
      <c r="B5481" s="3">
        <v>-0.37500852954564901</v>
      </c>
      <c r="C5481" s="5">
        <v>3.5033756577406097E-8</v>
      </c>
      <c r="D5481" s="6">
        <v>1.6508140494777701E-7</v>
      </c>
      <c r="E5481" s="3" t="s">
        <v>8387</v>
      </c>
      <c r="F5481" s="3" t="s">
        <v>8388</v>
      </c>
      <c r="G5481" s="3">
        <v>50995</v>
      </c>
      <c r="H5481" s="7" t="str">
        <f>HYPERLINK("http://www.ensembl.org/Mus_musculus/Gene/Summary?db=core;g=ENSMUSG00000052997","ENSMUSG00000052997")</f>
        <v>ENSMUSG00000052997</v>
      </c>
      <c r="I5481" s="7" t="str">
        <f>HYPERLINK("http://www.informatics.jax.org/marker/MGI:1858313","MGI:1858313")</f>
        <v>MGI:1858313</v>
      </c>
      <c r="J5481" s="4" t="s">
        <v>12</v>
      </c>
    </row>
    <row r="5482" spans="1:10" x14ac:dyDescent="0.25">
      <c r="A5482" s="2">
        <v>457.33319133025998</v>
      </c>
      <c r="B5482" s="3">
        <v>-0.37511610170264498</v>
      </c>
      <c r="C5482" s="5">
        <v>4.0161217926707296E-6</v>
      </c>
      <c r="D5482" s="6">
        <v>1.5645579168602702E-5</v>
      </c>
      <c r="E5482" s="3" t="s">
        <v>10140</v>
      </c>
      <c r="F5482" s="3" t="s">
        <v>10141</v>
      </c>
      <c r="G5482" s="3">
        <v>54608</v>
      </c>
      <c r="H5482" s="7" t="str">
        <f>HYPERLINK("http://www.ensembl.org/Mus_musculus/Gene/Summary?db=core;g=ENSMUSG00000039202","ENSMUSG00000039202")</f>
        <v>ENSMUSG00000039202</v>
      </c>
      <c r="I5482" s="7" t="str">
        <f>HYPERLINK("http://www.informatics.jax.org/marker/MGI:1914344","MGI:1914344")</f>
        <v>MGI:1914344</v>
      </c>
      <c r="J5482" s="4" t="s">
        <v>12</v>
      </c>
    </row>
    <row r="5483" spans="1:10" x14ac:dyDescent="0.25">
      <c r="A5483" s="2">
        <v>990.72764959052097</v>
      </c>
      <c r="B5483" s="3">
        <v>-0.375298866369776</v>
      </c>
      <c r="C5483" s="5">
        <v>1.3190875065180501E-8</v>
      </c>
      <c r="D5483" s="6">
        <v>6.4691384303745204E-8</v>
      </c>
      <c r="E5483" s="3" t="s">
        <v>8059</v>
      </c>
      <c r="F5483" s="3" t="s">
        <v>8060</v>
      </c>
      <c r="G5483" s="3">
        <v>19377</v>
      </c>
      <c r="H5483" s="7" t="str">
        <f>HYPERLINK("http://www.ensembl.org/Mus_musculus/Gene/Summary?db=core;g=ENSMUSG00000062115","ENSMUSG00000062115")</f>
        <v>ENSMUSG00000062115</v>
      </c>
      <c r="I5483" s="7" t="str">
        <f>HYPERLINK("http://www.informatics.jax.org/marker/MGI:103291","MGI:103291")</f>
        <v>MGI:103291</v>
      </c>
      <c r="J5483" s="4" t="s">
        <v>12</v>
      </c>
    </row>
    <row r="5484" spans="1:10" x14ac:dyDescent="0.25">
      <c r="A5484" s="2">
        <v>428.66370168883299</v>
      </c>
      <c r="B5484" s="3">
        <v>-0.37543667984078999</v>
      </c>
      <c r="C5484" s="3">
        <v>1.3498913056753201E-2</v>
      </c>
      <c r="D5484" s="4">
        <v>3.2686464327010403E-2</v>
      </c>
      <c r="E5484" s="3" t="s">
        <v>16293</v>
      </c>
      <c r="F5484" s="3" t="s">
        <v>16294</v>
      </c>
      <c r="G5484" s="3">
        <v>68603</v>
      </c>
      <c r="H5484" s="7" t="str">
        <f>HYPERLINK("http://www.ensembl.org/Mus_musculus/Gene/Summary?db=core;g=ENSMUSG00000027952","ENSMUSG00000027952")</f>
        <v>ENSMUSG00000027952</v>
      </c>
      <c r="I5484" s="7" t="str">
        <f>HYPERLINK("http://www.informatics.jax.org/marker/MGI:1915853","MGI:1915853")</f>
        <v>MGI:1915853</v>
      </c>
      <c r="J5484" s="4" t="s">
        <v>12</v>
      </c>
    </row>
    <row r="5485" spans="1:10" x14ac:dyDescent="0.25">
      <c r="A5485" s="2">
        <v>514.95636940030397</v>
      </c>
      <c r="B5485" s="3">
        <v>-0.37551068539800803</v>
      </c>
      <c r="C5485" s="3">
        <v>2.2328634469555501E-3</v>
      </c>
      <c r="D5485" s="4">
        <v>6.2607802038907303E-3</v>
      </c>
      <c r="E5485" s="3" t="s">
        <v>14073</v>
      </c>
      <c r="F5485" s="3" t="s">
        <v>14074</v>
      </c>
      <c r="G5485" s="3">
        <v>13852</v>
      </c>
      <c r="H5485" s="7" t="str">
        <f>HYPERLINK("http://www.ensembl.org/Mus_musculus/Gene/Summary?db=core;g=ENSMUSG00000029428","ENSMUSG00000029428")</f>
        <v>ENSMUSG00000029428</v>
      </c>
      <c r="I5485" s="7" t="str">
        <f>HYPERLINK("http://www.informatics.jax.org/marker/MGI:108059","MGI:108059")</f>
        <v>MGI:108059</v>
      </c>
      <c r="J5485" s="4" t="s">
        <v>12</v>
      </c>
    </row>
    <row r="5486" spans="1:10" x14ac:dyDescent="0.25">
      <c r="A5486" s="2">
        <v>199.633005832896</v>
      </c>
      <c r="B5486" s="3">
        <v>-0.375679118377931</v>
      </c>
      <c r="C5486" s="3">
        <v>9.5709019815615702E-4</v>
      </c>
      <c r="D5486" s="4">
        <v>2.8288097583392402E-3</v>
      </c>
      <c r="E5486" s="3" t="s">
        <v>13353</v>
      </c>
      <c r="F5486" s="3" t="s">
        <v>13354</v>
      </c>
      <c r="G5486" s="3">
        <v>75894</v>
      </c>
      <c r="H5486" s="7" t="str">
        <f>HYPERLINK("http://www.ensembl.org/Mus_musculus/Gene/Summary?db=core;g=ENSMUSG00000027259","ENSMUSG00000027259")</f>
        <v>ENSMUSG00000027259</v>
      </c>
      <c r="I5486" s="7" t="str">
        <f>HYPERLINK("http://www.informatics.jax.org/marker/MGI:1923144","MGI:1923144")</f>
        <v>MGI:1923144</v>
      </c>
      <c r="J5486" s="4" t="s">
        <v>12</v>
      </c>
    </row>
    <row r="5487" spans="1:10" x14ac:dyDescent="0.25">
      <c r="A5487" s="2">
        <v>619.97538210413597</v>
      </c>
      <c r="B5487" s="3">
        <v>-0.37600091612473302</v>
      </c>
      <c r="C5487" s="5">
        <v>2.1642260333140499E-9</v>
      </c>
      <c r="D5487" s="6">
        <v>1.12995862793098E-8</v>
      </c>
      <c r="E5487" s="3" t="s">
        <v>7572</v>
      </c>
      <c r="F5487" s="3" t="s">
        <v>7573</v>
      </c>
      <c r="G5487" s="3">
        <v>231801</v>
      </c>
      <c r="H5487" s="7" t="str">
        <f>HYPERLINK("http://www.ensembl.org/Mus_musculus/Gene/Summary?db=core;g=ENSMUSG00000029722","ENSMUSG00000029722")</f>
        <v>ENSMUSG00000029722</v>
      </c>
      <c r="I5487" s="7" t="str">
        <f>HYPERLINK("http://www.informatics.jax.org/marker/MGI:2443267","MGI:2443267")</f>
        <v>MGI:2443267</v>
      </c>
      <c r="J5487" s="4" t="s">
        <v>12</v>
      </c>
    </row>
    <row r="5488" spans="1:10" x14ac:dyDescent="0.25">
      <c r="A5488" s="2">
        <v>164.239185836053</v>
      </c>
      <c r="B5488" s="3">
        <v>-0.37601715850339701</v>
      </c>
      <c r="C5488" s="3">
        <v>4.3242341434042398E-4</v>
      </c>
      <c r="D5488" s="4">
        <v>1.34183945409806E-3</v>
      </c>
      <c r="E5488" s="3" t="s">
        <v>12721</v>
      </c>
      <c r="F5488" s="3" t="s">
        <v>12722</v>
      </c>
      <c r="G5488" s="3" t="s">
        <v>83</v>
      </c>
      <c r="H5488" s="7" t="str">
        <f>HYPERLINK("http://www.ensembl.org/Mus_musculus/Gene/Summary?db=core;g=ENSMUSG00000051319","ENSMUSG00000051319")</f>
        <v>ENSMUSG00000051319</v>
      </c>
      <c r="I5488" s="7" t="str">
        <f>HYPERLINK("http://www.informatics.jax.org/marker/MGI:1915135","MGI:1915135")</f>
        <v>MGI:1915135</v>
      </c>
      <c r="J5488" s="4" t="s">
        <v>12</v>
      </c>
    </row>
    <row r="5489" spans="1:10" x14ac:dyDescent="0.25">
      <c r="A5489" s="2">
        <v>180.344089107667</v>
      </c>
      <c r="B5489" s="3">
        <v>-0.37608999314125502</v>
      </c>
      <c r="C5489" s="3">
        <v>4.3279386131040402E-4</v>
      </c>
      <c r="D5489" s="4">
        <v>1.34235529176489E-3</v>
      </c>
      <c r="E5489" s="3" t="s">
        <v>12727</v>
      </c>
      <c r="F5489" s="3" t="s">
        <v>12728</v>
      </c>
      <c r="G5489" s="3">
        <v>66627</v>
      </c>
      <c r="H5489" s="7" t="str">
        <f>HYPERLINK("http://www.ensembl.org/Mus_musculus/Gene/Summary?db=core;g=ENSMUSG00000023707","ENSMUSG00000023707")</f>
        <v>ENSMUSG00000023707</v>
      </c>
      <c r="I5489" s="7" t="str">
        <f>HYPERLINK("http://www.informatics.jax.org/marker/MGI:1913877","MGI:1913877")</f>
        <v>MGI:1913877</v>
      </c>
      <c r="J5489" s="4" t="s">
        <v>12</v>
      </c>
    </row>
    <row r="5490" spans="1:10" x14ac:dyDescent="0.25">
      <c r="A5490" s="2">
        <v>144.678054406348</v>
      </c>
      <c r="B5490" s="3">
        <v>-0.37616281077955499</v>
      </c>
      <c r="C5490" s="3">
        <v>3.7391232857060001E-3</v>
      </c>
      <c r="D5490" s="4">
        <v>1.0113884617993601E-2</v>
      </c>
      <c r="E5490" s="3" t="s">
        <v>14583</v>
      </c>
      <c r="F5490" s="3" t="s">
        <v>14584</v>
      </c>
      <c r="G5490" s="3">
        <v>74080</v>
      </c>
      <c r="H5490" s="7" t="str">
        <f>HYPERLINK("http://www.ensembl.org/Mus_musculus/Gene/Summary?db=core;g=ENSMUSG00000032456","ENSMUSG00000032456")</f>
        <v>ENSMUSG00000032456</v>
      </c>
      <c r="I5490" s="7" t="str">
        <f>HYPERLINK("http://www.informatics.jax.org/marker/MGI:1921330","MGI:1921330")</f>
        <v>MGI:1921330</v>
      </c>
      <c r="J5490" s="4" t="s">
        <v>12</v>
      </c>
    </row>
    <row r="5491" spans="1:10" x14ac:dyDescent="0.25">
      <c r="A5491" s="2">
        <v>3051.99217837285</v>
      </c>
      <c r="B5491" s="3">
        <v>-0.37627722313718298</v>
      </c>
      <c r="C5491" s="5">
        <v>3.1886118071101401E-18</v>
      </c>
      <c r="D5491" s="6">
        <v>2.9083915280394002E-17</v>
      </c>
      <c r="E5491" s="3" t="s">
        <v>4341</v>
      </c>
      <c r="F5491" s="3" t="s">
        <v>4342</v>
      </c>
      <c r="G5491" s="3">
        <v>108156</v>
      </c>
      <c r="H5491" s="7" t="str">
        <f>HYPERLINK("http://www.ensembl.org/Mus_musculus/Gene/Summary?db=core;g=ENSMUSG00000021048","ENSMUSG00000021048")</f>
        <v>ENSMUSG00000021048</v>
      </c>
      <c r="I5491" s="7" t="str">
        <f>HYPERLINK("http://www.informatics.jax.org/marker/MGI:1342005","MGI:1342005")</f>
        <v>MGI:1342005</v>
      </c>
      <c r="J5491" s="4" t="s">
        <v>12</v>
      </c>
    </row>
    <row r="5492" spans="1:10" x14ac:dyDescent="0.25">
      <c r="A5492" s="2">
        <v>1013.0154969999199</v>
      </c>
      <c r="B5492" s="3">
        <v>-0.37664021958417199</v>
      </c>
      <c r="C5492" s="3">
        <v>1.13363527759945E-3</v>
      </c>
      <c r="D5492" s="4">
        <v>3.3173004413505299E-3</v>
      </c>
      <c r="E5492" s="3" t="s">
        <v>13487</v>
      </c>
      <c r="F5492" s="3" t="s">
        <v>13488</v>
      </c>
      <c r="G5492" s="3">
        <v>68671</v>
      </c>
      <c r="H5492" s="7" t="str">
        <f>HYPERLINK("http://www.ensembl.org/Mus_musculus/Gene/Summary?db=core;g=ENSMUSG00000025137","ENSMUSG00000025137")</f>
        <v>ENSMUSG00000025137</v>
      </c>
      <c r="I5492" s="7" t="str">
        <f>HYPERLINK("http://www.informatics.jax.org/marker/MGI:1915921","MGI:1915921")</f>
        <v>MGI:1915921</v>
      </c>
      <c r="J5492" s="4" t="s">
        <v>12</v>
      </c>
    </row>
    <row r="5493" spans="1:10" x14ac:dyDescent="0.25">
      <c r="A5493" s="2">
        <v>561.91365336281604</v>
      </c>
      <c r="B5493" s="3">
        <v>-0.37726386078834601</v>
      </c>
      <c r="C5493" s="3">
        <v>6.8703718307400999E-4</v>
      </c>
      <c r="D5493" s="4">
        <v>2.0732017215332002E-3</v>
      </c>
      <c r="E5493" s="3" t="s">
        <v>13079</v>
      </c>
      <c r="F5493" s="3" t="s">
        <v>13080</v>
      </c>
      <c r="G5493" s="3">
        <v>11906</v>
      </c>
      <c r="H5493" s="7" t="str">
        <f>HYPERLINK("http://www.ensembl.org/Mus_musculus/Gene/Summary?db=core;g=ENSMUSG00000038872","ENSMUSG00000038872")</f>
        <v>ENSMUSG00000038872</v>
      </c>
      <c r="I5493" s="7" t="str">
        <f>HYPERLINK("http://www.informatics.jax.org/marker/MGI:99948","MGI:99948")</f>
        <v>MGI:99948</v>
      </c>
      <c r="J5493" s="4" t="s">
        <v>12</v>
      </c>
    </row>
    <row r="5494" spans="1:10" x14ac:dyDescent="0.25">
      <c r="A5494" s="2">
        <v>3914.7812816879</v>
      </c>
      <c r="B5494" s="3">
        <v>-0.37755421151423602</v>
      </c>
      <c r="C5494" s="3">
        <v>5.9951074048147403E-3</v>
      </c>
      <c r="D5494" s="4">
        <v>1.55864888626166E-2</v>
      </c>
      <c r="E5494" s="3" t="s">
        <v>15175</v>
      </c>
      <c r="F5494" s="3" t="s">
        <v>15176</v>
      </c>
      <c r="G5494" s="3">
        <v>17159</v>
      </c>
      <c r="H5494" s="7" t="str">
        <f>HYPERLINK("http://www.ensembl.org/Mus_musculus/Gene/Summary?db=core;g=ENSMUSG00000005142","ENSMUSG00000005142")</f>
        <v>ENSMUSG00000005142</v>
      </c>
      <c r="I5494" s="7" t="str">
        <f>HYPERLINK("http://www.informatics.jax.org/marker/MGI:107286","MGI:107286")</f>
        <v>MGI:107286</v>
      </c>
      <c r="J5494" s="4" t="s">
        <v>12</v>
      </c>
    </row>
    <row r="5495" spans="1:10" x14ac:dyDescent="0.25">
      <c r="A5495" s="2">
        <v>1008.68463296211</v>
      </c>
      <c r="B5495" s="3">
        <v>-0.37844912411776899</v>
      </c>
      <c r="C5495" s="5">
        <v>6.6183034743749798E-11</v>
      </c>
      <c r="D5495" s="6">
        <v>3.8947461806826201E-10</v>
      </c>
      <c r="E5495" s="3" t="s">
        <v>6720</v>
      </c>
      <c r="F5495" s="3" t="s">
        <v>6721</v>
      </c>
      <c r="G5495" s="3">
        <v>68166</v>
      </c>
      <c r="H5495" s="7" t="str">
        <f>HYPERLINK("http://www.ensembl.org/Mus_musculus/Gene/Summary?db=core;g=ENSMUSG00000024533","ENSMUSG00000024533")</f>
        <v>ENSMUSG00000024533</v>
      </c>
      <c r="I5495" s="7" t="str">
        <f>HYPERLINK("http://www.informatics.jax.org/marker/MGI:1915416","MGI:1915416")</f>
        <v>MGI:1915416</v>
      </c>
      <c r="J5495" s="4" t="s">
        <v>12</v>
      </c>
    </row>
    <row r="5496" spans="1:10" x14ac:dyDescent="0.25">
      <c r="A5496" s="2">
        <v>1935.1573251449799</v>
      </c>
      <c r="B5496" s="3">
        <v>-0.37865443799014298</v>
      </c>
      <c r="C5496" s="5">
        <v>1.3622886184845199E-12</v>
      </c>
      <c r="D5496" s="6">
        <v>9.0665985678416397E-12</v>
      </c>
      <c r="E5496" s="3" t="s">
        <v>5943</v>
      </c>
      <c r="F5496" s="3" t="s">
        <v>5944</v>
      </c>
      <c r="G5496" s="3">
        <v>105782</v>
      </c>
      <c r="H5496" s="7" t="str">
        <f>HYPERLINK("http://www.ensembl.org/Mus_musculus/Gene/Summary?db=core;g=ENSMUSG00000022568","ENSMUSG00000022568")</f>
        <v>ENSMUSG00000022568</v>
      </c>
      <c r="I5496" s="7" t="str">
        <f>HYPERLINK("http://www.informatics.jax.org/marker/MGI:2145950","MGI:2145950")</f>
        <v>MGI:2145950</v>
      </c>
      <c r="J5496" s="4" t="s">
        <v>12</v>
      </c>
    </row>
    <row r="5497" spans="1:10" x14ac:dyDescent="0.25">
      <c r="A5497" s="2">
        <v>441.69867566187202</v>
      </c>
      <c r="B5497" s="3">
        <v>-0.37888467453514602</v>
      </c>
      <c r="C5497" s="5">
        <v>1.37175410316972E-6</v>
      </c>
      <c r="D5497" s="6">
        <v>5.5890477096088603E-6</v>
      </c>
      <c r="E5497" s="3" t="s">
        <v>9695</v>
      </c>
      <c r="F5497" s="3" t="s">
        <v>9696</v>
      </c>
      <c r="G5497" s="3">
        <v>56389</v>
      </c>
      <c r="H5497" s="7" t="str">
        <f>HYPERLINK("http://www.ensembl.org/Mus_musculus/Gene/Summary?db=core;g=ENSMUSG00000010110","ENSMUSG00000010110")</f>
        <v>ENSMUSG00000010110</v>
      </c>
      <c r="I5497" s="7" t="str">
        <f>HYPERLINK("http://www.informatics.jax.org/marker/MGI:1928483","MGI:1928483")</f>
        <v>MGI:1928483</v>
      </c>
      <c r="J5497" s="4" t="s">
        <v>12</v>
      </c>
    </row>
    <row r="5498" spans="1:10" x14ac:dyDescent="0.25">
      <c r="A5498" s="2">
        <v>566.18507039203598</v>
      </c>
      <c r="B5498" s="3">
        <v>-0.37895808640289003</v>
      </c>
      <c r="C5498" s="5">
        <v>2.6743623165580298E-6</v>
      </c>
      <c r="D5498" s="6">
        <v>1.06134886058612E-5</v>
      </c>
      <c r="E5498" s="3" t="s">
        <v>9954</v>
      </c>
      <c r="F5498" s="3" t="s">
        <v>9955</v>
      </c>
      <c r="G5498" s="3">
        <v>70369</v>
      </c>
      <c r="H5498" s="7" t="str">
        <f>HYPERLINK("http://www.ensembl.org/Mus_musculus/Gene/Summary?db=core;g=ENSMUSG00000049792","ENSMUSG00000049792")</f>
        <v>ENSMUSG00000049792</v>
      </c>
      <c r="I5498" s="7" t="str">
        <f>HYPERLINK("http://www.informatics.jax.org/marker/MGI:1917619","MGI:1917619")</f>
        <v>MGI:1917619</v>
      </c>
      <c r="J5498" s="4" t="s">
        <v>12</v>
      </c>
    </row>
    <row r="5499" spans="1:10" x14ac:dyDescent="0.25">
      <c r="A5499" s="2">
        <v>1232.3513519968801</v>
      </c>
      <c r="B5499" s="3">
        <v>-0.37904625588908902</v>
      </c>
      <c r="C5499" s="5">
        <v>3.1953942420022301E-8</v>
      </c>
      <c r="D5499" s="6">
        <v>1.5111073010139999E-7</v>
      </c>
      <c r="E5499" s="3" t="s">
        <v>8357</v>
      </c>
      <c r="F5499" s="3" t="s">
        <v>8358</v>
      </c>
      <c r="G5499" s="3">
        <v>102626</v>
      </c>
      <c r="H5499" s="7" t="str">
        <f>HYPERLINK("http://www.ensembl.org/Mus_musculus/Gene/Summary?db=core;g=ENSMUSG00000032577","ENSMUSG00000032577")</f>
        <v>ENSMUSG00000032577</v>
      </c>
      <c r="I5499" s="7" t="str">
        <f>HYPERLINK("http://www.informatics.jax.org/marker/MGI:2143163","MGI:2143163")</f>
        <v>MGI:2143163</v>
      </c>
      <c r="J5499" s="4" t="s">
        <v>12</v>
      </c>
    </row>
    <row r="5500" spans="1:10" x14ac:dyDescent="0.25">
      <c r="A5500" s="2">
        <v>573.36730028729698</v>
      </c>
      <c r="B5500" s="3">
        <v>-0.37933154234828798</v>
      </c>
      <c r="C5500" s="5">
        <v>3.1509245668864198E-5</v>
      </c>
      <c r="D5500" s="4">
        <v>1.12159264366426E-4</v>
      </c>
      <c r="E5500" s="3" t="s">
        <v>11092</v>
      </c>
      <c r="F5500" s="3" t="s">
        <v>11093</v>
      </c>
      <c r="G5500" s="3">
        <v>208968</v>
      </c>
      <c r="H5500" s="7" t="str">
        <f>HYPERLINK("http://www.ensembl.org/Mus_musculus/Gene/Summary?db=core;g=ENSMUSG00000036916","ENSMUSG00000036916")</f>
        <v>ENSMUSG00000036916</v>
      </c>
      <c r="I5500" s="7" t="str">
        <f>HYPERLINK("http://www.informatics.jax.org/marker/MGI:2387585","MGI:2387585")</f>
        <v>MGI:2387585</v>
      </c>
      <c r="J5500" s="4" t="s">
        <v>12</v>
      </c>
    </row>
    <row r="5501" spans="1:10" x14ac:dyDescent="0.25">
      <c r="A5501" s="2">
        <v>943.66902868285194</v>
      </c>
      <c r="B5501" s="3">
        <v>-0.379347873049527</v>
      </c>
      <c r="C5501" s="3">
        <v>1.1855275355501099E-3</v>
      </c>
      <c r="D5501" s="4">
        <v>3.4588848943702E-3</v>
      </c>
      <c r="E5501" s="3" t="s">
        <v>13527</v>
      </c>
      <c r="F5501" s="3" t="s">
        <v>13528</v>
      </c>
      <c r="G5501" s="3">
        <v>54141</v>
      </c>
      <c r="H5501" s="7" t="str">
        <f>HYPERLINK("http://www.ensembl.org/Mus_musculus/Gene/Summary?db=core;g=ENSMUSG00000002055","ENSMUSG00000002055")</f>
        <v>ENSMUSG00000002055</v>
      </c>
      <c r="I5501" s="7" t="str">
        <f>HYPERLINK("http://www.informatics.jax.org/marker/MGI:1927470","MGI:1927470")</f>
        <v>MGI:1927470</v>
      </c>
      <c r="J5501" s="4" t="s">
        <v>12</v>
      </c>
    </row>
    <row r="5502" spans="1:10" x14ac:dyDescent="0.25">
      <c r="A5502" s="2">
        <v>904.35997249537002</v>
      </c>
      <c r="B5502" s="3">
        <v>-0.37965761456785502</v>
      </c>
      <c r="C5502" s="5">
        <v>8.7629979451397099E-10</v>
      </c>
      <c r="D5502" s="6">
        <v>4.7163296800806503E-9</v>
      </c>
      <c r="E5502" s="3" t="s">
        <v>7346</v>
      </c>
      <c r="F5502" s="3" t="s">
        <v>7347</v>
      </c>
      <c r="G5502" s="3">
        <v>22193</v>
      </c>
      <c r="H5502" s="7" t="str">
        <f>HYPERLINK("http://www.ensembl.org/Mus_musculus/Gene/Summary?db=core;g=ENSMUSG00000027011","ENSMUSG00000027011")</f>
        <v>ENSMUSG00000027011</v>
      </c>
      <c r="I5502" s="7" t="str">
        <f>HYPERLINK("http://www.informatics.jax.org/marker/MGI:107412","MGI:107412")</f>
        <v>MGI:107412</v>
      </c>
      <c r="J5502" s="4" t="s">
        <v>12</v>
      </c>
    </row>
    <row r="5503" spans="1:10" x14ac:dyDescent="0.25">
      <c r="A5503" s="2">
        <v>1036.8893829758299</v>
      </c>
      <c r="B5503" s="3">
        <v>-0.37983972518953801</v>
      </c>
      <c r="C5503" s="5">
        <v>3.2722102701230601E-9</v>
      </c>
      <c r="D5503" s="6">
        <v>1.6856840785482499E-8</v>
      </c>
      <c r="E5503" s="3" t="s">
        <v>7672</v>
      </c>
      <c r="F5503" s="3" t="s">
        <v>7673</v>
      </c>
      <c r="G5503" s="3">
        <v>228829</v>
      </c>
      <c r="H5503" s="7" t="str">
        <f>HYPERLINK("http://www.ensembl.org/Mus_musculus/Gene/Summary?db=core;g=ENSMUSG00000038116","ENSMUSG00000038116")</f>
        <v>ENSMUSG00000038116</v>
      </c>
      <c r="I5503" s="7" t="str">
        <f>HYPERLINK("http://www.informatics.jax.org/marker/MGI:2444148","MGI:2444148")</f>
        <v>MGI:2444148</v>
      </c>
      <c r="J5503" s="4" t="s">
        <v>12</v>
      </c>
    </row>
    <row r="5504" spans="1:10" x14ac:dyDescent="0.25">
      <c r="A5504" s="2">
        <v>702.38603817421802</v>
      </c>
      <c r="B5504" s="3">
        <v>-0.37985653216620202</v>
      </c>
      <c r="C5504" s="3">
        <v>1.29266588048292E-3</v>
      </c>
      <c r="D5504" s="4">
        <v>3.7536991846743098E-3</v>
      </c>
      <c r="E5504" s="3" t="s">
        <v>13591</v>
      </c>
      <c r="F5504" s="3" t="s">
        <v>13592</v>
      </c>
      <c r="G5504" s="3">
        <v>56434</v>
      </c>
      <c r="H5504" s="7" t="str">
        <f>HYPERLINK("http://www.ensembl.org/Mus_musculus/Gene/Summary?db=core;g=ENSMUSG00000032324","ENSMUSG00000032324")</f>
        <v>ENSMUSG00000032324</v>
      </c>
      <c r="I5504" s="7" t="str">
        <f>HYPERLINK("http://www.informatics.jax.org/marker/MGI:1928098","MGI:1928098")</f>
        <v>MGI:1928098</v>
      </c>
      <c r="J5504" s="4" t="s">
        <v>12</v>
      </c>
    </row>
    <row r="5505" spans="1:10" x14ac:dyDescent="0.25">
      <c r="A5505" s="2">
        <v>585.09939016387602</v>
      </c>
      <c r="B5505" s="3">
        <v>-0.37991849204361799</v>
      </c>
      <c r="C5505" s="5">
        <v>2.4990575722994599E-9</v>
      </c>
      <c r="D5505" s="6">
        <v>1.2965381564258201E-8</v>
      </c>
      <c r="E5505" s="3" t="s">
        <v>7620</v>
      </c>
      <c r="F5505" s="3" t="s">
        <v>7621</v>
      </c>
      <c r="G5505" s="3">
        <v>67296</v>
      </c>
      <c r="H5505" s="7" t="str">
        <f>HYPERLINK("http://www.ensembl.org/Mus_musculus/Gene/Summary?db=core;g=ENSMUSG00000048379","ENSMUSG00000048379")</f>
        <v>ENSMUSG00000048379</v>
      </c>
      <c r="I5505" s="7" t="str">
        <f>HYPERLINK("http://www.informatics.jax.org/marker/MGI:1914546","MGI:1914546")</f>
        <v>MGI:1914546</v>
      </c>
      <c r="J5505" s="4" t="s">
        <v>12</v>
      </c>
    </row>
    <row r="5506" spans="1:10" x14ac:dyDescent="0.25">
      <c r="A5506" s="2">
        <v>432.129785144138</v>
      </c>
      <c r="B5506" s="3">
        <v>-0.37991908533964203</v>
      </c>
      <c r="C5506" s="5">
        <v>8.6040911478956002E-8</v>
      </c>
      <c r="D5506" s="6">
        <v>3.9203483696049297E-7</v>
      </c>
      <c r="E5506" s="3" t="s">
        <v>8673</v>
      </c>
      <c r="F5506" s="3" t="s">
        <v>8674</v>
      </c>
      <c r="G5506" s="3">
        <v>271981</v>
      </c>
      <c r="H5506" s="7" t="str">
        <f>HYPERLINK("http://www.ensembl.org/Mus_musculus/Gene/Summary?db=core;g=ENSMUSG00000028030","ENSMUSG00000028030")</f>
        <v>ENSMUSG00000028030</v>
      </c>
      <c r="I5506" s="7" t="str">
        <f>HYPERLINK("http://www.informatics.jax.org/marker/MGI:2445052","MGI:2445052")</f>
        <v>MGI:2445052</v>
      </c>
      <c r="J5506" s="4" t="s">
        <v>12</v>
      </c>
    </row>
    <row r="5507" spans="1:10" x14ac:dyDescent="0.25">
      <c r="A5507" s="2">
        <v>132.481904997328</v>
      </c>
      <c r="B5507" s="3">
        <v>-0.37992861622061402</v>
      </c>
      <c r="C5507" s="3">
        <v>1.0027959937357099E-3</v>
      </c>
      <c r="D5507" s="4">
        <v>2.9545998799444602E-3</v>
      </c>
      <c r="E5507" s="3" t="s">
        <v>13395</v>
      </c>
      <c r="F5507" s="3" t="s">
        <v>13396</v>
      </c>
      <c r="G5507" s="3">
        <v>15896</v>
      </c>
      <c r="H5507" s="7" t="str">
        <f>HYPERLINK("http://www.ensembl.org/Mus_musculus/Gene/Summary?db=core;g=ENSMUSG00000001029","ENSMUSG00000001029")</f>
        <v>ENSMUSG00000001029</v>
      </c>
      <c r="I5507" s="7" t="str">
        <f>HYPERLINK("http://www.informatics.jax.org/marker/MGI:96394","MGI:96394")</f>
        <v>MGI:96394</v>
      </c>
      <c r="J5507" s="4" t="s">
        <v>12</v>
      </c>
    </row>
    <row r="5508" spans="1:10" x14ac:dyDescent="0.25">
      <c r="A5508" s="2">
        <v>69.024479470048703</v>
      </c>
      <c r="B5508" s="3">
        <v>-0.38019668525977701</v>
      </c>
      <c r="C5508" s="3">
        <v>9.0424984071838296E-3</v>
      </c>
      <c r="D5508" s="4">
        <v>2.2678121402729901E-2</v>
      </c>
      <c r="E5508" s="3" t="s">
        <v>15731</v>
      </c>
      <c r="F5508" s="3" t="s">
        <v>15732</v>
      </c>
      <c r="G5508" s="3" t="s">
        <v>83</v>
      </c>
      <c r="H5508" s="7" t="str">
        <f>HYPERLINK("http://www.ensembl.org/Mus_musculus/Gene/Summary?db=core;g=ENSMUSG00000111128","ENSMUSG00000111128")</f>
        <v>ENSMUSG00000111128</v>
      </c>
      <c r="I5508" s="7" t="str">
        <f>HYPERLINK("http://www.informatics.jax.org/marker/MGI:6121528","MGI:6121528")</f>
        <v>MGI:6121528</v>
      </c>
      <c r="J5508" s="4" t="s">
        <v>1828</v>
      </c>
    </row>
    <row r="5509" spans="1:10" x14ac:dyDescent="0.25">
      <c r="A5509" s="2">
        <v>224.78534651136999</v>
      </c>
      <c r="B5509" s="3">
        <v>-0.38030205729653599</v>
      </c>
      <c r="C5509" s="5">
        <v>3.32611908651497E-5</v>
      </c>
      <c r="D5509" s="4">
        <v>1.18203403110606E-4</v>
      </c>
      <c r="E5509" s="3" t="s">
        <v>11111</v>
      </c>
      <c r="F5509" s="3" t="s">
        <v>11112</v>
      </c>
      <c r="G5509" s="3">
        <v>66343</v>
      </c>
      <c r="H5509" s="7" t="str">
        <f>HYPERLINK("http://www.ensembl.org/Mus_musculus/Gene/Summary?db=core;g=ENSMUSG00000036975","ENSMUSG00000036975")</f>
        <v>ENSMUSG00000036975</v>
      </c>
      <c r="I5509" s="7" t="str">
        <f>HYPERLINK("http://www.informatics.jax.org/marker/MGI:1913593","MGI:1913593")</f>
        <v>MGI:1913593</v>
      </c>
      <c r="J5509" s="4" t="s">
        <v>12</v>
      </c>
    </row>
    <row r="5510" spans="1:10" x14ac:dyDescent="0.25">
      <c r="A5510" s="2">
        <v>177.79810602584001</v>
      </c>
      <c r="B5510" s="3">
        <v>-0.38045983562872998</v>
      </c>
      <c r="C5510" s="5">
        <v>4.2530384061743299E-5</v>
      </c>
      <c r="D5510" s="4">
        <v>1.4926128736386901E-4</v>
      </c>
      <c r="E5510" s="3" t="s">
        <v>11249</v>
      </c>
      <c r="F5510" s="3" t="s">
        <v>11250</v>
      </c>
      <c r="G5510" s="3">
        <v>105651</v>
      </c>
      <c r="H5510" s="7" t="str">
        <f>HYPERLINK("http://www.ensembl.org/Mus_musculus/Gene/Summary?db=core;g=ENSMUSG00000072494","ENSMUSG00000072494")</f>
        <v>ENSMUSG00000072494</v>
      </c>
      <c r="I5510" s="7" t="str">
        <f>HYPERLINK("http://www.informatics.jax.org/marker/MGI:2145790","MGI:2145790")</f>
        <v>MGI:2145790</v>
      </c>
      <c r="J5510" s="4" t="s">
        <v>12</v>
      </c>
    </row>
    <row r="5511" spans="1:10" x14ac:dyDescent="0.25">
      <c r="A5511" s="2">
        <v>568.22622871628005</v>
      </c>
      <c r="B5511" s="3">
        <v>-0.38101983017900098</v>
      </c>
      <c r="C5511" s="5">
        <v>4.5168892611266598E-8</v>
      </c>
      <c r="D5511" s="6">
        <v>2.1032598873534301E-7</v>
      </c>
      <c r="E5511" s="3" t="s">
        <v>8487</v>
      </c>
      <c r="F5511" s="3" t="s">
        <v>8488</v>
      </c>
      <c r="G5511" s="3">
        <v>81489</v>
      </c>
      <c r="H5511" s="7" t="str">
        <f>HYPERLINK("http://www.ensembl.org/Mus_musculus/Gene/Summary?db=core;g=ENSMUSG00000005483","ENSMUSG00000005483")</f>
        <v>ENSMUSG00000005483</v>
      </c>
      <c r="I5511" s="7" t="str">
        <f>HYPERLINK("http://www.informatics.jax.org/marker/MGI:1931874","MGI:1931874")</f>
        <v>MGI:1931874</v>
      </c>
      <c r="J5511" s="4" t="s">
        <v>12</v>
      </c>
    </row>
    <row r="5512" spans="1:10" x14ac:dyDescent="0.25">
      <c r="A5512" s="2">
        <v>2234.0668879363002</v>
      </c>
      <c r="B5512" s="3">
        <v>-0.38112724068318199</v>
      </c>
      <c r="C5512" s="5">
        <v>2.3162632099462102E-16</v>
      </c>
      <c r="D5512" s="6">
        <v>1.9039895998390701E-15</v>
      </c>
      <c r="E5512" s="3" t="s">
        <v>4815</v>
      </c>
      <c r="F5512" s="3" t="s">
        <v>4816</v>
      </c>
      <c r="G5512" s="3">
        <v>69048</v>
      </c>
      <c r="H5512" s="7" t="str">
        <f>HYPERLINK("http://www.ensembl.org/Mus_musculus/Gene/Summary?db=core;g=ENSMUSG00000021629","ENSMUSG00000021629")</f>
        <v>ENSMUSG00000021629</v>
      </c>
      <c r="I5512" s="7" t="str">
        <f>HYPERLINK("http://www.informatics.jax.org/marker/MGI:1916298","MGI:1916298")</f>
        <v>MGI:1916298</v>
      </c>
      <c r="J5512" s="4" t="s">
        <v>12</v>
      </c>
    </row>
    <row r="5513" spans="1:10" x14ac:dyDescent="0.25">
      <c r="A5513" s="2">
        <v>80.740120933744606</v>
      </c>
      <c r="B5513" s="3">
        <v>-0.38114853116909703</v>
      </c>
      <c r="C5513" s="3">
        <v>5.6339522921787701E-3</v>
      </c>
      <c r="D5513" s="4">
        <v>1.47506026555716E-2</v>
      </c>
      <c r="E5513" s="3" t="s">
        <v>15068</v>
      </c>
      <c r="F5513" s="3" t="s">
        <v>15069</v>
      </c>
      <c r="G5513" s="3">
        <v>232934</v>
      </c>
      <c r="H5513" s="7" t="str">
        <f>HYPERLINK("http://www.ensembl.org/Mus_musculus/Gene/Summary?db=core;g=ENSMUSG00000048481","ENSMUSG00000048481")</f>
        <v>ENSMUSG00000048481</v>
      </c>
      <c r="I5513" s="7" t="str">
        <f>HYPERLINK("http://www.informatics.jax.org/marker/MGI:2446472","MGI:2446472")</f>
        <v>MGI:2446472</v>
      </c>
      <c r="J5513" s="4" t="s">
        <v>12</v>
      </c>
    </row>
    <row r="5514" spans="1:10" x14ac:dyDescent="0.25">
      <c r="A5514" s="2">
        <v>957.20533298299699</v>
      </c>
      <c r="B5514" s="3">
        <v>-0.38127832354549601</v>
      </c>
      <c r="C5514" s="5">
        <v>4.3489208253819001E-10</v>
      </c>
      <c r="D5514" s="6">
        <v>2.3968898456269099E-9</v>
      </c>
      <c r="E5514" s="3" t="s">
        <v>7174</v>
      </c>
      <c r="F5514" s="3" t="s">
        <v>7175</v>
      </c>
      <c r="G5514" s="3">
        <v>18391</v>
      </c>
      <c r="H5514" s="7" t="str">
        <f>HYPERLINK("http://www.ensembl.org/Mus_musculus/Gene/Summary?db=core;g=ENSMUSG00000036078","ENSMUSG00000036078")</f>
        <v>ENSMUSG00000036078</v>
      </c>
      <c r="I5514" s="7" t="str">
        <f>HYPERLINK("http://www.informatics.jax.org/marker/MGI:1195268","MGI:1195268")</f>
        <v>MGI:1195268</v>
      </c>
      <c r="J5514" s="4" t="s">
        <v>12</v>
      </c>
    </row>
    <row r="5515" spans="1:10" x14ac:dyDescent="0.25">
      <c r="A5515" s="2">
        <v>423.80059724988803</v>
      </c>
      <c r="B5515" s="3">
        <v>-0.38158789383258201</v>
      </c>
      <c r="C5515" s="5">
        <v>1.4325810490759401E-7</v>
      </c>
      <c r="D5515" s="6">
        <v>6.4002035087851095E-7</v>
      </c>
      <c r="E5515" s="3" t="s">
        <v>8845</v>
      </c>
      <c r="F5515" s="3" t="s">
        <v>8846</v>
      </c>
      <c r="G5515" s="3">
        <v>224008</v>
      </c>
      <c r="H5515" s="7" t="str">
        <f>HYPERLINK("http://www.ensembl.org/Mus_musculus/Gene/Summary?db=core;g=ENSMUSG00000041974","ENSMUSG00000041974")</f>
        <v>ENSMUSG00000041974</v>
      </c>
      <c r="I5515" s="7" t="str">
        <f>HYPERLINK("http://www.informatics.jax.org/marker/MGI:1924834","MGI:1924834")</f>
        <v>MGI:1924834</v>
      </c>
      <c r="J5515" s="4" t="s">
        <v>12</v>
      </c>
    </row>
    <row r="5516" spans="1:10" x14ac:dyDescent="0.25">
      <c r="A5516" s="2">
        <v>597.002677243373</v>
      </c>
      <c r="B5516" s="3">
        <v>-0.381672946928164</v>
      </c>
      <c r="C5516" s="3">
        <v>6.0587887699854097E-4</v>
      </c>
      <c r="D5516" s="4">
        <v>1.8449554438559699E-3</v>
      </c>
      <c r="E5516" s="3" t="s">
        <v>12961</v>
      </c>
      <c r="F5516" s="3" t="s">
        <v>12962</v>
      </c>
      <c r="G5516" s="3">
        <v>100502766</v>
      </c>
      <c r="H5516" s="7" t="str">
        <f>HYPERLINK("http://www.ensembl.org/Mus_musculus/Gene/Summary?db=core;g=ENSMUSG00000079553","ENSMUSG00000079553")</f>
        <v>ENSMUSG00000079553</v>
      </c>
      <c r="I5516" s="7" t="str">
        <f>HYPERLINK("http://www.informatics.jax.org/marker/MGI:109596","MGI:109596")</f>
        <v>MGI:109596</v>
      </c>
      <c r="J5516" s="4" t="s">
        <v>12</v>
      </c>
    </row>
    <row r="5517" spans="1:10" x14ac:dyDescent="0.25">
      <c r="A5517" s="2">
        <v>633.71492106501296</v>
      </c>
      <c r="B5517" s="3">
        <v>-0.38170874250121101</v>
      </c>
      <c r="C5517" s="5">
        <v>2.0143273930070401E-7</v>
      </c>
      <c r="D5517" s="6">
        <v>8.9224025584229298E-7</v>
      </c>
      <c r="E5517" s="3" t="s">
        <v>8921</v>
      </c>
      <c r="F5517" s="3" t="s">
        <v>8922</v>
      </c>
      <c r="G5517" s="3">
        <v>228866</v>
      </c>
      <c r="H5517" s="7" t="str">
        <f>HYPERLINK("http://www.ensembl.org/Mus_musculus/Gene/Summary?db=core;g=ENSMUSG00000039849","ENSMUSG00000039849")</f>
        <v>ENSMUSG00000039849</v>
      </c>
      <c r="I5517" s="7" t="str">
        <f>HYPERLINK("http://www.informatics.jax.org/marker/MGI:2443858","MGI:2443858")</f>
        <v>MGI:2443858</v>
      </c>
      <c r="J5517" s="4" t="s">
        <v>12</v>
      </c>
    </row>
    <row r="5518" spans="1:10" x14ac:dyDescent="0.25">
      <c r="A5518" s="2">
        <v>713.75084698354704</v>
      </c>
      <c r="B5518" s="3">
        <v>-0.382179759781475</v>
      </c>
      <c r="C5518" s="5">
        <v>2.7805070424051002E-7</v>
      </c>
      <c r="D5518" s="6">
        <v>1.21739784361076E-6</v>
      </c>
      <c r="E5518" s="3" t="s">
        <v>9023</v>
      </c>
      <c r="F5518" s="3" t="s">
        <v>9024</v>
      </c>
      <c r="G5518" s="3">
        <v>74585</v>
      </c>
      <c r="H5518" s="7" t="str">
        <f>HYPERLINK("http://www.ensembl.org/Mus_musculus/Gene/Summary?db=core;g=ENSMUSG00000029550","ENSMUSG00000029550")</f>
        <v>ENSMUSG00000029550</v>
      </c>
      <c r="I5518" s="7" t="str">
        <f>HYPERLINK("http://www.informatics.jax.org/marker/MGI:1891433","MGI:1891433")</f>
        <v>MGI:1891433</v>
      </c>
      <c r="J5518" s="4" t="s">
        <v>12</v>
      </c>
    </row>
    <row r="5519" spans="1:10" x14ac:dyDescent="0.25">
      <c r="A5519" s="2">
        <v>1104.79473199519</v>
      </c>
      <c r="B5519" s="3">
        <v>-0.38249255753699701</v>
      </c>
      <c r="C5519" s="5">
        <v>1.4102050025576699E-7</v>
      </c>
      <c r="D5519" s="6">
        <v>6.3016638682160105E-7</v>
      </c>
      <c r="E5519" s="3" t="s">
        <v>8843</v>
      </c>
      <c r="F5519" s="3" t="s">
        <v>8844</v>
      </c>
      <c r="G5519" s="3">
        <v>22340</v>
      </c>
      <c r="H5519" s="7" t="str">
        <f>HYPERLINK("http://www.ensembl.org/Mus_musculus/Gene/Summary?db=core;g=ENSMUSG00000024962","ENSMUSG00000024962")</f>
        <v>ENSMUSG00000024962</v>
      </c>
      <c r="I5519" s="7" t="str">
        <f>HYPERLINK("http://www.informatics.jax.org/marker/MGI:106199","MGI:106199")</f>
        <v>MGI:106199</v>
      </c>
      <c r="J5519" s="4" t="s">
        <v>12</v>
      </c>
    </row>
    <row r="5520" spans="1:10" x14ac:dyDescent="0.25">
      <c r="A5520" s="2">
        <v>172.222366576616</v>
      </c>
      <c r="B5520" s="3">
        <v>-0.38257515002715797</v>
      </c>
      <c r="C5520" s="5">
        <v>5.8562435522116702E-5</v>
      </c>
      <c r="D5520" s="4">
        <v>2.0249890031494701E-4</v>
      </c>
      <c r="E5520" s="3" t="s">
        <v>11417</v>
      </c>
      <c r="F5520" s="3" t="s">
        <v>11418</v>
      </c>
      <c r="G5520" s="3">
        <v>73233</v>
      </c>
      <c r="H5520" s="7" t="str">
        <f>HYPERLINK("http://www.ensembl.org/Mus_musculus/Gene/Summary?db=core;g=ENSMUSG00000071267","ENSMUSG00000071267")</f>
        <v>ENSMUSG00000071267</v>
      </c>
      <c r="I5520" s="7" t="str">
        <f>HYPERLINK("http://www.informatics.jax.org/marker/MGI:1920483","MGI:1920483")</f>
        <v>MGI:1920483</v>
      </c>
      <c r="J5520" s="4" t="s">
        <v>12</v>
      </c>
    </row>
    <row r="5521" spans="1:10" x14ac:dyDescent="0.25">
      <c r="A5521" s="2">
        <v>570.48352266311997</v>
      </c>
      <c r="B5521" s="3">
        <v>-0.38276943620402998</v>
      </c>
      <c r="C5521" s="3">
        <v>1.2849141434266101E-4</v>
      </c>
      <c r="D5521" s="4">
        <v>4.2736560816955202E-4</v>
      </c>
      <c r="E5521" s="3" t="s">
        <v>11869</v>
      </c>
      <c r="F5521" s="3" t="s">
        <v>11870</v>
      </c>
      <c r="G5521" s="3">
        <v>217734</v>
      </c>
      <c r="H5521" s="7" t="str">
        <f>HYPERLINK("http://www.ensembl.org/Mus_musculus/Gene/Summary?db=core;g=ENSMUSG00000034126","ENSMUSG00000034126")</f>
        <v>ENSMUSG00000034126</v>
      </c>
      <c r="I5521" s="7" t="str">
        <f>HYPERLINK("http://www.informatics.jax.org/marker/MGI:2444430","MGI:2444430")</f>
        <v>MGI:2444430</v>
      </c>
      <c r="J5521" s="4" t="s">
        <v>12</v>
      </c>
    </row>
    <row r="5522" spans="1:10" x14ac:dyDescent="0.25">
      <c r="A5522" s="2">
        <v>81.249425495792707</v>
      </c>
      <c r="B5522" s="3">
        <v>-0.38282661809039298</v>
      </c>
      <c r="C5522" s="3">
        <v>6.9760574169883804E-3</v>
      </c>
      <c r="D5522" s="4">
        <v>1.7905486432775099E-2</v>
      </c>
      <c r="E5522" s="3" t="s">
        <v>15371</v>
      </c>
      <c r="F5522" s="3" t="s">
        <v>15372</v>
      </c>
      <c r="G5522" s="3">
        <v>22690</v>
      </c>
      <c r="H5522" s="7" t="str">
        <f>HYPERLINK("http://www.ensembl.org/Mus_musculus/Gene/Summary?db=core;g=ENSMUSG00000062861","ENSMUSG00000062861")</f>
        <v>ENSMUSG00000062861</v>
      </c>
      <c r="I5522" s="7" t="str">
        <f>HYPERLINK("http://www.informatics.jax.org/marker/MGI:99175","MGI:99175")</f>
        <v>MGI:99175</v>
      </c>
      <c r="J5522" s="4" t="s">
        <v>12</v>
      </c>
    </row>
    <row r="5523" spans="1:10" x14ac:dyDescent="0.25">
      <c r="A5523" s="2">
        <v>253.82515246824099</v>
      </c>
      <c r="B5523" s="3">
        <v>-0.38296511567965003</v>
      </c>
      <c r="C5523" s="3">
        <v>3.53023810499817E-4</v>
      </c>
      <c r="D5523" s="4">
        <v>1.1090695464483699E-3</v>
      </c>
      <c r="E5523" s="3" t="s">
        <v>12567</v>
      </c>
      <c r="F5523" s="3" t="s">
        <v>12568</v>
      </c>
      <c r="G5523" s="3">
        <v>26378</v>
      </c>
      <c r="H5523" s="7" t="str">
        <f>HYPERLINK("http://www.ensembl.org/Mus_musculus/Gene/Summary?db=core;g=ENSMUSG00000036775","ENSMUSG00000036775")</f>
        <v>ENSMUSG00000036775</v>
      </c>
      <c r="I5523" s="7" t="str">
        <f>HYPERLINK("http://www.informatics.jax.org/marker/MGI:1347059","MGI:1347059")</f>
        <v>MGI:1347059</v>
      </c>
      <c r="J5523" s="4" t="s">
        <v>12</v>
      </c>
    </row>
    <row r="5524" spans="1:10" x14ac:dyDescent="0.25">
      <c r="A5524" s="2">
        <v>692.14751218844901</v>
      </c>
      <c r="B5524" s="3">
        <v>-0.38317407977546702</v>
      </c>
      <c r="C5524" s="5">
        <v>9.2261749330295008E-6</v>
      </c>
      <c r="D5524" s="6">
        <v>3.4661872676574903E-5</v>
      </c>
      <c r="E5524" s="3" t="s">
        <v>10512</v>
      </c>
      <c r="F5524" s="3" t="s">
        <v>10513</v>
      </c>
      <c r="G5524" s="3">
        <v>66515</v>
      </c>
      <c r="H5524" s="7" t="str">
        <f>HYPERLINK("http://www.ensembl.org/Mus_musculus/Gene/Summary?db=core;g=ENSMUSG00000038545","ENSMUSG00000038545")</f>
        <v>ENSMUSG00000038545</v>
      </c>
      <c r="I5524" s="7" t="str">
        <f>HYPERLINK("http://www.informatics.jax.org/marker/MGI:1913765","MGI:1913765")</f>
        <v>MGI:1913765</v>
      </c>
      <c r="J5524" s="4" t="s">
        <v>12</v>
      </c>
    </row>
    <row r="5525" spans="1:10" x14ac:dyDescent="0.25">
      <c r="A5525" s="2">
        <v>236.15731853939599</v>
      </c>
      <c r="B5525" s="3">
        <v>-0.38324129490226799</v>
      </c>
      <c r="C5525" s="5">
        <v>8.0352601377328502E-5</v>
      </c>
      <c r="D5525" s="4">
        <v>2.7381256249540698E-4</v>
      </c>
      <c r="E5525" s="3" t="s">
        <v>11585</v>
      </c>
      <c r="F5525" s="3" t="s">
        <v>11586</v>
      </c>
      <c r="G5525" s="3">
        <v>66812</v>
      </c>
      <c r="H5525" s="7" t="str">
        <f>HYPERLINK("http://www.ensembl.org/Mus_musculus/Gene/Summary?db=core;g=ENSMUSG00000063849","ENSMUSG00000063849")</f>
        <v>ENSMUSG00000063849</v>
      </c>
      <c r="I5525" s="7" t="str">
        <f>HYPERLINK("http://www.informatics.jax.org/marker/MGI:1914062","MGI:1914062")</f>
        <v>MGI:1914062</v>
      </c>
      <c r="J5525" s="4" t="s">
        <v>12</v>
      </c>
    </row>
    <row r="5526" spans="1:10" x14ac:dyDescent="0.25">
      <c r="A5526" s="2">
        <v>1437.5719220543001</v>
      </c>
      <c r="B5526" s="3">
        <v>-0.38324470912158498</v>
      </c>
      <c r="C5526" s="5">
        <v>6.0031787837975198E-6</v>
      </c>
      <c r="D5526" s="6">
        <v>2.3004797049453401E-5</v>
      </c>
      <c r="E5526" s="3" t="s">
        <v>10306</v>
      </c>
      <c r="F5526" s="3" t="s">
        <v>10307</v>
      </c>
      <c r="G5526" s="3">
        <v>231051</v>
      </c>
      <c r="H5526" s="7" t="str">
        <f>HYPERLINK("http://www.ensembl.org/Mus_musculus/Gene/Summary?db=core;g=ENSMUSG00000038056","ENSMUSG00000038056")</f>
        <v>ENSMUSG00000038056</v>
      </c>
      <c r="I5526" s="7" t="str">
        <f>HYPERLINK("http://www.informatics.jax.org/marker/MGI:2444959","MGI:2444959")</f>
        <v>MGI:2444959</v>
      </c>
      <c r="J5526" s="4" t="s">
        <v>12</v>
      </c>
    </row>
    <row r="5527" spans="1:10" x14ac:dyDescent="0.25">
      <c r="A5527" s="2">
        <v>282.06347775258001</v>
      </c>
      <c r="B5527" s="3">
        <v>-0.38346895736862302</v>
      </c>
      <c r="C5527" s="3">
        <v>7.5529790043477203E-4</v>
      </c>
      <c r="D5527" s="4">
        <v>2.2677336474685901E-3</v>
      </c>
      <c r="E5527" s="3" t="s">
        <v>13145</v>
      </c>
      <c r="F5527" s="3" t="s">
        <v>13146</v>
      </c>
      <c r="G5527" s="3">
        <v>12896</v>
      </c>
      <c r="H5527" s="7" t="str">
        <f>HYPERLINK("http://www.ensembl.org/Mus_musculus/Gene/Summary?db=core;g=ENSMUSG00000028607","ENSMUSG00000028607")</f>
        <v>ENSMUSG00000028607</v>
      </c>
      <c r="I5527" s="7" t="str">
        <f>HYPERLINK("http://www.informatics.jax.org/marker/MGI:109176","MGI:109176")</f>
        <v>MGI:109176</v>
      </c>
      <c r="J5527" s="4" t="s">
        <v>12</v>
      </c>
    </row>
    <row r="5528" spans="1:10" x14ac:dyDescent="0.25">
      <c r="A5528" s="2">
        <v>772.34821594573395</v>
      </c>
      <c r="B5528" s="3">
        <v>-0.38353604856713502</v>
      </c>
      <c r="C5528" s="5">
        <v>8.0016526284854998E-12</v>
      </c>
      <c r="D5528" s="6">
        <v>5.0396866762610702E-11</v>
      </c>
      <c r="E5528" s="3" t="s">
        <v>6279</v>
      </c>
      <c r="F5528" s="3" t="s">
        <v>6280</v>
      </c>
      <c r="G5528" s="3">
        <v>50755</v>
      </c>
      <c r="H5528" s="7" t="str">
        <f>HYPERLINK("http://www.ensembl.org/Mus_musculus/Gene/Summary?db=core;g=ENSMUSG00000058594","ENSMUSG00000058594")</f>
        <v>ENSMUSG00000058594</v>
      </c>
      <c r="I5528" s="7" t="str">
        <f>HYPERLINK("http://www.informatics.jax.org/marker/MGI:1354699","MGI:1354699")</f>
        <v>MGI:1354699</v>
      </c>
      <c r="J5528" s="4" t="s">
        <v>12</v>
      </c>
    </row>
    <row r="5529" spans="1:10" x14ac:dyDescent="0.25">
      <c r="A5529" s="2">
        <v>448.12847363173898</v>
      </c>
      <c r="B5529" s="3">
        <v>-0.38354496304288599</v>
      </c>
      <c r="C5529" s="3">
        <v>2.30595392985973E-4</v>
      </c>
      <c r="D5529" s="4">
        <v>7.4351555750218801E-4</v>
      </c>
      <c r="E5529" s="3" t="s">
        <v>12243</v>
      </c>
      <c r="F5529" s="3" t="s">
        <v>12244</v>
      </c>
      <c r="G5529" s="3">
        <v>237336</v>
      </c>
      <c r="H5529" s="7" t="str">
        <f>HYPERLINK("http://www.ensembl.org/Mus_musculus/Gene/Summary?db=core;g=ENSMUSG00000071359","ENSMUSG00000071359")</f>
        <v>ENSMUSG00000071359</v>
      </c>
      <c r="I5529" s="7" t="str">
        <f>HYPERLINK("http://www.informatics.jax.org/marker/MGI:1339946","MGI:1339946")</f>
        <v>MGI:1339946</v>
      </c>
      <c r="J5529" s="4" t="s">
        <v>12</v>
      </c>
    </row>
    <row r="5530" spans="1:10" x14ac:dyDescent="0.25">
      <c r="A5530" s="2">
        <v>1451.0531204265701</v>
      </c>
      <c r="B5530" s="3">
        <v>-0.38369585985483001</v>
      </c>
      <c r="C5530" s="5">
        <v>1.6393320567820001E-9</v>
      </c>
      <c r="D5530" s="6">
        <v>8.6345160683068996E-9</v>
      </c>
      <c r="E5530" s="3" t="s">
        <v>7506</v>
      </c>
      <c r="F5530" s="3" t="s">
        <v>7507</v>
      </c>
      <c r="G5530" s="3">
        <v>20817</v>
      </c>
      <c r="H5530" s="7" t="str">
        <f>HYPERLINK("http://www.ensembl.org/Mus_musculus/Gene/Summary?db=core;g=ENSMUSG00000062604","ENSMUSG00000062604")</f>
        <v>ENSMUSG00000062604</v>
      </c>
      <c r="I5530" s="7" t="str">
        <f>HYPERLINK("http://www.informatics.jax.org/marker/MGI:1201408","MGI:1201408")</f>
        <v>MGI:1201408</v>
      </c>
      <c r="J5530" s="4" t="s">
        <v>12</v>
      </c>
    </row>
    <row r="5531" spans="1:10" x14ac:dyDescent="0.25">
      <c r="A5531" s="2">
        <v>1403.1698018377799</v>
      </c>
      <c r="B5531" s="3">
        <v>-0.38427366834198001</v>
      </c>
      <c r="C5531" s="3">
        <v>9.6638679396131603E-4</v>
      </c>
      <c r="D5531" s="4">
        <v>2.8545757305148498E-3</v>
      </c>
      <c r="E5531" s="3" t="s">
        <v>13361</v>
      </c>
      <c r="F5531" s="3" t="s">
        <v>13362</v>
      </c>
      <c r="G5531" s="3">
        <v>109778</v>
      </c>
      <c r="H5531" s="7" t="str">
        <f>HYPERLINK("http://www.ensembl.org/Mus_musculus/Gene/Summary?db=core;g=ENSMUSG00000001999","ENSMUSG00000001999")</f>
        <v>ENSMUSG00000001999</v>
      </c>
      <c r="I5531" s="7" t="str">
        <f>HYPERLINK("http://www.informatics.jax.org/marker/MGI:88170","MGI:88170")</f>
        <v>MGI:88170</v>
      </c>
      <c r="J5531" s="4" t="s">
        <v>12</v>
      </c>
    </row>
    <row r="5532" spans="1:10" x14ac:dyDescent="0.25">
      <c r="A5532" s="2">
        <v>223.93316622403</v>
      </c>
      <c r="B5532" s="3">
        <v>-0.38432700120997199</v>
      </c>
      <c r="C5532" s="3">
        <v>2.3882351234174101E-4</v>
      </c>
      <c r="D5532" s="4">
        <v>7.6741073217844802E-4</v>
      </c>
      <c r="E5532" s="3" t="s">
        <v>12285</v>
      </c>
      <c r="F5532" s="3" t="s">
        <v>12286</v>
      </c>
      <c r="G5532" s="3">
        <v>214917</v>
      </c>
      <c r="H5532" s="7" t="str">
        <f>HYPERLINK("http://www.ensembl.org/Mus_musculus/Gene/Summary?db=core;g=ENSMUSG00000057411","ENSMUSG00000057411")</f>
        <v>ENSMUSG00000057411</v>
      </c>
      <c r="I5532" s="7" t="str">
        <f>HYPERLINK("http://www.informatics.jax.org/marker/MGI:2384888","MGI:2384888")</f>
        <v>MGI:2384888</v>
      </c>
      <c r="J5532" s="4" t="s">
        <v>12</v>
      </c>
    </row>
    <row r="5533" spans="1:10" x14ac:dyDescent="0.25">
      <c r="A5533" s="2">
        <v>211.98334712100299</v>
      </c>
      <c r="B5533" s="3">
        <v>-0.38479177506601298</v>
      </c>
      <c r="C5533" s="3">
        <v>4.0532741747442702E-4</v>
      </c>
      <c r="D5533" s="4">
        <v>1.26192874527876E-3</v>
      </c>
      <c r="E5533" s="3" t="s">
        <v>12681</v>
      </c>
      <c r="F5533" s="3" t="s">
        <v>12682</v>
      </c>
      <c r="G5533" s="3">
        <v>408022</v>
      </c>
      <c r="H5533" s="7" t="str">
        <f>HYPERLINK("http://www.ensembl.org/Mus_musculus/Gene/Summary?db=core;g=ENSMUSG00000038225","ENSMUSG00000038225")</f>
        <v>ENSMUSG00000038225</v>
      </c>
      <c r="I5533" s="7" t="str">
        <f>HYPERLINK("http://www.informatics.jax.org/marker/MGI:3603756","MGI:3603756")</f>
        <v>MGI:3603756</v>
      </c>
      <c r="J5533" s="4" t="s">
        <v>12</v>
      </c>
    </row>
    <row r="5534" spans="1:10" x14ac:dyDescent="0.25">
      <c r="A5534" s="2">
        <v>410.73434392228501</v>
      </c>
      <c r="B5534" s="3">
        <v>-0.38483805663721199</v>
      </c>
      <c r="C5534" s="5">
        <v>9.3583299840827197E-6</v>
      </c>
      <c r="D5534" s="6">
        <v>3.5111542482136797E-5</v>
      </c>
      <c r="E5534" s="3" t="s">
        <v>10526</v>
      </c>
      <c r="F5534" s="3" t="s">
        <v>10527</v>
      </c>
      <c r="G5534" s="3">
        <v>56626</v>
      </c>
      <c r="H5534" s="7" t="str">
        <f>HYPERLINK("http://www.ensembl.org/Mus_musculus/Gene/Summary?db=core;g=ENSMUSG00000025218","ENSMUSG00000025218")</f>
        <v>ENSMUSG00000025218</v>
      </c>
      <c r="I5534" s="7" t="str">
        <f>HYPERLINK("http://www.informatics.jax.org/marker/MGI:1889000","MGI:1889000")</f>
        <v>MGI:1889000</v>
      </c>
      <c r="J5534" s="4" t="s">
        <v>12</v>
      </c>
    </row>
    <row r="5535" spans="1:10" x14ac:dyDescent="0.25">
      <c r="A5535" s="2">
        <v>306.258376150179</v>
      </c>
      <c r="B5535" s="3">
        <v>-0.38505121034649098</v>
      </c>
      <c r="C5535" s="5">
        <v>8.9374464778247493E-6</v>
      </c>
      <c r="D5535" s="6">
        <v>3.3666942606056203E-5</v>
      </c>
      <c r="E5535" s="3" t="s">
        <v>10484</v>
      </c>
      <c r="F5535" s="3" t="s">
        <v>10485</v>
      </c>
      <c r="G5535" s="3">
        <v>18392</v>
      </c>
      <c r="H5535" s="7" t="str">
        <f>HYPERLINK("http://www.ensembl.org/Mus_musculus/Gene/Summary?db=core;g=ENSMUSG00000028587","ENSMUSG00000028587")</f>
        <v>ENSMUSG00000028587</v>
      </c>
      <c r="I5535" s="7" t="str">
        <f>HYPERLINK("http://www.informatics.jax.org/marker/MGI:1328337","MGI:1328337")</f>
        <v>MGI:1328337</v>
      </c>
      <c r="J5535" s="4" t="s">
        <v>12</v>
      </c>
    </row>
    <row r="5536" spans="1:10" x14ac:dyDescent="0.25">
      <c r="A5536" s="2">
        <v>646.47808965950196</v>
      </c>
      <c r="B5536" s="3">
        <v>-0.38562679434505798</v>
      </c>
      <c r="C5536" s="5">
        <v>2.02746045815964E-7</v>
      </c>
      <c r="D5536" s="6">
        <v>8.9765424865083105E-7</v>
      </c>
      <c r="E5536" s="3" t="s">
        <v>8925</v>
      </c>
      <c r="F5536" s="3" t="s">
        <v>8926</v>
      </c>
      <c r="G5536" s="3">
        <v>71782</v>
      </c>
      <c r="H5536" s="7" t="str">
        <f>HYPERLINK("http://www.ensembl.org/Mus_musculus/Gene/Summary?db=core;g=ENSMUSG00000029501","ENSMUSG00000029501")</f>
        <v>ENSMUSG00000029501</v>
      </c>
      <c r="I5536" s="7" t="str">
        <f>HYPERLINK("http://www.informatics.jax.org/marker/MGI:1261856","MGI:1261856")</f>
        <v>MGI:1261856</v>
      </c>
      <c r="J5536" s="4" t="s">
        <v>12</v>
      </c>
    </row>
    <row r="5537" spans="1:10" x14ac:dyDescent="0.25">
      <c r="A5537" s="2">
        <v>1877.61575190184</v>
      </c>
      <c r="B5537" s="3">
        <v>-0.38589483346623299</v>
      </c>
      <c r="C5537" s="5">
        <v>2.5883020123829098E-13</v>
      </c>
      <c r="D5537" s="6">
        <v>1.8012820704964501E-12</v>
      </c>
      <c r="E5537" s="3" t="s">
        <v>5683</v>
      </c>
      <c r="F5537" s="3" t="s">
        <v>5684</v>
      </c>
      <c r="G5537" s="3">
        <v>66549</v>
      </c>
      <c r="H5537" s="7" t="str">
        <f>HYPERLINK("http://www.ensembl.org/Mus_musculus/Gene/Summary?db=core;g=ENSMUSG00000021681","ENSMUSG00000021681")</f>
        <v>ENSMUSG00000021681</v>
      </c>
      <c r="I5537" s="7" t="str">
        <f>HYPERLINK("http://www.informatics.jax.org/marker/MGI:1913799","MGI:1913799")</f>
        <v>MGI:1913799</v>
      </c>
      <c r="J5537" s="4" t="s">
        <v>12</v>
      </c>
    </row>
    <row r="5538" spans="1:10" x14ac:dyDescent="0.25">
      <c r="A5538" s="2">
        <v>424.09787119871697</v>
      </c>
      <c r="B5538" s="3">
        <v>-0.38592160708582601</v>
      </c>
      <c r="C5538" s="5">
        <v>2.4025810858250801E-5</v>
      </c>
      <c r="D5538" s="6">
        <v>8.66792883506595E-5</v>
      </c>
      <c r="E5538" s="3" t="s">
        <v>10944</v>
      </c>
      <c r="F5538" s="3" t="s">
        <v>10945</v>
      </c>
      <c r="G5538" s="3">
        <v>66513</v>
      </c>
      <c r="H5538" s="7" t="str">
        <f>HYPERLINK("http://www.ensembl.org/Mus_musculus/Gene/Summary?db=core;g=ENSMUSG00000022414","ENSMUSG00000022414")</f>
        <v>ENSMUSG00000022414</v>
      </c>
      <c r="I5538" s="7" t="str">
        <f>HYPERLINK("http://www.informatics.jax.org/marker/MGI:1913763","MGI:1913763")</f>
        <v>MGI:1913763</v>
      </c>
      <c r="J5538" s="4" t="s">
        <v>12</v>
      </c>
    </row>
    <row r="5539" spans="1:10" x14ac:dyDescent="0.25">
      <c r="A5539" s="2">
        <v>1891.32787656294</v>
      </c>
      <c r="B5539" s="3">
        <v>-0.38597842897651602</v>
      </c>
      <c r="C5539" s="5">
        <v>1.6414212998774299E-8</v>
      </c>
      <c r="D5539" s="6">
        <v>7.9824483436702797E-8</v>
      </c>
      <c r="E5539" s="3" t="s">
        <v>8127</v>
      </c>
      <c r="F5539" s="3" t="s">
        <v>8128</v>
      </c>
      <c r="G5539" s="3">
        <v>67534</v>
      </c>
      <c r="H5539" s="7" t="str">
        <f>HYPERLINK("http://www.ensembl.org/Mus_musculus/Gene/Summary?db=core;g=ENSMUSG00000033257","ENSMUSG00000033257")</f>
        <v>ENSMUSG00000033257</v>
      </c>
      <c r="I5539" s="7" t="str">
        <f>HYPERLINK("http://www.informatics.jax.org/marker/MGI:1914784","MGI:1914784")</f>
        <v>MGI:1914784</v>
      </c>
      <c r="J5539" s="4" t="s">
        <v>12</v>
      </c>
    </row>
    <row r="5540" spans="1:10" x14ac:dyDescent="0.25">
      <c r="A5540" s="2">
        <v>366.17859704713999</v>
      </c>
      <c r="B5540" s="3">
        <v>-0.386058699308444</v>
      </c>
      <c r="C5540" s="3">
        <v>1.1521814523598E-4</v>
      </c>
      <c r="D5540" s="4">
        <v>3.8549403190592599E-4</v>
      </c>
      <c r="E5540" s="3" t="s">
        <v>11799</v>
      </c>
      <c r="F5540" s="3" t="s">
        <v>11800</v>
      </c>
      <c r="G5540" s="3">
        <v>57170</v>
      </c>
      <c r="H5540" s="7" t="str">
        <f>HYPERLINK("http://www.ensembl.org/Mus_musculus/Gene/Summary?db=core;g=ENSMUSG00000026856","ENSMUSG00000026856")</f>
        <v>ENSMUSG00000026856</v>
      </c>
      <c r="I5540" s="7" t="str">
        <f>HYPERLINK("http://www.informatics.jax.org/marker/MGI:1914093","MGI:1914093")</f>
        <v>MGI:1914093</v>
      </c>
      <c r="J5540" s="4" t="s">
        <v>12</v>
      </c>
    </row>
    <row r="5541" spans="1:10" x14ac:dyDescent="0.25">
      <c r="A5541" s="2">
        <v>2010.36392325718</v>
      </c>
      <c r="B5541" s="3">
        <v>-0.386441209538613</v>
      </c>
      <c r="C5541" s="5">
        <v>6.6562107414284597E-8</v>
      </c>
      <c r="D5541" s="6">
        <v>3.0603981305891698E-7</v>
      </c>
      <c r="E5541" s="3" t="s">
        <v>8595</v>
      </c>
      <c r="F5541" s="3" t="s">
        <v>8596</v>
      </c>
      <c r="G5541" s="3">
        <v>224826</v>
      </c>
      <c r="H5541" s="7" t="str">
        <f>HYPERLINK("http://www.ensembl.org/Mus_musculus/Gene/Summary?db=core;g=ENSMUSG00000023977","ENSMUSG00000023977")</f>
        <v>ENSMUSG00000023977</v>
      </c>
      <c r="I5541" s="7" t="str">
        <f>HYPERLINK("http://www.informatics.jax.org/marker/MGI:1861099","MGI:1861099")</f>
        <v>MGI:1861099</v>
      </c>
      <c r="J5541" s="4" t="s">
        <v>12</v>
      </c>
    </row>
    <row r="5542" spans="1:10" x14ac:dyDescent="0.25">
      <c r="A5542" s="2">
        <v>1479.45241842828</v>
      </c>
      <c r="B5542" s="3">
        <v>-0.38644275446649601</v>
      </c>
      <c r="C5542" s="3">
        <v>1.2313818402878501E-3</v>
      </c>
      <c r="D5542" s="4">
        <v>3.5857722815233798E-3</v>
      </c>
      <c r="E5542" s="3" t="s">
        <v>13553</v>
      </c>
      <c r="F5542" s="3" t="s">
        <v>13554</v>
      </c>
      <c r="G5542" s="3">
        <v>75870</v>
      </c>
      <c r="H5542" s="7" t="str">
        <f>HYPERLINK("http://www.ensembl.org/Mus_musculus/Gene/Summary?db=core;g=ENSMUSG00000020712","ENSMUSG00000020712")</f>
        <v>ENSMUSG00000020712</v>
      </c>
      <c r="I5542" s="7" t="str">
        <f>HYPERLINK("http://www.informatics.jax.org/marker/MGI:1923120","MGI:1923120")</f>
        <v>MGI:1923120</v>
      </c>
      <c r="J5542" s="4" t="s">
        <v>12</v>
      </c>
    </row>
    <row r="5543" spans="1:10" x14ac:dyDescent="0.25">
      <c r="A5543" s="2">
        <v>617.47055787580996</v>
      </c>
      <c r="B5543" s="3">
        <v>-0.38685357695325301</v>
      </c>
      <c r="C5543" s="5">
        <v>1.25711766565797E-8</v>
      </c>
      <c r="D5543" s="6">
        <v>6.18676325599581E-8</v>
      </c>
      <c r="E5543" s="3" t="s">
        <v>8031</v>
      </c>
      <c r="F5543" s="3" t="s">
        <v>8032</v>
      </c>
      <c r="G5543" s="3">
        <v>15288</v>
      </c>
      <c r="H5543" s="7" t="str">
        <f>HYPERLINK("http://www.ensembl.org/Mus_musculus/Gene/Summary?db=core;g=ENSMUSG00000032126","ENSMUSG00000032126")</f>
        <v>ENSMUSG00000032126</v>
      </c>
      <c r="I5543" s="7" t="str">
        <f>HYPERLINK("http://www.informatics.jax.org/marker/MGI:96112","MGI:96112")</f>
        <v>MGI:96112</v>
      </c>
      <c r="J5543" s="4" t="s">
        <v>12</v>
      </c>
    </row>
    <row r="5544" spans="1:10" x14ac:dyDescent="0.25">
      <c r="A5544" s="2">
        <v>490.21641574170297</v>
      </c>
      <c r="B5544" s="3">
        <v>-0.38695065686914598</v>
      </c>
      <c r="C5544" s="5">
        <v>2.6038267508667903E-10</v>
      </c>
      <c r="D5544" s="6">
        <v>1.4641421022838001E-9</v>
      </c>
      <c r="E5544" s="3" t="s">
        <v>7032</v>
      </c>
      <c r="F5544" s="3" t="s">
        <v>7033</v>
      </c>
      <c r="G5544" s="3">
        <v>67278</v>
      </c>
      <c r="H5544" s="7" t="str">
        <f>HYPERLINK("http://www.ensembl.org/Mus_musculus/Gene/Summary?db=core;g=ENSMUSG00000107068","ENSMUSG00000107068")</f>
        <v>ENSMUSG00000107068</v>
      </c>
      <c r="I5544" s="7" t="str">
        <f>HYPERLINK("http://www.informatics.jax.org/marker/MGI:5662879","MGI:5662879")</f>
        <v>MGI:5662879</v>
      </c>
      <c r="J5544" s="4" t="s">
        <v>12</v>
      </c>
    </row>
    <row r="5545" spans="1:10" x14ac:dyDescent="0.25">
      <c r="A5545" s="2">
        <v>501.01586022490102</v>
      </c>
      <c r="B5545" s="3">
        <v>-0.38708475594878</v>
      </c>
      <c r="C5545" s="5">
        <v>1.50768573731786E-8</v>
      </c>
      <c r="D5545" s="6">
        <v>7.3502009245755901E-8</v>
      </c>
      <c r="E5545" s="3" t="s">
        <v>8107</v>
      </c>
      <c r="F5545" s="3" t="s">
        <v>8108</v>
      </c>
      <c r="G5545" s="3">
        <v>26940</v>
      </c>
      <c r="H5545" s="7" t="str">
        <f>HYPERLINK("http://www.ensembl.org/Mus_musculus/Gene/Summary?db=core;g=ENSMUSG00000066839","ENSMUSG00000066839")</f>
        <v>ENSMUSG00000066839</v>
      </c>
      <c r="I5545" s="7" t="str">
        <f>HYPERLINK("http://www.informatics.jax.org/marker/MGI:1349469","MGI:1349469")</f>
        <v>MGI:1349469</v>
      </c>
      <c r="J5545" s="4" t="s">
        <v>12</v>
      </c>
    </row>
    <row r="5546" spans="1:10" x14ac:dyDescent="0.25">
      <c r="A5546" s="2">
        <v>101.070738956751</v>
      </c>
      <c r="B5546" s="3">
        <v>-0.387262555634306</v>
      </c>
      <c r="C5546" s="3">
        <v>1.64021181292372E-3</v>
      </c>
      <c r="D5546" s="4">
        <v>4.6903968896252497E-3</v>
      </c>
      <c r="E5546" s="3" t="s">
        <v>13799</v>
      </c>
      <c r="F5546" s="3" t="s">
        <v>13800</v>
      </c>
      <c r="G5546" s="3">
        <v>170763</v>
      </c>
      <c r="H5546" s="7" t="str">
        <f>HYPERLINK("http://www.ensembl.org/Mus_musculus/Gene/Summary?db=core;g=ENSMUSG00000097333","ENSMUSG00000097333")</f>
        <v>ENSMUSG00000097333</v>
      </c>
      <c r="I5546" s="7" t="str">
        <f>HYPERLINK("http://www.informatics.jax.org/marker/MGI:107768","MGI:107768")</f>
        <v>MGI:107768</v>
      </c>
      <c r="J5546" s="4" t="s">
        <v>12</v>
      </c>
    </row>
    <row r="5547" spans="1:10" x14ac:dyDescent="0.25">
      <c r="A5547" s="2">
        <v>63.985388739805899</v>
      </c>
      <c r="B5547" s="3">
        <v>-0.38742561308141898</v>
      </c>
      <c r="C5547" s="3">
        <v>1.20817599890897E-2</v>
      </c>
      <c r="D5547" s="4">
        <v>2.9559839576284001E-2</v>
      </c>
      <c r="E5547" s="3" t="s">
        <v>16125</v>
      </c>
      <c r="F5547" s="3" t="s">
        <v>16126</v>
      </c>
      <c r="G5547" s="3">
        <v>234094</v>
      </c>
      <c r="H5547" s="7" t="str">
        <f>HYPERLINK("http://www.ensembl.org/Mus_musculus/Gene/Summary?db=core;g=ENSMUSG00000071176","ENSMUSG00000071176")</f>
        <v>ENSMUSG00000071176</v>
      </c>
      <c r="I5547" s="7" t="str">
        <f>HYPERLINK("http://www.informatics.jax.org/marker/MGI:2444453","MGI:2444453")</f>
        <v>MGI:2444453</v>
      </c>
      <c r="J5547" s="4" t="s">
        <v>12</v>
      </c>
    </row>
    <row r="5548" spans="1:10" x14ac:dyDescent="0.25">
      <c r="A5548" s="2">
        <v>286.48048444663698</v>
      </c>
      <c r="B5548" s="3">
        <v>-0.38756739125210898</v>
      </c>
      <c r="C5548" s="3">
        <v>1.1806809373346401E-4</v>
      </c>
      <c r="D5548" s="4">
        <v>3.94560719949824E-4</v>
      </c>
      <c r="E5548" s="3" t="s">
        <v>11813</v>
      </c>
      <c r="F5548" s="3" t="s">
        <v>11814</v>
      </c>
      <c r="G5548" s="3">
        <v>103080</v>
      </c>
      <c r="H5548" s="7" t="str">
        <f>HYPERLINK("http://www.ensembl.org/Mus_musculus/Gene/Summary?db=core;g=ENSMUSG00000019917","ENSMUSG00000019917")</f>
        <v>ENSMUSG00000019917</v>
      </c>
      <c r="I5548" s="7" t="str">
        <f>HYPERLINK("http://www.informatics.jax.org/marker/MGI:1918110","MGI:1918110")</f>
        <v>MGI:1918110</v>
      </c>
      <c r="J5548" s="4" t="s">
        <v>12</v>
      </c>
    </row>
    <row r="5549" spans="1:10" x14ac:dyDescent="0.25">
      <c r="A5549" s="2">
        <v>407.88263325673603</v>
      </c>
      <c r="B5549" s="3">
        <v>-0.38778148201125801</v>
      </c>
      <c r="C5549" s="5">
        <v>8.1151972256685801E-5</v>
      </c>
      <c r="D5549" s="4">
        <v>2.7629780609493202E-4</v>
      </c>
      <c r="E5549" s="3" t="s">
        <v>11595</v>
      </c>
      <c r="F5549" s="3" t="s">
        <v>11596</v>
      </c>
      <c r="G5549" s="3">
        <v>320534</v>
      </c>
      <c r="H5549" s="7" t="str">
        <f>HYPERLINK("http://www.ensembl.org/Mus_musculus/Gene/Summary?db=core;g=ENSMUSG00000045980","ENSMUSG00000045980")</f>
        <v>ENSMUSG00000045980</v>
      </c>
      <c r="I5549" s="7" t="str">
        <f>HYPERLINK("http://www.informatics.jax.org/marker/MGI:2444222","MGI:2444222")</f>
        <v>MGI:2444222</v>
      </c>
      <c r="J5549" s="4" t="s">
        <v>12</v>
      </c>
    </row>
    <row r="5550" spans="1:10" x14ac:dyDescent="0.25">
      <c r="A5550" s="2">
        <v>404.99294788786699</v>
      </c>
      <c r="B5550" s="3">
        <v>-0.38782231746972501</v>
      </c>
      <c r="C5550" s="3">
        <v>2.3011157496254E-4</v>
      </c>
      <c r="D5550" s="4">
        <v>7.4231968890255096E-4</v>
      </c>
      <c r="E5550" s="3" t="s">
        <v>12237</v>
      </c>
      <c r="F5550" s="3" t="s">
        <v>12238</v>
      </c>
      <c r="G5550" s="3">
        <v>20689</v>
      </c>
      <c r="H5550" s="7" t="str">
        <f>HYPERLINK("http://www.ensembl.org/Mus_musculus/Gene/Summary?db=core;g=ENSMUSG00000024565","ENSMUSG00000024565")</f>
        <v>ENSMUSG00000024565</v>
      </c>
      <c r="I5550" s="7" t="str">
        <f>HYPERLINK("http://www.informatics.jax.org/marker/MGI:109295","MGI:109295")</f>
        <v>MGI:109295</v>
      </c>
      <c r="J5550" s="4" t="s">
        <v>12</v>
      </c>
    </row>
    <row r="5551" spans="1:10" x14ac:dyDescent="0.25">
      <c r="A5551" s="2">
        <v>1270.73500973661</v>
      </c>
      <c r="B5551" s="3">
        <v>-0.38794789364126703</v>
      </c>
      <c r="C5551" s="5">
        <v>3.9311664269601202E-11</v>
      </c>
      <c r="D5551" s="6">
        <v>2.35846066138283E-10</v>
      </c>
      <c r="E5551" s="3" t="s">
        <v>6591</v>
      </c>
      <c r="F5551" s="3" t="s">
        <v>6592</v>
      </c>
      <c r="G5551" s="3">
        <v>74340</v>
      </c>
      <c r="H5551" s="7" t="str">
        <f>HYPERLINK("http://www.ensembl.org/Mus_musculus/Gene/Summary?db=core;g=ENSMUSG00000029772","ENSMUSG00000029772")</f>
        <v>ENSMUSG00000029772</v>
      </c>
      <c r="I5551" s="7" t="str">
        <f>HYPERLINK("http://www.informatics.jax.org/marker/MGI:1921590","MGI:1921590")</f>
        <v>MGI:1921590</v>
      </c>
      <c r="J5551" s="4" t="s">
        <v>12</v>
      </c>
    </row>
    <row r="5552" spans="1:10" x14ac:dyDescent="0.25">
      <c r="A5552" s="2">
        <v>114.68688123418499</v>
      </c>
      <c r="B5552" s="3">
        <v>-0.38856165035560303</v>
      </c>
      <c r="C5552" s="3">
        <v>8.8992019353557601E-4</v>
      </c>
      <c r="D5552" s="4">
        <v>2.6441504017660901E-3</v>
      </c>
      <c r="E5552" s="3" t="s">
        <v>13282</v>
      </c>
      <c r="F5552" s="3" t="s">
        <v>13283</v>
      </c>
      <c r="G5552" s="3">
        <v>100764</v>
      </c>
      <c r="H5552" s="7" t="str">
        <f>HYPERLINK("http://www.ensembl.org/Mus_musculus/Gene/Summary?db=core;g=ENSMUSG00000029600","ENSMUSG00000029600")</f>
        <v>ENSMUSG00000029600</v>
      </c>
      <c r="I5552" s="7" t="str">
        <f>HYPERLINK("http://www.informatics.jax.org/marker/MGI:1922021","MGI:1922021")</f>
        <v>MGI:1922021</v>
      </c>
      <c r="J5552" s="4" t="s">
        <v>12</v>
      </c>
    </row>
    <row r="5553" spans="1:10" x14ac:dyDescent="0.25">
      <c r="A5553" s="2">
        <v>488.136773970869</v>
      </c>
      <c r="B5553" s="3">
        <v>-0.38859550946432497</v>
      </c>
      <c r="C5553" s="5">
        <v>2.00292710361756E-10</v>
      </c>
      <c r="D5553" s="6">
        <v>1.1366251074342001E-9</v>
      </c>
      <c r="E5553" s="3" t="s">
        <v>6968</v>
      </c>
      <c r="F5553" s="3" t="s">
        <v>6969</v>
      </c>
      <c r="G5553" s="3" t="s">
        <v>83</v>
      </c>
      <c r="H5553" s="7" t="str">
        <f>HYPERLINK("http://www.ensembl.org/Mus_musculus/Gene/Summary?db=core;g=ENSMUSG00000030680","ENSMUSG00000030680")</f>
        <v>ENSMUSG00000030680</v>
      </c>
      <c r="I5553" s="7" t="str">
        <f>HYPERLINK("http://www.informatics.jax.org/marker/MGI:1914528","MGI:1914528")</f>
        <v>MGI:1914528</v>
      </c>
      <c r="J5553" s="4" t="s">
        <v>12</v>
      </c>
    </row>
    <row r="5554" spans="1:10" x14ac:dyDescent="0.25">
      <c r="A5554" s="2">
        <v>213.596094555001</v>
      </c>
      <c r="B5554" s="3">
        <v>-0.38901427720995302</v>
      </c>
      <c r="C5554" s="3">
        <v>3.9859674827649798E-4</v>
      </c>
      <c r="D5554" s="4">
        <v>1.24234674822389E-3</v>
      </c>
      <c r="E5554" s="3" t="s">
        <v>12667</v>
      </c>
      <c r="F5554" s="3" t="s">
        <v>12668</v>
      </c>
      <c r="G5554" s="3">
        <v>69742</v>
      </c>
      <c r="H5554" s="7" t="str">
        <f>HYPERLINK("http://www.ensembl.org/Mus_musculus/Gene/Summary?db=core;g=ENSMUSG00000031556","ENSMUSG00000031556")</f>
        <v>ENSMUSG00000031556</v>
      </c>
      <c r="I5554" s="7" t="str">
        <f>HYPERLINK("http://www.informatics.jax.org/marker/MGI:1916992","MGI:1916992")</f>
        <v>MGI:1916992</v>
      </c>
      <c r="J5554" s="4" t="s">
        <v>12</v>
      </c>
    </row>
    <row r="5555" spans="1:10" x14ac:dyDescent="0.25">
      <c r="A5555" s="2">
        <v>332.747570317552</v>
      </c>
      <c r="B5555" s="3">
        <v>-0.38910474711516702</v>
      </c>
      <c r="C5555" s="5">
        <v>6.4787634871910104E-5</v>
      </c>
      <c r="D5555" s="4">
        <v>2.2312472226232401E-4</v>
      </c>
      <c r="E5555" s="3" t="s">
        <v>11463</v>
      </c>
      <c r="F5555" s="3" t="s">
        <v>11464</v>
      </c>
      <c r="G5555" s="3">
        <v>68118</v>
      </c>
      <c r="H5555" s="7" t="str">
        <f>HYPERLINK("http://www.ensembl.org/Mus_musculus/Gene/Summary?db=core;g=ENSMUSG00000037204","ENSMUSG00000037204")</f>
        <v>ENSMUSG00000037204</v>
      </c>
      <c r="I5555" s="7" t="str">
        <f>HYPERLINK("http://www.informatics.jax.org/marker/MGI:1915368","MGI:1915368")</f>
        <v>MGI:1915368</v>
      </c>
      <c r="J5555" s="4" t="s">
        <v>12</v>
      </c>
    </row>
    <row r="5556" spans="1:10" x14ac:dyDescent="0.25">
      <c r="A5556" s="2">
        <v>282.35743820065397</v>
      </c>
      <c r="B5556" s="3">
        <v>-0.38910825236225599</v>
      </c>
      <c r="C5556" s="3">
        <v>3.5527360514344498E-4</v>
      </c>
      <c r="D5556" s="4">
        <v>1.1156043779345099E-3</v>
      </c>
      <c r="E5556" s="3" t="s">
        <v>12573</v>
      </c>
      <c r="F5556" s="3" t="s">
        <v>12574</v>
      </c>
      <c r="G5556" s="3">
        <v>68644</v>
      </c>
      <c r="H5556" s="7" t="str">
        <f>HYPERLINK("http://www.ensembl.org/Mus_musculus/Gene/Summary?db=core;g=ENSMUSG00000042210","ENSMUSG00000042210")</f>
        <v>ENSMUSG00000042210</v>
      </c>
      <c r="I5556" s="7" t="str">
        <f>HYPERLINK("http://www.informatics.jax.org/marker/MGI:1915894","MGI:1915894")</f>
        <v>MGI:1915894</v>
      </c>
      <c r="J5556" s="4" t="s">
        <v>12</v>
      </c>
    </row>
    <row r="5557" spans="1:10" x14ac:dyDescent="0.25">
      <c r="A5557" s="2">
        <v>901.14448277780195</v>
      </c>
      <c r="B5557" s="3">
        <v>-0.38930258050919703</v>
      </c>
      <c r="C5557" s="5">
        <v>3.37445228858967E-8</v>
      </c>
      <c r="D5557" s="6">
        <v>1.59158572425229E-7</v>
      </c>
      <c r="E5557" s="3" t="s">
        <v>8379</v>
      </c>
      <c r="F5557" s="3" t="s">
        <v>8380</v>
      </c>
      <c r="G5557" s="3">
        <v>231279</v>
      </c>
      <c r="H5557" s="7" t="str">
        <f>HYPERLINK("http://www.ensembl.org/Mus_musculus/Gene/Summary?db=core;g=ENSMUSG00000029208","ENSMUSG00000029208")</f>
        <v>ENSMUSG00000029208</v>
      </c>
      <c r="I5557" s="7" t="str">
        <f>HYPERLINK("http://www.informatics.jax.org/marker/MGI:2140726","MGI:2140726")</f>
        <v>MGI:2140726</v>
      </c>
      <c r="J5557" s="4" t="s">
        <v>12</v>
      </c>
    </row>
    <row r="5558" spans="1:10" x14ac:dyDescent="0.25">
      <c r="A5558" s="2">
        <v>129.385840101887</v>
      </c>
      <c r="B5558" s="3">
        <v>-0.38935797901635899</v>
      </c>
      <c r="C5558" s="3">
        <v>2.4352630235743099E-4</v>
      </c>
      <c r="D5558" s="4">
        <v>7.8201248697094003E-4</v>
      </c>
      <c r="E5558" s="3" t="s">
        <v>12293</v>
      </c>
      <c r="F5558" s="3" t="s">
        <v>12294</v>
      </c>
      <c r="G5558" s="3">
        <v>76915</v>
      </c>
      <c r="H5558" s="7" t="str">
        <f>HYPERLINK("http://www.ensembl.org/Mus_musculus/Gene/Summary?db=core;g=ENSMUSG00000033752","ENSMUSG00000033752")</f>
        <v>ENSMUSG00000033752</v>
      </c>
      <c r="I5558" s="7" t="str">
        <f>HYPERLINK("http://www.informatics.jax.org/marker/MGI:1924165","MGI:1924165")</f>
        <v>MGI:1924165</v>
      </c>
      <c r="J5558" s="4" t="s">
        <v>12</v>
      </c>
    </row>
    <row r="5559" spans="1:10" x14ac:dyDescent="0.25">
      <c r="A5559" s="2">
        <v>569.91860947054602</v>
      </c>
      <c r="B5559" s="3">
        <v>-0.38955689472007599</v>
      </c>
      <c r="C5559" s="5">
        <v>2.8876311444086E-8</v>
      </c>
      <c r="D5559" s="6">
        <v>1.37280824898114E-7</v>
      </c>
      <c r="E5559" s="3" t="s">
        <v>8313</v>
      </c>
      <c r="F5559" s="3" t="s">
        <v>8314</v>
      </c>
      <c r="G5559" s="3">
        <v>22110</v>
      </c>
      <c r="H5559" s="7" t="str">
        <f>HYPERLINK("http://www.ensembl.org/Mus_musculus/Gene/Summary?db=core;g=ENSMUSG00000047514","ENSMUSG00000047514")</f>
        <v>ENSMUSG00000047514</v>
      </c>
      <c r="I5559" s="7" t="str">
        <f>HYPERLINK("http://www.informatics.jax.org/marker/MGI:1298395","MGI:1298395")</f>
        <v>MGI:1298395</v>
      </c>
      <c r="J5559" s="4" t="s">
        <v>12</v>
      </c>
    </row>
    <row r="5560" spans="1:10" x14ac:dyDescent="0.25">
      <c r="A5560" s="2">
        <v>437.98519304017901</v>
      </c>
      <c r="B5560" s="3">
        <v>-0.39020451010208002</v>
      </c>
      <c r="C5560" s="3">
        <v>6.0286696698341996E-4</v>
      </c>
      <c r="D5560" s="4">
        <v>1.8369185087937299E-3</v>
      </c>
      <c r="E5560" s="3" t="s">
        <v>12953</v>
      </c>
      <c r="F5560" s="3" t="s">
        <v>12954</v>
      </c>
      <c r="G5560" s="3">
        <v>14923</v>
      </c>
      <c r="H5560" s="7" t="str">
        <f>HYPERLINK("http://www.ensembl.org/Mus_musculus/Gene/Summary?db=core;g=ENSMUSG00000020444","ENSMUSG00000020444")</f>
        <v>ENSMUSG00000020444</v>
      </c>
      <c r="I5560" s="7" t="str">
        <f>HYPERLINK("http://www.informatics.jax.org/marker/MGI:95871","MGI:95871")</f>
        <v>MGI:95871</v>
      </c>
      <c r="J5560" s="4" t="s">
        <v>12</v>
      </c>
    </row>
    <row r="5561" spans="1:10" x14ac:dyDescent="0.25">
      <c r="A5561" s="2">
        <v>104.081377543371</v>
      </c>
      <c r="B5561" s="3">
        <v>-0.39024874985142999</v>
      </c>
      <c r="C5561" s="3">
        <v>3.2767219241257501E-3</v>
      </c>
      <c r="D5561" s="4">
        <v>8.9274601193368094E-3</v>
      </c>
      <c r="E5561" s="3" t="s">
        <v>14479</v>
      </c>
      <c r="F5561" s="3" t="s">
        <v>14480</v>
      </c>
      <c r="G5561" s="3">
        <v>241066</v>
      </c>
      <c r="H5561" s="7" t="str">
        <f>HYPERLINK("http://www.ensembl.org/Mus_musculus/Gene/Summary?db=core;g=ENSMUSG00000026017","ENSMUSG00000026017")</f>
        <v>ENSMUSG00000026017</v>
      </c>
      <c r="I5561" s="7" t="str">
        <f>HYPERLINK("http://www.informatics.jax.org/marker/MGI:2182269","MGI:2182269")</f>
        <v>MGI:2182269</v>
      </c>
      <c r="J5561" s="4" t="s">
        <v>12</v>
      </c>
    </row>
    <row r="5562" spans="1:10" x14ac:dyDescent="0.25">
      <c r="A5562" s="2">
        <v>438.07111635310002</v>
      </c>
      <c r="B5562" s="3">
        <v>-0.39036744223127301</v>
      </c>
      <c r="C5562" s="3">
        <v>2.6641151380929002E-4</v>
      </c>
      <c r="D5562" s="4">
        <v>8.51204642307065E-4</v>
      </c>
      <c r="E5562" s="3" t="s">
        <v>12356</v>
      </c>
      <c r="F5562" s="3" t="s">
        <v>12357</v>
      </c>
      <c r="G5562" s="3">
        <v>13714</v>
      </c>
      <c r="H5562" s="7" t="str">
        <f>HYPERLINK("http://www.ensembl.org/Mus_musculus/Gene/Summary?db=core;g=ENSMUSG00000026436","ENSMUSG00000026436")</f>
        <v>ENSMUSG00000026436</v>
      </c>
      <c r="I5562" s="7" t="str">
        <f>HYPERLINK("http://www.informatics.jax.org/marker/MGI:102853","MGI:102853")</f>
        <v>MGI:102853</v>
      </c>
      <c r="J5562" s="4" t="s">
        <v>12</v>
      </c>
    </row>
    <row r="5563" spans="1:10" x14ac:dyDescent="0.25">
      <c r="A5563" s="2">
        <v>547.57562573950599</v>
      </c>
      <c r="B5563" s="3">
        <v>-0.39042504392976202</v>
      </c>
      <c r="C5563" s="5">
        <v>2.0311003209219499E-7</v>
      </c>
      <c r="D5563" s="6">
        <v>8.9906393554614602E-7</v>
      </c>
      <c r="E5563" s="3" t="s">
        <v>8927</v>
      </c>
      <c r="F5563" s="3" t="s">
        <v>8928</v>
      </c>
      <c r="G5563" s="3">
        <v>100502841</v>
      </c>
      <c r="H5563" s="7" t="str">
        <f>HYPERLINK("http://www.ensembl.org/Mus_musculus/Gene/Summary?db=core;g=ENSMUSG00000039840","ENSMUSG00000039840")</f>
        <v>ENSMUSG00000039840</v>
      </c>
      <c r="I5563" s="7" t="str">
        <f>HYPERLINK("http://www.informatics.jax.org/marker/MGI:1918673","MGI:1918673")</f>
        <v>MGI:1918673</v>
      </c>
      <c r="J5563" s="4" t="s">
        <v>12</v>
      </c>
    </row>
    <row r="5564" spans="1:10" x14ac:dyDescent="0.25">
      <c r="A5564" s="2">
        <v>261.97442730572902</v>
      </c>
      <c r="B5564" s="3">
        <v>-0.39065636875558102</v>
      </c>
      <c r="C5564" s="3">
        <v>5.0890112063980205E-4</v>
      </c>
      <c r="D5564" s="4">
        <v>1.5643850505092599E-3</v>
      </c>
      <c r="E5564" s="3" t="s">
        <v>12839</v>
      </c>
      <c r="F5564" s="3" t="s">
        <v>12840</v>
      </c>
      <c r="G5564" s="3">
        <v>18082</v>
      </c>
      <c r="H5564" s="7" t="str">
        <f>HYPERLINK("http://www.ensembl.org/Mus_musculus/Gene/Summary?db=core;g=ENSMUSG00000034285","ENSMUSG00000034285")</f>
        <v>ENSMUSG00000034285</v>
      </c>
      <c r="I5564" s="7" t="str">
        <f>HYPERLINK("http://www.informatics.jax.org/marker/MGI:1278344","MGI:1278344")</f>
        <v>MGI:1278344</v>
      </c>
      <c r="J5564" s="4" t="s">
        <v>12</v>
      </c>
    </row>
    <row r="5565" spans="1:10" x14ac:dyDescent="0.25">
      <c r="A5565" s="2">
        <v>552.15093966161703</v>
      </c>
      <c r="B5565" s="3">
        <v>-0.39067352533691502</v>
      </c>
      <c r="C5565" s="3">
        <v>2.32087461306938E-4</v>
      </c>
      <c r="D5565" s="4">
        <v>7.4793942937286895E-4</v>
      </c>
      <c r="E5565" s="3" t="s">
        <v>12251</v>
      </c>
      <c r="F5565" s="3" t="s">
        <v>12252</v>
      </c>
      <c r="G5565" s="3">
        <v>77559</v>
      </c>
      <c r="H5565" s="7" t="str">
        <f>HYPERLINK("http://www.ensembl.org/Mus_musculus/Gene/Summary?db=core;g=ENSMUSG00000033400","ENSMUSG00000033400")</f>
        <v>ENSMUSG00000033400</v>
      </c>
      <c r="I5565" s="7" t="str">
        <f>HYPERLINK("http://www.informatics.jax.org/marker/MGI:1924809","MGI:1924809")</f>
        <v>MGI:1924809</v>
      </c>
      <c r="J5565" s="4" t="s">
        <v>12</v>
      </c>
    </row>
    <row r="5566" spans="1:10" x14ac:dyDescent="0.25">
      <c r="A5566" s="2">
        <v>341.89283977441102</v>
      </c>
      <c r="B5566" s="3">
        <v>-0.39087670671975</v>
      </c>
      <c r="C5566" s="5">
        <v>7.6237026848968101E-6</v>
      </c>
      <c r="D5566" s="6">
        <v>2.8967132359569399E-5</v>
      </c>
      <c r="E5566" s="3" t="s">
        <v>10394</v>
      </c>
      <c r="F5566" s="3" t="s">
        <v>10395</v>
      </c>
      <c r="G5566" s="3">
        <v>225745</v>
      </c>
      <c r="H5566" s="7" t="str">
        <f>HYPERLINK("http://www.ensembl.org/Mus_musculus/Gene/Summary?db=core;g=ENSMUSG00000041840","ENSMUSG00000041840")</f>
        <v>ENSMUSG00000041840</v>
      </c>
      <c r="I5566" s="7" t="str">
        <f>HYPERLINK("http://www.informatics.jax.org/marker/MGI:2385076","MGI:2385076")</f>
        <v>MGI:2385076</v>
      </c>
      <c r="J5566" s="4" t="s">
        <v>12</v>
      </c>
    </row>
    <row r="5567" spans="1:10" x14ac:dyDescent="0.25">
      <c r="A5567" s="2">
        <v>220.30899470248701</v>
      </c>
      <c r="B5567" s="3">
        <v>-0.39103592999979803</v>
      </c>
      <c r="C5567" s="3">
        <v>1.1649760291387E-3</v>
      </c>
      <c r="D5567" s="4">
        <v>3.4019439204228002E-3</v>
      </c>
      <c r="E5567" s="3" t="s">
        <v>13515</v>
      </c>
      <c r="F5567" s="3" t="s">
        <v>13516</v>
      </c>
      <c r="G5567" s="3">
        <v>319653</v>
      </c>
      <c r="H5567" s="7" t="str">
        <f>HYPERLINK("http://www.ensembl.org/Mus_musculus/Gene/Summary?db=core;g=ENSMUSG00000054099","ENSMUSG00000054099")</f>
        <v>ENSMUSG00000054099</v>
      </c>
      <c r="I5567" s="7" t="str">
        <f>HYPERLINK("http://www.informatics.jax.org/marker/MGI:2442486","MGI:2442486")</f>
        <v>MGI:2442486</v>
      </c>
      <c r="J5567" s="4" t="s">
        <v>12</v>
      </c>
    </row>
    <row r="5568" spans="1:10" x14ac:dyDescent="0.25">
      <c r="A5568" s="2">
        <v>1799.8764807586899</v>
      </c>
      <c r="B5568" s="3">
        <v>-0.39135778654079001</v>
      </c>
      <c r="C5568" s="5">
        <v>8.4549844497770495E-9</v>
      </c>
      <c r="D5568" s="6">
        <v>4.2200023626829499E-8</v>
      </c>
      <c r="E5568" s="3" t="s">
        <v>7918</v>
      </c>
      <c r="F5568" s="3" t="s">
        <v>7919</v>
      </c>
      <c r="G5568" s="3">
        <v>18972</v>
      </c>
      <c r="H5568" s="7" t="str">
        <f>HYPERLINK("http://www.ensembl.org/Mus_musculus/Gene/Summary?db=core;g=ENSMUSG00000020471","ENSMUSG00000020471")</f>
        <v>ENSMUSG00000020471</v>
      </c>
      <c r="I5568" s="7" t="str">
        <f>HYPERLINK("http://www.informatics.jax.org/marker/MGI:1097163","MGI:1097163")</f>
        <v>MGI:1097163</v>
      </c>
      <c r="J5568" s="4" t="s">
        <v>12</v>
      </c>
    </row>
    <row r="5569" spans="1:10" x14ac:dyDescent="0.25">
      <c r="A5569" s="2">
        <v>691.00831079678198</v>
      </c>
      <c r="B5569" s="3">
        <v>-0.39141653444611002</v>
      </c>
      <c r="C5569" s="5">
        <v>2.5818458216678E-8</v>
      </c>
      <c r="D5569" s="6">
        <v>1.2336806300772699E-7</v>
      </c>
      <c r="E5569" s="3" t="s">
        <v>8271</v>
      </c>
      <c r="F5569" s="3" t="s">
        <v>8272</v>
      </c>
      <c r="G5569" s="3">
        <v>66874</v>
      </c>
      <c r="H5569" s="7" t="str">
        <f>HYPERLINK("http://www.ensembl.org/Mus_musculus/Gene/Summary?db=core;g=ENSMUSG00000020783","ENSMUSG00000020783")</f>
        <v>ENSMUSG00000020783</v>
      </c>
      <c r="I5569" s="7" t="str">
        <f>HYPERLINK("http://www.informatics.jax.org/marker/MGI:1914124","MGI:1914124")</f>
        <v>MGI:1914124</v>
      </c>
      <c r="J5569" s="4" t="s">
        <v>12</v>
      </c>
    </row>
    <row r="5570" spans="1:10" x14ac:dyDescent="0.25">
      <c r="A5570" s="2">
        <v>1427.9442085958499</v>
      </c>
      <c r="B5570" s="3">
        <v>-0.39161986572735102</v>
      </c>
      <c r="C5570" s="5">
        <v>9.8199706096340202E-8</v>
      </c>
      <c r="D5570" s="6">
        <v>4.45479228023885E-7</v>
      </c>
      <c r="E5570" s="3" t="s">
        <v>8711</v>
      </c>
      <c r="F5570" s="3" t="s">
        <v>8712</v>
      </c>
      <c r="G5570" s="3">
        <v>76246</v>
      </c>
      <c r="H5570" s="7" t="str">
        <f>HYPERLINK("http://www.ensembl.org/Mus_musculus/Gene/Summary?db=core;g=ENSMUSG00000027304","ENSMUSG00000027304")</f>
        <v>ENSMUSG00000027304</v>
      </c>
      <c r="I5570" s="7" t="str">
        <f>HYPERLINK("http://www.informatics.jax.org/marker/MGI:1309480","MGI:1309480")</f>
        <v>MGI:1309480</v>
      </c>
      <c r="J5570" s="4" t="s">
        <v>12</v>
      </c>
    </row>
    <row r="5571" spans="1:10" x14ac:dyDescent="0.25">
      <c r="A5571" s="2">
        <v>637.00366632764496</v>
      </c>
      <c r="B5571" s="3">
        <v>-0.39166339137320599</v>
      </c>
      <c r="C5571" s="5">
        <v>5.6752167832506397E-7</v>
      </c>
      <c r="D5571" s="6">
        <v>2.4104086789942398E-6</v>
      </c>
      <c r="E5571" s="3" t="s">
        <v>9301</v>
      </c>
      <c r="F5571" s="3" t="s">
        <v>9302</v>
      </c>
      <c r="G5571" s="3">
        <v>19082</v>
      </c>
      <c r="H5571" s="7" t="str">
        <f>HYPERLINK("http://www.ensembl.org/Mus_musculus/Gene/Summary?db=core;g=ENSMUSG00000067713","ENSMUSG00000067713")</f>
        <v>ENSMUSG00000067713</v>
      </c>
      <c r="I5571" s="7" t="str">
        <f>HYPERLINK("http://www.informatics.jax.org/marker/MGI:108411","MGI:108411")</f>
        <v>MGI:108411</v>
      </c>
      <c r="J5571" s="4" t="s">
        <v>12</v>
      </c>
    </row>
    <row r="5572" spans="1:10" x14ac:dyDescent="0.25">
      <c r="A5572" s="2">
        <v>783.43608310944103</v>
      </c>
      <c r="B5572" s="3">
        <v>-0.392212810118165</v>
      </c>
      <c r="C5572" s="5">
        <v>2.9940248491587999E-6</v>
      </c>
      <c r="D5572" s="6">
        <v>1.18155233190738E-5</v>
      </c>
      <c r="E5572" s="3" t="s">
        <v>10010</v>
      </c>
      <c r="F5572" s="3" t="s">
        <v>10011</v>
      </c>
      <c r="G5572" s="3">
        <v>71820</v>
      </c>
      <c r="H5572" s="7" t="str">
        <f>HYPERLINK("http://www.ensembl.org/Mus_musculus/Gene/Summary?db=core;g=ENSMUSG00000039715","ENSMUSG00000039715")</f>
        <v>ENSMUSG00000039715</v>
      </c>
      <c r="I5572" s="7" t="str">
        <f>HYPERLINK("http://www.informatics.jax.org/marker/MGI:1919070","MGI:1919070")</f>
        <v>MGI:1919070</v>
      </c>
      <c r="J5572" s="4" t="s">
        <v>12</v>
      </c>
    </row>
    <row r="5573" spans="1:10" x14ac:dyDescent="0.25">
      <c r="A5573" s="2">
        <v>584.170635947248</v>
      </c>
      <c r="B5573" s="3">
        <v>-0.39226297550414901</v>
      </c>
      <c r="C5573" s="5">
        <v>3.6103864174766402E-8</v>
      </c>
      <c r="D5573" s="6">
        <v>1.6988026760353001E-7</v>
      </c>
      <c r="E5573" s="3" t="s">
        <v>8399</v>
      </c>
      <c r="F5573" s="3" t="s">
        <v>8400</v>
      </c>
      <c r="G5573" s="3">
        <v>231506</v>
      </c>
      <c r="H5573" s="7" t="str">
        <f>HYPERLINK("http://www.ensembl.org/Mus_musculus/Gene/Summary?db=core;g=ENSMUSG00000035310","ENSMUSG00000035310")</f>
        <v>ENSMUSG00000035310</v>
      </c>
      <c r="I5573" s="7" t="str">
        <f>HYPERLINK("http://www.informatics.jax.org/marker/MGI:2140902","MGI:2140902")</f>
        <v>MGI:2140902</v>
      </c>
      <c r="J5573" s="4" t="s">
        <v>12</v>
      </c>
    </row>
    <row r="5574" spans="1:10" x14ac:dyDescent="0.25">
      <c r="A5574" s="2">
        <v>214.711891995613</v>
      </c>
      <c r="B5574" s="3">
        <v>-0.39236209226806101</v>
      </c>
      <c r="C5574" s="5">
        <v>2.6155494004103299E-5</v>
      </c>
      <c r="D5574" s="6">
        <v>9.4018655078548596E-5</v>
      </c>
      <c r="E5574" s="3" t="s">
        <v>10984</v>
      </c>
      <c r="F5574" s="3" t="s">
        <v>10985</v>
      </c>
      <c r="G5574" s="3">
        <v>54152</v>
      </c>
      <c r="H5574" s="7" t="str">
        <f>HYPERLINK("http://www.ensembl.org/Mus_musculus/Gene/Summary?db=core;g=ENSMUSG00000022420","ENSMUSG00000022420")</f>
        <v>ENSMUSG00000022420</v>
      </c>
      <c r="I5574" s="7" t="str">
        <f>HYPERLINK("http://www.informatics.jax.org/marker/MGI:1859217","MGI:1859217")</f>
        <v>MGI:1859217</v>
      </c>
      <c r="J5574" s="4" t="s">
        <v>12</v>
      </c>
    </row>
    <row r="5575" spans="1:10" x14ac:dyDescent="0.25">
      <c r="A5575" s="2">
        <v>1417.1646875937899</v>
      </c>
      <c r="B5575" s="3">
        <v>-0.392411418167398</v>
      </c>
      <c r="C5575" s="5">
        <v>2.3140472785004199E-10</v>
      </c>
      <c r="D5575" s="6">
        <v>1.3060392768182099E-9</v>
      </c>
      <c r="E5575" s="3" t="s">
        <v>7006</v>
      </c>
      <c r="F5575" s="3" t="s">
        <v>7007</v>
      </c>
      <c r="G5575" s="3">
        <v>105522</v>
      </c>
      <c r="H5575" s="7" t="str">
        <f>HYPERLINK("http://www.ensembl.org/Mus_musculus/Gene/Summary?db=core;g=ENSMUSG00000014496","ENSMUSG00000014496")</f>
        <v>ENSMUSG00000014496</v>
      </c>
      <c r="I5575" s="7" t="str">
        <f>HYPERLINK("http://www.informatics.jax.org/marker/MGI:2145661","MGI:2145661")</f>
        <v>MGI:2145661</v>
      </c>
      <c r="J5575" s="4" t="s">
        <v>12</v>
      </c>
    </row>
    <row r="5576" spans="1:10" x14ac:dyDescent="0.25">
      <c r="A5576" s="2">
        <v>94.521530837273303</v>
      </c>
      <c r="B5576" s="3">
        <v>-0.392502804164649</v>
      </c>
      <c r="C5576" s="3">
        <v>4.1855586462149104E-3</v>
      </c>
      <c r="D5576" s="4">
        <v>1.1226770471077001E-2</v>
      </c>
      <c r="E5576" s="3" t="s">
        <v>14708</v>
      </c>
      <c r="F5576" s="3" t="s">
        <v>14709</v>
      </c>
      <c r="G5576" s="3">
        <v>319618</v>
      </c>
      <c r="H5576" s="7" t="str">
        <f>HYPERLINK("http://www.ensembl.org/Mus_musculus/Gene/Summary?db=core;g=ENSMUSG00000041477","ENSMUSG00000041477")</f>
        <v>ENSMUSG00000041477</v>
      </c>
      <c r="I5576" s="7" t="str">
        <f>HYPERLINK("http://www.informatics.jax.org/marker/MGI:2442404","MGI:2442404")</f>
        <v>MGI:2442404</v>
      </c>
      <c r="J5576" s="4" t="s">
        <v>12</v>
      </c>
    </row>
    <row r="5577" spans="1:10" x14ac:dyDescent="0.25">
      <c r="A5577" s="2">
        <v>1837.4958573834499</v>
      </c>
      <c r="B5577" s="3">
        <v>-0.39261244937483197</v>
      </c>
      <c r="C5577" s="5">
        <v>1.0520268214113201E-6</v>
      </c>
      <c r="D5577" s="6">
        <v>4.33925306802578E-6</v>
      </c>
      <c r="E5577" s="3" t="s">
        <v>9575</v>
      </c>
      <c r="F5577" s="3" t="s">
        <v>9576</v>
      </c>
      <c r="G5577" s="3">
        <v>26416</v>
      </c>
      <c r="H5577" s="7" t="str">
        <f>HYPERLINK("http://www.ensembl.org/Mus_musculus/Gene/Summary?db=core;g=ENSMUSG00000053436","ENSMUSG00000053436")</f>
        <v>ENSMUSG00000053436</v>
      </c>
      <c r="I5577" s="7" t="str">
        <f>HYPERLINK("http://www.informatics.jax.org/marker/MGI:1346865","MGI:1346865")</f>
        <v>MGI:1346865</v>
      </c>
      <c r="J5577" s="4" t="s">
        <v>12</v>
      </c>
    </row>
    <row r="5578" spans="1:10" x14ac:dyDescent="0.25">
      <c r="A5578" s="2">
        <v>1713.54271490714</v>
      </c>
      <c r="B5578" s="3">
        <v>-0.39281956221305098</v>
      </c>
      <c r="C5578" s="5">
        <v>1.9723329593336601E-12</v>
      </c>
      <c r="D5578" s="6">
        <v>1.30081625277792E-11</v>
      </c>
      <c r="E5578" s="3" t="s">
        <v>5997</v>
      </c>
      <c r="F5578" s="3" t="s">
        <v>5998</v>
      </c>
      <c r="G5578" s="3">
        <v>59044</v>
      </c>
      <c r="H5578" s="7" t="str">
        <f>HYPERLINK("http://www.ensembl.org/Mus_musculus/Gene/Summary?db=core;g=ENSMUSG00000020376","ENSMUSG00000020376")</f>
        <v>ENSMUSG00000020376</v>
      </c>
      <c r="I5578" s="7" t="str">
        <f>HYPERLINK("http://www.informatics.jax.org/marker/MGI:1891717","MGI:1891717")</f>
        <v>MGI:1891717</v>
      </c>
      <c r="J5578" s="4" t="s">
        <v>12</v>
      </c>
    </row>
    <row r="5579" spans="1:10" x14ac:dyDescent="0.25">
      <c r="A5579" s="2">
        <v>232.54361363796801</v>
      </c>
      <c r="B5579" s="3">
        <v>-0.39283885682479502</v>
      </c>
      <c r="C5579" s="3">
        <v>6.20888214537234E-4</v>
      </c>
      <c r="D5579" s="4">
        <v>1.8865817551116E-3</v>
      </c>
      <c r="E5579" s="3" t="s">
        <v>12989</v>
      </c>
      <c r="F5579" s="3" t="s">
        <v>12990</v>
      </c>
      <c r="G5579" s="3">
        <v>20411</v>
      </c>
      <c r="H5579" s="7" t="str">
        <f>HYPERLINK("http://www.ensembl.org/Mus_musculus/Gene/Summary?db=core;g=ENSMUSG00000025006","ENSMUSG00000025006")</f>
        <v>ENSMUSG00000025006</v>
      </c>
      <c r="I5579" s="7" t="str">
        <f>HYPERLINK("http://www.informatics.jax.org/marker/MGI:700014","MGI:700014")</f>
        <v>MGI:700014</v>
      </c>
      <c r="J5579" s="4" t="s">
        <v>12</v>
      </c>
    </row>
    <row r="5580" spans="1:10" x14ac:dyDescent="0.25">
      <c r="A5580" s="2">
        <v>262.63614722358699</v>
      </c>
      <c r="B5580" s="3">
        <v>-0.39290828986023602</v>
      </c>
      <c r="C5580" s="5">
        <v>6.75432455134879E-6</v>
      </c>
      <c r="D5580" s="6">
        <v>2.57531477479888E-5</v>
      </c>
      <c r="E5580" s="3" t="s">
        <v>10358</v>
      </c>
      <c r="F5580" s="3" t="s">
        <v>10359</v>
      </c>
      <c r="G5580" s="3">
        <v>13595</v>
      </c>
      <c r="H5580" s="7" t="str">
        <f>HYPERLINK("http://www.ensembl.org/Mus_musculus/Gene/Summary?db=core;g=ENSMUSG00000031168","ENSMUSG00000031168")</f>
        <v>ENSMUSG00000031168</v>
      </c>
      <c r="I5580" s="7" t="str">
        <f>HYPERLINK("http://www.informatics.jax.org/marker/MGI:107822","MGI:107822")</f>
        <v>MGI:107822</v>
      </c>
      <c r="J5580" s="4" t="s">
        <v>12</v>
      </c>
    </row>
    <row r="5581" spans="1:10" x14ac:dyDescent="0.25">
      <c r="A5581" s="2">
        <v>391.48763714743899</v>
      </c>
      <c r="B5581" s="3">
        <v>-0.39300203676627199</v>
      </c>
      <c r="C5581" s="5">
        <v>1.1910624187160201E-8</v>
      </c>
      <c r="D5581" s="6">
        <v>5.8719377242700002E-8</v>
      </c>
      <c r="E5581" s="3" t="s">
        <v>8017</v>
      </c>
      <c r="F5581" s="3" t="s">
        <v>8018</v>
      </c>
      <c r="G5581" s="3">
        <v>259279</v>
      </c>
      <c r="H5581" s="7" t="str">
        <f>HYPERLINK("http://www.ensembl.org/Mus_musculus/Gene/Summary?db=core;g=ENSMUSG00000000759","ENSMUSG00000000759")</f>
        <v>ENSMUSG00000000759</v>
      </c>
      <c r="I5581" s="7" t="str">
        <f>HYPERLINK("http://www.informatics.jax.org/marker/MGI:2183752","MGI:2183752")</f>
        <v>MGI:2183752</v>
      </c>
      <c r="J5581" s="4" t="s">
        <v>12</v>
      </c>
    </row>
    <row r="5582" spans="1:10" x14ac:dyDescent="0.25">
      <c r="A5582" s="2">
        <v>213.317883377529</v>
      </c>
      <c r="B5582" s="3">
        <v>-0.39342407458175199</v>
      </c>
      <c r="C5582" s="3">
        <v>2.6560269461807501E-4</v>
      </c>
      <c r="D5582" s="4">
        <v>8.4889548425744405E-4</v>
      </c>
      <c r="E5582" s="3" t="s">
        <v>12352</v>
      </c>
      <c r="F5582" s="3" t="s">
        <v>12353</v>
      </c>
      <c r="G5582" s="3">
        <v>20365</v>
      </c>
      <c r="H5582" s="7" t="str">
        <f>HYPERLINK("http://www.ensembl.org/Mus_musculus/Gene/Summary?db=core;g=ENSMUSG00000021643","ENSMUSG00000021643")</f>
        <v>ENSMUSG00000021643</v>
      </c>
      <c r="I5582" s="7" t="str">
        <f>HYPERLINK("http://www.informatics.jax.org/marker/MGI:1337114","MGI:1337114")</f>
        <v>MGI:1337114</v>
      </c>
      <c r="J5582" s="4" t="s">
        <v>12</v>
      </c>
    </row>
    <row r="5583" spans="1:10" x14ac:dyDescent="0.25">
      <c r="A5583" s="2">
        <v>562.02993018480004</v>
      </c>
      <c r="B5583" s="3">
        <v>-0.39358040065949801</v>
      </c>
      <c r="C5583" s="5">
        <v>3.0764963162085203E-8</v>
      </c>
      <c r="D5583" s="6">
        <v>1.45802709338217E-7</v>
      </c>
      <c r="E5583" s="3" t="s">
        <v>8339</v>
      </c>
      <c r="F5583" s="3" t="s">
        <v>8340</v>
      </c>
      <c r="G5583" s="3">
        <v>66934</v>
      </c>
      <c r="H5583" s="7" t="str">
        <f>HYPERLINK("http://www.ensembl.org/Mus_musculus/Gene/Summary?db=core;g=ENSMUSG00000027635","ENSMUSG00000027635")</f>
        <v>ENSMUSG00000027635</v>
      </c>
      <c r="I5583" s="7" t="str">
        <f>HYPERLINK("http://www.informatics.jax.org/marker/MGI:1914184","MGI:1914184")</f>
        <v>MGI:1914184</v>
      </c>
      <c r="J5583" s="4" t="s">
        <v>12</v>
      </c>
    </row>
    <row r="5584" spans="1:10" x14ac:dyDescent="0.25">
      <c r="A5584" s="2">
        <v>1048.52499929908</v>
      </c>
      <c r="B5584" s="3">
        <v>-0.394600664243699</v>
      </c>
      <c r="C5584" s="5">
        <v>1.48736871158857E-9</v>
      </c>
      <c r="D5584" s="6">
        <v>7.86351501140123E-9</v>
      </c>
      <c r="E5584" s="3" t="s">
        <v>7478</v>
      </c>
      <c r="F5584" s="3" t="s">
        <v>7479</v>
      </c>
      <c r="G5584" s="3">
        <v>56484</v>
      </c>
      <c r="H5584" s="7" t="str">
        <f>HYPERLINK("http://www.ensembl.org/Mus_musculus/Gene/Summary?db=core;g=ENSMUSG00000048756","ENSMUSG00000048756")</f>
        <v>ENSMUSG00000048756</v>
      </c>
      <c r="I5584" s="7" t="str">
        <f>HYPERLINK("http://www.informatics.jax.org/marker/MGI:1890081","MGI:1890081")</f>
        <v>MGI:1890081</v>
      </c>
      <c r="J5584" s="4" t="s">
        <v>12</v>
      </c>
    </row>
    <row r="5585" spans="1:10" x14ac:dyDescent="0.25">
      <c r="A5585" s="2">
        <v>918.948143643104</v>
      </c>
      <c r="B5585" s="3">
        <v>-0.395221407555712</v>
      </c>
      <c r="C5585" s="5">
        <v>3.0205690303206002E-7</v>
      </c>
      <c r="D5585" s="6">
        <v>1.31782347960005E-6</v>
      </c>
      <c r="E5585" s="3" t="s">
        <v>9055</v>
      </c>
      <c r="F5585" s="3" t="s">
        <v>9056</v>
      </c>
      <c r="G5585" s="3">
        <v>23999</v>
      </c>
      <c r="H5585" s="7" t="str">
        <f>HYPERLINK("http://www.ensembl.org/Mus_musculus/Gene/Summary?db=core;g=ENSMUSG00000023277","ENSMUSG00000023277")</f>
        <v>ENSMUSG00000023277</v>
      </c>
      <c r="I5585" s="7" t="str">
        <f>HYPERLINK("http://www.informatics.jax.org/marker/MGI:1346078","MGI:1346078")</f>
        <v>MGI:1346078</v>
      </c>
      <c r="J5585" s="4" t="s">
        <v>12</v>
      </c>
    </row>
    <row r="5586" spans="1:10" x14ac:dyDescent="0.25">
      <c r="A5586" s="2">
        <v>154.63723171274401</v>
      </c>
      <c r="B5586" s="3">
        <v>-0.39545515713041401</v>
      </c>
      <c r="C5586" s="3">
        <v>8.0814786343476799E-3</v>
      </c>
      <c r="D5586" s="4">
        <v>2.0449988280423E-2</v>
      </c>
      <c r="E5586" s="3" t="s">
        <v>15591</v>
      </c>
      <c r="F5586" s="3" t="s">
        <v>15592</v>
      </c>
      <c r="G5586" s="3" t="s">
        <v>83</v>
      </c>
      <c r="H5586" s="7" t="str">
        <f>HYPERLINK("http://www.ensembl.org/Mus_musculus/Gene/Summary?db=core;g=ENSMUSG00000030804","ENSMUSG00000030804")</f>
        <v>ENSMUSG00000030804</v>
      </c>
      <c r="I5586" s="7" t="str">
        <f>HYPERLINK("http://www.informatics.jax.org/marker/MGI:5439443","MGI:5439443")</f>
        <v>MGI:5439443</v>
      </c>
      <c r="J5586" s="4" t="s">
        <v>12</v>
      </c>
    </row>
    <row r="5587" spans="1:10" x14ac:dyDescent="0.25">
      <c r="A5587" s="2">
        <v>105.955891515302</v>
      </c>
      <c r="B5587" s="3">
        <v>-0.39586172885876098</v>
      </c>
      <c r="C5587" s="3">
        <v>1.88344638584561E-3</v>
      </c>
      <c r="D5587" s="4">
        <v>5.33643142656257E-3</v>
      </c>
      <c r="E5587" s="3" t="s">
        <v>13927</v>
      </c>
      <c r="F5587" s="3" t="s">
        <v>13928</v>
      </c>
      <c r="G5587" s="3">
        <v>268294</v>
      </c>
      <c r="H5587" s="7" t="str">
        <f>HYPERLINK("http://www.ensembl.org/Mus_musculus/Gene/Summary?db=core;g=ENSMUSG00000019826","ENSMUSG00000019826")</f>
        <v>ENSMUSG00000019826</v>
      </c>
      <c r="I5587" s="7" t="str">
        <f>HYPERLINK("http://www.informatics.jax.org/marker/MGI:3039618","MGI:3039618")</f>
        <v>MGI:3039618</v>
      </c>
      <c r="J5587" s="4" t="s">
        <v>12</v>
      </c>
    </row>
    <row r="5588" spans="1:10" x14ac:dyDescent="0.25">
      <c r="A5588" s="2">
        <v>505.12408737449198</v>
      </c>
      <c r="B5588" s="3">
        <v>-0.396128538422445</v>
      </c>
      <c r="C5588" s="5">
        <v>9.5338646810580002E-8</v>
      </c>
      <c r="D5588" s="6">
        <v>4.32699220967696E-7</v>
      </c>
      <c r="E5588" s="3" t="s">
        <v>8707</v>
      </c>
      <c r="F5588" s="3" t="s">
        <v>8708</v>
      </c>
      <c r="G5588" s="3">
        <v>68475</v>
      </c>
      <c r="H5588" s="7" t="str">
        <f>HYPERLINK("http://www.ensembl.org/Mus_musculus/Gene/Summary?db=core;g=ENSMUSG00000026966","ENSMUSG00000026966")</f>
        <v>ENSMUSG00000026966</v>
      </c>
      <c r="I5588" s="7" t="str">
        <f>HYPERLINK("http://www.informatics.jax.org/marker/MGI:1915725","MGI:1915725")</f>
        <v>MGI:1915725</v>
      </c>
      <c r="J5588" s="4" t="s">
        <v>12</v>
      </c>
    </row>
    <row r="5589" spans="1:10" x14ac:dyDescent="0.25">
      <c r="A5589" s="2">
        <v>515.76151501044899</v>
      </c>
      <c r="B5589" s="3">
        <v>-0.39621853658435702</v>
      </c>
      <c r="C5589" s="3">
        <v>1.1985275447475301E-3</v>
      </c>
      <c r="D5589" s="4">
        <v>3.49371222208741E-3</v>
      </c>
      <c r="E5589" s="3" t="s">
        <v>13539</v>
      </c>
      <c r="F5589" s="3" t="s">
        <v>13540</v>
      </c>
      <c r="G5589" s="3">
        <v>68401</v>
      </c>
      <c r="H5589" s="7" t="str">
        <f>HYPERLINK("http://www.ensembl.org/Mus_musculus/Gene/Summary?db=core;g=ENSMUSG00000034793","ENSMUSG00000034793")</f>
        <v>ENSMUSG00000034793</v>
      </c>
      <c r="I5589" s="7" t="str">
        <f>HYPERLINK("http://www.informatics.jax.org/marker/MGI:1915651","MGI:1915651")</f>
        <v>MGI:1915651</v>
      </c>
      <c r="J5589" s="4" t="s">
        <v>12</v>
      </c>
    </row>
    <row r="5590" spans="1:10" x14ac:dyDescent="0.25">
      <c r="A5590" s="2">
        <v>913.21696204423199</v>
      </c>
      <c r="B5590" s="3">
        <v>-0.39628462493537298</v>
      </c>
      <c r="C5590" s="5">
        <v>9.0928195401114198E-10</v>
      </c>
      <c r="D5590" s="6">
        <v>4.8885060341057002E-9</v>
      </c>
      <c r="E5590" s="3" t="s">
        <v>7354</v>
      </c>
      <c r="F5590" s="3" t="s">
        <v>7355</v>
      </c>
      <c r="G5590" s="3">
        <v>269704</v>
      </c>
      <c r="H5590" s="7" t="str">
        <f>HYPERLINK("http://www.ensembl.org/Mus_musculus/Gene/Summary?db=core;g=ENSMUSG00000079215","ENSMUSG00000079215")</f>
        <v>ENSMUSG00000079215</v>
      </c>
      <c r="I5590" s="7" t="str">
        <f>HYPERLINK("http://www.informatics.jax.org/marker/MGI:2442505","MGI:2442505")</f>
        <v>MGI:2442505</v>
      </c>
      <c r="J5590" s="4" t="s">
        <v>12</v>
      </c>
    </row>
    <row r="5591" spans="1:10" x14ac:dyDescent="0.25">
      <c r="A5591" s="2">
        <v>1359.1660975126799</v>
      </c>
      <c r="B5591" s="3">
        <v>-0.39655753638290298</v>
      </c>
      <c r="C5591" s="5">
        <v>6.9272064437994201E-7</v>
      </c>
      <c r="D5591" s="6">
        <v>2.9145404538451999E-6</v>
      </c>
      <c r="E5591" s="3" t="s">
        <v>9389</v>
      </c>
      <c r="F5591" s="3" t="s">
        <v>9390</v>
      </c>
      <c r="G5591" s="3">
        <v>666173</v>
      </c>
      <c r="H5591" s="7" t="str">
        <f>HYPERLINK("http://www.ensembl.org/Mus_musculus/Gene/Summary?db=core;g=ENSMUSG00000037646","ENSMUSG00000037646")</f>
        <v>ENSMUSG00000037646</v>
      </c>
      <c r="I5591" s="7" t="str">
        <f>HYPERLINK("http://www.informatics.jax.org/marker/MGI:1916380","MGI:1916380")</f>
        <v>MGI:1916380</v>
      </c>
      <c r="J5591" s="4" t="s">
        <v>12</v>
      </c>
    </row>
    <row r="5592" spans="1:10" x14ac:dyDescent="0.25">
      <c r="A5592" s="2">
        <v>200.67611119673899</v>
      </c>
      <c r="B5592" s="3">
        <v>-0.397061791895155</v>
      </c>
      <c r="C5592" s="3">
        <v>7.3143879350429097E-4</v>
      </c>
      <c r="D5592" s="4">
        <v>2.1977712948201499E-3</v>
      </c>
      <c r="E5592" s="3" t="s">
        <v>13135</v>
      </c>
      <c r="F5592" s="3" t="s">
        <v>13136</v>
      </c>
      <c r="G5592" s="3">
        <v>69228</v>
      </c>
      <c r="H5592" s="7" t="str">
        <f>HYPERLINK("http://www.ensembl.org/Mus_musculus/Gene/Summary?db=core;g=ENSMUSG00000057691","ENSMUSG00000057691")</f>
        <v>ENSMUSG00000057691</v>
      </c>
      <c r="I5592" s="7" t="str">
        <f>HYPERLINK("http://www.informatics.jax.org/marker/MGI:1916478","MGI:1916478")</f>
        <v>MGI:1916478</v>
      </c>
      <c r="J5592" s="4" t="s">
        <v>12</v>
      </c>
    </row>
    <row r="5593" spans="1:10" x14ac:dyDescent="0.25">
      <c r="A5593" s="2">
        <v>71.193688196480196</v>
      </c>
      <c r="B5593" s="3">
        <v>-0.397396919724813</v>
      </c>
      <c r="C5593" s="3">
        <v>5.4076969821036996E-3</v>
      </c>
      <c r="D5593" s="4">
        <v>1.4205379577339101E-2</v>
      </c>
      <c r="E5593" s="3" t="s">
        <v>15018</v>
      </c>
      <c r="F5593" s="3" t="s">
        <v>15019</v>
      </c>
      <c r="G5593" s="3" t="s">
        <v>83</v>
      </c>
      <c r="H5593" s="7" t="str">
        <f>HYPERLINK("http://www.ensembl.org/Mus_musculus/Gene/Summary?db=core;g=ENSMUSG00000082163","ENSMUSG00000082163")</f>
        <v>ENSMUSG00000082163</v>
      </c>
      <c r="I5593" s="7" t="str">
        <f>HYPERLINK("http://www.informatics.jax.org/marker/MGI:3701955","MGI:3701955")</f>
        <v>MGI:3701955</v>
      </c>
      <c r="J5593" s="4" t="s">
        <v>1043</v>
      </c>
    </row>
    <row r="5594" spans="1:10" x14ac:dyDescent="0.25">
      <c r="A5594" s="2">
        <v>699.49094248165898</v>
      </c>
      <c r="B5594" s="3">
        <v>-0.39755867654711802</v>
      </c>
      <c r="C5594" s="5">
        <v>1.4993056983489999E-6</v>
      </c>
      <c r="D5594" s="6">
        <v>6.0861071163940296E-6</v>
      </c>
      <c r="E5594" s="3" t="s">
        <v>9731</v>
      </c>
      <c r="F5594" s="3" t="s">
        <v>9732</v>
      </c>
      <c r="G5594" s="3">
        <v>75296</v>
      </c>
      <c r="H5594" s="7" t="str">
        <f>HYPERLINK("http://www.ensembl.org/Mus_musculus/Gene/Summary?db=core;g=ENSMUSG00000069135","ENSMUSG00000069135")</f>
        <v>ENSMUSG00000069135</v>
      </c>
      <c r="I5594" s="7" t="str">
        <f>HYPERLINK("http://www.informatics.jax.org/marker/MGI:1922546","MGI:1922546")</f>
        <v>MGI:1922546</v>
      </c>
      <c r="J5594" s="4" t="s">
        <v>12</v>
      </c>
    </row>
    <row r="5595" spans="1:10" x14ac:dyDescent="0.25">
      <c r="A5595" s="2">
        <v>1520.3641096267199</v>
      </c>
      <c r="B5595" s="3">
        <v>-0.39798632747724799</v>
      </c>
      <c r="C5595" s="5">
        <v>6.8077006115460698E-12</v>
      </c>
      <c r="D5595" s="6">
        <v>4.3138771227406297E-11</v>
      </c>
      <c r="E5595" s="3" t="s">
        <v>6241</v>
      </c>
      <c r="F5595" s="3" t="s">
        <v>6242</v>
      </c>
      <c r="G5595" s="3">
        <v>15260</v>
      </c>
      <c r="H5595" s="7" t="str">
        <f>HYPERLINK("http://www.ensembl.org/Mus_musculus/Gene/Summary?db=core;g=ENSMUSG00000022702","ENSMUSG00000022702")</f>
        <v>ENSMUSG00000022702</v>
      </c>
      <c r="I5595" s="7" t="str">
        <f>HYPERLINK("http://www.informatics.jax.org/marker/MGI:99430","MGI:99430")</f>
        <v>MGI:99430</v>
      </c>
      <c r="J5595" s="4" t="s">
        <v>12</v>
      </c>
    </row>
    <row r="5596" spans="1:10" x14ac:dyDescent="0.25">
      <c r="A5596" s="2">
        <v>555.16634128329304</v>
      </c>
      <c r="B5596" s="3">
        <v>-0.39839097288286102</v>
      </c>
      <c r="C5596" s="5">
        <v>7.6671062400208396E-10</v>
      </c>
      <c r="D5596" s="6">
        <v>4.1446089652744197E-9</v>
      </c>
      <c r="E5596" s="3" t="s">
        <v>7314</v>
      </c>
      <c r="F5596" s="3" t="s">
        <v>7315</v>
      </c>
      <c r="G5596" s="3">
        <v>214952</v>
      </c>
      <c r="H5596" s="7" t="str">
        <f>HYPERLINK("http://www.ensembl.org/Mus_musculus/Gene/Summary?db=core;g=ENSMUSG00000025733","ENSMUSG00000025733")</f>
        <v>ENSMUSG00000025733</v>
      </c>
      <c r="I5596" s="7" t="str">
        <f>HYPERLINK("http://www.informatics.jax.org/marker/MGI:2384892","MGI:2384892")</f>
        <v>MGI:2384892</v>
      </c>
      <c r="J5596" s="4" t="s">
        <v>12</v>
      </c>
    </row>
    <row r="5597" spans="1:10" x14ac:dyDescent="0.25">
      <c r="A5597" s="2">
        <v>206.50395554546699</v>
      </c>
      <c r="B5597" s="3">
        <v>-0.39843722937343501</v>
      </c>
      <c r="C5597" s="3">
        <v>9.2210489249780199E-4</v>
      </c>
      <c r="D5597" s="4">
        <v>2.7331893100941899E-3</v>
      </c>
      <c r="E5597" s="3" t="s">
        <v>13314</v>
      </c>
      <c r="F5597" s="3" t="s">
        <v>13315</v>
      </c>
      <c r="G5597" s="3">
        <v>268706</v>
      </c>
      <c r="H5597" s="7" t="str">
        <f>HYPERLINK("http://www.ensembl.org/Mus_musculus/Gene/Summary?db=core;g=ENSMUSG00000047789","ENSMUSG00000047789")</f>
        <v>ENSMUSG00000047789</v>
      </c>
      <c r="I5597" s="7" t="str">
        <f>HYPERLINK("http://www.informatics.jax.org/marker/MGI:1918839","MGI:1918839")</f>
        <v>MGI:1918839</v>
      </c>
      <c r="J5597" s="4" t="s">
        <v>12</v>
      </c>
    </row>
    <row r="5598" spans="1:10" x14ac:dyDescent="0.25">
      <c r="A5598" s="2">
        <v>612.25843671454095</v>
      </c>
      <c r="B5598" s="3">
        <v>-0.39913705734364202</v>
      </c>
      <c r="C5598" s="5">
        <v>4.5611400947282002E-13</v>
      </c>
      <c r="D5598" s="6">
        <v>3.1241987727697099E-12</v>
      </c>
      <c r="E5598" s="3" t="s">
        <v>5775</v>
      </c>
      <c r="F5598" s="3" t="s">
        <v>5776</v>
      </c>
      <c r="G5598" s="3">
        <v>20399</v>
      </c>
      <c r="H5598" s="7" t="str">
        <f>HYPERLINK("http://www.ensembl.org/Mus_musculus/Gene/Summary?db=core;g=ENSMUSG00000030733","ENSMUSG00000030733")</f>
        <v>ENSMUSG00000030733</v>
      </c>
      <c r="I5598" s="7" t="str">
        <f>HYPERLINK("http://www.informatics.jax.org/marker/MGI:1201407","MGI:1201407")</f>
        <v>MGI:1201407</v>
      </c>
      <c r="J5598" s="4" t="s">
        <v>12</v>
      </c>
    </row>
    <row r="5599" spans="1:10" x14ac:dyDescent="0.25">
      <c r="A5599" s="2">
        <v>920.25167694193203</v>
      </c>
      <c r="B5599" s="3">
        <v>-0.39946175452354599</v>
      </c>
      <c r="C5599" s="5">
        <v>1.99127027809176E-5</v>
      </c>
      <c r="D5599" s="6">
        <v>7.2356458234695898E-5</v>
      </c>
      <c r="E5599" s="3" t="s">
        <v>10866</v>
      </c>
      <c r="F5599" s="3" t="s">
        <v>10867</v>
      </c>
      <c r="G5599" s="3">
        <v>234776</v>
      </c>
      <c r="H5599" s="7" t="str">
        <f>HYPERLINK("http://www.ensembl.org/Mus_musculus/Gene/Summary?db=core;g=ENSMUSG00000047388","ENSMUSG00000047388")</f>
        <v>ENSMUSG00000047388</v>
      </c>
      <c r="I5599" s="7" t="str">
        <f>HYPERLINK("http://www.informatics.jax.org/marker/MGI:2682328","MGI:2682328")</f>
        <v>MGI:2682328</v>
      </c>
      <c r="J5599" s="4" t="s">
        <v>12</v>
      </c>
    </row>
    <row r="5600" spans="1:10" x14ac:dyDescent="0.25">
      <c r="A5600" s="2">
        <v>263.58171761906698</v>
      </c>
      <c r="B5600" s="3">
        <v>-0.39946198970907099</v>
      </c>
      <c r="C5600" s="5">
        <v>1.8739871933087599E-5</v>
      </c>
      <c r="D5600" s="6">
        <v>6.8321367077183698E-5</v>
      </c>
      <c r="E5600" s="3" t="s">
        <v>10830</v>
      </c>
      <c r="F5600" s="3" t="s">
        <v>10831</v>
      </c>
      <c r="G5600" s="3">
        <v>140810</v>
      </c>
      <c r="H5600" s="7" t="str">
        <f>HYPERLINK("http://www.ensembl.org/Mus_musculus/Gene/Summary?db=core;g=ENSMUSG00000090100","ENSMUSG00000090100")</f>
        <v>ENSMUSG00000090100</v>
      </c>
      <c r="I5600" s="7" t="str">
        <f>HYPERLINK("http://www.informatics.jax.org/marker/MGI:2155779","MGI:2155779")</f>
        <v>MGI:2155779</v>
      </c>
      <c r="J5600" s="4" t="s">
        <v>12</v>
      </c>
    </row>
    <row r="5601" spans="1:10" x14ac:dyDescent="0.25">
      <c r="A5601" s="2">
        <v>2299.7389515994601</v>
      </c>
      <c r="B5601" s="3">
        <v>-0.399491637943583</v>
      </c>
      <c r="C5601" s="5">
        <v>2.9828772412125099E-10</v>
      </c>
      <c r="D5601" s="6">
        <v>1.6682455813020601E-9</v>
      </c>
      <c r="E5601" s="3" t="s">
        <v>7070</v>
      </c>
      <c r="F5601" s="3" t="s">
        <v>7071</v>
      </c>
      <c r="G5601" s="3">
        <v>56190</v>
      </c>
      <c r="H5601" s="7" t="str">
        <f>HYPERLINK("http://www.ensembl.org/Mus_musculus/Gene/Summary?db=core;g=ENSMUSG00000027510","ENSMUSG00000027510")</f>
        <v>ENSMUSG00000027510</v>
      </c>
      <c r="I5601" s="7" t="str">
        <f>HYPERLINK("http://www.informatics.jax.org/marker/MGI:1889294","MGI:1889294")</f>
        <v>MGI:1889294</v>
      </c>
      <c r="J5601" s="4" t="s">
        <v>12</v>
      </c>
    </row>
    <row r="5602" spans="1:10" x14ac:dyDescent="0.25">
      <c r="A5602" s="2">
        <v>306.70203411995601</v>
      </c>
      <c r="B5602" s="3">
        <v>-0.40022740632827403</v>
      </c>
      <c r="C5602" s="5">
        <v>2.25258031089557E-8</v>
      </c>
      <c r="D5602" s="6">
        <v>1.0800117610226299E-7</v>
      </c>
      <c r="E5602" s="3" t="s">
        <v>8243</v>
      </c>
      <c r="F5602" s="3" t="s">
        <v>8244</v>
      </c>
      <c r="G5602" s="3">
        <v>106947</v>
      </c>
      <c r="H5602" s="7" t="str">
        <f>HYPERLINK("http://www.ensembl.org/Mus_musculus/Gene/Summary?db=core;g=ENSMUSG00000046822","ENSMUSG00000046822")</f>
        <v>ENSMUSG00000046822</v>
      </c>
      <c r="I5602" s="7" t="str">
        <f>HYPERLINK("http://www.informatics.jax.org/marker/MGI:2147269","MGI:2147269")</f>
        <v>MGI:2147269</v>
      </c>
      <c r="J5602" s="4" t="s">
        <v>12</v>
      </c>
    </row>
    <row r="5603" spans="1:10" x14ac:dyDescent="0.25">
      <c r="A5603" s="2">
        <v>101.494509824755</v>
      </c>
      <c r="B5603" s="3">
        <v>-0.400426289805831</v>
      </c>
      <c r="C5603" s="3">
        <v>1.32516870538611E-3</v>
      </c>
      <c r="D5603" s="4">
        <v>3.8389253290239799E-3</v>
      </c>
      <c r="E5603" s="3" t="s">
        <v>13623</v>
      </c>
      <c r="F5603" s="3" t="s">
        <v>13624</v>
      </c>
      <c r="G5603" s="3">
        <v>242747</v>
      </c>
      <c r="H5603" s="7" t="str">
        <f>HYPERLINK("http://www.ensembl.org/Mus_musculus/Gene/Summary?db=core;g=ENSMUSG00000059423","ENSMUSG00000059423")</f>
        <v>ENSMUSG00000059423</v>
      </c>
      <c r="I5603" s="7" t="str">
        <f>HYPERLINK("http://www.informatics.jax.org/marker/MGI:1922865","MGI:1922865")</f>
        <v>MGI:1922865</v>
      </c>
      <c r="J5603" s="4" t="s">
        <v>12</v>
      </c>
    </row>
    <row r="5604" spans="1:10" x14ac:dyDescent="0.25">
      <c r="A5604" s="2">
        <v>1615.1210683944</v>
      </c>
      <c r="B5604" s="3">
        <v>-0.40057644700884298</v>
      </c>
      <c r="C5604" s="3">
        <v>6.7382072872565401E-3</v>
      </c>
      <c r="D5604" s="4">
        <v>1.7333348252634901E-2</v>
      </c>
      <c r="E5604" s="3" t="s">
        <v>15337</v>
      </c>
      <c r="F5604" s="3" t="s">
        <v>15338</v>
      </c>
      <c r="G5604" s="3">
        <v>97165</v>
      </c>
      <c r="H5604" s="7" t="str">
        <f>HYPERLINK("http://www.ensembl.org/Mus_musculus/Gene/Summary?db=core;g=ENSMUSG00000054717","ENSMUSG00000054717")</f>
        <v>ENSMUSG00000054717</v>
      </c>
      <c r="I5604" s="7" t="str">
        <f>HYPERLINK("http://www.informatics.jax.org/marker/MGI:96157","MGI:96157")</f>
        <v>MGI:96157</v>
      </c>
      <c r="J5604" s="4" t="s">
        <v>12</v>
      </c>
    </row>
    <row r="5605" spans="1:10" x14ac:dyDescent="0.25">
      <c r="A5605" s="2">
        <v>120.939326525103</v>
      </c>
      <c r="B5605" s="3">
        <v>-0.40058001681982103</v>
      </c>
      <c r="C5605" s="3">
        <v>1.0057301305454701E-3</v>
      </c>
      <c r="D5605" s="4">
        <v>2.9623596974393701E-3</v>
      </c>
      <c r="E5605" s="3" t="s">
        <v>13399</v>
      </c>
      <c r="F5605" s="3" t="s">
        <v>13400</v>
      </c>
      <c r="G5605" s="3">
        <v>243025</v>
      </c>
      <c r="H5605" s="7" t="str">
        <f>HYPERLINK("http://www.ensembl.org/Mus_musculus/Gene/Summary?db=core;g=ENSMUSG00000037913","ENSMUSG00000037913")</f>
        <v>ENSMUSG00000037913</v>
      </c>
      <c r="I5605" s="7" t="str">
        <f>HYPERLINK("http://www.informatics.jax.org/marker/MGI:2685292","MGI:2685292")</f>
        <v>MGI:2685292</v>
      </c>
      <c r="J5605" s="4" t="s">
        <v>12</v>
      </c>
    </row>
    <row r="5606" spans="1:10" x14ac:dyDescent="0.25">
      <c r="A5606" s="2">
        <v>101.86322700345799</v>
      </c>
      <c r="B5606" s="3">
        <v>-0.40081075770377</v>
      </c>
      <c r="C5606" s="3">
        <v>8.4837500347650398E-4</v>
      </c>
      <c r="D5606" s="4">
        <v>2.5283293136703399E-3</v>
      </c>
      <c r="E5606" s="3" t="s">
        <v>13243</v>
      </c>
      <c r="F5606" s="3" t="s">
        <v>13244</v>
      </c>
      <c r="G5606" s="3">
        <v>68146</v>
      </c>
      <c r="H5606" s="7" t="str">
        <f>HYPERLINK("http://www.ensembl.org/Mus_musculus/Gene/Summary?db=core;g=ENSMUSG00000022911","ENSMUSG00000022911")</f>
        <v>ENSMUSG00000022911</v>
      </c>
      <c r="I5606" s="7" t="str">
        <f>HYPERLINK("http://www.informatics.jax.org/marker/MGI:1915396","MGI:1915396")</f>
        <v>MGI:1915396</v>
      </c>
      <c r="J5606" s="4" t="s">
        <v>12</v>
      </c>
    </row>
    <row r="5607" spans="1:10" x14ac:dyDescent="0.25">
      <c r="A5607" s="2">
        <v>116.277194318432</v>
      </c>
      <c r="B5607" s="3">
        <v>-0.40101709656802598</v>
      </c>
      <c r="C5607" s="3">
        <v>1.6956242442332499E-3</v>
      </c>
      <c r="D5607" s="4">
        <v>4.8411336464861199E-3</v>
      </c>
      <c r="E5607" s="3" t="s">
        <v>13821</v>
      </c>
      <c r="F5607" s="3" t="s">
        <v>13822</v>
      </c>
      <c r="G5607" s="3">
        <v>629016</v>
      </c>
      <c r="H5607" s="7" t="str">
        <f>HYPERLINK("http://www.ensembl.org/Mus_musculus/Gene/Summary?db=core;g=ENSMUSG00000098905","ENSMUSG00000098905")</f>
        <v>ENSMUSG00000098905</v>
      </c>
      <c r="I5607" s="7" t="str">
        <f>HYPERLINK("http://www.informatics.jax.org/marker/MGI:3612873","MGI:3612873")</f>
        <v>MGI:3612873</v>
      </c>
      <c r="J5607" s="4" t="s">
        <v>12</v>
      </c>
    </row>
    <row r="5608" spans="1:10" x14ac:dyDescent="0.25">
      <c r="A5608" s="2">
        <v>198.82451976989699</v>
      </c>
      <c r="B5608" s="3">
        <v>-0.40131346429171899</v>
      </c>
      <c r="C5608" s="3">
        <v>4.3805166908143502E-4</v>
      </c>
      <c r="D5608" s="4">
        <v>1.35759530320382E-3</v>
      </c>
      <c r="E5608" s="3" t="s">
        <v>12737</v>
      </c>
      <c r="F5608" s="3" t="s">
        <v>12738</v>
      </c>
      <c r="G5608" s="3">
        <v>227377</v>
      </c>
      <c r="H5608" s="7" t="str">
        <f>HYPERLINK("http://www.ensembl.org/Mus_musculus/Gene/Summary?db=core;g=ENSMUSG00000034066","ENSMUSG00000034066")</f>
        <v>ENSMUSG00000034066</v>
      </c>
      <c r="I5608" s="7" t="str">
        <f>HYPERLINK("http://www.informatics.jax.org/marker/MGI:2385126","MGI:2385126")</f>
        <v>MGI:2385126</v>
      </c>
      <c r="J5608" s="4" t="s">
        <v>12</v>
      </c>
    </row>
    <row r="5609" spans="1:10" x14ac:dyDescent="0.25">
      <c r="A5609" s="2">
        <v>1562.87070039837</v>
      </c>
      <c r="B5609" s="3">
        <v>-0.40144767265173797</v>
      </c>
      <c r="C5609" s="5">
        <v>2.4514808811481999E-13</v>
      </c>
      <c r="D5609" s="6">
        <v>1.70944847865073E-12</v>
      </c>
      <c r="E5609" s="3" t="s">
        <v>5673</v>
      </c>
      <c r="F5609" s="3" t="s">
        <v>5674</v>
      </c>
      <c r="G5609" s="3">
        <v>17158</v>
      </c>
      <c r="H5609" s="7" t="str">
        <f>HYPERLINK("http://www.ensembl.org/Mus_musculus/Gene/Summary?db=core;g=ENSMUSG00000024085","ENSMUSG00000024085")</f>
        <v>ENSMUSG00000024085</v>
      </c>
      <c r="I5609" s="7" t="str">
        <f>HYPERLINK("http://www.informatics.jax.org/marker/MGI:104669","MGI:104669")</f>
        <v>MGI:104669</v>
      </c>
      <c r="J5609" s="4" t="s">
        <v>12</v>
      </c>
    </row>
    <row r="5610" spans="1:10" x14ac:dyDescent="0.25">
      <c r="A5610" s="2">
        <v>1064.1419356076301</v>
      </c>
      <c r="B5610" s="3">
        <v>-0.401505113781159</v>
      </c>
      <c r="C5610" s="5">
        <v>2.0397121630569898E-8</v>
      </c>
      <c r="D5610" s="6">
        <v>9.8296979118973401E-8</v>
      </c>
      <c r="E5610" s="3" t="s">
        <v>8201</v>
      </c>
      <c r="F5610" s="3" t="s">
        <v>8202</v>
      </c>
      <c r="G5610" s="3">
        <v>68465</v>
      </c>
      <c r="H5610" s="7" t="str">
        <f>HYPERLINK("http://www.ensembl.org/Mus_musculus/Gene/Summary?db=core;g=ENSMUSG00000030168","ENSMUSG00000030168")</f>
        <v>ENSMUSG00000030168</v>
      </c>
      <c r="I5610" s="7" t="str">
        <f>HYPERLINK("http://www.informatics.jax.org/marker/MGI:93830","MGI:93830")</f>
        <v>MGI:93830</v>
      </c>
      <c r="J5610" s="4" t="s">
        <v>12</v>
      </c>
    </row>
    <row r="5611" spans="1:10" x14ac:dyDescent="0.25">
      <c r="A5611" s="2">
        <v>842.927429167235</v>
      </c>
      <c r="B5611" s="3">
        <v>-0.40186390040903702</v>
      </c>
      <c r="C5611" s="3">
        <v>2.1332688854630301E-4</v>
      </c>
      <c r="D5611" s="4">
        <v>6.9020611027614505E-4</v>
      </c>
      <c r="E5611" s="3" t="s">
        <v>12201</v>
      </c>
      <c r="F5611" s="3" t="s">
        <v>12202</v>
      </c>
      <c r="G5611" s="3">
        <v>68014</v>
      </c>
      <c r="H5611" s="7" t="str">
        <f>HYPERLINK("http://www.ensembl.org/Mus_musculus/Gene/Summary?db=core;g=ENSMUSG00000032400","ENSMUSG00000032400")</f>
        <v>ENSMUSG00000032400</v>
      </c>
      <c r="I5611" s="7" t="str">
        <f>HYPERLINK("http://www.informatics.jax.org/marker/MGI:1915264","MGI:1915264")</f>
        <v>MGI:1915264</v>
      </c>
      <c r="J5611" s="4" t="s">
        <v>12</v>
      </c>
    </row>
    <row r="5612" spans="1:10" x14ac:dyDescent="0.25">
      <c r="A5612" s="2">
        <v>70.569439794904298</v>
      </c>
      <c r="B5612" s="3">
        <v>-0.40225734391569701</v>
      </c>
      <c r="C5612" s="3">
        <v>1.36819188653004E-2</v>
      </c>
      <c r="D5612" s="4">
        <v>3.3105207364873997E-2</v>
      </c>
      <c r="E5612" s="3" t="s">
        <v>16305</v>
      </c>
      <c r="F5612" s="3" t="s">
        <v>16306</v>
      </c>
      <c r="G5612" s="3">
        <v>69020</v>
      </c>
      <c r="H5612" s="7" t="str">
        <f>HYPERLINK("http://www.ensembl.org/Mus_musculus/Gene/Summary?db=core;g=ENSMUSG00000034429","ENSMUSG00000034429")</f>
        <v>ENSMUSG00000034429</v>
      </c>
      <c r="I5612" s="7" t="str">
        <f>HYPERLINK("http://www.informatics.jax.org/marker/MGI:1916270","MGI:1916270")</f>
        <v>MGI:1916270</v>
      </c>
      <c r="J5612" s="4" t="s">
        <v>12</v>
      </c>
    </row>
    <row r="5613" spans="1:10" x14ac:dyDescent="0.25">
      <c r="A5613" s="2">
        <v>1711.88712043583</v>
      </c>
      <c r="B5613" s="3">
        <v>-0.40226231242173699</v>
      </c>
      <c r="C5613" s="5">
        <v>1.38297882665002E-7</v>
      </c>
      <c r="D5613" s="6">
        <v>6.1870105402764198E-7</v>
      </c>
      <c r="E5613" s="3" t="s">
        <v>8833</v>
      </c>
      <c r="F5613" s="3" t="s">
        <v>8834</v>
      </c>
      <c r="G5613" s="3">
        <v>20683</v>
      </c>
      <c r="H5613" s="7" t="str">
        <f>HYPERLINK("http://www.ensembl.org/Mus_musculus/Gene/Summary?db=core;g=ENSMUSG00000001280","ENSMUSG00000001280")</f>
        <v>ENSMUSG00000001280</v>
      </c>
      <c r="I5613" s="7" t="str">
        <f>HYPERLINK("http://www.informatics.jax.org/marker/MGI:98372","MGI:98372")</f>
        <v>MGI:98372</v>
      </c>
      <c r="J5613" s="4" t="s">
        <v>12</v>
      </c>
    </row>
    <row r="5614" spans="1:10" x14ac:dyDescent="0.25">
      <c r="A5614" s="2">
        <v>612.72232683195602</v>
      </c>
      <c r="B5614" s="3">
        <v>-0.40247501236979499</v>
      </c>
      <c r="C5614" s="3">
        <v>1.67407407933086E-4</v>
      </c>
      <c r="D5614" s="4">
        <v>5.4820227240791396E-4</v>
      </c>
      <c r="E5614" s="3" t="s">
        <v>12055</v>
      </c>
      <c r="F5614" s="3" t="s">
        <v>12056</v>
      </c>
      <c r="G5614" s="3">
        <v>20744</v>
      </c>
      <c r="H5614" s="7" t="str">
        <f>HYPERLINK("http://www.ensembl.org/Mus_musculus/Gene/Summary?db=core;g=ENSMUSG00000026915","ENSMUSG00000026915")</f>
        <v>ENSMUSG00000026915</v>
      </c>
      <c r="I5614" s="7" t="str">
        <f>HYPERLINK("http://www.informatics.jax.org/marker/MGI:104626","MGI:104626")</f>
        <v>MGI:104626</v>
      </c>
      <c r="J5614" s="4" t="s">
        <v>12</v>
      </c>
    </row>
    <row r="5615" spans="1:10" x14ac:dyDescent="0.25">
      <c r="A5615" s="2">
        <v>420.838836496054</v>
      </c>
      <c r="B5615" s="3">
        <v>-0.40249842606216701</v>
      </c>
      <c r="C5615" s="5">
        <v>1.38684468145524E-7</v>
      </c>
      <c r="D5615" s="6">
        <v>6.2028979628708102E-7</v>
      </c>
      <c r="E5615" s="3" t="s">
        <v>8835</v>
      </c>
      <c r="F5615" s="3" t="s">
        <v>8836</v>
      </c>
      <c r="G5615" s="3">
        <v>231841</v>
      </c>
      <c r="H5615" s="7" t="str">
        <f>HYPERLINK("http://www.ensembl.org/Mus_musculus/Gene/Summary?db=core;g=ENSMUSG00000000148","ENSMUSG00000000148")</f>
        <v>ENSMUSG00000000148</v>
      </c>
      <c r="I5615" s="7" t="str">
        <f>HYPERLINK("http://www.informatics.jax.org/marker/MGI:1891679","MGI:1891679")</f>
        <v>MGI:1891679</v>
      </c>
      <c r="J5615" s="4" t="s">
        <v>12</v>
      </c>
    </row>
    <row r="5616" spans="1:10" x14ac:dyDescent="0.25">
      <c r="A5616" s="2">
        <v>332.61519062038599</v>
      </c>
      <c r="B5616" s="3">
        <v>-0.40274047153088999</v>
      </c>
      <c r="C5616" s="5">
        <v>1.0966788192223499E-6</v>
      </c>
      <c r="D5616" s="6">
        <v>4.5168141844329197E-6</v>
      </c>
      <c r="E5616" s="3" t="s">
        <v>9591</v>
      </c>
      <c r="F5616" s="3" t="s">
        <v>9592</v>
      </c>
      <c r="G5616" s="3">
        <v>72133</v>
      </c>
      <c r="H5616" s="7" t="str">
        <f>HYPERLINK("http://www.ensembl.org/Mus_musculus/Gene/Summary?db=core;g=ENSMUSG00000025086","ENSMUSG00000025086")</f>
        <v>ENSMUSG00000025086</v>
      </c>
      <c r="I5616" s="7" t="str">
        <f>HYPERLINK("http://www.informatics.jax.org/marker/MGI:1919383","MGI:1919383")</f>
        <v>MGI:1919383</v>
      </c>
      <c r="J5616" s="4" t="s">
        <v>12</v>
      </c>
    </row>
    <row r="5617" spans="1:10" x14ac:dyDescent="0.25">
      <c r="A5617" s="2">
        <v>705.50326737106604</v>
      </c>
      <c r="B5617" s="3">
        <v>-0.402899428531862</v>
      </c>
      <c r="C5617" s="5">
        <v>4.7532117879408603E-13</v>
      </c>
      <c r="D5617" s="6">
        <v>3.2512430266456398E-12</v>
      </c>
      <c r="E5617" s="3" t="s">
        <v>5783</v>
      </c>
      <c r="F5617" s="3" t="s">
        <v>5784</v>
      </c>
      <c r="G5617" s="3">
        <v>217030</v>
      </c>
      <c r="H5617" s="7" t="str">
        <f>HYPERLINK("http://www.ensembl.org/Mus_musculus/Gene/Summary?db=core;g=ENSMUSG00000034940","ENSMUSG00000034940")</f>
        <v>ENSMUSG00000034940</v>
      </c>
      <c r="I5617" s="7" t="str">
        <f>HYPERLINK("http://www.informatics.jax.org/marker/MGI:1354742","MGI:1354742")</f>
        <v>MGI:1354742</v>
      </c>
      <c r="J5617" s="4" t="s">
        <v>12</v>
      </c>
    </row>
    <row r="5618" spans="1:10" x14ac:dyDescent="0.25">
      <c r="A5618" s="2">
        <v>107.61469489676399</v>
      </c>
      <c r="B5618" s="3">
        <v>-0.40297013199911802</v>
      </c>
      <c r="C5618" s="3">
        <v>6.9475236972537302E-4</v>
      </c>
      <c r="D5618" s="4">
        <v>2.0932798672245001E-3</v>
      </c>
      <c r="E5618" s="3" t="s">
        <v>13099</v>
      </c>
      <c r="F5618" s="3" t="s">
        <v>13100</v>
      </c>
      <c r="G5618" s="3">
        <v>102747</v>
      </c>
      <c r="H5618" s="7" t="str">
        <f>HYPERLINK("http://www.ensembl.org/Mus_musculus/Gene/Summary?db=core;g=ENSMUSG00000047766","ENSMUSG00000047766")</f>
        <v>ENSMUSG00000047766</v>
      </c>
      <c r="I5618" s="7" t="str">
        <f>HYPERLINK("http://www.informatics.jax.org/marker/MGI:2442689","MGI:2442689")</f>
        <v>MGI:2442689</v>
      </c>
      <c r="J5618" s="4" t="s">
        <v>12</v>
      </c>
    </row>
    <row r="5619" spans="1:10" x14ac:dyDescent="0.25">
      <c r="A5619" s="2">
        <v>479.98911001968798</v>
      </c>
      <c r="B5619" s="3">
        <v>-0.40309205932695302</v>
      </c>
      <c r="C5619" s="5">
        <v>9.5187256635258904E-9</v>
      </c>
      <c r="D5619" s="6">
        <v>4.7270025203911003E-8</v>
      </c>
      <c r="E5619" s="3" t="s">
        <v>7959</v>
      </c>
      <c r="F5619" s="3" t="s">
        <v>7960</v>
      </c>
      <c r="G5619" s="3">
        <v>14083</v>
      </c>
      <c r="H5619" s="7" t="str">
        <f>HYPERLINK("http://www.ensembl.org/Mus_musculus/Gene/Summary?db=core;g=ENSMUSG00000022607","ENSMUSG00000022607")</f>
        <v>ENSMUSG00000022607</v>
      </c>
      <c r="I5619" s="7" t="str">
        <f>HYPERLINK("http://www.informatics.jax.org/marker/MGI:95481","MGI:95481")</f>
        <v>MGI:95481</v>
      </c>
      <c r="J5619" s="4" t="s">
        <v>12</v>
      </c>
    </row>
    <row r="5620" spans="1:10" x14ac:dyDescent="0.25">
      <c r="A5620" s="2">
        <v>850.13257710239498</v>
      </c>
      <c r="B5620" s="3">
        <v>-0.40348664152348901</v>
      </c>
      <c r="C5620" s="5">
        <v>4.1424200111432304E-12</v>
      </c>
      <c r="D5620" s="6">
        <v>2.6730537506460899E-11</v>
      </c>
      <c r="E5620" s="3" t="s">
        <v>6129</v>
      </c>
      <c r="F5620" s="3" t="s">
        <v>6130</v>
      </c>
      <c r="G5620" s="3">
        <v>668173</v>
      </c>
      <c r="H5620" s="7" t="str">
        <f>HYPERLINK("http://www.ensembl.org/Mus_musculus/Gene/Summary?db=core;g=ENSMUSG00000029047","ENSMUSG00000029047")</f>
        <v>ENSMUSG00000029047</v>
      </c>
      <c r="I5620" s="7" t="str">
        <f>HYPERLINK("http://www.informatics.jax.org/marker/MGI:2684988","MGI:2684988")</f>
        <v>MGI:2684988</v>
      </c>
      <c r="J5620" s="4" t="s">
        <v>12</v>
      </c>
    </row>
    <row r="5621" spans="1:10" x14ac:dyDescent="0.25">
      <c r="A5621" s="2">
        <v>133.19234808803799</v>
      </c>
      <c r="B5621" s="3">
        <v>-0.40353475909440101</v>
      </c>
      <c r="C5621" s="3">
        <v>5.5906548688258696E-4</v>
      </c>
      <c r="D5621" s="4">
        <v>1.7113895376163601E-3</v>
      </c>
      <c r="E5621" s="3" t="s">
        <v>12893</v>
      </c>
      <c r="F5621" s="3" t="s">
        <v>12894</v>
      </c>
      <c r="G5621" s="3">
        <v>57782</v>
      </c>
      <c r="H5621" s="7" t="str">
        <f>HYPERLINK("http://www.ensembl.org/Mus_musculus/Gene/Summary?db=core;g=ENSMUSG00000061898","ENSMUSG00000061898")</f>
        <v>ENSMUSG00000061898</v>
      </c>
      <c r="I5621" s="7" t="str">
        <f>HYPERLINK("http://www.informatics.jax.org/marker/MGI:1927369","MGI:1927369")</f>
        <v>MGI:1927369</v>
      </c>
      <c r="J5621" s="4" t="s">
        <v>12</v>
      </c>
    </row>
    <row r="5622" spans="1:10" x14ac:dyDescent="0.25">
      <c r="A5622" s="2">
        <v>1961.7620084412999</v>
      </c>
      <c r="B5622" s="3">
        <v>-0.40379674387388598</v>
      </c>
      <c r="C5622" s="5">
        <v>4.25692301695617E-13</v>
      </c>
      <c r="D5622" s="6">
        <v>2.9219116566089701E-12</v>
      </c>
      <c r="E5622" s="3" t="s">
        <v>5763</v>
      </c>
      <c r="F5622" s="3" t="s">
        <v>5764</v>
      </c>
      <c r="G5622" s="3">
        <v>19134</v>
      </c>
      <c r="H5622" s="7" t="str">
        <f>HYPERLINK("http://www.ensembl.org/Mus_musculus/Gene/Summary?db=core;g=ENSMUSG00000021413","ENSMUSG00000021413")</f>
        <v>ENSMUSG00000021413</v>
      </c>
      <c r="I5622" s="7" t="str">
        <f>HYPERLINK("http://www.informatics.jax.org/marker/MGI:109584","MGI:109584")</f>
        <v>MGI:109584</v>
      </c>
      <c r="J5622" s="4" t="s">
        <v>12</v>
      </c>
    </row>
    <row r="5623" spans="1:10" x14ac:dyDescent="0.25">
      <c r="A5623" s="2">
        <v>410.81394147056801</v>
      </c>
      <c r="B5623" s="3">
        <v>-0.40433146498911898</v>
      </c>
      <c r="C5623" s="5">
        <v>1.8608153163967199E-5</v>
      </c>
      <c r="D5623" s="6">
        <v>6.7853694599377502E-5</v>
      </c>
      <c r="E5623" s="3" t="s">
        <v>10828</v>
      </c>
      <c r="F5623" s="3" t="s">
        <v>10829</v>
      </c>
      <c r="G5623" s="3">
        <v>211006</v>
      </c>
      <c r="H5623" s="7" t="str">
        <f>HYPERLINK("http://www.ensembl.org/Mus_musculus/Gene/Summary?db=core;g=ENSMUSG00000029173","ENSMUSG00000029173")</f>
        <v>ENSMUSG00000029173</v>
      </c>
      <c r="I5623" s="7" t="str">
        <f>HYPERLINK("http://www.informatics.jax.org/marker/MGI:1098791","MGI:1098791")</f>
        <v>MGI:1098791</v>
      </c>
      <c r="J5623" s="4" t="s">
        <v>12</v>
      </c>
    </row>
    <row r="5624" spans="1:10" x14ac:dyDescent="0.25">
      <c r="A5624" s="2">
        <v>137.72174366817001</v>
      </c>
      <c r="B5624" s="3">
        <v>-0.40436151115616298</v>
      </c>
      <c r="C5624" s="3">
        <v>5.27075116672479E-3</v>
      </c>
      <c r="D5624" s="4">
        <v>1.3884580889464E-2</v>
      </c>
      <c r="E5624" s="3" t="s">
        <v>14974</v>
      </c>
      <c r="F5624" s="3" t="s">
        <v>14975</v>
      </c>
      <c r="G5624" s="3" t="s">
        <v>83</v>
      </c>
      <c r="H5624" s="7" t="str">
        <f>HYPERLINK("http://www.ensembl.org/Mus_musculus/Gene/Summary?db=core;g=ENSMUSG00000097061","ENSMUSG00000097061")</f>
        <v>ENSMUSG00000097061</v>
      </c>
      <c r="I5624" s="7" t="str">
        <f>HYPERLINK("http://www.informatics.jax.org/marker/MGI:3041168","MGI:3041168")</f>
        <v>MGI:3041168</v>
      </c>
      <c r="J5624" s="4" t="s">
        <v>3187</v>
      </c>
    </row>
    <row r="5625" spans="1:10" x14ac:dyDescent="0.25">
      <c r="A5625" s="2">
        <v>397.88379677034499</v>
      </c>
      <c r="B5625" s="3">
        <v>-0.404403299801391</v>
      </c>
      <c r="C5625" s="5">
        <v>3.6710379029048998E-9</v>
      </c>
      <c r="D5625" s="6">
        <v>1.8822898451712099E-8</v>
      </c>
      <c r="E5625" s="3" t="s">
        <v>7708</v>
      </c>
      <c r="F5625" s="3" t="s">
        <v>7709</v>
      </c>
      <c r="G5625" s="3">
        <v>59047</v>
      </c>
      <c r="H5625" s="7" t="str">
        <f>HYPERLINK("http://www.ensembl.org/Mus_musculus/Gene/Summary?db=core;g=ENSMUSG00000002963","ENSMUSG00000002963")</f>
        <v>ENSMUSG00000002963</v>
      </c>
      <c r="I5625" s="7" t="str">
        <f>HYPERLINK("http://www.informatics.jax.org/marker/MGI:1891698","MGI:1891698")</f>
        <v>MGI:1891698</v>
      </c>
      <c r="J5625" s="4" t="s">
        <v>12</v>
      </c>
    </row>
    <row r="5626" spans="1:10" x14ac:dyDescent="0.25">
      <c r="A5626" s="2">
        <v>4382.2094213333303</v>
      </c>
      <c r="B5626" s="3">
        <v>-0.404613621167763</v>
      </c>
      <c r="C5626" s="5">
        <v>2.2761881159021598E-15</v>
      </c>
      <c r="D5626" s="6">
        <v>1.782622305226E-14</v>
      </c>
      <c r="E5626" s="3" t="s">
        <v>5053</v>
      </c>
      <c r="F5626" s="3" t="s">
        <v>5054</v>
      </c>
      <c r="G5626" s="3">
        <v>11792</v>
      </c>
      <c r="H5626" s="7" t="str">
        <f>HYPERLINK("http://www.ensembl.org/Mus_musculus/Gene/Summary?db=core;g=ENSMUSG00000035960","ENSMUSG00000035960")</f>
        <v>ENSMUSG00000035960</v>
      </c>
      <c r="I5626" s="7" t="str">
        <f>HYPERLINK("http://www.informatics.jax.org/marker/MGI:88042","MGI:88042")</f>
        <v>MGI:88042</v>
      </c>
      <c r="J5626" s="4" t="s">
        <v>12</v>
      </c>
    </row>
    <row r="5627" spans="1:10" x14ac:dyDescent="0.25">
      <c r="A5627" s="2">
        <v>164.11504546299801</v>
      </c>
      <c r="B5627" s="3">
        <v>-0.40473368703354201</v>
      </c>
      <c r="C5627" s="3">
        <v>1.12852456643607E-3</v>
      </c>
      <c r="D5627" s="4">
        <v>3.3038159813122501E-3</v>
      </c>
      <c r="E5627" s="3" t="s">
        <v>13481</v>
      </c>
      <c r="F5627" s="3" t="s">
        <v>13482</v>
      </c>
      <c r="G5627" s="3">
        <v>212647</v>
      </c>
      <c r="H5627" s="7" t="str">
        <f>HYPERLINK("http://www.ensembl.org/Mus_musculus/Gene/Summary?db=core;g=ENSMUSG00000028737","ENSMUSG00000028737")</f>
        <v>ENSMUSG00000028737</v>
      </c>
      <c r="I5627" s="7" t="str">
        <f>HYPERLINK("http://www.informatics.jax.org/marker/MGI:2443883","MGI:2443883")</f>
        <v>MGI:2443883</v>
      </c>
      <c r="J5627" s="4" t="s">
        <v>12</v>
      </c>
    </row>
    <row r="5628" spans="1:10" x14ac:dyDescent="0.25">
      <c r="A5628" s="2">
        <v>101.062499609515</v>
      </c>
      <c r="B5628" s="3">
        <v>-0.40474828164664201</v>
      </c>
      <c r="C5628" s="3">
        <v>1.6050712953464301E-3</v>
      </c>
      <c r="D5628" s="4">
        <v>4.5972412409922498E-3</v>
      </c>
      <c r="E5628" s="3" t="s">
        <v>13777</v>
      </c>
      <c r="F5628" s="3" t="s">
        <v>13778</v>
      </c>
      <c r="G5628" s="3">
        <v>20520</v>
      </c>
      <c r="H5628" s="7" t="str">
        <f>HYPERLINK("http://www.ensembl.org/Mus_musculus/Gene/Summary?db=core;g=ENSMUSG00000018900","ENSMUSG00000018900")</f>
        <v>ENSMUSG00000018900</v>
      </c>
      <c r="I5628" s="7" t="str">
        <f>HYPERLINK("http://www.informatics.jax.org/marker/MGI:1329012","MGI:1329012")</f>
        <v>MGI:1329012</v>
      </c>
      <c r="J5628" s="4" t="s">
        <v>12</v>
      </c>
    </row>
    <row r="5629" spans="1:10" x14ac:dyDescent="0.25">
      <c r="A5629" s="2">
        <v>148.72697880751801</v>
      </c>
      <c r="B5629" s="3">
        <v>-0.404781890547041</v>
      </c>
      <c r="C5629" s="3">
        <v>2.9846417334616898E-4</v>
      </c>
      <c r="D5629" s="4">
        <v>9.4656054975658503E-4</v>
      </c>
      <c r="E5629" s="3" t="s">
        <v>12449</v>
      </c>
      <c r="F5629" s="3" t="s">
        <v>12450</v>
      </c>
      <c r="G5629" s="3">
        <v>56032</v>
      </c>
      <c r="H5629" s="7" t="str">
        <f>HYPERLINK("http://www.ensembl.org/Mus_musculus/Gene/Summary?db=core;g=ENSMUSG00000010057","ENSMUSG00000010057")</f>
        <v>ENSMUSG00000010057</v>
      </c>
      <c r="I5629" s="7" t="str">
        <f>HYPERLINK("http://www.informatics.jax.org/marker/MGI:1914482","MGI:1914482")</f>
        <v>MGI:1914482</v>
      </c>
      <c r="J5629" s="4" t="s">
        <v>12</v>
      </c>
    </row>
    <row r="5630" spans="1:10" x14ac:dyDescent="0.25">
      <c r="A5630" s="2">
        <v>3243.2143230705301</v>
      </c>
      <c r="B5630" s="3">
        <v>-0.40496749300540602</v>
      </c>
      <c r="C5630" s="5">
        <v>1.0177682732628699E-19</v>
      </c>
      <c r="D5630" s="6">
        <v>9.9604914882102806E-19</v>
      </c>
      <c r="E5630" s="3" t="s">
        <v>4047</v>
      </c>
      <c r="F5630" s="3" t="s">
        <v>4048</v>
      </c>
      <c r="G5630" s="3">
        <v>232989</v>
      </c>
      <c r="H5630" s="7" t="str">
        <f>HYPERLINK("http://www.ensembl.org/Mus_musculus/Gene/Summary?db=core;g=ENSMUSG00000040725","ENSMUSG00000040725")</f>
        <v>ENSMUSG00000040725</v>
      </c>
      <c r="I5630" s="7" t="str">
        <f>HYPERLINK("http://www.informatics.jax.org/marker/MGI:2443517","MGI:2443517")</f>
        <v>MGI:2443517</v>
      </c>
      <c r="J5630" s="4" t="s">
        <v>12</v>
      </c>
    </row>
    <row r="5631" spans="1:10" x14ac:dyDescent="0.25">
      <c r="A5631" s="2">
        <v>70.15695896375</v>
      </c>
      <c r="B5631" s="3">
        <v>-0.40500940376863998</v>
      </c>
      <c r="C5631" s="3">
        <v>1.4327129837134999E-2</v>
      </c>
      <c r="D5631" s="4">
        <v>3.4524827268317099E-2</v>
      </c>
      <c r="E5631" s="3" t="s">
        <v>16373</v>
      </c>
      <c r="F5631" s="3" t="s">
        <v>16374</v>
      </c>
      <c r="G5631" s="3" t="s">
        <v>83</v>
      </c>
      <c r="H5631" s="7" t="str">
        <f>HYPERLINK("http://www.ensembl.org/Mus_musculus/Gene/Summary?db=core;g=ENSMUSG00000105084","ENSMUSG00000105084")</f>
        <v>ENSMUSG00000105084</v>
      </c>
      <c r="I5631" s="7" t="str">
        <f>HYPERLINK("http://www.informatics.jax.org/marker/MGI:5663502","MGI:5663502")</f>
        <v>MGI:5663502</v>
      </c>
      <c r="J5631" s="4" t="s">
        <v>1828</v>
      </c>
    </row>
    <row r="5632" spans="1:10" x14ac:dyDescent="0.25">
      <c r="A5632" s="2">
        <v>848.41007760892103</v>
      </c>
      <c r="B5632" s="3">
        <v>-0.40569595773783501</v>
      </c>
      <c r="C5632" s="5">
        <v>2.5137927569190701E-6</v>
      </c>
      <c r="D5632" s="6">
        <v>9.9983850678588194E-6</v>
      </c>
      <c r="E5632" s="3" t="s">
        <v>9931</v>
      </c>
      <c r="F5632" s="3" t="s">
        <v>9932</v>
      </c>
      <c r="G5632" s="3">
        <v>269401</v>
      </c>
      <c r="H5632" s="7" t="str">
        <f>HYPERLINK("http://www.ensembl.org/Mus_musculus/Gene/Summary?db=core;g=ENSMUSG00000000823","ENSMUSG00000000823")</f>
        <v>ENSMUSG00000000823</v>
      </c>
      <c r="I5632" s="7" t="str">
        <f>HYPERLINK("http://www.informatics.jax.org/marker/MGI:2685478","MGI:2685478")</f>
        <v>MGI:2685478</v>
      </c>
      <c r="J5632" s="4" t="s">
        <v>12</v>
      </c>
    </row>
    <row r="5633" spans="1:10" x14ac:dyDescent="0.25">
      <c r="A5633" s="2">
        <v>806.07273930727399</v>
      </c>
      <c r="B5633" s="3">
        <v>-0.40574117159064899</v>
      </c>
      <c r="C5633" s="5">
        <v>2.3737572992982699E-9</v>
      </c>
      <c r="D5633" s="6">
        <v>1.23543135239277E-8</v>
      </c>
      <c r="E5633" s="3" t="s">
        <v>7596</v>
      </c>
      <c r="F5633" s="3" t="s">
        <v>7597</v>
      </c>
      <c r="G5633" s="3">
        <v>78455</v>
      </c>
      <c r="H5633" s="7" t="str">
        <f>HYPERLINK("http://www.ensembl.org/Mus_musculus/Gene/Summary?db=core;g=ENSMUSG00000020721","ENSMUSG00000020721")</f>
        <v>ENSMUSG00000020721</v>
      </c>
      <c r="I5633" s="7" t="str">
        <f>HYPERLINK("http://www.informatics.jax.org/marker/MGI:1925705","MGI:1925705")</f>
        <v>MGI:1925705</v>
      </c>
      <c r="J5633" s="4" t="s">
        <v>12</v>
      </c>
    </row>
    <row r="5634" spans="1:10" x14ac:dyDescent="0.25">
      <c r="A5634" s="2">
        <v>209.96542269490399</v>
      </c>
      <c r="B5634" s="3">
        <v>-0.40575809623356301</v>
      </c>
      <c r="C5634" s="5">
        <v>5.1187007729743199E-5</v>
      </c>
      <c r="D5634" s="4">
        <v>1.7818319372118899E-4</v>
      </c>
      <c r="E5634" s="3" t="s">
        <v>11341</v>
      </c>
      <c r="F5634" s="3" t="s">
        <v>11342</v>
      </c>
      <c r="G5634" s="3">
        <v>68563</v>
      </c>
      <c r="H5634" s="7" t="str">
        <f>HYPERLINK("http://www.ensembl.org/Mus_musculus/Gene/Summary?db=core;g=ENSMUSG00000042737","ENSMUSG00000042737")</f>
        <v>ENSMUSG00000042737</v>
      </c>
      <c r="I5634" s="7" t="str">
        <f>HYPERLINK("http://www.informatics.jax.org/marker/MGI:1915813","MGI:1915813")</f>
        <v>MGI:1915813</v>
      </c>
      <c r="J5634" s="4" t="s">
        <v>12</v>
      </c>
    </row>
    <row r="5635" spans="1:10" x14ac:dyDescent="0.25">
      <c r="A5635" s="2">
        <v>401.84933450113402</v>
      </c>
      <c r="B5635" s="3">
        <v>-0.40656868244890298</v>
      </c>
      <c r="C5635" s="5">
        <v>6.3806138907058401E-5</v>
      </c>
      <c r="D5635" s="4">
        <v>2.1985969932678499E-4</v>
      </c>
      <c r="E5635" s="3" t="s">
        <v>11457</v>
      </c>
      <c r="F5635" s="3" t="s">
        <v>11458</v>
      </c>
      <c r="G5635" s="3">
        <v>74182</v>
      </c>
      <c r="H5635" s="7" t="str">
        <f>HYPERLINK("http://www.ensembl.org/Mus_musculus/Gene/Summary?db=core;g=ENSMUSG00000027346","ENSMUSG00000027346")</f>
        <v>ENSMUSG00000027346</v>
      </c>
      <c r="I5635" s="7" t="str">
        <f>HYPERLINK("http://www.informatics.jax.org/marker/MGI:104898","MGI:104898")</f>
        <v>MGI:104898</v>
      </c>
      <c r="J5635" s="4" t="s">
        <v>12</v>
      </c>
    </row>
    <row r="5636" spans="1:10" x14ac:dyDescent="0.25">
      <c r="A5636" s="2">
        <v>418.70066556331301</v>
      </c>
      <c r="B5636" s="3">
        <v>-0.406850339817594</v>
      </c>
      <c r="C5636" s="5">
        <v>3.5027915861070998E-10</v>
      </c>
      <c r="D5636" s="6">
        <v>1.9485204535411002E-9</v>
      </c>
      <c r="E5636" s="3" t="s">
        <v>7108</v>
      </c>
      <c r="F5636" s="3" t="s">
        <v>7109</v>
      </c>
      <c r="G5636" s="3">
        <v>52592</v>
      </c>
      <c r="H5636" s="7" t="str">
        <f>HYPERLINK("http://www.ensembl.org/Mus_musculus/Gene/Summary?db=core;g=ENSMUSG00000012076","ENSMUSG00000012076")</f>
        <v>ENSMUSG00000012076</v>
      </c>
      <c r="I5636" s="7" t="str">
        <f>HYPERLINK("http://www.informatics.jax.org/marker/MGI:1196337","MGI:1196337")</f>
        <v>MGI:1196337</v>
      </c>
      <c r="J5636" s="4" t="s">
        <v>12</v>
      </c>
    </row>
    <row r="5637" spans="1:10" x14ac:dyDescent="0.25">
      <c r="A5637" s="2">
        <v>914.01363542392096</v>
      </c>
      <c r="B5637" s="3">
        <v>-0.40710980893048698</v>
      </c>
      <c r="C5637" s="5">
        <v>1.4162609156524499E-12</v>
      </c>
      <c r="D5637" s="6">
        <v>9.4130991764968894E-12</v>
      </c>
      <c r="E5637" s="3" t="s">
        <v>5951</v>
      </c>
      <c r="F5637" s="3" t="s">
        <v>5952</v>
      </c>
      <c r="G5637" s="3">
        <v>268980</v>
      </c>
      <c r="H5637" s="7" t="str">
        <f>HYPERLINK("http://www.ensembl.org/Mus_musculus/Gene/Summary?db=core;g=ENSMUSG00000024077","ENSMUSG00000024077")</f>
        <v>ENSMUSG00000024077</v>
      </c>
      <c r="I5637" s="7" t="str">
        <f>HYPERLINK("http://www.informatics.jax.org/marker/MGI:1333757","MGI:1333757")</f>
        <v>MGI:1333757</v>
      </c>
      <c r="J5637" s="4" t="s">
        <v>12</v>
      </c>
    </row>
    <row r="5638" spans="1:10" x14ac:dyDescent="0.25">
      <c r="A5638" s="2">
        <v>208.32803508234801</v>
      </c>
      <c r="B5638" s="3">
        <v>-0.40724494262324901</v>
      </c>
      <c r="C5638" s="3">
        <v>1.02520722795107E-4</v>
      </c>
      <c r="D5638" s="4">
        <v>3.4559122282384799E-4</v>
      </c>
      <c r="E5638" s="3" t="s">
        <v>11711</v>
      </c>
      <c r="F5638" s="3" t="s">
        <v>11712</v>
      </c>
      <c r="G5638" s="3">
        <v>232878</v>
      </c>
      <c r="H5638" s="7" t="str">
        <f>HYPERLINK("http://www.ensembl.org/Mus_musculus/Gene/Summary?db=core;g=ENSMUSG00000054715","ENSMUSG00000054715")</f>
        <v>ENSMUSG00000054715</v>
      </c>
      <c r="I5638" s="7" t="str">
        <f>HYPERLINK("http://www.informatics.jax.org/marker/MGI:2443312","MGI:2443312")</f>
        <v>MGI:2443312</v>
      </c>
      <c r="J5638" s="4" t="s">
        <v>12</v>
      </c>
    </row>
    <row r="5639" spans="1:10" x14ac:dyDescent="0.25">
      <c r="A5639" s="2">
        <v>596.32090117134601</v>
      </c>
      <c r="B5639" s="3">
        <v>-0.40733218215397299</v>
      </c>
      <c r="C5639" s="5">
        <v>2.1172675998892001E-9</v>
      </c>
      <c r="D5639" s="6">
        <v>1.10632000714931E-8</v>
      </c>
      <c r="E5639" s="3" t="s">
        <v>7566</v>
      </c>
      <c r="F5639" s="3" t="s">
        <v>7567</v>
      </c>
      <c r="G5639" s="3">
        <v>329877</v>
      </c>
      <c r="H5639" s="7" t="str">
        <f>HYPERLINK("http://www.ensembl.org/Mus_musculus/Gene/Summary?db=core;g=ENSMUSG00000038024","ENSMUSG00000038024")</f>
        <v>ENSMUSG00000038024</v>
      </c>
      <c r="I5639" s="7" t="str">
        <f>HYPERLINK("http://www.informatics.jax.org/marker/MGI:1914769","MGI:1914769")</f>
        <v>MGI:1914769</v>
      </c>
      <c r="J5639" s="4" t="s">
        <v>12</v>
      </c>
    </row>
    <row r="5640" spans="1:10" x14ac:dyDescent="0.25">
      <c r="A5640" s="2">
        <v>551.08246873355995</v>
      </c>
      <c r="B5640" s="3">
        <v>-0.40780522325215701</v>
      </c>
      <c r="C5640" s="5">
        <v>8.6065706966947698E-6</v>
      </c>
      <c r="D5640" s="6">
        <v>3.2476382345736898E-5</v>
      </c>
      <c r="E5640" s="3" t="s">
        <v>10466</v>
      </c>
      <c r="F5640" s="3" t="s">
        <v>10467</v>
      </c>
      <c r="G5640" s="3">
        <v>66422</v>
      </c>
      <c r="H5640" s="7" t="str">
        <f>HYPERLINK("http://www.ensembl.org/Mus_musculus/Gene/Summary?db=core;g=ENSMUSG00000042462","ENSMUSG00000042462")</f>
        <v>ENSMUSG00000042462</v>
      </c>
      <c r="I5640" s="7" t="str">
        <f>HYPERLINK("http://www.informatics.jax.org/marker/MGI:1913672","MGI:1913672")</f>
        <v>MGI:1913672</v>
      </c>
      <c r="J5640" s="4" t="s">
        <v>12</v>
      </c>
    </row>
    <row r="5641" spans="1:10" x14ac:dyDescent="0.25">
      <c r="A5641" s="2">
        <v>133.073384951636</v>
      </c>
      <c r="B5641" s="3">
        <v>-0.40789347592185099</v>
      </c>
      <c r="C5641" s="3">
        <v>2.8840946904695598E-3</v>
      </c>
      <c r="D5641" s="4">
        <v>7.9289484589515798E-3</v>
      </c>
      <c r="E5641" s="3" t="s">
        <v>14351</v>
      </c>
      <c r="F5641" s="3" t="s">
        <v>14352</v>
      </c>
      <c r="G5641" s="3">
        <v>229776</v>
      </c>
      <c r="H5641" s="7" t="str">
        <f>HYPERLINK("http://www.ensembl.org/Mus_musculus/Gene/Summary?db=core;g=ENSMUSG00000033502","ENSMUSG00000033502")</f>
        <v>ENSMUSG00000033502</v>
      </c>
      <c r="I5641" s="7" t="str">
        <f>HYPERLINK("http://www.informatics.jax.org/marker/MGI:2442676","MGI:2442676")</f>
        <v>MGI:2442676</v>
      </c>
      <c r="J5641" s="4" t="s">
        <v>12</v>
      </c>
    </row>
    <row r="5642" spans="1:10" x14ac:dyDescent="0.25">
      <c r="A5642" s="2">
        <v>428.64384590337397</v>
      </c>
      <c r="B5642" s="3">
        <v>-0.40806264206960902</v>
      </c>
      <c r="C5642" s="3">
        <v>2.80080810614992E-4</v>
      </c>
      <c r="D5642" s="4">
        <v>8.9083888340179402E-4</v>
      </c>
      <c r="E5642" s="3" t="s">
        <v>12410</v>
      </c>
      <c r="F5642" s="3" t="s">
        <v>12411</v>
      </c>
      <c r="G5642" s="3">
        <v>100504195</v>
      </c>
      <c r="H5642" s="7" t="str">
        <f>HYPERLINK("http://www.ensembl.org/Mus_musculus/Gene/Summary?db=core;g=ENSMUSG00000038244","ENSMUSG00000038244")</f>
        <v>ENSMUSG00000038244</v>
      </c>
      <c r="I5642" s="7" t="str">
        <f>HYPERLINK("http://www.informatics.jax.org/marker/MGI:2444947","MGI:2444947")</f>
        <v>MGI:2444947</v>
      </c>
      <c r="J5642" s="4" t="s">
        <v>12</v>
      </c>
    </row>
    <row r="5643" spans="1:10" x14ac:dyDescent="0.25">
      <c r="A5643" s="2">
        <v>1751.8317966351001</v>
      </c>
      <c r="B5643" s="3">
        <v>-0.40808862090610798</v>
      </c>
      <c r="C5643" s="5">
        <v>1.3929996507197199E-5</v>
      </c>
      <c r="D5643" s="6">
        <v>5.1490071438037299E-5</v>
      </c>
      <c r="E5643" s="3" t="s">
        <v>10682</v>
      </c>
      <c r="F5643" s="3" t="s">
        <v>10683</v>
      </c>
      <c r="G5643" s="3">
        <v>235439</v>
      </c>
      <c r="H5643" s="7" t="str">
        <f>HYPERLINK("http://www.ensembl.org/Mus_musculus/Gene/Summary?db=core;g=ENSMUSG00000038664","ENSMUSG00000038664")</f>
        <v>ENSMUSG00000038664</v>
      </c>
      <c r="I5643" s="7" t="str">
        <f>HYPERLINK("http://www.informatics.jax.org/marker/MGI:2384589","MGI:2384589")</f>
        <v>MGI:2384589</v>
      </c>
      <c r="J5643" s="4" t="s">
        <v>12</v>
      </c>
    </row>
    <row r="5644" spans="1:10" x14ac:dyDescent="0.25">
      <c r="A5644" s="2">
        <v>239.93924644700499</v>
      </c>
      <c r="B5644" s="3">
        <v>-0.40817713807167499</v>
      </c>
      <c r="C5644" s="5">
        <v>6.55181840589068E-6</v>
      </c>
      <c r="D5644" s="6">
        <v>2.5005198173827001E-5</v>
      </c>
      <c r="E5644" s="3" t="s">
        <v>10348</v>
      </c>
      <c r="F5644" s="3" t="s">
        <v>10349</v>
      </c>
      <c r="G5644" s="3">
        <v>66647</v>
      </c>
      <c r="H5644" s="7" t="str">
        <f>HYPERLINK("http://www.ensembl.org/Mus_musculus/Gene/Summary?db=core;g=ENSMUSG00000070520","ENSMUSG00000070520")</f>
        <v>ENSMUSG00000070520</v>
      </c>
      <c r="I5644" s="7" t="str">
        <f>HYPERLINK("http://www.informatics.jax.org/marker/MGI:1913897","MGI:1913897")</f>
        <v>MGI:1913897</v>
      </c>
      <c r="J5644" s="4" t="s">
        <v>12</v>
      </c>
    </row>
    <row r="5645" spans="1:10" x14ac:dyDescent="0.25">
      <c r="A5645" s="2">
        <v>72.001051412718297</v>
      </c>
      <c r="B5645" s="3">
        <v>-0.40823565501359099</v>
      </c>
      <c r="C5645" s="3">
        <v>4.4522522054362499E-3</v>
      </c>
      <c r="D5645" s="4">
        <v>1.1879098023434301E-2</v>
      </c>
      <c r="E5645" s="3" t="s">
        <v>14786</v>
      </c>
      <c r="F5645" s="3" t="s">
        <v>14787</v>
      </c>
      <c r="G5645" s="3">
        <v>231287</v>
      </c>
      <c r="H5645" s="7" t="str">
        <f>HYPERLINK("http://www.ensembl.org/Mus_musculus/Gene/Summary?db=core;g=ENSMUSG00000046808","ENSMUSG00000046808")</f>
        <v>ENSMUSG00000046808</v>
      </c>
      <c r="I5645" s="7" t="str">
        <f>HYPERLINK("http://www.informatics.jax.org/marker/MGI:2450125","MGI:2450125")</f>
        <v>MGI:2450125</v>
      </c>
      <c r="J5645" s="4" t="s">
        <v>976</v>
      </c>
    </row>
    <row r="5646" spans="1:10" x14ac:dyDescent="0.25">
      <c r="A5646" s="2">
        <v>733.25064166117795</v>
      </c>
      <c r="B5646" s="3">
        <v>-0.40834089585548999</v>
      </c>
      <c r="C5646" s="5">
        <v>9.4849450364520602E-12</v>
      </c>
      <c r="D5646" s="6">
        <v>5.9359922601978606E-11</v>
      </c>
      <c r="E5646" s="3" t="s">
        <v>6319</v>
      </c>
      <c r="F5646" s="3" t="s">
        <v>6320</v>
      </c>
      <c r="G5646" s="3">
        <v>230376</v>
      </c>
      <c r="H5646" s="7" t="str">
        <f>HYPERLINK("http://www.ensembl.org/Mus_musculus/Gene/Summary?db=core;g=ENSMUSG00000038047","ENSMUSG00000038047")</f>
        <v>ENSMUSG00000038047</v>
      </c>
      <c r="I5646" s="7" t="str">
        <f>HYPERLINK("http://www.informatics.jax.org/marker/MGI:1923389","MGI:1923389")</f>
        <v>MGI:1923389</v>
      </c>
      <c r="J5646" s="4" t="s">
        <v>12</v>
      </c>
    </row>
    <row r="5647" spans="1:10" x14ac:dyDescent="0.25">
      <c r="A5647" s="2">
        <v>711.34412825280106</v>
      </c>
      <c r="B5647" s="3">
        <v>-0.408522450806514</v>
      </c>
      <c r="C5647" s="5">
        <v>6.0137108836065801E-6</v>
      </c>
      <c r="D5647" s="6">
        <v>2.3040679740571501E-5</v>
      </c>
      <c r="E5647" s="3" t="s">
        <v>10308</v>
      </c>
      <c r="F5647" s="3" t="s">
        <v>10309</v>
      </c>
      <c r="G5647" s="3">
        <v>320538</v>
      </c>
      <c r="H5647" s="7" t="str">
        <f>HYPERLINK("http://www.ensembl.org/Mus_musculus/Gene/Summary?db=core;g=ENSMUSG00000038538","ENSMUSG00000038538")</f>
        <v>ENSMUSG00000038538</v>
      </c>
      <c r="I5647" s="7" t="str">
        <f>HYPERLINK("http://www.informatics.jax.org/marker/MGI:2444236","MGI:2444236")</f>
        <v>MGI:2444236</v>
      </c>
      <c r="J5647" s="4" t="s">
        <v>12</v>
      </c>
    </row>
    <row r="5648" spans="1:10" x14ac:dyDescent="0.25">
      <c r="A5648" s="2">
        <v>115.67209463542</v>
      </c>
      <c r="B5648" s="3">
        <v>-0.40874219742631301</v>
      </c>
      <c r="C5648" s="3">
        <v>6.9147440130537302E-4</v>
      </c>
      <c r="D5648" s="4">
        <v>2.08531506250833E-3</v>
      </c>
      <c r="E5648" s="3" t="s">
        <v>13087</v>
      </c>
      <c r="F5648" s="3" t="s">
        <v>13088</v>
      </c>
      <c r="G5648" s="3">
        <v>227615</v>
      </c>
      <c r="H5648" s="7" t="str">
        <f>HYPERLINK("http://www.ensembl.org/Mus_musculus/Gene/Summary?db=core;g=ENSMUSG00000078201","ENSMUSG00000078201")</f>
        <v>ENSMUSG00000078201</v>
      </c>
      <c r="I5648" s="7" t="str">
        <f>HYPERLINK("http://www.informatics.jax.org/marker/MGI:2443597","MGI:2443597")</f>
        <v>MGI:2443597</v>
      </c>
      <c r="J5648" s="4" t="s">
        <v>12</v>
      </c>
    </row>
    <row r="5649" spans="1:10" x14ac:dyDescent="0.25">
      <c r="A5649" s="2">
        <v>58.6520227821009</v>
      </c>
      <c r="B5649" s="3">
        <v>-0.40878497039886802</v>
      </c>
      <c r="C5649" s="3">
        <v>1.70047473243066E-2</v>
      </c>
      <c r="D5649" s="4">
        <v>4.0328757334374798E-2</v>
      </c>
      <c r="E5649" s="3" t="s">
        <v>16634</v>
      </c>
      <c r="F5649" s="3" t="s">
        <v>16635</v>
      </c>
      <c r="G5649" s="3">
        <v>238722</v>
      </c>
      <c r="H5649" s="7" t="str">
        <f>HYPERLINK("http://www.ensembl.org/Mus_musculus/Gene/Summary?db=core;g=ENSMUSG00000069184","ENSMUSG00000069184")</f>
        <v>ENSMUSG00000069184</v>
      </c>
      <c r="I5649" s="7" t="str">
        <f>HYPERLINK("http://www.informatics.jax.org/marker/MGI:3033356","MGI:3033356")</f>
        <v>MGI:3033356</v>
      </c>
      <c r="J5649" s="4" t="s">
        <v>12</v>
      </c>
    </row>
    <row r="5650" spans="1:10" x14ac:dyDescent="0.25">
      <c r="A5650" s="2">
        <v>1812.9835976822201</v>
      </c>
      <c r="B5650" s="3">
        <v>-0.40892190631296899</v>
      </c>
      <c r="C5650" s="5">
        <v>1.4175076827296699E-13</v>
      </c>
      <c r="D5650" s="6">
        <v>1.0015496776578001E-12</v>
      </c>
      <c r="E5650" s="3" t="s">
        <v>5599</v>
      </c>
      <c r="F5650" s="3" t="s">
        <v>5600</v>
      </c>
      <c r="G5650" s="3">
        <v>239667</v>
      </c>
      <c r="H5650" s="7" t="str">
        <f>HYPERLINK("http://www.ensembl.org/Mus_musculus/Gene/Summary?db=core;g=ENSMUSG00000023026","ENSMUSG00000023026")</f>
        <v>ENSMUSG00000023026</v>
      </c>
      <c r="I5650" s="7" t="str">
        <f>HYPERLINK("http://www.informatics.jax.org/marker/MGI:2145977","MGI:2145977")</f>
        <v>MGI:2145977</v>
      </c>
      <c r="J5650" s="4" t="s">
        <v>12</v>
      </c>
    </row>
    <row r="5651" spans="1:10" x14ac:dyDescent="0.25">
      <c r="A5651" s="2">
        <v>1001.33350531919</v>
      </c>
      <c r="B5651" s="3">
        <v>-0.40894724499837398</v>
      </c>
      <c r="C5651" s="5">
        <v>2.9043769156383899E-12</v>
      </c>
      <c r="D5651" s="6">
        <v>1.89838623720216E-11</v>
      </c>
      <c r="E5651" s="3" t="s">
        <v>6051</v>
      </c>
      <c r="F5651" s="3" t="s">
        <v>6052</v>
      </c>
      <c r="G5651" s="3">
        <v>76499</v>
      </c>
      <c r="H5651" s="7" t="str">
        <f>HYPERLINK("http://www.ensembl.org/Mus_musculus/Gene/Summary?db=core;g=ENSMUSG00000033392","ENSMUSG00000033392")</f>
        <v>ENSMUSG00000033392</v>
      </c>
      <c r="I5651" s="7" t="str">
        <f>HYPERLINK("http://www.informatics.jax.org/marker/MGI:1923749","MGI:1923749")</f>
        <v>MGI:1923749</v>
      </c>
      <c r="J5651" s="4" t="s">
        <v>12</v>
      </c>
    </row>
    <row r="5652" spans="1:10" x14ac:dyDescent="0.25">
      <c r="A5652" s="2">
        <v>616.92949653362598</v>
      </c>
      <c r="B5652" s="3">
        <v>-0.40911735049709003</v>
      </c>
      <c r="C5652" s="5">
        <v>4.9412259810929601E-9</v>
      </c>
      <c r="D5652" s="6">
        <v>2.5107182774324499E-8</v>
      </c>
      <c r="E5652" s="3" t="s">
        <v>7778</v>
      </c>
      <c r="F5652" s="3" t="s">
        <v>7779</v>
      </c>
      <c r="G5652" s="3">
        <v>233905</v>
      </c>
      <c r="H5652" s="7" t="str">
        <f>HYPERLINK("http://www.ensembl.org/Mus_musculus/Gene/Summary?db=core;g=ENSMUSG00000049739","ENSMUSG00000049739")</f>
        <v>ENSMUSG00000049739</v>
      </c>
      <c r="I5652" s="7" t="str">
        <f>HYPERLINK("http://www.informatics.jax.org/marker/MGI:3665412","MGI:3665412")</f>
        <v>MGI:3665412</v>
      </c>
      <c r="J5652" s="4" t="s">
        <v>12</v>
      </c>
    </row>
    <row r="5653" spans="1:10" x14ac:dyDescent="0.25">
      <c r="A5653" s="2">
        <v>307.627857809239</v>
      </c>
      <c r="B5653" s="3">
        <v>-0.40929082326649702</v>
      </c>
      <c r="C5653" s="5">
        <v>1.46560509994761E-7</v>
      </c>
      <c r="D5653" s="6">
        <v>6.5403332362450498E-7</v>
      </c>
      <c r="E5653" s="3" t="s">
        <v>8855</v>
      </c>
      <c r="F5653" s="3" t="s">
        <v>8856</v>
      </c>
      <c r="G5653" s="3">
        <v>71147</v>
      </c>
      <c r="H5653" s="7" t="str">
        <f>HYPERLINK("http://www.ensembl.org/Mus_musculus/Gene/Summary?db=core;g=ENSMUSG00000021786","ENSMUSG00000021786")</f>
        <v>ENSMUSG00000021786</v>
      </c>
      <c r="I5653" s="7" t="str">
        <f>HYPERLINK("http://www.informatics.jax.org/marker/MGI:1918397","MGI:1918397")</f>
        <v>MGI:1918397</v>
      </c>
      <c r="J5653" s="4" t="s">
        <v>12</v>
      </c>
    </row>
    <row r="5654" spans="1:10" x14ac:dyDescent="0.25">
      <c r="A5654" s="2">
        <v>156.83816795680599</v>
      </c>
      <c r="B5654" s="3">
        <v>-0.40962715088484197</v>
      </c>
      <c r="C5654" s="5">
        <v>9.7563732943065697E-5</v>
      </c>
      <c r="D5654" s="4">
        <v>3.2944465986939299E-4</v>
      </c>
      <c r="E5654" s="3" t="s">
        <v>11691</v>
      </c>
      <c r="F5654" s="3" t="s">
        <v>11692</v>
      </c>
      <c r="G5654" s="3">
        <v>70394</v>
      </c>
      <c r="H5654" s="7" t="str">
        <f>HYPERLINK("http://www.ensembl.org/Mus_musculus/Gene/Summary?db=core;g=ENSMUSG00000006021","ENSMUSG00000006021")</f>
        <v>ENSMUSG00000006021</v>
      </c>
      <c r="I5654" s="7" t="str">
        <f>HYPERLINK("http://www.informatics.jax.org/marker/MGI:1890380","MGI:1890380")</f>
        <v>MGI:1890380</v>
      </c>
      <c r="J5654" s="4" t="s">
        <v>12</v>
      </c>
    </row>
    <row r="5655" spans="1:10" x14ac:dyDescent="0.25">
      <c r="A5655" s="2">
        <v>952.20317623287303</v>
      </c>
      <c r="B5655" s="3">
        <v>-0.40968431368402197</v>
      </c>
      <c r="C5655" s="5">
        <v>2.52943523075224E-7</v>
      </c>
      <c r="D5655" s="6">
        <v>1.1101816770628599E-6</v>
      </c>
      <c r="E5655" s="3" t="s">
        <v>9003</v>
      </c>
      <c r="F5655" s="3" t="s">
        <v>9004</v>
      </c>
      <c r="G5655" s="3">
        <v>17966</v>
      </c>
      <c r="H5655" s="7" t="str">
        <f>HYPERLINK("http://www.ensembl.org/Mus_musculus/Gene/Summary?db=core;g=ENSMUSG00000017119","ENSMUSG00000017119")</f>
        <v>ENSMUSG00000017119</v>
      </c>
      <c r="I5655" s="7" t="str">
        <f>HYPERLINK("http://www.informatics.jax.org/marker/MGI:108498","MGI:108498")</f>
        <v>MGI:108498</v>
      </c>
      <c r="J5655" s="4" t="s">
        <v>12</v>
      </c>
    </row>
    <row r="5656" spans="1:10" x14ac:dyDescent="0.25">
      <c r="A5656" s="2">
        <v>800.70036447643099</v>
      </c>
      <c r="B5656" s="3">
        <v>-0.40968600648324599</v>
      </c>
      <c r="C5656" s="5">
        <v>3.7674694861661298E-6</v>
      </c>
      <c r="D5656" s="6">
        <v>1.4726362391912E-5</v>
      </c>
      <c r="E5656" s="3" t="s">
        <v>10106</v>
      </c>
      <c r="F5656" s="3" t="s">
        <v>10107</v>
      </c>
      <c r="G5656" s="3">
        <v>212679</v>
      </c>
      <c r="H5656" s="7" t="str">
        <f>HYPERLINK("http://www.ensembl.org/Mus_musculus/Gene/Summary?db=core;g=ENSMUSG00000046994","ENSMUSG00000046994")</f>
        <v>ENSMUSG00000046994</v>
      </c>
      <c r="I5656" s="7" t="str">
        <f>HYPERLINK("http://www.informatics.jax.org/marker/MGI:2444136","MGI:2444136")</f>
        <v>MGI:2444136</v>
      </c>
      <c r="J5656" s="4" t="s">
        <v>12</v>
      </c>
    </row>
    <row r="5657" spans="1:10" x14ac:dyDescent="0.25">
      <c r="A5657" s="2">
        <v>921.79827115813202</v>
      </c>
      <c r="B5657" s="3">
        <v>-0.409701756487791</v>
      </c>
      <c r="C5657" s="5">
        <v>3.9677316672432798E-13</v>
      </c>
      <c r="D5657" s="6">
        <v>2.73006519462797E-12</v>
      </c>
      <c r="E5657" s="3" t="s">
        <v>5749</v>
      </c>
      <c r="F5657" s="3" t="s">
        <v>5750</v>
      </c>
      <c r="G5657" s="3">
        <v>109077</v>
      </c>
      <c r="H5657" s="7" t="str">
        <f>HYPERLINK("http://www.ensembl.org/Mus_musculus/Gene/Summary?db=core;g=ENSMUSG00000071652","ENSMUSG00000071652")</f>
        <v>ENSMUSG00000071652</v>
      </c>
      <c r="I5657" s="7" t="str">
        <f>HYPERLINK("http://www.informatics.jax.org/marker/MGI:1923578","MGI:1923578")</f>
        <v>MGI:1923578</v>
      </c>
      <c r="J5657" s="4" t="s">
        <v>12</v>
      </c>
    </row>
    <row r="5658" spans="1:10" x14ac:dyDescent="0.25">
      <c r="A5658" s="2">
        <v>729.28467684672205</v>
      </c>
      <c r="B5658" s="3">
        <v>-0.40972713129946198</v>
      </c>
      <c r="C5658" s="5">
        <v>6.7821185876632298E-6</v>
      </c>
      <c r="D5658" s="6">
        <v>2.5854123052139699E-5</v>
      </c>
      <c r="E5658" s="3" t="s">
        <v>10360</v>
      </c>
      <c r="F5658" s="3" t="s">
        <v>10361</v>
      </c>
      <c r="G5658" s="3">
        <v>78894</v>
      </c>
      <c r="H5658" s="7" t="str">
        <f>HYPERLINK("http://www.ensembl.org/Mus_musculus/Gene/Summary?db=core;g=ENSMUSG00000029482","ENSMUSG00000029482")</f>
        <v>ENSMUSG00000029482</v>
      </c>
      <c r="I5658" s="7" t="str">
        <f>HYPERLINK("http://www.informatics.jax.org/marker/MGI:1926144","MGI:1926144")</f>
        <v>MGI:1926144</v>
      </c>
      <c r="J5658" s="4" t="s">
        <v>12</v>
      </c>
    </row>
    <row r="5659" spans="1:10" x14ac:dyDescent="0.25">
      <c r="A5659" s="2">
        <v>2103.03252879719</v>
      </c>
      <c r="B5659" s="3">
        <v>-0.40973059042607202</v>
      </c>
      <c r="C5659" s="5">
        <v>1.2911967979882399E-9</v>
      </c>
      <c r="D5659" s="6">
        <v>6.8687350570078602E-9</v>
      </c>
      <c r="E5659" s="3" t="s">
        <v>7432</v>
      </c>
      <c r="F5659" s="3" t="s">
        <v>7433</v>
      </c>
      <c r="G5659" s="3">
        <v>14645</v>
      </c>
      <c r="H5659" s="7" t="str">
        <f>HYPERLINK("http://www.ensembl.org/Mus_musculus/Gene/Summary?db=core;g=ENSMUSG00000026473","ENSMUSG00000026473")</f>
        <v>ENSMUSG00000026473</v>
      </c>
      <c r="I5659" s="7" t="str">
        <f>HYPERLINK("http://www.informatics.jax.org/marker/MGI:95739","MGI:95739")</f>
        <v>MGI:95739</v>
      </c>
      <c r="J5659" s="4" t="s">
        <v>12</v>
      </c>
    </row>
    <row r="5660" spans="1:10" x14ac:dyDescent="0.25">
      <c r="A5660" s="2">
        <v>649.69850252150604</v>
      </c>
      <c r="B5660" s="3">
        <v>-0.409773720684384</v>
      </c>
      <c r="C5660" s="5">
        <v>1.9621829149209999E-8</v>
      </c>
      <c r="D5660" s="6">
        <v>9.4732613894112697E-8</v>
      </c>
      <c r="E5660" s="3" t="s">
        <v>8185</v>
      </c>
      <c r="F5660" s="3" t="s">
        <v>8186</v>
      </c>
      <c r="G5660" s="3">
        <v>11409</v>
      </c>
      <c r="H5660" s="7" t="str">
        <f>HYPERLINK("http://www.ensembl.org/Mus_musculus/Gene/Summary?db=core;g=ENSMUSG00000029545","ENSMUSG00000029545")</f>
        <v>ENSMUSG00000029545</v>
      </c>
      <c r="I5660" s="7" t="str">
        <f>HYPERLINK("http://www.informatics.jax.org/marker/MGI:87868","MGI:87868")</f>
        <v>MGI:87868</v>
      </c>
      <c r="J5660" s="4" t="s">
        <v>12</v>
      </c>
    </row>
    <row r="5661" spans="1:10" x14ac:dyDescent="0.25">
      <c r="A5661" s="2">
        <v>196.33739824178301</v>
      </c>
      <c r="B5661" s="3">
        <v>-0.40988624637507998</v>
      </c>
      <c r="C5661" s="3">
        <v>8.6329957936507305E-4</v>
      </c>
      <c r="D5661" s="4">
        <v>2.56970078567234E-3</v>
      </c>
      <c r="E5661" s="3" t="s">
        <v>13259</v>
      </c>
      <c r="F5661" s="3" t="s">
        <v>13260</v>
      </c>
      <c r="G5661" s="3">
        <v>74019</v>
      </c>
      <c r="H5661" s="7" t="str">
        <f>HYPERLINK("http://www.ensembl.org/Mus_musculus/Gene/Summary?db=core;g=ENSMUSG00000034292","ENSMUSG00000034292")</f>
        <v>ENSMUSG00000034292</v>
      </c>
      <c r="I5661" s="7" t="str">
        <f>HYPERLINK("http://www.informatics.jax.org/marker/MGI:1921269","MGI:1921269")</f>
        <v>MGI:1921269</v>
      </c>
      <c r="J5661" s="4" t="s">
        <v>12</v>
      </c>
    </row>
    <row r="5662" spans="1:10" x14ac:dyDescent="0.25">
      <c r="A5662" s="2">
        <v>711.06629762686703</v>
      </c>
      <c r="B5662" s="3">
        <v>-0.41069968014306002</v>
      </c>
      <c r="C5662" s="5">
        <v>8.9234397207853597E-10</v>
      </c>
      <c r="D5662" s="6">
        <v>4.8000608645359402E-9</v>
      </c>
      <c r="E5662" s="3" t="s">
        <v>7350</v>
      </c>
      <c r="F5662" s="3" t="s">
        <v>7351</v>
      </c>
      <c r="G5662" s="3">
        <v>242521</v>
      </c>
      <c r="H5662" s="7" t="str">
        <f>HYPERLINK("http://www.ensembl.org/Mus_musculus/Gene/Summary?db=core;g=ENSMUSG00000070923","ENSMUSG00000070923")</f>
        <v>ENSMUSG00000070923</v>
      </c>
      <c r="I5662" s="7" t="str">
        <f>HYPERLINK("http://www.informatics.jax.org/marker/MGI:2180122","MGI:2180122")</f>
        <v>MGI:2180122</v>
      </c>
      <c r="J5662" s="4" t="s">
        <v>12</v>
      </c>
    </row>
    <row r="5663" spans="1:10" x14ac:dyDescent="0.25">
      <c r="A5663" s="2">
        <v>139.551542471375</v>
      </c>
      <c r="B5663" s="3">
        <v>-0.411477769116734</v>
      </c>
      <c r="C5663" s="3">
        <v>1.6642334388252799E-4</v>
      </c>
      <c r="D5663" s="4">
        <v>5.4525142737389199E-4</v>
      </c>
      <c r="E5663" s="3" t="s">
        <v>12049</v>
      </c>
      <c r="F5663" s="3" t="s">
        <v>12050</v>
      </c>
      <c r="G5663" s="3">
        <v>68634</v>
      </c>
      <c r="H5663" s="7" t="str">
        <f>HYPERLINK("http://www.ensembl.org/Mus_musculus/Gene/Summary?db=core;g=ENSMUSG00000078681","ENSMUSG00000078681")</f>
        <v>ENSMUSG00000078681</v>
      </c>
      <c r="I5663" s="7" t="str">
        <f>HYPERLINK("http://www.informatics.jax.org/marker/MGI:1915884","MGI:1915884")</f>
        <v>MGI:1915884</v>
      </c>
      <c r="J5663" s="4" t="s">
        <v>12</v>
      </c>
    </row>
    <row r="5664" spans="1:10" x14ac:dyDescent="0.25">
      <c r="A5664" s="2">
        <v>1087.1900013544</v>
      </c>
      <c r="B5664" s="3">
        <v>-0.411632470595167</v>
      </c>
      <c r="C5664" s="5">
        <v>1.91314916368128E-10</v>
      </c>
      <c r="D5664" s="6">
        <v>1.08755553496093E-9</v>
      </c>
      <c r="E5664" s="3" t="s">
        <v>6956</v>
      </c>
      <c r="F5664" s="3" t="s">
        <v>6957</v>
      </c>
      <c r="G5664" s="3">
        <v>75146</v>
      </c>
      <c r="H5664" s="7" t="str">
        <f>HYPERLINK("http://www.ensembl.org/Mus_musculus/Gene/Summary?db=core;g=ENSMUSG00000025227","ENSMUSG00000025227")</f>
        <v>ENSMUSG00000025227</v>
      </c>
      <c r="I5664" s="7" t="str">
        <f>HYPERLINK("http://www.informatics.jax.org/marker/MGI:1922396","MGI:1922396")</f>
        <v>MGI:1922396</v>
      </c>
      <c r="J5664" s="4" t="s">
        <v>12</v>
      </c>
    </row>
    <row r="5665" spans="1:10" x14ac:dyDescent="0.25">
      <c r="A5665" s="2">
        <v>651.55306723691695</v>
      </c>
      <c r="B5665" s="3">
        <v>-0.41167550447526502</v>
      </c>
      <c r="C5665" s="5">
        <v>1.39648248797211E-8</v>
      </c>
      <c r="D5665" s="6">
        <v>6.8317128907988194E-8</v>
      </c>
      <c r="E5665" s="3" t="s">
        <v>8079</v>
      </c>
      <c r="F5665" s="3" t="s">
        <v>8080</v>
      </c>
      <c r="G5665" s="3">
        <v>57908</v>
      </c>
      <c r="H5665" s="7" t="str">
        <f>HYPERLINK("http://www.ensembl.org/Mus_musculus/Gene/Summary?db=core;g=ENSMUSG00000015597","ENSMUSG00000015597")</f>
        <v>ENSMUSG00000015597</v>
      </c>
      <c r="I5665" s="7" t="str">
        <f>HYPERLINK("http://www.informatics.jax.org/marker/MGI:1889348","MGI:1889348")</f>
        <v>MGI:1889348</v>
      </c>
      <c r="J5665" s="4" t="s">
        <v>12</v>
      </c>
    </row>
    <row r="5666" spans="1:10" x14ac:dyDescent="0.25">
      <c r="A5666" s="2">
        <v>2480.3344417770199</v>
      </c>
      <c r="B5666" s="3">
        <v>-0.41205568476724103</v>
      </c>
      <c r="C5666" s="5">
        <v>1.6235562128573699E-8</v>
      </c>
      <c r="D5666" s="6">
        <v>7.9014137506286604E-8</v>
      </c>
      <c r="E5666" s="3" t="s">
        <v>8121</v>
      </c>
      <c r="F5666" s="3" t="s">
        <v>8122</v>
      </c>
      <c r="G5666" s="3">
        <v>66848</v>
      </c>
      <c r="H5666" s="7" t="str">
        <f>HYPERLINK("http://www.ensembl.org/Mus_musculus/Gene/Summary?db=core;g=ENSMUSG00000019810","ENSMUSG00000019810")</f>
        <v>ENSMUSG00000019810</v>
      </c>
      <c r="I5666" s="7" t="str">
        <f>HYPERLINK("http://www.informatics.jax.org/marker/MGI:1914098","MGI:1914098")</f>
        <v>MGI:1914098</v>
      </c>
      <c r="J5666" s="4" t="s">
        <v>12</v>
      </c>
    </row>
    <row r="5667" spans="1:10" x14ac:dyDescent="0.25">
      <c r="A5667" s="2">
        <v>41.606142743769297</v>
      </c>
      <c r="B5667" s="3">
        <v>-0.412231818262348</v>
      </c>
      <c r="C5667" s="3">
        <v>1.9250248207449E-2</v>
      </c>
      <c r="D5667" s="4">
        <v>4.5100973583330699E-2</v>
      </c>
      <c r="E5667" s="3" t="s">
        <v>16838</v>
      </c>
      <c r="F5667" s="3" t="s">
        <v>16839</v>
      </c>
      <c r="G5667" s="3">
        <v>73729</v>
      </c>
      <c r="H5667" s="7" t="str">
        <f>HYPERLINK("http://www.ensembl.org/Mus_musculus/Gene/Summary?db=core;g=ENSMUSG00000099689","ENSMUSG00000099689")</f>
        <v>ENSMUSG00000099689</v>
      </c>
      <c r="I5667" s="7" t="str">
        <f>HYPERLINK("http://www.informatics.jax.org/marker/MGI:1920979","MGI:1920979")</f>
        <v>MGI:1920979</v>
      </c>
      <c r="J5667" s="4" t="s">
        <v>12</v>
      </c>
    </row>
    <row r="5668" spans="1:10" x14ac:dyDescent="0.25">
      <c r="A5668" s="2">
        <v>56.708764407649099</v>
      </c>
      <c r="B5668" s="3">
        <v>-0.412260392256804</v>
      </c>
      <c r="C5668" s="3">
        <v>1.5769342682340402E-2</v>
      </c>
      <c r="D5668" s="4">
        <v>3.7652432218882703E-2</v>
      </c>
      <c r="E5668" s="3" t="s">
        <v>16517</v>
      </c>
      <c r="F5668" s="3" t="s">
        <v>16518</v>
      </c>
      <c r="G5668" s="3" t="s">
        <v>83</v>
      </c>
      <c r="H5668" s="7" t="str">
        <f>HYPERLINK("http://www.ensembl.org/Mus_musculus/Gene/Summary?db=core;g=ENSMUSG00000117873","ENSMUSG00000117873")</f>
        <v>ENSMUSG00000117873</v>
      </c>
      <c r="I5668" s="7" t="str">
        <f>HYPERLINK("http://www.informatics.jax.org/marker/MGI:5825565","MGI:5825565")</f>
        <v>MGI:5825565</v>
      </c>
      <c r="J5668" s="4" t="s">
        <v>12</v>
      </c>
    </row>
    <row r="5669" spans="1:10" x14ac:dyDescent="0.25">
      <c r="A5669" s="2">
        <v>5740.8286083834</v>
      </c>
      <c r="B5669" s="3">
        <v>-0.41241042767124603</v>
      </c>
      <c r="C5669" s="5">
        <v>2.8537216832560201E-17</v>
      </c>
      <c r="D5669" s="6">
        <v>2.4693019567270199E-16</v>
      </c>
      <c r="E5669" s="3" t="s">
        <v>4575</v>
      </c>
      <c r="F5669" s="3" t="s">
        <v>4576</v>
      </c>
      <c r="G5669" s="3">
        <v>21849</v>
      </c>
      <c r="H5669" s="7" t="str">
        <f>HYPERLINK("http://www.ensembl.org/Mus_musculus/Gene/Summary?db=core;g=ENSMUSG00000005566","ENSMUSG00000005566")</f>
        <v>ENSMUSG00000005566</v>
      </c>
      <c r="I5669" s="7" t="str">
        <f>HYPERLINK("http://www.informatics.jax.org/marker/MGI:109274","MGI:109274")</f>
        <v>MGI:109274</v>
      </c>
      <c r="J5669" s="4" t="s">
        <v>12</v>
      </c>
    </row>
    <row r="5670" spans="1:10" x14ac:dyDescent="0.25">
      <c r="A5670" s="2">
        <v>1405.6708636226001</v>
      </c>
      <c r="B5670" s="3">
        <v>-0.41251033727034497</v>
      </c>
      <c r="C5670" s="5">
        <v>9.5881343918671589E-7</v>
      </c>
      <c r="D5670" s="6">
        <v>3.9722271052021099E-6</v>
      </c>
      <c r="E5670" s="3" t="s">
        <v>9533</v>
      </c>
      <c r="F5670" s="3" t="s">
        <v>9534</v>
      </c>
      <c r="G5670" s="3">
        <v>21745</v>
      </c>
      <c r="H5670" s="7" t="str">
        <f>HYPERLINK("http://www.ensembl.org/Mus_musculus/Gene/Summary?db=core;g=ENSMUSG00000006281","ENSMUSG00000006281")</f>
        <v>ENSMUSG00000006281</v>
      </c>
      <c r="I5670" s="7" t="str">
        <f>HYPERLINK("http://www.informatics.jax.org/marker/MGI:109573","MGI:109573")</f>
        <v>MGI:109573</v>
      </c>
      <c r="J5670" s="4" t="s">
        <v>12</v>
      </c>
    </row>
    <row r="5671" spans="1:10" x14ac:dyDescent="0.25">
      <c r="A5671" s="2">
        <v>621.68824004215503</v>
      </c>
      <c r="B5671" s="3">
        <v>-0.41254434371948601</v>
      </c>
      <c r="C5671" s="5">
        <v>7.2109997182363296E-12</v>
      </c>
      <c r="D5671" s="6">
        <v>4.5577216167827102E-11</v>
      </c>
      <c r="E5671" s="3" t="s">
        <v>6257</v>
      </c>
      <c r="F5671" s="3" t="s">
        <v>6258</v>
      </c>
      <c r="G5671" s="3">
        <v>20280</v>
      </c>
      <c r="H5671" s="7" t="str">
        <f>HYPERLINK("http://www.ensembl.org/Mus_musculus/Gene/Summary?db=core;g=ENSMUSG00000028603","ENSMUSG00000028603")</f>
        <v>ENSMUSG00000028603</v>
      </c>
      <c r="I5671" s="7" t="str">
        <f>HYPERLINK("http://www.informatics.jax.org/marker/MGI:98254","MGI:98254")</f>
        <v>MGI:98254</v>
      </c>
      <c r="J5671" s="4" t="s">
        <v>12</v>
      </c>
    </row>
    <row r="5672" spans="1:10" x14ac:dyDescent="0.25">
      <c r="A5672" s="2">
        <v>974.45737631672296</v>
      </c>
      <c r="B5672" s="3">
        <v>-0.41254729949100399</v>
      </c>
      <c r="C5672" s="3">
        <v>2.0657902188172899E-4</v>
      </c>
      <c r="D5672" s="4">
        <v>6.6969230831953001E-4</v>
      </c>
      <c r="E5672" s="3" t="s">
        <v>12177</v>
      </c>
      <c r="F5672" s="3" t="s">
        <v>12178</v>
      </c>
      <c r="G5672" s="3">
        <v>50794</v>
      </c>
      <c r="H5672" s="7" t="str">
        <f>HYPERLINK("http://www.ensembl.org/Mus_musculus/Gene/Summary?db=core;g=ENSMUSG00000052040","ENSMUSG00000052040")</f>
        <v>ENSMUSG00000052040</v>
      </c>
      <c r="I5672" s="7" t="str">
        <f>HYPERLINK("http://www.informatics.jax.org/marker/MGI:1354948","MGI:1354948")</f>
        <v>MGI:1354948</v>
      </c>
      <c r="J5672" s="4" t="s">
        <v>12</v>
      </c>
    </row>
    <row r="5673" spans="1:10" x14ac:dyDescent="0.25">
      <c r="A5673" s="2">
        <v>1795.4144663224799</v>
      </c>
      <c r="B5673" s="3">
        <v>-0.41359482137523301</v>
      </c>
      <c r="C5673" s="5">
        <v>8.4735652933050002E-16</v>
      </c>
      <c r="D5673" s="6">
        <v>6.76512986169937E-15</v>
      </c>
      <c r="E5673" s="3" t="s">
        <v>4957</v>
      </c>
      <c r="F5673" s="3" t="s">
        <v>4958</v>
      </c>
      <c r="G5673" s="3">
        <v>11306</v>
      </c>
      <c r="H5673" s="7" t="str">
        <f>HYPERLINK("http://www.ensembl.org/Mus_musculus/Gene/Summary?db=core;g=ENSMUSG00000031333","ENSMUSG00000031333")</f>
        <v>ENSMUSG00000031333</v>
      </c>
      <c r="I5673" s="7" t="str">
        <f>HYPERLINK("http://www.informatics.jax.org/marker/MGI:109533","MGI:109533")</f>
        <v>MGI:109533</v>
      </c>
      <c r="J5673" s="4" t="s">
        <v>12</v>
      </c>
    </row>
    <row r="5674" spans="1:10" x14ac:dyDescent="0.25">
      <c r="A5674" s="2">
        <v>1411.8026544550501</v>
      </c>
      <c r="B5674" s="3">
        <v>-0.41378138910835799</v>
      </c>
      <c r="C5674" s="5">
        <v>2.2852517770496601E-6</v>
      </c>
      <c r="D5674" s="6">
        <v>9.1280463932386496E-6</v>
      </c>
      <c r="E5674" s="3" t="s">
        <v>9889</v>
      </c>
      <c r="F5674" s="3" t="s">
        <v>9890</v>
      </c>
      <c r="G5674" s="3">
        <v>12453</v>
      </c>
      <c r="H5674" s="7" t="str">
        <f>HYPERLINK("http://www.ensembl.org/Mus_musculus/Gene/Summary?db=core;g=ENSMUSG00000063015","ENSMUSG00000063015")</f>
        <v>ENSMUSG00000063015</v>
      </c>
      <c r="I5674" s="7" t="str">
        <f>HYPERLINK("http://www.informatics.jax.org/marker/MGI:1341077","MGI:1341077")</f>
        <v>MGI:1341077</v>
      </c>
      <c r="J5674" s="4" t="s">
        <v>12</v>
      </c>
    </row>
    <row r="5675" spans="1:10" x14ac:dyDescent="0.25">
      <c r="A5675" s="2">
        <v>742.03425561889503</v>
      </c>
      <c r="B5675" s="3">
        <v>-0.414161640034788</v>
      </c>
      <c r="C5675" s="5">
        <v>8.4134792538641101E-9</v>
      </c>
      <c r="D5675" s="6">
        <v>4.2003496426886098E-8</v>
      </c>
      <c r="E5675" s="3" t="s">
        <v>7916</v>
      </c>
      <c r="F5675" s="3" t="s">
        <v>7917</v>
      </c>
      <c r="G5675" s="3">
        <v>237943</v>
      </c>
      <c r="H5675" s="7" t="str">
        <f>HYPERLINK("http://www.ensembl.org/Mus_musculus/Gene/Summary?db=core;g=ENSMUSG00000034621","ENSMUSG00000034621")</f>
        <v>ENSMUSG00000034621</v>
      </c>
      <c r="I5675" s="7" t="str">
        <f>HYPERLINK("http://www.informatics.jax.org/marker/MGI:1918667","MGI:1918667")</f>
        <v>MGI:1918667</v>
      </c>
      <c r="J5675" s="4" t="s">
        <v>12</v>
      </c>
    </row>
    <row r="5676" spans="1:10" x14ac:dyDescent="0.25">
      <c r="A5676" s="2">
        <v>2920.2368770646499</v>
      </c>
      <c r="B5676" s="3">
        <v>-0.41437903214599497</v>
      </c>
      <c r="C5676" s="5">
        <v>2.44968988977131E-11</v>
      </c>
      <c r="D5676" s="6">
        <v>1.4923659136944799E-10</v>
      </c>
      <c r="E5676" s="3" t="s">
        <v>6491</v>
      </c>
      <c r="F5676" s="3" t="s">
        <v>6492</v>
      </c>
      <c r="G5676" s="3">
        <v>216869</v>
      </c>
      <c r="H5676" s="7" t="str">
        <f>HYPERLINK("http://www.ensembl.org/Mus_musculus/Gene/Summary?db=core;g=ENSMUSG00000060216","ENSMUSG00000060216")</f>
        <v>ENSMUSG00000060216</v>
      </c>
      <c r="I5676" s="7" t="str">
        <f>HYPERLINK("http://www.informatics.jax.org/marker/MGI:99474","MGI:99474")</f>
        <v>MGI:99474</v>
      </c>
      <c r="J5676" s="4" t="s">
        <v>12</v>
      </c>
    </row>
    <row r="5677" spans="1:10" x14ac:dyDescent="0.25">
      <c r="A5677" s="2">
        <v>165.833687432657</v>
      </c>
      <c r="B5677" s="3">
        <v>-0.41466979055223002</v>
      </c>
      <c r="C5677" s="3">
        <v>2.2438666492192899E-4</v>
      </c>
      <c r="D5677" s="4">
        <v>7.2456280207310205E-4</v>
      </c>
      <c r="E5677" s="3" t="s">
        <v>12225</v>
      </c>
      <c r="F5677" s="3" t="s">
        <v>12226</v>
      </c>
      <c r="G5677" s="3">
        <v>51875</v>
      </c>
      <c r="H5677" s="7" t="str">
        <f>HYPERLINK("http://www.ensembl.org/Mus_musculus/Gene/Summary?db=core;g=ENSMUSG00000026939","ENSMUSG00000026939")</f>
        <v>ENSMUSG00000026939</v>
      </c>
      <c r="I5677" s="7" t="str">
        <f>HYPERLINK("http://www.informatics.jax.org/marker/MGI:1098773","MGI:1098773")</f>
        <v>MGI:1098773</v>
      </c>
      <c r="J5677" s="4" t="s">
        <v>12</v>
      </c>
    </row>
    <row r="5678" spans="1:10" x14ac:dyDescent="0.25">
      <c r="A5678" s="2">
        <v>2049.5563864617502</v>
      </c>
      <c r="B5678" s="3">
        <v>-0.414713526655061</v>
      </c>
      <c r="C5678" s="5">
        <v>2.6632204565266501E-19</v>
      </c>
      <c r="D5678" s="6">
        <v>2.5600407719000202E-18</v>
      </c>
      <c r="E5678" s="3" t="s">
        <v>4119</v>
      </c>
      <c r="F5678" s="3" t="s">
        <v>4120</v>
      </c>
      <c r="G5678" s="3">
        <v>72055</v>
      </c>
      <c r="H5678" s="7" t="str">
        <f>HYPERLINK("http://www.ensembl.org/Mus_musculus/Gene/Summary?db=core;g=ENSMUSG00000061306","ENSMUSG00000061306")</f>
        <v>ENSMUSG00000061306</v>
      </c>
      <c r="I5678" s="7" t="str">
        <f>HYPERLINK("http://www.informatics.jax.org/marker/MGI:1919305","MGI:1919305")</f>
        <v>MGI:1919305</v>
      </c>
      <c r="J5678" s="4" t="s">
        <v>12</v>
      </c>
    </row>
    <row r="5679" spans="1:10" x14ac:dyDescent="0.25">
      <c r="A5679" s="2">
        <v>1097.0621001241</v>
      </c>
      <c r="B5679" s="3">
        <v>-0.41477215682861102</v>
      </c>
      <c r="C5679" s="5">
        <v>2.2961093083557802E-5</v>
      </c>
      <c r="D5679" s="6">
        <v>8.3035531928802404E-5</v>
      </c>
      <c r="E5679" s="3" t="s">
        <v>10918</v>
      </c>
      <c r="F5679" s="3" t="s">
        <v>10919</v>
      </c>
      <c r="G5679" s="3">
        <v>65960</v>
      </c>
      <c r="H5679" s="7" t="str">
        <f>HYPERLINK("http://www.ensembl.org/Mus_musculus/Gene/Summary?db=core;g=ENSMUSG00000024098","ENSMUSG00000024098")</f>
        <v>ENSMUSG00000024098</v>
      </c>
      <c r="I5679" s="7" t="str">
        <f>HYPERLINK("http://www.informatics.jax.org/marker/MGI:2137520","MGI:2137520")</f>
        <v>MGI:2137520</v>
      </c>
      <c r="J5679" s="4" t="s">
        <v>12</v>
      </c>
    </row>
    <row r="5680" spans="1:10" x14ac:dyDescent="0.25">
      <c r="A5680" s="2">
        <v>478.28078517027399</v>
      </c>
      <c r="B5680" s="3">
        <v>-0.41492868980684</v>
      </c>
      <c r="C5680" s="5">
        <v>5.4838773922473796E-6</v>
      </c>
      <c r="D5680" s="6">
        <v>2.1100890180510899E-5</v>
      </c>
      <c r="E5680" s="3" t="s">
        <v>10264</v>
      </c>
      <c r="F5680" s="3" t="s">
        <v>10265</v>
      </c>
      <c r="G5680" s="3">
        <v>53881</v>
      </c>
      <c r="H5680" s="7" t="str">
        <f>HYPERLINK("http://www.ensembl.org/Mus_musculus/Gene/Summary?db=core;g=ENSMUSG00000089774","ENSMUSG00000089774")</f>
        <v>ENSMUSG00000089774</v>
      </c>
      <c r="I5680" s="7" t="str">
        <f>HYPERLINK("http://www.informatics.jax.org/marker/MGI:1858226","MGI:1858226")</f>
        <v>MGI:1858226</v>
      </c>
      <c r="J5680" s="4" t="s">
        <v>12</v>
      </c>
    </row>
    <row r="5681" spans="1:10" x14ac:dyDescent="0.25">
      <c r="A5681" s="2">
        <v>1318.2906669054801</v>
      </c>
      <c r="B5681" s="3">
        <v>-0.41499061395141101</v>
      </c>
      <c r="C5681" s="5">
        <v>4.4076549167466901E-10</v>
      </c>
      <c r="D5681" s="6">
        <v>2.4272257737571802E-9</v>
      </c>
      <c r="E5681" s="3" t="s">
        <v>7180</v>
      </c>
      <c r="F5681" s="3" t="s">
        <v>7181</v>
      </c>
      <c r="G5681" s="3">
        <v>212531</v>
      </c>
      <c r="H5681" s="7" t="str">
        <f>HYPERLINK("http://www.ensembl.org/Mus_musculus/Gene/Summary?db=core;g=ENSMUSG00000032261","ENSMUSG00000032261")</f>
        <v>ENSMUSG00000032261</v>
      </c>
      <c r="I5681" s="7" t="str">
        <f>HYPERLINK("http://www.informatics.jax.org/marker/MGI:1915350","MGI:1915350")</f>
        <v>MGI:1915350</v>
      </c>
      <c r="J5681" s="4" t="s">
        <v>12</v>
      </c>
    </row>
    <row r="5682" spans="1:10" x14ac:dyDescent="0.25">
      <c r="A5682" s="2">
        <v>1717.70105736764</v>
      </c>
      <c r="B5682" s="3">
        <v>-0.41503511337176602</v>
      </c>
      <c r="C5682" s="5">
        <v>2.1238515951061701E-15</v>
      </c>
      <c r="D5682" s="6">
        <v>1.6666276743133199E-14</v>
      </c>
      <c r="E5682" s="3" t="s">
        <v>5043</v>
      </c>
      <c r="F5682" s="3" t="s">
        <v>5044</v>
      </c>
      <c r="G5682" s="3">
        <v>70999</v>
      </c>
      <c r="H5682" s="7" t="str">
        <f>HYPERLINK("http://www.ensembl.org/Mus_musculus/Gene/Summary?db=core;g=ENSMUSG00000024764","ENSMUSG00000024764")</f>
        <v>ENSMUSG00000024764</v>
      </c>
      <c r="I5682" s="7" t="str">
        <f>HYPERLINK("http://www.informatics.jax.org/marker/MGI:1918249","MGI:1918249")</f>
        <v>MGI:1918249</v>
      </c>
      <c r="J5682" s="4" t="s">
        <v>12</v>
      </c>
    </row>
    <row r="5683" spans="1:10" x14ac:dyDescent="0.25">
      <c r="A5683" s="2">
        <v>878.40406653241098</v>
      </c>
      <c r="B5683" s="3">
        <v>-0.41518050418423802</v>
      </c>
      <c r="C5683" s="5">
        <v>5.5158273353445899E-12</v>
      </c>
      <c r="D5683" s="6">
        <v>3.51558225769216E-11</v>
      </c>
      <c r="E5683" s="3" t="s">
        <v>6205</v>
      </c>
      <c r="F5683" s="3" t="s">
        <v>6206</v>
      </c>
      <c r="G5683" s="3">
        <v>69125</v>
      </c>
      <c r="H5683" s="7" t="str">
        <f>HYPERLINK("http://www.ensembl.org/Mus_musculus/Gene/Summary?db=core;g=ENSMUSG00000020515","ENSMUSG00000020515")</f>
        <v>ENSMUSG00000020515</v>
      </c>
      <c r="I5683" s="7" t="str">
        <f>HYPERLINK("http://www.informatics.jax.org/marker/MGI:1916375","MGI:1916375")</f>
        <v>MGI:1916375</v>
      </c>
      <c r="J5683" s="4" t="s">
        <v>12</v>
      </c>
    </row>
    <row r="5684" spans="1:10" x14ac:dyDescent="0.25">
      <c r="A5684" s="2">
        <v>1283.02593567092</v>
      </c>
      <c r="B5684" s="3">
        <v>-0.415438990570277</v>
      </c>
      <c r="C5684" s="3">
        <v>4.5943151788954799E-3</v>
      </c>
      <c r="D5684" s="4">
        <v>1.22234073566944E-2</v>
      </c>
      <c r="E5684" s="3" t="s">
        <v>14828</v>
      </c>
      <c r="F5684" s="3" t="s">
        <v>14829</v>
      </c>
      <c r="G5684" s="3">
        <v>404710</v>
      </c>
      <c r="H5684" s="7" t="str">
        <f>HYPERLINK("http://www.ensembl.org/Mus_musculus/Gene/Summary?db=core;g=ENSMUSG00000028068","ENSMUSG00000028068")</f>
        <v>ENSMUSG00000028068</v>
      </c>
      <c r="I5684" s="7" t="str">
        <f>HYPERLINK("http://www.informatics.jax.org/marker/MGI:3028642","MGI:3028642")</f>
        <v>MGI:3028642</v>
      </c>
      <c r="J5684" s="4" t="s">
        <v>12</v>
      </c>
    </row>
    <row r="5685" spans="1:10" x14ac:dyDescent="0.25">
      <c r="A5685" s="2">
        <v>1255.8370548337</v>
      </c>
      <c r="B5685" s="3">
        <v>-0.41549687665305701</v>
      </c>
      <c r="C5685" s="5">
        <v>1.89267038027077E-10</v>
      </c>
      <c r="D5685" s="6">
        <v>1.07622433387946E-9</v>
      </c>
      <c r="E5685" s="3" t="s">
        <v>6954</v>
      </c>
      <c r="F5685" s="3" t="s">
        <v>6955</v>
      </c>
      <c r="G5685" s="3">
        <v>19766</v>
      </c>
      <c r="H5685" s="7" t="str">
        <f>HYPERLINK("http://www.ensembl.org/Mus_musculus/Gene/Summary?db=core;g=ENSMUSG00000021408","ENSMUSG00000021408")</f>
        <v>ENSMUSG00000021408</v>
      </c>
      <c r="I5685" s="7" t="str">
        <f>HYPERLINK("http://www.informatics.jax.org/marker/MGI:108212","MGI:108212")</f>
        <v>MGI:108212</v>
      </c>
      <c r="J5685" s="4" t="s">
        <v>12</v>
      </c>
    </row>
    <row r="5686" spans="1:10" x14ac:dyDescent="0.25">
      <c r="A5686" s="2">
        <v>661.27002474691403</v>
      </c>
      <c r="B5686" s="3">
        <v>-0.415806728992829</v>
      </c>
      <c r="C5686" s="5">
        <v>2.7904291675893202E-7</v>
      </c>
      <c r="D5686" s="6">
        <v>1.2211998043688699E-6</v>
      </c>
      <c r="E5686" s="3" t="s">
        <v>9027</v>
      </c>
      <c r="F5686" s="3" t="s">
        <v>9028</v>
      </c>
      <c r="G5686" s="3">
        <v>78586</v>
      </c>
      <c r="H5686" s="7" t="str">
        <f>HYPERLINK("http://www.ensembl.org/Mus_musculus/Gene/Summary?db=core;g=ENSMUSG00000024135","ENSMUSG00000024135")</f>
        <v>ENSMUSG00000024135</v>
      </c>
      <c r="I5686" s="7" t="str">
        <f>HYPERLINK("http://www.informatics.jax.org/marker/MGI:1925836","MGI:1925836")</f>
        <v>MGI:1925836</v>
      </c>
      <c r="J5686" s="4" t="s">
        <v>12</v>
      </c>
    </row>
    <row r="5687" spans="1:10" x14ac:dyDescent="0.25">
      <c r="A5687" s="2">
        <v>488.59993774323902</v>
      </c>
      <c r="B5687" s="3">
        <v>-0.41593578168184098</v>
      </c>
      <c r="C5687" s="5">
        <v>5.3273893479015203E-7</v>
      </c>
      <c r="D5687" s="6">
        <v>2.2680509054537598E-6</v>
      </c>
      <c r="E5687" s="3" t="s">
        <v>9279</v>
      </c>
      <c r="F5687" s="3" t="s">
        <v>9280</v>
      </c>
      <c r="G5687" s="3">
        <v>217031</v>
      </c>
      <c r="H5687" s="7" t="str">
        <f>HYPERLINK("http://www.ensembl.org/Mus_musculus/Gene/Summary?db=core;g=ENSMUSG00000018651","ENSMUSG00000018651")</f>
        <v>ENSMUSG00000018651</v>
      </c>
      <c r="I5687" s="7" t="str">
        <f>HYPERLINK("http://www.informatics.jax.org/marker/MGI:2144471","MGI:2144471")</f>
        <v>MGI:2144471</v>
      </c>
      <c r="J5687" s="4" t="s">
        <v>12</v>
      </c>
    </row>
    <row r="5688" spans="1:10" x14ac:dyDescent="0.25">
      <c r="A5688" s="2">
        <v>1110.3063530930301</v>
      </c>
      <c r="B5688" s="3">
        <v>-0.41664585262432602</v>
      </c>
      <c r="C5688" s="5">
        <v>4.9248680927976002E-12</v>
      </c>
      <c r="D5688" s="6">
        <v>3.1562690539476301E-11</v>
      </c>
      <c r="E5688" s="3" t="s">
        <v>6171</v>
      </c>
      <c r="F5688" s="3" t="s">
        <v>6172</v>
      </c>
      <c r="G5688" s="3">
        <v>18759</v>
      </c>
      <c r="H5688" s="7" t="str">
        <f>HYPERLINK("http://www.ensembl.org/Mus_musculus/Gene/Summary?db=core;g=ENSMUSG00000037643","ENSMUSG00000037643")</f>
        <v>ENSMUSG00000037643</v>
      </c>
      <c r="I5688" s="7" t="str">
        <f>HYPERLINK("http://www.informatics.jax.org/marker/MGI:99260","MGI:99260")</f>
        <v>MGI:99260</v>
      </c>
      <c r="J5688" s="4" t="s">
        <v>12</v>
      </c>
    </row>
    <row r="5689" spans="1:10" x14ac:dyDescent="0.25">
      <c r="A5689" s="2">
        <v>295.58004545594503</v>
      </c>
      <c r="B5689" s="3">
        <v>-0.416691224528625</v>
      </c>
      <c r="C5689" s="5">
        <v>8.4725231639099303E-6</v>
      </c>
      <c r="D5689" s="6">
        <v>3.1995051090061998E-5</v>
      </c>
      <c r="E5689" s="3" t="s">
        <v>10458</v>
      </c>
      <c r="F5689" s="3" t="s">
        <v>10459</v>
      </c>
      <c r="G5689" s="3">
        <v>78038</v>
      </c>
      <c r="H5689" s="7" t="str">
        <f>HYPERLINK("http://www.ensembl.org/Mus_musculus/Gene/Summary?db=core;g=ENSMUSG00000021646","ENSMUSG00000021646")</f>
        <v>ENSMUSG00000021646</v>
      </c>
      <c r="I5689" s="7" t="str">
        <f>HYPERLINK("http://www.informatics.jax.org/marker/MGI:1925288","MGI:1925288")</f>
        <v>MGI:1925288</v>
      </c>
      <c r="J5689" s="4" t="s">
        <v>12</v>
      </c>
    </row>
    <row r="5690" spans="1:10" x14ac:dyDescent="0.25">
      <c r="A5690" s="2">
        <v>506.75209884047598</v>
      </c>
      <c r="B5690" s="3">
        <v>-0.41679329487578398</v>
      </c>
      <c r="C5690" s="5">
        <v>3.2635839971024399E-7</v>
      </c>
      <c r="D5690" s="6">
        <v>1.41945029604897E-6</v>
      </c>
      <c r="E5690" s="3" t="s">
        <v>9083</v>
      </c>
      <c r="F5690" s="3" t="s">
        <v>9084</v>
      </c>
      <c r="G5690" s="3">
        <v>67247</v>
      </c>
      <c r="H5690" s="7" t="str">
        <f>HYPERLINK("http://www.ensembl.org/Mus_musculus/Gene/Summary?db=core;g=ENSMUSG00000073481","ENSMUSG00000073481")</f>
        <v>ENSMUSG00000073481</v>
      </c>
      <c r="I5690" s="7" t="str">
        <f>HYPERLINK("http://www.informatics.jax.org/marker/MGI:1914497","MGI:1914497")</f>
        <v>MGI:1914497</v>
      </c>
      <c r="J5690" s="4" t="s">
        <v>12</v>
      </c>
    </row>
    <row r="5691" spans="1:10" x14ac:dyDescent="0.25">
      <c r="A5691" s="2">
        <v>926.18111251667801</v>
      </c>
      <c r="B5691" s="3">
        <v>-0.41713169621195201</v>
      </c>
      <c r="C5691" s="5">
        <v>2.8994087489861001E-11</v>
      </c>
      <c r="D5691" s="6">
        <v>1.7549521341315501E-10</v>
      </c>
      <c r="E5691" s="3" t="s">
        <v>6533</v>
      </c>
      <c r="F5691" s="3" t="s">
        <v>6534</v>
      </c>
      <c r="G5691" s="3">
        <v>223921</v>
      </c>
      <c r="H5691" s="7" t="str">
        <f>HYPERLINK("http://www.ensembl.org/Mus_musculus/Gene/Summary?db=core;g=ENSMUSG00000036678","ENSMUSG00000036678")</f>
        <v>ENSMUSG00000036678</v>
      </c>
      <c r="I5691" s="7" t="str">
        <f>HYPERLINK("http://www.informatics.jax.org/marker/MGI:2443767","MGI:2443767")</f>
        <v>MGI:2443767</v>
      </c>
      <c r="J5691" s="4" t="s">
        <v>12</v>
      </c>
    </row>
    <row r="5692" spans="1:10" x14ac:dyDescent="0.25">
      <c r="A5692" s="2">
        <v>583.05349147254105</v>
      </c>
      <c r="B5692" s="3">
        <v>-0.41725321870202697</v>
      </c>
      <c r="C5692" s="5">
        <v>1.52875654142915E-9</v>
      </c>
      <c r="D5692" s="6">
        <v>8.0779954439932698E-9</v>
      </c>
      <c r="E5692" s="3" t="s">
        <v>7482</v>
      </c>
      <c r="F5692" s="3" t="s">
        <v>7483</v>
      </c>
      <c r="G5692" s="3">
        <v>72486</v>
      </c>
      <c r="H5692" s="7" t="str">
        <f>HYPERLINK("http://www.ensembl.org/Mus_musculus/Gene/Summary?db=core;g=ENSMUSG00000022120","ENSMUSG00000022120")</f>
        <v>ENSMUSG00000022120</v>
      </c>
      <c r="I5692" s="7" t="str">
        <f>HYPERLINK("http://www.informatics.jax.org/marker/MGI:1919736","MGI:1919736")</f>
        <v>MGI:1919736</v>
      </c>
      <c r="J5692" s="4" t="s">
        <v>12</v>
      </c>
    </row>
    <row r="5693" spans="1:10" x14ac:dyDescent="0.25">
      <c r="A5693" s="2">
        <v>99.879196109367896</v>
      </c>
      <c r="B5693" s="3">
        <v>-0.41726097008412599</v>
      </c>
      <c r="C5693" s="3">
        <v>2.1650076731726301E-3</v>
      </c>
      <c r="D5693" s="4">
        <v>6.0843596002514199E-3</v>
      </c>
      <c r="E5693" s="3" t="s">
        <v>14041</v>
      </c>
      <c r="F5693" s="3" t="s">
        <v>14042</v>
      </c>
      <c r="G5693" s="3">
        <v>19341</v>
      </c>
      <c r="H5693" s="7" t="str">
        <f>HYPERLINK("http://www.ensembl.org/Mus_musculus/Gene/Summary?db=core;g=ENSMUSG00000019478","ENSMUSG00000019478")</f>
        <v>ENSMUSG00000019478</v>
      </c>
      <c r="I5693" s="7" t="str">
        <f>HYPERLINK("http://www.informatics.jax.org/marker/MGI:105069","MGI:105069")</f>
        <v>MGI:105069</v>
      </c>
      <c r="J5693" s="4" t="s">
        <v>12</v>
      </c>
    </row>
    <row r="5694" spans="1:10" x14ac:dyDescent="0.25">
      <c r="A5694" s="2">
        <v>185.84315856196201</v>
      </c>
      <c r="B5694" s="3">
        <v>-0.41775608456561703</v>
      </c>
      <c r="C5694" s="3">
        <v>1.12180497880651E-4</v>
      </c>
      <c r="D5694" s="4">
        <v>3.7596862987872802E-4</v>
      </c>
      <c r="E5694" s="3" t="s">
        <v>11779</v>
      </c>
      <c r="F5694" s="3" t="s">
        <v>11780</v>
      </c>
      <c r="G5694" s="3">
        <v>66050</v>
      </c>
      <c r="H5694" s="7" t="str">
        <f>HYPERLINK("http://www.ensembl.org/Mus_musculus/Gene/Summary?db=core;g=ENSMUSG00000007777","ENSMUSG00000007777")</f>
        <v>ENSMUSG00000007777</v>
      </c>
      <c r="I5694" s="7" t="str">
        <f>HYPERLINK("http://www.informatics.jax.org/marker/MGI:1913300","MGI:1913300")</f>
        <v>MGI:1913300</v>
      </c>
      <c r="J5694" s="4" t="s">
        <v>12</v>
      </c>
    </row>
    <row r="5695" spans="1:10" x14ac:dyDescent="0.25">
      <c r="A5695" s="2">
        <v>1447.8488323746701</v>
      </c>
      <c r="B5695" s="3">
        <v>-0.41804420026919198</v>
      </c>
      <c r="C5695" s="5">
        <v>3.6208346033208602E-8</v>
      </c>
      <c r="D5695" s="6">
        <v>1.7029062336629501E-7</v>
      </c>
      <c r="E5695" s="3" t="s">
        <v>8403</v>
      </c>
      <c r="F5695" s="3" t="s">
        <v>8404</v>
      </c>
      <c r="G5695" s="3">
        <v>56752</v>
      </c>
      <c r="H5695" s="7" t="str">
        <f>HYPERLINK("http://www.ensembl.org/Mus_musculus/Gene/Summary?db=core;g=ENSMUSG00000026687","ENSMUSG00000026687")</f>
        <v>ENSMUSG00000026687</v>
      </c>
      <c r="I5695" s="7" t="str">
        <f>HYPERLINK("http://www.informatics.jax.org/marker/MGI:1861622","MGI:1861622")</f>
        <v>MGI:1861622</v>
      </c>
      <c r="J5695" s="4" t="s">
        <v>12</v>
      </c>
    </row>
    <row r="5696" spans="1:10" x14ac:dyDescent="0.25">
      <c r="A5696" s="2">
        <v>435.43109742147197</v>
      </c>
      <c r="B5696" s="3">
        <v>-0.41810831730267101</v>
      </c>
      <c r="C5696" s="5">
        <v>1.07593363186339E-9</v>
      </c>
      <c r="D5696" s="6">
        <v>5.76090448556777E-9</v>
      </c>
      <c r="E5696" s="3" t="s">
        <v>7384</v>
      </c>
      <c r="F5696" s="3" t="s">
        <v>7385</v>
      </c>
      <c r="G5696" s="3">
        <v>14894</v>
      </c>
      <c r="H5696" s="7" t="str">
        <f>HYPERLINK("http://www.ensembl.org/Mus_musculus/Gene/Summary?db=core;g=ENSMUSG00000031796","ENSMUSG00000031796")</f>
        <v>ENSMUSG00000031796</v>
      </c>
      <c r="I5696" s="7" t="str">
        <f>HYPERLINK("http://www.informatics.jax.org/marker/MGI:107428","MGI:107428")</f>
        <v>MGI:107428</v>
      </c>
      <c r="J5696" s="4" t="s">
        <v>12</v>
      </c>
    </row>
    <row r="5697" spans="1:10" x14ac:dyDescent="0.25">
      <c r="A5697" s="2">
        <v>54.872057200604601</v>
      </c>
      <c r="B5697" s="3">
        <v>-0.41826738877734898</v>
      </c>
      <c r="C5697" s="3">
        <v>1.4961640619952799E-2</v>
      </c>
      <c r="D5697" s="4">
        <v>3.58933762804707E-2</v>
      </c>
      <c r="E5697" s="3" t="s">
        <v>16445</v>
      </c>
      <c r="F5697" s="3" t="s">
        <v>16446</v>
      </c>
      <c r="G5697" s="3">
        <v>66822</v>
      </c>
      <c r="H5697" s="7" t="str">
        <f>HYPERLINK("http://www.ensembl.org/Mus_musculus/Gene/Summary?db=core;g=ENSMUSG00000038365","ENSMUSG00000038365")</f>
        <v>ENSMUSG00000038365</v>
      </c>
      <c r="I5697" s="7" t="str">
        <f>HYPERLINK("http://www.informatics.jax.org/marker/MGI:1914072","MGI:1914072")</f>
        <v>MGI:1914072</v>
      </c>
      <c r="J5697" s="4" t="s">
        <v>12</v>
      </c>
    </row>
    <row r="5698" spans="1:10" x14ac:dyDescent="0.25">
      <c r="A5698" s="2">
        <v>242.97968041809801</v>
      </c>
      <c r="B5698" s="3">
        <v>-0.418310653003023</v>
      </c>
      <c r="C5698" s="5">
        <v>5.6612790600196903E-6</v>
      </c>
      <c r="D5698" s="6">
        <v>2.1745310296764401E-5</v>
      </c>
      <c r="E5698" s="3" t="s">
        <v>10282</v>
      </c>
      <c r="F5698" s="3" t="s">
        <v>10283</v>
      </c>
      <c r="G5698" s="3">
        <v>245865</v>
      </c>
      <c r="H5698" s="7" t="str">
        <f>HYPERLINK("http://www.ensembl.org/Mus_musculus/Gene/Summary?db=core;g=ENSMUSG00000038180","ENSMUSG00000038180")</f>
        <v>ENSMUSG00000038180</v>
      </c>
      <c r="I5698" s="7" t="str">
        <f>HYPERLINK("http://www.informatics.jax.org/marker/MGI:2444120","MGI:2444120")</f>
        <v>MGI:2444120</v>
      </c>
      <c r="J5698" s="4" t="s">
        <v>12</v>
      </c>
    </row>
    <row r="5699" spans="1:10" x14ac:dyDescent="0.25">
      <c r="A5699" s="2">
        <v>62.170143058681496</v>
      </c>
      <c r="B5699" s="3">
        <v>-0.41860945502371599</v>
      </c>
      <c r="C5699" s="3">
        <v>4.5657900338015199E-3</v>
      </c>
      <c r="D5699" s="4">
        <v>1.21557147923E-2</v>
      </c>
      <c r="E5699" s="3" t="s">
        <v>14818</v>
      </c>
      <c r="F5699" s="3" t="s">
        <v>14819</v>
      </c>
      <c r="G5699" s="3">
        <v>102638847</v>
      </c>
      <c r="H5699" s="7" t="str">
        <f>HYPERLINK("http://www.ensembl.org/Mus_musculus/Gene/Summary?db=core;g=ENSMUSG00000109771","ENSMUSG00000109771")</f>
        <v>ENSMUSG00000109771</v>
      </c>
      <c r="I5699" s="7" t="str">
        <f>HYPERLINK("http://www.informatics.jax.org/marker/MGI:5594474","MGI:5594474")</f>
        <v>MGI:5594474</v>
      </c>
      <c r="J5699" s="4" t="s">
        <v>12</v>
      </c>
    </row>
    <row r="5700" spans="1:10" x14ac:dyDescent="0.25">
      <c r="A5700" s="2">
        <v>71.428015299665901</v>
      </c>
      <c r="B5700" s="3">
        <v>-0.41875999796393898</v>
      </c>
      <c r="C5700" s="3">
        <v>2.0758082547356399E-3</v>
      </c>
      <c r="D5700" s="4">
        <v>5.8470131100395303E-3</v>
      </c>
      <c r="E5700" s="3" t="s">
        <v>14009</v>
      </c>
      <c r="F5700" s="3" t="s">
        <v>14010</v>
      </c>
      <c r="G5700" s="3">
        <v>54218</v>
      </c>
      <c r="H5700" s="7" t="str">
        <f>HYPERLINK("http://www.ensembl.org/Mus_musculus/Gene/Summary?db=core;g=ENSMUSG00000067370","ENSMUSG00000067370")</f>
        <v>ENSMUSG00000067370</v>
      </c>
      <c r="I5700" s="7" t="str">
        <f>HYPERLINK("http://www.informatics.jax.org/marker/MGI:1859517","MGI:1859517")</f>
        <v>MGI:1859517</v>
      </c>
      <c r="J5700" s="4" t="s">
        <v>12</v>
      </c>
    </row>
    <row r="5701" spans="1:10" x14ac:dyDescent="0.25">
      <c r="A5701" s="2">
        <v>5828.5697832771602</v>
      </c>
      <c r="B5701" s="3">
        <v>-0.41919951464874999</v>
      </c>
      <c r="C5701" s="5">
        <v>4.7128852455290499E-14</v>
      </c>
      <c r="D5701" s="6">
        <v>3.4243956168692998E-13</v>
      </c>
      <c r="E5701" s="3" t="s">
        <v>5445</v>
      </c>
      <c r="F5701" s="3" t="s">
        <v>5446</v>
      </c>
      <c r="G5701" s="3">
        <v>20874</v>
      </c>
      <c r="H5701" s="7" t="str">
        <f>HYPERLINK("http://www.ensembl.org/Mus_musculus/Gene/Summary?db=core;g=ENSMUSG00000025060","ENSMUSG00000025060")</f>
        <v>ENSMUSG00000025060</v>
      </c>
      <c r="I5701" s="7" t="str">
        <f>HYPERLINK("http://www.informatics.jax.org/marker/MGI:103241","MGI:103241")</f>
        <v>MGI:103241</v>
      </c>
      <c r="J5701" s="4" t="s">
        <v>12</v>
      </c>
    </row>
    <row r="5702" spans="1:10" x14ac:dyDescent="0.25">
      <c r="A5702" s="2">
        <v>739.30572523272895</v>
      </c>
      <c r="B5702" s="3">
        <v>-0.41942275401323897</v>
      </c>
      <c r="C5702" s="5">
        <v>3.8849514436270201E-13</v>
      </c>
      <c r="D5702" s="6">
        <v>2.6740398767303602E-12</v>
      </c>
      <c r="E5702" s="3" t="s">
        <v>5747</v>
      </c>
      <c r="F5702" s="3" t="s">
        <v>5748</v>
      </c>
      <c r="G5702" s="3">
        <v>15193</v>
      </c>
      <c r="H5702" s="7" t="str">
        <f>HYPERLINK("http://www.ensembl.org/Mus_musculus/Gene/Summary?db=core;g=ENSMUSG00000002833","ENSMUSG00000002833")</f>
        <v>ENSMUSG00000002833</v>
      </c>
      <c r="I5702" s="7" t="str">
        <f>HYPERLINK("http://www.informatics.jax.org/marker/MGI:1194492","MGI:1194492")</f>
        <v>MGI:1194492</v>
      </c>
      <c r="J5702" s="4" t="s">
        <v>12</v>
      </c>
    </row>
    <row r="5703" spans="1:10" x14ac:dyDescent="0.25">
      <c r="A5703" s="2">
        <v>152.58887995044199</v>
      </c>
      <c r="B5703" s="3">
        <v>-0.41946215376551899</v>
      </c>
      <c r="C5703" s="3">
        <v>4.2791587030695997E-4</v>
      </c>
      <c r="D5703" s="4">
        <v>1.3295259118407501E-3</v>
      </c>
      <c r="E5703" s="3" t="s">
        <v>12707</v>
      </c>
      <c r="F5703" s="3" t="s">
        <v>12708</v>
      </c>
      <c r="G5703" s="3">
        <v>213019</v>
      </c>
      <c r="H5703" s="7" t="str">
        <f>HYPERLINK("http://www.ensembl.org/Mus_musculus/Gene/Summary?db=core;g=ENSMUSG00000022090","ENSMUSG00000022090")</f>
        <v>ENSMUSG00000022090</v>
      </c>
      <c r="I5703" s="7" t="str">
        <f>HYPERLINK("http://www.informatics.jax.org/marker/MGI:2384850","MGI:2384850")</f>
        <v>MGI:2384850</v>
      </c>
      <c r="J5703" s="4" t="s">
        <v>12</v>
      </c>
    </row>
    <row r="5704" spans="1:10" x14ac:dyDescent="0.25">
      <c r="A5704" s="2">
        <v>550.91402104334804</v>
      </c>
      <c r="B5704" s="3">
        <v>-0.41958524956535498</v>
      </c>
      <c r="C5704" s="5">
        <v>6.3027714041417206E-8</v>
      </c>
      <c r="D5704" s="6">
        <v>2.9046658586042198E-7</v>
      </c>
      <c r="E5704" s="3" t="s">
        <v>8575</v>
      </c>
      <c r="F5704" s="3" t="s">
        <v>8576</v>
      </c>
      <c r="G5704" s="3">
        <v>68134</v>
      </c>
      <c r="H5704" s="7" t="str">
        <f>HYPERLINK("http://www.ensembl.org/Mus_musculus/Gene/Summary?db=core;g=ENSMUSG00000036572","ENSMUSG00000036572")</f>
        <v>ENSMUSG00000036572</v>
      </c>
      <c r="I5704" s="7" t="str">
        <f>HYPERLINK("http://www.informatics.jax.org/marker/MGI:1915384","MGI:1915384")</f>
        <v>MGI:1915384</v>
      </c>
      <c r="J5704" s="4" t="s">
        <v>12</v>
      </c>
    </row>
    <row r="5705" spans="1:10" x14ac:dyDescent="0.25">
      <c r="A5705" s="2">
        <v>2047.7651999474101</v>
      </c>
      <c r="B5705" s="3">
        <v>-0.41974639144039699</v>
      </c>
      <c r="C5705" s="5">
        <v>6.6886128044907004E-11</v>
      </c>
      <c r="D5705" s="6">
        <v>3.9337740681347098E-10</v>
      </c>
      <c r="E5705" s="3" t="s">
        <v>6724</v>
      </c>
      <c r="F5705" s="3" t="s">
        <v>6725</v>
      </c>
      <c r="G5705" s="3">
        <v>213109</v>
      </c>
      <c r="H5705" s="7" t="str">
        <f>HYPERLINK("http://www.ensembl.org/Mus_musculus/Gene/Summary?db=core;g=ENSMUSG00000048874","ENSMUSG00000048874")</f>
        <v>ENSMUSG00000048874</v>
      </c>
      <c r="I5705" s="7" t="str">
        <f>HYPERLINK("http://www.informatics.jax.org/marker/MGI:2446126","MGI:2446126")</f>
        <v>MGI:2446126</v>
      </c>
      <c r="J5705" s="4" t="s">
        <v>12</v>
      </c>
    </row>
    <row r="5706" spans="1:10" x14ac:dyDescent="0.25">
      <c r="A5706" s="2">
        <v>1147.40181253438</v>
      </c>
      <c r="B5706" s="3">
        <v>-0.41997983666835997</v>
      </c>
      <c r="C5706" s="5">
        <v>1.0707347801945501E-9</v>
      </c>
      <c r="D5706" s="6">
        <v>5.7346251671473302E-9</v>
      </c>
      <c r="E5706" s="3" t="s">
        <v>7382</v>
      </c>
      <c r="F5706" s="3" t="s">
        <v>7383</v>
      </c>
      <c r="G5706" s="3">
        <v>11799</v>
      </c>
      <c r="H5706" s="7" t="str">
        <f>HYPERLINK("http://www.ensembl.org/Mus_musculus/Gene/Summary?db=core;g=ENSMUSG00000017716","ENSMUSG00000017716")</f>
        <v>ENSMUSG00000017716</v>
      </c>
      <c r="I5706" s="7" t="str">
        <f>HYPERLINK("http://www.informatics.jax.org/marker/MGI:1203517","MGI:1203517")</f>
        <v>MGI:1203517</v>
      </c>
      <c r="J5706" s="4" t="s">
        <v>12</v>
      </c>
    </row>
    <row r="5707" spans="1:10" x14ac:dyDescent="0.25">
      <c r="A5707" s="2">
        <v>1226.1409735710199</v>
      </c>
      <c r="B5707" s="3">
        <v>-0.42012855545427102</v>
      </c>
      <c r="C5707" s="5">
        <v>2.4242554532548802E-6</v>
      </c>
      <c r="D5707" s="6">
        <v>9.6617456625275304E-6</v>
      </c>
      <c r="E5707" s="3" t="s">
        <v>9911</v>
      </c>
      <c r="F5707" s="3" t="s">
        <v>9912</v>
      </c>
      <c r="G5707" s="3">
        <v>216984</v>
      </c>
      <c r="H5707" s="7" t="str">
        <f>HYPERLINK("http://www.ensembl.org/Mus_musculus/Gene/Summary?db=core;g=ENSMUSG00000093938","ENSMUSG00000093938")</f>
        <v>ENSMUSG00000093938</v>
      </c>
      <c r="I5707" s="7" t="str">
        <f>HYPERLINK("http://www.informatics.jax.org/marker/MGI:1890682","MGI:1890682")</f>
        <v>MGI:1890682</v>
      </c>
      <c r="J5707" s="4" t="s">
        <v>12</v>
      </c>
    </row>
    <row r="5708" spans="1:10" x14ac:dyDescent="0.25">
      <c r="A5708" s="2">
        <v>424.58634455997998</v>
      </c>
      <c r="B5708" s="3">
        <v>-0.42033472217547702</v>
      </c>
      <c r="C5708" s="5">
        <v>1.85222989056015E-5</v>
      </c>
      <c r="D5708" s="6">
        <v>6.7567866106126406E-5</v>
      </c>
      <c r="E5708" s="3" t="s">
        <v>10824</v>
      </c>
      <c r="F5708" s="3" t="s">
        <v>10825</v>
      </c>
      <c r="G5708" s="3">
        <v>20170</v>
      </c>
      <c r="H5708" s="7" t="str">
        <f>HYPERLINK("http://www.ensembl.org/Mus_musculus/Gene/Summary?db=core;g=ENSMUSG00000074811","ENSMUSG00000074811")</f>
        <v>ENSMUSG00000074811</v>
      </c>
      <c r="I5708" s="7" t="str">
        <f>HYPERLINK("http://www.informatics.jax.org/marker/MGI:2181763","MGI:2181763")</f>
        <v>MGI:2181763</v>
      </c>
      <c r="J5708" s="4" t="s">
        <v>12</v>
      </c>
    </row>
    <row r="5709" spans="1:10" x14ac:dyDescent="0.25">
      <c r="A5709" s="2">
        <v>311.57577870383</v>
      </c>
      <c r="B5709" s="3">
        <v>-0.42043164321232102</v>
      </c>
      <c r="C5709" s="5">
        <v>3.5507407658131001E-7</v>
      </c>
      <c r="D5709" s="6">
        <v>1.5382383106729899E-6</v>
      </c>
      <c r="E5709" s="3" t="s">
        <v>9119</v>
      </c>
      <c r="F5709" s="3" t="s">
        <v>9120</v>
      </c>
      <c r="G5709" s="3">
        <v>78833</v>
      </c>
      <c r="H5709" s="7" t="str">
        <f>HYPERLINK("http://www.ensembl.org/Mus_musculus/Gene/Summary?db=core;g=ENSMUSG00000031669","ENSMUSG00000031669")</f>
        <v>ENSMUSG00000031669</v>
      </c>
      <c r="I5709" s="7" t="str">
        <f>HYPERLINK("http://www.informatics.jax.org/marker/MGI:1926083","MGI:1926083")</f>
        <v>MGI:1926083</v>
      </c>
      <c r="J5709" s="4" t="s">
        <v>12</v>
      </c>
    </row>
    <row r="5710" spans="1:10" x14ac:dyDescent="0.25">
      <c r="A5710" s="2">
        <v>626.992542662446</v>
      </c>
      <c r="B5710" s="3">
        <v>-0.420630085391129</v>
      </c>
      <c r="C5710" s="5">
        <v>1.3907555812542001E-6</v>
      </c>
      <c r="D5710" s="6">
        <v>5.6641264069254199E-6</v>
      </c>
      <c r="E5710" s="3" t="s">
        <v>9699</v>
      </c>
      <c r="F5710" s="3" t="s">
        <v>9700</v>
      </c>
      <c r="G5710" s="3">
        <v>72512</v>
      </c>
      <c r="H5710" s="7" t="str">
        <f>HYPERLINK("http://www.ensembl.org/Mus_musculus/Gene/Summary?db=core;g=ENSMUSG00000024349","ENSMUSG00000024349")</f>
        <v>ENSMUSG00000024349</v>
      </c>
      <c r="I5710" s="7" t="str">
        <f>HYPERLINK("http://www.informatics.jax.org/marker/MGI:1919762","MGI:1919762")</f>
        <v>MGI:1919762</v>
      </c>
      <c r="J5710" s="4" t="s">
        <v>12</v>
      </c>
    </row>
    <row r="5711" spans="1:10" x14ac:dyDescent="0.25">
      <c r="A5711" s="2">
        <v>689.29223716353499</v>
      </c>
      <c r="B5711" s="3">
        <v>-0.42142179073865299</v>
      </c>
      <c r="C5711" s="5">
        <v>3.2396814342480399E-6</v>
      </c>
      <c r="D5711" s="6">
        <v>1.27289336288845E-5</v>
      </c>
      <c r="E5711" s="3" t="s">
        <v>10054</v>
      </c>
      <c r="F5711" s="3" t="s">
        <v>10055</v>
      </c>
      <c r="G5711" s="3">
        <v>18771</v>
      </c>
      <c r="H5711" s="7" t="str">
        <f>HYPERLINK("http://www.ensembl.org/Mus_musculus/Gene/Summary?db=core;g=ENSMUSG00000006705","ENSMUSG00000006705")</f>
        <v>ENSMUSG00000006705</v>
      </c>
      <c r="I5711" s="7" t="str">
        <f>HYPERLINK("http://www.informatics.jax.org/marker/MGI:1201409","MGI:1201409")</f>
        <v>MGI:1201409</v>
      </c>
      <c r="J5711" s="4" t="s">
        <v>12</v>
      </c>
    </row>
    <row r="5712" spans="1:10" x14ac:dyDescent="0.25">
      <c r="A5712" s="2">
        <v>302.932819337848</v>
      </c>
      <c r="B5712" s="3">
        <v>-0.42149306342715098</v>
      </c>
      <c r="C5712" s="3">
        <v>1.2786872997259599E-4</v>
      </c>
      <c r="D5712" s="4">
        <v>4.2543805551874503E-4</v>
      </c>
      <c r="E5712" s="3" t="s">
        <v>11865</v>
      </c>
      <c r="F5712" s="3" t="s">
        <v>11866</v>
      </c>
      <c r="G5712" s="3">
        <v>17025</v>
      </c>
      <c r="H5712" s="7" t="str">
        <f>HYPERLINK("http://www.ensembl.org/Mus_musculus/Gene/Summary?db=core;g=ENSMUSG00000028393","ENSMUSG00000028393")</f>
        <v>ENSMUSG00000028393</v>
      </c>
      <c r="I5712" s="7" t="str">
        <f>HYPERLINK("http://www.informatics.jax.org/marker/MGI:96853","MGI:96853")</f>
        <v>MGI:96853</v>
      </c>
      <c r="J5712" s="4" t="s">
        <v>12</v>
      </c>
    </row>
    <row r="5713" spans="1:10" x14ac:dyDescent="0.25">
      <c r="A5713" s="2">
        <v>884.69368851907302</v>
      </c>
      <c r="B5713" s="3">
        <v>-0.42164746586178498</v>
      </c>
      <c r="C5713" s="3">
        <v>5.8901289924015497E-4</v>
      </c>
      <c r="D5713" s="4">
        <v>1.79803937662784E-3</v>
      </c>
      <c r="E5713" s="3" t="s">
        <v>12929</v>
      </c>
      <c r="F5713" s="3" t="s">
        <v>12930</v>
      </c>
      <c r="G5713" s="3">
        <v>13360</v>
      </c>
      <c r="H5713" s="7" t="str">
        <f>HYPERLINK("http://www.ensembl.org/Mus_musculus/Gene/Summary?db=core;g=ENSMUSG00000058454","ENSMUSG00000058454")</f>
        <v>ENSMUSG00000058454</v>
      </c>
      <c r="I5713" s="7" t="str">
        <f>HYPERLINK("http://www.informatics.jax.org/marker/MGI:1298378","MGI:1298378")</f>
        <v>MGI:1298378</v>
      </c>
      <c r="J5713" s="4" t="s">
        <v>12</v>
      </c>
    </row>
    <row r="5714" spans="1:10" x14ac:dyDescent="0.25">
      <c r="A5714" s="2">
        <v>999.66454476660795</v>
      </c>
      <c r="B5714" s="3">
        <v>-0.42173649862340601</v>
      </c>
      <c r="C5714" s="5">
        <v>9.4559006245797805E-14</v>
      </c>
      <c r="D5714" s="6">
        <v>6.76107180263645E-13</v>
      </c>
      <c r="E5714" s="3" t="s">
        <v>5533</v>
      </c>
      <c r="F5714" s="3" t="s">
        <v>5534</v>
      </c>
      <c r="G5714" s="3">
        <v>69639</v>
      </c>
      <c r="H5714" s="7" t="str">
        <f>HYPERLINK("http://www.ensembl.org/Mus_musculus/Gene/Summary?db=core;g=ENSMUSG00000027752","ENSMUSG00000027752")</f>
        <v>ENSMUSG00000027752</v>
      </c>
      <c r="I5714" s="7" t="str">
        <f>HYPERLINK("http://www.informatics.jax.org/marker/MGI:1916889","MGI:1916889")</f>
        <v>MGI:1916889</v>
      </c>
      <c r="J5714" s="4" t="s">
        <v>12</v>
      </c>
    </row>
    <row r="5715" spans="1:10" x14ac:dyDescent="0.25">
      <c r="A5715" s="2">
        <v>232.22423375867899</v>
      </c>
      <c r="B5715" s="3">
        <v>-0.421797654264287</v>
      </c>
      <c r="C5715" s="5">
        <v>2.20679272168981E-6</v>
      </c>
      <c r="D5715" s="6">
        <v>8.8289617512118297E-6</v>
      </c>
      <c r="E5715" s="3" t="s">
        <v>9873</v>
      </c>
      <c r="F5715" s="3" t="s">
        <v>9874</v>
      </c>
      <c r="G5715" s="3">
        <v>101490</v>
      </c>
      <c r="H5715" s="7" t="str">
        <f>HYPERLINK("http://www.ensembl.org/Mus_musculus/Gene/Summary?db=core;g=ENSMUSG00000042105","ENSMUSG00000042105")</f>
        <v>ENSMUSG00000042105</v>
      </c>
      <c r="I5715" s="7" t="str">
        <f>HYPERLINK("http://www.informatics.jax.org/marker/MGI:2141867","MGI:2141867")</f>
        <v>MGI:2141867</v>
      </c>
      <c r="J5715" s="4" t="s">
        <v>12</v>
      </c>
    </row>
    <row r="5716" spans="1:10" x14ac:dyDescent="0.25">
      <c r="A5716" s="2">
        <v>119.26582968232999</v>
      </c>
      <c r="B5716" s="3">
        <v>-0.42183158560429801</v>
      </c>
      <c r="C5716" s="3">
        <v>4.3148869453606901E-4</v>
      </c>
      <c r="D5716" s="4">
        <v>1.33957132497659E-3</v>
      </c>
      <c r="E5716" s="3" t="s">
        <v>12715</v>
      </c>
      <c r="F5716" s="3" t="s">
        <v>12716</v>
      </c>
      <c r="G5716" s="3">
        <v>114615</v>
      </c>
      <c r="H5716" s="7" t="str">
        <f>HYPERLINK("http://www.ensembl.org/Mus_musculus/Gene/Summary?db=core;g=ENSMUSG00000036941","ENSMUSG00000036941")</f>
        <v>ENSMUSG00000036941</v>
      </c>
      <c r="I5716" s="7" t="str">
        <f>HYPERLINK("http://www.informatics.jax.org/marker/MGI:1890495","MGI:1890495")</f>
        <v>MGI:1890495</v>
      </c>
      <c r="J5716" s="4" t="s">
        <v>12</v>
      </c>
    </row>
    <row r="5717" spans="1:10" x14ac:dyDescent="0.25">
      <c r="A5717" s="2">
        <v>217.27013197836001</v>
      </c>
      <c r="B5717" s="3">
        <v>-0.42186039886618298</v>
      </c>
      <c r="C5717" s="5">
        <v>2.35795681507407E-5</v>
      </c>
      <c r="D5717" s="6">
        <v>8.5100491202892795E-5</v>
      </c>
      <c r="E5717" s="3" t="s">
        <v>10940</v>
      </c>
      <c r="F5717" s="3" t="s">
        <v>10941</v>
      </c>
      <c r="G5717" s="3">
        <v>56703</v>
      </c>
      <c r="H5717" s="7" t="str">
        <f>HYPERLINK("http://www.ensembl.org/Mus_musculus/Gene/Summary?db=core;g=ENSMUSG00000028454","ENSMUSG00000028454")</f>
        <v>ENSMUSG00000028454</v>
      </c>
      <c r="I5717" s="7" t="str">
        <f>HYPERLINK("http://www.informatics.jax.org/marker/MGI:1861452","MGI:1861452")</f>
        <v>MGI:1861452</v>
      </c>
      <c r="J5717" s="4" t="s">
        <v>12</v>
      </c>
    </row>
    <row r="5718" spans="1:10" x14ac:dyDescent="0.25">
      <c r="A5718" s="2">
        <v>1108.3857909713399</v>
      </c>
      <c r="B5718" s="3">
        <v>-0.42201181568930302</v>
      </c>
      <c r="C5718" s="5">
        <v>5.0156104486970703E-12</v>
      </c>
      <c r="D5718" s="6">
        <v>3.2102511537911797E-11</v>
      </c>
      <c r="E5718" s="3" t="s">
        <v>6179</v>
      </c>
      <c r="F5718" s="3" t="s">
        <v>6180</v>
      </c>
      <c r="G5718" s="3" t="s">
        <v>83</v>
      </c>
      <c r="H5718" s="7" t="str">
        <f>HYPERLINK("http://www.ensembl.org/Mus_musculus/Gene/Summary?db=core;g=ENSMUSG00000099908","ENSMUSG00000099908")</f>
        <v>ENSMUSG00000099908</v>
      </c>
      <c r="I5718" s="7" t="str">
        <f>HYPERLINK("http://www.informatics.jax.org/marker/MGI:5579245","MGI:5579245")</f>
        <v>MGI:5579245</v>
      </c>
      <c r="J5718" s="4" t="s">
        <v>12</v>
      </c>
    </row>
    <row r="5719" spans="1:10" x14ac:dyDescent="0.25">
      <c r="A5719" s="2">
        <v>3621.7578405890499</v>
      </c>
      <c r="B5719" s="3">
        <v>-0.42241683168146799</v>
      </c>
      <c r="C5719" s="5">
        <v>7.0370318258083797E-6</v>
      </c>
      <c r="D5719" s="6">
        <v>2.67999744312362E-5</v>
      </c>
      <c r="E5719" s="3" t="s">
        <v>10370</v>
      </c>
      <c r="F5719" s="3" t="s">
        <v>10371</v>
      </c>
      <c r="G5719" s="3">
        <v>16319</v>
      </c>
      <c r="H5719" s="7" t="str">
        <f>HYPERLINK("http://www.ensembl.org/Mus_musculus/Gene/Summary?db=core;g=ENSMUSG00000024660","ENSMUSG00000024660")</f>
        <v>ENSMUSG00000024660</v>
      </c>
      <c r="I5719" s="7" t="str">
        <f>HYPERLINK("http://www.informatics.jax.org/marker/MGI:1313288","MGI:1313288")</f>
        <v>MGI:1313288</v>
      </c>
      <c r="J5719" s="4" t="s">
        <v>12</v>
      </c>
    </row>
    <row r="5720" spans="1:10" x14ac:dyDescent="0.25">
      <c r="A5720" s="2">
        <v>673.95246826087703</v>
      </c>
      <c r="B5720" s="3">
        <v>-0.42243653831547401</v>
      </c>
      <c r="C5720" s="5">
        <v>1.5084082838327299E-5</v>
      </c>
      <c r="D5720" s="6">
        <v>5.5599647396600698E-5</v>
      </c>
      <c r="E5720" s="3" t="s">
        <v>10712</v>
      </c>
      <c r="F5720" s="3" t="s">
        <v>10713</v>
      </c>
      <c r="G5720" s="3">
        <v>66248</v>
      </c>
      <c r="H5720" s="7" t="str">
        <f>HYPERLINK("http://www.ensembl.org/Mus_musculus/Gene/Summary?db=core;g=ENSMUSG00000036632","ENSMUSG00000036632")</f>
        <v>ENSMUSG00000036632</v>
      </c>
      <c r="I5720" s="7" t="str">
        <f>HYPERLINK("http://www.informatics.jax.org/marker/MGI:1913498","MGI:1913498")</f>
        <v>MGI:1913498</v>
      </c>
      <c r="J5720" s="4" t="s">
        <v>12</v>
      </c>
    </row>
    <row r="5721" spans="1:10" x14ac:dyDescent="0.25">
      <c r="A5721" s="2">
        <v>49.619666773627998</v>
      </c>
      <c r="B5721" s="3">
        <v>-0.42258135225329702</v>
      </c>
      <c r="C5721" s="3">
        <v>1.55012539097165E-2</v>
      </c>
      <c r="D5721" s="4">
        <v>3.70751639902498E-2</v>
      </c>
      <c r="E5721" s="3" t="s">
        <v>16493</v>
      </c>
      <c r="F5721" s="3" t="s">
        <v>16494</v>
      </c>
      <c r="G5721" s="3">
        <v>20540</v>
      </c>
      <c r="H5721" s="7" t="str">
        <f>HYPERLINK("http://www.ensembl.org/Mus_musculus/Gene/Summary?db=core;g=ENSMUSG00000000958","ENSMUSG00000000958")</f>
        <v>ENSMUSG00000000958</v>
      </c>
      <c r="I5721" s="7" t="str">
        <f>HYPERLINK("http://www.informatics.jax.org/marker/MGI:1337120","MGI:1337120")</f>
        <v>MGI:1337120</v>
      </c>
      <c r="J5721" s="4" t="s">
        <v>12</v>
      </c>
    </row>
    <row r="5722" spans="1:10" x14ac:dyDescent="0.25">
      <c r="A5722" s="2">
        <v>171.770815898363</v>
      </c>
      <c r="B5722" s="3">
        <v>-0.422862489133422</v>
      </c>
      <c r="C5722" s="5">
        <v>7.3675803296177503E-5</v>
      </c>
      <c r="D5722" s="4">
        <v>2.51931132477999E-4</v>
      </c>
      <c r="E5722" s="3" t="s">
        <v>11545</v>
      </c>
      <c r="F5722" s="3" t="s">
        <v>11546</v>
      </c>
      <c r="G5722" s="3">
        <v>208194</v>
      </c>
      <c r="H5722" s="7" t="str">
        <f>HYPERLINK("http://www.ensembl.org/Mus_musculus/Gene/Summary?db=core;g=ENSMUSG00000042787","ENSMUSG00000042787")</f>
        <v>ENSMUSG00000042787</v>
      </c>
      <c r="I5722" s="7" t="str">
        <f>HYPERLINK("http://www.informatics.jax.org/marker/MGI:2143333","MGI:2143333")</f>
        <v>MGI:2143333</v>
      </c>
      <c r="J5722" s="4" t="s">
        <v>12</v>
      </c>
    </row>
    <row r="5723" spans="1:10" x14ac:dyDescent="0.25">
      <c r="A5723" s="2">
        <v>54.315504871104402</v>
      </c>
      <c r="B5723" s="3">
        <v>-0.42409834067062802</v>
      </c>
      <c r="C5723" s="3">
        <v>2.04268784276357E-2</v>
      </c>
      <c r="D5723" s="4">
        <v>4.7558210459619298E-2</v>
      </c>
      <c r="E5723" s="3" t="s">
        <v>16944</v>
      </c>
      <c r="F5723" s="3" t="s">
        <v>16945</v>
      </c>
      <c r="G5723" s="3">
        <v>85308</v>
      </c>
      <c r="H5723" s="7" t="str">
        <f>HYPERLINK("http://www.ensembl.org/Mus_musculus/Gene/Summary?db=core;g=ENSMUSG00000022217","ENSMUSG00000022217")</f>
        <v>ENSMUSG00000022217</v>
      </c>
      <c r="I5723" s="7" t="str">
        <f>HYPERLINK("http://www.informatics.jax.org/marker/MGI:1934682","MGI:1934682")</f>
        <v>MGI:1934682</v>
      </c>
      <c r="J5723" s="4" t="s">
        <v>12</v>
      </c>
    </row>
    <row r="5724" spans="1:10" x14ac:dyDescent="0.25">
      <c r="A5724" s="2">
        <v>225.69969178121099</v>
      </c>
      <c r="B5724" s="3">
        <v>-0.42449183479650598</v>
      </c>
      <c r="C5724" s="5">
        <v>1.6001148876326399E-5</v>
      </c>
      <c r="D5724" s="6">
        <v>5.8782163904835302E-5</v>
      </c>
      <c r="E5724" s="3" t="s">
        <v>10744</v>
      </c>
      <c r="F5724" s="3" t="s">
        <v>10745</v>
      </c>
      <c r="G5724" s="3">
        <v>269336</v>
      </c>
      <c r="H5724" s="7" t="str">
        <f>HYPERLINK("http://www.ensembl.org/Mus_musculus/Gene/Summary?db=core;g=ENSMUSG00000039983","ENSMUSG00000039983")</f>
        <v>ENSMUSG00000039983</v>
      </c>
      <c r="I5724" s="7" t="str">
        <f>HYPERLINK("http://www.informatics.jax.org/marker/MGI:2685477","MGI:2685477")</f>
        <v>MGI:2685477</v>
      </c>
      <c r="J5724" s="4" t="s">
        <v>12</v>
      </c>
    </row>
    <row r="5725" spans="1:10" x14ac:dyDescent="0.25">
      <c r="A5725" s="2">
        <v>121.39309256429399</v>
      </c>
      <c r="B5725" s="3">
        <v>-0.42497850377880197</v>
      </c>
      <c r="C5725" s="3">
        <v>1.32816813648822E-3</v>
      </c>
      <c r="D5725" s="4">
        <v>3.84603166689393E-3</v>
      </c>
      <c r="E5725" s="3" t="s">
        <v>13629</v>
      </c>
      <c r="F5725" s="3" t="s">
        <v>13630</v>
      </c>
      <c r="G5725" s="3">
        <v>70575</v>
      </c>
      <c r="H5725" s="7" t="str">
        <f>HYPERLINK("http://www.ensembl.org/Mus_musculus/Gene/Summary?db=core;g=ENSMUSG00000013150","ENSMUSG00000013150")</f>
        <v>ENSMUSG00000013150</v>
      </c>
      <c r="I5725" s="7" t="str">
        <f>HYPERLINK("http://www.informatics.jax.org/marker/MGI:1917825","MGI:1917825")</f>
        <v>MGI:1917825</v>
      </c>
      <c r="J5725" s="4" t="s">
        <v>12</v>
      </c>
    </row>
    <row r="5726" spans="1:10" x14ac:dyDescent="0.25">
      <c r="A5726" s="2">
        <v>787.60377326202695</v>
      </c>
      <c r="B5726" s="3">
        <v>-0.42533879236319999</v>
      </c>
      <c r="C5726" s="5">
        <v>1.8182154580270401E-10</v>
      </c>
      <c r="D5726" s="6">
        <v>1.03687706281935E-9</v>
      </c>
      <c r="E5726" s="3" t="s">
        <v>6934</v>
      </c>
      <c r="F5726" s="3" t="s">
        <v>6935</v>
      </c>
      <c r="G5726" s="3">
        <v>246782</v>
      </c>
      <c r="H5726" s="7" t="str">
        <f>HYPERLINK("http://www.ensembl.org/Mus_musculus/Gene/Summary?db=core;g=ENSMUSG00000042709","ENSMUSG00000042709")</f>
        <v>ENSMUSG00000042709</v>
      </c>
      <c r="I5726" s="7" t="str">
        <f>HYPERLINK("http://www.informatics.jax.org/marker/MGI:2180561","MGI:2180561")</f>
        <v>MGI:2180561</v>
      </c>
      <c r="J5726" s="4" t="s">
        <v>12</v>
      </c>
    </row>
    <row r="5727" spans="1:10" x14ac:dyDescent="0.25">
      <c r="A5727" s="2">
        <v>552.87305989422498</v>
      </c>
      <c r="B5727" s="3">
        <v>-0.42551309027026502</v>
      </c>
      <c r="C5727" s="5">
        <v>5.0280413337970702E-7</v>
      </c>
      <c r="D5727" s="6">
        <v>2.1452396171025099E-6</v>
      </c>
      <c r="E5727" s="3" t="s">
        <v>9259</v>
      </c>
      <c r="F5727" s="3" t="s">
        <v>9260</v>
      </c>
      <c r="G5727" s="3">
        <v>20751</v>
      </c>
      <c r="H5727" s="7" t="str">
        <f>HYPERLINK("http://www.ensembl.org/Mus_musculus/Gene/Summary?db=core;g=ENSMUSG00000033735","ENSMUSG00000033735")</f>
        <v>ENSMUSG00000033735</v>
      </c>
      <c r="I5727" s="7" t="str">
        <f>HYPERLINK("http://www.informatics.jax.org/marker/MGI:103078","MGI:103078")</f>
        <v>MGI:103078</v>
      </c>
      <c r="J5727" s="4" t="s">
        <v>12</v>
      </c>
    </row>
    <row r="5728" spans="1:10" x14ac:dyDescent="0.25">
      <c r="A5728" s="2">
        <v>45.189645147642402</v>
      </c>
      <c r="B5728" s="3">
        <v>-0.42552145476812903</v>
      </c>
      <c r="C5728" s="3">
        <v>1.89304691348114E-2</v>
      </c>
      <c r="D5728" s="4">
        <v>4.44107135714479E-2</v>
      </c>
      <c r="E5728" s="3" t="s">
        <v>16814</v>
      </c>
      <c r="F5728" s="3" t="s">
        <v>16815</v>
      </c>
      <c r="G5728" s="3">
        <v>75686</v>
      </c>
      <c r="H5728" s="7" t="str">
        <f>HYPERLINK("http://www.ensembl.org/Mus_musculus/Gene/Summary?db=core;g=ENSMUSG00000032565","ENSMUSG00000032565")</f>
        <v>ENSMUSG00000032565</v>
      </c>
      <c r="I5728" s="7" t="str">
        <f>HYPERLINK("http://www.informatics.jax.org/marker/MGI:1922936","MGI:1922936")</f>
        <v>MGI:1922936</v>
      </c>
      <c r="J5728" s="4" t="s">
        <v>12</v>
      </c>
    </row>
    <row r="5729" spans="1:10" x14ac:dyDescent="0.25">
      <c r="A5729" s="2">
        <v>254.49051223772099</v>
      </c>
      <c r="B5729" s="3">
        <v>-0.42561187318278998</v>
      </c>
      <c r="C5729" s="5">
        <v>4.5693445495099901E-5</v>
      </c>
      <c r="D5729" s="4">
        <v>1.5982170009992401E-4</v>
      </c>
      <c r="E5729" s="3" t="s">
        <v>11287</v>
      </c>
      <c r="F5729" s="3" t="s">
        <v>11288</v>
      </c>
      <c r="G5729" s="3">
        <v>72368</v>
      </c>
      <c r="H5729" s="7" t="str">
        <f>HYPERLINK("http://www.ensembl.org/Mus_musculus/Gene/Summary?db=core;g=ENSMUSG00000002345","ENSMUSG00000002345")</f>
        <v>ENSMUSG00000002345</v>
      </c>
      <c r="I5729" s="7" t="str">
        <f>HYPERLINK("http://www.informatics.jax.org/marker/MGI:1919618","MGI:1919618")</f>
        <v>MGI:1919618</v>
      </c>
      <c r="J5729" s="4" t="s">
        <v>12</v>
      </c>
    </row>
    <row r="5730" spans="1:10" x14ac:dyDescent="0.25">
      <c r="A5730" s="2">
        <v>104.007745023691</v>
      </c>
      <c r="B5730" s="3">
        <v>-0.42635463780282801</v>
      </c>
      <c r="C5730" s="3">
        <v>6.7303523487017105E-4</v>
      </c>
      <c r="D5730" s="4">
        <v>2.0346857016157898E-3</v>
      </c>
      <c r="E5730" s="3" t="s">
        <v>13055</v>
      </c>
      <c r="F5730" s="3" t="s">
        <v>13056</v>
      </c>
      <c r="G5730" s="3">
        <v>75736</v>
      </c>
      <c r="H5730" s="7" t="str">
        <f>HYPERLINK("http://www.ensembl.org/Mus_musculus/Gene/Summary?db=core;g=ENSMUSG00000003190","ENSMUSG00000003190")</f>
        <v>ENSMUSG00000003190</v>
      </c>
      <c r="I5730" s="7" t="str">
        <f>HYPERLINK("http://www.informatics.jax.org/marker/MGI:1922986","MGI:1922986")</f>
        <v>MGI:1922986</v>
      </c>
      <c r="J5730" s="4" t="s">
        <v>12</v>
      </c>
    </row>
    <row r="5731" spans="1:10" x14ac:dyDescent="0.25">
      <c r="A5731" s="2">
        <v>1626.2102931720201</v>
      </c>
      <c r="B5731" s="3">
        <v>-0.42639726329194</v>
      </c>
      <c r="C5731" s="5">
        <v>6.0581578120108994E-14</v>
      </c>
      <c r="D5731" s="6">
        <v>4.3696734474343401E-13</v>
      </c>
      <c r="E5731" s="3" t="s">
        <v>5485</v>
      </c>
      <c r="F5731" s="3" t="s">
        <v>5486</v>
      </c>
      <c r="G5731" s="3">
        <v>74158</v>
      </c>
      <c r="H5731" s="7" t="str">
        <f>HYPERLINK("http://www.ensembl.org/Mus_musculus/Gene/Summary?db=core;g=ENSMUSG00000022426","ENSMUSG00000022426")</f>
        <v>ENSMUSG00000022426</v>
      </c>
      <c r="I5731" s="7" t="str">
        <f>HYPERLINK("http://www.informatics.jax.org/marker/MGI:1921408","MGI:1921408")</f>
        <v>MGI:1921408</v>
      </c>
      <c r="J5731" s="4" t="s">
        <v>12</v>
      </c>
    </row>
    <row r="5732" spans="1:10" x14ac:dyDescent="0.25">
      <c r="A5732" s="2">
        <v>129.81479482384501</v>
      </c>
      <c r="B5732" s="3">
        <v>-0.426689552621285</v>
      </c>
      <c r="C5732" s="5">
        <v>5.6571726804450701E-5</v>
      </c>
      <c r="D5732" s="4">
        <v>1.9606229395145299E-4</v>
      </c>
      <c r="E5732" s="3" t="s">
        <v>11391</v>
      </c>
      <c r="F5732" s="3" t="s">
        <v>11392</v>
      </c>
      <c r="G5732" s="3">
        <v>319615</v>
      </c>
      <c r="H5732" s="7" t="str">
        <f>HYPERLINK("http://www.ensembl.org/Mus_musculus/Gene/Summary?db=core;g=ENSMUSG00000033972","ENSMUSG00000033972")</f>
        <v>ENSMUSG00000033972</v>
      </c>
      <c r="I5732" s="7" t="str">
        <f>HYPERLINK("http://www.informatics.jax.org/marker/MGI:2442394","MGI:2442394")</f>
        <v>MGI:2442394</v>
      </c>
      <c r="J5732" s="4" t="s">
        <v>12</v>
      </c>
    </row>
    <row r="5733" spans="1:10" x14ac:dyDescent="0.25">
      <c r="A5733" s="2">
        <v>112.33886757400499</v>
      </c>
      <c r="B5733" s="3">
        <v>-0.42690517400227401</v>
      </c>
      <c r="C5733" s="3">
        <v>1.9494813307041801E-3</v>
      </c>
      <c r="D5733" s="4">
        <v>5.5203578175598003E-3</v>
      </c>
      <c r="E5733" s="3" t="s">
        <v>13935</v>
      </c>
      <c r="F5733" s="3" t="s">
        <v>13936</v>
      </c>
      <c r="G5733" s="3">
        <v>71599</v>
      </c>
      <c r="H5733" s="7" t="str">
        <f>HYPERLINK("http://www.ensembl.org/Mus_musculus/Gene/Summary?db=core;g=ENSMUSG00000051705","ENSMUSG00000051705")</f>
        <v>ENSMUSG00000051705</v>
      </c>
      <c r="I5733" s="7" t="str">
        <f>HYPERLINK("http://www.informatics.jax.org/marker/MGI:1918849","MGI:1918849")</f>
        <v>MGI:1918849</v>
      </c>
      <c r="J5733" s="4" t="s">
        <v>12</v>
      </c>
    </row>
    <row r="5734" spans="1:10" x14ac:dyDescent="0.25">
      <c r="A5734" s="2">
        <v>304.92842832067203</v>
      </c>
      <c r="B5734" s="3">
        <v>-0.42693028622488999</v>
      </c>
      <c r="C5734" s="5">
        <v>7.0474671578188803E-9</v>
      </c>
      <c r="D5734" s="6">
        <v>3.5380868725098897E-8</v>
      </c>
      <c r="E5734" s="3" t="s">
        <v>7872</v>
      </c>
      <c r="F5734" s="3" t="s">
        <v>7873</v>
      </c>
      <c r="G5734" s="3">
        <v>29805</v>
      </c>
      <c r="H5734" s="7" t="str">
        <f>HYPERLINK("http://www.ensembl.org/Mus_musculus/Gene/Summary?db=core;g=ENSMUSG00000075227","ENSMUSG00000075227")</f>
        <v>ENSMUSG00000075227</v>
      </c>
      <c r="I5734" s="7" t="str">
        <f>HYPERLINK("http://www.informatics.jax.org/marker/MGI:1352481","MGI:1352481")</f>
        <v>MGI:1352481</v>
      </c>
      <c r="J5734" s="4" t="s">
        <v>12</v>
      </c>
    </row>
    <row r="5735" spans="1:10" x14ac:dyDescent="0.25">
      <c r="A5735" s="2">
        <v>539.55006450042504</v>
      </c>
      <c r="B5735" s="3">
        <v>-0.42731896108162898</v>
      </c>
      <c r="C5735" s="5">
        <v>3.0458053977857002E-7</v>
      </c>
      <c r="D5735" s="6">
        <v>1.32853975767162E-6</v>
      </c>
      <c r="E5735" s="3" t="s">
        <v>9057</v>
      </c>
      <c r="F5735" s="3" t="s">
        <v>9058</v>
      </c>
      <c r="G5735" s="3">
        <v>100043272</v>
      </c>
      <c r="H5735" s="7" t="str">
        <f>HYPERLINK("http://www.ensembl.org/Mus_musculus/Gene/Summary?db=core;g=ENSMUSG00000074918","ENSMUSG00000074918")</f>
        <v>ENSMUSG00000074918</v>
      </c>
      <c r="I5735" s="7" t="str">
        <f>HYPERLINK("http://www.informatics.jax.org/marker/MGI:1915354","MGI:1915354")</f>
        <v>MGI:1915354</v>
      </c>
      <c r="J5735" s="4" t="s">
        <v>12</v>
      </c>
    </row>
    <row r="5736" spans="1:10" x14ac:dyDescent="0.25">
      <c r="A5736" s="2">
        <v>369.46083263340603</v>
      </c>
      <c r="B5736" s="3">
        <v>-0.42805420106159098</v>
      </c>
      <c r="C5736" s="5">
        <v>4.35370779961657E-8</v>
      </c>
      <c r="D5736" s="6">
        <v>2.0311123209945299E-7</v>
      </c>
      <c r="E5736" s="3" t="s">
        <v>8471</v>
      </c>
      <c r="F5736" s="3" t="s">
        <v>8472</v>
      </c>
      <c r="G5736" s="3">
        <v>69024</v>
      </c>
      <c r="H5736" s="7" t="str">
        <f>HYPERLINK("http://www.ensembl.org/Mus_musculus/Gene/Summary?db=core;g=ENSMUSG00000024787","ENSMUSG00000024787")</f>
        <v>ENSMUSG00000024787</v>
      </c>
      <c r="I5736" s="7" t="str">
        <f>HYPERLINK("http://www.informatics.jax.org/marker/MGI:1916274","MGI:1916274")</f>
        <v>MGI:1916274</v>
      </c>
      <c r="J5736" s="4" t="s">
        <v>12</v>
      </c>
    </row>
    <row r="5737" spans="1:10" x14ac:dyDescent="0.25">
      <c r="A5737" s="2">
        <v>100.43324861467001</v>
      </c>
      <c r="B5737" s="3">
        <v>-0.428054704224272</v>
      </c>
      <c r="C5737" s="3">
        <v>3.0841980942780201E-3</v>
      </c>
      <c r="D5737" s="4">
        <v>8.4355598362222603E-3</v>
      </c>
      <c r="E5737" s="3" t="s">
        <v>14425</v>
      </c>
      <c r="F5737" s="3" t="s">
        <v>14426</v>
      </c>
      <c r="G5737" s="3">
        <v>68977</v>
      </c>
      <c r="H5737" s="7" t="str">
        <f>HYPERLINK("http://www.ensembl.org/Mus_musculus/Gene/Summary?db=core;g=ENSMUSG00000061046","ENSMUSG00000061046")</f>
        <v>ENSMUSG00000061046</v>
      </c>
      <c r="I5737" s="7" t="str">
        <f>HYPERLINK("http://www.informatics.jax.org/marker/MGI:1919877","MGI:1919877")</f>
        <v>MGI:1919877</v>
      </c>
      <c r="J5737" s="4" t="s">
        <v>12</v>
      </c>
    </row>
    <row r="5738" spans="1:10" x14ac:dyDescent="0.25">
      <c r="A5738" s="2">
        <v>168.972521993828</v>
      </c>
      <c r="B5738" s="3">
        <v>-0.42821772494111898</v>
      </c>
      <c r="C5738" s="3">
        <v>1.2689518266093499E-3</v>
      </c>
      <c r="D5738" s="4">
        <v>3.6913600856669699E-3</v>
      </c>
      <c r="E5738" s="3" t="s">
        <v>13567</v>
      </c>
      <c r="F5738" s="3" t="s">
        <v>13568</v>
      </c>
      <c r="G5738" s="3">
        <v>268515</v>
      </c>
      <c r="H5738" s="7" t="str">
        <f>HYPERLINK("http://www.ensembl.org/Mus_musculus/Gene/Summary?db=core;g=ENSMUSG00000039741","ENSMUSG00000039741")</f>
        <v>ENSMUSG00000039741</v>
      </c>
      <c r="I5738" s="7" t="str">
        <f>HYPERLINK("http://www.informatics.jax.org/marker/MGI:2679272","MGI:2679272")</f>
        <v>MGI:2679272</v>
      </c>
      <c r="J5738" s="4" t="s">
        <v>12</v>
      </c>
    </row>
    <row r="5739" spans="1:10" x14ac:dyDescent="0.25">
      <c r="A5739" s="2">
        <v>55.132412279500201</v>
      </c>
      <c r="B5739" s="3">
        <v>-0.42824313020157001</v>
      </c>
      <c r="C5739" s="3">
        <v>1.4914345661918601E-2</v>
      </c>
      <c r="D5739" s="4">
        <v>3.5788622104287501E-2</v>
      </c>
      <c r="E5739" s="3" t="s">
        <v>16441</v>
      </c>
      <c r="F5739" s="3" t="s">
        <v>16442</v>
      </c>
      <c r="G5739" s="3">
        <v>69546</v>
      </c>
      <c r="H5739" s="7" t="str">
        <f>HYPERLINK("http://www.ensembl.org/Mus_musculus/Gene/Summary?db=core;g=ENSMUSG00000041775","ENSMUSG00000041775")</f>
        <v>ENSMUSG00000041775</v>
      </c>
      <c r="I5739" s="7" t="str">
        <f>HYPERLINK("http://www.informatics.jax.org/marker/MGI:1916796","MGI:1916796")</f>
        <v>MGI:1916796</v>
      </c>
      <c r="J5739" s="4" t="s">
        <v>12</v>
      </c>
    </row>
    <row r="5740" spans="1:10" x14ac:dyDescent="0.25">
      <c r="A5740" s="2">
        <v>183.72861685344</v>
      </c>
      <c r="B5740" s="3">
        <v>-0.428454318704453</v>
      </c>
      <c r="C5740" s="5">
        <v>4.2979338784514002E-6</v>
      </c>
      <c r="D5740" s="6">
        <v>1.6697252971446301E-5</v>
      </c>
      <c r="E5740" s="3" t="s">
        <v>10166</v>
      </c>
      <c r="F5740" s="3" t="s">
        <v>10167</v>
      </c>
      <c r="G5740" s="3">
        <v>19286</v>
      </c>
      <c r="H5740" s="7" t="str">
        <f>HYPERLINK("http://www.ensembl.org/Mus_musculus/Gene/Summary?db=core;g=ENSMUSG00000032067","ENSMUSG00000032067")</f>
        <v>ENSMUSG00000032067</v>
      </c>
      <c r="I5740" s="7" t="str">
        <f>HYPERLINK("http://www.informatics.jax.org/marker/MGI:1338783","MGI:1338783")</f>
        <v>MGI:1338783</v>
      </c>
      <c r="J5740" s="4" t="s">
        <v>12</v>
      </c>
    </row>
    <row r="5741" spans="1:10" x14ac:dyDescent="0.25">
      <c r="A5741" s="2">
        <v>841.26252919066496</v>
      </c>
      <c r="B5741" s="3">
        <v>-0.42848223913029598</v>
      </c>
      <c r="C5741" s="5">
        <v>4.87443209291085E-12</v>
      </c>
      <c r="D5741" s="6">
        <v>3.1280117433192901E-11</v>
      </c>
      <c r="E5741" s="3" t="s">
        <v>6163</v>
      </c>
      <c r="F5741" s="3" t="s">
        <v>6164</v>
      </c>
      <c r="G5741" s="3">
        <v>22235</v>
      </c>
      <c r="H5741" s="7" t="str">
        <f>HYPERLINK("http://www.ensembl.org/Mus_musculus/Gene/Summary?db=core;g=ENSMUSG00000029201","ENSMUSG00000029201")</f>
        <v>ENSMUSG00000029201</v>
      </c>
      <c r="I5741" s="7" t="str">
        <f>HYPERLINK("http://www.informatics.jax.org/marker/MGI:1306785","MGI:1306785")</f>
        <v>MGI:1306785</v>
      </c>
      <c r="J5741" s="4" t="s">
        <v>12</v>
      </c>
    </row>
    <row r="5742" spans="1:10" x14ac:dyDescent="0.25">
      <c r="A5742" s="2">
        <v>702.36975571657695</v>
      </c>
      <c r="B5742" s="3">
        <v>-0.42868050440080102</v>
      </c>
      <c r="C5742" s="5">
        <v>1.3450099426117901E-7</v>
      </c>
      <c r="D5742" s="6">
        <v>6.0280900155237296E-7</v>
      </c>
      <c r="E5742" s="3" t="s">
        <v>8817</v>
      </c>
      <c r="F5742" s="3" t="s">
        <v>8818</v>
      </c>
      <c r="G5742" s="3">
        <v>233824</v>
      </c>
      <c r="H5742" s="7" t="str">
        <f>HYPERLINK("http://www.ensembl.org/Mus_musculus/Gene/Summary?db=core;g=ENSMUSG00000034951","ENSMUSG00000034951")</f>
        <v>ENSMUSG00000034951</v>
      </c>
      <c r="I5742" s="7" t="str">
        <f>HYPERLINK("http://www.informatics.jax.org/marker/MGI:2685013","MGI:2685013")</f>
        <v>MGI:2685013</v>
      </c>
      <c r="J5742" s="4" t="s">
        <v>12</v>
      </c>
    </row>
    <row r="5743" spans="1:10" x14ac:dyDescent="0.25">
      <c r="A5743" s="2">
        <v>92.318051704645697</v>
      </c>
      <c r="B5743" s="3">
        <v>-0.428858778668122</v>
      </c>
      <c r="C5743" s="3">
        <v>1.73329205646697E-3</v>
      </c>
      <c r="D5743" s="4">
        <v>4.9422381945530098E-3</v>
      </c>
      <c r="E5743" s="3" t="s">
        <v>13839</v>
      </c>
      <c r="F5743" s="3" t="s">
        <v>13840</v>
      </c>
      <c r="G5743" s="3">
        <v>231724</v>
      </c>
      <c r="H5743" s="7" t="str">
        <f>HYPERLINK("http://www.ensembl.org/Mus_musculus/Gene/Summary?db=core;g=ENSMUSG00000038569","ENSMUSG00000038569")</f>
        <v>ENSMUSG00000038569</v>
      </c>
      <c r="I5743" s="7" t="str">
        <f>HYPERLINK("http://www.informatics.jax.org/marker/MGI:2385231","MGI:2385231")</f>
        <v>MGI:2385231</v>
      </c>
      <c r="J5743" s="4" t="s">
        <v>12</v>
      </c>
    </row>
    <row r="5744" spans="1:10" x14ac:dyDescent="0.25">
      <c r="A5744" s="2">
        <v>994.46303082569102</v>
      </c>
      <c r="B5744" s="3">
        <v>-0.42928073232601199</v>
      </c>
      <c r="C5744" s="5">
        <v>1.9885620498164999E-19</v>
      </c>
      <c r="D5744" s="6">
        <v>1.9251076888748901E-18</v>
      </c>
      <c r="E5744" s="3" t="s">
        <v>4091</v>
      </c>
      <c r="F5744" s="3" t="s">
        <v>4092</v>
      </c>
      <c r="G5744" s="3">
        <v>213464</v>
      </c>
      <c r="H5744" s="7" t="str">
        <f>HYPERLINK("http://www.ensembl.org/Mus_musculus/Gene/Summary?db=core;g=ENSMUSG00000026439","ENSMUSG00000026439")</f>
        <v>ENSMUSG00000026439</v>
      </c>
      <c r="I5744" s="7" t="str">
        <f>HYPERLINK("http://www.informatics.jax.org/marker/MGI:1918367","MGI:1918367")</f>
        <v>MGI:1918367</v>
      </c>
      <c r="J5744" s="4" t="s">
        <v>12</v>
      </c>
    </row>
    <row r="5745" spans="1:10" x14ac:dyDescent="0.25">
      <c r="A5745" s="2">
        <v>252.57621712135199</v>
      </c>
      <c r="B5745" s="3">
        <v>-0.42954985701132298</v>
      </c>
      <c r="C5745" s="5">
        <v>6.7744705000236501E-5</v>
      </c>
      <c r="D5745" s="4">
        <v>2.32654773480556E-4</v>
      </c>
      <c r="E5745" s="3" t="s">
        <v>11495</v>
      </c>
      <c r="F5745" s="3" t="s">
        <v>11496</v>
      </c>
      <c r="G5745" s="3">
        <v>382073</v>
      </c>
      <c r="H5745" s="7" t="str">
        <f>HYPERLINK("http://www.ensembl.org/Mus_musculus/Gene/Summary?db=core;g=ENSMUSG00000043923","ENSMUSG00000043923")</f>
        <v>ENSMUSG00000043923</v>
      </c>
      <c r="I5745" s="7" t="str">
        <f>HYPERLINK("http://www.informatics.jax.org/marker/MGI:2685960","MGI:2685960")</f>
        <v>MGI:2685960</v>
      </c>
      <c r="J5745" s="4" t="s">
        <v>12</v>
      </c>
    </row>
    <row r="5746" spans="1:10" x14ac:dyDescent="0.25">
      <c r="A5746" s="2">
        <v>410.30344789503903</v>
      </c>
      <c r="B5746" s="3">
        <v>-0.42965824010362003</v>
      </c>
      <c r="C5746" s="5">
        <v>1.04974360058372E-7</v>
      </c>
      <c r="D5746" s="6">
        <v>4.7555579608341099E-7</v>
      </c>
      <c r="E5746" s="3" t="s">
        <v>8723</v>
      </c>
      <c r="F5746" s="3" t="s">
        <v>8724</v>
      </c>
      <c r="G5746" s="3">
        <v>58230</v>
      </c>
      <c r="H5746" s="7" t="str">
        <f>HYPERLINK("http://www.ensembl.org/Mus_musculus/Gene/Summary?db=core;g=ENSMUSG00000090083","ENSMUSG00000090083")</f>
        <v>ENSMUSG00000090083</v>
      </c>
      <c r="I5746" s="7" t="str">
        <f>HYPERLINK("http://www.informatics.jax.org/marker/MGI:1929069","MGI:1929069")</f>
        <v>MGI:1929069</v>
      </c>
      <c r="J5746" s="4" t="s">
        <v>12</v>
      </c>
    </row>
    <row r="5747" spans="1:10" x14ac:dyDescent="0.25">
      <c r="A5747" s="2">
        <v>808.25389167037804</v>
      </c>
      <c r="B5747" s="3">
        <v>-0.42978576637532101</v>
      </c>
      <c r="C5747" s="3">
        <v>1.91152129549595E-4</v>
      </c>
      <c r="D5747" s="4">
        <v>6.2152019698565898E-4</v>
      </c>
      <c r="E5747" s="3" t="s">
        <v>12141</v>
      </c>
      <c r="F5747" s="3" t="s">
        <v>12142</v>
      </c>
      <c r="G5747" s="3">
        <v>209239</v>
      </c>
      <c r="H5747" s="7" t="str">
        <f>HYPERLINK("http://www.ensembl.org/Mus_musculus/Gene/Summary?db=core;g=ENSMUSG00000052557","ENSMUSG00000052557")</f>
        <v>ENSMUSG00000052557</v>
      </c>
      <c r="I5747" s="7" t="str">
        <f>HYPERLINK("http://www.informatics.jax.org/marker/MGI:1890619","MGI:1890619")</f>
        <v>MGI:1890619</v>
      </c>
      <c r="J5747" s="4" t="s">
        <v>12</v>
      </c>
    </row>
    <row r="5748" spans="1:10" x14ac:dyDescent="0.25">
      <c r="A5748" s="2">
        <v>5692.4840141150698</v>
      </c>
      <c r="B5748" s="3">
        <v>-0.43044183578384698</v>
      </c>
      <c r="C5748" s="5">
        <v>6.5240190516590501E-26</v>
      </c>
      <c r="D5748" s="6">
        <v>8.2842019123449096E-25</v>
      </c>
      <c r="E5748" s="3" t="s">
        <v>3124</v>
      </c>
      <c r="F5748" s="3" t="s">
        <v>3125</v>
      </c>
      <c r="G5748" s="3">
        <v>109154</v>
      </c>
      <c r="H5748" s="7" t="str">
        <f>HYPERLINK("http://www.ensembl.org/Mus_musculus/Gene/Summary?db=core;g=ENSMUSG00000048578","ENSMUSG00000048578")</f>
        <v>ENSMUSG00000048578</v>
      </c>
      <c r="I5748" s="7" t="str">
        <f>HYPERLINK("http://www.informatics.jax.org/marker/MGI:1924015","MGI:1924015")</f>
        <v>MGI:1924015</v>
      </c>
      <c r="J5748" s="4" t="s">
        <v>12</v>
      </c>
    </row>
    <row r="5749" spans="1:10" x14ac:dyDescent="0.25">
      <c r="A5749" s="2">
        <v>1350.11307954119</v>
      </c>
      <c r="B5749" s="3">
        <v>-0.43059621459325897</v>
      </c>
      <c r="C5749" s="5">
        <v>4.06856453242567E-13</v>
      </c>
      <c r="D5749" s="6">
        <v>2.7955432954506701E-12</v>
      </c>
      <c r="E5749" s="3" t="s">
        <v>5757</v>
      </c>
      <c r="F5749" s="3" t="s">
        <v>5758</v>
      </c>
      <c r="G5749" s="3">
        <v>78521</v>
      </c>
      <c r="H5749" s="7" t="str">
        <f>HYPERLINK("http://www.ensembl.org/Mus_musculus/Gene/Summary?db=core;g=ENSMUSG00000045767","ENSMUSG00000045767")</f>
        <v>ENSMUSG00000045767</v>
      </c>
      <c r="I5749" s="7" t="str">
        <f>HYPERLINK("http://www.informatics.jax.org/marker/MGI:1925771","MGI:1925771")</f>
        <v>MGI:1925771</v>
      </c>
      <c r="J5749" s="4" t="s">
        <v>12</v>
      </c>
    </row>
    <row r="5750" spans="1:10" x14ac:dyDescent="0.25">
      <c r="A5750" s="2">
        <v>1301.82926433547</v>
      </c>
      <c r="B5750" s="3">
        <v>-0.43087215847987997</v>
      </c>
      <c r="C5750" s="5">
        <v>2.6741168664894099E-10</v>
      </c>
      <c r="D5750" s="6">
        <v>1.5028094786882701E-9</v>
      </c>
      <c r="E5750" s="3" t="s">
        <v>7036</v>
      </c>
      <c r="F5750" s="3" t="s">
        <v>7037</v>
      </c>
      <c r="G5750" s="3">
        <v>54486</v>
      </c>
      <c r="H5750" s="7" t="str">
        <f>HYPERLINK("http://www.ensembl.org/Mus_musculus/Gene/Summary?db=core;g=ENSMUSG00000029919","ENSMUSG00000029919")</f>
        <v>ENSMUSG00000029919</v>
      </c>
      <c r="I5750" s="7" t="str">
        <f>HYPERLINK("http://www.informatics.jax.org/marker/MGI:1859384","MGI:1859384")</f>
        <v>MGI:1859384</v>
      </c>
      <c r="J5750" s="4" t="s">
        <v>12</v>
      </c>
    </row>
    <row r="5751" spans="1:10" x14ac:dyDescent="0.25">
      <c r="A5751" s="2">
        <v>59.391433175464698</v>
      </c>
      <c r="B5751" s="3">
        <v>-0.43092980156695598</v>
      </c>
      <c r="C5751" s="3">
        <v>1.8476053490448799E-2</v>
      </c>
      <c r="D5751" s="4">
        <v>4.34367876527956E-2</v>
      </c>
      <c r="E5751" s="3" t="s">
        <v>16778</v>
      </c>
      <c r="F5751" s="3" t="s">
        <v>16779</v>
      </c>
      <c r="G5751" s="3">
        <v>56278</v>
      </c>
      <c r="H5751" s="7" t="str">
        <f>HYPERLINK("http://www.ensembl.org/Mus_musculus/Gene/Summary?db=core;g=ENSMUSG00000021552","ENSMUSG00000021552")</f>
        <v>ENSMUSG00000021552</v>
      </c>
      <c r="I5751" s="7" t="str">
        <f>HYPERLINK("http://www.informatics.jax.org/marker/MGI:1891694","MGI:1891694")</f>
        <v>MGI:1891694</v>
      </c>
      <c r="J5751" s="4" t="s">
        <v>12</v>
      </c>
    </row>
    <row r="5752" spans="1:10" x14ac:dyDescent="0.25">
      <c r="A5752" s="2">
        <v>323.35897538155399</v>
      </c>
      <c r="B5752" s="3">
        <v>-0.43125683560061501</v>
      </c>
      <c r="C5752" s="3">
        <v>6.5652560551101896E-4</v>
      </c>
      <c r="D5752" s="4">
        <v>1.9884326433231899E-3</v>
      </c>
      <c r="E5752" s="3" t="s">
        <v>13031</v>
      </c>
      <c r="F5752" s="3" t="s">
        <v>13032</v>
      </c>
      <c r="G5752" s="3">
        <v>217430</v>
      </c>
      <c r="H5752" s="7" t="str">
        <f>HYPERLINK("http://www.ensembl.org/Mus_musculus/Gene/Summary?db=core;g=ENSMUSG00000045679","ENSMUSG00000045679")</f>
        <v>ENSMUSG00000045679</v>
      </c>
      <c r="I5752" s="7" t="str">
        <f>HYPERLINK("http://www.informatics.jax.org/marker/MGI:2444067","MGI:2444067")</f>
        <v>MGI:2444067</v>
      </c>
      <c r="J5752" s="4" t="s">
        <v>12</v>
      </c>
    </row>
    <row r="5753" spans="1:10" x14ac:dyDescent="0.25">
      <c r="A5753" s="2">
        <v>125.54349415681401</v>
      </c>
      <c r="B5753" s="3">
        <v>-0.43150165792559603</v>
      </c>
      <c r="C5753" s="3">
        <v>3.29771592322182E-4</v>
      </c>
      <c r="D5753" s="4">
        <v>1.03933127706464E-3</v>
      </c>
      <c r="E5753" s="3" t="s">
        <v>12527</v>
      </c>
      <c r="F5753" s="3" t="s">
        <v>12528</v>
      </c>
      <c r="G5753" s="3">
        <v>65257</v>
      </c>
      <c r="H5753" s="7" t="str">
        <f>HYPERLINK("http://www.ensembl.org/Mus_musculus/Gene/Summary?db=core;g=ENSMUSG00000020305","ENSMUSG00000020305")</f>
        <v>ENSMUSG00000020305</v>
      </c>
      <c r="I5753" s="7" t="str">
        <f>HYPERLINK("http://www.informatics.jax.org/marker/MGI:1929749","MGI:1929749")</f>
        <v>MGI:1929749</v>
      </c>
      <c r="J5753" s="4" t="s">
        <v>12</v>
      </c>
    </row>
    <row r="5754" spans="1:10" x14ac:dyDescent="0.25">
      <c r="A5754" s="2">
        <v>1223.5891305796799</v>
      </c>
      <c r="B5754" s="3">
        <v>-0.43163788953533999</v>
      </c>
      <c r="C5754" s="5">
        <v>3.64371978644589E-20</v>
      </c>
      <c r="D5754" s="6">
        <v>3.6418729948663498E-19</v>
      </c>
      <c r="E5754" s="3" t="s">
        <v>3964</v>
      </c>
      <c r="F5754" s="3" t="s">
        <v>3965</v>
      </c>
      <c r="G5754" s="3">
        <v>27103</v>
      </c>
      <c r="H5754" s="7" t="str">
        <f>HYPERLINK("http://www.ensembl.org/Mus_musculus/Gene/Summary?db=core;g=ENSMUSG00000005102","ENSMUSG00000005102")</f>
        <v>ENSMUSG00000005102</v>
      </c>
      <c r="I5754" s="7" t="str">
        <f>HYPERLINK("http://www.informatics.jax.org/marker/MGI:1353427","MGI:1353427")</f>
        <v>MGI:1353427</v>
      </c>
      <c r="J5754" s="4" t="s">
        <v>12</v>
      </c>
    </row>
    <row r="5755" spans="1:10" x14ac:dyDescent="0.25">
      <c r="A5755" s="2">
        <v>425.68747366538003</v>
      </c>
      <c r="B5755" s="3">
        <v>-0.43175994004514601</v>
      </c>
      <c r="C5755" s="3">
        <v>1.09406264474916E-4</v>
      </c>
      <c r="D5755" s="4">
        <v>3.6735765970463902E-4</v>
      </c>
      <c r="E5755" s="3" t="s">
        <v>11757</v>
      </c>
      <c r="F5755" s="3" t="s">
        <v>11758</v>
      </c>
      <c r="G5755" s="3">
        <v>68020</v>
      </c>
      <c r="H5755" s="7" t="str">
        <f>HYPERLINK("http://www.ensembl.org/Mus_musculus/Gene/Summary?db=core;g=ENSMUSG00000037787","ENSMUSG00000037787")</f>
        <v>ENSMUSG00000037787</v>
      </c>
      <c r="I5755" s="7" t="str">
        <f>HYPERLINK("http://www.informatics.jax.org/marker/MGI:1915270","MGI:1915270")</f>
        <v>MGI:1915270</v>
      </c>
      <c r="J5755" s="4" t="s">
        <v>12</v>
      </c>
    </row>
    <row r="5756" spans="1:10" x14ac:dyDescent="0.25">
      <c r="A5756" s="2">
        <v>994.30761199201402</v>
      </c>
      <c r="B5756" s="3">
        <v>-0.43200590547249001</v>
      </c>
      <c r="C5756" s="3">
        <v>2.2604055607324202E-3</v>
      </c>
      <c r="D5756" s="4">
        <v>6.3290071926229404E-3</v>
      </c>
      <c r="E5756" s="3" t="s">
        <v>14093</v>
      </c>
      <c r="F5756" s="3" t="s">
        <v>14094</v>
      </c>
      <c r="G5756" s="3">
        <v>381293</v>
      </c>
      <c r="H5756" s="7" t="str">
        <f>HYPERLINK("http://www.ensembl.org/Mus_musculus/Gene/Summary?db=core;g=ENSMUSG00000041498","ENSMUSG00000041498")</f>
        <v>ENSMUSG00000041498</v>
      </c>
      <c r="I5756" s="7" t="str">
        <f>HYPERLINK("http://www.informatics.jax.org/marker/MGI:1098226","MGI:1098226")</f>
        <v>MGI:1098226</v>
      </c>
      <c r="J5756" s="4" t="s">
        <v>12</v>
      </c>
    </row>
    <row r="5757" spans="1:10" x14ac:dyDescent="0.25">
      <c r="A5757" s="2">
        <v>1183.5247654743</v>
      </c>
      <c r="B5757" s="3">
        <v>-0.432083413058715</v>
      </c>
      <c r="C5757" s="5">
        <v>4.94479401687338E-20</v>
      </c>
      <c r="D5757" s="6">
        <v>4.9000672368212597E-19</v>
      </c>
      <c r="E5757" s="3" t="s">
        <v>3998</v>
      </c>
      <c r="F5757" s="3" t="s">
        <v>3999</v>
      </c>
      <c r="G5757" s="3">
        <v>67270</v>
      </c>
      <c r="H5757" s="7" t="str">
        <f>HYPERLINK("http://www.ensembl.org/Mus_musculus/Gene/Summary?db=core;g=ENSMUSG00000062981","ENSMUSG00000062981")</f>
        <v>ENSMUSG00000062981</v>
      </c>
      <c r="I5757" s="7" t="str">
        <f>HYPERLINK("http://www.informatics.jax.org/marker/MGI:1333774","MGI:1333774")</f>
        <v>MGI:1333774</v>
      </c>
      <c r="J5757" s="4" t="s">
        <v>12</v>
      </c>
    </row>
    <row r="5758" spans="1:10" x14ac:dyDescent="0.25">
      <c r="A5758" s="2">
        <v>678.66622164872297</v>
      </c>
      <c r="B5758" s="3">
        <v>-0.43234810185582001</v>
      </c>
      <c r="C5758" s="5">
        <v>1.52047250626934E-9</v>
      </c>
      <c r="D5758" s="6">
        <v>8.0363757232997495E-9</v>
      </c>
      <c r="E5758" s="3" t="s">
        <v>7480</v>
      </c>
      <c r="F5758" s="3" t="s">
        <v>7481</v>
      </c>
      <c r="G5758" s="3">
        <v>208092</v>
      </c>
      <c r="H5758" s="7" t="str">
        <f>HYPERLINK("http://www.ensembl.org/Mus_musculus/Gene/Summary?db=core;g=ENSMUSG00000025371","ENSMUSG00000025371")</f>
        <v>ENSMUSG00000025371</v>
      </c>
      <c r="I5758" s="7" t="str">
        <f>HYPERLINK("http://www.informatics.jax.org/marker/MGI:3583942","MGI:3583942")</f>
        <v>MGI:3583942</v>
      </c>
      <c r="J5758" s="4" t="s">
        <v>12</v>
      </c>
    </row>
    <row r="5759" spans="1:10" x14ac:dyDescent="0.25">
      <c r="A5759" s="2">
        <v>534.41018796836704</v>
      </c>
      <c r="B5759" s="3">
        <v>-0.43246053276679097</v>
      </c>
      <c r="C5759" s="5">
        <v>3.8248269114081699E-10</v>
      </c>
      <c r="D5759" s="6">
        <v>2.11691234052678E-9</v>
      </c>
      <c r="E5759" s="3" t="s">
        <v>7144</v>
      </c>
      <c r="F5759" s="3" t="s">
        <v>7145</v>
      </c>
      <c r="G5759" s="3" t="s">
        <v>83</v>
      </c>
      <c r="H5759" s="7" t="str">
        <f>HYPERLINK("http://www.ensembl.org/Mus_musculus/Gene/Summary?db=core;g=ENSMUSG00000097239","ENSMUSG00000097239")</f>
        <v>ENSMUSG00000097239</v>
      </c>
      <c r="I5759" s="7" t="str">
        <f>HYPERLINK("http://www.informatics.jax.org/marker/MGI:5504144","MGI:5504144")</f>
        <v>MGI:5504144</v>
      </c>
      <c r="J5759" s="4" t="s">
        <v>12</v>
      </c>
    </row>
    <row r="5760" spans="1:10" x14ac:dyDescent="0.25">
      <c r="A5760" s="2">
        <v>77.541844097090902</v>
      </c>
      <c r="B5760" s="3">
        <v>-0.43257018902101402</v>
      </c>
      <c r="C5760" s="3">
        <v>9.5258942189316801E-3</v>
      </c>
      <c r="D5760" s="4">
        <v>2.3799649562565899E-2</v>
      </c>
      <c r="E5760" s="3" t="s">
        <v>15791</v>
      </c>
      <c r="F5760" s="3" t="s">
        <v>15792</v>
      </c>
      <c r="G5760" s="3">
        <v>70300</v>
      </c>
      <c r="H5760" s="7" t="str">
        <f>HYPERLINK("http://www.ensembl.org/Mus_musculus/Gene/Summary?db=core;g=ENSMUSG00000011658","ENSMUSG00000011658")</f>
        <v>ENSMUSG00000011658</v>
      </c>
      <c r="I5760" s="7" t="str">
        <f>HYPERLINK("http://www.informatics.jax.org/marker/MGI:1917550","MGI:1917550")</f>
        <v>MGI:1917550</v>
      </c>
      <c r="J5760" s="4" t="s">
        <v>12</v>
      </c>
    </row>
    <row r="5761" spans="1:10" x14ac:dyDescent="0.25">
      <c r="A5761" s="2">
        <v>2845.6667156050598</v>
      </c>
      <c r="B5761" s="3">
        <v>-0.43301883816542602</v>
      </c>
      <c r="C5761" s="5">
        <v>3.2591330802581499E-12</v>
      </c>
      <c r="D5761" s="6">
        <v>2.1246315485187002E-11</v>
      </c>
      <c r="E5761" s="3" t="s">
        <v>6067</v>
      </c>
      <c r="F5761" s="3" t="s">
        <v>6068</v>
      </c>
      <c r="G5761" s="3">
        <v>74772</v>
      </c>
      <c r="H5761" s="7" t="str">
        <f>HYPERLINK("http://www.ensembl.org/Mus_musculus/Gene/Summary?db=core;g=ENSMUSG00000036622","ENSMUSG00000036622")</f>
        <v>ENSMUSG00000036622</v>
      </c>
      <c r="I5761" s="7" t="str">
        <f>HYPERLINK("http://www.informatics.jax.org/marker/MGI:1922022","MGI:1922022")</f>
        <v>MGI:1922022</v>
      </c>
      <c r="J5761" s="4" t="s">
        <v>12</v>
      </c>
    </row>
    <row r="5762" spans="1:10" x14ac:dyDescent="0.25">
      <c r="A5762" s="2">
        <v>397.98752357836901</v>
      </c>
      <c r="B5762" s="3">
        <v>-0.43309943156115699</v>
      </c>
      <c r="C5762" s="5">
        <v>2.2204147229706799E-5</v>
      </c>
      <c r="D5762" s="6">
        <v>8.0371839825590805E-5</v>
      </c>
      <c r="E5762" s="3" t="s">
        <v>10908</v>
      </c>
      <c r="F5762" s="3" t="s">
        <v>10909</v>
      </c>
      <c r="G5762" s="3">
        <v>269702</v>
      </c>
      <c r="H5762" s="7" t="str">
        <f>HYPERLINK("http://www.ensembl.org/Mus_musculus/Gene/Summary?db=core;g=ENSMUSG00000038126","ENSMUSG00000038126")</f>
        <v>ENSMUSG00000038126</v>
      </c>
      <c r="I5762" s="7" t="str">
        <f>HYPERLINK("http://www.informatics.jax.org/marker/MGI:2443138","MGI:2443138")</f>
        <v>MGI:2443138</v>
      </c>
      <c r="J5762" s="4" t="s">
        <v>12</v>
      </c>
    </row>
    <row r="5763" spans="1:10" x14ac:dyDescent="0.25">
      <c r="A5763" s="2">
        <v>219.56288396282201</v>
      </c>
      <c r="B5763" s="3">
        <v>-0.43310060519858301</v>
      </c>
      <c r="C5763" s="5">
        <v>7.5825702608712197E-7</v>
      </c>
      <c r="D5763" s="6">
        <v>3.1746982068870598E-6</v>
      </c>
      <c r="E5763" s="3" t="s">
        <v>9435</v>
      </c>
      <c r="F5763" s="3" t="s">
        <v>9436</v>
      </c>
      <c r="G5763" s="3">
        <v>70020</v>
      </c>
      <c r="H5763" s="7" t="str">
        <f>HYPERLINK("http://www.ensembl.org/Mus_musculus/Gene/Summary?db=core;g=ENSMUSG00000030034","ENSMUSG00000030034")</f>
        <v>ENSMUSG00000030034</v>
      </c>
      <c r="I5763" s="7" t="str">
        <f>HYPERLINK("http://www.informatics.jax.org/marker/MGI:1917270","MGI:1917270")</f>
        <v>MGI:1917270</v>
      </c>
      <c r="J5763" s="4" t="s">
        <v>12</v>
      </c>
    </row>
    <row r="5764" spans="1:10" x14ac:dyDescent="0.25">
      <c r="A5764" s="2">
        <v>1968.7126062750301</v>
      </c>
      <c r="B5764" s="3">
        <v>-0.43381194574342302</v>
      </c>
      <c r="C5764" s="5">
        <v>4.1921823458267402E-28</v>
      </c>
      <c r="D5764" s="6">
        <v>5.7449503724602699E-27</v>
      </c>
      <c r="E5764" s="3" t="s">
        <v>2896</v>
      </c>
      <c r="F5764" s="3" t="s">
        <v>2897</v>
      </c>
      <c r="G5764" s="3">
        <v>210711</v>
      </c>
      <c r="H5764" s="7" t="str">
        <f>HYPERLINK("http://www.ensembl.org/Mus_musculus/Gene/Summary?db=core;g=ENSMUSG00000048170","ENSMUSG00000048170")</f>
        <v>ENSMUSG00000048170</v>
      </c>
      <c r="I5764" s="7" t="str">
        <f>HYPERLINK("http://www.informatics.jax.org/marker/MGI:1920977","MGI:1920977")</f>
        <v>MGI:1920977</v>
      </c>
      <c r="J5764" s="4" t="s">
        <v>12</v>
      </c>
    </row>
    <row r="5765" spans="1:10" x14ac:dyDescent="0.25">
      <c r="A5765" s="2">
        <v>1607.89096720312</v>
      </c>
      <c r="B5765" s="3">
        <v>-0.43397637218504798</v>
      </c>
      <c r="C5765" s="5">
        <v>1.25871554112176E-5</v>
      </c>
      <c r="D5765" s="6">
        <v>4.67279188082101E-5</v>
      </c>
      <c r="E5765" s="3" t="s">
        <v>10636</v>
      </c>
      <c r="F5765" s="3" t="s">
        <v>10637</v>
      </c>
      <c r="G5765" s="3">
        <v>13036</v>
      </c>
      <c r="H5765" s="7" t="str">
        <f>HYPERLINK("http://www.ensembl.org/Mus_musculus/Gene/Summary?db=core;g=ENSMUSG00000032359","ENSMUSG00000032359")</f>
        <v>ENSMUSG00000032359</v>
      </c>
      <c r="I5765" s="7" t="str">
        <f>HYPERLINK("http://www.informatics.jax.org/marker/MGI:107285","MGI:107285")</f>
        <v>MGI:107285</v>
      </c>
      <c r="J5765" s="4" t="s">
        <v>12</v>
      </c>
    </row>
    <row r="5766" spans="1:10" x14ac:dyDescent="0.25">
      <c r="A5766" s="2">
        <v>265.874416873869</v>
      </c>
      <c r="B5766" s="3">
        <v>-0.43476878099009603</v>
      </c>
      <c r="C5766" s="5">
        <v>1.93814531441516E-6</v>
      </c>
      <c r="D5766" s="6">
        <v>7.8032310331292101E-6</v>
      </c>
      <c r="E5766" s="3" t="s">
        <v>9811</v>
      </c>
      <c r="F5766" s="3" t="s">
        <v>9812</v>
      </c>
      <c r="G5766" s="3">
        <v>15185</v>
      </c>
      <c r="H5766" s="7" t="str">
        <f>HYPERLINK("http://www.ensembl.org/Mus_musculus/Gene/Summary?db=core;g=ENSMUSG00000031161","ENSMUSG00000031161")</f>
        <v>ENSMUSG00000031161</v>
      </c>
      <c r="I5766" s="7" t="str">
        <f>HYPERLINK("http://www.informatics.jax.org/marker/MGI:1333752","MGI:1333752")</f>
        <v>MGI:1333752</v>
      </c>
      <c r="J5766" s="4" t="s">
        <v>12</v>
      </c>
    </row>
    <row r="5767" spans="1:10" x14ac:dyDescent="0.25">
      <c r="A5767" s="2">
        <v>1734.01768592996</v>
      </c>
      <c r="B5767" s="3">
        <v>-0.43492887117482598</v>
      </c>
      <c r="C5767" s="5">
        <v>4.9662307149865804E-21</v>
      </c>
      <c r="D5767" s="6">
        <v>5.13012413302961E-20</v>
      </c>
      <c r="E5767" s="3" t="s">
        <v>3836</v>
      </c>
      <c r="F5767" s="3" t="s">
        <v>3837</v>
      </c>
      <c r="G5767" s="3">
        <v>77305</v>
      </c>
      <c r="H5767" s="7" t="str">
        <f>HYPERLINK("http://www.ensembl.org/Mus_musculus/Gene/Summary?db=core;g=ENSMUSG00000020257","ENSMUSG00000020257")</f>
        <v>ENSMUSG00000020257</v>
      </c>
      <c r="I5767" s="7" t="str">
        <f>HYPERLINK("http://www.informatics.jax.org/marker/MGI:1924555","MGI:1924555")</f>
        <v>MGI:1924555</v>
      </c>
      <c r="J5767" s="4" t="s">
        <v>12</v>
      </c>
    </row>
    <row r="5768" spans="1:10" x14ac:dyDescent="0.25">
      <c r="A5768" s="2">
        <v>284.66717551549101</v>
      </c>
      <c r="B5768" s="3">
        <v>-0.43504518329411701</v>
      </c>
      <c r="C5768" s="3">
        <v>2.2700622860773699E-4</v>
      </c>
      <c r="D5768" s="4">
        <v>7.3254178172877803E-4</v>
      </c>
      <c r="E5768" s="3" t="s">
        <v>12233</v>
      </c>
      <c r="F5768" s="3" t="s">
        <v>12234</v>
      </c>
      <c r="G5768" s="3">
        <v>100177</v>
      </c>
      <c r="H5768" s="7" t="str">
        <f>HYPERLINK("http://www.ensembl.org/Mus_musculus/Gene/Summary?db=core;g=ENSMUSG00000042408","ENSMUSG00000042408")</f>
        <v>ENSMUSG00000042408</v>
      </c>
      <c r="I5768" s="7" t="str">
        <f>HYPERLINK("http://www.informatics.jax.org/marker/MGI:106505","MGI:106505")</f>
        <v>MGI:106505</v>
      </c>
      <c r="J5768" s="4" t="s">
        <v>12</v>
      </c>
    </row>
    <row r="5769" spans="1:10" x14ac:dyDescent="0.25">
      <c r="A5769" s="2">
        <v>673.89961456019898</v>
      </c>
      <c r="B5769" s="3">
        <v>-0.43592695471076298</v>
      </c>
      <c r="C5769" s="5">
        <v>3.98356108386681E-5</v>
      </c>
      <c r="D5769" s="4">
        <v>1.4025321295099699E-4</v>
      </c>
      <c r="E5769" s="3" t="s">
        <v>11213</v>
      </c>
      <c r="F5769" s="3" t="s">
        <v>11214</v>
      </c>
      <c r="G5769" s="3">
        <v>192654</v>
      </c>
      <c r="H5769" s="7" t="str">
        <f>HYPERLINK("http://www.ensembl.org/Mus_musculus/Gene/Summary?db=core;g=ENSMUSG00000031903","ENSMUSG00000031903")</f>
        <v>ENSMUSG00000031903</v>
      </c>
      <c r="I5769" s="7" t="str">
        <f>HYPERLINK("http://www.informatics.jax.org/marker/MGI:2178076","MGI:2178076")</f>
        <v>MGI:2178076</v>
      </c>
      <c r="J5769" s="4" t="s">
        <v>12</v>
      </c>
    </row>
    <row r="5770" spans="1:10" x14ac:dyDescent="0.25">
      <c r="A5770" s="2">
        <v>52.6752328836766</v>
      </c>
      <c r="B5770" s="3">
        <v>-0.43616295200614003</v>
      </c>
      <c r="C5770" s="3">
        <v>7.9199125874565898E-3</v>
      </c>
      <c r="D5770" s="4">
        <v>2.0087546781304699E-2</v>
      </c>
      <c r="E5770" s="3" t="s">
        <v>15555</v>
      </c>
      <c r="F5770" s="3" t="s">
        <v>15556</v>
      </c>
      <c r="G5770" s="3">
        <v>71769</v>
      </c>
      <c r="H5770" s="7" t="str">
        <f>HYPERLINK("http://www.ensembl.org/Mus_musculus/Gene/Summary?db=core;g=ENSMUSG00000035759","ENSMUSG00000035759")</f>
        <v>ENSMUSG00000035759</v>
      </c>
      <c r="I5770" s="7" t="str">
        <f>HYPERLINK("http://www.informatics.jax.org/marker/MGI:1919019","MGI:1919019")</f>
        <v>MGI:1919019</v>
      </c>
      <c r="J5770" s="4" t="s">
        <v>12</v>
      </c>
    </row>
    <row r="5771" spans="1:10" x14ac:dyDescent="0.25">
      <c r="A5771" s="2">
        <v>529.91027027349298</v>
      </c>
      <c r="B5771" s="3">
        <v>-0.43642467289598502</v>
      </c>
      <c r="C5771" s="5">
        <v>8.74048500115126E-10</v>
      </c>
      <c r="D5771" s="6">
        <v>4.7054972487770402E-9</v>
      </c>
      <c r="E5771" s="3" t="s">
        <v>7344</v>
      </c>
      <c r="F5771" s="3" t="s">
        <v>7345</v>
      </c>
      <c r="G5771" s="3">
        <v>27801</v>
      </c>
      <c r="H5771" s="7" t="str">
        <f>HYPERLINK("http://www.ensembl.org/Mus_musculus/Gene/Summary?db=core;g=ENSMUSG00000060166","ENSMUSG00000060166")</f>
        <v>ENSMUSG00000060166</v>
      </c>
      <c r="I5771" s="7" t="str">
        <f>HYPERLINK("http://www.informatics.jax.org/marker/MGI:1338012","MGI:1338012")</f>
        <v>MGI:1338012</v>
      </c>
      <c r="J5771" s="4" t="s">
        <v>12</v>
      </c>
    </row>
    <row r="5772" spans="1:10" x14ac:dyDescent="0.25">
      <c r="A5772" s="2">
        <v>1348.6413912267301</v>
      </c>
      <c r="B5772" s="3">
        <v>-0.43650533409586501</v>
      </c>
      <c r="C5772" s="5">
        <v>3.9151950176135498E-5</v>
      </c>
      <c r="D5772" s="4">
        <v>1.3796303369835401E-4</v>
      </c>
      <c r="E5772" s="3" t="s">
        <v>11203</v>
      </c>
      <c r="F5772" s="3" t="s">
        <v>11204</v>
      </c>
      <c r="G5772" s="3">
        <v>56743</v>
      </c>
      <c r="H5772" s="7" t="str">
        <f>HYPERLINK("http://www.ensembl.org/Mus_musculus/Gene/Summary?db=core;g=ENSMUSG00000040751","ENSMUSG00000040751")</f>
        <v>ENSMUSG00000040751</v>
      </c>
      <c r="I5772" s="7" t="str">
        <f>HYPERLINK("http://www.informatics.jax.org/marker/MGI:1926479","MGI:1926479")</f>
        <v>MGI:1926479</v>
      </c>
      <c r="J5772" s="4" t="s">
        <v>12</v>
      </c>
    </row>
    <row r="5773" spans="1:10" x14ac:dyDescent="0.25">
      <c r="A5773" s="2">
        <v>274.73314527649001</v>
      </c>
      <c r="B5773" s="3">
        <v>-0.43681834351622201</v>
      </c>
      <c r="C5773" s="5">
        <v>5.3746927899837305E-7</v>
      </c>
      <c r="D5773" s="6">
        <v>2.2872020245679602E-6</v>
      </c>
      <c r="E5773" s="3" t="s">
        <v>9283</v>
      </c>
      <c r="F5773" s="3" t="s">
        <v>9284</v>
      </c>
      <c r="G5773" s="3">
        <v>219105</v>
      </c>
      <c r="H5773" s="7" t="str">
        <f>HYPERLINK("http://www.ensembl.org/Mus_musculus/Gene/Summary?db=core;g=ENSMUSG00000040123","ENSMUSG00000040123")</f>
        <v>ENSMUSG00000040123</v>
      </c>
      <c r="I5773" s="7" t="str">
        <f>HYPERLINK("http://www.informatics.jax.org/marker/MGI:3041170","MGI:3041170")</f>
        <v>MGI:3041170</v>
      </c>
      <c r="J5773" s="4" t="s">
        <v>12</v>
      </c>
    </row>
    <row r="5774" spans="1:10" x14ac:dyDescent="0.25">
      <c r="A5774" s="2">
        <v>267.14130186371898</v>
      </c>
      <c r="B5774" s="3">
        <v>-0.43696030003073999</v>
      </c>
      <c r="C5774" s="5">
        <v>6.75032821656196E-6</v>
      </c>
      <c r="D5774" s="6">
        <v>2.57428877258948E-5</v>
      </c>
      <c r="E5774" s="3" t="s">
        <v>10356</v>
      </c>
      <c r="F5774" s="3" t="s">
        <v>10357</v>
      </c>
      <c r="G5774" s="3">
        <v>105734727</v>
      </c>
      <c r="H5774" s="7" t="str">
        <f>HYPERLINK("http://www.ensembl.org/Mus_musculus/Gene/Summary?db=core;g=ENSMUSG00000097919","ENSMUSG00000097919")</f>
        <v>ENSMUSG00000097919</v>
      </c>
      <c r="I5774" s="7" t="str">
        <f>HYPERLINK("http://www.informatics.jax.org/marker/MGI:5504136","MGI:5504136")</f>
        <v>MGI:5504136</v>
      </c>
      <c r="J5774" s="4" t="s">
        <v>12</v>
      </c>
    </row>
    <row r="5775" spans="1:10" x14ac:dyDescent="0.25">
      <c r="A5775" s="2">
        <v>1088.66821829688</v>
      </c>
      <c r="B5775" s="3">
        <v>-0.43736262421392702</v>
      </c>
      <c r="C5775" s="5">
        <v>5.1229768336000001E-5</v>
      </c>
      <c r="D5775" s="4">
        <v>1.78300570346968E-4</v>
      </c>
      <c r="E5775" s="3" t="s">
        <v>11343</v>
      </c>
      <c r="F5775" s="3" t="s">
        <v>11344</v>
      </c>
      <c r="G5775" s="3">
        <v>57330</v>
      </c>
      <c r="H5775" s="7" t="str">
        <f>HYPERLINK("http://www.ensembl.org/Mus_musculus/Gene/Summary?db=core;g=ENSMUSG00000029714","ENSMUSG00000029714")</f>
        <v>ENSMUSG00000029714</v>
      </c>
      <c r="I5775" s="7" t="str">
        <f>HYPERLINK("http://www.informatics.jax.org/marker/MGI:1888677","MGI:1888677")</f>
        <v>MGI:1888677</v>
      </c>
      <c r="J5775" s="4" t="s">
        <v>12</v>
      </c>
    </row>
    <row r="5776" spans="1:10" x14ac:dyDescent="0.25">
      <c r="A5776" s="2">
        <v>387.27392212074199</v>
      </c>
      <c r="B5776" s="3">
        <v>-0.43739193646459801</v>
      </c>
      <c r="C5776" s="5">
        <v>1.7663658615727199E-6</v>
      </c>
      <c r="D5776" s="6">
        <v>7.1276314283229104E-6</v>
      </c>
      <c r="E5776" s="3" t="s">
        <v>9789</v>
      </c>
      <c r="F5776" s="3" t="s">
        <v>9790</v>
      </c>
      <c r="G5776" s="3">
        <v>26356</v>
      </c>
      <c r="H5776" s="7" t="str">
        <f>HYPERLINK("http://www.ensembl.org/Mus_musculus/Gene/Summary?db=core;g=ENSMUSG00000045969","ENSMUSG00000045969")</f>
        <v>ENSMUSG00000045969</v>
      </c>
      <c r="I5776" s="7" t="str">
        <f>HYPERLINK("http://www.informatics.jax.org/marker/MGI:1349481","MGI:1349481")</f>
        <v>MGI:1349481</v>
      </c>
      <c r="J5776" s="4" t="s">
        <v>12</v>
      </c>
    </row>
    <row r="5777" spans="1:10" x14ac:dyDescent="0.25">
      <c r="A5777" s="2">
        <v>1576.8611963337701</v>
      </c>
      <c r="B5777" s="3">
        <v>-0.43806242620670099</v>
      </c>
      <c r="C5777" s="5">
        <v>1.90582772624994E-16</v>
      </c>
      <c r="D5777" s="6">
        <v>1.5718495508845199E-15</v>
      </c>
      <c r="E5777" s="3" t="s">
        <v>4799</v>
      </c>
      <c r="F5777" s="3" t="s">
        <v>4800</v>
      </c>
      <c r="G5777" s="3">
        <v>213990</v>
      </c>
      <c r="H5777" s="7" t="str">
        <f>HYPERLINK("http://www.ensembl.org/Mus_musculus/Gene/Summary?db=core;g=ENSMUSG00000023353","ENSMUSG00000023353")</f>
        <v>ENSMUSG00000023353</v>
      </c>
      <c r="I5777" s="7" t="str">
        <f>HYPERLINK("http://www.informatics.jax.org/marker/MGI:2183446","MGI:2183446")</f>
        <v>MGI:2183446</v>
      </c>
      <c r="J5777" s="4" t="s">
        <v>12</v>
      </c>
    </row>
    <row r="5778" spans="1:10" x14ac:dyDescent="0.25">
      <c r="A5778" s="2">
        <v>275.74784032061001</v>
      </c>
      <c r="B5778" s="3">
        <v>-0.43820104811746102</v>
      </c>
      <c r="C5778" s="5">
        <v>1.4824568210963E-6</v>
      </c>
      <c r="D5778" s="6">
        <v>6.0214312074189703E-6</v>
      </c>
      <c r="E5778" s="3" t="s">
        <v>9725</v>
      </c>
      <c r="F5778" s="3" t="s">
        <v>9726</v>
      </c>
      <c r="G5778" s="3">
        <v>70235</v>
      </c>
      <c r="H5778" s="7" t="str">
        <f>HYPERLINK("http://www.ensembl.org/Mus_musculus/Gene/Summary?db=core;g=ENSMUSG00000023345","ENSMUSG00000023345")</f>
        <v>ENSMUSG00000023345</v>
      </c>
      <c r="I5778" s="7" t="str">
        <f>HYPERLINK("http://www.informatics.jax.org/marker/MGI:1917485","MGI:1917485")</f>
        <v>MGI:1917485</v>
      </c>
      <c r="J5778" s="4" t="s">
        <v>12</v>
      </c>
    </row>
    <row r="5779" spans="1:10" x14ac:dyDescent="0.25">
      <c r="A5779" s="2">
        <v>853.09501122468203</v>
      </c>
      <c r="B5779" s="3">
        <v>-0.438291133385669</v>
      </c>
      <c r="C5779" s="5">
        <v>6.6999772817324895E-14</v>
      </c>
      <c r="D5779" s="6">
        <v>4.8255497441842503E-13</v>
      </c>
      <c r="E5779" s="3" t="s">
        <v>5493</v>
      </c>
      <c r="F5779" s="3" t="s">
        <v>5494</v>
      </c>
      <c r="G5779" s="3">
        <v>217449</v>
      </c>
      <c r="H5779" s="7" t="str">
        <f>HYPERLINK("http://www.ensembl.org/Mus_musculus/Gene/Summary?db=core;g=ENSMUSG00000020628","ENSMUSG00000020628")</f>
        <v>ENSMUSG00000020628</v>
      </c>
      <c r="I5779" s="7" t="str">
        <f>HYPERLINK("http://www.informatics.jax.org/marker/MGI:2445089","MGI:2445089")</f>
        <v>MGI:2445089</v>
      </c>
      <c r="J5779" s="4" t="s">
        <v>12</v>
      </c>
    </row>
    <row r="5780" spans="1:10" x14ac:dyDescent="0.25">
      <c r="A5780" s="2">
        <v>717.569459435466</v>
      </c>
      <c r="B5780" s="3">
        <v>-0.43840790445483901</v>
      </c>
      <c r="C5780" s="5">
        <v>3.7810343786185402E-12</v>
      </c>
      <c r="D5780" s="6">
        <v>2.4510847451136599E-11</v>
      </c>
      <c r="E5780" s="3" t="s">
        <v>6101</v>
      </c>
      <c r="F5780" s="3" t="s">
        <v>6102</v>
      </c>
      <c r="G5780" s="3">
        <v>13663</v>
      </c>
      <c r="H5780" s="7" t="str">
        <f>HYPERLINK("http://www.ensembl.org/Mus_musculus/Gene/Summary?db=core;g=ENSMUSG00000062762","ENSMUSG00000062762")</f>
        <v>ENSMUSG00000062762</v>
      </c>
      <c r="I5780" s="7" t="str">
        <f>HYPERLINK("http://www.informatics.jax.org/marker/MGI:108090","MGI:108090")</f>
        <v>MGI:108090</v>
      </c>
      <c r="J5780" s="4" t="s">
        <v>12</v>
      </c>
    </row>
    <row r="5781" spans="1:10" x14ac:dyDescent="0.25">
      <c r="A5781" s="2">
        <v>542.87626704314096</v>
      </c>
      <c r="B5781" s="3">
        <v>-0.43846864168600103</v>
      </c>
      <c r="C5781" s="5">
        <v>3.2209906866755698E-8</v>
      </c>
      <c r="D5781" s="6">
        <v>1.5224816956194199E-7</v>
      </c>
      <c r="E5781" s="3" t="s">
        <v>8361</v>
      </c>
      <c r="F5781" s="3" t="s">
        <v>8362</v>
      </c>
      <c r="G5781" s="3">
        <v>67883</v>
      </c>
      <c r="H5781" s="7" t="str">
        <f>HYPERLINK("http://www.ensembl.org/Mus_musculus/Gene/Summary?db=core;g=ENSMUSG00000057363","ENSMUSG00000057363")</f>
        <v>ENSMUSG00000057363</v>
      </c>
      <c r="I5781" s="7" t="str">
        <f>HYPERLINK("http://www.informatics.jax.org/marker/MGI:1915133","MGI:1915133")</f>
        <v>MGI:1915133</v>
      </c>
      <c r="J5781" s="4" t="s">
        <v>12</v>
      </c>
    </row>
    <row r="5782" spans="1:10" x14ac:dyDescent="0.25">
      <c r="A5782" s="2">
        <v>1480.8394327783799</v>
      </c>
      <c r="B5782" s="3">
        <v>-0.43859812917334901</v>
      </c>
      <c r="C5782" s="5">
        <v>7.2336270332933504E-7</v>
      </c>
      <c r="D5782" s="6">
        <v>3.0343995978843801E-6</v>
      </c>
      <c r="E5782" s="3" t="s">
        <v>9417</v>
      </c>
      <c r="F5782" s="3" t="s">
        <v>9418</v>
      </c>
      <c r="G5782" s="3">
        <v>29813</v>
      </c>
      <c r="H5782" s="7" t="str">
        <f>HYPERLINK("http://www.ensembl.org/Mus_musculus/Gene/Summary?db=core;g=ENSMUSG00000000552","ENSMUSG00000000552")</f>
        <v>ENSMUSG00000000552</v>
      </c>
      <c r="I5782" s="7" t="str">
        <f>HYPERLINK("http://www.informatics.jax.org/marker/MGI:1352495","MGI:1352495")</f>
        <v>MGI:1352495</v>
      </c>
      <c r="J5782" s="4" t="s">
        <v>12</v>
      </c>
    </row>
    <row r="5783" spans="1:10" x14ac:dyDescent="0.25">
      <c r="A5783" s="2">
        <v>1458.30230813921</v>
      </c>
      <c r="B5783" s="3">
        <v>-0.43861119095512102</v>
      </c>
      <c r="C5783" s="5">
        <v>6.4767790585042997E-15</v>
      </c>
      <c r="D5783" s="6">
        <v>4.9620078878673198E-14</v>
      </c>
      <c r="E5783" s="3" t="s">
        <v>5165</v>
      </c>
      <c r="F5783" s="3" t="s">
        <v>5166</v>
      </c>
      <c r="G5783" s="3">
        <v>68094</v>
      </c>
      <c r="H5783" s="7" t="str">
        <f>HYPERLINK("http://www.ensembl.org/Mus_musculus/Gene/Summary?db=core;g=ENSMUSG00000025369","ENSMUSG00000025369")</f>
        <v>ENSMUSG00000025369</v>
      </c>
      <c r="I5783" s="7" t="str">
        <f>HYPERLINK("http://www.informatics.jax.org/marker/MGI:1915344","MGI:1915344")</f>
        <v>MGI:1915344</v>
      </c>
      <c r="J5783" s="4" t="s">
        <v>12</v>
      </c>
    </row>
    <row r="5784" spans="1:10" x14ac:dyDescent="0.25">
      <c r="A5784" s="2">
        <v>2543.8521952812198</v>
      </c>
      <c r="B5784" s="3">
        <v>-0.438663914890707</v>
      </c>
      <c r="C5784" s="5">
        <v>1.0977951980837699E-9</v>
      </c>
      <c r="D5784" s="6">
        <v>5.8731745269158898E-9</v>
      </c>
      <c r="E5784" s="3" t="s">
        <v>7390</v>
      </c>
      <c r="F5784" s="3" t="s">
        <v>7391</v>
      </c>
      <c r="G5784" s="3">
        <v>234865</v>
      </c>
      <c r="H5784" s="7" t="str">
        <f>HYPERLINK("http://www.ensembl.org/Mus_musculus/Gene/Summary?db=core;g=ENSMUSG00000039509","ENSMUSG00000039509")</f>
        <v>ENSMUSG00000039509</v>
      </c>
      <c r="I5784" s="7" t="str">
        <f>HYPERLINK("http://www.informatics.jax.org/marker/MGI:2442620","MGI:2442620")</f>
        <v>MGI:2442620</v>
      </c>
      <c r="J5784" s="4" t="s">
        <v>12</v>
      </c>
    </row>
    <row r="5785" spans="1:10" x14ac:dyDescent="0.25">
      <c r="A5785" s="2">
        <v>81.175505024235704</v>
      </c>
      <c r="B5785" s="3">
        <v>-0.43868454952668801</v>
      </c>
      <c r="C5785" s="3">
        <v>1.0995981783949501E-3</v>
      </c>
      <c r="D5785" s="4">
        <v>3.2234392861525902E-3</v>
      </c>
      <c r="E5785" s="3" t="s">
        <v>13463</v>
      </c>
      <c r="F5785" s="3" t="s">
        <v>13464</v>
      </c>
      <c r="G5785" s="3" t="s">
        <v>83</v>
      </c>
      <c r="H5785" s="7" t="str">
        <f>HYPERLINK("http://www.ensembl.org/Mus_musculus/Gene/Summary?db=core;g=ENSMUSG00000096965","ENSMUSG00000096965")</f>
        <v>ENSMUSG00000096965</v>
      </c>
      <c r="I5785" s="7" t="str">
        <f>HYPERLINK("http://www.informatics.jax.org/marker/MGI:1925762","MGI:1925762")</f>
        <v>MGI:1925762</v>
      </c>
      <c r="J5785" s="4" t="s">
        <v>939</v>
      </c>
    </row>
    <row r="5786" spans="1:10" x14ac:dyDescent="0.25">
      <c r="A5786" s="2">
        <v>743.39309409146597</v>
      </c>
      <c r="B5786" s="3">
        <v>-0.43872241964623099</v>
      </c>
      <c r="C5786" s="5">
        <v>7.5923640291038697E-7</v>
      </c>
      <c r="D5786" s="6">
        <v>3.17744946209525E-6</v>
      </c>
      <c r="E5786" s="3" t="s">
        <v>9439</v>
      </c>
      <c r="F5786" s="3" t="s">
        <v>9440</v>
      </c>
      <c r="G5786" s="3">
        <v>56452</v>
      </c>
      <c r="H5786" s="7" t="str">
        <f>HYPERLINK("http://www.ensembl.org/Mus_musculus/Gene/Summary?db=core;g=ENSMUSG00000031697","ENSMUSG00000031697")</f>
        <v>ENSMUSG00000031697</v>
      </c>
      <c r="I5786" s="7" t="str">
        <f>HYPERLINK("http://www.informatics.jax.org/marker/MGI:1929285","MGI:1929285")</f>
        <v>MGI:1929285</v>
      </c>
      <c r="J5786" s="4" t="s">
        <v>12</v>
      </c>
    </row>
    <row r="5787" spans="1:10" x14ac:dyDescent="0.25">
      <c r="A5787" s="2">
        <v>106.05148423057901</v>
      </c>
      <c r="B5787" s="3">
        <v>-0.439965277593174</v>
      </c>
      <c r="C5787" s="3">
        <v>2.6707207328526602E-4</v>
      </c>
      <c r="D5787" s="4">
        <v>8.5293863912535596E-4</v>
      </c>
      <c r="E5787" s="3" t="s">
        <v>12362</v>
      </c>
      <c r="F5787" s="3" t="s">
        <v>12363</v>
      </c>
      <c r="G5787" s="3">
        <v>68055</v>
      </c>
      <c r="H5787" s="7" t="str">
        <f>HYPERLINK("http://www.ensembl.org/Mus_musculus/Gene/Summary?db=core;g=ENSMUSG00000054894","ENSMUSG00000054894")</f>
        <v>ENSMUSG00000054894</v>
      </c>
      <c r="I5787" s="7" t="str">
        <f>HYPERLINK("http://www.informatics.jax.org/marker/MGI:1915305","MGI:1915305")</f>
        <v>MGI:1915305</v>
      </c>
      <c r="J5787" s="4" t="s">
        <v>12</v>
      </c>
    </row>
    <row r="5788" spans="1:10" x14ac:dyDescent="0.25">
      <c r="A5788" s="2">
        <v>209.013517741828</v>
      </c>
      <c r="B5788" s="3">
        <v>-0.44037057865456197</v>
      </c>
      <c r="C5788" s="5">
        <v>8.2007891708569701E-6</v>
      </c>
      <c r="D5788" s="6">
        <v>3.1040223118867499E-5</v>
      </c>
      <c r="E5788" s="3" t="s">
        <v>10434</v>
      </c>
      <c r="F5788" s="3" t="s">
        <v>10435</v>
      </c>
      <c r="G5788" s="3">
        <v>226422</v>
      </c>
      <c r="H5788" s="7" t="str">
        <f>HYPERLINK("http://www.ensembl.org/Mus_musculus/Gene/Summary?db=core;g=ENSMUSG00000026433","ENSMUSG00000026433")</f>
        <v>ENSMUSG00000026433</v>
      </c>
      <c r="I5788" s="7" t="str">
        <f>HYPERLINK("http://www.informatics.jax.org/marker/MGI:2385107","MGI:2385107")</f>
        <v>MGI:2385107</v>
      </c>
      <c r="J5788" s="4" t="s">
        <v>12</v>
      </c>
    </row>
    <row r="5789" spans="1:10" x14ac:dyDescent="0.25">
      <c r="A5789" s="2">
        <v>293.50070824121298</v>
      </c>
      <c r="B5789" s="3">
        <v>-0.44048875359159201</v>
      </c>
      <c r="C5789" s="5">
        <v>8.9369658492406499E-7</v>
      </c>
      <c r="D5789" s="6">
        <v>3.71416157106482E-6</v>
      </c>
      <c r="E5789" s="3" t="s">
        <v>9505</v>
      </c>
      <c r="F5789" s="3" t="s">
        <v>9506</v>
      </c>
      <c r="G5789" s="3">
        <v>14055</v>
      </c>
      <c r="H5789" s="7" t="str">
        <f>HYPERLINK("http://www.ensembl.org/Mus_musculus/Gene/Summary?db=core;g=ENSMUSG00000006920","ENSMUSG00000006920")</f>
        <v>ENSMUSG00000006920</v>
      </c>
      <c r="I5789" s="7" t="str">
        <f>HYPERLINK("http://www.informatics.jax.org/marker/MGI:1097695","MGI:1097695")</f>
        <v>MGI:1097695</v>
      </c>
      <c r="J5789" s="4" t="s">
        <v>12</v>
      </c>
    </row>
    <row r="5790" spans="1:10" x14ac:dyDescent="0.25">
      <c r="A5790" s="2">
        <v>542.28853283178398</v>
      </c>
      <c r="B5790" s="3">
        <v>-0.440574901632937</v>
      </c>
      <c r="C5790" s="5">
        <v>2.6676604612922401E-15</v>
      </c>
      <c r="D5790" s="6">
        <v>2.0809439990776501E-14</v>
      </c>
      <c r="E5790" s="3" t="s">
        <v>5073</v>
      </c>
      <c r="F5790" s="3" t="s">
        <v>5074</v>
      </c>
      <c r="G5790" s="3">
        <v>27999</v>
      </c>
      <c r="H5790" s="7" t="str">
        <f>HYPERLINK("http://www.ensembl.org/Mus_musculus/Gene/Summary?db=core;g=ENSMUSG00000029672","ENSMUSG00000029672")</f>
        <v>ENSMUSG00000029672</v>
      </c>
      <c r="I5790" s="7" t="str">
        <f>HYPERLINK("http://www.informatics.jax.org/marker/MGI:107892","MGI:107892")</f>
        <v>MGI:107892</v>
      </c>
      <c r="J5790" s="4" t="s">
        <v>12</v>
      </c>
    </row>
    <row r="5791" spans="1:10" x14ac:dyDescent="0.25">
      <c r="A5791" s="2">
        <v>75.791481878859301</v>
      </c>
      <c r="B5791" s="3">
        <v>-0.44067819335742597</v>
      </c>
      <c r="C5791" s="3">
        <v>1.68121417475701E-3</v>
      </c>
      <c r="D5791" s="4">
        <v>4.8034690707343198E-3</v>
      </c>
      <c r="E5791" s="3" t="s">
        <v>13811</v>
      </c>
      <c r="F5791" s="3" t="s">
        <v>13812</v>
      </c>
      <c r="G5791" s="3">
        <v>330554</v>
      </c>
      <c r="H5791" s="7" t="str">
        <f>HYPERLINK("http://www.ensembl.org/Mus_musculus/Gene/Summary?db=core;g=ENSMUSG00000033458","ENSMUSG00000033458")</f>
        <v>ENSMUSG00000033458</v>
      </c>
      <c r="I5791" s="7" t="str">
        <f>HYPERLINK("http://www.informatics.jax.org/marker/MGI:3045266","MGI:3045266")</f>
        <v>MGI:3045266</v>
      </c>
      <c r="J5791" s="4" t="s">
        <v>12</v>
      </c>
    </row>
    <row r="5792" spans="1:10" x14ac:dyDescent="0.25">
      <c r="A5792" s="2">
        <v>138.19645463709099</v>
      </c>
      <c r="B5792" s="3">
        <v>-0.44097689585705302</v>
      </c>
      <c r="C5792" s="3">
        <v>1.8149896689901901E-4</v>
      </c>
      <c r="D5792" s="4">
        <v>5.9159663260308299E-4</v>
      </c>
      <c r="E5792" s="3" t="s">
        <v>12111</v>
      </c>
      <c r="F5792" s="3" t="s">
        <v>12112</v>
      </c>
      <c r="G5792" s="3">
        <v>93708</v>
      </c>
      <c r="H5792" s="7" t="str">
        <f>HYPERLINK("http://www.ensembl.org/Mus_musculus/Gene/Summary?db=core;g=ENSMUSG00000102543","ENSMUSG00000102543")</f>
        <v>ENSMUSG00000102543</v>
      </c>
      <c r="I5792" s="7" t="str">
        <f>HYPERLINK("http://www.informatics.jax.org/marker/MGI:1935205","MGI:1935205")</f>
        <v>MGI:1935205</v>
      </c>
      <c r="J5792" s="4" t="s">
        <v>12</v>
      </c>
    </row>
    <row r="5793" spans="1:10" x14ac:dyDescent="0.25">
      <c r="A5793" s="2">
        <v>563.60246585643597</v>
      </c>
      <c r="B5793" s="3">
        <v>-0.441453744925554</v>
      </c>
      <c r="C5793" s="5">
        <v>8.3301096673617301E-8</v>
      </c>
      <c r="D5793" s="6">
        <v>3.7990231877977202E-7</v>
      </c>
      <c r="E5793" s="3" t="s">
        <v>8665</v>
      </c>
      <c r="F5793" s="3" t="s">
        <v>8666</v>
      </c>
      <c r="G5793" s="3">
        <v>67976</v>
      </c>
      <c r="H5793" s="7" t="str">
        <f>HYPERLINK("http://www.ensembl.org/Mus_musculus/Gene/Summary?db=core;g=ENSMUSG00000015363","ENSMUSG00000015363")</f>
        <v>ENSMUSG00000015363</v>
      </c>
      <c r="I5793" s="7" t="str">
        <f>HYPERLINK("http://www.informatics.jax.org/marker/MGI:1915226","MGI:1915226")</f>
        <v>MGI:1915226</v>
      </c>
      <c r="J5793" s="4" t="s">
        <v>12</v>
      </c>
    </row>
    <row r="5794" spans="1:10" x14ac:dyDescent="0.25">
      <c r="A5794" s="2">
        <v>364.48694636387597</v>
      </c>
      <c r="B5794" s="3">
        <v>-0.441573368222621</v>
      </c>
      <c r="C5794" s="5">
        <v>7.1755580358468704E-7</v>
      </c>
      <c r="D5794" s="6">
        <v>3.0126038847541099E-6</v>
      </c>
      <c r="E5794" s="3" t="s">
        <v>9409</v>
      </c>
      <c r="F5794" s="3" t="s">
        <v>9410</v>
      </c>
      <c r="G5794" s="3">
        <v>22032</v>
      </c>
      <c r="H5794" s="7" t="str">
        <f>HYPERLINK("http://www.ensembl.org/Mus_musculus/Gene/Summary?db=core;g=ENSMUSG00000017386","ENSMUSG00000017386")</f>
        <v>ENSMUSG00000017386</v>
      </c>
      <c r="I5794" s="7" t="str">
        <f>HYPERLINK("http://www.informatics.jax.org/marker/MGI:1202880","MGI:1202880")</f>
        <v>MGI:1202880</v>
      </c>
      <c r="J5794" s="4" t="s">
        <v>12</v>
      </c>
    </row>
    <row r="5795" spans="1:10" x14ac:dyDescent="0.25">
      <c r="A5795" s="2">
        <v>339.357765429008</v>
      </c>
      <c r="B5795" s="3">
        <v>-0.44166164996224699</v>
      </c>
      <c r="C5795" s="5">
        <v>9.4636324250867103E-9</v>
      </c>
      <c r="D5795" s="6">
        <v>4.7020113737140302E-8</v>
      </c>
      <c r="E5795" s="3" t="s">
        <v>7955</v>
      </c>
      <c r="F5795" s="3" t="s">
        <v>7956</v>
      </c>
      <c r="G5795" s="3">
        <v>103711</v>
      </c>
      <c r="H5795" s="7" t="str">
        <f>HYPERLINK("http://www.ensembl.org/Mus_musculus/Gene/Summary?db=core;g=ENSMUSG00000018659","ENSMUSG00000018659")</f>
        <v>ENSMUSG00000018659</v>
      </c>
      <c r="I5795" s="7" t="str">
        <f>HYPERLINK("http://www.informatics.jax.org/marker/MGI:2144151","MGI:2144151")</f>
        <v>MGI:2144151</v>
      </c>
      <c r="J5795" s="4" t="s">
        <v>12</v>
      </c>
    </row>
    <row r="5796" spans="1:10" x14ac:dyDescent="0.25">
      <c r="A5796" s="2">
        <v>1074.24936759505</v>
      </c>
      <c r="B5796" s="3">
        <v>-0.44174180368306198</v>
      </c>
      <c r="C5796" s="5">
        <v>1.0231547722116699E-9</v>
      </c>
      <c r="D5796" s="6">
        <v>5.4857564187096802E-9</v>
      </c>
      <c r="E5796" s="3" t="s">
        <v>7374</v>
      </c>
      <c r="F5796" s="3" t="s">
        <v>7375</v>
      </c>
      <c r="G5796" s="3">
        <v>50496</v>
      </c>
      <c r="H5796" s="7" t="str">
        <f>HYPERLINK("http://www.ensembl.org/Mus_musculus/Gene/Summary?db=core;g=ENSMUSG00000057469","ENSMUSG00000057469")</f>
        <v>ENSMUSG00000057469</v>
      </c>
      <c r="I5796" s="7" t="str">
        <f>HYPERLINK("http://www.informatics.jax.org/marker/MGI:1354159","MGI:1354159")</f>
        <v>MGI:1354159</v>
      </c>
      <c r="J5796" s="4" t="s">
        <v>12</v>
      </c>
    </row>
    <row r="5797" spans="1:10" x14ac:dyDescent="0.25">
      <c r="A5797" s="2">
        <v>1038.2608097689899</v>
      </c>
      <c r="B5797" s="3">
        <v>-0.44226478886291498</v>
      </c>
      <c r="C5797" s="5">
        <v>2.8395414828921701E-10</v>
      </c>
      <c r="D5797" s="6">
        <v>1.59214552296371E-9</v>
      </c>
      <c r="E5797" s="3" t="s">
        <v>7052</v>
      </c>
      <c r="F5797" s="3" t="s">
        <v>7053</v>
      </c>
      <c r="G5797" s="3">
        <v>57317</v>
      </c>
      <c r="H5797" s="7" t="str">
        <f>HYPERLINK("http://www.ensembl.org/Mus_musculus/Gene/Summary?db=core;g=ENSMUSG00000028911","ENSMUSG00000028911")</f>
        <v>ENSMUSG00000028911</v>
      </c>
      <c r="I5797" s="7" t="str">
        <f>HYPERLINK("http://www.informatics.jax.org/marker/MGI:1890577","MGI:1890577")</f>
        <v>MGI:1890577</v>
      </c>
      <c r="J5797" s="4" t="s">
        <v>12</v>
      </c>
    </row>
    <row r="5798" spans="1:10" x14ac:dyDescent="0.25">
      <c r="A5798" s="2">
        <v>610.61496737078903</v>
      </c>
      <c r="B5798" s="3">
        <v>-0.44300427220475203</v>
      </c>
      <c r="C5798" s="3">
        <v>7.7335499539197801E-4</v>
      </c>
      <c r="D5798" s="4">
        <v>2.3184190497308899E-3</v>
      </c>
      <c r="E5798" s="3" t="s">
        <v>13165</v>
      </c>
      <c r="F5798" s="3" t="s">
        <v>13166</v>
      </c>
      <c r="G5798" s="3">
        <v>70218</v>
      </c>
      <c r="H5798" s="7" t="str">
        <f>HYPERLINK("http://www.ensembl.org/Mus_musculus/Gene/Summary?db=core;g=ENSMUSG00000051378","ENSMUSG00000051378")</f>
        <v>ENSMUSG00000051378</v>
      </c>
      <c r="I5798" s="7" t="str">
        <f>HYPERLINK("http://www.informatics.jax.org/marker/MGI:2446979","MGI:2446979")</f>
        <v>MGI:2446979</v>
      </c>
      <c r="J5798" s="4" t="s">
        <v>12</v>
      </c>
    </row>
    <row r="5799" spans="1:10" x14ac:dyDescent="0.25">
      <c r="A5799" s="2">
        <v>69.190168043737202</v>
      </c>
      <c r="B5799" s="3">
        <v>-0.44306936424341797</v>
      </c>
      <c r="C5799" s="3">
        <v>2.2425422928702E-3</v>
      </c>
      <c r="D5799" s="4">
        <v>6.2843447513713799E-3</v>
      </c>
      <c r="E5799" s="3" t="s">
        <v>14081</v>
      </c>
      <c r="F5799" s="3" t="s">
        <v>14082</v>
      </c>
      <c r="G5799" s="3">
        <v>235956</v>
      </c>
      <c r="H5799" s="7" t="str">
        <f>HYPERLINK("http://www.ensembl.org/Mus_musculus/Gene/Summary?db=core;g=ENSMUSG00000069208","ENSMUSG00000069208")</f>
        <v>ENSMUSG00000069208</v>
      </c>
      <c r="I5799" s="7" t="str">
        <f>HYPERLINK("http://www.informatics.jax.org/marker/MGI:2385315","MGI:2385315")</f>
        <v>MGI:2385315</v>
      </c>
      <c r="J5799" s="4" t="s">
        <v>12</v>
      </c>
    </row>
    <row r="5800" spans="1:10" x14ac:dyDescent="0.25">
      <c r="A5800" s="2">
        <v>2625.0688045316201</v>
      </c>
      <c r="B5800" s="3">
        <v>-0.44333552725522701</v>
      </c>
      <c r="C5800" s="5">
        <v>4.7628023059583299E-14</v>
      </c>
      <c r="D5800" s="6">
        <v>3.4593908461693601E-13</v>
      </c>
      <c r="E5800" s="3" t="s">
        <v>5447</v>
      </c>
      <c r="F5800" s="3" t="s">
        <v>5448</v>
      </c>
      <c r="G5800" s="3">
        <v>94176</v>
      </c>
      <c r="H5800" s="7" t="str">
        <f>HYPERLINK("http://www.ensembl.org/Mus_musculus/Gene/Summary?db=core;g=ENSMUSG00000020143","ENSMUSG00000020143")</f>
        <v>ENSMUSG00000020143</v>
      </c>
      <c r="I5800" s="7" t="str">
        <f>HYPERLINK("http://www.informatics.jax.org/marker/MGI:2149010","MGI:2149010")</f>
        <v>MGI:2149010</v>
      </c>
      <c r="J5800" s="4" t="s">
        <v>12</v>
      </c>
    </row>
    <row r="5801" spans="1:10" x14ac:dyDescent="0.25">
      <c r="A5801" s="2">
        <v>507.95026841433702</v>
      </c>
      <c r="B5801" s="3">
        <v>-0.44366401807540401</v>
      </c>
      <c r="C5801" s="5">
        <v>1.0585533243080301E-8</v>
      </c>
      <c r="D5801" s="6">
        <v>5.24225805006389E-8</v>
      </c>
      <c r="E5801" s="3" t="s">
        <v>7981</v>
      </c>
      <c r="F5801" s="3" t="s">
        <v>7982</v>
      </c>
      <c r="G5801" s="3">
        <v>227357</v>
      </c>
      <c r="H5801" s="7" t="str">
        <f>HYPERLINK("http://www.ensembl.org/Mus_musculus/Gene/Summary?db=core;g=ENSMUSG00000049515","ENSMUSG00000049515")</f>
        <v>ENSMUSG00000049515</v>
      </c>
      <c r="I5801" s="7" t="str">
        <f>HYPERLINK("http://www.informatics.jax.org/marker/MGI:2685402","MGI:2685402")</f>
        <v>MGI:2685402</v>
      </c>
      <c r="J5801" s="4" t="s">
        <v>12</v>
      </c>
    </row>
    <row r="5802" spans="1:10" x14ac:dyDescent="0.25">
      <c r="A5802" s="2">
        <v>532.74773844326398</v>
      </c>
      <c r="B5802" s="3">
        <v>-0.443682495321646</v>
      </c>
      <c r="C5802" s="5">
        <v>9.5980223741893495E-7</v>
      </c>
      <c r="D5802" s="6">
        <v>3.97548836838929E-6</v>
      </c>
      <c r="E5802" s="3" t="s">
        <v>9537</v>
      </c>
      <c r="F5802" s="3" t="s">
        <v>9538</v>
      </c>
      <c r="G5802" s="3">
        <v>66911</v>
      </c>
      <c r="H5802" s="7" t="str">
        <f>HYPERLINK("http://www.ensembl.org/Mus_musculus/Gene/Summary?db=core;g=ENSMUSG00000022516","ENSMUSG00000022516")</f>
        <v>ENSMUSG00000022516</v>
      </c>
      <c r="I5802" s="7" t="str">
        <f>HYPERLINK("http://www.informatics.jax.org/marker/MGI:1914161","MGI:1914161")</f>
        <v>MGI:1914161</v>
      </c>
      <c r="J5802" s="4" t="s">
        <v>12</v>
      </c>
    </row>
    <row r="5803" spans="1:10" x14ac:dyDescent="0.25">
      <c r="A5803" s="2">
        <v>1132.9860766402601</v>
      </c>
      <c r="B5803" s="3">
        <v>-0.44369864008418503</v>
      </c>
      <c r="C5803" s="5">
        <v>6.2742112855668896E-17</v>
      </c>
      <c r="D5803" s="6">
        <v>5.3101908391149804E-16</v>
      </c>
      <c r="E5803" s="3" t="s">
        <v>4677</v>
      </c>
      <c r="F5803" s="3" t="s">
        <v>4678</v>
      </c>
      <c r="G5803" s="3">
        <v>18975</v>
      </c>
      <c r="H5803" s="7" t="str">
        <f>HYPERLINK("http://www.ensembl.org/Mus_musculus/Gene/Summary?db=core;g=ENSMUSG00000039176","ENSMUSG00000039176")</f>
        <v>ENSMUSG00000039176</v>
      </c>
      <c r="I5803" s="7" t="str">
        <f>HYPERLINK("http://www.informatics.jax.org/marker/MGI:1196389","MGI:1196389")</f>
        <v>MGI:1196389</v>
      </c>
      <c r="J5803" s="4" t="s">
        <v>12</v>
      </c>
    </row>
    <row r="5804" spans="1:10" x14ac:dyDescent="0.25">
      <c r="A5804" s="2">
        <v>1527.0713407359001</v>
      </c>
      <c r="B5804" s="3">
        <v>-0.44381962767078398</v>
      </c>
      <c r="C5804" s="5">
        <v>1.32953322631295E-12</v>
      </c>
      <c r="D5804" s="6">
        <v>8.8605593859045197E-12</v>
      </c>
      <c r="E5804" s="3" t="s">
        <v>5935</v>
      </c>
      <c r="F5804" s="3" t="s">
        <v>5936</v>
      </c>
      <c r="G5804" s="3">
        <v>219181</v>
      </c>
      <c r="H5804" s="7" t="str">
        <f>HYPERLINK("http://www.ensembl.org/Mus_musculus/Gene/Summary?db=core;g=ENSMUSG00000022016","ENSMUSG00000022016")</f>
        <v>ENSMUSG00000022016</v>
      </c>
      <c r="I5804" s="7" t="str">
        <f>HYPERLINK("http://www.informatics.jax.org/marker/MGI:2684060","MGI:2684060")</f>
        <v>MGI:2684060</v>
      </c>
      <c r="J5804" s="4" t="s">
        <v>12</v>
      </c>
    </row>
    <row r="5805" spans="1:10" x14ac:dyDescent="0.25">
      <c r="A5805" s="2">
        <v>1174.3544819482099</v>
      </c>
      <c r="B5805" s="3">
        <v>-0.44418637159526703</v>
      </c>
      <c r="C5805" s="5">
        <v>1.16461261911227E-13</v>
      </c>
      <c r="D5805" s="6">
        <v>8.2820630540548298E-13</v>
      </c>
      <c r="E5805" s="3" t="s">
        <v>5563</v>
      </c>
      <c r="F5805" s="3" t="s">
        <v>5564</v>
      </c>
      <c r="G5805" s="3">
        <v>27376</v>
      </c>
      <c r="H5805" s="7" t="str">
        <f>HYPERLINK("http://www.ensembl.org/Mus_musculus/Gene/Summary?db=core;g=ENSMUSG00000025792","ENSMUSG00000025792")</f>
        <v>ENSMUSG00000025792</v>
      </c>
      <c r="I5805" s="7" t="str">
        <f>HYPERLINK("http://www.informatics.jax.org/marker/MGI:1353497","MGI:1353497")</f>
        <v>MGI:1353497</v>
      </c>
      <c r="J5805" s="4" t="s">
        <v>12</v>
      </c>
    </row>
    <row r="5806" spans="1:10" x14ac:dyDescent="0.25">
      <c r="A5806" s="2">
        <v>1009.96764140396</v>
      </c>
      <c r="B5806" s="3">
        <v>-0.44421033433145102</v>
      </c>
      <c r="C5806" s="5">
        <v>9.5592049031719493E-16</v>
      </c>
      <c r="D5806" s="6">
        <v>7.6011097052641503E-15</v>
      </c>
      <c r="E5806" s="3" t="s">
        <v>4977</v>
      </c>
      <c r="F5806" s="3" t="s">
        <v>4978</v>
      </c>
      <c r="G5806" s="3">
        <v>12442</v>
      </c>
      <c r="H5806" s="7" t="str">
        <f>HYPERLINK("http://www.ensembl.org/Mus_musculus/Gene/Summary?db=core;g=ENSMUSG00000032218","ENSMUSG00000032218")</f>
        <v>ENSMUSG00000032218</v>
      </c>
      <c r="I5806" s="7" t="str">
        <f>HYPERLINK("http://www.informatics.jax.org/marker/MGI:88311","MGI:88311")</f>
        <v>MGI:88311</v>
      </c>
      <c r="J5806" s="4" t="s">
        <v>12</v>
      </c>
    </row>
    <row r="5807" spans="1:10" x14ac:dyDescent="0.25">
      <c r="A5807" s="2">
        <v>2276.9500164207102</v>
      </c>
      <c r="B5807" s="3">
        <v>-0.44429578006556097</v>
      </c>
      <c r="C5807" s="5">
        <v>9.5280364681817901E-8</v>
      </c>
      <c r="D5807" s="6">
        <v>4.3253425219278299E-7</v>
      </c>
      <c r="E5807" s="3" t="s">
        <v>8705</v>
      </c>
      <c r="F5807" s="3" t="s">
        <v>8706</v>
      </c>
      <c r="G5807" s="3">
        <v>15270</v>
      </c>
      <c r="H5807" s="7" t="str">
        <f>HYPERLINK("http://www.ensembl.org/Mus_musculus/Gene/Summary?db=core;g=ENSMUSG00000049932","ENSMUSG00000049932")</f>
        <v>ENSMUSG00000049932</v>
      </c>
      <c r="I5807" s="7" t="str">
        <f>HYPERLINK("http://www.informatics.jax.org/marker/MGI:102688","MGI:102688")</f>
        <v>MGI:102688</v>
      </c>
      <c r="J5807" s="4" t="s">
        <v>12</v>
      </c>
    </row>
    <row r="5808" spans="1:10" x14ac:dyDescent="0.25">
      <c r="A5808" s="2">
        <v>549.57497690080299</v>
      </c>
      <c r="B5808" s="3">
        <v>-0.44433611567137898</v>
      </c>
      <c r="C5808" s="5">
        <v>1.18981301647464E-6</v>
      </c>
      <c r="D5808" s="6">
        <v>4.8881484760166399E-6</v>
      </c>
      <c r="E5808" s="3" t="s">
        <v>9615</v>
      </c>
      <c r="F5808" s="3" t="s">
        <v>9616</v>
      </c>
      <c r="G5808" s="3">
        <v>268281</v>
      </c>
      <c r="H5808" s="7" t="str">
        <f>HYPERLINK("http://www.ensembl.org/Mus_musculus/Gene/Summary?db=core;g=ENSMUSG00000090112","ENSMUSG00000090112")</f>
        <v>ENSMUSG00000090112</v>
      </c>
      <c r="I5808" s="7" t="str">
        <f>HYPERLINK("http://www.informatics.jax.org/marker/MGI:1917581","MGI:1917581")</f>
        <v>MGI:1917581</v>
      </c>
      <c r="J5808" s="4" t="s">
        <v>12</v>
      </c>
    </row>
    <row r="5809" spans="1:10" x14ac:dyDescent="0.25">
      <c r="A5809" s="2">
        <v>300.71290076556699</v>
      </c>
      <c r="B5809" s="3">
        <v>-0.44445928696988402</v>
      </c>
      <c r="C5809" s="5">
        <v>5.4069762754507601E-7</v>
      </c>
      <c r="D5809" s="6">
        <v>2.2999476305411799E-6</v>
      </c>
      <c r="E5809" s="3" t="s">
        <v>9287</v>
      </c>
      <c r="F5809" s="3" t="s">
        <v>9288</v>
      </c>
      <c r="G5809" s="3">
        <v>268395</v>
      </c>
      <c r="H5809" s="7" t="str">
        <f>HYPERLINK("http://www.ensembl.org/Mus_musculus/Gene/Summary?db=core;g=ENSMUSG00000020287","ENSMUSG00000020287")</f>
        <v>ENSMUSG00000020287</v>
      </c>
      <c r="I5809" s="7" t="str">
        <f>HYPERLINK("http://www.informatics.jax.org/marker/MGI:97073","MGI:97073")</f>
        <v>MGI:97073</v>
      </c>
      <c r="J5809" s="4" t="s">
        <v>12</v>
      </c>
    </row>
    <row r="5810" spans="1:10" x14ac:dyDescent="0.25">
      <c r="A5810" s="2">
        <v>427.28507563160099</v>
      </c>
      <c r="B5810" s="3">
        <v>-0.444732714055395</v>
      </c>
      <c r="C5810" s="5">
        <v>4.9867672594433798E-9</v>
      </c>
      <c r="D5810" s="6">
        <v>2.53255344723727E-8</v>
      </c>
      <c r="E5810" s="3" t="s">
        <v>7782</v>
      </c>
      <c r="F5810" s="3" t="s">
        <v>7783</v>
      </c>
      <c r="G5810" s="3">
        <v>57784</v>
      </c>
      <c r="H5810" s="7" t="str">
        <f>HYPERLINK("http://www.ensembl.org/Mus_musculus/Gene/Summary?db=core;g=ENSMUSG00000022089","ENSMUSG00000022089")</f>
        <v>ENSMUSG00000022089</v>
      </c>
      <c r="I5810" s="7" t="str">
        <f>HYPERLINK("http://www.informatics.jax.org/marker/MGI:1929883","MGI:1929883")</f>
        <v>MGI:1929883</v>
      </c>
      <c r="J5810" s="4" t="s">
        <v>12</v>
      </c>
    </row>
    <row r="5811" spans="1:10" x14ac:dyDescent="0.25">
      <c r="A5811" s="2">
        <v>226.76461446586299</v>
      </c>
      <c r="B5811" s="3">
        <v>-0.445024606579144</v>
      </c>
      <c r="C5811" s="3">
        <v>3.0063098795177499E-4</v>
      </c>
      <c r="D5811" s="4">
        <v>9.5327915780816705E-4</v>
      </c>
      <c r="E5811" s="3" t="s">
        <v>12451</v>
      </c>
      <c r="F5811" s="3" t="s">
        <v>12452</v>
      </c>
      <c r="G5811" s="3">
        <v>70454</v>
      </c>
      <c r="H5811" s="7" t="str">
        <f>HYPERLINK("http://www.ensembl.org/Mus_musculus/Gene/Summary?db=core;g=ENSMUSG00000026708","ENSMUSG00000026708")</f>
        <v>ENSMUSG00000026708</v>
      </c>
      <c r="I5811" s="7" t="str">
        <f>HYPERLINK("http://www.informatics.jax.org/marker/MGI:1917704","MGI:1917704")</f>
        <v>MGI:1917704</v>
      </c>
      <c r="J5811" s="4" t="s">
        <v>12</v>
      </c>
    </row>
    <row r="5812" spans="1:10" x14ac:dyDescent="0.25">
      <c r="A5812" s="2">
        <v>2455.8103151115802</v>
      </c>
      <c r="B5812" s="3">
        <v>-0.445412606297172</v>
      </c>
      <c r="C5812" s="5">
        <v>4.8098894056531098E-16</v>
      </c>
      <c r="D5812" s="6">
        <v>3.8905258030959498E-15</v>
      </c>
      <c r="E5812" s="3" t="s">
        <v>4893</v>
      </c>
      <c r="F5812" s="3" t="s">
        <v>4894</v>
      </c>
      <c r="G5812" s="3">
        <v>51869</v>
      </c>
      <c r="H5812" s="7" t="str">
        <f>HYPERLINK("http://www.ensembl.org/Mus_musculus/Gene/Summary?db=core;g=ENSMUSG00000036202","ENSMUSG00000036202")</f>
        <v>ENSMUSG00000036202</v>
      </c>
      <c r="I5812" s="7" t="str">
        <f>HYPERLINK("http://www.informatics.jax.org/marker/MGI:1098622","MGI:1098622")</f>
        <v>MGI:1098622</v>
      </c>
      <c r="J5812" s="4" t="s">
        <v>12</v>
      </c>
    </row>
    <row r="5813" spans="1:10" x14ac:dyDescent="0.25">
      <c r="A5813" s="2">
        <v>1962.7861716208599</v>
      </c>
      <c r="B5813" s="3">
        <v>-0.445700747316015</v>
      </c>
      <c r="C5813" s="5">
        <v>1.64740285356214E-10</v>
      </c>
      <c r="D5813" s="6">
        <v>9.4328641905474694E-10</v>
      </c>
      <c r="E5813" s="3" t="s">
        <v>6906</v>
      </c>
      <c r="F5813" s="3" t="s">
        <v>6907</v>
      </c>
      <c r="G5813" s="3">
        <v>16440</v>
      </c>
      <c r="H5813" s="7" t="str">
        <f>HYPERLINK("http://www.ensembl.org/Mus_musculus/Gene/Summary?db=core;g=ENSMUSG00000042644","ENSMUSG00000042644")</f>
        <v>ENSMUSG00000042644</v>
      </c>
      <c r="I5813" s="7" t="str">
        <f>HYPERLINK("http://www.informatics.jax.org/marker/MGI:96624","MGI:96624")</f>
        <v>MGI:96624</v>
      </c>
      <c r="J5813" s="4" t="s">
        <v>12</v>
      </c>
    </row>
    <row r="5814" spans="1:10" x14ac:dyDescent="0.25">
      <c r="A5814" s="2">
        <v>676.839722082913</v>
      </c>
      <c r="B5814" s="3">
        <v>-0.44573916316624801</v>
      </c>
      <c r="C5814" s="3">
        <v>3.0123408200676699E-4</v>
      </c>
      <c r="D5814" s="4">
        <v>9.5473097029467196E-4</v>
      </c>
      <c r="E5814" s="3" t="s">
        <v>12457</v>
      </c>
      <c r="F5814" s="3" t="s">
        <v>12458</v>
      </c>
      <c r="G5814" s="3">
        <v>74107</v>
      </c>
      <c r="H5814" s="7" t="str">
        <f>HYPERLINK("http://www.ensembl.org/Mus_musculus/Gene/Summary?db=core;g=ENSMUSG00000024989","ENSMUSG00000024989")</f>
        <v>ENSMUSG00000024989</v>
      </c>
      <c r="I5814" s="7" t="str">
        <f>HYPERLINK("http://www.informatics.jax.org/marker/MGI:1921357","MGI:1921357")</f>
        <v>MGI:1921357</v>
      </c>
      <c r="J5814" s="4" t="s">
        <v>12</v>
      </c>
    </row>
    <row r="5815" spans="1:10" x14ac:dyDescent="0.25">
      <c r="A5815" s="2">
        <v>883.89727240566503</v>
      </c>
      <c r="B5815" s="3">
        <v>-0.44612591119975298</v>
      </c>
      <c r="C5815" s="5">
        <v>9.9579301515737294E-5</v>
      </c>
      <c r="D5815" s="4">
        <v>3.36135540207179E-4</v>
      </c>
      <c r="E5815" s="3" t="s">
        <v>11695</v>
      </c>
      <c r="F5815" s="3" t="s">
        <v>11696</v>
      </c>
      <c r="G5815" s="3">
        <v>77744</v>
      </c>
      <c r="H5815" s="7" t="str">
        <f>HYPERLINK("http://www.ensembl.org/Mus_musculus/Gene/Summary?db=core;g=ENSMUSG00000022070","ENSMUSG00000022070")</f>
        <v>ENSMUSG00000022070</v>
      </c>
      <c r="I5815" s="7" t="str">
        <f>HYPERLINK("http://www.informatics.jax.org/marker/MGI:1924994","MGI:1924994")</f>
        <v>MGI:1924994</v>
      </c>
      <c r="J5815" s="4" t="s">
        <v>12</v>
      </c>
    </row>
    <row r="5816" spans="1:10" x14ac:dyDescent="0.25">
      <c r="A5816" s="2">
        <v>50.598976477522903</v>
      </c>
      <c r="B5816" s="3">
        <v>-0.44636757843493902</v>
      </c>
      <c r="C5816" s="3">
        <v>6.2284923943281504E-3</v>
      </c>
      <c r="D5816" s="4">
        <v>1.6137941139948899E-2</v>
      </c>
      <c r="E5816" s="3" t="s">
        <v>15227</v>
      </c>
      <c r="F5816" s="3" t="s">
        <v>15228</v>
      </c>
      <c r="G5816" s="3">
        <v>77733</v>
      </c>
      <c r="H5816" s="7" t="str">
        <f>HYPERLINK("http://www.ensembl.org/Mus_musculus/Gene/Summary?db=core;g=ENSMUSG00000013878","ENSMUSG00000013878")</f>
        <v>ENSMUSG00000013878</v>
      </c>
      <c r="I5816" s="7" t="str">
        <f>HYPERLINK("http://www.informatics.jax.org/marker/MGI:1924983","MGI:1924983")</f>
        <v>MGI:1924983</v>
      </c>
      <c r="J5816" s="4" t="s">
        <v>12</v>
      </c>
    </row>
    <row r="5817" spans="1:10" x14ac:dyDescent="0.25">
      <c r="A5817" s="2">
        <v>410.48486741831101</v>
      </c>
      <c r="B5817" s="3">
        <v>-0.446552255406861</v>
      </c>
      <c r="C5817" s="5">
        <v>6.0656639614977299E-8</v>
      </c>
      <c r="D5817" s="6">
        <v>2.7993188233263602E-7</v>
      </c>
      <c r="E5817" s="3" t="s">
        <v>8563</v>
      </c>
      <c r="F5817" s="3" t="s">
        <v>8564</v>
      </c>
      <c r="G5817" s="3">
        <v>99100</v>
      </c>
      <c r="H5817" s="7" t="str">
        <f>HYPERLINK("http://www.ensembl.org/Mus_musculus/Gene/Summary?db=core;g=ENSMUSG00000068394","ENSMUSG00000068394")</f>
        <v>ENSMUSG00000068394</v>
      </c>
      <c r="I5817" s="7" t="str">
        <f>HYPERLINK("http://www.informatics.jax.org/marker/MGI:2139083","MGI:2139083")</f>
        <v>MGI:2139083</v>
      </c>
      <c r="J5817" s="4" t="s">
        <v>12</v>
      </c>
    </row>
    <row r="5818" spans="1:10" x14ac:dyDescent="0.25">
      <c r="A5818" s="2">
        <v>49.954404746206599</v>
      </c>
      <c r="B5818" s="3">
        <v>-0.44661054175008602</v>
      </c>
      <c r="C5818" s="3">
        <v>7.2673349038415297E-3</v>
      </c>
      <c r="D5818" s="4">
        <v>1.8579592389612699E-2</v>
      </c>
      <c r="E5818" s="3" t="s">
        <v>15431</v>
      </c>
      <c r="F5818" s="3" t="s">
        <v>15432</v>
      </c>
      <c r="G5818" s="3">
        <v>29815</v>
      </c>
      <c r="H5818" s="7" t="str">
        <f>HYPERLINK("http://www.ensembl.org/Mus_musculus/Gene/Summary?db=core;g=ENSMUSG00000028121","ENSMUSG00000028121")</f>
        <v>ENSMUSG00000028121</v>
      </c>
      <c r="I5818" s="7" t="str">
        <f>HYPERLINK("http://www.informatics.jax.org/marker/MGI:1352501","MGI:1352501")</f>
        <v>MGI:1352501</v>
      </c>
      <c r="J5818" s="4" t="s">
        <v>12</v>
      </c>
    </row>
    <row r="5819" spans="1:10" x14ac:dyDescent="0.25">
      <c r="A5819" s="2">
        <v>377.95415470722497</v>
      </c>
      <c r="B5819" s="3">
        <v>-0.44711005613221799</v>
      </c>
      <c r="C5819" s="5">
        <v>3.5319539235001803E-5</v>
      </c>
      <c r="D5819" s="4">
        <v>1.2506757294204301E-4</v>
      </c>
      <c r="E5819" s="3" t="s">
        <v>11151</v>
      </c>
      <c r="F5819" s="3" t="s">
        <v>11152</v>
      </c>
      <c r="G5819" s="3">
        <v>83962</v>
      </c>
      <c r="H5819" s="7" t="str">
        <f>HYPERLINK("http://www.ensembl.org/Mus_musculus/Gene/Summary?db=core;g=ENSMUSG00000025103","ENSMUSG00000025103")</f>
        <v>ENSMUSG00000025103</v>
      </c>
      <c r="I5819" s="7" t="str">
        <f>HYPERLINK("http://www.informatics.jax.org/marker/MGI:1933765","MGI:1933765")</f>
        <v>MGI:1933765</v>
      </c>
      <c r="J5819" s="4" t="s">
        <v>12</v>
      </c>
    </row>
    <row r="5820" spans="1:10" x14ac:dyDescent="0.25">
      <c r="A5820" s="2">
        <v>891.72902003480999</v>
      </c>
      <c r="B5820" s="3">
        <v>-0.44712036168616298</v>
      </c>
      <c r="C5820" s="5">
        <v>3.4220164166386699E-11</v>
      </c>
      <c r="D5820" s="6">
        <v>2.06115344337552E-10</v>
      </c>
      <c r="E5820" s="3" t="s">
        <v>6565</v>
      </c>
      <c r="F5820" s="3" t="s">
        <v>6566</v>
      </c>
      <c r="G5820" s="3">
        <v>66863</v>
      </c>
      <c r="H5820" s="7" t="str">
        <f>HYPERLINK("http://www.ensembl.org/Mus_musculus/Gene/Summary?db=core;g=ENSMUSG00000022761","ENSMUSG00000022761")</f>
        <v>ENSMUSG00000022761</v>
      </c>
      <c r="I5820" s="7" t="str">
        <f>HYPERLINK("http://www.informatics.jax.org/marker/MGI:1914113","MGI:1914113")</f>
        <v>MGI:1914113</v>
      </c>
      <c r="J5820" s="4" t="s">
        <v>12</v>
      </c>
    </row>
    <row r="5821" spans="1:10" x14ac:dyDescent="0.25">
      <c r="A5821" s="2">
        <v>741.71709543320503</v>
      </c>
      <c r="B5821" s="3">
        <v>-0.44784835392899303</v>
      </c>
      <c r="C5821" s="5">
        <v>4.9515896048556096E-12</v>
      </c>
      <c r="D5821" s="6">
        <v>3.1723634505442702E-11</v>
      </c>
      <c r="E5821" s="3" t="s">
        <v>6173</v>
      </c>
      <c r="F5821" s="3" t="s">
        <v>6174</v>
      </c>
      <c r="G5821" s="3">
        <v>238123</v>
      </c>
      <c r="H5821" s="7" t="str">
        <f>HYPERLINK("http://www.ensembl.org/Mus_musculus/Gene/Summary?db=core;g=ENSMUSG00000035933","ENSMUSG00000035933")</f>
        <v>ENSMUSG00000035933</v>
      </c>
      <c r="I5821" s="7" t="str">
        <f>HYPERLINK("http://www.informatics.jax.org/marker/MGI:2145130","MGI:2145130")</f>
        <v>MGI:2145130</v>
      </c>
      <c r="J5821" s="4" t="s">
        <v>12</v>
      </c>
    </row>
    <row r="5822" spans="1:10" x14ac:dyDescent="0.25">
      <c r="A5822" s="2">
        <v>581.60080437669899</v>
      </c>
      <c r="B5822" s="3">
        <v>-0.44789201410037599</v>
      </c>
      <c r="C5822" s="5">
        <v>4.5294688580369198E-7</v>
      </c>
      <c r="D5822" s="6">
        <v>1.9392341702233601E-6</v>
      </c>
      <c r="E5822" s="3" t="s">
        <v>9227</v>
      </c>
      <c r="F5822" s="3" t="s">
        <v>9228</v>
      </c>
      <c r="G5822" s="3">
        <v>17939</v>
      </c>
      <c r="H5822" s="7" t="str">
        <f>HYPERLINK("http://www.ensembl.org/Mus_musculus/Gene/Summary?db=core;g=ENSMUSG00000022453","ENSMUSG00000022453")</f>
        <v>ENSMUSG00000022453</v>
      </c>
      <c r="I5822" s="7" t="str">
        <f>HYPERLINK("http://www.informatics.jax.org/marker/MGI:1261422","MGI:1261422")</f>
        <v>MGI:1261422</v>
      </c>
      <c r="J5822" s="4" t="s">
        <v>12</v>
      </c>
    </row>
    <row r="5823" spans="1:10" x14ac:dyDescent="0.25">
      <c r="A5823" s="2">
        <v>674.24882504067205</v>
      </c>
      <c r="B5823" s="3">
        <v>-0.44809637747639203</v>
      </c>
      <c r="C5823" s="5">
        <v>8.75661630946506E-16</v>
      </c>
      <c r="D5823" s="6">
        <v>6.9854560526962402E-15</v>
      </c>
      <c r="E5823" s="3" t="s">
        <v>4961</v>
      </c>
      <c r="F5823" s="3" t="s">
        <v>4962</v>
      </c>
      <c r="G5823" s="3">
        <v>21682</v>
      </c>
      <c r="H5823" s="7" t="str">
        <f>HYPERLINK("http://www.ensembl.org/Mus_musculus/Gene/Summary?db=core;g=ENSMUSG00000029217","ENSMUSG00000029217")</f>
        <v>ENSMUSG00000029217</v>
      </c>
      <c r="I5823" s="7" t="str">
        <f>HYPERLINK("http://www.informatics.jax.org/marker/MGI:98662","MGI:98662")</f>
        <v>MGI:98662</v>
      </c>
      <c r="J5823" s="4" t="s">
        <v>12</v>
      </c>
    </row>
    <row r="5824" spans="1:10" x14ac:dyDescent="0.25">
      <c r="A5824" s="2">
        <v>49.663842888224401</v>
      </c>
      <c r="B5824" s="3">
        <v>-0.44862026567226798</v>
      </c>
      <c r="C5824" s="3">
        <v>8.0630363571202093E-3</v>
      </c>
      <c r="D5824" s="4">
        <v>2.0411178043955199E-2</v>
      </c>
      <c r="E5824" s="3" t="s">
        <v>15585</v>
      </c>
      <c r="F5824" s="3" t="s">
        <v>15586</v>
      </c>
      <c r="G5824" s="3">
        <v>378466</v>
      </c>
      <c r="H5824" s="7" t="str">
        <f>HYPERLINK("http://www.ensembl.org/Mus_musculus/Gene/Summary?db=core;g=ENSMUSG00000110444","ENSMUSG00000110444")</f>
        <v>ENSMUSG00000110444</v>
      </c>
      <c r="I5824" s="7" t="str">
        <f>HYPERLINK("http://www.informatics.jax.org/marker/MGI:3642803","MGI:3642803")</f>
        <v>MGI:3642803</v>
      </c>
      <c r="J5824" s="4" t="s">
        <v>12</v>
      </c>
    </row>
    <row r="5825" spans="1:10" x14ac:dyDescent="0.25">
      <c r="A5825" s="2">
        <v>544.79328167670303</v>
      </c>
      <c r="B5825" s="3">
        <v>-0.44872860092915701</v>
      </c>
      <c r="C5825" s="5">
        <v>1.7330989016971101E-14</v>
      </c>
      <c r="D5825" s="6">
        <v>1.29702885546364E-13</v>
      </c>
      <c r="E5825" s="3" t="s">
        <v>5287</v>
      </c>
      <c r="F5825" s="3" t="s">
        <v>5288</v>
      </c>
      <c r="G5825" s="3">
        <v>69780</v>
      </c>
      <c r="H5825" s="7" t="str">
        <f>HYPERLINK("http://www.ensembl.org/Mus_musculus/Gene/Summary?db=core;g=ENSMUSG00000032870","ENSMUSG00000032870")</f>
        <v>ENSMUSG00000032870</v>
      </c>
      <c r="I5825" s="7" t="str">
        <f>HYPERLINK("http://www.informatics.jax.org/marker/MGI:1917030","MGI:1917030")</f>
        <v>MGI:1917030</v>
      </c>
      <c r="J5825" s="4" t="s">
        <v>12</v>
      </c>
    </row>
    <row r="5826" spans="1:10" x14ac:dyDescent="0.25">
      <c r="A5826" s="2">
        <v>196.43571068264501</v>
      </c>
      <c r="B5826" s="3">
        <v>-0.448825710645678</v>
      </c>
      <c r="C5826" s="5">
        <v>9.2340933154236101E-7</v>
      </c>
      <c r="D5826" s="6">
        <v>3.8327998354063102E-6</v>
      </c>
      <c r="E5826" s="3" t="s">
        <v>9517</v>
      </c>
      <c r="F5826" s="3" t="s">
        <v>9518</v>
      </c>
      <c r="G5826" s="3">
        <v>19044</v>
      </c>
      <c r="H5826" s="7" t="str">
        <f>HYPERLINK("http://www.ensembl.org/Mus_musculus/Gene/Summary?db=core;g=ENSMUSG00000062729","ENSMUSG00000062729")</f>
        <v>ENSMUSG00000062729</v>
      </c>
      <c r="I5826" s="7" t="str">
        <f>HYPERLINK("http://www.informatics.jax.org/marker/MGI:104968","MGI:104968")</f>
        <v>MGI:104968</v>
      </c>
      <c r="J5826" s="4" t="s">
        <v>12</v>
      </c>
    </row>
    <row r="5827" spans="1:10" x14ac:dyDescent="0.25">
      <c r="A5827" s="2">
        <v>220.51794097166001</v>
      </c>
      <c r="B5827" s="3">
        <v>-0.44898208027952902</v>
      </c>
      <c r="C5827" s="5">
        <v>3.5517076630364101E-5</v>
      </c>
      <c r="D5827" s="4">
        <v>1.2569934514551E-4</v>
      </c>
      <c r="E5827" s="3" t="s">
        <v>11157</v>
      </c>
      <c r="F5827" s="3" t="s">
        <v>11158</v>
      </c>
      <c r="G5827" s="3">
        <v>72772</v>
      </c>
      <c r="H5827" s="7" t="str">
        <f>HYPERLINK("http://www.ensembl.org/Mus_musculus/Gene/Summary?db=core;g=ENSMUSG00000028999","ENSMUSG00000028999")</f>
        <v>ENSMUSG00000028999</v>
      </c>
      <c r="I5827" s="7" t="str">
        <f>HYPERLINK("http://www.informatics.jax.org/marker/MGI:1916233","MGI:1916233")</f>
        <v>MGI:1916233</v>
      </c>
      <c r="J5827" s="4" t="s">
        <v>12</v>
      </c>
    </row>
    <row r="5828" spans="1:10" x14ac:dyDescent="0.25">
      <c r="A5828" s="2">
        <v>113.833559216872</v>
      </c>
      <c r="B5828" s="3">
        <v>-0.449288747090409</v>
      </c>
      <c r="C5828" s="3">
        <v>3.4120491631380701E-4</v>
      </c>
      <c r="D5828" s="4">
        <v>1.0738207707801299E-3</v>
      </c>
      <c r="E5828" s="3" t="s">
        <v>12545</v>
      </c>
      <c r="F5828" s="3" t="s">
        <v>12546</v>
      </c>
      <c r="G5828" s="3">
        <v>19727</v>
      </c>
      <c r="H5828" s="7" t="str">
        <f>HYPERLINK("http://www.ensembl.org/Mus_musculus/Gene/Summary?db=core;g=ENSMUSG00000036120","ENSMUSG00000036120")</f>
        <v>ENSMUSG00000036120</v>
      </c>
      <c r="I5828" s="7" t="str">
        <f>HYPERLINK("http://www.informatics.jax.org/marker/MGI:1333865","MGI:1333865")</f>
        <v>MGI:1333865</v>
      </c>
      <c r="J5828" s="4" t="s">
        <v>12</v>
      </c>
    </row>
    <row r="5829" spans="1:10" x14ac:dyDescent="0.25">
      <c r="A5829" s="2">
        <v>586.195058447478</v>
      </c>
      <c r="B5829" s="3">
        <v>-0.44938931839086499</v>
      </c>
      <c r="C5829" s="3">
        <v>1.58176417866266E-3</v>
      </c>
      <c r="D5829" s="4">
        <v>4.5350959004402096E-3</v>
      </c>
      <c r="E5829" s="3" t="s">
        <v>13763</v>
      </c>
      <c r="F5829" s="3" t="s">
        <v>13764</v>
      </c>
      <c r="G5829" s="3">
        <v>67052</v>
      </c>
      <c r="H5829" s="7" t="str">
        <f>HYPERLINK("http://www.ensembl.org/Mus_musculus/Gene/Summary?db=core;g=ENSMUSG00000024056","ENSMUSG00000024056")</f>
        <v>ENSMUSG00000024056</v>
      </c>
      <c r="I5829" s="7" t="str">
        <f>HYPERLINK("http://www.informatics.jax.org/marker/MGI:1914302","MGI:1914302")</f>
        <v>MGI:1914302</v>
      </c>
      <c r="J5829" s="4" t="s">
        <v>12</v>
      </c>
    </row>
    <row r="5830" spans="1:10" x14ac:dyDescent="0.25">
      <c r="A5830" s="2">
        <v>1148.0320390054901</v>
      </c>
      <c r="B5830" s="3">
        <v>-0.44949919923131998</v>
      </c>
      <c r="C5830" s="3">
        <v>8.7760068160080604E-4</v>
      </c>
      <c r="D5830" s="4">
        <v>2.6091188664507602E-3</v>
      </c>
      <c r="E5830" s="3" t="s">
        <v>13275</v>
      </c>
      <c r="F5830" s="3" t="s">
        <v>13276</v>
      </c>
      <c r="G5830" s="3">
        <v>208628</v>
      </c>
      <c r="H5830" s="7" t="str">
        <f>HYPERLINK("http://www.ensembl.org/Mus_musculus/Gene/Summary?db=core;g=ENSMUSG00000029414","ENSMUSG00000029414")</f>
        <v>ENSMUSG00000029414</v>
      </c>
      <c r="I5830" s="7" t="str">
        <f>HYPERLINK("http://www.informatics.jax.org/marker/MGI:2673709","MGI:2673709")</f>
        <v>MGI:2673709</v>
      </c>
      <c r="J5830" s="4" t="s">
        <v>12</v>
      </c>
    </row>
    <row r="5831" spans="1:10" x14ac:dyDescent="0.25">
      <c r="A5831" s="2">
        <v>310.85283878217399</v>
      </c>
      <c r="B5831" s="3">
        <v>-0.449815092851096</v>
      </c>
      <c r="C5831" s="5">
        <v>4.1303277745222699E-8</v>
      </c>
      <c r="D5831" s="6">
        <v>1.9310114678420899E-7</v>
      </c>
      <c r="E5831" s="3" t="s">
        <v>8453</v>
      </c>
      <c r="F5831" s="3" t="s">
        <v>8454</v>
      </c>
      <c r="G5831" s="3">
        <v>230936</v>
      </c>
      <c r="H5831" s="7" t="str">
        <f>HYPERLINK("http://www.ensembl.org/Mus_musculus/Gene/Summary?db=core;g=ENSMUSG00000047777","ENSMUSG00000047777")</f>
        <v>ENSMUSG00000047777</v>
      </c>
      <c r="I5831" s="7" t="str">
        <f>HYPERLINK("http://www.informatics.jax.org/marker/MGI:2446217","MGI:2446217")</f>
        <v>MGI:2446217</v>
      </c>
      <c r="J5831" s="4" t="s">
        <v>12</v>
      </c>
    </row>
    <row r="5832" spans="1:10" x14ac:dyDescent="0.25">
      <c r="A5832" s="2">
        <v>199.825199547491</v>
      </c>
      <c r="B5832" s="3">
        <v>-0.44990410667434699</v>
      </c>
      <c r="C5832" s="5">
        <v>1.5169462052600099E-6</v>
      </c>
      <c r="D5832" s="6">
        <v>6.1539146611247402E-6</v>
      </c>
      <c r="E5832" s="3" t="s">
        <v>9737</v>
      </c>
      <c r="F5832" s="3" t="s">
        <v>9738</v>
      </c>
      <c r="G5832" s="3">
        <v>76773</v>
      </c>
      <c r="H5832" s="7" t="str">
        <f>HYPERLINK("http://www.ensembl.org/Mus_musculus/Gene/Summary?db=core;g=ENSMUSG00000022359","ENSMUSG00000022359")</f>
        <v>ENSMUSG00000022359</v>
      </c>
      <c r="I5832" s="7" t="str">
        <f>HYPERLINK("http://www.informatics.jax.org/marker/MGI:1924023","MGI:1924023")</f>
        <v>MGI:1924023</v>
      </c>
      <c r="J5832" s="4" t="s">
        <v>12</v>
      </c>
    </row>
    <row r="5833" spans="1:10" x14ac:dyDescent="0.25">
      <c r="A5833" s="2">
        <v>722.34701637594105</v>
      </c>
      <c r="B5833" s="3">
        <v>-0.44999384848718099</v>
      </c>
      <c r="C5833" s="5">
        <v>1.03197061741231E-8</v>
      </c>
      <c r="D5833" s="6">
        <v>5.1144660908195102E-8</v>
      </c>
      <c r="E5833" s="3" t="s">
        <v>7975</v>
      </c>
      <c r="F5833" s="3" t="s">
        <v>7976</v>
      </c>
      <c r="G5833" s="3">
        <v>100169</v>
      </c>
      <c r="H5833" s="7" t="str">
        <f>HYPERLINK("http://www.ensembl.org/Mus_musculus/Gene/Summary?db=core;g=ENSMUSG00000066043","ENSMUSG00000066043")</f>
        <v>ENSMUSG00000066043</v>
      </c>
      <c r="I5833" s="7" t="str">
        <f>HYPERLINK("http://www.informatics.jax.org/marker/MGI:2140327","MGI:2140327")</f>
        <v>MGI:2140327</v>
      </c>
      <c r="J5833" s="4" t="s">
        <v>12</v>
      </c>
    </row>
    <row r="5834" spans="1:10" x14ac:dyDescent="0.25">
      <c r="A5834" s="2">
        <v>3007.5600588284501</v>
      </c>
      <c r="B5834" s="3">
        <v>-0.45011658890387302</v>
      </c>
      <c r="C5834" s="5">
        <v>5.84893487514131E-14</v>
      </c>
      <c r="D5834" s="6">
        <v>4.2203071986017799E-13</v>
      </c>
      <c r="E5834" s="3" t="s">
        <v>5483</v>
      </c>
      <c r="F5834" s="3" t="s">
        <v>5484</v>
      </c>
      <c r="G5834" s="3">
        <v>230753</v>
      </c>
      <c r="H5834" s="7" t="str">
        <f>HYPERLINK("http://www.ensembl.org/Mus_musculus/Gene/Summary?db=core;g=ENSMUSG00000043962","ENSMUSG00000043962")</f>
        <v>ENSMUSG00000043962</v>
      </c>
      <c r="I5834" s="7" t="str">
        <f>HYPERLINK("http://www.informatics.jax.org/marker/MGI:2442637","MGI:2442637")</f>
        <v>MGI:2442637</v>
      </c>
      <c r="J5834" s="4" t="s">
        <v>12</v>
      </c>
    </row>
    <row r="5835" spans="1:10" x14ac:dyDescent="0.25">
      <c r="A5835" s="2">
        <v>226.826978911596</v>
      </c>
      <c r="B5835" s="3">
        <v>-0.45024269876276801</v>
      </c>
      <c r="C5835" s="5">
        <v>1.1557669680882899E-7</v>
      </c>
      <c r="D5835" s="6">
        <v>5.2131117590807605E-7</v>
      </c>
      <c r="E5835" s="3" t="s">
        <v>8761</v>
      </c>
      <c r="F5835" s="3" t="s">
        <v>8762</v>
      </c>
      <c r="G5835" s="3">
        <v>191578</v>
      </c>
      <c r="H5835" s="7" t="str">
        <f>HYPERLINK("http://www.ensembl.org/Mus_musculus/Gene/Summary?db=core;g=ENSMUSG00000035266","ENSMUSG00000035266")</f>
        <v>ENSMUSG00000035266</v>
      </c>
      <c r="I5835" s="7" t="str">
        <f>HYPERLINK("http://www.informatics.jax.org/marker/MGI:2176740","MGI:2176740")</f>
        <v>MGI:2176740</v>
      </c>
      <c r="J5835" s="4" t="s">
        <v>12</v>
      </c>
    </row>
    <row r="5836" spans="1:10" x14ac:dyDescent="0.25">
      <c r="A5836" s="2">
        <v>439.10475619156199</v>
      </c>
      <c r="B5836" s="3">
        <v>-0.45039521407507399</v>
      </c>
      <c r="C5836" s="5">
        <v>2.0255787225482199E-10</v>
      </c>
      <c r="D5836" s="6">
        <v>1.1491488034709699E-9</v>
      </c>
      <c r="E5836" s="3" t="s">
        <v>6970</v>
      </c>
      <c r="F5836" s="3" t="s">
        <v>6971</v>
      </c>
      <c r="G5836" s="3">
        <v>79566</v>
      </c>
      <c r="H5836" s="7" t="str">
        <f>HYPERLINK("http://www.ensembl.org/Mus_musculus/Gene/Summary?db=core;g=ENSMUSG00000013646","ENSMUSG00000013646")</f>
        <v>ENSMUSG00000013646</v>
      </c>
      <c r="I5836" s="7" t="str">
        <f>HYPERLINK("http://www.informatics.jax.org/marker/MGI:1933124","MGI:1933124")</f>
        <v>MGI:1933124</v>
      </c>
      <c r="J5836" s="4" t="s">
        <v>12</v>
      </c>
    </row>
    <row r="5837" spans="1:10" x14ac:dyDescent="0.25">
      <c r="A5837" s="2">
        <v>347.12983136438402</v>
      </c>
      <c r="B5837" s="3">
        <v>-0.45107458442424198</v>
      </c>
      <c r="C5837" s="5">
        <v>3.9148113557591903E-8</v>
      </c>
      <c r="D5837" s="6">
        <v>1.8337311148591701E-7</v>
      </c>
      <c r="E5837" s="3" t="s">
        <v>8437</v>
      </c>
      <c r="F5837" s="3" t="s">
        <v>8438</v>
      </c>
      <c r="G5837" s="3">
        <v>215445</v>
      </c>
      <c r="H5837" s="7" t="str">
        <f>HYPERLINK("http://www.ensembl.org/Mus_musculus/Gene/Summary?db=core;g=ENSMUSG00000037098","ENSMUSG00000037098")</f>
        <v>ENSMUSG00000037098</v>
      </c>
      <c r="I5837" s="7" t="str">
        <f>HYPERLINK("http://www.informatics.jax.org/marker/MGI:2444431","MGI:2444431")</f>
        <v>MGI:2444431</v>
      </c>
      <c r="J5837" s="4" t="s">
        <v>12</v>
      </c>
    </row>
    <row r="5838" spans="1:10" x14ac:dyDescent="0.25">
      <c r="A5838" s="2">
        <v>537.98960655247799</v>
      </c>
      <c r="B5838" s="3">
        <v>-0.45136708533089898</v>
      </c>
      <c r="C5838" s="5">
        <v>6.2379989178387802E-11</v>
      </c>
      <c r="D5838" s="6">
        <v>3.6819317168446802E-10</v>
      </c>
      <c r="E5838" s="3" t="s">
        <v>6699</v>
      </c>
      <c r="F5838" s="3" t="s">
        <v>6700</v>
      </c>
      <c r="G5838" s="3">
        <v>69684</v>
      </c>
      <c r="H5838" s="7" t="str">
        <f>HYPERLINK("http://www.ensembl.org/Mus_musculus/Gene/Summary?db=core;g=ENSMUSG00000075528","ENSMUSG00000075528")</f>
        <v>ENSMUSG00000075528</v>
      </c>
      <c r="I5838" s="7" t="str">
        <f>HYPERLINK("http://www.informatics.jax.org/marker/MGI:1916934","MGI:1916934")</f>
        <v>MGI:1916934</v>
      </c>
      <c r="J5838" s="4" t="s">
        <v>12</v>
      </c>
    </row>
    <row r="5839" spans="1:10" x14ac:dyDescent="0.25">
      <c r="A5839" s="2">
        <v>240.358725821333</v>
      </c>
      <c r="B5839" s="3">
        <v>-0.45146760381248102</v>
      </c>
      <c r="C5839" s="5">
        <v>3.9313597542543401E-8</v>
      </c>
      <c r="D5839" s="6">
        <v>1.8410452233174001E-7</v>
      </c>
      <c r="E5839" s="3" t="s">
        <v>8439</v>
      </c>
      <c r="F5839" s="3" t="s">
        <v>8440</v>
      </c>
      <c r="G5839" s="3">
        <v>112694759</v>
      </c>
      <c r="H5839" s="7" t="str">
        <f>HYPERLINK("http://www.ensembl.org/Mus_musculus/Gene/Summary?db=core;g=ENSMUSG00000023984","ENSMUSG00000023984")</f>
        <v>ENSMUSG00000023984</v>
      </c>
      <c r="I5839" s="7" t="str">
        <f>HYPERLINK("http://www.informatics.jax.org/marker/MGI:5141982","MGI:5141982")</f>
        <v>MGI:5141982</v>
      </c>
      <c r="J5839" s="4" t="s">
        <v>12</v>
      </c>
    </row>
    <row r="5840" spans="1:10" x14ac:dyDescent="0.25">
      <c r="A5840" s="2">
        <v>477.45842436499299</v>
      </c>
      <c r="B5840" s="3">
        <v>-0.45152416329888301</v>
      </c>
      <c r="C5840" s="5">
        <v>3.7638867218148701E-8</v>
      </c>
      <c r="D5840" s="6">
        <v>1.7676553025527299E-7</v>
      </c>
      <c r="E5840" s="3" t="s">
        <v>8415</v>
      </c>
      <c r="F5840" s="3" t="s">
        <v>8416</v>
      </c>
      <c r="G5840" s="3">
        <v>68080</v>
      </c>
      <c r="H5840" s="7" t="str">
        <f>HYPERLINK("http://www.ensembl.org/Mus_musculus/Gene/Summary?db=core;g=ENSMUSG00000029464","ENSMUSG00000029464")</f>
        <v>ENSMUSG00000029464</v>
      </c>
      <c r="I5840" s="7" t="str">
        <f>HYPERLINK("http://www.informatics.jax.org/marker/MGI:1289326","MGI:1289326")</f>
        <v>MGI:1289326</v>
      </c>
      <c r="J5840" s="4" t="s">
        <v>12</v>
      </c>
    </row>
    <row r="5841" spans="1:10" x14ac:dyDescent="0.25">
      <c r="A5841" s="2">
        <v>546.95676395988698</v>
      </c>
      <c r="B5841" s="3">
        <v>-0.45189019647453899</v>
      </c>
      <c r="C5841" s="5">
        <v>1.01849406437542E-11</v>
      </c>
      <c r="D5841" s="6">
        <v>6.3518984659972397E-11</v>
      </c>
      <c r="E5841" s="3" t="s">
        <v>6341</v>
      </c>
      <c r="F5841" s="3" t="s">
        <v>6342</v>
      </c>
      <c r="G5841" s="3">
        <v>217827</v>
      </c>
      <c r="H5841" s="7" t="str">
        <f>HYPERLINK("http://www.ensembl.org/Mus_musculus/Gene/Summary?db=core;g=ENSMUSG00000021179","ENSMUSG00000021179")</f>
        <v>ENSMUSG00000021179</v>
      </c>
      <c r="I5841" s="7" t="str">
        <f>HYPERLINK("http://www.informatics.jax.org/marker/MGI:2670969","MGI:2670969")</f>
        <v>MGI:2670969</v>
      </c>
      <c r="J5841" s="4" t="s">
        <v>12</v>
      </c>
    </row>
    <row r="5842" spans="1:10" x14ac:dyDescent="0.25">
      <c r="A5842" s="2">
        <v>393.58901603477301</v>
      </c>
      <c r="B5842" s="3">
        <v>-0.45192251289188201</v>
      </c>
      <c r="C5842" s="5">
        <v>2.21896392034946E-7</v>
      </c>
      <c r="D5842" s="6">
        <v>9.7958290819994208E-7</v>
      </c>
      <c r="E5842" s="3" t="s">
        <v>8951</v>
      </c>
      <c r="F5842" s="3" t="s">
        <v>8952</v>
      </c>
      <c r="G5842" s="3">
        <v>68631</v>
      </c>
      <c r="H5842" s="7" t="str">
        <f>HYPERLINK("http://www.ensembl.org/Mus_musculus/Gene/Summary?db=core;g=ENSMUSG00000021947","ENSMUSG00000021947")</f>
        <v>ENSMUSG00000021947</v>
      </c>
      <c r="I5842" s="7" t="str">
        <f>HYPERLINK("http://www.informatics.jax.org/marker/MGI:1915881","MGI:1915881")</f>
        <v>MGI:1915881</v>
      </c>
      <c r="J5842" s="4" t="s">
        <v>12</v>
      </c>
    </row>
    <row r="5843" spans="1:10" x14ac:dyDescent="0.25">
      <c r="A5843" s="2">
        <v>1710.05624081581</v>
      </c>
      <c r="B5843" s="3">
        <v>-0.45248487479830202</v>
      </c>
      <c r="C5843" s="5">
        <v>9.8535678803539305E-20</v>
      </c>
      <c r="D5843" s="6">
        <v>9.6480813605054396E-19</v>
      </c>
      <c r="E5843" s="3" t="s">
        <v>4045</v>
      </c>
      <c r="F5843" s="3" t="s">
        <v>4046</v>
      </c>
      <c r="G5843" s="3">
        <v>226153</v>
      </c>
      <c r="H5843" s="7" t="str">
        <f>HYPERLINK("http://www.ensembl.org/Mus_musculus/Gene/Summary?db=core;g=ENSMUSG00000025209","ENSMUSG00000025209")</f>
        <v>ENSMUSG00000025209</v>
      </c>
      <c r="I5843" s="7" t="str">
        <f>HYPERLINK("http://www.informatics.jax.org/marker/MGI:2137410","MGI:2137410")</f>
        <v>MGI:2137410</v>
      </c>
      <c r="J5843" s="4" t="s">
        <v>12</v>
      </c>
    </row>
    <row r="5844" spans="1:10" x14ac:dyDescent="0.25">
      <c r="A5844" s="2">
        <v>686.10861883785299</v>
      </c>
      <c r="B5844" s="3">
        <v>-0.45296797856770898</v>
      </c>
      <c r="C5844" s="5">
        <v>4.5492720282723E-8</v>
      </c>
      <c r="D5844" s="6">
        <v>2.1173387868192099E-7</v>
      </c>
      <c r="E5844" s="3" t="s">
        <v>8491</v>
      </c>
      <c r="F5844" s="3" t="s">
        <v>8492</v>
      </c>
      <c r="G5844" s="3">
        <v>22770</v>
      </c>
      <c r="H5844" s="7" t="str">
        <f>HYPERLINK("http://www.ensembl.org/Mus_musculus/Gene/Summary?db=core;g=ENSMUSG00000022361","ENSMUSG00000022361")</f>
        <v>ENSMUSG00000022361</v>
      </c>
      <c r="I5844" s="7" t="str">
        <f>HYPERLINK("http://www.informatics.jax.org/marker/MGI:109271","MGI:109271")</f>
        <v>MGI:109271</v>
      </c>
      <c r="J5844" s="4" t="s">
        <v>12</v>
      </c>
    </row>
    <row r="5845" spans="1:10" x14ac:dyDescent="0.25">
      <c r="A5845" s="2">
        <v>259.06922737044903</v>
      </c>
      <c r="B5845" s="3">
        <v>-0.45301830915441799</v>
      </c>
      <c r="C5845" s="3">
        <v>7.3451855357847097E-3</v>
      </c>
      <c r="D5845" s="4">
        <v>1.8750428319181198E-2</v>
      </c>
      <c r="E5845" s="3" t="s">
        <v>15453</v>
      </c>
      <c r="F5845" s="3" t="s">
        <v>15454</v>
      </c>
      <c r="G5845" s="3">
        <v>70645</v>
      </c>
      <c r="H5845" s="7" t="str">
        <f>HYPERLINK("http://www.ensembl.org/Mus_musculus/Gene/Summary?db=core;g=ENSMUSG00000072980","ENSMUSG00000072980")</f>
        <v>ENSMUSG00000072980</v>
      </c>
      <c r="I5845" s="7" t="str">
        <f>HYPERLINK("http://www.informatics.jax.org/marker/MGI:1917895","MGI:1917895")</f>
        <v>MGI:1917895</v>
      </c>
      <c r="J5845" s="4" t="s">
        <v>12</v>
      </c>
    </row>
    <row r="5846" spans="1:10" x14ac:dyDescent="0.25">
      <c r="A5846" s="2">
        <v>731.82333211423099</v>
      </c>
      <c r="B5846" s="3">
        <v>-0.45310522261712899</v>
      </c>
      <c r="C5846" s="5">
        <v>1.1478880240791699E-14</v>
      </c>
      <c r="D5846" s="6">
        <v>8.6829120962183796E-14</v>
      </c>
      <c r="E5846" s="3" t="s">
        <v>5231</v>
      </c>
      <c r="F5846" s="3" t="s">
        <v>5232</v>
      </c>
      <c r="G5846" s="3">
        <v>320808</v>
      </c>
      <c r="H5846" s="7" t="str">
        <f>HYPERLINK("http://www.ensembl.org/Mus_musculus/Gene/Summary?db=core;g=ENSMUSG00000049106","ENSMUSG00000049106")</f>
        <v>ENSMUSG00000049106</v>
      </c>
      <c r="I5846" s="7" t="str">
        <f>HYPERLINK("http://www.informatics.jax.org/marker/MGI:2444785","MGI:2444785")</f>
        <v>MGI:2444785</v>
      </c>
      <c r="J5846" s="4" t="s">
        <v>12</v>
      </c>
    </row>
    <row r="5847" spans="1:10" x14ac:dyDescent="0.25">
      <c r="A5847" s="2">
        <v>527.04545098872404</v>
      </c>
      <c r="B5847" s="3">
        <v>-0.453746859427132</v>
      </c>
      <c r="C5847" s="5">
        <v>1.6306131906702901E-6</v>
      </c>
      <c r="D5847" s="6">
        <v>6.6055242645887798E-6</v>
      </c>
      <c r="E5847" s="3" t="s">
        <v>9751</v>
      </c>
      <c r="F5847" s="3" t="s">
        <v>9752</v>
      </c>
      <c r="G5847" s="3">
        <v>103677</v>
      </c>
      <c r="H5847" s="7" t="str">
        <f>HYPERLINK("http://www.ensembl.org/Mus_musculus/Gene/Summary?db=core;g=ENSMUSG00000038290","ENSMUSG00000038290")</f>
        <v>ENSMUSG00000038290</v>
      </c>
      <c r="I5847" s="7" t="str">
        <f>HYPERLINK("http://www.informatics.jax.org/marker/MGI:2144117","MGI:2144117")</f>
        <v>MGI:2144117</v>
      </c>
      <c r="J5847" s="4" t="s">
        <v>12</v>
      </c>
    </row>
    <row r="5848" spans="1:10" x14ac:dyDescent="0.25">
      <c r="A5848" s="2">
        <v>1366.7335370139999</v>
      </c>
      <c r="B5848" s="3">
        <v>-0.454173542258415</v>
      </c>
      <c r="C5848" s="5">
        <v>6.0533583145954803E-16</v>
      </c>
      <c r="D5848" s="6">
        <v>4.8723357536254199E-15</v>
      </c>
      <c r="E5848" s="3" t="s">
        <v>4917</v>
      </c>
      <c r="F5848" s="3" t="s">
        <v>4918</v>
      </c>
      <c r="G5848" s="3">
        <v>27373</v>
      </c>
      <c r="H5848" s="7" t="str">
        <f>HYPERLINK("http://www.ensembl.org/Mus_musculus/Gene/Summary?db=core;g=ENSMUSG00000022433","ENSMUSG00000022433")</f>
        <v>ENSMUSG00000022433</v>
      </c>
      <c r="I5848" s="7" t="str">
        <f>HYPERLINK("http://www.informatics.jax.org/marker/MGI:1351660","MGI:1351660")</f>
        <v>MGI:1351660</v>
      </c>
      <c r="J5848" s="4" t="s">
        <v>12</v>
      </c>
    </row>
    <row r="5849" spans="1:10" x14ac:dyDescent="0.25">
      <c r="A5849" s="2">
        <v>102.768922195307</v>
      </c>
      <c r="B5849" s="3">
        <v>-0.45431951232794399</v>
      </c>
      <c r="C5849" s="3">
        <v>1.1325175135289899E-3</v>
      </c>
      <c r="D5849" s="4">
        <v>3.3150134135062599E-3</v>
      </c>
      <c r="E5849" s="3" t="s">
        <v>13483</v>
      </c>
      <c r="F5849" s="3" t="s">
        <v>13484</v>
      </c>
      <c r="G5849" s="3" t="s">
        <v>83</v>
      </c>
      <c r="H5849" s="7" t="str">
        <f>HYPERLINK("http://www.ensembl.org/Mus_musculus/Gene/Summary?db=core;g=ENSMUSG00000118135","ENSMUSG00000118135")</f>
        <v>ENSMUSG00000118135</v>
      </c>
      <c r="I5849" s="7" t="str">
        <f>HYPERLINK("http://www.informatics.jax.org/marker/MGI:6303257","MGI:6303257")</f>
        <v>MGI:6303257</v>
      </c>
      <c r="J5849" s="4" t="s">
        <v>12</v>
      </c>
    </row>
    <row r="5850" spans="1:10" x14ac:dyDescent="0.25">
      <c r="A5850" s="2">
        <v>148.655699532386</v>
      </c>
      <c r="B5850" s="3">
        <v>-0.45483298673669798</v>
      </c>
      <c r="C5850" s="3">
        <v>4.0625956245157998E-3</v>
      </c>
      <c r="D5850" s="4">
        <v>1.09326399720867E-2</v>
      </c>
      <c r="E5850" s="3" t="s">
        <v>14659</v>
      </c>
      <c r="F5850" s="3" t="s">
        <v>14660</v>
      </c>
      <c r="G5850" s="3">
        <v>20438</v>
      </c>
      <c r="H5850" s="7" t="str">
        <f>HYPERLINK("http://www.ensembl.org/Mus_musculus/Gene/Summary?db=core;g=ENSMUSG00000040749","ENSMUSG00000040749")</f>
        <v>ENSMUSG00000040749</v>
      </c>
      <c r="I5850" s="7" t="str">
        <f>HYPERLINK("http://www.informatics.jax.org/marker/MGI:108063","MGI:108063")</f>
        <v>MGI:108063</v>
      </c>
      <c r="J5850" s="4" t="s">
        <v>12</v>
      </c>
    </row>
    <row r="5851" spans="1:10" x14ac:dyDescent="0.25">
      <c r="A5851" s="2">
        <v>183.165920880817</v>
      </c>
      <c r="B5851" s="3">
        <v>-0.45486367518474402</v>
      </c>
      <c r="C5851" s="5">
        <v>8.6413365439382007E-6</v>
      </c>
      <c r="D5851" s="6">
        <v>3.2588861473792598E-5</v>
      </c>
      <c r="E5851" s="3" t="s">
        <v>10472</v>
      </c>
      <c r="F5851" s="3" t="s">
        <v>10473</v>
      </c>
      <c r="G5851" s="3">
        <v>20353</v>
      </c>
      <c r="H5851" s="7" t="str">
        <f>HYPERLINK("http://www.ensembl.org/Mus_musculus/Gene/Summary?db=core;g=ENSMUSG00000026121","ENSMUSG00000026121")</f>
        <v>ENSMUSG00000026121</v>
      </c>
      <c r="I5851" s="7" t="str">
        <f>HYPERLINK("http://www.informatics.jax.org/marker/MGI:109252","MGI:109252")</f>
        <v>MGI:109252</v>
      </c>
      <c r="J5851" s="4" t="s">
        <v>12</v>
      </c>
    </row>
    <row r="5852" spans="1:10" x14ac:dyDescent="0.25">
      <c r="A5852" s="2">
        <v>580.207926999699</v>
      </c>
      <c r="B5852" s="3">
        <v>-0.45492136214992401</v>
      </c>
      <c r="C5852" s="5">
        <v>2.43314599345662E-9</v>
      </c>
      <c r="D5852" s="6">
        <v>1.26467156012031E-8</v>
      </c>
      <c r="E5852" s="3" t="s">
        <v>7606</v>
      </c>
      <c r="F5852" s="3" t="s">
        <v>7607</v>
      </c>
      <c r="G5852" s="3">
        <v>57354</v>
      </c>
      <c r="H5852" s="7" t="str">
        <f>HYPERLINK("http://www.ensembl.org/Mus_musculus/Gene/Summary?db=core;g=ENSMUSG00000038002","ENSMUSG00000038002")</f>
        <v>ENSMUSG00000038002</v>
      </c>
      <c r="I5852" s="7" t="str">
        <f>HYPERLINK("http://www.informatics.jax.org/marker/MGI:1930190","MGI:1930190")</f>
        <v>MGI:1930190</v>
      </c>
      <c r="J5852" s="4" t="s">
        <v>12</v>
      </c>
    </row>
    <row r="5853" spans="1:10" x14ac:dyDescent="0.25">
      <c r="A5853" s="2">
        <v>351.99695866537297</v>
      </c>
      <c r="B5853" s="3">
        <v>-0.45511141424983698</v>
      </c>
      <c r="C5853" s="5">
        <v>2.44226326229709E-8</v>
      </c>
      <c r="D5853" s="6">
        <v>1.1683996004973E-7</v>
      </c>
      <c r="E5853" s="3" t="s">
        <v>8261</v>
      </c>
      <c r="F5853" s="3" t="s">
        <v>8262</v>
      </c>
      <c r="G5853" s="3">
        <v>98404</v>
      </c>
      <c r="H5853" s="7" t="str">
        <f>HYPERLINK("http://www.ensembl.org/Mus_musculus/Gene/Summary?db=core;g=ENSMUSG00000010290","ENSMUSG00000010290")</f>
        <v>ENSMUSG00000010290</v>
      </c>
      <c r="I5853" s="7" t="str">
        <f>HYPERLINK("http://www.informatics.jax.org/marker/MGI:2138299","MGI:2138299")</f>
        <v>MGI:2138299</v>
      </c>
      <c r="J5853" s="4" t="s">
        <v>12</v>
      </c>
    </row>
    <row r="5854" spans="1:10" x14ac:dyDescent="0.25">
      <c r="A5854" s="2">
        <v>1571.8627011881699</v>
      </c>
      <c r="B5854" s="3">
        <v>-0.45562138079272502</v>
      </c>
      <c r="C5854" s="3">
        <v>1.01428352405711E-4</v>
      </c>
      <c r="D5854" s="4">
        <v>3.4214285142672299E-4</v>
      </c>
      <c r="E5854" s="3" t="s">
        <v>11703</v>
      </c>
      <c r="F5854" s="3" t="s">
        <v>11704</v>
      </c>
      <c r="G5854" s="3">
        <v>14260</v>
      </c>
      <c r="H5854" s="7" t="str">
        <f>HYPERLINK("http://www.ensembl.org/Mus_musculus/Gene/Summary?db=core;g=ENSMUSG00000044042","ENSMUSG00000044042")</f>
        <v>ENSMUSG00000044042</v>
      </c>
      <c r="I5854" s="7" t="str">
        <f>HYPERLINK("http://www.informatics.jax.org/marker/MGI:101815","MGI:101815")</f>
        <v>MGI:101815</v>
      </c>
      <c r="J5854" s="4" t="s">
        <v>12</v>
      </c>
    </row>
    <row r="5855" spans="1:10" x14ac:dyDescent="0.25">
      <c r="A5855" s="2">
        <v>356.65406940487202</v>
      </c>
      <c r="B5855" s="3">
        <v>-0.45583765662365699</v>
      </c>
      <c r="C5855" s="5">
        <v>1.04555424105641E-7</v>
      </c>
      <c r="D5855" s="6">
        <v>4.73766765478684E-7</v>
      </c>
      <c r="E5855" s="3" t="s">
        <v>8721</v>
      </c>
      <c r="F5855" s="3" t="s">
        <v>8722</v>
      </c>
      <c r="G5855" s="3">
        <v>54194</v>
      </c>
      <c r="H5855" s="7" t="str">
        <f>HYPERLINK("http://www.ensembl.org/Mus_musculus/Gene/Summary?db=core;g=ENSMUSG00000002625","ENSMUSG00000002625")</f>
        <v>ENSMUSG00000002625</v>
      </c>
      <c r="I5855" s="7" t="str">
        <f>HYPERLINK("http://www.informatics.jax.org/marker/MGI:1860606","MGI:1860606")</f>
        <v>MGI:1860606</v>
      </c>
      <c r="J5855" s="4" t="s">
        <v>12</v>
      </c>
    </row>
    <row r="5856" spans="1:10" x14ac:dyDescent="0.25">
      <c r="A5856" s="2">
        <v>2589.10634264379</v>
      </c>
      <c r="B5856" s="3">
        <v>-0.45596176309390701</v>
      </c>
      <c r="C5856" s="5">
        <v>4.6993560894309797E-12</v>
      </c>
      <c r="D5856" s="6">
        <v>3.0205769909901897E-11</v>
      </c>
      <c r="E5856" s="3" t="s">
        <v>6153</v>
      </c>
      <c r="F5856" s="3" t="s">
        <v>6154</v>
      </c>
      <c r="G5856" s="3">
        <v>237823</v>
      </c>
      <c r="H5856" s="7" t="str">
        <f>HYPERLINK("http://www.ensembl.org/Mus_musculus/Gene/Summary?db=core;g=ENSMUSG00000020899","ENSMUSG00000020899")</f>
        <v>ENSMUSG00000020899</v>
      </c>
      <c r="I5856" s="7" t="str">
        <f>HYPERLINK("http://www.informatics.jax.org/marker/MGI:2684864","MGI:2684864")</f>
        <v>MGI:2684864</v>
      </c>
      <c r="J5856" s="4" t="s">
        <v>12</v>
      </c>
    </row>
    <row r="5857" spans="1:10" x14ac:dyDescent="0.25">
      <c r="A5857" s="2">
        <v>195.660563608714</v>
      </c>
      <c r="B5857" s="3">
        <v>-0.45632326327060801</v>
      </c>
      <c r="C5857" s="5">
        <v>1.29562691176821E-6</v>
      </c>
      <c r="D5857" s="6">
        <v>5.2996811242624099E-6</v>
      </c>
      <c r="E5857" s="3" t="s">
        <v>9657</v>
      </c>
      <c r="F5857" s="3" t="s">
        <v>9658</v>
      </c>
      <c r="G5857" s="3">
        <v>69090</v>
      </c>
      <c r="H5857" s="7" t="str">
        <f>HYPERLINK("http://www.ensembl.org/Mus_musculus/Gene/Summary?db=core;g=ENSMUSG00000044475","ENSMUSG00000044475")</f>
        <v>ENSMUSG00000044475</v>
      </c>
      <c r="I5857" s="7" t="str">
        <f>HYPERLINK("http://www.informatics.jax.org/marker/MGI:1916340","MGI:1916340")</f>
        <v>MGI:1916340</v>
      </c>
      <c r="J5857" s="4" t="s">
        <v>12</v>
      </c>
    </row>
    <row r="5858" spans="1:10" x14ac:dyDescent="0.25">
      <c r="A5858" s="2">
        <v>1352.6152501671099</v>
      </c>
      <c r="B5858" s="3">
        <v>-0.456621137433534</v>
      </c>
      <c r="C5858" s="3">
        <v>2.3138019643205199E-4</v>
      </c>
      <c r="D5858" s="4">
        <v>7.4580213691403604E-4</v>
      </c>
      <c r="E5858" s="3" t="s">
        <v>12247</v>
      </c>
      <c r="F5858" s="3" t="s">
        <v>12248</v>
      </c>
      <c r="G5858" s="3">
        <v>12615</v>
      </c>
      <c r="H5858" s="7" t="str">
        <f>HYPERLINK("http://www.ensembl.org/Mus_musculus/Gene/Summary?db=core;g=ENSMUSG00000029177","ENSMUSG00000029177")</f>
        <v>ENSMUSG00000029177</v>
      </c>
      <c r="I5858" s="7" t="str">
        <f>HYPERLINK("http://www.informatics.jax.org/marker/MGI:88375","MGI:88375")</f>
        <v>MGI:88375</v>
      </c>
      <c r="J5858" s="4" t="s">
        <v>12</v>
      </c>
    </row>
    <row r="5859" spans="1:10" x14ac:dyDescent="0.25">
      <c r="A5859" s="2">
        <v>122.2052621963</v>
      </c>
      <c r="B5859" s="3">
        <v>-0.45667500583004</v>
      </c>
      <c r="C5859" s="3">
        <v>1.6436871445484099E-4</v>
      </c>
      <c r="D5859" s="4">
        <v>5.3878840575955096E-4</v>
      </c>
      <c r="E5859" s="3" t="s">
        <v>12043</v>
      </c>
      <c r="F5859" s="3" t="s">
        <v>12044</v>
      </c>
      <c r="G5859" s="3">
        <v>109346</v>
      </c>
      <c r="H5859" s="7" t="str">
        <f>HYPERLINK("http://www.ensembl.org/Mus_musculus/Gene/Summary?db=core;g=ENSMUSG00000079610","ENSMUSG00000079610")</f>
        <v>ENSMUSG00000079610</v>
      </c>
      <c r="I5859" s="7" t="str">
        <f>HYPERLINK("http://www.informatics.jax.org/marker/MGI:1914816","MGI:1914816")</f>
        <v>MGI:1914816</v>
      </c>
      <c r="J5859" s="4" t="s">
        <v>12</v>
      </c>
    </row>
    <row r="5860" spans="1:10" x14ac:dyDescent="0.25">
      <c r="A5860" s="2">
        <v>255.17859307549401</v>
      </c>
      <c r="B5860" s="3">
        <v>-0.45669116771159501</v>
      </c>
      <c r="C5860" s="5">
        <v>2.4811504234287898E-7</v>
      </c>
      <c r="D5860" s="6">
        <v>1.0897168452119299E-6</v>
      </c>
      <c r="E5860" s="3" t="s">
        <v>8997</v>
      </c>
      <c r="F5860" s="3" t="s">
        <v>8998</v>
      </c>
      <c r="G5860" s="3">
        <v>50505</v>
      </c>
      <c r="H5860" s="7" t="str">
        <f>HYPERLINK("http://www.ensembl.org/Mus_musculus/Gene/Summary?db=core;g=ENSMUSG00000022545","ENSMUSG00000022545")</f>
        <v>ENSMUSG00000022545</v>
      </c>
      <c r="I5860" s="7" t="str">
        <f>HYPERLINK("http://www.informatics.jax.org/marker/MGI:1354163","MGI:1354163")</f>
        <v>MGI:1354163</v>
      </c>
      <c r="J5860" s="4" t="s">
        <v>12</v>
      </c>
    </row>
    <row r="5861" spans="1:10" x14ac:dyDescent="0.25">
      <c r="A5861" s="2">
        <v>573.538177445472</v>
      </c>
      <c r="B5861" s="3">
        <v>-0.45703668894251098</v>
      </c>
      <c r="C5861" s="5">
        <v>5.0354449482389004E-12</v>
      </c>
      <c r="D5861" s="6">
        <v>3.2219005314494199E-11</v>
      </c>
      <c r="E5861" s="3" t="s">
        <v>6181</v>
      </c>
      <c r="F5861" s="3" t="s">
        <v>6182</v>
      </c>
      <c r="G5861" s="3">
        <v>68023</v>
      </c>
      <c r="H5861" s="7" t="str">
        <f>HYPERLINK("http://www.ensembl.org/Mus_musculus/Gene/Summary?db=core;g=ENSMUSG00000078931","ENSMUSG00000078931")</f>
        <v>ENSMUSG00000078931</v>
      </c>
      <c r="I5861" s="7" t="str">
        <f>HYPERLINK("http://www.informatics.jax.org/marker/MGI:1915273","MGI:1915273")</f>
        <v>MGI:1915273</v>
      </c>
      <c r="J5861" s="4" t="s">
        <v>12</v>
      </c>
    </row>
    <row r="5862" spans="1:10" x14ac:dyDescent="0.25">
      <c r="A5862" s="2">
        <v>74.274297956412397</v>
      </c>
      <c r="B5862" s="3">
        <v>-0.45711657966629599</v>
      </c>
      <c r="C5862" s="3">
        <v>1.90674495161014E-3</v>
      </c>
      <c r="D5862" s="4">
        <v>5.4016679278482797E-3</v>
      </c>
      <c r="E5862" s="3" t="s">
        <v>13929</v>
      </c>
      <c r="F5862" s="3" t="s">
        <v>13930</v>
      </c>
      <c r="G5862" s="3" t="s">
        <v>83</v>
      </c>
      <c r="H5862" s="7" t="str">
        <f>HYPERLINK("http://www.ensembl.org/Mus_musculus/Gene/Summary?db=core;g=ENSMUSG00000086965","ENSMUSG00000086965")</f>
        <v>ENSMUSG00000086965</v>
      </c>
      <c r="I5862" s="7" t="str">
        <f>HYPERLINK("http://www.informatics.jax.org/marker/MGI:3833934","MGI:3833934")</f>
        <v>MGI:3833934</v>
      </c>
      <c r="J5862" s="4" t="s">
        <v>12</v>
      </c>
    </row>
    <row r="5863" spans="1:10" x14ac:dyDescent="0.25">
      <c r="A5863" s="2">
        <v>2046.7379867740599</v>
      </c>
      <c r="B5863" s="3">
        <v>-0.45721357574356503</v>
      </c>
      <c r="C5863" s="5">
        <v>3.1522412435739598E-13</v>
      </c>
      <c r="D5863" s="6">
        <v>2.1803646903991098E-12</v>
      </c>
      <c r="E5863" s="3" t="s">
        <v>5719</v>
      </c>
      <c r="F5863" s="3" t="s">
        <v>5720</v>
      </c>
      <c r="G5863" s="3">
        <v>74326</v>
      </c>
      <c r="H5863" s="7" t="str">
        <f>HYPERLINK("http://www.ensembl.org/Mus_musculus/Gene/Summary?db=core;g=ENSMUSG00000066037","ENSMUSG00000066037")</f>
        <v>ENSMUSG00000066037</v>
      </c>
      <c r="I5863" s="7" t="str">
        <f>HYPERLINK("http://www.informatics.jax.org/marker/MGI:1891692","MGI:1891692")</f>
        <v>MGI:1891692</v>
      </c>
      <c r="J5863" s="4" t="s">
        <v>12</v>
      </c>
    </row>
    <row r="5864" spans="1:10" x14ac:dyDescent="0.25">
      <c r="A5864" s="2">
        <v>298.527150984895</v>
      </c>
      <c r="B5864" s="3">
        <v>-0.45727880682757799</v>
      </c>
      <c r="C5864" s="5">
        <v>3.3183183681257498E-7</v>
      </c>
      <c r="D5864" s="6">
        <v>1.44134885945903E-6</v>
      </c>
      <c r="E5864" s="3" t="s">
        <v>9095</v>
      </c>
      <c r="F5864" s="3" t="s">
        <v>9096</v>
      </c>
      <c r="G5864" s="3">
        <v>56737</v>
      </c>
      <c r="H5864" s="7" t="str">
        <f>HYPERLINK("http://www.ensembl.org/Mus_musculus/Gene/Summary?db=core;g=ENSMUSG00000039740","ENSMUSG00000039740")</f>
        <v>ENSMUSG00000039740</v>
      </c>
      <c r="I5864" s="7" t="str">
        <f>HYPERLINK("http://www.informatics.jax.org/marker/MGI:1914731","MGI:1914731")</f>
        <v>MGI:1914731</v>
      </c>
      <c r="J5864" s="4" t="s">
        <v>12</v>
      </c>
    </row>
    <row r="5865" spans="1:10" x14ac:dyDescent="0.25">
      <c r="A5865" s="2">
        <v>347.224026547444</v>
      </c>
      <c r="B5865" s="3">
        <v>-0.45733396831504403</v>
      </c>
      <c r="C5865" s="5">
        <v>5.5353212207292904E-7</v>
      </c>
      <c r="D5865" s="6">
        <v>2.35352596965894E-6</v>
      </c>
      <c r="E5865" s="3" t="s">
        <v>9291</v>
      </c>
      <c r="F5865" s="3" t="s">
        <v>9292</v>
      </c>
      <c r="G5865" s="3">
        <v>110532</v>
      </c>
      <c r="H5865" s="7" t="str">
        <f>HYPERLINK("http://www.ensembl.org/Mus_musculus/Gene/Summary?db=core;g=ENSMUSG00000020262","ENSMUSG00000020262")</f>
        <v>ENSMUSG00000020262</v>
      </c>
      <c r="I5865" s="7" t="str">
        <f>HYPERLINK("http://www.informatics.jax.org/marker/MGI:891999","MGI:891999")</f>
        <v>MGI:891999</v>
      </c>
      <c r="J5865" s="4" t="s">
        <v>12</v>
      </c>
    </row>
    <row r="5866" spans="1:10" x14ac:dyDescent="0.25">
      <c r="A5866" s="2">
        <v>2036.8111842783601</v>
      </c>
      <c r="B5866" s="3">
        <v>-0.45741047401364798</v>
      </c>
      <c r="C5866" s="5">
        <v>6.25925346855367E-12</v>
      </c>
      <c r="D5866" s="6">
        <v>3.97912567375495E-11</v>
      </c>
      <c r="E5866" s="3" t="s">
        <v>6221</v>
      </c>
      <c r="F5866" s="3" t="s">
        <v>6222</v>
      </c>
      <c r="G5866" s="3">
        <v>78829</v>
      </c>
      <c r="H5866" s="7" t="str">
        <f>HYPERLINK("http://www.ensembl.org/Mus_musculus/Gene/Summary?db=core;g=ENSMUSG00000029723","ENSMUSG00000029723")</f>
        <v>ENSMUSG00000029723</v>
      </c>
      <c r="I5866" s="7" t="str">
        <f>HYPERLINK("http://www.informatics.jax.org/marker/MGI:1926079","MGI:1926079")</f>
        <v>MGI:1926079</v>
      </c>
      <c r="J5866" s="4" t="s">
        <v>12</v>
      </c>
    </row>
    <row r="5867" spans="1:10" x14ac:dyDescent="0.25">
      <c r="A5867" s="2">
        <v>1835.82937733474</v>
      </c>
      <c r="B5867" s="3">
        <v>-0.45777572566668701</v>
      </c>
      <c r="C5867" s="5">
        <v>5.0323058423876299E-13</v>
      </c>
      <c r="D5867" s="6">
        <v>3.4385679560597402E-12</v>
      </c>
      <c r="E5867" s="3" t="s">
        <v>5789</v>
      </c>
      <c r="F5867" s="3" t="s">
        <v>5790</v>
      </c>
      <c r="G5867" s="3">
        <v>235626</v>
      </c>
      <c r="H5867" s="7" t="str">
        <f>HYPERLINK("http://www.ensembl.org/Mus_musculus/Gene/Summary?db=core;g=ENSMUSG00000044791","ENSMUSG00000044791")</f>
        <v>ENSMUSG00000044791</v>
      </c>
      <c r="I5867" s="7" t="str">
        <f>HYPERLINK("http://www.informatics.jax.org/marker/MGI:1918177","MGI:1918177")</f>
        <v>MGI:1918177</v>
      </c>
      <c r="J5867" s="4" t="s">
        <v>12</v>
      </c>
    </row>
    <row r="5868" spans="1:10" x14ac:dyDescent="0.25">
      <c r="A5868" s="2">
        <v>802.72742207402098</v>
      </c>
      <c r="B5868" s="3">
        <v>-0.457965656534915</v>
      </c>
      <c r="C5868" s="3">
        <v>2.1360188313876701E-4</v>
      </c>
      <c r="D5868" s="4">
        <v>6.9086913818213597E-4</v>
      </c>
      <c r="E5868" s="3" t="s">
        <v>12203</v>
      </c>
      <c r="F5868" s="3" t="s">
        <v>12204</v>
      </c>
      <c r="G5868" s="3">
        <v>56177</v>
      </c>
      <c r="H5868" s="7" t="str">
        <f>HYPERLINK("http://www.ensembl.org/Mus_musculus/Gene/Summary?db=core;g=ENSMUSG00000026833","ENSMUSG00000026833")</f>
        <v>ENSMUSG00000026833</v>
      </c>
      <c r="I5868" s="7" t="str">
        <f>HYPERLINK("http://www.informatics.jax.org/marker/MGI:1860437","MGI:1860437")</f>
        <v>MGI:1860437</v>
      </c>
      <c r="J5868" s="4" t="s">
        <v>12</v>
      </c>
    </row>
    <row r="5869" spans="1:10" x14ac:dyDescent="0.25">
      <c r="A5869" s="2">
        <v>739.80846427329197</v>
      </c>
      <c r="B5869" s="3">
        <v>-0.45797011940967602</v>
      </c>
      <c r="C5869" s="5">
        <v>3.5717320195067598E-7</v>
      </c>
      <c r="D5869" s="6">
        <v>1.54631296212236E-6</v>
      </c>
      <c r="E5869" s="3" t="s">
        <v>9125</v>
      </c>
      <c r="F5869" s="3" t="s">
        <v>9126</v>
      </c>
      <c r="G5869" s="3">
        <v>108657</v>
      </c>
      <c r="H5869" s="7" t="str">
        <f>HYPERLINK("http://www.ensembl.org/Mus_musculus/Gene/Summary?db=core;g=ENSMUSG00000026269","ENSMUSG00000026269")</f>
        <v>ENSMUSG00000026269</v>
      </c>
      <c r="I5869" s="7" t="str">
        <f>HYPERLINK("http://www.informatics.jax.org/marker/MGI:1914170","MGI:1914170")</f>
        <v>MGI:1914170</v>
      </c>
      <c r="J5869" s="4" t="s">
        <v>12</v>
      </c>
    </row>
    <row r="5870" spans="1:10" x14ac:dyDescent="0.25">
      <c r="A5870" s="2">
        <v>920.80071188567001</v>
      </c>
      <c r="B5870" s="3">
        <v>-0.45803532172128902</v>
      </c>
      <c r="C5870" s="5">
        <v>5.6810068558990398E-7</v>
      </c>
      <c r="D5870" s="6">
        <v>2.41234830315093E-6</v>
      </c>
      <c r="E5870" s="3" t="s">
        <v>9303</v>
      </c>
      <c r="F5870" s="3" t="s">
        <v>9304</v>
      </c>
      <c r="G5870" s="3">
        <v>78656</v>
      </c>
      <c r="H5870" s="7" t="str">
        <f>HYPERLINK("http://www.ensembl.org/Mus_musculus/Gene/Summary?db=core;g=ENSMUSG00000003778","ENSMUSG00000003778")</f>
        <v>ENSMUSG00000003778</v>
      </c>
      <c r="I5870" s="7" t="str">
        <f>HYPERLINK("http://www.informatics.jax.org/marker/MGI:1925906","MGI:1925906")</f>
        <v>MGI:1925906</v>
      </c>
      <c r="J5870" s="4" t="s">
        <v>12</v>
      </c>
    </row>
    <row r="5871" spans="1:10" x14ac:dyDescent="0.25">
      <c r="A5871" s="2">
        <v>177.885449916657</v>
      </c>
      <c r="B5871" s="3">
        <v>-0.45805223746099499</v>
      </c>
      <c r="C5871" s="3">
        <v>2.9437443014267602E-3</v>
      </c>
      <c r="D5871" s="4">
        <v>8.0760486399743692E-3</v>
      </c>
      <c r="E5871" s="3" t="s">
        <v>14381</v>
      </c>
      <c r="F5871" s="3" t="s">
        <v>14382</v>
      </c>
      <c r="G5871" s="3">
        <v>68737</v>
      </c>
      <c r="H5871" s="7" t="str">
        <f>HYPERLINK("http://www.ensembl.org/Mus_musculus/Gene/Summary?db=core;g=ENSMUSG00000021257","ENSMUSG00000021257")</f>
        <v>ENSMUSG00000021257</v>
      </c>
      <c r="I5871" s="7" t="str">
        <f>HYPERLINK("http://www.informatics.jax.org/marker/MGI:1915987","MGI:1915987")</f>
        <v>MGI:1915987</v>
      </c>
      <c r="J5871" s="4" t="s">
        <v>12</v>
      </c>
    </row>
    <row r="5872" spans="1:10" x14ac:dyDescent="0.25">
      <c r="A5872" s="2">
        <v>473.133218638122</v>
      </c>
      <c r="B5872" s="3">
        <v>-0.45811177490327099</v>
      </c>
      <c r="C5872" s="5">
        <v>4.3666713220186601E-10</v>
      </c>
      <c r="D5872" s="6">
        <v>2.4060005160717499E-9</v>
      </c>
      <c r="E5872" s="3" t="s">
        <v>7176</v>
      </c>
      <c r="F5872" s="3" t="s">
        <v>7177</v>
      </c>
      <c r="G5872" s="3">
        <v>224650</v>
      </c>
      <c r="H5872" s="7" t="str">
        <f>HYPERLINK("http://www.ensembl.org/Mus_musculus/Gene/Summary?db=core;g=ENSMUSG00000024219","ENSMUSG00000024219")</f>
        <v>ENSMUSG00000024219</v>
      </c>
      <c r="I5872" s="7" t="str">
        <f>HYPERLINK("http://www.informatics.jax.org/marker/MGI:2446180","MGI:2446180")</f>
        <v>MGI:2446180</v>
      </c>
      <c r="J5872" s="4" t="s">
        <v>12</v>
      </c>
    </row>
    <row r="5873" spans="1:10" x14ac:dyDescent="0.25">
      <c r="A5873" s="2">
        <v>406.49490462002098</v>
      </c>
      <c r="B5873" s="3">
        <v>-0.458653142574659</v>
      </c>
      <c r="C5873" s="5">
        <v>4.2624844390130302E-8</v>
      </c>
      <c r="D5873" s="6">
        <v>1.9899666935922599E-7</v>
      </c>
      <c r="E5873" s="3" t="s">
        <v>8465</v>
      </c>
      <c r="F5873" s="3" t="s">
        <v>8466</v>
      </c>
      <c r="G5873" s="3">
        <v>14628</v>
      </c>
      <c r="H5873" s="7" t="str">
        <f>HYPERLINK("http://www.ensembl.org/Mus_musculus/Gene/Summary?db=core;g=ENSMUSG00000038280","ENSMUSG00000038280")</f>
        <v>ENSMUSG00000038280</v>
      </c>
      <c r="I5873" s="7" t="str">
        <f>HYPERLINK("http://www.informatics.jax.org/marker/MGI:2655574","MGI:2655574")</f>
        <v>MGI:2655574</v>
      </c>
      <c r="J5873" s="4" t="s">
        <v>12</v>
      </c>
    </row>
    <row r="5874" spans="1:10" x14ac:dyDescent="0.25">
      <c r="A5874" s="2">
        <v>1205.3298658558599</v>
      </c>
      <c r="B5874" s="3">
        <v>-0.45867593768141202</v>
      </c>
      <c r="C5874" s="5">
        <v>2.22824971194296E-11</v>
      </c>
      <c r="D5874" s="6">
        <v>1.3620918883916701E-10</v>
      </c>
      <c r="E5874" s="3" t="s">
        <v>6469</v>
      </c>
      <c r="F5874" s="3" t="s">
        <v>6470</v>
      </c>
      <c r="G5874" s="3">
        <v>28042</v>
      </c>
      <c r="H5874" s="7" t="str">
        <f>HYPERLINK("http://www.ensembl.org/Mus_musculus/Gene/Summary?db=core;g=ENSMUSG00000075703","ENSMUSG00000075703")</f>
        <v>ENSMUSG00000075703</v>
      </c>
      <c r="I5874" s="7" t="str">
        <f>HYPERLINK("http://www.informatics.jax.org/marker/MGI:107898","MGI:107898")</f>
        <v>MGI:107898</v>
      </c>
      <c r="J5874" s="4" t="s">
        <v>12</v>
      </c>
    </row>
    <row r="5875" spans="1:10" x14ac:dyDescent="0.25">
      <c r="A5875" s="2">
        <v>498.786174089734</v>
      </c>
      <c r="B5875" s="3">
        <v>-0.45888410294569998</v>
      </c>
      <c r="C5875" s="5">
        <v>2.6293165174455901E-9</v>
      </c>
      <c r="D5875" s="6">
        <v>1.36268388236602E-8</v>
      </c>
      <c r="E5875" s="3" t="s">
        <v>7628</v>
      </c>
      <c r="F5875" s="3" t="s">
        <v>7629</v>
      </c>
      <c r="G5875" s="3">
        <v>29858</v>
      </c>
      <c r="H5875" s="7" t="str">
        <f>HYPERLINK("http://www.ensembl.org/Mus_musculus/Gene/Summary?db=core;g=ENSMUSG00000022474","ENSMUSG00000022474")</f>
        <v>ENSMUSG00000022474</v>
      </c>
      <c r="I5875" s="7" t="str">
        <f>HYPERLINK("http://www.informatics.jax.org/marker/MGI:1353418","MGI:1353418")</f>
        <v>MGI:1353418</v>
      </c>
      <c r="J5875" s="4" t="s">
        <v>12</v>
      </c>
    </row>
    <row r="5876" spans="1:10" x14ac:dyDescent="0.25">
      <c r="A5876" s="2">
        <v>81.683873869735393</v>
      </c>
      <c r="B5876" s="3">
        <v>-0.45920873611871499</v>
      </c>
      <c r="C5876" s="3">
        <v>1.1884710150561399E-3</v>
      </c>
      <c r="D5876" s="4">
        <v>3.4669598249862702E-3</v>
      </c>
      <c r="E5876" s="3" t="s">
        <v>13529</v>
      </c>
      <c r="F5876" s="3" t="s">
        <v>13530</v>
      </c>
      <c r="G5876" s="3">
        <v>56513</v>
      </c>
      <c r="H5876" s="7" t="str">
        <f>HYPERLINK("http://www.ensembl.org/Mus_musculus/Gene/Summary?db=core;g=ENSMUSG00000005699","ENSMUSG00000005699")</f>
        <v>ENSMUSG00000005699</v>
      </c>
      <c r="I5876" s="7" t="str">
        <f>HYPERLINK("http://www.informatics.jax.org/marker/MGI:1927223","MGI:1927223")</f>
        <v>MGI:1927223</v>
      </c>
      <c r="J5876" s="4" t="s">
        <v>12</v>
      </c>
    </row>
    <row r="5877" spans="1:10" x14ac:dyDescent="0.25">
      <c r="A5877" s="2">
        <v>421.58671143090299</v>
      </c>
      <c r="B5877" s="3">
        <v>-0.45939089612259298</v>
      </c>
      <c r="C5877" s="5">
        <v>7.7261999399073899E-8</v>
      </c>
      <c r="D5877" s="6">
        <v>3.5342301743208901E-7</v>
      </c>
      <c r="E5877" s="3" t="s">
        <v>8639</v>
      </c>
      <c r="F5877" s="3" t="s">
        <v>8640</v>
      </c>
      <c r="G5877" s="3">
        <v>21981</v>
      </c>
      <c r="H5877" s="7" t="str">
        <f>HYPERLINK("http://www.ensembl.org/Mus_musculus/Gene/Summary?db=core;g=ENSMUSG00000021285","ENSMUSG00000021285")</f>
        <v>ENSMUSG00000021285</v>
      </c>
      <c r="I5877" s="7" t="str">
        <f>HYPERLINK("http://www.informatics.jax.org/marker/MGI:1336199","MGI:1336199")</f>
        <v>MGI:1336199</v>
      </c>
      <c r="J5877" s="4" t="s">
        <v>12</v>
      </c>
    </row>
    <row r="5878" spans="1:10" x14ac:dyDescent="0.25">
      <c r="A5878" s="2">
        <v>2247.5265933396199</v>
      </c>
      <c r="B5878" s="3">
        <v>-0.46038047742708599</v>
      </c>
      <c r="C5878" s="5">
        <v>4.91019851973022E-21</v>
      </c>
      <c r="D5878" s="6">
        <v>5.0802263803294803E-20</v>
      </c>
      <c r="E5878" s="3" t="s">
        <v>3830</v>
      </c>
      <c r="F5878" s="3" t="s">
        <v>3831</v>
      </c>
      <c r="G5878" s="3">
        <v>226151</v>
      </c>
      <c r="H5878" s="7" t="str">
        <f>HYPERLINK("http://www.ensembl.org/Mus_musculus/Gene/Summary?db=core;g=ENSMUSG00000036097","ENSMUSG00000036097")</f>
        <v>ENSMUSG00000036097</v>
      </c>
      <c r="I5878" s="7" t="str">
        <f>HYPERLINK("http://www.informatics.jax.org/marker/MGI:1924968","MGI:1924968")</f>
        <v>MGI:1924968</v>
      </c>
      <c r="J5878" s="4" t="s">
        <v>12</v>
      </c>
    </row>
    <row r="5879" spans="1:10" x14ac:dyDescent="0.25">
      <c r="A5879" s="2">
        <v>206.95921512884601</v>
      </c>
      <c r="B5879" s="3">
        <v>-0.46040672884625</v>
      </c>
      <c r="C5879" s="5">
        <v>4.5353162378355403E-6</v>
      </c>
      <c r="D5879" s="6">
        <v>1.7574461821598898E-5</v>
      </c>
      <c r="E5879" s="3" t="s">
        <v>10192</v>
      </c>
      <c r="F5879" s="3" t="s">
        <v>10193</v>
      </c>
      <c r="G5879" s="3">
        <v>66174</v>
      </c>
      <c r="H5879" s="7" t="str">
        <f>HYPERLINK("http://www.ensembl.org/Mus_musculus/Gene/Summary?db=core;g=ENSMUSG00000002804","ENSMUSG00000002804")</f>
        <v>ENSMUSG00000002804</v>
      </c>
      <c r="I5879" s="7" t="str">
        <f>HYPERLINK("http://www.informatics.jax.org/marker/MGI:1913424","MGI:1913424")</f>
        <v>MGI:1913424</v>
      </c>
      <c r="J5879" s="4" t="s">
        <v>12</v>
      </c>
    </row>
    <row r="5880" spans="1:10" x14ac:dyDescent="0.25">
      <c r="A5880" s="2">
        <v>208.73510664750401</v>
      </c>
      <c r="B5880" s="3">
        <v>-0.461132007666812</v>
      </c>
      <c r="C5880" s="3">
        <v>7.2945824104841597E-3</v>
      </c>
      <c r="D5880" s="4">
        <v>1.86381400796512E-2</v>
      </c>
      <c r="E5880" s="3" t="s">
        <v>15441</v>
      </c>
      <c r="F5880" s="3" t="s">
        <v>15442</v>
      </c>
      <c r="G5880" s="3">
        <v>230098</v>
      </c>
      <c r="H5880" s="7" t="str">
        <f>HYPERLINK("http://www.ensembl.org/Mus_musculus/Gene/Summary?db=core;g=ENSMUSG00000051517","ENSMUSG00000051517")</f>
        <v>ENSMUSG00000051517</v>
      </c>
      <c r="I5880" s="7" t="str">
        <f>HYPERLINK("http://www.informatics.jax.org/marker/MGI:3036286","MGI:3036286")</f>
        <v>MGI:3036286</v>
      </c>
      <c r="J5880" s="4" t="s">
        <v>12</v>
      </c>
    </row>
    <row r="5881" spans="1:10" x14ac:dyDescent="0.25">
      <c r="A5881" s="2">
        <v>413.51249268800098</v>
      </c>
      <c r="B5881" s="3">
        <v>-0.46180568174257802</v>
      </c>
      <c r="C5881" s="5">
        <v>7.3781914976980306E-8</v>
      </c>
      <c r="D5881" s="6">
        <v>3.3789581127404801E-7</v>
      </c>
      <c r="E5881" s="3" t="s">
        <v>8629</v>
      </c>
      <c r="F5881" s="3" t="s">
        <v>8630</v>
      </c>
      <c r="G5881" s="3">
        <v>227746</v>
      </c>
      <c r="H5881" s="7" t="str">
        <f>HYPERLINK("http://www.ensembl.org/Mus_musculus/Gene/Summary?db=core;g=ENSMUSG00000070953","ENSMUSG00000070953")</f>
        <v>ENSMUSG00000070953</v>
      </c>
      <c r="I5881" s="7" t="str">
        <f>HYPERLINK("http://www.informatics.jax.org/marker/MGI:2139530","MGI:2139530")</f>
        <v>MGI:2139530</v>
      </c>
      <c r="J5881" s="4" t="s">
        <v>12</v>
      </c>
    </row>
    <row r="5882" spans="1:10" x14ac:dyDescent="0.25">
      <c r="A5882" s="2">
        <v>159.74309648780101</v>
      </c>
      <c r="B5882" s="3">
        <v>-0.46267161891062603</v>
      </c>
      <c r="C5882" s="3">
        <v>6.87755616194299E-4</v>
      </c>
      <c r="D5882" s="4">
        <v>2.0750521345397101E-3</v>
      </c>
      <c r="E5882" s="3" t="s">
        <v>13081</v>
      </c>
      <c r="F5882" s="3" t="s">
        <v>13082</v>
      </c>
      <c r="G5882" s="3">
        <v>74354</v>
      </c>
      <c r="H5882" s="7" t="str">
        <f>HYPERLINK("http://www.ensembl.org/Mus_musculus/Gene/Summary?db=core;g=ENSMUSG00000056215","ENSMUSG00000056215")</f>
        <v>ENSMUSG00000056215</v>
      </c>
      <c r="I5882" s="7" t="str">
        <f>HYPERLINK("http://www.informatics.jax.org/marker/MGI:1921604","MGI:1921604")</f>
        <v>MGI:1921604</v>
      </c>
      <c r="J5882" s="4" t="s">
        <v>12</v>
      </c>
    </row>
    <row r="5883" spans="1:10" x14ac:dyDescent="0.25">
      <c r="A5883" s="2">
        <v>857.057632153545</v>
      </c>
      <c r="B5883" s="3">
        <v>-0.46313653132820298</v>
      </c>
      <c r="C5883" s="5">
        <v>1.51880314771666E-12</v>
      </c>
      <c r="D5883" s="6">
        <v>1.0064112255703099E-11</v>
      </c>
      <c r="E5883" s="3" t="s">
        <v>5969</v>
      </c>
      <c r="F5883" s="3" t="s">
        <v>5970</v>
      </c>
      <c r="G5883" s="3">
        <v>67681</v>
      </c>
      <c r="H5883" s="7" t="str">
        <f>HYPERLINK("http://www.ensembl.org/Mus_musculus/Gene/Summary?db=core;g=ENSMUSG00000057388","ENSMUSG00000057388")</f>
        <v>ENSMUSG00000057388</v>
      </c>
      <c r="I5883" s="7" t="str">
        <f>HYPERLINK("http://www.informatics.jax.org/marker/MGI:1914931","MGI:1914931")</f>
        <v>MGI:1914931</v>
      </c>
      <c r="J5883" s="4" t="s">
        <v>12</v>
      </c>
    </row>
    <row r="5884" spans="1:10" x14ac:dyDescent="0.25">
      <c r="A5884" s="2">
        <v>1141.69384865136</v>
      </c>
      <c r="B5884" s="3">
        <v>-0.46314718953147099</v>
      </c>
      <c r="C5884" s="3">
        <v>2.5577819225960701E-3</v>
      </c>
      <c r="D5884" s="4">
        <v>7.1001491432424596E-3</v>
      </c>
      <c r="E5884" s="3" t="s">
        <v>14215</v>
      </c>
      <c r="F5884" s="3" t="s">
        <v>14216</v>
      </c>
      <c r="G5884" s="3">
        <v>71665</v>
      </c>
      <c r="H5884" s="7" t="str">
        <f>HYPERLINK("http://www.ensembl.org/Mus_musculus/Gene/Summary?db=core;g=ENSMUSG00000028673","ENSMUSG00000028673")</f>
        <v>ENSMUSG00000028673</v>
      </c>
      <c r="I5884" s="7" t="str">
        <f>HYPERLINK("http://www.informatics.jax.org/marker/MGI:95593","MGI:95593")</f>
        <v>MGI:95593</v>
      </c>
      <c r="J5884" s="4" t="s">
        <v>12</v>
      </c>
    </row>
    <row r="5885" spans="1:10" x14ac:dyDescent="0.25">
      <c r="A5885" s="2">
        <v>1166.03701144553</v>
      </c>
      <c r="B5885" s="3">
        <v>-0.46317883163354201</v>
      </c>
      <c r="C5885" s="5">
        <v>5.2123078159406202E-12</v>
      </c>
      <c r="D5885" s="6">
        <v>3.3285851726149301E-11</v>
      </c>
      <c r="E5885" s="3" t="s">
        <v>6193</v>
      </c>
      <c r="F5885" s="3" t="s">
        <v>6194</v>
      </c>
      <c r="G5885" s="3">
        <v>69257</v>
      </c>
      <c r="H5885" s="7" t="str">
        <f>HYPERLINK("http://www.ensembl.org/Mus_musculus/Gene/Summary?db=core;g=ENSMUSG00000037174","ENSMUSG00000037174")</f>
        <v>ENSMUSG00000037174</v>
      </c>
      <c r="I5885" s="7" t="str">
        <f>HYPERLINK("http://www.informatics.jax.org/marker/MGI:1916507","MGI:1916507")</f>
        <v>MGI:1916507</v>
      </c>
      <c r="J5885" s="4" t="s">
        <v>12</v>
      </c>
    </row>
    <row r="5886" spans="1:10" x14ac:dyDescent="0.25">
      <c r="A5886" s="2">
        <v>466.73144759520602</v>
      </c>
      <c r="B5886" s="3">
        <v>-0.46328639590849802</v>
      </c>
      <c r="C5886" s="5">
        <v>1.4150665388565399E-9</v>
      </c>
      <c r="D5886" s="6">
        <v>7.4952657686039006E-9</v>
      </c>
      <c r="E5886" s="3" t="s">
        <v>7464</v>
      </c>
      <c r="F5886" s="3" t="s">
        <v>7465</v>
      </c>
      <c r="G5886" s="3">
        <v>67905</v>
      </c>
      <c r="H5886" s="7" t="str">
        <f>HYPERLINK("http://www.ensembl.org/Mus_musculus/Gene/Summary?db=core;g=ENSMUSG00000020253","ENSMUSG00000020253")</f>
        <v>ENSMUSG00000020253</v>
      </c>
      <c r="I5886" s="7" t="str">
        <f>HYPERLINK("http://www.informatics.jax.org/marker/MGI:1915155","MGI:1915155")</f>
        <v>MGI:1915155</v>
      </c>
      <c r="J5886" s="4" t="s">
        <v>12</v>
      </c>
    </row>
    <row r="5887" spans="1:10" x14ac:dyDescent="0.25">
      <c r="A5887" s="2">
        <v>798.09253789647903</v>
      </c>
      <c r="B5887" s="3">
        <v>-0.46343318660611599</v>
      </c>
      <c r="C5887" s="5">
        <v>3.5918588838435899E-14</v>
      </c>
      <c r="D5887" s="6">
        <v>2.6253319936766301E-13</v>
      </c>
      <c r="E5887" s="3" t="s">
        <v>5413</v>
      </c>
      <c r="F5887" s="3" t="s">
        <v>5414</v>
      </c>
      <c r="G5887" s="3">
        <v>14423</v>
      </c>
      <c r="H5887" s="7" t="str">
        <f>HYPERLINK("http://www.ensembl.org/Mus_musculus/Gene/Summary?db=core;g=ENSMUSG00000000420","ENSMUSG00000000420")</f>
        <v>ENSMUSG00000000420</v>
      </c>
      <c r="I5887" s="7" t="str">
        <f>HYPERLINK("http://www.informatics.jax.org/marker/MGI:894693","MGI:894693")</f>
        <v>MGI:894693</v>
      </c>
      <c r="J5887" s="4" t="s">
        <v>12</v>
      </c>
    </row>
    <row r="5888" spans="1:10" x14ac:dyDescent="0.25">
      <c r="A5888" s="2">
        <v>174.838836288962</v>
      </c>
      <c r="B5888" s="3">
        <v>-0.46345794657019401</v>
      </c>
      <c r="C5888" s="3">
        <v>1.12667347835655E-4</v>
      </c>
      <c r="D5888" s="4">
        <v>3.7740786467115901E-4</v>
      </c>
      <c r="E5888" s="3" t="s">
        <v>11785</v>
      </c>
      <c r="F5888" s="3" t="s">
        <v>11786</v>
      </c>
      <c r="G5888" s="3">
        <v>65099</v>
      </c>
      <c r="H5888" s="7" t="str">
        <f>HYPERLINK("http://www.ensembl.org/Mus_musculus/Gene/Summary?db=core;g=ENSMUSG00000032251","ENSMUSG00000032251")</f>
        <v>ENSMUSG00000032251</v>
      </c>
      <c r="I5888" s="7" t="str">
        <f>HYPERLINK("http://www.informatics.jax.org/marker/MGI:1929475","MGI:1929475")</f>
        <v>MGI:1929475</v>
      </c>
      <c r="J5888" s="4" t="s">
        <v>12</v>
      </c>
    </row>
    <row r="5889" spans="1:10" x14ac:dyDescent="0.25">
      <c r="A5889" s="2">
        <v>200.26904294313701</v>
      </c>
      <c r="B5889" s="3">
        <v>-0.46379016603649598</v>
      </c>
      <c r="C5889" s="5">
        <v>5.6422773650565801E-5</v>
      </c>
      <c r="D5889" s="4">
        <v>1.9558043529428E-4</v>
      </c>
      <c r="E5889" s="3" t="s">
        <v>11389</v>
      </c>
      <c r="F5889" s="3" t="s">
        <v>11390</v>
      </c>
      <c r="G5889" s="3">
        <v>17766</v>
      </c>
      <c r="H5889" s="7" t="str">
        <f>HYPERLINK("http://www.ensembl.org/Mus_musculus/Gene/Summary?db=core;g=ENSMUSG00000036639","ENSMUSG00000036639")</f>
        <v>ENSMUSG00000036639</v>
      </c>
      <c r="I5889" s="7" t="str">
        <f>HYPERLINK("http://www.informatics.jax.org/marker/MGI:109280","MGI:109280")</f>
        <v>MGI:109280</v>
      </c>
      <c r="J5889" s="4" t="s">
        <v>12</v>
      </c>
    </row>
    <row r="5890" spans="1:10" x14ac:dyDescent="0.25">
      <c r="A5890" s="2">
        <v>619.66347180570199</v>
      </c>
      <c r="B5890" s="3">
        <v>-0.46382563060556298</v>
      </c>
      <c r="C5890" s="5">
        <v>7.4819839726543201E-8</v>
      </c>
      <c r="D5890" s="6">
        <v>3.4256959354711699E-7</v>
      </c>
      <c r="E5890" s="3" t="s">
        <v>8631</v>
      </c>
      <c r="F5890" s="3" t="s">
        <v>8632</v>
      </c>
      <c r="G5890" s="3">
        <v>78330</v>
      </c>
      <c r="H5890" s="7" t="str">
        <f>HYPERLINK("http://www.ensembl.org/Mus_musculus/Gene/Summary?db=core;g=ENSMUSG00000024038","ENSMUSG00000024038")</f>
        <v>ENSMUSG00000024038</v>
      </c>
      <c r="I5890" s="7" t="str">
        <f>HYPERLINK("http://www.informatics.jax.org/marker/MGI:1890894","MGI:1890894")</f>
        <v>MGI:1890894</v>
      </c>
      <c r="J5890" s="4" t="s">
        <v>12</v>
      </c>
    </row>
    <row r="5891" spans="1:10" x14ac:dyDescent="0.25">
      <c r="A5891" s="2">
        <v>1149.9080321967899</v>
      </c>
      <c r="B5891" s="3">
        <v>-0.46395592295687899</v>
      </c>
      <c r="C5891" s="3">
        <v>4.8777843492695802E-4</v>
      </c>
      <c r="D5891" s="4">
        <v>1.50414241387953E-3</v>
      </c>
      <c r="E5891" s="3" t="s">
        <v>12799</v>
      </c>
      <c r="F5891" s="3" t="s">
        <v>12800</v>
      </c>
      <c r="G5891" s="3">
        <v>64294</v>
      </c>
      <c r="H5891" s="7" t="str">
        <f>HYPERLINK("http://www.ensembl.org/Mus_musculus/Gene/Summary?db=core;g=ENSMUSG00000026223","ENSMUSG00000026223")</f>
        <v>ENSMUSG00000026223</v>
      </c>
      <c r="I5891" s="7" t="str">
        <f>HYPERLINK("http://www.informatics.jax.org/marker/MGI:1927594","MGI:1927594")</f>
        <v>MGI:1927594</v>
      </c>
      <c r="J5891" s="4" t="s">
        <v>12</v>
      </c>
    </row>
    <row r="5892" spans="1:10" x14ac:dyDescent="0.25">
      <c r="A5892" s="2">
        <v>522.99743534903098</v>
      </c>
      <c r="B5892" s="3">
        <v>-0.46399394822145101</v>
      </c>
      <c r="C5892" s="5">
        <v>9.8247870527517201E-6</v>
      </c>
      <c r="D5892" s="6">
        <v>3.67986326078374E-5</v>
      </c>
      <c r="E5892" s="3" t="s">
        <v>10543</v>
      </c>
      <c r="F5892" s="3" t="s">
        <v>10544</v>
      </c>
      <c r="G5892" s="3">
        <v>103551</v>
      </c>
      <c r="H5892" s="7" t="str">
        <f>HYPERLINK("http://www.ensembl.org/Mus_musculus/Gene/Summary?db=core;g=ENSMUSG00000043439","ENSMUSG00000043439")</f>
        <v>ENSMUSG00000043439</v>
      </c>
      <c r="I5892" s="7" t="str">
        <f>HYPERLINK("http://www.informatics.jax.org/marker/MGI:2143991","MGI:2143991")</f>
        <v>MGI:2143991</v>
      </c>
      <c r="J5892" s="4" t="s">
        <v>12</v>
      </c>
    </row>
    <row r="5893" spans="1:10" x14ac:dyDescent="0.25">
      <c r="A5893" s="2">
        <v>230.89634016744699</v>
      </c>
      <c r="B5893" s="3">
        <v>-0.46399607548272898</v>
      </c>
      <c r="C5893" s="5">
        <v>6.2679929676958403E-7</v>
      </c>
      <c r="D5893" s="6">
        <v>2.6513260687035998E-6</v>
      </c>
      <c r="E5893" s="3" t="s">
        <v>9339</v>
      </c>
      <c r="F5893" s="3" t="s">
        <v>9340</v>
      </c>
      <c r="G5893" s="3">
        <v>68259</v>
      </c>
      <c r="H5893" s="7" t="str">
        <f>HYPERLINK("http://www.ensembl.org/Mus_musculus/Gene/Summary?db=core;g=ENSMUSG00000027778","ENSMUSG00000027778")</f>
        <v>ENSMUSG00000027778</v>
      </c>
      <c r="I5893" s="7" t="str">
        <f>HYPERLINK("http://www.informatics.jax.org/marker/MGI:1915509","MGI:1915509")</f>
        <v>MGI:1915509</v>
      </c>
      <c r="J5893" s="4" t="s">
        <v>12</v>
      </c>
    </row>
    <row r="5894" spans="1:10" x14ac:dyDescent="0.25">
      <c r="A5894" s="2">
        <v>140.85149085707201</v>
      </c>
      <c r="B5894" s="3">
        <v>-0.464129637136315</v>
      </c>
      <c r="C5894" s="5">
        <v>4.0068723249445099E-5</v>
      </c>
      <c r="D5894" s="4">
        <v>1.40998433704329E-4</v>
      </c>
      <c r="E5894" s="3" t="s">
        <v>11219</v>
      </c>
      <c r="F5894" s="3" t="s">
        <v>11220</v>
      </c>
      <c r="G5894" s="3">
        <v>66398</v>
      </c>
      <c r="H5894" s="7" t="str">
        <f>HYPERLINK("http://www.ensembl.org/Mus_musculus/Gene/Summary?db=core;g=ENSMUSG00000055041","ENSMUSG00000055041")</f>
        <v>ENSMUSG00000055041</v>
      </c>
      <c r="I5894" s="7" t="str">
        <f>HYPERLINK("http://www.informatics.jax.org/marker/MGI:1913648","MGI:1913648")</f>
        <v>MGI:1913648</v>
      </c>
      <c r="J5894" s="4" t="s">
        <v>12</v>
      </c>
    </row>
    <row r="5895" spans="1:10" x14ac:dyDescent="0.25">
      <c r="A5895" s="2">
        <v>224.89102886617101</v>
      </c>
      <c r="B5895" s="3">
        <v>-0.464213950127496</v>
      </c>
      <c r="C5895" s="5">
        <v>8.1295037524720897E-7</v>
      </c>
      <c r="D5895" s="6">
        <v>3.3914494182092198E-6</v>
      </c>
      <c r="E5895" s="3" t="s">
        <v>9469</v>
      </c>
      <c r="F5895" s="3" t="s">
        <v>9470</v>
      </c>
      <c r="G5895" s="3">
        <v>67105</v>
      </c>
      <c r="H5895" s="7" t="str">
        <f>HYPERLINK("http://www.ensembl.org/Mus_musculus/Gene/Summary?db=core;g=ENSMUSG00000024645","ENSMUSG00000024645")</f>
        <v>ENSMUSG00000024645</v>
      </c>
      <c r="I5895" s="7" t="str">
        <f>HYPERLINK("http://www.informatics.jax.org/marker/MGI:1920595","MGI:1920595")</f>
        <v>MGI:1920595</v>
      </c>
      <c r="J5895" s="4" t="s">
        <v>12</v>
      </c>
    </row>
    <row r="5896" spans="1:10" x14ac:dyDescent="0.25">
      <c r="A5896" s="2">
        <v>109.421107869062</v>
      </c>
      <c r="B5896" s="3">
        <v>-0.464322796450861</v>
      </c>
      <c r="C5896" s="3">
        <v>4.7365694700662701E-4</v>
      </c>
      <c r="D5896" s="4">
        <v>1.46288410257959E-3</v>
      </c>
      <c r="E5896" s="3" t="s">
        <v>12779</v>
      </c>
      <c r="F5896" s="3" t="s">
        <v>12780</v>
      </c>
      <c r="G5896" s="3">
        <v>19277</v>
      </c>
      <c r="H5896" s="7" t="str">
        <f>HYPERLINK("http://www.ensembl.org/Mus_musculus/Gene/Summary?db=core;g=ENSMUSG00000030223","ENSMUSG00000030223")</f>
        <v>ENSMUSG00000030223</v>
      </c>
      <c r="I5896" s="7" t="str">
        <f>HYPERLINK("http://www.informatics.jax.org/marker/MGI:1097152","MGI:1097152")</f>
        <v>MGI:1097152</v>
      </c>
      <c r="J5896" s="4" t="s">
        <v>12</v>
      </c>
    </row>
    <row r="5897" spans="1:10" x14ac:dyDescent="0.25">
      <c r="A5897" s="2">
        <v>1231.6614228235701</v>
      </c>
      <c r="B5897" s="3">
        <v>-0.46465749666268702</v>
      </c>
      <c r="C5897" s="5">
        <v>3.3794466953311401E-5</v>
      </c>
      <c r="D5897" s="4">
        <v>1.19860951136565E-4</v>
      </c>
      <c r="E5897" s="3" t="s">
        <v>11133</v>
      </c>
      <c r="F5897" s="3" t="s">
        <v>11134</v>
      </c>
      <c r="G5897" s="3">
        <v>56374</v>
      </c>
      <c r="H5897" s="7" t="str">
        <f>HYPERLINK("http://www.ensembl.org/Mus_musculus/Gene/Summary?db=core;g=ENSMUSG00000028618","ENSMUSG00000028618")</f>
        <v>ENSMUSG00000028618</v>
      </c>
      <c r="I5897" s="7" t="str">
        <f>HYPERLINK("http://www.informatics.jax.org/marker/MGI:1929278","MGI:1929278")</f>
        <v>MGI:1929278</v>
      </c>
      <c r="J5897" s="4" t="s">
        <v>12</v>
      </c>
    </row>
    <row r="5898" spans="1:10" x14ac:dyDescent="0.25">
      <c r="A5898" s="2">
        <v>669.65456991597205</v>
      </c>
      <c r="B5898" s="3">
        <v>-0.464797491913574</v>
      </c>
      <c r="C5898" s="5">
        <v>2.0728229043998401E-10</v>
      </c>
      <c r="D5898" s="6">
        <v>1.17459964582657E-9</v>
      </c>
      <c r="E5898" s="3" t="s">
        <v>6978</v>
      </c>
      <c r="F5898" s="3" t="s">
        <v>6979</v>
      </c>
      <c r="G5898" s="3">
        <v>70208</v>
      </c>
      <c r="H5898" s="7" t="str">
        <f>HYPERLINK("http://www.ensembl.org/Mus_musculus/Gene/Summary?db=core;g=ENSMUSG00000019984","ENSMUSG00000019984")</f>
        <v>ENSMUSG00000019984</v>
      </c>
      <c r="I5898" s="7" t="str">
        <f>HYPERLINK("http://www.informatics.jax.org/marker/MGI:1917458","MGI:1917458")</f>
        <v>MGI:1917458</v>
      </c>
      <c r="J5898" s="4" t="s">
        <v>12</v>
      </c>
    </row>
    <row r="5899" spans="1:10" x14ac:dyDescent="0.25">
      <c r="A5899" s="2">
        <v>766.53680593734498</v>
      </c>
      <c r="B5899" s="3">
        <v>-0.46484039014633499</v>
      </c>
      <c r="C5899" s="3">
        <v>6.5574413640244597E-4</v>
      </c>
      <c r="D5899" s="4">
        <v>1.9863708709456601E-3</v>
      </c>
      <c r="E5899" s="3" t="s">
        <v>13029</v>
      </c>
      <c r="F5899" s="3" t="s">
        <v>13030</v>
      </c>
      <c r="G5899" s="3">
        <v>217558</v>
      </c>
      <c r="H5899" s="7" t="str">
        <f>HYPERLINK("http://www.ensembl.org/Mus_musculus/Gene/Summary?db=core;g=ENSMUSG00000035293","ENSMUSG00000035293")</f>
        <v>ENSMUSG00000035293</v>
      </c>
      <c r="I5899" s="7" t="str">
        <f>HYPERLINK("http://www.informatics.jax.org/marker/MGI:2444298","MGI:2444298")</f>
        <v>MGI:2444298</v>
      </c>
      <c r="J5899" s="4" t="s">
        <v>12</v>
      </c>
    </row>
    <row r="5900" spans="1:10" x14ac:dyDescent="0.25">
      <c r="A5900" s="2">
        <v>959.648460096495</v>
      </c>
      <c r="B5900" s="3">
        <v>-0.465357971930843</v>
      </c>
      <c r="C5900" s="5">
        <v>1.17498731139479E-6</v>
      </c>
      <c r="D5900" s="6">
        <v>4.8302584491776801E-6</v>
      </c>
      <c r="E5900" s="3" t="s">
        <v>9609</v>
      </c>
      <c r="F5900" s="3" t="s">
        <v>9610</v>
      </c>
      <c r="G5900" s="3">
        <v>54609</v>
      </c>
      <c r="H5900" s="7" t="str">
        <f>HYPERLINK("http://www.ensembl.org/Mus_musculus/Gene/Summary?db=core;g=ENSMUSG00000050148","ENSMUSG00000050148")</f>
        <v>ENSMUSG00000050148</v>
      </c>
      <c r="I5900" s="7" t="str">
        <f>HYPERLINK("http://www.informatics.jax.org/marker/MGI:1860283","MGI:1860283")</f>
        <v>MGI:1860283</v>
      </c>
      <c r="J5900" s="4" t="s">
        <v>12</v>
      </c>
    </row>
    <row r="5901" spans="1:10" x14ac:dyDescent="0.25">
      <c r="A5901" s="2">
        <v>1117.95812498124</v>
      </c>
      <c r="B5901" s="3">
        <v>-0.465432817329125</v>
      </c>
      <c r="C5901" s="5">
        <v>2.66763661566877E-12</v>
      </c>
      <c r="D5901" s="6">
        <v>1.7459606392628001E-11</v>
      </c>
      <c r="E5901" s="3" t="s">
        <v>6043</v>
      </c>
      <c r="F5901" s="3" t="s">
        <v>6044</v>
      </c>
      <c r="G5901" s="3">
        <v>72029</v>
      </c>
      <c r="H5901" s="7" t="str">
        <f>HYPERLINK("http://www.ensembl.org/Mus_musculus/Gene/Summary?db=core;g=ENSMUSG00000023973","ENSMUSG00000023973")</f>
        <v>ENSMUSG00000023973</v>
      </c>
      <c r="I5901" s="7" t="str">
        <f>HYPERLINK("http://www.informatics.jax.org/marker/MGI:1919279","MGI:1919279")</f>
        <v>MGI:1919279</v>
      </c>
      <c r="J5901" s="4" t="s">
        <v>12</v>
      </c>
    </row>
    <row r="5902" spans="1:10" x14ac:dyDescent="0.25">
      <c r="A5902" s="2">
        <v>156.50639878659999</v>
      </c>
      <c r="B5902" s="3">
        <v>-0.46556779892302602</v>
      </c>
      <c r="C5902" s="5">
        <v>4.13534258553787E-5</v>
      </c>
      <c r="D5902" s="4">
        <v>1.4531175300571401E-4</v>
      </c>
      <c r="E5902" s="3" t="s">
        <v>11235</v>
      </c>
      <c r="F5902" s="3" t="s">
        <v>11236</v>
      </c>
      <c r="G5902" s="3">
        <v>236900</v>
      </c>
      <c r="H5902" s="7" t="str">
        <f>HYPERLINK("http://www.ensembl.org/Mus_musculus/Gene/Summary?db=core;g=ENSMUSG00000035232","ENSMUSG00000035232")</f>
        <v>ENSMUSG00000035232</v>
      </c>
      <c r="I5902" s="7" t="str">
        <f>HYPERLINK("http://www.informatics.jax.org/marker/MGI:2384308","MGI:2384308")</f>
        <v>MGI:2384308</v>
      </c>
      <c r="J5902" s="4" t="s">
        <v>12</v>
      </c>
    </row>
    <row r="5903" spans="1:10" x14ac:dyDescent="0.25">
      <c r="A5903" s="2">
        <v>1007.82642022374</v>
      </c>
      <c r="B5903" s="3">
        <v>-0.46607801423189199</v>
      </c>
      <c r="C5903" s="5">
        <v>1.52262068704277E-13</v>
      </c>
      <c r="D5903" s="6">
        <v>1.07466284711823E-12</v>
      </c>
      <c r="E5903" s="3" t="s">
        <v>5605</v>
      </c>
      <c r="F5903" s="3" t="s">
        <v>5606</v>
      </c>
      <c r="G5903" s="3">
        <v>24069</v>
      </c>
      <c r="H5903" s="7" t="str">
        <f>HYPERLINK("http://www.ensembl.org/Mus_musculus/Gene/Summary?db=core;g=ENSMUSG00000025231","ENSMUSG00000025231")</f>
        <v>ENSMUSG00000025231</v>
      </c>
      <c r="I5903" s="7" t="str">
        <f>HYPERLINK("http://www.informatics.jax.org/marker/MGI:1345643","MGI:1345643")</f>
        <v>MGI:1345643</v>
      </c>
      <c r="J5903" s="4" t="s">
        <v>12</v>
      </c>
    </row>
    <row r="5904" spans="1:10" x14ac:dyDescent="0.25">
      <c r="A5904" s="2">
        <v>431.48615906062298</v>
      </c>
      <c r="B5904" s="3">
        <v>-0.466089581822972</v>
      </c>
      <c r="C5904" s="5">
        <v>1.5158166714700099E-11</v>
      </c>
      <c r="D5904" s="6">
        <v>9.3529113771554006E-11</v>
      </c>
      <c r="E5904" s="3" t="s">
        <v>6409</v>
      </c>
      <c r="F5904" s="3" t="s">
        <v>6410</v>
      </c>
      <c r="G5904" s="3">
        <v>102093</v>
      </c>
      <c r="H5904" s="7" t="str">
        <f>HYPERLINK("http://www.ensembl.org/Mus_musculus/Gene/Summary?db=core;g=ENSMUSG00000036879","ENSMUSG00000036879")</f>
        <v>ENSMUSG00000036879</v>
      </c>
      <c r="I5904" s="7" t="str">
        <f>HYPERLINK("http://www.informatics.jax.org/marker/MGI:97578","MGI:97578")</f>
        <v>MGI:97578</v>
      </c>
      <c r="J5904" s="4" t="s">
        <v>12</v>
      </c>
    </row>
    <row r="5905" spans="1:10" x14ac:dyDescent="0.25">
      <c r="A5905" s="2">
        <v>413.57957574072202</v>
      </c>
      <c r="B5905" s="3">
        <v>-0.466831545148581</v>
      </c>
      <c r="C5905" s="5">
        <v>1.0782178691021299E-5</v>
      </c>
      <c r="D5905" s="6">
        <v>4.0239319414636802E-5</v>
      </c>
      <c r="E5905" s="3" t="s">
        <v>10581</v>
      </c>
      <c r="F5905" s="3" t="s">
        <v>10582</v>
      </c>
      <c r="G5905" s="3">
        <v>66834</v>
      </c>
      <c r="H5905" s="7" t="str">
        <f>HYPERLINK("http://www.ensembl.org/Mus_musculus/Gene/Summary?db=core;g=ENSMUSG00000006717","ENSMUSG00000006717")</f>
        <v>ENSMUSG00000006717</v>
      </c>
      <c r="I5905" s="7" t="str">
        <f>HYPERLINK("http://www.informatics.jax.org/marker/MGI:1914084","MGI:1914084")</f>
        <v>MGI:1914084</v>
      </c>
      <c r="J5905" s="4" t="s">
        <v>12</v>
      </c>
    </row>
    <row r="5906" spans="1:10" x14ac:dyDescent="0.25">
      <c r="A5906" s="2">
        <v>1053.0011716491999</v>
      </c>
      <c r="B5906" s="3">
        <v>-0.46687768416630399</v>
      </c>
      <c r="C5906" s="5">
        <v>8.0449955187039901E-16</v>
      </c>
      <c r="D5906" s="6">
        <v>6.4281730805851998E-15</v>
      </c>
      <c r="E5906" s="3" t="s">
        <v>4953</v>
      </c>
      <c r="F5906" s="3" t="s">
        <v>4954</v>
      </c>
      <c r="G5906" s="3">
        <v>21915</v>
      </c>
      <c r="H5906" s="7" t="str">
        <f>HYPERLINK("http://www.ensembl.org/Mus_musculus/Gene/Summary?db=core;g=ENSMUSG00000026281","ENSMUSG00000026281")</f>
        <v>ENSMUSG00000026281</v>
      </c>
      <c r="I5906" s="7" t="str">
        <f>HYPERLINK("http://www.informatics.jax.org/marker/MGI:108396","MGI:108396")</f>
        <v>MGI:108396</v>
      </c>
      <c r="J5906" s="4" t="s">
        <v>12</v>
      </c>
    </row>
    <row r="5907" spans="1:10" x14ac:dyDescent="0.25">
      <c r="A5907" s="2">
        <v>331.86275547602702</v>
      </c>
      <c r="B5907" s="3">
        <v>-0.466995743604317</v>
      </c>
      <c r="C5907" s="5">
        <v>5.5548927405787601E-11</v>
      </c>
      <c r="D5907" s="6">
        <v>3.2925303529970899E-10</v>
      </c>
      <c r="E5907" s="3" t="s">
        <v>6671</v>
      </c>
      <c r="F5907" s="3" t="s">
        <v>6672</v>
      </c>
      <c r="G5907" s="3">
        <v>246710</v>
      </c>
      <c r="H5907" s="7" t="str">
        <f>HYPERLINK("http://www.ensembl.org/Mus_musculus/Gene/Summary?db=core;g=ENSMUSG00000022075","ENSMUSG00000022075")</f>
        <v>ENSMUSG00000022075</v>
      </c>
      <c r="I5907" s="7" t="str">
        <f>HYPERLINK("http://www.informatics.jax.org/marker/MGI:2180557","MGI:2180557")</f>
        <v>MGI:2180557</v>
      </c>
      <c r="J5907" s="4" t="s">
        <v>12</v>
      </c>
    </row>
    <row r="5908" spans="1:10" x14ac:dyDescent="0.25">
      <c r="A5908" s="2">
        <v>4908.7623542196998</v>
      </c>
      <c r="B5908" s="3">
        <v>-0.46724447552481602</v>
      </c>
      <c r="C5908" s="5">
        <v>2.8000748164346099E-10</v>
      </c>
      <c r="D5908" s="6">
        <v>1.5704628947693499E-9</v>
      </c>
      <c r="E5908" s="3" t="s">
        <v>7050</v>
      </c>
      <c r="F5908" s="3" t="s">
        <v>7051</v>
      </c>
      <c r="G5908" s="3">
        <v>22385</v>
      </c>
      <c r="H5908" s="7" t="str">
        <f>HYPERLINK("http://www.ensembl.org/Mus_musculus/Gene/Summary?db=core;g=ENSMUSG00000002748","ENSMUSG00000002748")</f>
        <v>ENSMUSG00000002748</v>
      </c>
      <c r="I5908" s="7" t="str">
        <f>HYPERLINK("http://www.informatics.jax.org/marker/MGI:1353499","MGI:1353499")</f>
        <v>MGI:1353499</v>
      </c>
      <c r="J5908" s="4" t="s">
        <v>12</v>
      </c>
    </row>
    <row r="5909" spans="1:10" x14ac:dyDescent="0.25">
      <c r="A5909" s="2">
        <v>419.45482996274001</v>
      </c>
      <c r="B5909" s="3">
        <v>-0.46739167448577501</v>
      </c>
      <c r="C5909" s="5">
        <v>3.7837441758295896E-12</v>
      </c>
      <c r="D5909" s="6">
        <v>2.45203533182253E-11</v>
      </c>
      <c r="E5909" s="3" t="s">
        <v>6103</v>
      </c>
      <c r="F5909" s="3" t="s">
        <v>6104</v>
      </c>
      <c r="G5909" s="3">
        <v>71609</v>
      </c>
      <c r="H5909" s="7" t="str">
        <f>HYPERLINK("http://www.ensembl.org/Mus_musculus/Gene/Summary?db=core;g=ENSMUSG00000031887","ENSMUSG00000031887")</f>
        <v>ENSMUSG00000031887</v>
      </c>
      <c r="I5909" s="7" t="str">
        <f>HYPERLINK("http://www.informatics.jax.org/marker/MGI:109200","MGI:109200")</f>
        <v>MGI:109200</v>
      </c>
      <c r="J5909" s="4" t="s">
        <v>12</v>
      </c>
    </row>
    <row r="5910" spans="1:10" x14ac:dyDescent="0.25">
      <c r="A5910" s="2">
        <v>105.118474434661</v>
      </c>
      <c r="B5910" s="3">
        <v>-0.46803540961294099</v>
      </c>
      <c r="C5910" s="3">
        <v>2.2329650427671701E-4</v>
      </c>
      <c r="D5910" s="4">
        <v>7.2128269371642801E-4</v>
      </c>
      <c r="E5910" s="3" t="s">
        <v>12219</v>
      </c>
      <c r="F5910" s="3" t="s">
        <v>12220</v>
      </c>
      <c r="G5910" s="3">
        <v>69876</v>
      </c>
      <c r="H5910" s="7" t="str">
        <f>HYPERLINK("http://www.ensembl.org/Mus_musculus/Gene/Summary?db=core;g=ENSMUSG00000039759","ENSMUSG00000039759")</f>
        <v>ENSMUSG00000039759</v>
      </c>
      <c r="I5910" s="7" t="str">
        <f>HYPERLINK("http://www.informatics.jax.org/marker/MGI:1917126","MGI:1917126")</f>
        <v>MGI:1917126</v>
      </c>
      <c r="J5910" s="4" t="s">
        <v>12</v>
      </c>
    </row>
    <row r="5911" spans="1:10" x14ac:dyDescent="0.25">
      <c r="A5911" s="2">
        <v>2183.15423710508</v>
      </c>
      <c r="B5911" s="3">
        <v>-0.468036332537898</v>
      </c>
      <c r="C5911" s="5">
        <v>6.8298942851651901E-15</v>
      </c>
      <c r="D5911" s="6">
        <v>5.2244187472248801E-14</v>
      </c>
      <c r="E5911" s="3" t="s">
        <v>5173</v>
      </c>
      <c r="F5911" s="3" t="s">
        <v>5174</v>
      </c>
      <c r="G5911" s="3">
        <v>68097</v>
      </c>
      <c r="H5911" s="7" t="str">
        <f>HYPERLINK("http://www.ensembl.org/Mus_musculus/Gene/Summary?db=core;g=ENSMUSG00000020483","ENSMUSG00000020483")</f>
        <v>ENSMUSG00000020483</v>
      </c>
      <c r="I5911" s="7" t="str">
        <f>HYPERLINK("http://www.informatics.jax.org/marker/MGI:1915347","MGI:1915347")</f>
        <v>MGI:1915347</v>
      </c>
      <c r="J5911" s="4" t="s">
        <v>12</v>
      </c>
    </row>
    <row r="5912" spans="1:10" x14ac:dyDescent="0.25">
      <c r="A5912" s="2">
        <v>2512.8333112652499</v>
      </c>
      <c r="B5912" s="3">
        <v>-0.46818902132207602</v>
      </c>
      <c r="C5912" s="5">
        <v>7.20800490497924E-7</v>
      </c>
      <c r="D5912" s="6">
        <v>3.0242948239615001E-6</v>
      </c>
      <c r="E5912" s="3" t="s">
        <v>9415</v>
      </c>
      <c r="F5912" s="3" t="s">
        <v>9416</v>
      </c>
      <c r="G5912" s="3">
        <v>26934</v>
      </c>
      <c r="H5912" s="7" t="str">
        <f>HYPERLINK("http://www.ensembl.org/Mus_musculus/Gene/Summary?db=core;g=ENSMUSG00000023015","ENSMUSG00000023015")</f>
        <v>ENSMUSG00000023015</v>
      </c>
      <c r="I5912" s="7" t="str">
        <f>HYPERLINK("http://www.informatics.jax.org/marker/MGI:1349423","MGI:1349423")</f>
        <v>MGI:1349423</v>
      </c>
      <c r="J5912" s="4" t="s">
        <v>12</v>
      </c>
    </row>
    <row r="5913" spans="1:10" x14ac:dyDescent="0.25">
      <c r="A5913" s="2">
        <v>1230.5461660349499</v>
      </c>
      <c r="B5913" s="3">
        <v>-0.46821680370773</v>
      </c>
      <c r="C5913" s="5">
        <v>5.9486848133544105E-11</v>
      </c>
      <c r="D5913" s="6">
        <v>3.51642879254643E-10</v>
      </c>
      <c r="E5913" s="3" t="s">
        <v>6689</v>
      </c>
      <c r="F5913" s="3" t="s">
        <v>6690</v>
      </c>
      <c r="G5913" s="3">
        <v>20416</v>
      </c>
      <c r="H5913" s="7" t="str">
        <f>HYPERLINK("http://www.ensembl.org/Mus_musculus/Gene/Summary?db=core;g=ENSMUSG00000042626","ENSMUSG00000042626")</f>
        <v>ENSMUSG00000042626</v>
      </c>
      <c r="I5913" s="7" t="str">
        <f>HYPERLINK("http://www.informatics.jax.org/marker/MGI:98296","MGI:98296")</f>
        <v>MGI:98296</v>
      </c>
      <c r="J5913" s="4" t="s">
        <v>12</v>
      </c>
    </row>
    <row r="5914" spans="1:10" x14ac:dyDescent="0.25">
      <c r="A5914" s="2">
        <v>329.66163664495002</v>
      </c>
      <c r="B5914" s="3">
        <v>-0.46837649453220898</v>
      </c>
      <c r="C5914" s="5">
        <v>1.3422897336236199E-6</v>
      </c>
      <c r="D5914" s="6">
        <v>5.4791872380579096E-6</v>
      </c>
      <c r="E5914" s="3" t="s">
        <v>9677</v>
      </c>
      <c r="F5914" s="3" t="s">
        <v>9678</v>
      </c>
      <c r="G5914" s="3">
        <v>66497</v>
      </c>
      <c r="H5914" s="7" t="str">
        <f>HYPERLINK("http://www.ensembl.org/Mus_musculus/Gene/Summary?db=core;g=ENSMUSG00000022748","ENSMUSG00000022748")</f>
        <v>ENSMUSG00000022748</v>
      </c>
      <c r="I5914" s="7" t="str">
        <f>HYPERLINK("http://www.informatics.jax.org/marker/MGI:1913747","MGI:1913747")</f>
        <v>MGI:1913747</v>
      </c>
      <c r="J5914" s="4" t="s">
        <v>12</v>
      </c>
    </row>
    <row r="5915" spans="1:10" x14ac:dyDescent="0.25">
      <c r="A5915" s="2">
        <v>152.77718492572501</v>
      </c>
      <c r="B5915" s="3">
        <v>-0.46967150544326403</v>
      </c>
      <c r="C5915" s="5">
        <v>7.6181067428693998E-6</v>
      </c>
      <c r="D5915" s="6">
        <v>2.8951448250025901E-5</v>
      </c>
      <c r="E5915" s="3" t="s">
        <v>10392</v>
      </c>
      <c r="F5915" s="3" t="s">
        <v>10393</v>
      </c>
      <c r="G5915" s="3" t="s">
        <v>83</v>
      </c>
      <c r="H5915" s="7" t="str">
        <f>HYPERLINK("http://www.ensembl.org/Mus_musculus/Gene/Summary?db=core;g=ENSMUSG00000116024","ENSMUSG00000116024")</f>
        <v>ENSMUSG00000116024</v>
      </c>
      <c r="I5915" s="7" t="str">
        <f>HYPERLINK("http://www.informatics.jax.org/marker/MGI:6155227","MGI:6155227")</f>
        <v>MGI:6155227</v>
      </c>
      <c r="J5915" s="4" t="s">
        <v>12</v>
      </c>
    </row>
    <row r="5916" spans="1:10" x14ac:dyDescent="0.25">
      <c r="A5916" s="2">
        <v>319.55176814771102</v>
      </c>
      <c r="B5916" s="3">
        <v>-0.47024498605732201</v>
      </c>
      <c r="C5916" s="5">
        <v>1.4310303412952501E-6</v>
      </c>
      <c r="D5916" s="6">
        <v>5.8209402496580898E-6</v>
      </c>
      <c r="E5916" s="3" t="s">
        <v>9711</v>
      </c>
      <c r="F5916" s="3" t="s">
        <v>9712</v>
      </c>
      <c r="G5916" s="3">
        <v>70791</v>
      </c>
      <c r="H5916" s="7" t="str">
        <f>HYPERLINK("http://www.ensembl.org/Mus_musculus/Gene/Summary?db=core;g=ENSMUSG00000019143","ENSMUSG00000019143")</f>
        <v>ENSMUSG00000019143</v>
      </c>
      <c r="I5916" s="7" t="str">
        <f>HYPERLINK("http://www.informatics.jax.org/marker/MGI:1918041","MGI:1918041")</f>
        <v>MGI:1918041</v>
      </c>
      <c r="J5916" s="4" t="s">
        <v>12</v>
      </c>
    </row>
    <row r="5917" spans="1:10" x14ac:dyDescent="0.25">
      <c r="A5917" s="2">
        <v>112.32999663082499</v>
      </c>
      <c r="B5917" s="3">
        <v>-0.47064971223157898</v>
      </c>
      <c r="C5917" s="3">
        <v>6.0879627080931897E-4</v>
      </c>
      <c r="D5917" s="4">
        <v>1.8532668200617101E-3</v>
      </c>
      <c r="E5917" s="3" t="s">
        <v>12965</v>
      </c>
      <c r="F5917" s="3" t="s">
        <v>12966</v>
      </c>
      <c r="G5917" s="3">
        <v>72180</v>
      </c>
      <c r="H5917" s="7" t="str">
        <f>HYPERLINK("http://www.ensembl.org/Mus_musculus/Gene/Summary?db=core;g=ENSMUSG00000034800","ENSMUSG00000034800")</f>
        <v>ENSMUSG00000034800</v>
      </c>
      <c r="I5917" s="7" t="str">
        <f>HYPERLINK("http://www.informatics.jax.org/marker/MGI:1919430","MGI:1919430")</f>
        <v>MGI:1919430</v>
      </c>
      <c r="J5917" s="4" t="s">
        <v>12</v>
      </c>
    </row>
    <row r="5918" spans="1:10" x14ac:dyDescent="0.25">
      <c r="A5918" s="2">
        <v>561.56480987342502</v>
      </c>
      <c r="B5918" s="3">
        <v>-0.47165498022447899</v>
      </c>
      <c r="C5918" s="5">
        <v>4.66464051289245E-11</v>
      </c>
      <c r="D5918" s="6">
        <v>2.7832590291751601E-10</v>
      </c>
      <c r="E5918" s="3" t="s">
        <v>6627</v>
      </c>
      <c r="F5918" s="3" t="s">
        <v>6628</v>
      </c>
      <c r="G5918" s="3">
        <v>109151</v>
      </c>
      <c r="H5918" s="7" t="str">
        <f>HYPERLINK("http://www.ensembl.org/Mus_musculus/Gene/Summary?db=core;g=ENSMUSG00000056608","ENSMUSG00000056608")</f>
        <v>ENSMUSG00000056608</v>
      </c>
      <c r="I5918" s="7" t="str">
        <f>HYPERLINK("http://www.informatics.jax.org/marker/MGI:1924001","MGI:1924001")</f>
        <v>MGI:1924001</v>
      </c>
      <c r="J5918" s="4" t="s">
        <v>12</v>
      </c>
    </row>
    <row r="5919" spans="1:10" x14ac:dyDescent="0.25">
      <c r="A5919" s="2">
        <v>1154.5076373341001</v>
      </c>
      <c r="B5919" s="3">
        <v>-0.47182136607451602</v>
      </c>
      <c r="C5919" s="5">
        <v>1.8610148051070599E-12</v>
      </c>
      <c r="D5919" s="6">
        <v>1.22945433690825E-11</v>
      </c>
      <c r="E5919" s="3" t="s">
        <v>5987</v>
      </c>
      <c r="F5919" s="3" t="s">
        <v>5988</v>
      </c>
      <c r="G5919" s="3">
        <v>74610</v>
      </c>
      <c r="H5919" s="7" t="str">
        <f>HYPERLINK("http://www.ensembl.org/Mus_musculus/Gene/Summary?db=core;g=ENSMUSG00000028973","ENSMUSG00000028973")</f>
        <v>ENSMUSG00000028973</v>
      </c>
      <c r="I5919" s="7" t="str">
        <f>HYPERLINK("http://www.informatics.jax.org/marker/MGI:1351667","MGI:1351667")</f>
        <v>MGI:1351667</v>
      </c>
      <c r="J5919" s="4" t="s">
        <v>12</v>
      </c>
    </row>
    <row r="5920" spans="1:10" x14ac:dyDescent="0.25">
      <c r="A5920" s="2">
        <v>2193.65224950116</v>
      </c>
      <c r="B5920" s="3">
        <v>-0.47200903161329499</v>
      </c>
      <c r="C5920" s="5">
        <v>1.9149025007254002E-11</v>
      </c>
      <c r="D5920" s="6">
        <v>1.17491839808043E-10</v>
      </c>
      <c r="E5920" s="3" t="s">
        <v>6445</v>
      </c>
      <c r="F5920" s="3" t="s">
        <v>6446</v>
      </c>
      <c r="G5920" s="3">
        <v>230484</v>
      </c>
      <c r="H5920" s="7" t="str">
        <f>HYPERLINK("http://www.ensembl.org/Mus_musculus/Gene/Summary?db=core;g=ENSMUSG00000028560","ENSMUSG00000028560")</f>
        <v>ENSMUSG00000028560</v>
      </c>
      <c r="I5920" s="7" t="str">
        <f>HYPERLINK("http://www.informatics.jax.org/marker/MGI:2385198","MGI:2385198")</f>
        <v>MGI:2385198</v>
      </c>
      <c r="J5920" s="4" t="s">
        <v>12</v>
      </c>
    </row>
    <row r="5921" spans="1:10" x14ac:dyDescent="0.25">
      <c r="A5921" s="2">
        <v>708.00293480546497</v>
      </c>
      <c r="B5921" s="3">
        <v>-0.472030253522287</v>
      </c>
      <c r="C5921" s="5">
        <v>7.7888437177620105E-14</v>
      </c>
      <c r="D5921" s="6">
        <v>5.5934449422529805E-13</v>
      </c>
      <c r="E5921" s="3" t="s">
        <v>5509</v>
      </c>
      <c r="F5921" s="3" t="s">
        <v>5510</v>
      </c>
      <c r="G5921" s="3">
        <v>641376</v>
      </c>
      <c r="H5921" s="7" t="str">
        <f>HYPERLINK("http://www.ensembl.org/Mus_musculus/Gene/Summary?db=core;g=ENSMUSG00000005674","ENSMUSG00000005674")</f>
        <v>ENSMUSG00000005674</v>
      </c>
      <c r="I5921" s="7" t="str">
        <f>HYPERLINK("http://www.informatics.jax.org/marker/MGI:3589112","MGI:3589112")</f>
        <v>MGI:3589112</v>
      </c>
      <c r="J5921" s="4" t="s">
        <v>12</v>
      </c>
    </row>
    <row r="5922" spans="1:10" x14ac:dyDescent="0.25">
      <c r="A5922" s="2">
        <v>95.202233362406005</v>
      </c>
      <c r="B5922" s="3">
        <v>-0.47252690915547502</v>
      </c>
      <c r="C5922" s="3">
        <v>1.6302498611485099E-4</v>
      </c>
      <c r="D5922" s="4">
        <v>5.3456147758311804E-4</v>
      </c>
      <c r="E5922" s="3" t="s">
        <v>12037</v>
      </c>
      <c r="F5922" s="3" t="s">
        <v>12038</v>
      </c>
      <c r="G5922" s="3">
        <v>71474</v>
      </c>
      <c r="H5922" s="7" t="str">
        <f>HYPERLINK("http://www.ensembl.org/Mus_musculus/Gene/Summary?db=core;g=ENSMUSG00000036561","ENSMUSG00000036561")</f>
        <v>ENSMUSG00000036561</v>
      </c>
      <c r="I5922" s="7" t="str">
        <f>HYPERLINK("http://www.informatics.jax.org/marker/MGI:1918724","MGI:1918724")</f>
        <v>MGI:1918724</v>
      </c>
      <c r="J5922" s="4" t="s">
        <v>12</v>
      </c>
    </row>
    <row r="5923" spans="1:10" x14ac:dyDescent="0.25">
      <c r="A5923" s="2">
        <v>547.56229233657996</v>
      </c>
      <c r="B5923" s="3">
        <v>-0.47265756540263298</v>
      </c>
      <c r="C5923" s="5">
        <v>1.3809927952985001E-9</v>
      </c>
      <c r="D5923" s="6">
        <v>7.3227152254064098E-9</v>
      </c>
      <c r="E5923" s="3" t="s">
        <v>7456</v>
      </c>
      <c r="F5923" s="3" t="s">
        <v>7457</v>
      </c>
      <c r="G5923" s="3">
        <v>14020</v>
      </c>
      <c r="H5923" s="7" t="str">
        <f>HYPERLINK("http://www.ensembl.org/Mus_musculus/Gene/Summary?db=core;g=ENSMUSG00000011831","ENSMUSG00000011831")</f>
        <v>ENSMUSG00000011831</v>
      </c>
      <c r="I5923" s="7" t="str">
        <f>HYPERLINK("http://www.informatics.jax.org/marker/MGI:104736","MGI:104736")</f>
        <v>MGI:104736</v>
      </c>
      <c r="J5923" s="4" t="s">
        <v>12</v>
      </c>
    </row>
    <row r="5924" spans="1:10" x14ac:dyDescent="0.25">
      <c r="A5924" s="2">
        <v>72.150139704768904</v>
      </c>
      <c r="B5924" s="3">
        <v>-0.47294953260407802</v>
      </c>
      <c r="C5924" s="3">
        <v>5.4019850054387699E-3</v>
      </c>
      <c r="D5924" s="4">
        <v>1.4197056146907E-2</v>
      </c>
      <c r="E5924" s="3" t="s">
        <v>15010</v>
      </c>
      <c r="F5924" s="3" t="s">
        <v>15011</v>
      </c>
      <c r="G5924" s="3">
        <v>238023</v>
      </c>
      <c r="H5924" s="7" t="str">
        <f>HYPERLINK("http://www.ensembl.org/Mus_musculus/Gene/Summary?db=core;g=ENSMUSG00000039307","ENSMUSG00000039307")</f>
        <v>ENSMUSG00000039307</v>
      </c>
      <c r="I5924" s="7" t="str">
        <f>HYPERLINK("http://www.informatics.jax.org/marker/MGI:3605542","MGI:3605542")</f>
        <v>MGI:3605542</v>
      </c>
      <c r="J5924" s="4" t="s">
        <v>12</v>
      </c>
    </row>
    <row r="5925" spans="1:10" x14ac:dyDescent="0.25">
      <c r="A5925" s="2">
        <v>390.641385376703</v>
      </c>
      <c r="B5925" s="3">
        <v>-0.47356980380818398</v>
      </c>
      <c r="C5925" s="5">
        <v>6.7466468783193396E-5</v>
      </c>
      <c r="D5925" s="4">
        <v>2.3178375686490799E-4</v>
      </c>
      <c r="E5925" s="3" t="s">
        <v>11491</v>
      </c>
      <c r="F5925" s="3" t="s">
        <v>11492</v>
      </c>
      <c r="G5925" s="3">
        <v>50887</v>
      </c>
      <c r="H5925" s="7" t="str">
        <f>HYPERLINK("http://www.ensembl.org/Mus_musculus/Gene/Summary?db=core;g=ENSMUSG00000031245","ENSMUSG00000031245")</f>
        <v>ENSMUSG00000031245</v>
      </c>
      <c r="I5925" s="7" t="str">
        <f>HYPERLINK("http://www.informatics.jax.org/marker/MGI:1355295","MGI:1355295")</f>
        <v>MGI:1355295</v>
      </c>
      <c r="J5925" s="4" t="s">
        <v>12</v>
      </c>
    </row>
    <row r="5926" spans="1:10" x14ac:dyDescent="0.25">
      <c r="A5926" s="2">
        <v>238.17501102565001</v>
      </c>
      <c r="B5926" s="3">
        <v>-0.47357106911651098</v>
      </c>
      <c r="C5926" s="5">
        <v>2.8590341995250799E-5</v>
      </c>
      <c r="D5926" s="4">
        <v>1.023604836867E-4</v>
      </c>
      <c r="E5926" s="3" t="s">
        <v>11028</v>
      </c>
      <c r="F5926" s="3" t="s">
        <v>11029</v>
      </c>
      <c r="G5926" s="3">
        <v>72522</v>
      </c>
      <c r="H5926" s="7" t="str">
        <f>HYPERLINK("http://www.ensembl.org/Mus_musculus/Gene/Summary?db=core;g=ENSMUSG00000048997","ENSMUSG00000048997")</f>
        <v>ENSMUSG00000048997</v>
      </c>
      <c r="I5926" s="7" t="str">
        <f>HYPERLINK("http://www.informatics.jax.org/marker/MGI:1919772","MGI:1919772")</f>
        <v>MGI:1919772</v>
      </c>
      <c r="J5926" s="4" t="s">
        <v>12</v>
      </c>
    </row>
    <row r="5927" spans="1:10" x14ac:dyDescent="0.25">
      <c r="A5927" s="2">
        <v>137.57496338534099</v>
      </c>
      <c r="B5927" s="3">
        <v>-0.473682283873748</v>
      </c>
      <c r="C5927" s="5">
        <v>4.7794172210956002E-5</v>
      </c>
      <c r="D5927" s="4">
        <v>1.6675532130220301E-4</v>
      </c>
      <c r="E5927" s="3" t="s">
        <v>11315</v>
      </c>
      <c r="F5927" s="3" t="s">
        <v>11316</v>
      </c>
      <c r="G5927" s="3">
        <v>68708</v>
      </c>
      <c r="H5927" s="7" t="str">
        <f>HYPERLINK("http://www.ensembl.org/Mus_musculus/Gene/Summary?db=core;g=ENSMUSG00000022621","ENSMUSG00000022621")</f>
        <v>ENSMUSG00000022621</v>
      </c>
      <c r="I5927" s="7" t="str">
        <f>HYPERLINK("http://www.informatics.jax.org/marker/MGI:1915958","MGI:1915958")</f>
        <v>MGI:1915958</v>
      </c>
      <c r="J5927" s="4" t="s">
        <v>12</v>
      </c>
    </row>
    <row r="5928" spans="1:10" x14ac:dyDescent="0.25">
      <c r="A5928" s="2">
        <v>172.68705150405299</v>
      </c>
      <c r="B5928" s="3">
        <v>-0.47400075158808602</v>
      </c>
      <c r="C5928" s="3">
        <v>3.6259765853173699E-4</v>
      </c>
      <c r="D5928" s="4">
        <v>1.13733510835786E-3</v>
      </c>
      <c r="E5928" s="3" t="s">
        <v>12587</v>
      </c>
      <c r="F5928" s="3" t="s">
        <v>12588</v>
      </c>
      <c r="G5928" s="3">
        <v>74347</v>
      </c>
      <c r="H5928" s="7" t="str">
        <f>HYPERLINK("http://www.ensembl.org/Mus_musculus/Gene/Summary?db=core;g=ENSMUSG00000034105","ENSMUSG00000034105")</f>
        <v>ENSMUSG00000034105</v>
      </c>
      <c r="I5928" s="7" t="str">
        <f>HYPERLINK("http://www.informatics.jax.org/marker/MGI:1921597","MGI:1921597")</f>
        <v>MGI:1921597</v>
      </c>
      <c r="J5928" s="4" t="s">
        <v>12</v>
      </c>
    </row>
    <row r="5929" spans="1:10" x14ac:dyDescent="0.25">
      <c r="A5929" s="2">
        <v>355.70323775289398</v>
      </c>
      <c r="B5929" s="3">
        <v>-0.47407256607294201</v>
      </c>
      <c r="C5929" s="5">
        <v>2.5735102547724198E-8</v>
      </c>
      <c r="D5929" s="6">
        <v>1.2299956913260301E-7</v>
      </c>
      <c r="E5929" s="3" t="s">
        <v>8269</v>
      </c>
      <c r="F5929" s="3" t="s">
        <v>8270</v>
      </c>
      <c r="G5929" s="3">
        <v>80284</v>
      </c>
      <c r="H5929" s="7" t="str">
        <f>HYPERLINK("http://www.ensembl.org/Mus_musculus/Gene/Summary?db=core;g=ENSMUSG00000042380","ENSMUSG00000042380")</f>
        <v>ENSMUSG00000042380</v>
      </c>
      <c r="I5929" s="7" t="str">
        <f>HYPERLINK("http://www.informatics.jax.org/marker/MGI:1933141","MGI:1933141")</f>
        <v>MGI:1933141</v>
      </c>
      <c r="J5929" s="4" t="s">
        <v>12</v>
      </c>
    </row>
    <row r="5930" spans="1:10" x14ac:dyDescent="0.25">
      <c r="A5930" s="2">
        <v>326.51768469393897</v>
      </c>
      <c r="B5930" s="3">
        <v>-0.47427097363231302</v>
      </c>
      <c r="C5930" s="5">
        <v>1.7984143546046801E-8</v>
      </c>
      <c r="D5930" s="6">
        <v>8.7158346209890294E-8</v>
      </c>
      <c r="E5930" s="3" t="s">
        <v>8155</v>
      </c>
      <c r="F5930" s="3" t="s">
        <v>8156</v>
      </c>
      <c r="G5930" s="3">
        <v>320191</v>
      </c>
      <c r="H5930" s="7" t="str">
        <f>HYPERLINK("http://www.ensembl.org/Mus_musculus/Gene/Summary?db=core;g=ENSMUSG00000037234","ENSMUSG00000037234")</f>
        <v>ENSMUSG00000037234</v>
      </c>
      <c r="I5930" s="7" t="str">
        <f>HYPERLINK("http://www.informatics.jax.org/marker/MGI:2443554","MGI:2443554")</f>
        <v>MGI:2443554</v>
      </c>
      <c r="J5930" s="4" t="s">
        <v>12</v>
      </c>
    </row>
    <row r="5931" spans="1:10" x14ac:dyDescent="0.25">
      <c r="A5931" s="2">
        <v>304.72747055895502</v>
      </c>
      <c r="B5931" s="3">
        <v>-0.47450093383088199</v>
      </c>
      <c r="C5931" s="5">
        <v>8.6689743609927303E-7</v>
      </c>
      <c r="D5931" s="6">
        <v>3.6050648333778299E-6</v>
      </c>
      <c r="E5931" s="3" t="s">
        <v>9499</v>
      </c>
      <c r="F5931" s="3" t="s">
        <v>9500</v>
      </c>
      <c r="G5931" s="3">
        <v>266632</v>
      </c>
      <c r="H5931" s="7" t="str">
        <f>HYPERLINK("http://www.ensembl.org/Mus_musculus/Gene/Summary?db=core;g=ENSMUSG00000059883","ENSMUSG00000059883")</f>
        <v>ENSMUSG00000059883</v>
      </c>
      <c r="I5931" s="7" t="str">
        <f>HYPERLINK("http://www.informatics.jax.org/marker/MGI:2182474","MGI:2182474")</f>
        <v>MGI:2182474</v>
      </c>
      <c r="J5931" s="4" t="s">
        <v>12</v>
      </c>
    </row>
    <row r="5932" spans="1:10" x14ac:dyDescent="0.25">
      <c r="A5932" s="2">
        <v>1884.12754004065</v>
      </c>
      <c r="B5932" s="3">
        <v>-0.47462302315650301</v>
      </c>
      <c r="C5932" s="5">
        <v>2.7943626653745801E-19</v>
      </c>
      <c r="D5932" s="6">
        <v>2.6841126040519501E-18</v>
      </c>
      <c r="E5932" s="3" t="s">
        <v>4123</v>
      </c>
      <c r="F5932" s="3" t="s">
        <v>4124</v>
      </c>
      <c r="G5932" s="3">
        <v>21406</v>
      </c>
      <c r="H5932" s="7" t="str">
        <f>HYPERLINK("http://www.ensembl.org/Mus_musculus/Gene/Summary?db=core;g=ENSMUSG00000032228","ENSMUSG00000032228")</f>
        <v>ENSMUSG00000032228</v>
      </c>
      <c r="I5932" s="7" t="str">
        <f>HYPERLINK("http://www.informatics.jax.org/marker/MGI:101877","MGI:101877")</f>
        <v>MGI:101877</v>
      </c>
      <c r="J5932" s="4" t="s">
        <v>12</v>
      </c>
    </row>
    <row r="5933" spans="1:10" x14ac:dyDescent="0.25">
      <c r="A5933" s="2">
        <v>792.14153423758296</v>
      </c>
      <c r="B5933" s="3">
        <v>-0.475116739585492</v>
      </c>
      <c r="C5933" s="5">
        <v>1.66642104399537E-5</v>
      </c>
      <c r="D5933" s="6">
        <v>6.1047414058310804E-5</v>
      </c>
      <c r="E5933" s="3" t="s">
        <v>10778</v>
      </c>
      <c r="F5933" s="3" t="s">
        <v>10779</v>
      </c>
      <c r="G5933" s="3">
        <v>66949</v>
      </c>
      <c r="H5933" s="7" t="str">
        <f>HYPERLINK("http://www.ensembl.org/Mus_musculus/Gene/Summary?db=core;g=ENSMUSG00000034317","ENSMUSG00000034317")</f>
        <v>ENSMUSG00000034317</v>
      </c>
      <c r="I5933" s="7" t="str">
        <f>HYPERLINK("http://www.informatics.jax.org/marker/MGI:1914199","MGI:1914199")</f>
        <v>MGI:1914199</v>
      </c>
      <c r="J5933" s="4" t="s">
        <v>12</v>
      </c>
    </row>
    <row r="5934" spans="1:10" x14ac:dyDescent="0.25">
      <c r="A5934" s="2">
        <v>1216.17644006151</v>
      </c>
      <c r="B5934" s="3">
        <v>-0.475416871591128</v>
      </c>
      <c r="C5934" s="5">
        <v>6.1134665577560298E-9</v>
      </c>
      <c r="D5934" s="6">
        <v>3.0841023412368602E-8</v>
      </c>
      <c r="E5934" s="3" t="s">
        <v>7834</v>
      </c>
      <c r="F5934" s="3" t="s">
        <v>7835</v>
      </c>
      <c r="G5934" s="3">
        <v>268445</v>
      </c>
      <c r="H5934" s="7" t="str">
        <f>HYPERLINK("http://www.ensembl.org/Mus_musculus/Gene/Summary?db=core;g=ENSMUSG00000037907","ENSMUSG00000037907")</f>
        <v>ENSMUSG00000037907</v>
      </c>
      <c r="I5934" s="7" t="str">
        <f>HYPERLINK("http://www.informatics.jax.org/marker/MGI:2144501","MGI:2144501")</f>
        <v>MGI:2144501</v>
      </c>
      <c r="J5934" s="4" t="s">
        <v>12</v>
      </c>
    </row>
    <row r="5935" spans="1:10" x14ac:dyDescent="0.25">
      <c r="A5935" s="2">
        <v>196.62928510680899</v>
      </c>
      <c r="B5935" s="3">
        <v>-0.47589074636308998</v>
      </c>
      <c r="C5935" s="5">
        <v>2.9426585025171702E-6</v>
      </c>
      <c r="D5935" s="6">
        <v>1.1629103340608901E-5</v>
      </c>
      <c r="E5935" s="3" t="s">
        <v>9996</v>
      </c>
      <c r="F5935" s="3" t="s">
        <v>9997</v>
      </c>
      <c r="G5935" s="3">
        <v>72106</v>
      </c>
      <c r="H5935" s="7" t="str">
        <f>HYPERLINK("http://www.ensembl.org/Mus_musculus/Gene/Summary?db=core;g=ENSMUSG00000025736","ENSMUSG00000025736")</f>
        <v>ENSMUSG00000025736</v>
      </c>
      <c r="I5935" s="7" t="str">
        <f>HYPERLINK("http://www.informatics.jax.org/marker/MGI:1919356","MGI:1919356")</f>
        <v>MGI:1919356</v>
      </c>
      <c r="J5935" s="4" t="s">
        <v>12</v>
      </c>
    </row>
    <row r="5936" spans="1:10" x14ac:dyDescent="0.25">
      <c r="A5936" s="2">
        <v>3570.0287363719899</v>
      </c>
      <c r="B5936" s="3">
        <v>-0.47604896423949999</v>
      </c>
      <c r="C5936" s="5">
        <v>5.3215270264847096E-19</v>
      </c>
      <c r="D5936" s="6">
        <v>5.0598125825592402E-18</v>
      </c>
      <c r="E5936" s="3" t="s">
        <v>4165</v>
      </c>
      <c r="F5936" s="3" t="s">
        <v>4166</v>
      </c>
      <c r="G5936" s="3">
        <v>20588</v>
      </c>
      <c r="H5936" s="7" t="str">
        <f>HYPERLINK("http://www.ensembl.org/Mus_musculus/Gene/Summary?db=core;g=ENSMUSG00000032481","ENSMUSG00000032481")</f>
        <v>ENSMUSG00000032481</v>
      </c>
      <c r="I5936" s="7" t="str">
        <f>HYPERLINK("http://www.informatics.jax.org/marker/MGI:1203524","MGI:1203524")</f>
        <v>MGI:1203524</v>
      </c>
      <c r="J5936" s="4" t="s">
        <v>12</v>
      </c>
    </row>
    <row r="5937" spans="1:10" x14ac:dyDescent="0.25">
      <c r="A5937" s="2">
        <v>642.21657464091697</v>
      </c>
      <c r="B5937" s="3">
        <v>-0.476357428739348</v>
      </c>
      <c r="C5937" s="5">
        <v>8.8091575374831402E-10</v>
      </c>
      <c r="D5937" s="6">
        <v>4.7398795808776897E-9</v>
      </c>
      <c r="E5937" s="3" t="s">
        <v>7348</v>
      </c>
      <c r="F5937" s="3" t="s">
        <v>7349</v>
      </c>
      <c r="G5937" s="3">
        <v>67967</v>
      </c>
      <c r="H5937" s="7" t="str">
        <f>HYPERLINK("http://www.ensembl.org/Mus_musculus/Gene/Summary?db=core;g=ENSMUSG00000030726","ENSMUSG00000030726")</f>
        <v>ENSMUSG00000030726</v>
      </c>
      <c r="I5937" s="7" t="str">
        <f>HYPERLINK("http://www.informatics.jax.org/marker/MGI:1915217","MGI:1915217")</f>
        <v>MGI:1915217</v>
      </c>
      <c r="J5937" s="4" t="s">
        <v>12</v>
      </c>
    </row>
    <row r="5938" spans="1:10" x14ac:dyDescent="0.25">
      <c r="A5938" s="2">
        <v>45.541488483146097</v>
      </c>
      <c r="B5938" s="3">
        <v>-0.47692794226394403</v>
      </c>
      <c r="C5938" s="3">
        <v>1.1672582480083101E-2</v>
      </c>
      <c r="D5938" s="4">
        <v>2.8629766978512199E-2</v>
      </c>
      <c r="E5938" s="3" t="s">
        <v>16085</v>
      </c>
      <c r="F5938" s="3" t="s">
        <v>16086</v>
      </c>
      <c r="G5938" s="3" t="s">
        <v>83</v>
      </c>
      <c r="H5938" s="7" t="str">
        <f>HYPERLINK("http://www.ensembl.org/Mus_musculus/Gene/Summary?db=core;g=ENSMUSG00000107539","ENSMUSG00000107539")</f>
        <v>ENSMUSG00000107539</v>
      </c>
      <c r="I5938" s="7" t="str">
        <f>HYPERLINK("http://www.informatics.jax.org/marker/MGI:5753366","MGI:5753366")</f>
        <v>MGI:5753366</v>
      </c>
      <c r="J5938" s="4" t="s">
        <v>12</v>
      </c>
    </row>
    <row r="5939" spans="1:10" x14ac:dyDescent="0.25">
      <c r="A5939" s="2">
        <v>82.986672380800897</v>
      </c>
      <c r="B5939" s="3">
        <v>-0.47693193340721002</v>
      </c>
      <c r="C5939" s="3">
        <v>1.79198787799742E-2</v>
      </c>
      <c r="D5939" s="4">
        <v>4.22652804139566E-2</v>
      </c>
      <c r="E5939" s="3" t="s">
        <v>16726</v>
      </c>
      <c r="F5939" s="3" t="s">
        <v>16727</v>
      </c>
      <c r="G5939" s="3">
        <v>109901</v>
      </c>
      <c r="H5939" s="7" t="str">
        <f>HYPERLINK("http://www.ensembl.org/Mus_musculus/Gene/Summary?db=core;g=ENSMUSG00000023031","ENSMUSG00000023031")</f>
        <v>ENSMUSG00000023031</v>
      </c>
      <c r="I5939" s="7" t="str">
        <f>HYPERLINK("http://www.informatics.jax.org/marker/MGI:95314","MGI:95314")</f>
        <v>MGI:95314</v>
      </c>
      <c r="J5939" s="4" t="s">
        <v>12</v>
      </c>
    </row>
    <row r="5940" spans="1:10" x14ac:dyDescent="0.25">
      <c r="A5940" s="2">
        <v>380.04057979919202</v>
      </c>
      <c r="B5940" s="3">
        <v>-0.476953406181373</v>
      </c>
      <c r="C5940" s="5">
        <v>1.1604449946278299E-9</v>
      </c>
      <c r="D5940" s="6">
        <v>6.1949039778182802E-9</v>
      </c>
      <c r="E5940" s="3" t="s">
        <v>7406</v>
      </c>
      <c r="F5940" s="3" t="s">
        <v>7407</v>
      </c>
      <c r="G5940" s="3">
        <v>219022</v>
      </c>
      <c r="H5940" s="7" t="str">
        <f>HYPERLINK("http://www.ensembl.org/Mus_musculus/Gene/Summary?db=core;g=ENSMUSG00000006288","ENSMUSG00000006288")</f>
        <v>ENSMUSG00000006288</v>
      </c>
      <c r="I5940" s="7" t="str">
        <f>HYPERLINK("http://www.informatics.jax.org/marker/MGI:2683584","MGI:2683584")</f>
        <v>MGI:2683584</v>
      </c>
      <c r="J5940" s="4" t="s">
        <v>12</v>
      </c>
    </row>
    <row r="5941" spans="1:10" x14ac:dyDescent="0.25">
      <c r="A5941" s="2">
        <v>767.17849501284695</v>
      </c>
      <c r="B5941" s="3">
        <v>-0.47725618972540801</v>
      </c>
      <c r="C5941" s="5">
        <v>1.19717800135612E-8</v>
      </c>
      <c r="D5941" s="6">
        <v>5.9006123935872597E-8</v>
      </c>
      <c r="E5941" s="3" t="s">
        <v>8019</v>
      </c>
      <c r="F5941" s="3" t="s">
        <v>8020</v>
      </c>
      <c r="G5941" s="3">
        <v>23921</v>
      </c>
      <c r="H5941" s="7" t="str">
        <f>HYPERLINK("http://www.ensembl.org/Mus_musculus/Gene/Summary?db=core;g=ENSMUSG00000005057","ENSMUSG00000005057")</f>
        <v>ENSMUSG00000005057</v>
      </c>
      <c r="I5941" s="7" t="str">
        <f>HYPERLINK("http://www.informatics.jax.org/marker/MGI:1345171","MGI:1345171")</f>
        <v>MGI:1345171</v>
      </c>
      <c r="J5941" s="4" t="s">
        <v>12</v>
      </c>
    </row>
    <row r="5942" spans="1:10" x14ac:dyDescent="0.25">
      <c r="A5942" s="2">
        <v>453.329458973714</v>
      </c>
      <c r="B5942" s="3">
        <v>-0.47766996858722699</v>
      </c>
      <c r="C5942" s="5">
        <v>2.1875181970848099E-7</v>
      </c>
      <c r="D5942" s="6">
        <v>9.6613345680879002E-7</v>
      </c>
      <c r="E5942" s="3" t="s">
        <v>8947</v>
      </c>
      <c r="F5942" s="3" t="s">
        <v>8948</v>
      </c>
      <c r="G5942" s="3">
        <v>20359</v>
      </c>
      <c r="H5942" s="7" t="str">
        <f>HYPERLINK("http://www.ensembl.org/Mus_musculus/Gene/Summary?db=core;g=ENSMUSG00000001227","ENSMUSG00000001227")</f>
        <v>ENSMUSG00000001227</v>
      </c>
      <c r="I5942" s="7" t="str">
        <f>HYPERLINK("http://www.informatics.jax.org/marker/MGI:1202889","MGI:1202889")</f>
        <v>MGI:1202889</v>
      </c>
      <c r="J5942" s="4" t="s">
        <v>12</v>
      </c>
    </row>
    <row r="5943" spans="1:10" x14ac:dyDescent="0.25">
      <c r="A5943" s="2">
        <v>116.046653973441</v>
      </c>
      <c r="B5943" s="3">
        <v>-0.47854882854131497</v>
      </c>
      <c r="C5943" s="5">
        <v>8.3624790204653201E-5</v>
      </c>
      <c r="D5943" s="4">
        <v>2.8422627763456697E-4</v>
      </c>
      <c r="E5943" s="3" t="s">
        <v>11615</v>
      </c>
      <c r="F5943" s="3" t="s">
        <v>11616</v>
      </c>
      <c r="G5943" s="3">
        <v>106564</v>
      </c>
      <c r="H5943" s="7" t="str">
        <f>HYPERLINK("http://www.ensembl.org/Mus_musculus/Gene/Summary?db=core;g=ENSMUSG00000028636","ENSMUSG00000028636")</f>
        <v>ENSMUSG00000028636</v>
      </c>
      <c r="I5943" s="7" t="str">
        <f>HYPERLINK("http://www.informatics.jax.org/marker/MGI:1915237","MGI:1915237")</f>
        <v>MGI:1915237</v>
      </c>
      <c r="J5943" s="4" t="s">
        <v>12</v>
      </c>
    </row>
    <row r="5944" spans="1:10" x14ac:dyDescent="0.25">
      <c r="A5944" s="2">
        <v>686.50168836224998</v>
      </c>
      <c r="B5944" s="3">
        <v>-0.47874448222177302</v>
      </c>
      <c r="C5944" s="5">
        <v>2.7831170826781101E-13</v>
      </c>
      <c r="D5944" s="6">
        <v>1.9304632033208701E-12</v>
      </c>
      <c r="E5944" s="3" t="s">
        <v>5703</v>
      </c>
      <c r="F5944" s="3" t="s">
        <v>5704</v>
      </c>
      <c r="G5944" s="3" t="s">
        <v>83</v>
      </c>
      <c r="H5944" s="7" t="str">
        <f>HYPERLINK("http://www.ensembl.org/Mus_musculus/Gene/Summary?db=core;g=ENSMUSG00000049881","ENSMUSG00000049881")</f>
        <v>ENSMUSG00000049881</v>
      </c>
      <c r="I5944" s="7" t="str">
        <f>HYPERLINK("http://www.informatics.jax.org/marker/MGI:1917203","MGI:1917203")</f>
        <v>MGI:1917203</v>
      </c>
      <c r="J5944" s="4" t="s">
        <v>5705</v>
      </c>
    </row>
    <row r="5945" spans="1:10" x14ac:dyDescent="0.25">
      <c r="A5945" s="2">
        <v>719.418547640974</v>
      </c>
      <c r="B5945" s="3">
        <v>-0.47901940919782698</v>
      </c>
      <c r="C5945" s="5">
        <v>2.7163003136080201E-15</v>
      </c>
      <c r="D5945" s="6">
        <v>2.1180483267833199E-14</v>
      </c>
      <c r="E5945" s="3" t="s">
        <v>5075</v>
      </c>
      <c r="F5945" s="3" t="s">
        <v>5076</v>
      </c>
      <c r="G5945" s="3">
        <v>101358</v>
      </c>
      <c r="H5945" s="7" t="str">
        <f>HYPERLINK("http://www.ensembl.org/Mus_musculus/Gene/Summary?db=core;g=ENSMUSG00000030019","ENSMUSG00000030019")</f>
        <v>ENSMUSG00000030019</v>
      </c>
      <c r="I5945" s="7" t="str">
        <f>HYPERLINK("http://www.informatics.jax.org/marker/MGI:2141676","MGI:2141676")</f>
        <v>MGI:2141676</v>
      </c>
      <c r="J5945" s="4" t="s">
        <v>12</v>
      </c>
    </row>
    <row r="5946" spans="1:10" x14ac:dyDescent="0.25">
      <c r="A5946" s="2">
        <v>652.38327509590795</v>
      </c>
      <c r="B5946" s="3">
        <v>-0.479330550475078</v>
      </c>
      <c r="C5946" s="5">
        <v>5.2718975798322001E-13</v>
      </c>
      <c r="D5946" s="6">
        <v>3.5935644754334899E-12</v>
      </c>
      <c r="E5946" s="3" t="s">
        <v>5803</v>
      </c>
      <c r="F5946" s="3" t="s">
        <v>5804</v>
      </c>
      <c r="G5946" s="3">
        <v>67869</v>
      </c>
      <c r="H5946" s="7" t="str">
        <f>HYPERLINK("http://www.ensembl.org/Mus_musculus/Gene/Summary?db=core;g=ENSMUSG00000037058","ENSMUSG00000037058")</f>
        <v>ENSMUSG00000037058</v>
      </c>
      <c r="I5946" s="7" t="str">
        <f>HYPERLINK("http://www.informatics.jax.org/marker/MGI:1915119","MGI:1915119")</f>
        <v>MGI:1915119</v>
      </c>
      <c r="J5946" s="4" t="s">
        <v>12</v>
      </c>
    </row>
    <row r="5947" spans="1:10" x14ac:dyDescent="0.25">
      <c r="A5947" s="2">
        <v>216.524632632063</v>
      </c>
      <c r="B5947" s="3">
        <v>-0.47945060012012197</v>
      </c>
      <c r="C5947" s="5">
        <v>8.3170988819987096E-9</v>
      </c>
      <c r="D5947" s="6">
        <v>4.1553886484168903E-8</v>
      </c>
      <c r="E5947" s="3" t="s">
        <v>7910</v>
      </c>
      <c r="F5947" s="3" t="s">
        <v>7911</v>
      </c>
      <c r="G5947" s="3">
        <v>18408</v>
      </c>
      <c r="H5947" s="7" t="str">
        <f>HYPERLINK("http://www.ensembl.org/Mus_musculus/Gene/Summary?db=core;g=ENSMUSG00000031482","ENSMUSG00000031482")</f>
        <v>ENSMUSG00000031482</v>
      </c>
      <c r="I5947" s="7" t="str">
        <f>HYPERLINK("http://www.informatics.jax.org/marker/MGI:1342274","MGI:1342274")</f>
        <v>MGI:1342274</v>
      </c>
      <c r="J5947" s="4" t="s">
        <v>12</v>
      </c>
    </row>
    <row r="5948" spans="1:10" x14ac:dyDescent="0.25">
      <c r="A5948" s="2">
        <v>320.51779659845897</v>
      </c>
      <c r="B5948" s="3">
        <v>-0.47945428050695499</v>
      </c>
      <c r="C5948" s="5">
        <v>1.3084303430110701E-5</v>
      </c>
      <c r="D5948" s="6">
        <v>4.8473128619534797E-5</v>
      </c>
      <c r="E5948" s="3" t="s">
        <v>10658</v>
      </c>
      <c r="F5948" s="3" t="s">
        <v>10659</v>
      </c>
      <c r="G5948" s="3">
        <v>93683</v>
      </c>
      <c r="H5948" s="7" t="str">
        <f>HYPERLINK("http://www.ensembl.org/Mus_musculus/Gene/Summary?db=core;g=ENSMUSG00000032252","ENSMUSG00000032252")</f>
        <v>ENSMUSG00000032252</v>
      </c>
      <c r="I5948" s="7" t="str">
        <f>HYPERLINK("http://www.informatics.jax.org/marker/MGI:2136405","MGI:2136405")</f>
        <v>MGI:2136405</v>
      </c>
      <c r="J5948" s="4" t="s">
        <v>12</v>
      </c>
    </row>
    <row r="5949" spans="1:10" x14ac:dyDescent="0.25">
      <c r="A5949" s="2">
        <v>965.25908930810203</v>
      </c>
      <c r="B5949" s="3">
        <v>-0.48011326364575402</v>
      </c>
      <c r="C5949" s="5">
        <v>1.7489462837167101E-14</v>
      </c>
      <c r="D5949" s="6">
        <v>1.30789612115637E-13</v>
      </c>
      <c r="E5949" s="3" t="s">
        <v>5291</v>
      </c>
      <c r="F5949" s="3" t="s">
        <v>5292</v>
      </c>
      <c r="G5949" s="3">
        <v>20729</v>
      </c>
      <c r="H5949" s="7" t="str">
        <f>HYPERLINK("http://www.ensembl.org/Mus_musculus/Gene/Summary?db=core;g=ENSMUSG00000021395","ENSMUSG00000021395")</f>
        <v>ENSMUSG00000021395</v>
      </c>
      <c r="I5949" s="7" t="str">
        <f>HYPERLINK("http://www.informatics.jax.org/marker/MGI:109242","MGI:109242")</f>
        <v>MGI:109242</v>
      </c>
      <c r="J5949" s="4" t="s">
        <v>12</v>
      </c>
    </row>
    <row r="5950" spans="1:10" x14ac:dyDescent="0.25">
      <c r="A5950" s="2">
        <v>1040.28615193367</v>
      </c>
      <c r="B5950" s="3">
        <v>-0.480160109965521</v>
      </c>
      <c r="C5950" s="5">
        <v>5.1862723552334895E-7</v>
      </c>
      <c r="D5950" s="6">
        <v>2.2098809603544602E-6</v>
      </c>
      <c r="E5950" s="3" t="s">
        <v>9271</v>
      </c>
      <c r="F5950" s="3" t="s">
        <v>9272</v>
      </c>
      <c r="G5950" s="3">
        <v>73836</v>
      </c>
      <c r="H5950" s="7" t="str">
        <f>HYPERLINK("http://www.ensembl.org/Mus_musculus/Gene/Summary?db=core;g=ENSMUSG00000037089","ENSMUSG00000037089")</f>
        <v>ENSMUSG00000037089</v>
      </c>
      <c r="I5950" s="7" t="str">
        <f>HYPERLINK("http://www.informatics.jax.org/marker/MGI:1921086","MGI:1921086")</f>
        <v>MGI:1921086</v>
      </c>
      <c r="J5950" s="4" t="s">
        <v>12</v>
      </c>
    </row>
    <row r="5951" spans="1:10" x14ac:dyDescent="0.25">
      <c r="A5951" s="2">
        <v>144.54519252998699</v>
      </c>
      <c r="B5951" s="3">
        <v>-0.48080388905570498</v>
      </c>
      <c r="C5951" s="3">
        <v>1.1289255408247E-4</v>
      </c>
      <c r="D5951" s="4">
        <v>3.78098024202839E-4</v>
      </c>
      <c r="E5951" s="3" t="s">
        <v>11787</v>
      </c>
      <c r="F5951" s="3" t="s">
        <v>11788</v>
      </c>
      <c r="G5951" s="3">
        <v>236904</v>
      </c>
      <c r="H5951" s="7" t="str">
        <f>HYPERLINK("http://www.ensembl.org/Mus_musculus/Gene/Summary?db=core;g=ENSMUSG00000043929","ENSMUSG00000043929")</f>
        <v>ENSMUSG00000043929</v>
      </c>
      <c r="I5951" s="7" t="str">
        <f>HYPERLINK("http://www.informatics.jax.org/marker/MGI:1923400","MGI:1923400")</f>
        <v>MGI:1923400</v>
      </c>
      <c r="J5951" s="4" t="s">
        <v>12</v>
      </c>
    </row>
    <row r="5952" spans="1:10" x14ac:dyDescent="0.25">
      <c r="A5952" s="2">
        <v>194.30971332502699</v>
      </c>
      <c r="B5952" s="3">
        <v>-0.48085704071018498</v>
      </c>
      <c r="C5952" s="5">
        <v>1.5468631392468701E-7</v>
      </c>
      <c r="D5952" s="6">
        <v>6.88581063339691E-7</v>
      </c>
      <c r="E5952" s="3" t="s">
        <v>8877</v>
      </c>
      <c r="F5952" s="3" t="s">
        <v>8878</v>
      </c>
      <c r="G5952" s="3">
        <v>72018</v>
      </c>
      <c r="H5952" s="7" t="str">
        <f>HYPERLINK("http://www.ensembl.org/Mus_musculus/Gene/Summary?db=core;g=ENSMUSG00000025040","ENSMUSG00000025040")</f>
        <v>ENSMUSG00000025040</v>
      </c>
      <c r="I5952" s="7" t="str">
        <f>HYPERLINK("http://www.informatics.jax.org/marker/MGI:1919268","MGI:1919268")</f>
        <v>MGI:1919268</v>
      </c>
      <c r="J5952" s="4" t="s">
        <v>12</v>
      </c>
    </row>
    <row r="5953" spans="1:10" x14ac:dyDescent="0.25">
      <c r="A5953" s="2">
        <v>1088.2570080774101</v>
      </c>
      <c r="B5953" s="3">
        <v>-0.48086810678300101</v>
      </c>
      <c r="C5953" s="5">
        <v>1.7540502519726E-18</v>
      </c>
      <c r="D5953" s="6">
        <v>1.6231755499249001E-17</v>
      </c>
      <c r="E5953" s="3" t="s">
        <v>4279</v>
      </c>
      <c r="F5953" s="3" t="s">
        <v>4280</v>
      </c>
      <c r="G5953" s="3">
        <v>22661</v>
      </c>
      <c r="H5953" s="7" t="str">
        <f>HYPERLINK("http://www.ensembl.org/Mus_musculus/Gene/Summary?db=core;g=ENSMUSG00000022811","ENSMUSG00000022811")</f>
        <v>ENSMUSG00000022811</v>
      </c>
      <c r="I5953" s="7" t="str">
        <f>HYPERLINK("http://www.informatics.jax.org/marker/MGI:1332234","MGI:1332234")</f>
        <v>MGI:1332234</v>
      </c>
      <c r="J5953" s="4" t="s">
        <v>12</v>
      </c>
    </row>
    <row r="5954" spans="1:10" x14ac:dyDescent="0.25">
      <c r="A5954" s="2">
        <v>1633.0945272306301</v>
      </c>
      <c r="B5954" s="3">
        <v>-0.480983907835625</v>
      </c>
      <c r="C5954" s="5">
        <v>2.8974656296791598E-24</v>
      </c>
      <c r="D5954" s="6">
        <v>3.4462015812589302E-23</v>
      </c>
      <c r="E5954" s="3" t="s">
        <v>3336</v>
      </c>
      <c r="F5954" s="3" t="s">
        <v>3337</v>
      </c>
      <c r="G5954" s="3">
        <v>320487</v>
      </c>
      <c r="H5954" s="7" t="str">
        <f>HYPERLINK("http://www.ensembl.org/Mus_musculus/Gene/Summary?db=core;g=ENSMUSG00000035181","ENSMUSG00000035181")</f>
        <v>ENSMUSG00000035181</v>
      </c>
      <c r="I5954" s="7" t="str">
        <f>HYPERLINK("http://www.informatics.jax.org/marker/MGI:2444133","MGI:2444133")</f>
        <v>MGI:2444133</v>
      </c>
      <c r="J5954" s="4" t="s">
        <v>12</v>
      </c>
    </row>
    <row r="5955" spans="1:10" x14ac:dyDescent="0.25">
      <c r="A5955" s="2">
        <v>282.10185799449903</v>
      </c>
      <c r="B5955" s="3">
        <v>-0.48153299012428802</v>
      </c>
      <c r="C5955" s="5">
        <v>1.4873183837694699E-8</v>
      </c>
      <c r="D5955" s="6">
        <v>7.2616782688620896E-8</v>
      </c>
      <c r="E5955" s="3" t="s">
        <v>8095</v>
      </c>
      <c r="F5955" s="3" t="s">
        <v>8096</v>
      </c>
      <c r="G5955" s="3">
        <v>227102</v>
      </c>
      <c r="H5955" s="7" t="str">
        <f>HYPERLINK("http://www.ensembl.org/Mus_musculus/Gene/Summary?db=core;g=ENSMUSG00000026097","ENSMUSG00000026097")</f>
        <v>ENSMUSG00000026097</v>
      </c>
      <c r="I5955" s="7" t="str">
        <f>HYPERLINK("http://www.informatics.jax.org/marker/MGI:2181669","MGI:2181669")</f>
        <v>MGI:2181669</v>
      </c>
      <c r="J5955" s="4" t="s">
        <v>12</v>
      </c>
    </row>
    <row r="5956" spans="1:10" x14ac:dyDescent="0.25">
      <c r="A5956" s="2">
        <v>519.67732658286502</v>
      </c>
      <c r="B5956" s="3">
        <v>-0.48169484147025199</v>
      </c>
      <c r="C5956" s="5">
        <v>6.77177957966099E-15</v>
      </c>
      <c r="D5956" s="6">
        <v>5.18398654157278E-14</v>
      </c>
      <c r="E5956" s="3" t="s">
        <v>5169</v>
      </c>
      <c r="F5956" s="3" t="s">
        <v>5170</v>
      </c>
      <c r="G5956" s="3">
        <v>19691</v>
      </c>
      <c r="H5956" s="7" t="str">
        <f>HYPERLINK("http://www.ensembl.org/Mus_musculus/Gene/Summary?db=core;g=ENSMUSG00000030243","ENSMUSG00000030243")</f>
        <v>ENSMUSG00000030243</v>
      </c>
      <c r="I5956" s="7" t="str">
        <f>HYPERLINK("http://www.informatics.jax.org/marker/MGI:103021","MGI:103021")</f>
        <v>MGI:103021</v>
      </c>
      <c r="J5956" s="4" t="s">
        <v>12</v>
      </c>
    </row>
    <row r="5957" spans="1:10" x14ac:dyDescent="0.25">
      <c r="A5957" s="2">
        <v>282.605266399333</v>
      </c>
      <c r="B5957" s="3">
        <v>-0.48172639898354802</v>
      </c>
      <c r="C5957" s="5">
        <v>3.2325327158234802E-8</v>
      </c>
      <c r="D5957" s="6">
        <v>1.5272052025883801E-7</v>
      </c>
      <c r="E5957" s="3" t="s">
        <v>8365</v>
      </c>
      <c r="F5957" s="3" t="s">
        <v>8366</v>
      </c>
      <c r="G5957" s="3">
        <v>381990</v>
      </c>
      <c r="H5957" s="7" t="str">
        <f>HYPERLINK("http://www.ensembl.org/Mus_musculus/Gene/Summary?db=core;g=ENSMUSG00000075327","ENSMUSG00000075327")</f>
        <v>ENSMUSG00000075327</v>
      </c>
      <c r="I5957" s="7" t="str">
        <f>HYPERLINK("http://www.informatics.jax.org/marker/MGI:2685949","MGI:2685949")</f>
        <v>MGI:2685949</v>
      </c>
      <c r="J5957" s="4" t="s">
        <v>12</v>
      </c>
    </row>
    <row r="5958" spans="1:10" x14ac:dyDescent="0.25">
      <c r="A5958" s="2">
        <v>696.43421992635899</v>
      </c>
      <c r="B5958" s="3">
        <v>-0.48174485543705697</v>
      </c>
      <c r="C5958" s="5">
        <v>5.21260637918286E-15</v>
      </c>
      <c r="D5958" s="6">
        <v>4.0106358875335899E-14</v>
      </c>
      <c r="E5958" s="3" t="s">
        <v>5143</v>
      </c>
      <c r="F5958" s="3" t="s">
        <v>5144</v>
      </c>
      <c r="G5958" s="3">
        <v>54391</v>
      </c>
      <c r="H5958" s="7" t="str">
        <f>HYPERLINK("http://www.ensembl.org/Mus_musculus/Gene/Summary?db=core;g=ENSMUSG00000024712","ENSMUSG00000024712")</f>
        <v>ENSMUSG00000024712</v>
      </c>
      <c r="I5958" s="7" t="str">
        <f>HYPERLINK("http://www.informatics.jax.org/marker/MGI:1914688","MGI:1914688")</f>
        <v>MGI:1914688</v>
      </c>
      <c r="J5958" s="4" t="s">
        <v>12</v>
      </c>
    </row>
    <row r="5959" spans="1:10" x14ac:dyDescent="0.25">
      <c r="A5959" s="2">
        <v>7977.6458178346102</v>
      </c>
      <c r="B5959" s="3">
        <v>-0.48182583733832501</v>
      </c>
      <c r="C5959" s="5">
        <v>4.1281607168155798E-44</v>
      </c>
      <c r="D5959" s="6">
        <v>9.4330624954348993E-43</v>
      </c>
      <c r="E5959" s="3" t="s">
        <v>1742</v>
      </c>
      <c r="F5959" s="3" t="s">
        <v>1743</v>
      </c>
      <c r="G5959" s="3">
        <v>21366</v>
      </c>
      <c r="H5959" s="7" t="str">
        <f>HYPERLINK("http://www.ensembl.org/Mus_musculus/Gene/Summary?db=core;g=ENSMUSG00000030096","ENSMUSG00000030096")</f>
        <v>ENSMUSG00000030096</v>
      </c>
      <c r="I5959" s="7" t="str">
        <f>HYPERLINK("http://www.informatics.jax.org/marker/MGI:98488","MGI:98488")</f>
        <v>MGI:98488</v>
      </c>
      <c r="J5959" s="4" t="s">
        <v>12</v>
      </c>
    </row>
    <row r="5960" spans="1:10" x14ac:dyDescent="0.25">
      <c r="A5960" s="2">
        <v>114.207011980367</v>
      </c>
      <c r="B5960" s="3">
        <v>-0.48197776411653598</v>
      </c>
      <c r="C5960" s="3">
        <v>1.08137315539654E-4</v>
      </c>
      <c r="D5960" s="4">
        <v>3.6334432824024101E-4</v>
      </c>
      <c r="E5960" s="3" t="s">
        <v>11749</v>
      </c>
      <c r="F5960" s="3" t="s">
        <v>11750</v>
      </c>
      <c r="G5960" s="3">
        <v>69692</v>
      </c>
      <c r="H5960" s="7" t="str">
        <f>HYPERLINK("http://www.ensembl.org/Mus_musculus/Gene/Summary?db=core;g=ENSMUSG00000000295","ENSMUSG00000000295")</f>
        <v>ENSMUSG00000000295</v>
      </c>
      <c r="I5960" s="7" t="str">
        <f>HYPERLINK("http://www.informatics.jax.org/marker/MGI:1916942","MGI:1916942")</f>
        <v>MGI:1916942</v>
      </c>
      <c r="J5960" s="4" t="s">
        <v>12</v>
      </c>
    </row>
    <row r="5961" spans="1:10" x14ac:dyDescent="0.25">
      <c r="A5961" s="2">
        <v>597.94995894466797</v>
      </c>
      <c r="B5961" s="3">
        <v>-0.48251984552836502</v>
      </c>
      <c r="C5961" s="5">
        <v>4.6704510882648901E-9</v>
      </c>
      <c r="D5961" s="6">
        <v>2.3774211528287001E-8</v>
      </c>
      <c r="E5961" s="3" t="s">
        <v>7764</v>
      </c>
      <c r="F5961" s="3" t="s">
        <v>7765</v>
      </c>
      <c r="G5961" s="3">
        <v>74868</v>
      </c>
      <c r="H5961" s="7" t="str">
        <f>HYPERLINK("http://www.ensembl.org/Mus_musculus/Gene/Summary?db=core;g=ENSMUSG00000062373","ENSMUSG00000062373")</f>
        <v>ENSMUSG00000062373</v>
      </c>
      <c r="I5961" s="7" t="str">
        <f>HYPERLINK("http://www.informatics.jax.org/marker/MGI:1922118","MGI:1922118")</f>
        <v>MGI:1922118</v>
      </c>
      <c r="J5961" s="4" t="s">
        <v>12</v>
      </c>
    </row>
    <row r="5962" spans="1:10" x14ac:dyDescent="0.25">
      <c r="A5962" s="2">
        <v>439.76458783339098</v>
      </c>
      <c r="B5962" s="3">
        <v>-0.48259011224776999</v>
      </c>
      <c r="C5962" s="5">
        <v>2.4223823014163598E-6</v>
      </c>
      <c r="D5962" s="6">
        <v>9.6562318544432004E-6</v>
      </c>
      <c r="E5962" s="3" t="s">
        <v>9909</v>
      </c>
      <c r="F5962" s="3" t="s">
        <v>9910</v>
      </c>
      <c r="G5962" s="3">
        <v>13713</v>
      </c>
      <c r="H5962" s="7" t="str">
        <f>HYPERLINK("http://www.ensembl.org/Mus_musculus/Gene/Summary?db=core;g=ENSMUSG00000008398","ENSMUSG00000008398")</f>
        <v>ENSMUSG00000008398</v>
      </c>
      <c r="I5962" s="7" t="str">
        <f>HYPERLINK("http://www.informatics.jax.org/marker/MGI:101762","MGI:101762")</f>
        <v>MGI:101762</v>
      </c>
      <c r="J5962" s="4" t="s">
        <v>12</v>
      </c>
    </row>
    <row r="5963" spans="1:10" x14ac:dyDescent="0.25">
      <c r="A5963" s="2">
        <v>1475.6307904858299</v>
      </c>
      <c r="B5963" s="3">
        <v>-0.48295914401346701</v>
      </c>
      <c r="C5963" s="5">
        <v>2.2065574638992001E-8</v>
      </c>
      <c r="D5963" s="6">
        <v>1.0602659158891901E-7</v>
      </c>
      <c r="E5963" s="3" t="s">
        <v>8225</v>
      </c>
      <c r="F5963" s="3" t="s">
        <v>8226</v>
      </c>
      <c r="G5963" s="3">
        <v>18029</v>
      </c>
      <c r="H5963" s="7" t="str">
        <f>HYPERLINK("http://www.ensembl.org/Mus_musculus/Gene/Summary?db=core;g=ENSMUSG00000055053","ENSMUSG00000055053")</f>
        <v>ENSMUSG00000055053</v>
      </c>
      <c r="I5963" s="7" t="str">
        <f>HYPERLINK("http://www.informatics.jax.org/marker/MGI:109591","MGI:109591")</f>
        <v>MGI:109591</v>
      </c>
      <c r="J5963" s="4" t="s">
        <v>12</v>
      </c>
    </row>
    <row r="5964" spans="1:10" x14ac:dyDescent="0.25">
      <c r="A5964" s="2">
        <v>353.51631521067299</v>
      </c>
      <c r="B5964" s="3">
        <v>-0.48334945332649798</v>
      </c>
      <c r="C5964" s="5">
        <v>4.9645644469698602E-8</v>
      </c>
      <c r="D5964" s="6">
        <v>2.30790218986906E-7</v>
      </c>
      <c r="E5964" s="3" t="s">
        <v>8501</v>
      </c>
      <c r="F5964" s="3" t="s">
        <v>8502</v>
      </c>
      <c r="G5964" s="3">
        <v>22658</v>
      </c>
      <c r="H5964" s="7" t="str">
        <f>HYPERLINK("http://www.ensembl.org/Mus_musculus/Gene/Summary?db=core;g=ENSMUSG00000018537","ENSMUSG00000018537")</f>
        <v>ENSMUSG00000018537</v>
      </c>
      <c r="I5964" s="7" t="str">
        <f>HYPERLINK("http://www.informatics.jax.org/marker/MGI:99161","MGI:99161")</f>
        <v>MGI:99161</v>
      </c>
      <c r="J5964" s="4" t="s">
        <v>12</v>
      </c>
    </row>
    <row r="5965" spans="1:10" x14ac:dyDescent="0.25">
      <c r="A5965" s="2">
        <v>310.62934465893898</v>
      </c>
      <c r="B5965" s="3">
        <v>-0.48367041156402502</v>
      </c>
      <c r="C5965" s="5">
        <v>6.3909768626019997E-10</v>
      </c>
      <c r="D5965" s="6">
        <v>3.47190258210775E-9</v>
      </c>
      <c r="E5965" s="3" t="s">
        <v>7278</v>
      </c>
      <c r="F5965" s="3" t="s">
        <v>7279</v>
      </c>
      <c r="G5965" s="3">
        <v>67027</v>
      </c>
      <c r="H5965" s="7" t="str">
        <f>HYPERLINK("http://www.ensembl.org/Mus_musculus/Gene/Summary?db=core;g=ENSMUSG00000000439","ENSMUSG00000000439")</f>
        <v>ENSMUSG00000000439</v>
      </c>
      <c r="I5965" s="7" t="str">
        <f>HYPERLINK("http://www.informatics.jax.org/marker/MGI:1914277","MGI:1914277")</f>
        <v>MGI:1914277</v>
      </c>
      <c r="J5965" s="4" t="s">
        <v>12</v>
      </c>
    </row>
    <row r="5966" spans="1:10" x14ac:dyDescent="0.25">
      <c r="A5966" s="2">
        <v>216.28749681459499</v>
      </c>
      <c r="B5966" s="3">
        <v>-0.48378380957863898</v>
      </c>
      <c r="C5966" s="5">
        <v>2.1375064821958102E-6</v>
      </c>
      <c r="D5966" s="6">
        <v>8.5726312444379602E-6</v>
      </c>
      <c r="E5966" s="3" t="s">
        <v>9849</v>
      </c>
      <c r="F5966" s="3" t="s">
        <v>9850</v>
      </c>
      <c r="G5966" s="3">
        <v>105377</v>
      </c>
      <c r="H5966" s="7" t="str">
        <f>HYPERLINK("http://www.ensembl.org/Mus_musculus/Gene/Summary?db=core;g=ENSMUSG00000021597","ENSMUSG00000021597")</f>
        <v>ENSMUSG00000021597</v>
      </c>
      <c r="I5966" s="7" t="str">
        <f>HYPERLINK("http://www.informatics.jax.org/marker/MGI:2145448","MGI:2145448")</f>
        <v>MGI:2145448</v>
      </c>
      <c r="J5966" s="4" t="s">
        <v>12</v>
      </c>
    </row>
    <row r="5967" spans="1:10" x14ac:dyDescent="0.25">
      <c r="A5967" s="2">
        <v>729.55401136001205</v>
      </c>
      <c r="B5967" s="3">
        <v>-0.484410123588909</v>
      </c>
      <c r="C5967" s="5">
        <v>4.6560031503175903E-17</v>
      </c>
      <c r="D5967" s="6">
        <v>3.9816297538708902E-16</v>
      </c>
      <c r="E5967" s="3" t="s">
        <v>4629</v>
      </c>
      <c r="F5967" s="3" t="s">
        <v>4630</v>
      </c>
      <c r="G5967" s="3">
        <v>12418</v>
      </c>
      <c r="H5967" s="7" t="str">
        <f>HYPERLINK("http://www.ensembl.org/Mus_musculus/Gene/Summary?db=core;g=ENSMUSG00000039989","ENSMUSG00000039989")</f>
        <v>ENSMUSG00000039989</v>
      </c>
      <c r="I5967" s="7" t="str">
        <f>HYPERLINK("http://www.informatics.jax.org/marker/MGI:1195985","MGI:1195985")</f>
        <v>MGI:1195985</v>
      </c>
      <c r="J5967" s="4" t="s">
        <v>12</v>
      </c>
    </row>
    <row r="5968" spans="1:10" x14ac:dyDescent="0.25">
      <c r="A5968" s="2">
        <v>488.46129119047498</v>
      </c>
      <c r="B5968" s="3">
        <v>-0.48451783147060401</v>
      </c>
      <c r="C5968" s="5">
        <v>1.94002025159451E-12</v>
      </c>
      <c r="D5968" s="6">
        <v>1.27993306662575E-11</v>
      </c>
      <c r="E5968" s="3" t="s">
        <v>5995</v>
      </c>
      <c r="F5968" s="3" t="s">
        <v>5996</v>
      </c>
      <c r="G5968" s="3">
        <v>75669</v>
      </c>
      <c r="H5968" s="7" t="str">
        <f>HYPERLINK("http://www.ensembl.org/Mus_musculus/Gene/Summary?db=core;g=ENSMUSG00000032571","ENSMUSG00000032571")</f>
        <v>ENSMUSG00000032571</v>
      </c>
      <c r="I5968" s="7" t="str">
        <f>HYPERLINK("http://www.informatics.jax.org/marker/MGI:1922919","MGI:1922919")</f>
        <v>MGI:1922919</v>
      </c>
      <c r="J5968" s="4" t="s">
        <v>12</v>
      </c>
    </row>
    <row r="5969" spans="1:10" x14ac:dyDescent="0.25">
      <c r="A5969" s="2">
        <v>531.96800823332501</v>
      </c>
      <c r="B5969" s="3">
        <v>-0.48460473412032201</v>
      </c>
      <c r="C5969" s="5">
        <v>6.1841901506274297E-10</v>
      </c>
      <c r="D5969" s="6">
        <v>3.36791576278302E-9</v>
      </c>
      <c r="E5969" s="3" t="s">
        <v>7260</v>
      </c>
      <c r="F5969" s="3" t="s">
        <v>7261</v>
      </c>
      <c r="G5969" s="3">
        <v>320817</v>
      </c>
      <c r="H5969" s="7" t="str">
        <f>HYPERLINK("http://www.ensembl.org/Mus_musculus/Gene/Summary?db=core;g=ENSMUSG00000052812","ENSMUSG00000052812")</f>
        <v>ENSMUSG00000052812</v>
      </c>
      <c r="I5969" s="7" t="str">
        <f>HYPERLINK("http://www.informatics.jax.org/marker/MGI:2444798","MGI:2444798")</f>
        <v>MGI:2444798</v>
      </c>
      <c r="J5969" s="4" t="s">
        <v>12</v>
      </c>
    </row>
    <row r="5970" spans="1:10" x14ac:dyDescent="0.25">
      <c r="A5970" s="2">
        <v>1203.13778977212</v>
      </c>
      <c r="B5970" s="3">
        <v>-0.48471199271807103</v>
      </c>
      <c r="C5970" s="5">
        <v>4.5797612036576698E-19</v>
      </c>
      <c r="D5970" s="6">
        <v>4.3671610704124401E-18</v>
      </c>
      <c r="E5970" s="3" t="s">
        <v>4153</v>
      </c>
      <c r="F5970" s="3" t="s">
        <v>4154</v>
      </c>
      <c r="G5970" s="3">
        <v>18108</v>
      </c>
      <c r="H5970" s="7" t="str">
        <f>HYPERLINK("http://www.ensembl.org/Mus_musculus/Gene/Summary?db=core;g=ENSMUSG00000026643","ENSMUSG00000026643")</f>
        <v>ENSMUSG00000026643</v>
      </c>
      <c r="I5970" s="7" t="str">
        <f>HYPERLINK("http://www.informatics.jax.org/marker/MGI:1202298","MGI:1202298")</f>
        <v>MGI:1202298</v>
      </c>
      <c r="J5970" s="4" t="s">
        <v>12</v>
      </c>
    </row>
    <row r="5971" spans="1:10" x14ac:dyDescent="0.25">
      <c r="A5971" s="2">
        <v>716.44852977178198</v>
      </c>
      <c r="B5971" s="3">
        <v>-0.48534502462878798</v>
      </c>
      <c r="C5971" s="5">
        <v>3.7684122529778801E-14</v>
      </c>
      <c r="D5971" s="6">
        <v>2.7523366529157E-13</v>
      </c>
      <c r="E5971" s="3" t="s">
        <v>5417</v>
      </c>
      <c r="F5971" s="3" t="s">
        <v>5418</v>
      </c>
      <c r="G5971" s="3">
        <v>54151</v>
      </c>
      <c r="H5971" s="7" t="str">
        <f>HYPERLINK("http://www.ensembl.org/Mus_musculus/Gene/Summary?db=core;g=ENSMUSG00000053929","ENSMUSG00000053929")</f>
        <v>ENSMUSG00000053929</v>
      </c>
      <c r="I5971" s="7" t="str">
        <f>HYPERLINK("http://www.informatics.jax.org/marker/MGI:1859320","MGI:1859320")</f>
        <v>MGI:1859320</v>
      </c>
      <c r="J5971" s="4" t="s">
        <v>12</v>
      </c>
    </row>
    <row r="5972" spans="1:10" x14ac:dyDescent="0.25">
      <c r="A5972" s="2">
        <v>531.94818208673098</v>
      </c>
      <c r="B5972" s="3">
        <v>-0.485362692363071</v>
      </c>
      <c r="C5972" s="5">
        <v>1.13203659309103E-7</v>
      </c>
      <c r="D5972" s="6">
        <v>5.1107512856582304E-7</v>
      </c>
      <c r="E5972" s="3" t="s">
        <v>8753</v>
      </c>
      <c r="F5972" s="3" t="s">
        <v>8754</v>
      </c>
      <c r="G5972" s="3">
        <v>65103</v>
      </c>
      <c r="H5972" s="7" t="str">
        <f>HYPERLINK("http://www.ensembl.org/Mus_musculus/Gene/Summary?db=core;g=ENSMUSG00000026960","ENSMUSG00000026960")</f>
        <v>ENSMUSG00000026960</v>
      </c>
      <c r="I5972" s="7" t="str">
        <f>HYPERLINK("http://www.informatics.jax.org/marker/MGI:1929507","MGI:1929507")</f>
        <v>MGI:1929507</v>
      </c>
      <c r="J5972" s="4" t="s">
        <v>12</v>
      </c>
    </row>
    <row r="5973" spans="1:10" x14ac:dyDescent="0.25">
      <c r="A5973" s="2">
        <v>127.125845565749</v>
      </c>
      <c r="B5973" s="3">
        <v>-0.48591414902263302</v>
      </c>
      <c r="C5973" s="5">
        <v>3.8009279181918599E-6</v>
      </c>
      <c r="D5973" s="6">
        <v>1.4848315876930201E-5</v>
      </c>
      <c r="E5973" s="3" t="s">
        <v>10112</v>
      </c>
      <c r="F5973" s="3" t="s">
        <v>10113</v>
      </c>
      <c r="G5973" s="3">
        <v>11797</v>
      </c>
      <c r="H5973" s="7" t="str">
        <f>HYPERLINK("http://www.ensembl.org/Mus_musculus/Gene/Summary?db=core;g=ENSMUSG00000057367","ENSMUSG00000057367")</f>
        <v>ENSMUSG00000057367</v>
      </c>
      <c r="I5973" s="7" t="str">
        <f>HYPERLINK("http://www.informatics.jax.org/marker/MGI:1197009","MGI:1197009")</f>
        <v>MGI:1197009</v>
      </c>
      <c r="J5973" s="4" t="s">
        <v>12</v>
      </c>
    </row>
    <row r="5974" spans="1:10" x14ac:dyDescent="0.25">
      <c r="A5974" s="2">
        <v>2612.2939155481499</v>
      </c>
      <c r="B5974" s="3">
        <v>-0.48611651925364002</v>
      </c>
      <c r="C5974" s="5">
        <v>7.0343999033511905E-11</v>
      </c>
      <c r="D5974" s="6">
        <v>4.1248399076445302E-10</v>
      </c>
      <c r="E5974" s="3" t="s">
        <v>6744</v>
      </c>
      <c r="F5974" s="3" t="s">
        <v>6745</v>
      </c>
      <c r="G5974" s="3">
        <v>170762</v>
      </c>
      <c r="H5974" s="7" t="str">
        <f>HYPERLINK("http://www.ensembl.org/Mus_musculus/Gene/Summary?db=core;g=ENSMUSG00000022142","ENSMUSG00000022142")</f>
        <v>ENSMUSG00000022142</v>
      </c>
      <c r="I5974" s="7" t="str">
        <f>HYPERLINK("http://www.informatics.jax.org/marker/MGI:2181182","MGI:2181182")</f>
        <v>MGI:2181182</v>
      </c>
      <c r="J5974" s="4" t="s">
        <v>12</v>
      </c>
    </row>
    <row r="5975" spans="1:10" x14ac:dyDescent="0.25">
      <c r="A5975" s="2">
        <v>1551.29981477358</v>
      </c>
      <c r="B5975" s="3">
        <v>-0.48653628499167501</v>
      </c>
      <c r="C5975" s="5">
        <v>1.04573301658409E-13</v>
      </c>
      <c r="D5975" s="6">
        <v>7.46087376520921E-13</v>
      </c>
      <c r="E5975" s="3" t="s">
        <v>5545</v>
      </c>
      <c r="F5975" s="3" t="s">
        <v>5546</v>
      </c>
      <c r="G5975" s="3">
        <v>77065</v>
      </c>
      <c r="H5975" s="7" t="str">
        <f>HYPERLINK("http://www.ensembl.org/Mus_musculus/Gene/Summary?db=core;g=ENSMUSG00000037461","ENSMUSG00000037461")</f>
        <v>ENSMUSG00000037461</v>
      </c>
      <c r="I5975" s="7" t="str">
        <f>HYPERLINK("http://www.informatics.jax.org/marker/MGI:1924315","MGI:1924315")</f>
        <v>MGI:1924315</v>
      </c>
      <c r="J5975" s="4" t="s">
        <v>12</v>
      </c>
    </row>
    <row r="5976" spans="1:10" x14ac:dyDescent="0.25">
      <c r="A5976" s="2">
        <v>1284.39785767328</v>
      </c>
      <c r="B5976" s="3">
        <v>-0.48699591904244899</v>
      </c>
      <c r="C5976" s="5">
        <v>3.7850825078044298E-18</v>
      </c>
      <c r="D5976" s="6">
        <v>3.4381311402074302E-17</v>
      </c>
      <c r="E5976" s="3" t="s">
        <v>4359</v>
      </c>
      <c r="F5976" s="3" t="s">
        <v>4360</v>
      </c>
      <c r="G5976" s="3">
        <v>21770</v>
      </c>
      <c r="H5976" s="7" t="str">
        <f>HYPERLINK("http://www.ensembl.org/Mus_musculus/Gene/Summary?db=core;g=ENSMUSG00000059409","ENSMUSG00000059409")</f>
        <v>ENSMUSG00000059409</v>
      </c>
      <c r="I5976" s="7" t="str">
        <f>HYPERLINK("http://www.informatics.jax.org/marker/MGI:2388481","MGI:2388481")</f>
        <v>MGI:2388481</v>
      </c>
      <c r="J5976" s="4" t="s">
        <v>12</v>
      </c>
    </row>
    <row r="5977" spans="1:10" x14ac:dyDescent="0.25">
      <c r="A5977" s="2">
        <v>150.667682422338</v>
      </c>
      <c r="B5977" s="3">
        <v>-0.48714275400296603</v>
      </c>
      <c r="C5977" s="5">
        <v>5.6500556623311397E-6</v>
      </c>
      <c r="D5977" s="6">
        <v>2.1706428533249601E-5</v>
      </c>
      <c r="E5977" s="3" t="s">
        <v>10280</v>
      </c>
      <c r="F5977" s="3" t="s">
        <v>10281</v>
      </c>
      <c r="G5977" s="3">
        <v>72635</v>
      </c>
      <c r="H5977" s="7" t="str">
        <f>HYPERLINK("http://www.ensembl.org/Mus_musculus/Gene/Summary?db=core;g=ENSMUSG00000053091","ENSMUSG00000053091")</f>
        <v>ENSMUSG00000053091</v>
      </c>
      <c r="I5977" s="7" t="str">
        <f>HYPERLINK("http://www.informatics.jax.org/marker/MGI:1919885","MGI:1919885")</f>
        <v>MGI:1919885</v>
      </c>
      <c r="J5977" s="4" t="s">
        <v>12</v>
      </c>
    </row>
    <row r="5978" spans="1:10" x14ac:dyDescent="0.25">
      <c r="A5978" s="2">
        <v>256.49841870830102</v>
      </c>
      <c r="B5978" s="3">
        <v>-0.48727092792311499</v>
      </c>
      <c r="C5978" s="5">
        <v>1.14942555512032E-9</v>
      </c>
      <c r="D5978" s="6">
        <v>6.1394019357997304E-9</v>
      </c>
      <c r="E5978" s="3" t="s">
        <v>7402</v>
      </c>
      <c r="F5978" s="3" t="s">
        <v>7403</v>
      </c>
      <c r="G5978" s="3">
        <v>68463</v>
      </c>
      <c r="H5978" s="7" t="str">
        <f>HYPERLINK("http://www.ensembl.org/Mus_musculus/Gene/Summary?db=core;g=ENSMUSG00000023939","ENSMUSG00000023939")</f>
        <v>ENSMUSG00000023939</v>
      </c>
      <c r="I5978" s="7" t="str">
        <f>HYPERLINK("http://www.informatics.jax.org/marker/MGI:1333864","MGI:1333864")</f>
        <v>MGI:1333864</v>
      </c>
      <c r="J5978" s="4" t="s">
        <v>12</v>
      </c>
    </row>
    <row r="5979" spans="1:10" x14ac:dyDescent="0.25">
      <c r="A5979" s="2">
        <v>227.16060693436299</v>
      </c>
      <c r="B5979" s="3">
        <v>-0.48729407028329502</v>
      </c>
      <c r="C5979" s="3">
        <v>1.3014400479744999E-4</v>
      </c>
      <c r="D5979" s="4">
        <v>4.3235171405082903E-4</v>
      </c>
      <c r="E5979" s="3" t="s">
        <v>11883</v>
      </c>
      <c r="F5979" s="3" t="s">
        <v>11884</v>
      </c>
      <c r="G5979" s="3">
        <v>19719</v>
      </c>
      <c r="H5979" s="7" t="str">
        <f>HYPERLINK("http://www.ensembl.org/Mus_musculus/Gene/Summary?db=core;g=ENSMUSG00000025158","ENSMUSG00000025158")</f>
        <v>ENSMUSG00000025158</v>
      </c>
      <c r="I5979" s="7" t="str">
        <f>HYPERLINK("http://www.informatics.jax.org/marker/MGI:894275","MGI:894275")</f>
        <v>MGI:894275</v>
      </c>
      <c r="J5979" s="4" t="s">
        <v>12</v>
      </c>
    </row>
    <row r="5980" spans="1:10" x14ac:dyDescent="0.25">
      <c r="A5980" s="2">
        <v>339.08878667101402</v>
      </c>
      <c r="B5980" s="3">
        <v>-0.487349633634313</v>
      </c>
      <c r="C5980" s="5">
        <v>6.2811571907537302E-10</v>
      </c>
      <c r="D5980" s="6">
        <v>3.4150653377905598E-9</v>
      </c>
      <c r="E5980" s="3" t="s">
        <v>7272</v>
      </c>
      <c r="F5980" s="3" t="s">
        <v>7273</v>
      </c>
      <c r="G5980" s="3">
        <v>68276</v>
      </c>
      <c r="H5980" s="7" t="str">
        <f>HYPERLINK("http://www.ensembl.org/Mus_musculus/Gene/Summary?db=core;g=ENSMUSG00000028688","ENSMUSG00000028688")</f>
        <v>ENSMUSG00000028688</v>
      </c>
      <c r="I5980" s="7" t="str">
        <f>HYPERLINK("http://www.informatics.jax.org/marker/MGI:1915526","MGI:1915526")</f>
        <v>MGI:1915526</v>
      </c>
      <c r="J5980" s="4" t="s">
        <v>12</v>
      </c>
    </row>
    <row r="5981" spans="1:10" x14ac:dyDescent="0.25">
      <c r="A5981" s="2">
        <v>2158.1906720725501</v>
      </c>
      <c r="B5981" s="3">
        <v>-0.48745363013602599</v>
      </c>
      <c r="C5981" s="5">
        <v>7.6793465652344995E-11</v>
      </c>
      <c r="D5981" s="6">
        <v>4.49100576116323E-10</v>
      </c>
      <c r="E5981" s="3" t="s">
        <v>6762</v>
      </c>
      <c r="F5981" s="3" t="s">
        <v>6763</v>
      </c>
      <c r="G5981" s="3">
        <v>18707</v>
      </c>
      <c r="H5981" s="7" t="str">
        <f>HYPERLINK("http://www.ensembl.org/Mus_musculus/Gene/Summary?db=core;g=ENSMUSG00000039936","ENSMUSG00000039936")</f>
        <v>ENSMUSG00000039936</v>
      </c>
      <c r="I5981" s="7" t="str">
        <f>HYPERLINK("http://www.informatics.jax.org/marker/MGI:1098211","MGI:1098211")</f>
        <v>MGI:1098211</v>
      </c>
      <c r="J5981" s="4" t="s">
        <v>12</v>
      </c>
    </row>
    <row r="5982" spans="1:10" x14ac:dyDescent="0.25">
      <c r="A5982" s="2">
        <v>301.450464508236</v>
      </c>
      <c r="B5982" s="3">
        <v>-0.48755320441124</v>
      </c>
      <c r="C5982" s="3">
        <v>1.39905864675304E-4</v>
      </c>
      <c r="D5982" s="4">
        <v>4.6306539969738199E-4</v>
      </c>
      <c r="E5982" s="3" t="s">
        <v>11927</v>
      </c>
      <c r="F5982" s="3" t="s">
        <v>11928</v>
      </c>
      <c r="G5982" s="3">
        <v>66140</v>
      </c>
      <c r="H5982" s="7" t="str">
        <f>HYPERLINK("http://www.ensembl.org/Mus_musculus/Gene/Summary?db=core;g=ENSMUSG00000020492","ENSMUSG00000020492")</f>
        <v>ENSMUSG00000020492</v>
      </c>
      <c r="I5982" s="7" t="str">
        <f>HYPERLINK("http://www.informatics.jax.org/marker/MGI:1913390","MGI:1913390")</f>
        <v>MGI:1913390</v>
      </c>
      <c r="J5982" s="4" t="s">
        <v>12</v>
      </c>
    </row>
    <row r="5983" spans="1:10" x14ac:dyDescent="0.25">
      <c r="A5983" s="2">
        <v>287.79542994645101</v>
      </c>
      <c r="B5983" s="3">
        <v>-0.48766143376663301</v>
      </c>
      <c r="C5983" s="5">
        <v>3.2078075187649501E-8</v>
      </c>
      <c r="D5983" s="6">
        <v>1.5166138640624499E-7</v>
      </c>
      <c r="E5983" s="3" t="s">
        <v>8359</v>
      </c>
      <c r="F5983" s="3" t="s">
        <v>8360</v>
      </c>
      <c r="G5983" s="3">
        <v>106821</v>
      </c>
      <c r="H5983" s="7" t="str">
        <f>HYPERLINK("http://www.ensembl.org/Mus_musculus/Gene/Summary?db=core;g=ENSMUSG00000040771","ENSMUSG00000040771")</f>
        <v>ENSMUSG00000040771</v>
      </c>
      <c r="I5983" s="7" t="str">
        <f>HYPERLINK("http://www.informatics.jax.org/marker/MGI:2146818","MGI:2146818")</f>
        <v>MGI:2146818</v>
      </c>
      <c r="J5983" s="4" t="s">
        <v>12</v>
      </c>
    </row>
    <row r="5984" spans="1:10" x14ac:dyDescent="0.25">
      <c r="A5984" s="2">
        <v>120.04812932594</v>
      </c>
      <c r="B5984" s="3">
        <v>-0.48790436409010901</v>
      </c>
      <c r="C5984" s="3">
        <v>5.4251828101089397E-3</v>
      </c>
      <c r="D5984" s="4">
        <v>1.42456198422568E-2</v>
      </c>
      <c r="E5984" s="3" t="s">
        <v>15024</v>
      </c>
      <c r="F5984" s="3" t="s">
        <v>15025</v>
      </c>
      <c r="G5984" s="3">
        <v>70458</v>
      </c>
      <c r="H5984" s="7" t="str">
        <f>HYPERLINK("http://www.ensembl.org/Mus_musculus/Gene/Summary?db=core;g=ENSMUSG00000049916","ENSMUSG00000049916")</f>
        <v>ENSMUSG00000049916</v>
      </c>
      <c r="I5984" s="7" t="str">
        <f>HYPERLINK("http://www.informatics.jax.org/marker/MGI:1917708","MGI:1917708")</f>
        <v>MGI:1917708</v>
      </c>
      <c r="J5984" s="4" t="s">
        <v>12</v>
      </c>
    </row>
    <row r="5985" spans="1:10" x14ac:dyDescent="0.25">
      <c r="A5985" s="2">
        <v>33.412789804588598</v>
      </c>
      <c r="B5985" s="3">
        <v>-0.48831013454529798</v>
      </c>
      <c r="C5985" s="3">
        <v>1.2378953722728601E-2</v>
      </c>
      <c r="D5985" s="4">
        <v>3.0212000917352499E-2</v>
      </c>
      <c r="E5985" s="3" t="s">
        <v>16165</v>
      </c>
      <c r="F5985" s="3" t="s">
        <v>16166</v>
      </c>
      <c r="G5985" s="3">
        <v>434233</v>
      </c>
      <c r="H5985" s="7" t="str">
        <f>HYPERLINK("http://www.ensembl.org/Mus_musculus/Gene/Summary?db=core;g=ENSMUSG00000100153","ENSMUSG00000100153")</f>
        <v>ENSMUSG00000100153</v>
      </c>
      <c r="I5985" s="7" t="str">
        <f>HYPERLINK("http://www.informatics.jax.org/marker/MGI:3647492","MGI:3647492")</f>
        <v>MGI:3647492</v>
      </c>
      <c r="J5985" s="4" t="s">
        <v>5705</v>
      </c>
    </row>
    <row r="5986" spans="1:10" x14ac:dyDescent="0.25">
      <c r="A5986" s="2">
        <v>261.34033420567403</v>
      </c>
      <c r="B5986" s="3">
        <v>-0.48838606612969399</v>
      </c>
      <c r="C5986" s="5">
        <v>8.1034789431658895E-8</v>
      </c>
      <c r="D5986" s="6">
        <v>3.6982320009079201E-7</v>
      </c>
      <c r="E5986" s="3" t="s">
        <v>8659</v>
      </c>
      <c r="F5986" s="3" t="s">
        <v>8660</v>
      </c>
      <c r="G5986" s="3">
        <v>226352</v>
      </c>
      <c r="H5986" s="7" t="str">
        <f>HYPERLINK("http://www.ensembl.org/Mus_musculus/Gene/Summary?db=core;g=ENSMUSG00000026383","ENSMUSG00000026383")</f>
        <v>ENSMUSG00000026383</v>
      </c>
      <c r="I5986" s="7" t="str">
        <f>HYPERLINK("http://www.informatics.jax.org/marker/MGI:103006","MGI:103006")</f>
        <v>MGI:103006</v>
      </c>
      <c r="J5986" s="4" t="s">
        <v>12</v>
      </c>
    </row>
    <row r="5987" spans="1:10" x14ac:dyDescent="0.25">
      <c r="A5987" s="2">
        <v>3143.8933718673802</v>
      </c>
      <c r="B5987" s="3">
        <v>-0.48858877500424303</v>
      </c>
      <c r="C5987" s="5">
        <v>3.7988986446307302E-12</v>
      </c>
      <c r="D5987" s="6">
        <v>2.4610473479670901E-11</v>
      </c>
      <c r="E5987" s="3" t="s">
        <v>6105</v>
      </c>
      <c r="F5987" s="3" t="s">
        <v>6106</v>
      </c>
      <c r="G5987" s="3">
        <v>17449</v>
      </c>
      <c r="H5987" s="7" t="str">
        <f>HYPERLINK("http://www.ensembl.org/Mus_musculus/Gene/Summary?db=core;g=ENSMUSG00000020321","ENSMUSG00000020321")</f>
        <v>ENSMUSG00000020321</v>
      </c>
      <c r="I5987" s="7" t="str">
        <f>HYPERLINK("http://www.informatics.jax.org/marker/MGI:97051","MGI:97051")</f>
        <v>MGI:97051</v>
      </c>
      <c r="J5987" s="4" t="s">
        <v>12</v>
      </c>
    </row>
    <row r="5988" spans="1:10" x14ac:dyDescent="0.25">
      <c r="A5988" s="2">
        <v>2901.2473033145402</v>
      </c>
      <c r="B5988" s="3">
        <v>-0.48859982205088398</v>
      </c>
      <c r="C5988" s="5">
        <v>1.87748880406839E-11</v>
      </c>
      <c r="D5988" s="6">
        <v>1.1526799257854499E-10</v>
      </c>
      <c r="E5988" s="3" t="s">
        <v>6441</v>
      </c>
      <c r="F5988" s="3" t="s">
        <v>6442</v>
      </c>
      <c r="G5988" s="3">
        <v>54725</v>
      </c>
      <c r="H5988" s="7" t="str">
        <f>HYPERLINK("http://www.ensembl.org/Mus_musculus/Gene/Summary?db=core;g=ENSMUSG00000032076","ENSMUSG00000032076")</f>
        <v>ENSMUSG00000032076</v>
      </c>
      <c r="I5988" s="7" t="str">
        <f>HYPERLINK("http://www.informatics.jax.org/marker/MGI:1889272","MGI:1889272")</f>
        <v>MGI:1889272</v>
      </c>
      <c r="J5988" s="4" t="s">
        <v>12</v>
      </c>
    </row>
    <row r="5989" spans="1:10" x14ac:dyDescent="0.25">
      <c r="A5989" s="2">
        <v>309.52132822234501</v>
      </c>
      <c r="B5989" s="3">
        <v>-0.488703603560389</v>
      </c>
      <c r="C5989" s="5">
        <v>1.2288354914126499E-10</v>
      </c>
      <c r="D5989" s="6">
        <v>7.1021793348937604E-10</v>
      </c>
      <c r="E5989" s="3" t="s">
        <v>6842</v>
      </c>
      <c r="F5989" s="3" t="s">
        <v>6843</v>
      </c>
      <c r="G5989" s="3">
        <v>67667</v>
      </c>
      <c r="H5989" s="7" t="str">
        <f>HYPERLINK("http://www.ensembl.org/Mus_musculus/Gene/Summary?db=core;g=ENSMUSG00000025899","ENSMUSG00000025899")</f>
        <v>ENSMUSG00000025899</v>
      </c>
      <c r="I5989" s="7" t="str">
        <f>HYPERLINK("http://www.informatics.jax.org/marker/MGI:1914917","MGI:1914917")</f>
        <v>MGI:1914917</v>
      </c>
      <c r="J5989" s="4" t="s">
        <v>12</v>
      </c>
    </row>
    <row r="5990" spans="1:10" x14ac:dyDescent="0.25">
      <c r="A5990" s="2">
        <v>2276.3033054153502</v>
      </c>
      <c r="B5990" s="3">
        <v>-0.48875128781923299</v>
      </c>
      <c r="C5990" s="5">
        <v>1.06430904233649E-7</v>
      </c>
      <c r="D5990" s="6">
        <v>4.8171159777084097E-7</v>
      </c>
      <c r="E5990" s="3" t="s">
        <v>8731</v>
      </c>
      <c r="F5990" s="3" t="s">
        <v>8732</v>
      </c>
      <c r="G5990" s="3">
        <v>18080</v>
      </c>
      <c r="H5990" s="7" t="str">
        <f>HYPERLINK("http://www.ensembl.org/Mus_musculus/Gene/Summary?db=core;g=ENSMUSG00000021068","ENSMUSG00000021068")</f>
        <v>ENSMUSG00000021068</v>
      </c>
      <c r="I5990" s="7" t="str">
        <f>HYPERLINK("http://www.informatics.jax.org/marker/MGI:105108","MGI:105108")</f>
        <v>MGI:105108</v>
      </c>
      <c r="J5990" s="4" t="s">
        <v>12</v>
      </c>
    </row>
    <row r="5991" spans="1:10" x14ac:dyDescent="0.25">
      <c r="A5991" s="2">
        <v>277.77508960058901</v>
      </c>
      <c r="B5991" s="3">
        <v>-0.48882919222299998</v>
      </c>
      <c r="C5991" s="5">
        <v>2.4182365862675601E-5</v>
      </c>
      <c r="D5991" s="6">
        <v>8.7180302525038795E-5</v>
      </c>
      <c r="E5991" s="3" t="s">
        <v>10952</v>
      </c>
      <c r="F5991" s="3" t="s">
        <v>10953</v>
      </c>
      <c r="G5991" s="3">
        <v>192197</v>
      </c>
      <c r="H5991" s="7" t="str">
        <f>HYPERLINK("http://www.ensembl.org/Mus_musculus/Gene/Summary?db=core;g=ENSMUSG00000059439","ENSMUSG00000059439")</f>
        <v>ENSMUSG00000059439</v>
      </c>
      <c r="I5991" s="7" t="str">
        <f>HYPERLINK("http://www.informatics.jax.org/marker/MGI:2385848","MGI:2385848")</f>
        <v>MGI:2385848</v>
      </c>
      <c r="J5991" s="4" t="s">
        <v>12</v>
      </c>
    </row>
    <row r="5992" spans="1:10" x14ac:dyDescent="0.25">
      <c r="A5992" s="2">
        <v>249.702851377022</v>
      </c>
      <c r="B5992" s="3">
        <v>-0.48894817572406302</v>
      </c>
      <c r="C5992" s="5">
        <v>2.2886279370865899E-7</v>
      </c>
      <c r="D5992" s="6">
        <v>1.0092071314702099E-6</v>
      </c>
      <c r="E5992" s="3" t="s">
        <v>8961</v>
      </c>
      <c r="F5992" s="3" t="s">
        <v>8962</v>
      </c>
      <c r="G5992" s="3">
        <v>12972</v>
      </c>
      <c r="H5992" s="7" t="str">
        <f>HYPERLINK("http://www.ensembl.org/Mus_musculus/Gene/Summary?db=core;g=ENSMUSG00000028199","ENSMUSG00000028199")</f>
        <v>ENSMUSG00000028199</v>
      </c>
      <c r="I5992" s="7" t="str">
        <f>HYPERLINK("http://www.informatics.jax.org/marker/MGI:88527","MGI:88527")</f>
        <v>MGI:88527</v>
      </c>
      <c r="J5992" s="4" t="s">
        <v>12</v>
      </c>
    </row>
    <row r="5993" spans="1:10" x14ac:dyDescent="0.25">
      <c r="A5993" s="2">
        <v>640.07078753936901</v>
      </c>
      <c r="B5993" s="3">
        <v>-0.48915113855065401</v>
      </c>
      <c r="C5993" s="5">
        <v>3.3265699483016201E-10</v>
      </c>
      <c r="D5993" s="6">
        <v>1.85415374167631E-9</v>
      </c>
      <c r="E5993" s="3" t="s">
        <v>7094</v>
      </c>
      <c r="F5993" s="3" t="s">
        <v>7095</v>
      </c>
      <c r="G5993" s="3">
        <v>12417</v>
      </c>
      <c r="H5993" s="7" t="str">
        <f>HYPERLINK("http://www.ensembl.org/Mus_musculus/Gene/Summary?db=core;g=ENSMUSG00000029836","ENSMUSG00000029836")</f>
        <v>ENSMUSG00000029836</v>
      </c>
      <c r="I5993" s="7" t="str">
        <f>HYPERLINK("http://www.informatics.jax.org/marker/MGI:108515","MGI:108515")</f>
        <v>MGI:108515</v>
      </c>
      <c r="J5993" s="4" t="s">
        <v>12</v>
      </c>
    </row>
    <row r="5994" spans="1:10" x14ac:dyDescent="0.25">
      <c r="A5994" s="2">
        <v>2154.26886953024</v>
      </c>
      <c r="B5994" s="3">
        <v>-0.48915790016800598</v>
      </c>
      <c r="C5994" s="5">
        <v>4.4429642945340401E-20</v>
      </c>
      <c r="D5994" s="6">
        <v>4.4205477239259004E-19</v>
      </c>
      <c r="E5994" s="3" t="s">
        <v>3982</v>
      </c>
      <c r="F5994" s="3" t="s">
        <v>3983</v>
      </c>
      <c r="G5994" s="3">
        <v>71833</v>
      </c>
      <c r="H5994" s="7" t="str">
        <f>HYPERLINK("http://www.ensembl.org/Mus_musculus/Gene/Summary?db=core;g=ENSMUSG00000049354","ENSMUSG00000049354")</f>
        <v>ENSMUSG00000049354</v>
      </c>
      <c r="I5994" s="7" t="str">
        <f>HYPERLINK("http://www.informatics.jax.org/marker/MGI:1919083","MGI:1919083")</f>
        <v>MGI:1919083</v>
      </c>
      <c r="J5994" s="4" t="s">
        <v>12</v>
      </c>
    </row>
    <row r="5995" spans="1:10" x14ac:dyDescent="0.25">
      <c r="A5995" s="2">
        <v>1044.9076833113299</v>
      </c>
      <c r="B5995" s="3">
        <v>-0.489180825022757</v>
      </c>
      <c r="C5995" s="5">
        <v>5.0903714801434195E-7</v>
      </c>
      <c r="D5995" s="6">
        <v>2.1699551575535702E-6</v>
      </c>
      <c r="E5995" s="3" t="s">
        <v>9267</v>
      </c>
      <c r="F5995" s="3" t="s">
        <v>9268</v>
      </c>
      <c r="G5995" s="3">
        <v>11920</v>
      </c>
      <c r="H5995" s="7" t="str">
        <f>HYPERLINK("http://www.ensembl.org/Mus_musculus/Gene/Summary?db=core;g=ENSMUSG00000034218","ENSMUSG00000034218")</f>
        <v>ENSMUSG00000034218</v>
      </c>
      <c r="I5995" s="7" t="str">
        <f>HYPERLINK("http://www.informatics.jax.org/marker/MGI:107202","MGI:107202")</f>
        <v>MGI:107202</v>
      </c>
      <c r="J5995" s="4" t="s">
        <v>12</v>
      </c>
    </row>
    <row r="5996" spans="1:10" x14ac:dyDescent="0.25">
      <c r="A5996" s="2">
        <v>1003.17289415306</v>
      </c>
      <c r="B5996" s="3">
        <v>-0.48951703289121101</v>
      </c>
      <c r="C5996" s="5">
        <v>2.73257361480324E-10</v>
      </c>
      <c r="D5996" s="6">
        <v>1.53391265823854E-9</v>
      </c>
      <c r="E5996" s="3" t="s">
        <v>7044</v>
      </c>
      <c r="F5996" s="3" t="s">
        <v>7045</v>
      </c>
      <c r="G5996" s="3">
        <v>69554</v>
      </c>
      <c r="H5996" s="7" t="str">
        <f>HYPERLINK("http://www.ensembl.org/Mus_musculus/Gene/Summary?db=core;g=ENSMUSG00000020978","ENSMUSG00000020978")</f>
        <v>ENSMUSG00000020978</v>
      </c>
      <c r="I5996" s="7" t="str">
        <f>HYPERLINK("http://www.informatics.jax.org/marker/MGI:1916804","MGI:1916804")</f>
        <v>MGI:1916804</v>
      </c>
      <c r="J5996" s="4" t="s">
        <v>12</v>
      </c>
    </row>
    <row r="5997" spans="1:10" x14ac:dyDescent="0.25">
      <c r="A5997" s="2">
        <v>337.93083613755499</v>
      </c>
      <c r="B5997" s="3">
        <v>-0.49004214413872699</v>
      </c>
      <c r="C5997" s="5">
        <v>2.28040540025591E-10</v>
      </c>
      <c r="D5997" s="6">
        <v>1.2888963741199901E-9</v>
      </c>
      <c r="E5997" s="3" t="s">
        <v>6996</v>
      </c>
      <c r="F5997" s="3" t="s">
        <v>6997</v>
      </c>
      <c r="G5997" s="3">
        <v>353282</v>
      </c>
      <c r="H5997" s="7" t="str">
        <f>HYPERLINK("http://www.ensembl.org/Mus_musculus/Gene/Summary?db=core;g=ENSMUSG00000061186","ENSMUSG00000061186")</f>
        <v>ENSMUSG00000061186</v>
      </c>
      <c r="I5997" s="7" t="str">
        <f>HYPERLINK("http://www.informatics.jax.org/marker/MGI:2447794","MGI:2447794")</f>
        <v>MGI:2447794</v>
      </c>
      <c r="J5997" s="4" t="s">
        <v>12</v>
      </c>
    </row>
    <row r="5998" spans="1:10" x14ac:dyDescent="0.25">
      <c r="A5998" s="2">
        <v>322.11165731910597</v>
      </c>
      <c r="B5998" s="3">
        <v>-0.49004779417678901</v>
      </c>
      <c r="C5998" s="5">
        <v>5.3820030377138096E-10</v>
      </c>
      <c r="D5998" s="6">
        <v>2.9416047645154201E-9</v>
      </c>
      <c r="E5998" s="3" t="s">
        <v>7234</v>
      </c>
      <c r="F5998" s="3" t="s">
        <v>7235</v>
      </c>
      <c r="G5998" s="3">
        <v>54006</v>
      </c>
      <c r="H5998" s="7" t="str">
        <f>HYPERLINK("http://www.ensembl.org/Mus_musculus/Gene/Summary?db=core;g=ENSMUSG00000058886","ENSMUSG00000058886")</f>
        <v>ENSMUSG00000058886</v>
      </c>
      <c r="I5998" s="7" t="str">
        <f>HYPERLINK("http://www.informatics.jax.org/marker/MGI:1858496","MGI:1858496")</f>
        <v>MGI:1858496</v>
      </c>
      <c r="J5998" s="4" t="s">
        <v>12</v>
      </c>
    </row>
    <row r="5999" spans="1:10" x14ac:dyDescent="0.25">
      <c r="A5999" s="2">
        <v>1179.07642430181</v>
      </c>
      <c r="B5999" s="3">
        <v>-0.49026581452601298</v>
      </c>
      <c r="C5999" s="5">
        <v>6.1694707972040894E-11</v>
      </c>
      <c r="D5999" s="6">
        <v>3.64366469364674E-10</v>
      </c>
      <c r="E5999" s="3" t="s">
        <v>6695</v>
      </c>
      <c r="F5999" s="3" t="s">
        <v>6696</v>
      </c>
      <c r="G5999" s="3">
        <v>14369</v>
      </c>
      <c r="H5999" s="7" t="str">
        <f>HYPERLINK("http://www.ensembl.org/Mus_musculus/Gene/Summary?db=core;g=ENSMUSG00000041075","ENSMUSG00000041075")</f>
        <v>ENSMUSG00000041075</v>
      </c>
      <c r="I5999" s="7" t="str">
        <f>HYPERLINK("http://www.informatics.jax.org/marker/MGI:108570","MGI:108570")</f>
        <v>MGI:108570</v>
      </c>
      <c r="J5999" s="4" t="s">
        <v>12</v>
      </c>
    </row>
    <row r="6000" spans="1:10" x14ac:dyDescent="0.25">
      <c r="A6000" s="2">
        <v>60.352528638865699</v>
      </c>
      <c r="B6000" s="3">
        <v>-0.49046246829651502</v>
      </c>
      <c r="C6000" s="3">
        <v>6.93592021644855E-3</v>
      </c>
      <c r="D6000" s="4">
        <v>1.78187007123978E-2</v>
      </c>
      <c r="E6000" s="3" t="s">
        <v>15357</v>
      </c>
      <c r="F6000" s="3" t="s">
        <v>15358</v>
      </c>
      <c r="G6000" s="3">
        <v>76051</v>
      </c>
      <c r="H6000" s="7" t="str">
        <f>HYPERLINK("http://www.ensembl.org/Mus_musculus/Gene/Summary?db=core;g=ENSMUSG00000062646","ENSMUSG00000062646")</f>
        <v>ENSMUSG00000062646</v>
      </c>
      <c r="I6000" s="7" t="str">
        <f>HYPERLINK("http://www.informatics.jax.org/marker/MGI:1923301","MGI:1923301")</f>
        <v>MGI:1923301</v>
      </c>
      <c r="J6000" s="4" t="s">
        <v>12</v>
      </c>
    </row>
    <row r="6001" spans="1:10" x14ac:dyDescent="0.25">
      <c r="A6001" s="2">
        <v>1148.3811715059601</v>
      </c>
      <c r="B6001" s="3">
        <v>-0.49212946668983898</v>
      </c>
      <c r="C6001" s="5">
        <v>1.9510620626020099E-13</v>
      </c>
      <c r="D6001" s="6">
        <v>1.37116692353926E-12</v>
      </c>
      <c r="E6001" s="3" t="s">
        <v>5629</v>
      </c>
      <c r="F6001" s="3" t="s">
        <v>5630</v>
      </c>
      <c r="G6001" s="3">
        <v>56248</v>
      </c>
      <c r="H6001" s="7" t="str">
        <f>HYPERLINK("http://www.ensembl.org/Mus_musculus/Gene/Summary?db=core;g=ENSMUSG00000024782","ENSMUSG00000024782")</f>
        <v>ENSMUSG00000024782</v>
      </c>
      <c r="I6001" s="7" t="str">
        <f>HYPERLINK("http://www.informatics.jax.org/marker/MGI:1860835","MGI:1860835")</f>
        <v>MGI:1860835</v>
      </c>
      <c r="J6001" s="4" t="s">
        <v>12</v>
      </c>
    </row>
    <row r="6002" spans="1:10" x14ac:dyDescent="0.25">
      <c r="A6002" s="2">
        <v>268.44060803673801</v>
      </c>
      <c r="B6002" s="3">
        <v>-0.49228565161073901</v>
      </c>
      <c r="C6002" s="5">
        <v>1.5243981853500399E-7</v>
      </c>
      <c r="D6002" s="6">
        <v>6.7888735806465102E-7</v>
      </c>
      <c r="E6002" s="3" t="s">
        <v>8873</v>
      </c>
      <c r="F6002" s="3" t="s">
        <v>8874</v>
      </c>
      <c r="G6002" s="3">
        <v>13849</v>
      </c>
      <c r="H6002" s="7" t="str">
        <f>HYPERLINK("http://www.ensembl.org/Mus_musculus/Gene/Summary?db=core;g=ENSMUSG00000038776","ENSMUSG00000038776")</f>
        <v>ENSMUSG00000038776</v>
      </c>
      <c r="I6002" s="7" t="str">
        <f>HYPERLINK("http://www.informatics.jax.org/marker/MGI:95405","MGI:95405")</f>
        <v>MGI:95405</v>
      </c>
      <c r="J6002" s="4" t="s">
        <v>12</v>
      </c>
    </row>
    <row r="6003" spans="1:10" x14ac:dyDescent="0.25">
      <c r="A6003" s="2">
        <v>780.14585699550901</v>
      </c>
      <c r="B6003" s="3">
        <v>-0.49249149130366998</v>
      </c>
      <c r="C6003" s="5">
        <v>1.5080634995806701E-12</v>
      </c>
      <c r="D6003" s="6">
        <v>9.9963066257918694E-12</v>
      </c>
      <c r="E6003" s="3" t="s">
        <v>5967</v>
      </c>
      <c r="F6003" s="3" t="s">
        <v>5968</v>
      </c>
      <c r="G6003" s="3">
        <v>22171</v>
      </c>
      <c r="H6003" s="7" t="str">
        <f>HYPERLINK("http://www.ensembl.org/Mus_musculus/Gene/Summary?db=core;g=ENSMUSG00000025747","ENSMUSG00000025747")</f>
        <v>ENSMUSG00000025747</v>
      </c>
      <c r="I6003" s="7" t="str">
        <f>HYPERLINK("http://www.informatics.jax.org/marker/MGI:98878","MGI:98878")</f>
        <v>MGI:98878</v>
      </c>
      <c r="J6003" s="4" t="s">
        <v>12</v>
      </c>
    </row>
    <row r="6004" spans="1:10" x14ac:dyDescent="0.25">
      <c r="A6004" s="2">
        <v>432.10732300571499</v>
      </c>
      <c r="B6004" s="3">
        <v>-0.492757542210569</v>
      </c>
      <c r="C6004" s="5">
        <v>1.9697801690059599E-8</v>
      </c>
      <c r="D6004" s="6">
        <v>9.5066238210468499E-8</v>
      </c>
      <c r="E6004" s="3" t="s">
        <v>8189</v>
      </c>
      <c r="F6004" s="3" t="s">
        <v>8190</v>
      </c>
      <c r="G6004" s="3">
        <v>353156</v>
      </c>
      <c r="H6004" s="7" t="str">
        <f>HYPERLINK("http://www.ensembl.org/Mus_musculus/Gene/Summary?db=core;g=ENSMUSG00000026921","ENSMUSG00000026921")</f>
        <v>ENSMUSG00000026921</v>
      </c>
      <c r="I6004" s="7" t="str">
        <f>HYPERLINK("http://www.informatics.jax.org/marker/MGI:2449923","MGI:2449923")</f>
        <v>MGI:2449923</v>
      </c>
      <c r="J6004" s="4" t="s">
        <v>12</v>
      </c>
    </row>
    <row r="6005" spans="1:10" x14ac:dyDescent="0.25">
      <c r="A6005" s="2">
        <v>662.88057858062598</v>
      </c>
      <c r="B6005" s="3">
        <v>-0.49290279732658199</v>
      </c>
      <c r="C6005" s="5">
        <v>2.8943075976605699E-8</v>
      </c>
      <c r="D6005" s="6">
        <v>1.3753191765269001E-7</v>
      </c>
      <c r="E6005" s="3" t="s">
        <v>8317</v>
      </c>
      <c r="F6005" s="3" t="s">
        <v>8318</v>
      </c>
      <c r="G6005" s="3">
        <v>66310</v>
      </c>
      <c r="H6005" s="7" t="str">
        <f>HYPERLINK("http://www.ensembl.org/Mus_musculus/Gene/Summary?db=core;g=ENSMUSG00000024067","ENSMUSG00000024067")</f>
        <v>ENSMUSG00000024067</v>
      </c>
      <c r="I6005" s="7" t="str">
        <f>HYPERLINK("http://www.informatics.jax.org/marker/MGI:1913560","MGI:1913560")</f>
        <v>MGI:1913560</v>
      </c>
      <c r="J6005" s="4" t="s">
        <v>12</v>
      </c>
    </row>
    <row r="6006" spans="1:10" x14ac:dyDescent="0.25">
      <c r="A6006" s="2">
        <v>420.58896717574299</v>
      </c>
      <c r="B6006" s="3">
        <v>-0.49345594424143102</v>
      </c>
      <c r="C6006" s="5">
        <v>1.7653846857932499E-5</v>
      </c>
      <c r="D6006" s="6">
        <v>6.4552913042541802E-5</v>
      </c>
      <c r="E6006" s="3" t="s">
        <v>10798</v>
      </c>
      <c r="F6006" s="3" t="s">
        <v>10799</v>
      </c>
      <c r="G6006" s="3">
        <v>66073</v>
      </c>
      <c r="H6006" s="7" t="str">
        <f>HYPERLINK("http://www.ensembl.org/Mus_musculus/Gene/Summary?db=core;g=ENSMUSG00000028567","ENSMUSG00000028567")</f>
        <v>ENSMUSG00000028567</v>
      </c>
      <c r="I6006" s="7" t="str">
        <f>HYPERLINK("http://www.informatics.jax.org/marker/MGI:1913323","MGI:1913323")</f>
        <v>MGI:1913323</v>
      </c>
      <c r="J6006" s="4" t="s">
        <v>12</v>
      </c>
    </row>
    <row r="6007" spans="1:10" x14ac:dyDescent="0.25">
      <c r="A6007" s="2">
        <v>200.60352289341699</v>
      </c>
      <c r="B6007" s="3">
        <v>-0.49368203399507399</v>
      </c>
      <c r="C6007" s="5">
        <v>2.4950615115044999E-6</v>
      </c>
      <c r="D6007" s="6">
        <v>9.9339012733431895E-6</v>
      </c>
      <c r="E6007" s="3" t="s">
        <v>9921</v>
      </c>
      <c r="F6007" s="3" t="s">
        <v>9922</v>
      </c>
      <c r="G6007" s="3">
        <v>21416</v>
      </c>
      <c r="H6007" s="7" t="str">
        <f>HYPERLINK("http://www.ensembl.org/Mus_musculus/Gene/Summary?db=core;g=ENSMUSG00000024985","ENSMUSG00000024985")</f>
        <v>ENSMUSG00000024985</v>
      </c>
      <c r="I6007" s="7" t="str">
        <f>HYPERLINK("http://www.informatics.jax.org/marker/MGI:1202879","MGI:1202879")</f>
        <v>MGI:1202879</v>
      </c>
      <c r="J6007" s="4" t="s">
        <v>12</v>
      </c>
    </row>
    <row r="6008" spans="1:10" x14ac:dyDescent="0.25">
      <c r="A6008" s="2">
        <v>496.10615064415401</v>
      </c>
      <c r="B6008" s="3">
        <v>-0.49400127480973099</v>
      </c>
      <c r="C6008" s="5">
        <v>3.18444156231076E-6</v>
      </c>
      <c r="D6008" s="6">
        <v>1.25268676658225E-5</v>
      </c>
      <c r="E6008" s="3" t="s">
        <v>10042</v>
      </c>
      <c r="F6008" s="3" t="s">
        <v>10043</v>
      </c>
      <c r="G6008" s="3">
        <v>74253</v>
      </c>
      <c r="H6008" s="7" t="str">
        <f>HYPERLINK("http://www.ensembl.org/Mus_musculus/Gene/Summary?db=core;g=ENSMUSG00000071537","ENSMUSG00000071537")</f>
        <v>ENSMUSG00000071537</v>
      </c>
      <c r="I6008" s="7" t="str">
        <f>HYPERLINK("http://www.informatics.jax.org/marker/MGI:1921503","MGI:1921503")</f>
        <v>MGI:1921503</v>
      </c>
      <c r="J6008" s="4" t="s">
        <v>12</v>
      </c>
    </row>
    <row r="6009" spans="1:10" x14ac:dyDescent="0.25">
      <c r="A6009" s="2">
        <v>431.36873773581902</v>
      </c>
      <c r="B6009" s="3">
        <v>-0.494798584900001</v>
      </c>
      <c r="C6009" s="5">
        <v>4.53846283693687E-10</v>
      </c>
      <c r="D6009" s="6">
        <v>2.4936886916800002E-9</v>
      </c>
      <c r="E6009" s="3" t="s">
        <v>7196</v>
      </c>
      <c r="F6009" s="3" t="s">
        <v>7197</v>
      </c>
      <c r="G6009" s="3">
        <v>52665</v>
      </c>
      <c r="H6009" s="7" t="str">
        <f>HYPERLINK("http://www.ensembl.org/Mus_musculus/Gene/Summary?db=core;g=ENSMUSG00000019883","ENSMUSG00000019883")</f>
        <v>ENSMUSG00000019883</v>
      </c>
      <c r="I6009" s="7" t="str">
        <f>HYPERLINK("http://www.informatics.jax.org/marker/MGI:1277169","MGI:1277169")</f>
        <v>MGI:1277169</v>
      </c>
      <c r="J6009" s="4" t="s">
        <v>12</v>
      </c>
    </row>
    <row r="6010" spans="1:10" x14ac:dyDescent="0.25">
      <c r="A6010" s="2">
        <v>581.69111512189795</v>
      </c>
      <c r="B6010" s="3">
        <v>-0.49490612198455802</v>
      </c>
      <c r="C6010" s="5">
        <v>1.9122187956225499E-12</v>
      </c>
      <c r="D6010" s="6">
        <v>1.2624357097313899E-11</v>
      </c>
      <c r="E6010" s="3" t="s">
        <v>5991</v>
      </c>
      <c r="F6010" s="3" t="s">
        <v>5992</v>
      </c>
      <c r="G6010" s="3">
        <v>224938</v>
      </c>
      <c r="H6010" s="7" t="str">
        <f>HYPERLINK("http://www.ensembl.org/Mus_musculus/Gene/Summary?db=core;g=ENSMUSG00000024083","ENSMUSG00000024083")</f>
        <v>ENSMUSG00000024083</v>
      </c>
      <c r="I6010" s="7" t="str">
        <f>HYPERLINK("http://www.informatics.jax.org/marker/MGI:2159342","MGI:2159342")</f>
        <v>MGI:2159342</v>
      </c>
      <c r="J6010" s="4" t="s">
        <v>12</v>
      </c>
    </row>
    <row r="6011" spans="1:10" x14ac:dyDescent="0.25">
      <c r="A6011" s="2">
        <v>640.82117755129195</v>
      </c>
      <c r="B6011" s="3">
        <v>-0.49521367620225998</v>
      </c>
      <c r="C6011" s="5">
        <v>2.0221422678891501E-12</v>
      </c>
      <c r="D6011" s="6">
        <v>1.33277558565421E-11</v>
      </c>
      <c r="E6011" s="3" t="s">
        <v>6001</v>
      </c>
      <c r="F6011" s="3" t="s">
        <v>6002</v>
      </c>
      <c r="G6011" s="3">
        <v>51798</v>
      </c>
      <c r="H6011" s="7" t="str">
        <f>HYPERLINK("http://www.ensembl.org/Mus_musculus/Gene/Summary?db=core;g=ENSMUSG00000053898","ENSMUSG00000053898")</f>
        <v>ENSMUSG00000053898</v>
      </c>
      <c r="I6011" s="7" t="str">
        <f>HYPERLINK("http://www.informatics.jax.org/marker/MGI:1858208","MGI:1858208")</f>
        <v>MGI:1858208</v>
      </c>
      <c r="J6011" s="4" t="s">
        <v>12</v>
      </c>
    </row>
    <row r="6012" spans="1:10" x14ac:dyDescent="0.25">
      <c r="A6012" s="2">
        <v>280.02528193223901</v>
      </c>
      <c r="B6012" s="3">
        <v>-0.49526771285768101</v>
      </c>
      <c r="C6012" s="5">
        <v>2.0779987281662801E-5</v>
      </c>
      <c r="D6012" s="6">
        <v>7.5438392708834898E-5</v>
      </c>
      <c r="E6012" s="3" t="s">
        <v>10876</v>
      </c>
      <c r="F6012" s="3" t="s">
        <v>10877</v>
      </c>
      <c r="G6012" s="3">
        <v>233913</v>
      </c>
      <c r="H6012" s="7" t="str">
        <f>HYPERLINK("http://www.ensembl.org/Mus_musculus/Gene/Summary?db=core;g=ENSMUSG00000030780","ENSMUSG00000030780")</f>
        <v>ENSMUSG00000030780</v>
      </c>
      <c r="I6012" s="7" t="str">
        <f>HYPERLINK("http://www.informatics.jax.org/marker/MGI:2384572","MGI:2384572")</f>
        <v>MGI:2384572</v>
      </c>
      <c r="J6012" s="4" t="s">
        <v>12</v>
      </c>
    </row>
    <row r="6013" spans="1:10" x14ac:dyDescent="0.25">
      <c r="A6013" s="2">
        <v>5109.86807306226</v>
      </c>
      <c r="B6013" s="3">
        <v>-0.49538739769005002</v>
      </c>
      <c r="C6013" s="5">
        <v>5.5294271882016697E-11</v>
      </c>
      <c r="D6013" s="6">
        <v>3.2794076436492299E-10</v>
      </c>
      <c r="E6013" s="3" t="s">
        <v>6667</v>
      </c>
      <c r="F6013" s="3" t="s">
        <v>6668</v>
      </c>
      <c r="G6013" s="3">
        <v>67054</v>
      </c>
      <c r="H6013" s="7" t="str">
        <f>HYPERLINK("http://www.ensembl.org/Mus_musculus/Gene/Summary?db=core;g=ENSMUSG00000029247","ENSMUSG00000029247")</f>
        <v>ENSMUSG00000029247</v>
      </c>
      <c r="I6013" s="7" t="str">
        <f>HYPERLINK("http://www.informatics.jax.org/marker/MGI:1914304","MGI:1914304")</f>
        <v>MGI:1914304</v>
      </c>
      <c r="J6013" s="4" t="s">
        <v>12</v>
      </c>
    </row>
    <row r="6014" spans="1:10" x14ac:dyDescent="0.25">
      <c r="A6014" s="2">
        <v>1235.4581520536599</v>
      </c>
      <c r="B6014" s="3">
        <v>-0.49539101928093499</v>
      </c>
      <c r="C6014" s="5">
        <v>3.0924132674364999E-13</v>
      </c>
      <c r="D6014" s="6">
        <v>2.14123559107612E-12</v>
      </c>
      <c r="E6014" s="3" t="s">
        <v>5713</v>
      </c>
      <c r="F6014" s="3" t="s">
        <v>5714</v>
      </c>
      <c r="G6014" s="3">
        <v>14793</v>
      </c>
      <c r="H6014" s="7" t="str">
        <f>HYPERLINK("http://www.ensembl.org/Mus_musculus/Gene/Summary?db=core;g=ENSMUSG00000023505","ENSMUSG00000023505")</f>
        <v>ENSMUSG00000023505</v>
      </c>
      <c r="I6014" s="7" t="str">
        <f>HYPERLINK("http://www.informatics.jax.org/marker/MGI:1315198","MGI:1315198")</f>
        <v>MGI:1315198</v>
      </c>
      <c r="J6014" s="4" t="s">
        <v>12</v>
      </c>
    </row>
    <row r="6015" spans="1:10" x14ac:dyDescent="0.25">
      <c r="A6015" s="2">
        <v>366.43932513494502</v>
      </c>
      <c r="B6015" s="3">
        <v>-0.49546078763691997</v>
      </c>
      <c r="C6015" s="5">
        <v>1.68196593227943E-10</v>
      </c>
      <c r="D6015" s="6">
        <v>9.616807243998341E-10</v>
      </c>
      <c r="E6015" s="3" t="s">
        <v>6916</v>
      </c>
      <c r="F6015" s="3" t="s">
        <v>6917</v>
      </c>
      <c r="G6015" s="3">
        <v>64436</v>
      </c>
      <c r="H6015" s="7" t="str">
        <f>HYPERLINK("http://www.ensembl.org/Mus_musculus/Gene/Summary?db=core;g=ENSMUSG00000026925","ENSMUSG00000026925")</f>
        <v>ENSMUSG00000026925</v>
      </c>
      <c r="I6015" s="7" t="str">
        <f>HYPERLINK("http://www.informatics.jax.org/marker/MGI:1927753","MGI:1927753")</f>
        <v>MGI:1927753</v>
      </c>
      <c r="J6015" s="4" t="s">
        <v>12</v>
      </c>
    </row>
    <row r="6016" spans="1:10" x14ac:dyDescent="0.25">
      <c r="A6016" s="2">
        <v>799.24864610705197</v>
      </c>
      <c r="B6016" s="3">
        <v>-0.49551606319042302</v>
      </c>
      <c r="C6016" s="5">
        <v>5.0835006072274301E-7</v>
      </c>
      <c r="D6016" s="6">
        <v>2.1674947453951302E-6</v>
      </c>
      <c r="E6016" s="3" t="s">
        <v>9265</v>
      </c>
      <c r="F6016" s="3" t="s">
        <v>9266</v>
      </c>
      <c r="G6016" s="3">
        <v>227612</v>
      </c>
      <c r="H6016" s="7" t="str">
        <f>HYPERLINK("http://www.ensembl.org/Mus_musculus/Gene/Summary?db=core;g=ENSMUSG00000059555","ENSMUSG00000059555")</f>
        <v>ENSMUSG00000059555</v>
      </c>
      <c r="I6016" s="7" t="str">
        <f>HYPERLINK("http://www.informatics.jax.org/marker/MGI:2442720","MGI:2442720")</f>
        <v>MGI:2442720</v>
      </c>
      <c r="J6016" s="4" t="s">
        <v>12</v>
      </c>
    </row>
    <row r="6017" spans="1:10" x14ac:dyDescent="0.25">
      <c r="A6017" s="2">
        <v>180.57174790344899</v>
      </c>
      <c r="B6017" s="3">
        <v>-0.49570332047090498</v>
      </c>
      <c r="C6017" s="5">
        <v>5.9389020351800103E-8</v>
      </c>
      <c r="D6017" s="6">
        <v>2.7427435160128798E-7</v>
      </c>
      <c r="E6017" s="3" t="s">
        <v>8557</v>
      </c>
      <c r="F6017" s="3" t="s">
        <v>8558</v>
      </c>
      <c r="G6017" s="3">
        <v>66658</v>
      </c>
      <c r="H6017" s="7" t="str">
        <f>HYPERLINK("http://www.ensembl.org/Mus_musculus/Gene/Summary?db=core;g=ENSMUSG00000025645","ENSMUSG00000025645")</f>
        <v>ENSMUSG00000025645</v>
      </c>
      <c r="I6017" s="7" t="str">
        <f>HYPERLINK("http://www.informatics.jax.org/marker/MGI:1913908","MGI:1913908")</f>
        <v>MGI:1913908</v>
      </c>
      <c r="J6017" s="4" t="s">
        <v>12</v>
      </c>
    </row>
    <row r="6018" spans="1:10" x14ac:dyDescent="0.25">
      <c r="A6018" s="2">
        <v>118.069319503545</v>
      </c>
      <c r="B6018" s="3">
        <v>-0.49629152370896801</v>
      </c>
      <c r="C6018" s="5">
        <v>3.0184032120854399E-5</v>
      </c>
      <c r="D6018" s="4">
        <v>1.07772788959487E-4</v>
      </c>
      <c r="E6018" s="3" t="s">
        <v>11058</v>
      </c>
      <c r="F6018" s="3" t="s">
        <v>11059</v>
      </c>
      <c r="G6018" s="3" t="s">
        <v>83</v>
      </c>
      <c r="H6018" s="7" t="str">
        <f>HYPERLINK("http://www.ensembl.org/Mus_musculus/Gene/Summary?db=core;g=ENSMUSG00000096687","ENSMUSG00000096687")</f>
        <v>ENSMUSG00000096687</v>
      </c>
      <c r="I6018" s="7" t="str">
        <f>HYPERLINK("http://www.informatics.jax.org/marker/MGI:3035041","MGI:3035041")</f>
        <v>MGI:3035041</v>
      </c>
      <c r="J6018" s="4" t="s">
        <v>12</v>
      </c>
    </row>
    <row r="6019" spans="1:10" x14ac:dyDescent="0.25">
      <c r="A6019" s="2">
        <v>36.839882472088902</v>
      </c>
      <c r="B6019" s="3">
        <v>-0.49715947042811198</v>
      </c>
      <c r="C6019" s="3">
        <v>1.94606353686658E-2</v>
      </c>
      <c r="D6019" s="4">
        <v>4.5550591035025401E-2</v>
      </c>
      <c r="E6019" s="3" t="s">
        <v>16854</v>
      </c>
      <c r="F6019" s="3" t="s">
        <v>16855</v>
      </c>
      <c r="G6019" s="3" t="s">
        <v>83</v>
      </c>
      <c r="H6019" s="7" t="str">
        <f>HYPERLINK("http://www.ensembl.org/Mus_musculus/Gene/Summary?db=core;g=ENSMUSG00000086015","ENSMUSG00000086015")</f>
        <v>ENSMUSG00000086015</v>
      </c>
      <c r="I6019" s="7" t="str">
        <f>HYPERLINK("http://www.informatics.jax.org/marker/MGI:1921156","MGI:1921156")</f>
        <v>MGI:1921156</v>
      </c>
      <c r="J6019" s="4" t="s">
        <v>331</v>
      </c>
    </row>
    <row r="6020" spans="1:10" x14ac:dyDescent="0.25">
      <c r="A6020" s="2">
        <v>562.28574752866905</v>
      </c>
      <c r="B6020" s="3">
        <v>-0.49723674106907201</v>
      </c>
      <c r="C6020" s="3">
        <v>3.5006692973817998E-3</v>
      </c>
      <c r="D6020" s="4">
        <v>9.5021608457493498E-3</v>
      </c>
      <c r="E6020" s="3" t="s">
        <v>14533</v>
      </c>
      <c r="F6020" s="3" t="s">
        <v>14534</v>
      </c>
      <c r="G6020" s="3">
        <v>56464</v>
      </c>
      <c r="H6020" s="7" t="str">
        <f>HYPERLINK("http://www.ensembl.org/Mus_musculus/Gene/Summary?db=core;g=ENSMUSG00000083282","ENSMUSG00000083282")</f>
        <v>ENSMUSG00000083282</v>
      </c>
      <c r="I6020" s="7" t="str">
        <f>HYPERLINK("http://www.informatics.jax.org/marker/MGI:1861434","MGI:1861434")</f>
        <v>MGI:1861434</v>
      </c>
      <c r="J6020" s="4" t="s">
        <v>12</v>
      </c>
    </row>
    <row r="6021" spans="1:10" x14ac:dyDescent="0.25">
      <c r="A6021" s="2">
        <v>184.57918352989199</v>
      </c>
      <c r="B6021" s="3">
        <v>-0.49766536685434898</v>
      </c>
      <c r="C6021" s="5">
        <v>1.13092156056958E-7</v>
      </c>
      <c r="D6021" s="6">
        <v>5.1068864608271598E-7</v>
      </c>
      <c r="E6021" s="3" t="s">
        <v>8751</v>
      </c>
      <c r="F6021" s="3" t="s">
        <v>8752</v>
      </c>
      <c r="G6021" s="3">
        <v>57916</v>
      </c>
      <c r="H6021" s="7" t="str">
        <f>HYPERLINK("http://www.ensembl.org/Mus_musculus/Gene/Summary?db=core;g=ENSMUSG00000010142","ENSMUSG00000010142")</f>
        <v>ENSMUSG00000010142</v>
      </c>
      <c r="I6021" s="7" t="str">
        <f>HYPERLINK("http://www.informatics.jax.org/marker/MGI:1889411","MGI:1889411")</f>
        <v>MGI:1889411</v>
      </c>
      <c r="J6021" s="4" t="s">
        <v>12</v>
      </c>
    </row>
    <row r="6022" spans="1:10" x14ac:dyDescent="0.25">
      <c r="A6022" s="2">
        <v>1052.33601634104</v>
      </c>
      <c r="B6022" s="3">
        <v>-0.49812372775640701</v>
      </c>
      <c r="C6022" s="5">
        <v>4.0597937673779802E-13</v>
      </c>
      <c r="D6022" s="6">
        <v>2.7904891283615801E-12</v>
      </c>
      <c r="E6022" s="3" t="s">
        <v>5755</v>
      </c>
      <c r="F6022" s="3" t="s">
        <v>5756</v>
      </c>
      <c r="G6022" s="3">
        <v>94212</v>
      </c>
      <c r="H6022" s="7" t="str">
        <f>HYPERLINK("http://www.ensembl.org/Mus_musculus/Gene/Summary?db=core;g=ENSMUSG00000027508","ENSMUSG00000027508")</f>
        <v>ENSMUSG00000027508</v>
      </c>
      <c r="I6022" s="7" t="str">
        <f>HYPERLINK("http://www.informatics.jax.org/marker/MGI:2443160","MGI:2443160")</f>
        <v>MGI:2443160</v>
      </c>
      <c r="J6022" s="4" t="s">
        <v>12</v>
      </c>
    </row>
    <row r="6023" spans="1:10" x14ac:dyDescent="0.25">
      <c r="A6023" s="2">
        <v>617.01293243418104</v>
      </c>
      <c r="B6023" s="3">
        <v>-0.49858769452030199</v>
      </c>
      <c r="C6023" s="3">
        <v>8.2915914259878802E-4</v>
      </c>
      <c r="D6023" s="4">
        <v>2.47330483921466E-3</v>
      </c>
      <c r="E6023" s="3" t="s">
        <v>13231</v>
      </c>
      <c r="F6023" s="3" t="s">
        <v>13232</v>
      </c>
      <c r="G6023" s="3">
        <v>67111</v>
      </c>
      <c r="H6023" s="7" t="str">
        <f>HYPERLINK("http://www.ensembl.org/Mus_musculus/Gene/Summary?db=core;g=ENSMUSG00000029413","ENSMUSG00000029413")</f>
        <v>ENSMUSG00000029413</v>
      </c>
      <c r="I6023" s="7" t="str">
        <f>HYPERLINK("http://www.informatics.jax.org/marker/MGI:1914361","MGI:1914361")</f>
        <v>MGI:1914361</v>
      </c>
      <c r="J6023" s="4" t="s">
        <v>12</v>
      </c>
    </row>
    <row r="6024" spans="1:10" x14ac:dyDescent="0.25">
      <c r="A6024" s="2">
        <v>114.529693652492</v>
      </c>
      <c r="B6024" s="3">
        <v>-0.49900491644178402</v>
      </c>
      <c r="C6024" s="3">
        <v>2.6663660456522801E-4</v>
      </c>
      <c r="D6024" s="4">
        <v>8.5178581597704502E-4</v>
      </c>
      <c r="E6024" s="3" t="s">
        <v>12358</v>
      </c>
      <c r="F6024" s="3" t="s">
        <v>12359</v>
      </c>
      <c r="G6024" s="3">
        <v>209478</v>
      </c>
      <c r="H6024" s="7" t="str">
        <f>HYPERLINK("http://www.ensembl.org/Mus_musculus/Gene/Summary?db=core;g=ENSMUSG00000048720","ENSMUSG00000048720")</f>
        <v>ENSMUSG00000048720</v>
      </c>
      <c r="I6024" s="7" t="str">
        <f>HYPERLINK("http://www.informatics.jax.org/marker/MGI:2384803","MGI:2384803")</f>
        <v>MGI:2384803</v>
      </c>
      <c r="J6024" s="4" t="s">
        <v>12</v>
      </c>
    </row>
    <row r="6025" spans="1:10" x14ac:dyDescent="0.25">
      <c r="A6025" s="2">
        <v>127.572540596333</v>
      </c>
      <c r="B6025" s="3">
        <v>-0.499016876703959</v>
      </c>
      <c r="C6025" s="3">
        <v>5.8185288994103102E-4</v>
      </c>
      <c r="D6025" s="4">
        <v>1.7772829909598999E-3</v>
      </c>
      <c r="E6025" s="3" t="s">
        <v>12921</v>
      </c>
      <c r="F6025" s="3" t="s">
        <v>12922</v>
      </c>
      <c r="G6025" s="3">
        <v>94282</v>
      </c>
      <c r="H6025" s="7" t="str">
        <f>HYPERLINK("http://www.ensembl.org/Mus_musculus/Gene/Summary?db=core;g=ENSMUSG00000033720","ENSMUSG00000033720")</f>
        <v>ENSMUSG00000033720</v>
      </c>
      <c r="I6025" s="7" t="str">
        <f>HYPERLINK("http://www.informatics.jax.org/marker/MGI:2137681","MGI:2137681")</f>
        <v>MGI:2137681</v>
      </c>
      <c r="J6025" s="4" t="s">
        <v>12</v>
      </c>
    </row>
    <row r="6026" spans="1:10" x14ac:dyDescent="0.25">
      <c r="A6026" s="2">
        <v>290.77288903975301</v>
      </c>
      <c r="B6026" s="3">
        <v>-0.49919564572646002</v>
      </c>
      <c r="C6026" s="5">
        <v>1.9484689338669E-5</v>
      </c>
      <c r="D6026" s="6">
        <v>7.0853415776978094E-5</v>
      </c>
      <c r="E6026" s="3" t="s">
        <v>10858</v>
      </c>
      <c r="F6026" s="3" t="s">
        <v>10859</v>
      </c>
      <c r="G6026" s="3">
        <v>18163</v>
      </c>
      <c r="H6026" s="7" t="str">
        <f>HYPERLINK("http://www.ensembl.org/Mus_musculus/Gene/Summary?db=core;g=ENSMUSG00000022240","ENSMUSG00000022240")</f>
        <v>ENSMUSG00000022240</v>
      </c>
      <c r="I6026" s="7" t="str">
        <f>HYPERLINK("http://www.informatics.jax.org/marker/MGI:1195966","MGI:1195966")</f>
        <v>MGI:1195966</v>
      </c>
      <c r="J6026" s="4" t="s">
        <v>12</v>
      </c>
    </row>
    <row r="6027" spans="1:10" x14ac:dyDescent="0.25">
      <c r="A6027" s="2">
        <v>95.651895813837498</v>
      </c>
      <c r="B6027" s="3">
        <v>-0.49923851634606198</v>
      </c>
      <c r="C6027" s="3">
        <v>1.6986326263315399E-4</v>
      </c>
      <c r="D6027" s="4">
        <v>5.5578290013701603E-4</v>
      </c>
      <c r="E6027" s="3" t="s">
        <v>12065</v>
      </c>
      <c r="F6027" s="3" t="s">
        <v>12066</v>
      </c>
      <c r="G6027" s="3">
        <v>18207</v>
      </c>
      <c r="H6027" s="7" t="str">
        <f>HYPERLINK("http://www.ensembl.org/Mus_musculus/Gene/Summary?db=core;g=ENSMUSG00000041429","ENSMUSG00000041429")</f>
        <v>ENSMUSG00000041429</v>
      </c>
      <c r="I6027" s="7" t="str">
        <f>HYPERLINK("http://www.informatics.jax.org/marker/MGI:1313275","MGI:1313275")</f>
        <v>MGI:1313275</v>
      </c>
      <c r="J6027" s="4" t="s">
        <v>12</v>
      </c>
    </row>
    <row r="6028" spans="1:10" x14ac:dyDescent="0.25">
      <c r="A6028" s="2">
        <v>3764.1422585002101</v>
      </c>
      <c r="B6028" s="3">
        <v>-0.49925774663101302</v>
      </c>
      <c r="C6028" s="5">
        <v>5.2149601887065398E-17</v>
      </c>
      <c r="D6028" s="6">
        <v>4.43462763783066E-16</v>
      </c>
      <c r="E6028" s="3" t="s">
        <v>4655</v>
      </c>
      <c r="F6028" s="3" t="s">
        <v>4656</v>
      </c>
      <c r="G6028" s="3">
        <v>71722</v>
      </c>
      <c r="H6028" s="7" t="str">
        <f>HYPERLINK("http://www.ensembl.org/Mus_musculus/Gene/Summary?db=core;g=ENSMUSG00000005442","ENSMUSG00000005442")</f>
        <v>ENSMUSG00000005442</v>
      </c>
      <c r="I6028" s="7" t="str">
        <f>HYPERLINK("http://www.informatics.jax.org/marker/MGI:1918972","MGI:1918972")</f>
        <v>MGI:1918972</v>
      </c>
      <c r="J6028" s="4" t="s">
        <v>12</v>
      </c>
    </row>
    <row r="6029" spans="1:10" x14ac:dyDescent="0.25">
      <c r="A6029" s="2">
        <v>50.658218406628102</v>
      </c>
      <c r="B6029" s="3">
        <v>-0.49944602656584403</v>
      </c>
      <c r="C6029" s="3">
        <v>2.5641474497796199E-3</v>
      </c>
      <c r="D6029" s="4">
        <v>7.1148146488890004E-3</v>
      </c>
      <c r="E6029" s="3" t="s">
        <v>14221</v>
      </c>
      <c r="F6029" s="3" t="s">
        <v>14222</v>
      </c>
      <c r="G6029" s="3">
        <v>68616</v>
      </c>
      <c r="H6029" s="7" t="str">
        <f>HYPERLINK("http://www.ensembl.org/Mus_musculus/Gene/Summary?db=core;g=ENSMUSG00000030703","ENSMUSG00000030703")</f>
        <v>ENSMUSG00000030703</v>
      </c>
      <c r="I6029" s="7" t="str">
        <f>HYPERLINK("http://www.informatics.jax.org/marker/MGI:1915866","MGI:1915866")</f>
        <v>MGI:1915866</v>
      </c>
      <c r="J6029" s="4" t="s">
        <v>12</v>
      </c>
    </row>
    <row r="6030" spans="1:10" x14ac:dyDescent="0.25">
      <c r="A6030" s="2">
        <v>82.574140947854602</v>
      </c>
      <c r="B6030" s="3">
        <v>-0.499884155468449</v>
      </c>
      <c r="C6030" s="3">
        <v>5.2795345649633797E-4</v>
      </c>
      <c r="D6030" s="4">
        <v>1.62003532220801E-3</v>
      </c>
      <c r="E6030" s="3" t="s">
        <v>12861</v>
      </c>
      <c r="F6030" s="3" t="s">
        <v>12862</v>
      </c>
      <c r="G6030" s="3">
        <v>226970</v>
      </c>
      <c r="H6030" s="7" t="str">
        <f>HYPERLINK("http://www.ensembl.org/Mus_musculus/Gene/Summary?db=core;g=ENSMUSG00000037509","ENSMUSG00000037509")</f>
        <v>ENSMUSG00000037509</v>
      </c>
      <c r="I6030" s="7" t="str">
        <f>HYPERLINK("http://www.informatics.jax.org/marker/MGI:2442507","MGI:2442507")</f>
        <v>MGI:2442507</v>
      </c>
      <c r="J6030" s="4" t="s">
        <v>12</v>
      </c>
    </row>
    <row r="6031" spans="1:10" x14ac:dyDescent="0.25">
      <c r="A6031" s="2">
        <v>346.54780049427302</v>
      </c>
      <c r="B6031" s="3">
        <v>-0.499982883555739</v>
      </c>
      <c r="C6031" s="5">
        <v>5.6223647474112805E-7</v>
      </c>
      <c r="D6031" s="6">
        <v>2.3895050176497899E-6</v>
      </c>
      <c r="E6031" s="3" t="s">
        <v>9295</v>
      </c>
      <c r="F6031" s="3" t="s">
        <v>9296</v>
      </c>
      <c r="G6031" s="3">
        <v>70823</v>
      </c>
      <c r="H6031" s="7" t="str">
        <f>HYPERLINK("http://www.ensembl.org/Mus_musculus/Gene/Summary?db=core;g=ENSMUSG00000034518","ENSMUSG00000034518")</f>
        <v>ENSMUSG00000034518</v>
      </c>
      <c r="I6031" s="7" t="str">
        <f>HYPERLINK("http://www.informatics.jax.org/marker/MGI:1918073","MGI:1918073")</f>
        <v>MGI:1918073</v>
      </c>
      <c r="J6031" s="4" t="s">
        <v>12</v>
      </c>
    </row>
    <row r="6032" spans="1:10" x14ac:dyDescent="0.25">
      <c r="A6032" s="2">
        <v>49.694842769342003</v>
      </c>
      <c r="B6032" s="3">
        <v>-0.50008589249605295</v>
      </c>
      <c r="C6032" s="3">
        <v>6.6669799068713497E-3</v>
      </c>
      <c r="D6032" s="4">
        <v>1.7164040412441701E-2</v>
      </c>
      <c r="E6032" s="3" t="s">
        <v>15323</v>
      </c>
      <c r="F6032" s="3" t="s">
        <v>15324</v>
      </c>
      <c r="G6032" s="3" t="s">
        <v>83</v>
      </c>
      <c r="H6032" s="7" t="str">
        <f>HYPERLINK("http://www.ensembl.org/Mus_musculus/Gene/Summary?db=core;g=ENSMUSG00000118012","ENSMUSG00000118012")</f>
        <v>ENSMUSG00000118012</v>
      </c>
      <c r="I6032" s="7" t="str">
        <f>HYPERLINK("http://www.informatics.jax.org/marker/MGI:5826257","MGI:5826257")</f>
        <v>MGI:5826257</v>
      </c>
      <c r="J6032" s="4" t="s">
        <v>939</v>
      </c>
    </row>
    <row r="6033" spans="1:10" x14ac:dyDescent="0.25">
      <c r="A6033" s="2">
        <v>122.55098380344199</v>
      </c>
      <c r="B6033" s="3">
        <v>-0.50057099958546003</v>
      </c>
      <c r="C6033" s="5">
        <v>3.8060852416907403E-5</v>
      </c>
      <c r="D6033" s="4">
        <v>1.34364484364736E-4</v>
      </c>
      <c r="E6033" s="3" t="s">
        <v>11183</v>
      </c>
      <c r="F6033" s="3" t="s">
        <v>11184</v>
      </c>
      <c r="G6033" s="3">
        <v>67219</v>
      </c>
      <c r="H6033" s="7" t="str">
        <f>HYPERLINK("http://www.ensembl.org/Mus_musculus/Gene/Summary?db=core;g=ENSMUSG00000066042","ENSMUSG00000066042")</f>
        <v>ENSMUSG00000066042</v>
      </c>
      <c r="I6033" s="7" t="str">
        <f>HYPERLINK("http://www.informatics.jax.org/marker/MGI:1914469","MGI:1914469")</f>
        <v>MGI:1914469</v>
      </c>
      <c r="J6033" s="4" t="s">
        <v>12</v>
      </c>
    </row>
    <row r="6034" spans="1:10" x14ac:dyDescent="0.25">
      <c r="A6034" s="2">
        <v>2054.5673341492002</v>
      </c>
      <c r="B6034" s="3">
        <v>-0.50102340171662696</v>
      </c>
      <c r="C6034" s="5">
        <v>1.8800597259012202E-24</v>
      </c>
      <c r="D6034" s="6">
        <v>2.24968311861481E-23</v>
      </c>
      <c r="E6034" s="3" t="s">
        <v>3316</v>
      </c>
      <c r="F6034" s="3" t="s">
        <v>3317</v>
      </c>
      <c r="G6034" s="3">
        <v>109168</v>
      </c>
      <c r="H6034" s="7" t="str">
        <f>HYPERLINK("http://www.ensembl.org/Mus_musculus/Gene/Summary?db=core;g=ENSMUSG00000024759","ENSMUSG00000024759")</f>
        <v>ENSMUSG00000024759</v>
      </c>
      <c r="I6034" s="7" t="str">
        <f>HYPERLINK("http://www.informatics.jax.org/marker/MGI:1924270","MGI:1924270")</f>
        <v>MGI:1924270</v>
      </c>
      <c r="J6034" s="4" t="s">
        <v>12</v>
      </c>
    </row>
    <row r="6035" spans="1:10" x14ac:dyDescent="0.25">
      <c r="A6035" s="2">
        <v>1334.0110695681101</v>
      </c>
      <c r="B6035" s="3">
        <v>-0.50120929945988901</v>
      </c>
      <c r="C6035" s="5">
        <v>1.2549415553140699E-16</v>
      </c>
      <c r="D6035" s="6">
        <v>1.0486206555421E-15</v>
      </c>
      <c r="E6035" s="3" t="s">
        <v>4737</v>
      </c>
      <c r="F6035" s="3" t="s">
        <v>4738</v>
      </c>
      <c r="G6035" s="3">
        <v>21781</v>
      </c>
      <c r="H6035" s="7" t="str">
        <f>HYPERLINK("http://www.ensembl.org/Mus_musculus/Gene/Summary?db=core;g=ENSMUSG00000038482","ENSMUSG00000038482")</f>
        <v>ENSMUSG00000038482</v>
      </c>
      <c r="I6035" s="7" t="str">
        <f>HYPERLINK("http://www.informatics.jax.org/marker/MGI:101934","MGI:101934")</f>
        <v>MGI:101934</v>
      </c>
      <c r="J6035" s="4" t="s">
        <v>12</v>
      </c>
    </row>
    <row r="6036" spans="1:10" x14ac:dyDescent="0.25">
      <c r="A6036" s="2">
        <v>194.46823808670001</v>
      </c>
      <c r="B6036" s="3">
        <v>-0.50146332036768204</v>
      </c>
      <c r="C6036" s="5">
        <v>1.7512600527442001E-8</v>
      </c>
      <c r="D6036" s="6">
        <v>8.4893923894089496E-8</v>
      </c>
      <c r="E6036" s="3" t="s">
        <v>8153</v>
      </c>
      <c r="F6036" s="3" t="s">
        <v>8154</v>
      </c>
      <c r="G6036" s="3">
        <v>18294</v>
      </c>
      <c r="H6036" s="7" t="str">
        <f>HYPERLINK("http://www.ensembl.org/Mus_musculus/Gene/Summary?db=core;g=ENSMUSG00000030271","ENSMUSG00000030271")</f>
        <v>ENSMUSG00000030271</v>
      </c>
      <c r="I6036" s="7" t="str">
        <f>HYPERLINK("http://www.informatics.jax.org/marker/MGI:1097693","MGI:1097693")</f>
        <v>MGI:1097693</v>
      </c>
      <c r="J6036" s="4" t="s">
        <v>12</v>
      </c>
    </row>
    <row r="6037" spans="1:10" x14ac:dyDescent="0.25">
      <c r="A6037" s="2">
        <v>686.89637824326906</v>
      </c>
      <c r="B6037" s="3">
        <v>-0.50164893464203197</v>
      </c>
      <c r="C6037" s="5">
        <v>2.51114270306492E-7</v>
      </c>
      <c r="D6037" s="6">
        <v>1.10239835495192E-6</v>
      </c>
      <c r="E6037" s="3" t="s">
        <v>9001</v>
      </c>
      <c r="F6037" s="3" t="s">
        <v>9002</v>
      </c>
      <c r="G6037" s="3">
        <v>241311</v>
      </c>
      <c r="H6037" s="7" t="str">
        <f>HYPERLINK("http://www.ensembl.org/Mus_musculus/Gene/Summary?db=core;g=ENSMUSG00000068966","ENSMUSG00000068966")</f>
        <v>ENSMUSG00000068966</v>
      </c>
      <c r="I6037" s="7" t="str">
        <f>HYPERLINK("http://www.informatics.jax.org/marker/MGI:2685195","MGI:2685195")</f>
        <v>MGI:2685195</v>
      </c>
      <c r="J6037" s="4" t="s">
        <v>12</v>
      </c>
    </row>
    <row r="6038" spans="1:10" x14ac:dyDescent="0.25">
      <c r="A6038" s="2">
        <v>884.04229460375598</v>
      </c>
      <c r="B6038" s="3">
        <v>-0.50178966429602201</v>
      </c>
      <c r="C6038" s="5">
        <v>7.2398452279909799E-18</v>
      </c>
      <c r="D6038" s="6">
        <v>6.4865855472958697E-17</v>
      </c>
      <c r="E6038" s="3" t="s">
        <v>4419</v>
      </c>
      <c r="F6038" s="3" t="s">
        <v>4420</v>
      </c>
      <c r="G6038" s="3">
        <v>66839</v>
      </c>
      <c r="H6038" s="7" t="str">
        <f>HYPERLINK("http://www.ensembl.org/Mus_musculus/Gene/Summary?db=core;g=ENSMUSG00000024442","ENSMUSG00000024442")</f>
        <v>ENSMUSG00000024442</v>
      </c>
      <c r="I6038" s="7" t="str">
        <f>HYPERLINK("http://www.informatics.jax.org/marker/MGI:1914089","MGI:1914089")</f>
        <v>MGI:1914089</v>
      </c>
      <c r="J6038" s="4" t="s">
        <v>12</v>
      </c>
    </row>
    <row r="6039" spans="1:10" x14ac:dyDescent="0.25">
      <c r="A6039" s="2">
        <v>1956.1988750312801</v>
      </c>
      <c r="B6039" s="3">
        <v>-0.50238316213627399</v>
      </c>
      <c r="C6039" s="5">
        <v>1.32132768379485E-8</v>
      </c>
      <c r="D6039" s="6">
        <v>6.4769032872071505E-8</v>
      </c>
      <c r="E6039" s="3" t="s">
        <v>8063</v>
      </c>
      <c r="F6039" s="3" t="s">
        <v>8064</v>
      </c>
      <c r="G6039" s="3">
        <v>52683</v>
      </c>
      <c r="H6039" s="7" t="str">
        <f>HYPERLINK("http://www.ensembl.org/Mus_musculus/Gene/Summary?db=core;g=ENSMUSG00000008690","ENSMUSG00000008690")</f>
        <v>ENSMUSG00000008690</v>
      </c>
      <c r="I6039" s="7" t="str">
        <f>HYPERLINK("http://www.informatics.jax.org/marker/MGI:1289164","MGI:1289164")</f>
        <v>MGI:1289164</v>
      </c>
      <c r="J6039" s="4" t="s">
        <v>12</v>
      </c>
    </row>
    <row r="6040" spans="1:10" x14ac:dyDescent="0.25">
      <c r="A6040" s="2">
        <v>1553.38090730832</v>
      </c>
      <c r="B6040" s="3">
        <v>-0.502392737699213</v>
      </c>
      <c r="C6040" s="5">
        <v>4.9185158047513801E-25</v>
      </c>
      <c r="D6040" s="6">
        <v>5.99092845396523E-24</v>
      </c>
      <c r="E6040" s="3" t="s">
        <v>3258</v>
      </c>
      <c r="F6040" s="3" t="s">
        <v>3259</v>
      </c>
      <c r="G6040" s="3">
        <v>380959</v>
      </c>
      <c r="H6040" s="7" t="str">
        <f>HYPERLINK("http://www.ensembl.org/Mus_musculus/Gene/Summary?db=core;g=ENSMUSG00000075470","ENSMUSG00000075470")</f>
        <v>ENSMUSG00000075470</v>
      </c>
      <c r="I6040" s="7" t="str">
        <f>HYPERLINK("http://www.informatics.jax.org/marker/MGI:2146159","MGI:2146159")</f>
        <v>MGI:2146159</v>
      </c>
      <c r="J6040" s="4" t="s">
        <v>12</v>
      </c>
    </row>
    <row r="6041" spans="1:10" x14ac:dyDescent="0.25">
      <c r="A6041" s="2">
        <v>77.310749283506496</v>
      </c>
      <c r="B6041" s="3">
        <v>-0.50241102522486003</v>
      </c>
      <c r="C6041" s="3">
        <v>7.9275644828480699E-4</v>
      </c>
      <c r="D6041" s="4">
        <v>2.3722545007854902E-3</v>
      </c>
      <c r="E6041" s="3" t="s">
        <v>13189</v>
      </c>
      <c r="F6041" s="3" t="s">
        <v>13190</v>
      </c>
      <c r="G6041" s="3">
        <v>67980</v>
      </c>
      <c r="H6041" s="7" t="str">
        <f>HYPERLINK("http://www.ensembl.org/Mus_musculus/Gene/Summary?db=core;g=ENSMUSG00000029209","ENSMUSG00000029209")</f>
        <v>ENSMUSG00000029209</v>
      </c>
      <c r="I6041" s="7" t="str">
        <f>HYPERLINK("http://www.informatics.jax.org/marker/MGI:1915230","MGI:1915230")</f>
        <v>MGI:1915230</v>
      </c>
      <c r="J6041" s="4" t="s">
        <v>12</v>
      </c>
    </row>
    <row r="6042" spans="1:10" x14ac:dyDescent="0.25">
      <c r="A6042" s="2">
        <v>25.378996060774298</v>
      </c>
      <c r="B6042" s="3">
        <v>-0.50286099475813695</v>
      </c>
      <c r="C6042" s="3">
        <v>2.0541012276227701E-2</v>
      </c>
      <c r="D6042" s="4">
        <v>4.7795724140083901E-2</v>
      </c>
      <c r="E6042" s="3" t="s">
        <v>16954</v>
      </c>
      <c r="F6042" s="3" t="s">
        <v>16955</v>
      </c>
      <c r="G6042" s="3">
        <v>70726</v>
      </c>
      <c r="H6042" s="7" t="str">
        <f>HYPERLINK("http://www.ensembl.org/Mus_musculus/Gene/Summary?db=core;g=ENSMUSG00000038742","ENSMUSG00000038742")</f>
        <v>ENSMUSG00000038742</v>
      </c>
      <c r="I6042" s="7" t="str">
        <f>HYPERLINK("http://www.informatics.jax.org/marker/MGI:1917976","MGI:1917976")</f>
        <v>MGI:1917976</v>
      </c>
      <c r="J6042" s="4" t="s">
        <v>12</v>
      </c>
    </row>
    <row r="6043" spans="1:10" x14ac:dyDescent="0.25">
      <c r="A6043" s="2">
        <v>167.88773894654301</v>
      </c>
      <c r="B6043" s="3">
        <v>-0.50290004135305399</v>
      </c>
      <c r="C6043" s="5">
        <v>8.7506977621689194E-5</v>
      </c>
      <c r="D6043" s="4">
        <v>2.96909428544341E-4</v>
      </c>
      <c r="E6043" s="3" t="s">
        <v>11635</v>
      </c>
      <c r="F6043" s="3" t="s">
        <v>11636</v>
      </c>
      <c r="G6043" s="3">
        <v>19183</v>
      </c>
      <c r="H6043" s="7" t="str">
        <f>HYPERLINK("http://www.ensembl.org/Mus_musculus/Gene/Summary?db=core;g=ENSMUSG00000019303","ENSMUSG00000019303")</f>
        <v>ENSMUSG00000019303</v>
      </c>
      <c r="I6043" s="7" t="str">
        <f>HYPERLINK("http://www.informatics.jax.org/marker/MGI:1098610","MGI:1098610")</f>
        <v>MGI:1098610</v>
      </c>
      <c r="J6043" s="4" t="s">
        <v>12</v>
      </c>
    </row>
    <row r="6044" spans="1:10" x14ac:dyDescent="0.25">
      <c r="A6044" s="2">
        <v>34.8969263271645</v>
      </c>
      <c r="B6044" s="3">
        <v>-0.50305676217071904</v>
      </c>
      <c r="C6044" s="3">
        <v>1.2756140916117599E-2</v>
      </c>
      <c r="D6044" s="4">
        <v>3.1071034938962398E-2</v>
      </c>
      <c r="E6044" s="3" t="s">
        <v>16197</v>
      </c>
      <c r="F6044" s="3" t="s">
        <v>16198</v>
      </c>
      <c r="G6044" s="3" t="s">
        <v>83</v>
      </c>
      <c r="H6044" s="7" t="str">
        <f>HYPERLINK("http://www.ensembl.org/Mus_musculus/Gene/Summary?db=core;g=ENSMUSG00000090952","ENSMUSG00000090952")</f>
        <v>ENSMUSG00000090952</v>
      </c>
      <c r="I6044" s="7" t="str">
        <f>HYPERLINK("http://www.informatics.jax.org/marker/MGI:4936885","MGI:4936885")</f>
        <v>MGI:4936885</v>
      </c>
      <c r="J6044" s="4" t="s">
        <v>3187</v>
      </c>
    </row>
    <row r="6045" spans="1:10" x14ac:dyDescent="0.25">
      <c r="A6045" s="2">
        <v>198.791522508198</v>
      </c>
      <c r="B6045" s="3">
        <v>-0.50309953944149099</v>
      </c>
      <c r="C6045" s="5">
        <v>1.89260058033525E-6</v>
      </c>
      <c r="D6045" s="6">
        <v>7.6224455100724401E-6</v>
      </c>
      <c r="E6045" s="3" t="s">
        <v>9809</v>
      </c>
      <c r="F6045" s="3" t="s">
        <v>9810</v>
      </c>
      <c r="G6045" s="3">
        <v>210172</v>
      </c>
      <c r="H6045" s="7" t="str">
        <f>HYPERLINK("http://www.ensembl.org/Mus_musculus/Gene/Summary?db=core;g=ENSMUSG00000046541","ENSMUSG00000046541")</f>
        <v>ENSMUSG00000046541</v>
      </c>
      <c r="I6045" s="7" t="str">
        <f>HYPERLINK("http://www.informatics.jax.org/marker/MGI:2445181","MGI:2445181")</f>
        <v>MGI:2445181</v>
      </c>
      <c r="J6045" s="4" t="s">
        <v>12</v>
      </c>
    </row>
    <row r="6046" spans="1:10" x14ac:dyDescent="0.25">
      <c r="A6046" s="2">
        <v>661.62000701500904</v>
      </c>
      <c r="B6046" s="3">
        <v>-0.50322300968992195</v>
      </c>
      <c r="C6046" s="5">
        <v>7.1663420648839401E-12</v>
      </c>
      <c r="D6046" s="6">
        <v>4.5309479166242798E-11</v>
      </c>
      <c r="E6046" s="3" t="s">
        <v>6255</v>
      </c>
      <c r="F6046" s="3" t="s">
        <v>6256</v>
      </c>
      <c r="G6046" s="3">
        <v>17120</v>
      </c>
      <c r="H6046" s="7" t="str">
        <f>HYPERLINK("http://www.ensembl.org/Mus_musculus/Gene/Summary?db=core;g=ENSMUSG00000029554","ENSMUSG00000029554")</f>
        <v>ENSMUSG00000029554</v>
      </c>
      <c r="I6046" s="7" t="str">
        <f>HYPERLINK("http://www.informatics.jax.org/marker/MGI:1341857","MGI:1341857")</f>
        <v>MGI:1341857</v>
      </c>
      <c r="J6046" s="4" t="s">
        <v>12</v>
      </c>
    </row>
    <row r="6047" spans="1:10" x14ac:dyDescent="0.25">
      <c r="A6047" s="2">
        <v>204.01335613897399</v>
      </c>
      <c r="B6047" s="3">
        <v>-0.50341262002031095</v>
      </c>
      <c r="C6047" s="5">
        <v>7.5711646930473699E-7</v>
      </c>
      <c r="D6047" s="6">
        <v>3.1705960447418601E-6</v>
      </c>
      <c r="E6047" s="3" t="s">
        <v>9433</v>
      </c>
      <c r="F6047" s="3" t="s">
        <v>9434</v>
      </c>
      <c r="G6047" s="3">
        <v>69723</v>
      </c>
      <c r="H6047" s="7" t="str">
        <f>HYPERLINK("http://www.ensembl.org/Mus_musculus/Gene/Summary?db=core;g=ENSMUSG00000018449","ENSMUSG00000018449")</f>
        <v>ENSMUSG00000018449</v>
      </c>
      <c r="I6047" s="7" t="str">
        <f>HYPERLINK("http://www.informatics.jax.org/marker/MGI:1916973","MGI:1916973")</f>
        <v>MGI:1916973</v>
      </c>
      <c r="J6047" s="4" t="s">
        <v>12</v>
      </c>
    </row>
    <row r="6048" spans="1:10" x14ac:dyDescent="0.25">
      <c r="A6048" s="2">
        <v>735.96600980941298</v>
      </c>
      <c r="B6048" s="3">
        <v>-0.50356214957760903</v>
      </c>
      <c r="C6048" s="5">
        <v>2.1797053232189301E-6</v>
      </c>
      <c r="D6048" s="6">
        <v>8.7312185606088506E-6</v>
      </c>
      <c r="E6048" s="3" t="s">
        <v>9861</v>
      </c>
      <c r="F6048" s="3" t="s">
        <v>9862</v>
      </c>
      <c r="G6048" s="3">
        <v>70650</v>
      </c>
      <c r="H6048" s="7" t="str">
        <f>HYPERLINK("http://www.ensembl.org/Mus_musculus/Gene/Summary?db=core;g=ENSMUSG00000029427","ENSMUSG00000029427")</f>
        <v>ENSMUSG00000029427</v>
      </c>
      <c r="I6048" s="7" t="str">
        <f>HYPERLINK("http://www.informatics.jax.org/marker/MGI:1917900","MGI:1917900")</f>
        <v>MGI:1917900</v>
      </c>
      <c r="J6048" s="4" t="s">
        <v>12</v>
      </c>
    </row>
    <row r="6049" spans="1:10" x14ac:dyDescent="0.25">
      <c r="A6049" s="2">
        <v>1069.6092341427</v>
      </c>
      <c r="B6049" s="3">
        <v>-0.50360858693531396</v>
      </c>
      <c r="C6049" s="5">
        <v>5.0201389419434902E-10</v>
      </c>
      <c r="D6049" s="6">
        <v>2.7483936683821599E-9</v>
      </c>
      <c r="E6049" s="3" t="s">
        <v>7222</v>
      </c>
      <c r="F6049" s="3" t="s">
        <v>7223</v>
      </c>
      <c r="G6049" s="3">
        <v>71041</v>
      </c>
      <c r="H6049" s="7" t="str">
        <f>HYPERLINK("http://www.ensembl.org/Mus_musculus/Gene/Summary?db=core;g=ENSMUSG00000025050","ENSMUSG00000025050")</f>
        <v>ENSMUSG00000025050</v>
      </c>
      <c r="I6049" s="7" t="str">
        <f>HYPERLINK("http://www.informatics.jax.org/marker/MGI:1918291","MGI:1918291")</f>
        <v>MGI:1918291</v>
      </c>
      <c r="J6049" s="4" t="s">
        <v>12</v>
      </c>
    </row>
    <row r="6050" spans="1:10" x14ac:dyDescent="0.25">
      <c r="A6050" s="2">
        <v>1027.0175782763899</v>
      </c>
      <c r="B6050" s="3">
        <v>-0.50377506729590504</v>
      </c>
      <c r="C6050" s="3">
        <v>7.1979651638207701E-3</v>
      </c>
      <c r="D6050" s="4">
        <v>1.8436663596641902E-2</v>
      </c>
      <c r="E6050" s="3" t="s">
        <v>15403</v>
      </c>
      <c r="F6050" s="3" t="s">
        <v>15404</v>
      </c>
      <c r="G6050" s="3">
        <v>20893</v>
      </c>
      <c r="H6050" s="7" t="str">
        <f>HYPERLINK("http://www.ensembl.org/Mus_musculus/Gene/Summary?db=core;g=ENSMUSG00000030103","ENSMUSG00000030103")</f>
        <v>ENSMUSG00000030103</v>
      </c>
      <c r="I6050" s="7" t="str">
        <f>HYPERLINK("http://www.informatics.jax.org/marker/MGI:1097714","MGI:1097714")</f>
        <v>MGI:1097714</v>
      </c>
      <c r="J6050" s="4" t="s">
        <v>12</v>
      </c>
    </row>
    <row r="6051" spans="1:10" x14ac:dyDescent="0.25">
      <c r="A6051" s="2">
        <v>385.59800058347702</v>
      </c>
      <c r="B6051" s="3">
        <v>-0.503944236663741</v>
      </c>
      <c r="C6051" s="5">
        <v>4.3617129403741198E-9</v>
      </c>
      <c r="D6051" s="6">
        <v>2.2265850164167099E-8</v>
      </c>
      <c r="E6051" s="3" t="s">
        <v>7742</v>
      </c>
      <c r="F6051" s="3" t="s">
        <v>7743</v>
      </c>
      <c r="G6051" s="3">
        <v>68861</v>
      </c>
      <c r="H6051" s="7" t="str">
        <f>HYPERLINK("http://www.ensembl.org/Mus_musculus/Gene/Summary?db=core;g=ENSMUSG00000045414","ENSMUSG00000045414")</f>
        <v>ENSMUSG00000045414</v>
      </c>
      <c r="I6051" s="7" t="str">
        <f>HYPERLINK("http://www.informatics.jax.org/marker/MGI:1916111","MGI:1916111")</f>
        <v>MGI:1916111</v>
      </c>
      <c r="J6051" s="4" t="s">
        <v>12</v>
      </c>
    </row>
    <row r="6052" spans="1:10" x14ac:dyDescent="0.25">
      <c r="A6052" s="2">
        <v>264.187675766891</v>
      </c>
      <c r="B6052" s="3">
        <v>-0.50452902997353</v>
      </c>
      <c r="C6052" s="5">
        <v>1.80226978589654E-6</v>
      </c>
      <c r="D6052" s="6">
        <v>7.2680491161308297E-6</v>
      </c>
      <c r="E6052" s="3" t="s">
        <v>9795</v>
      </c>
      <c r="F6052" s="3" t="s">
        <v>9796</v>
      </c>
      <c r="G6052" s="3">
        <v>102871</v>
      </c>
      <c r="H6052" s="7" t="str">
        <f>HYPERLINK("http://www.ensembl.org/Mus_musculus/Gene/Summary?db=core;g=ENSMUSG00000042498","ENSMUSG00000042498")</f>
        <v>ENSMUSG00000042498</v>
      </c>
      <c r="I6052" s="7" t="str">
        <f>HYPERLINK("http://www.informatics.jax.org/marker/MGI:2147848","MGI:2147848")</f>
        <v>MGI:2147848</v>
      </c>
      <c r="J6052" s="4" t="s">
        <v>12</v>
      </c>
    </row>
    <row r="6053" spans="1:10" x14ac:dyDescent="0.25">
      <c r="A6053" s="2">
        <v>28.238369201974301</v>
      </c>
      <c r="B6053" s="3">
        <v>-0.50476289993458601</v>
      </c>
      <c r="C6053" s="3">
        <v>1.7451785029456299E-2</v>
      </c>
      <c r="D6053" s="4">
        <v>4.1274790211187101E-2</v>
      </c>
      <c r="E6053" s="3" t="s">
        <v>16680</v>
      </c>
      <c r="F6053" s="3" t="s">
        <v>16681</v>
      </c>
      <c r="G6053" s="3">
        <v>211798</v>
      </c>
      <c r="H6053" s="7" t="str">
        <f>HYPERLINK("http://www.ensembl.org/Mus_musculus/Gene/Summary?db=core;g=ENSMUSG00000041945","ENSMUSG00000041945")</f>
        <v>ENSMUSG00000041945</v>
      </c>
      <c r="I6053" s="7" t="str">
        <f>HYPERLINK("http://www.informatics.jax.org/marker/MGI:2443548","MGI:2443548")</f>
        <v>MGI:2443548</v>
      </c>
      <c r="J6053" s="4" t="s">
        <v>12</v>
      </c>
    </row>
    <row r="6054" spans="1:10" x14ac:dyDescent="0.25">
      <c r="A6054" s="2">
        <v>1774.2870867644101</v>
      </c>
      <c r="B6054" s="3">
        <v>-0.50522990279860802</v>
      </c>
      <c r="C6054" s="5">
        <v>3.8986029385030298E-17</v>
      </c>
      <c r="D6054" s="6">
        <v>3.3499106730840901E-16</v>
      </c>
      <c r="E6054" s="3" t="s">
        <v>4607</v>
      </c>
      <c r="F6054" s="3" t="s">
        <v>4608</v>
      </c>
      <c r="G6054" s="3">
        <v>66953</v>
      </c>
      <c r="H6054" s="7" t="str">
        <f>HYPERLINK("http://www.ensembl.org/Mus_musculus/Gene/Summary?db=core;g=ENSMUSG00000055612","ENSMUSG00000055612")</f>
        <v>ENSMUSG00000055612</v>
      </c>
      <c r="I6054" s="7" t="str">
        <f>HYPERLINK("http://www.informatics.jax.org/marker/MGI:1914203","MGI:1914203")</f>
        <v>MGI:1914203</v>
      </c>
      <c r="J6054" s="4" t="s">
        <v>12</v>
      </c>
    </row>
    <row r="6055" spans="1:10" x14ac:dyDescent="0.25">
      <c r="A6055" s="2">
        <v>214.71527532560901</v>
      </c>
      <c r="B6055" s="3">
        <v>-0.50527818213678499</v>
      </c>
      <c r="C6055" s="5">
        <v>7.0570534045654699E-8</v>
      </c>
      <c r="D6055" s="6">
        <v>3.2363975148379298E-7</v>
      </c>
      <c r="E6055" s="3" t="s">
        <v>8617</v>
      </c>
      <c r="F6055" s="3" t="s">
        <v>8618</v>
      </c>
      <c r="G6055" s="3">
        <v>55947</v>
      </c>
      <c r="H6055" s="7" t="str">
        <f>HYPERLINK("http://www.ensembl.org/Mus_musculus/Gene/Summary?db=core;g=ENSMUSG00000025077","ENSMUSG00000025077")</f>
        <v>ENSMUSG00000025077</v>
      </c>
      <c r="I6055" s="7" t="str">
        <f>HYPERLINK("http://www.informatics.jax.org/marker/MGI:1930042","MGI:1930042")</f>
        <v>MGI:1930042</v>
      </c>
      <c r="J6055" s="4" t="s">
        <v>12</v>
      </c>
    </row>
    <row r="6056" spans="1:10" x14ac:dyDescent="0.25">
      <c r="A6056" s="2">
        <v>846.082044669997</v>
      </c>
      <c r="B6056" s="3">
        <v>-0.50554181526143205</v>
      </c>
      <c r="C6056" s="5">
        <v>3.5956274961167701E-8</v>
      </c>
      <c r="D6056" s="6">
        <v>1.69307006264142E-7</v>
      </c>
      <c r="E6056" s="3" t="s">
        <v>8393</v>
      </c>
      <c r="F6056" s="3" t="s">
        <v>8394</v>
      </c>
      <c r="G6056" s="3">
        <v>94181</v>
      </c>
      <c r="H6056" s="7" t="str">
        <f>HYPERLINK("http://www.ensembl.org/Mus_musculus/Gene/Summary?db=core;g=ENSMUSG00000028334","ENSMUSG00000028334")</f>
        <v>ENSMUSG00000028334</v>
      </c>
      <c r="I6056" s="7" t="str">
        <f>HYPERLINK("http://www.informatics.jax.org/marker/MGI:2149820","MGI:2149820")</f>
        <v>MGI:2149820</v>
      </c>
      <c r="J6056" s="4" t="s">
        <v>12</v>
      </c>
    </row>
    <row r="6057" spans="1:10" x14ac:dyDescent="0.25">
      <c r="A6057" s="2">
        <v>1099.61896627139</v>
      </c>
      <c r="B6057" s="3">
        <v>-0.50567528054265898</v>
      </c>
      <c r="C6057" s="5">
        <v>2.60316105437559E-17</v>
      </c>
      <c r="D6057" s="6">
        <v>2.2614244930522699E-16</v>
      </c>
      <c r="E6057" s="3" t="s">
        <v>4557</v>
      </c>
      <c r="F6057" s="3" t="s">
        <v>4558</v>
      </c>
      <c r="G6057" s="3">
        <v>270627</v>
      </c>
      <c r="H6057" s="7" t="str">
        <f>HYPERLINK("http://www.ensembl.org/Mus_musculus/Gene/Summary?db=core;g=ENSMUSG00000031314","ENSMUSG00000031314")</f>
        <v>ENSMUSG00000031314</v>
      </c>
      <c r="I6057" s="7" t="str">
        <f>HYPERLINK("http://www.informatics.jax.org/marker/MGI:1336878","MGI:1336878")</f>
        <v>MGI:1336878</v>
      </c>
      <c r="J6057" s="4" t="s">
        <v>12</v>
      </c>
    </row>
    <row r="6058" spans="1:10" x14ac:dyDescent="0.25">
      <c r="A6058" s="2">
        <v>1608.79748218138</v>
      </c>
      <c r="B6058" s="3">
        <v>-0.50588706760609903</v>
      </c>
      <c r="C6058" s="5">
        <v>5.2194111426127196E-7</v>
      </c>
      <c r="D6058" s="6">
        <v>2.2235210138760602E-6</v>
      </c>
      <c r="E6058" s="3" t="s">
        <v>9273</v>
      </c>
      <c r="F6058" s="3" t="s">
        <v>9274</v>
      </c>
      <c r="G6058" s="3">
        <v>104759</v>
      </c>
      <c r="H6058" s="7" t="str">
        <f>HYPERLINK("http://www.ensembl.org/Mus_musculus/Gene/Summary?db=core;g=ENSMUSG00000052160","ENSMUSG00000052160")</f>
        <v>ENSMUSG00000052160</v>
      </c>
      <c r="I6058" s="7" t="str">
        <f>HYPERLINK("http://www.informatics.jax.org/marker/MGI:2144765","MGI:2144765")</f>
        <v>MGI:2144765</v>
      </c>
      <c r="J6058" s="4" t="s">
        <v>12</v>
      </c>
    </row>
    <row r="6059" spans="1:10" x14ac:dyDescent="0.25">
      <c r="A6059" s="2">
        <v>494.01608848120799</v>
      </c>
      <c r="B6059" s="3">
        <v>-0.50622656240479602</v>
      </c>
      <c r="C6059" s="5">
        <v>7.7112613415212597E-11</v>
      </c>
      <c r="D6059" s="6">
        <v>4.5083330463919097E-10</v>
      </c>
      <c r="E6059" s="3" t="s">
        <v>6764</v>
      </c>
      <c r="F6059" s="3" t="s">
        <v>6765</v>
      </c>
      <c r="G6059" s="3">
        <v>100273</v>
      </c>
      <c r="H6059" s="7" t="str">
        <f>HYPERLINK("http://www.ensembl.org/Mus_musculus/Gene/Summary?db=core;g=ENSMUSG00000028559","ENSMUSG00000028559")</f>
        <v>ENSMUSG00000028559</v>
      </c>
      <c r="I6059" s="7" t="str">
        <f>HYPERLINK("http://www.informatics.jax.org/marker/MGI:1923784","MGI:1923784")</f>
        <v>MGI:1923784</v>
      </c>
      <c r="J6059" s="4" t="s">
        <v>12</v>
      </c>
    </row>
    <row r="6060" spans="1:10" x14ac:dyDescent="0.25">
      <c r="A6060" s="2">
        <v>86.238410163894002</v>
      </c>
      <c r="B6060" s="3">
        <v>-0.50688680578658996</v>
      </c>
      <c r="C6060" s="3">
        <v>3.1596103754856898E-4</v>
      </c>
      <c r="D6060" s="4">
        <v>9.9819795906084304E-4</v>
      </c>
      <c r="E6060" s="3" t="s">
        <v>12497</v>
      </c>
      <c r="F6060" s="3" t="s">
        <v>12498</v>
      </c>
      <c r="G6060" s="3">
        <v>105000</v>
      </c>
      <c r="H6060" s="7" t="str">
        <f>HYPERLINK("http://www.ensembl.org/Mus_musculus/Gene/Summary?db=core;g=ENSMUSG00000042523","ENSMUSG00000042523")</f>
        <v>ENSMUSG00000042523</v>
      </c>
      <c r="I6060" s="7" t="str">
        <f>HYPERLINK("http://www.informatics.jax.org/marker/MGI:1921462","MGI:1921462")</f>
        <v>MGI:1921462</v>
      </c>
      <c r="J6060" s="4" t="s">
        <v>12</v>
      </c>
    </row>
    <row r="6061" spans="1:10" x14ac:dyDescent="0.25">
      <c r="A6061" s="2">
        <v>378.517600138641</v>
      </c>
      <c r="B6061" s="3">
        <v>-0.50708557671034404</v>
      </c>
      <c r="C6061" s="5">
        <v>1.1978721779705E-14</v>
      </c>
      <c r="D6061" s="6">
        <v>9.0401987560575402E-14</v>
      </c>
      <c r="E6061" s="3" t="s">
        <v>5243</v>
      </c>
      <c r="F6061" s="3" t="s">
        <v>5244</v>
      </c>
      <c r="G6061" s="3">
        <v>67255</v>
      </c>
      <c r="H6061" s="7" t="str">
        <f>HYPERLINK("http://www.ensembl.org/Mus_musculus/Gene/Summary?db=core;g=ENSMUSG00000059878","ENSMUSG00000059878")</f>
        <v>ENSMUSG00000059878</v>
      </c>
      <c r="I6061" s="7" t="str">
        <f>HYPERLINK("http://www.informatics.jax.org/marker/MGI:1914505","MGI:1914505")</f>
        <v>MGI:1914505</v>
      </c>
      <c r="J6061" s="4" t="s">
        <v>12</v>
      </c>
    </row>
    <row r="6062" spans="1:10" x14ac:dyDescent="0.25">
      <c r="A6062" s="2">
        <v>76.725552545690505</v>
      </c>
      <c r="B6062" s="3">
        <v>-0.50713910115005401</v>
      </c>
      <c r="C6062" s="3">
        <v>9.1844458562765003E-4</v>
      </c>
      <c r="D6062" s="4">
        <v>2.7239776249928199E-3</v>
      </c>
      <c r="E6062" s="3" t="s">
        <v>13306</v>
      </c>
      <c r="F6062" s="3" t="s">
        <v>13307</v>
      </c>
      <c r="G6062" s="3">
        <v>73728</v>
      </c>
      <c r="H6062" s="7" t="str">
        <f>HYPERLINK("http://www.ensembl.org/Mus_musculus/Gene/Summary?db=core;g=ENSMUSG00000037126","ENSMUSG00000037126")</f>
        <v>ENSMUSG00000037126</v>
      </c>
      <c r="I6062" s="7" t="str">
        <f>HYPERLINK("http://www.informatics.jax.org/marker/MGI:1920978","MGI:1920978")</f>
        <v>MGI:1920978</v>
      </c>
      <c r="J6062" s="4" t="s">
        <v>12</v>
      </c>
    </row>
    <row r="6063" spans="1:10" x14ac:dyDescent="0.25">
      <c r="A6063" s="2">
        <v>3586.9282263007799</v>
      </c>
      <c r="B6063" s="3">
        <v>-0.50731469688582398</v>
      </c>
      <c r="C6063" s="5">
        <v>4.6232463046647805E-16</v>
      </c>
      <c r="D6063" s="6">
        <v>3.74109220878085E-15</v>
      </c>
      <c r="E6063" s="3" t="s">
        <v>4891</v>
      </c>
      <c r="F6063" s="3" t="s">
        <v>4892</v>
      </c>
      <c r="G6063" s="3">
        <v>67177</v>
      </c>
      <c r="H6063" s="7" t="str">
        <f>HYPERLINK("http://www.ensembl.org/Mus_musculus/Gene/Summary?db=core;g=ENSMUSG00000006585","ENSMUSG00000006585")</f>
        <v>ENSMUSG00000006585</v>
      </c>
      <c r="I6063" s="7" t="str">
        <f>HYPERLINK("http://www.informatics.jax.org/marker/MGI:1914427","MGI:1914427")</f>
        <v>MGI:1914427</v>
      </c>
      <c r="J6063" s="4" t="s">
        <v>12</v>
      </c>
    </row>
    <row r="6064" spans="1:10" x14ac:dyDescent="0.25">
      <c r="A6064" s="2">
        <v>98.596441532313094</v>
      </c>
      <c r="B6064" s="3">
        <v>-0.50745753666059401</v>
      </c>
      <c r="C6064" s="3">
        <v>1.6104291966271499E-3</v>
      </c>
      <c r="D6064" s="4">
        <v>4.6105783620045398E-3</v>
      </c>
      <c r="E6064" s="3" t="s">
        <v>13783</v>
      </c>
      <c r="F6064" s="3" t="s">
        <v>13784</v>
      </c>
      <c r="G6064" s="3">
        <v>56876</v>
      </c>
      <c r="H6064" s="7" t="str">
        <f>HYPERLINK("http://www.ensembl.org/Mus_musculus/Gene/Summary?db=core;g=ENSMUSG00000006476","ENSMUSG00000006476")</f>
        <v>ENSMUSG00000006476</v>
      </c>
      <c r="I6064" s="7" t="str">
        <f>HYPERLINK("http://www.informatics.jax.org/marker/MGI:1861755","MGI:1861755")</f>
        <v>MGI:1861755</v>
      </c>
      <c r="J6064" s="4" t="s">
        <v>12</v>
      </c>
    </row>
    <row r="6065" spans="1:10" x14ac:dyDescent="0.25">
      <c r="A6065" s="2">
        <v>1480.70912409327</v>
      </c>
      <c r="B6065" s="3">
        <v>-0.50758815508848198</v>
      </c>
      <c r="C6065" s="3">
        <v>5.9725818451648296E-4</v>
      </c>
      <c r="D6065" s="4">
        <v>1.82123571960183E-3</v>
      </c>
      <c r="E6065" s="3" t="s">
        <v>12943</v>
      </c>
      <c r="F6065" s="3" t="s">
        <v>12944</v>
      </c>
      <c r="G6065" s="3">
        <v>74551</v>
      </c>
      <c r="H6065" s="7" t="str">
        <f>HYPERLINK("http://www.ensembl.org/Mus_musculus/Gene/Summary?db=core;g=ENSMUSG00000040618","ENSMUSG00000040618")</f>
        <v>ENSMUSG00000040618</v>
      </c>
      <c r="I6065" s="7" t="str">
        <f>HYPERLINK("http://www.informatics.jax.org/marker/MGI:1860456","MGI:1860456")</f>
        <v>MGI:1860456</v>
      </c>
      <c r="J6065" s="4" t="s">
        <v>12</v>
      </c>
    </row>
    <row r="6066" spans="1:10" x14ac:dyDescent="0.25">
      <c r="A6066" s="2">
        <v>437.14191231656099</v>
      </c>
      <c r="B6066" s="3">
        <v>-0.50796164868730298</v>
      </c>
      <c r="C6066" s="3">
        <v>1.40904196907E-3</v>
      </c>
      <c r="D6066" s="4">
        <v>4.0666719592659904E-3</v>
      </c>
      <c r="E6066" s="3" t="s">
        <v>13673</v>
      </c>
      <c r="F6066" s="3" t="s">
        <v>13674</v>
      </c>
      <c r="G6066" s="3">
        <v>68041</v>
      </c>
      <c r="H6066" s="7" t="str">
        <f>HYPERLINK("http://www.ensembl.org/Mus_musculus/Gene/Summary?db=core;g=ENSMUSG00000008035","ENSMUSG00000008035")</f>
        <v>ENSMUSG00000008035</v>
      </c>
      <c r="I6066" s="7" t="str">
        <f>HYPERLINK("http://www.informatics.jax.org/marker/MGI:1915291","MGI:1915291")</f>
        <v>MGI:1915291</v>
      </c>
      <c r="J6066" s="4" t="s">
        <v>12</v>
      </c>
    </row>
    <row r="6067" spans="1:10" x14ac:dyDescent="0.25">
      <c r="A6067" s="2">
        <v>349.05552987053301</v>
      </c>
      <c r="B6067" s="3">
        <v>-0.50806794896757002</v>
      </c>
      <c r="C6067" s="5">
        <v>9.8642251089315496E-8</v>
      </c>
      <c r="D6067" s="6">
        <v>4.47383898684752E-7</v>
      </c>
      <c r="E6067" s="3" t="s">
        <v>8713</v>
      </c>
      <c r="F6067" s="3" t="s">
        <v>8714</v>
      </c>
      <c r="G6067" s="3">
        <v>22245</v>
      </c>
      <c r="H6067" s="7" t="str">
        <f>HYPERLINK("http://www.ensembl.org/Mus_musculus/Gene/Summary?db=core;g=ENSMUSG00000002550","ENSMUSG00000002550")</f>
        <v>ENSMUSG00000002550</v>
      </c>
      <c r="I6067" s="7" t="str">
        <f>HYPERLINK("http://www.informatics.jax.org/marker/MGI:98904","MGI:98904")</f>
        <v>MGI:98904</v>
      </c>
      <c r="J6067" s="4" t="s">
        <v>12</v>
      </c>
    </row>
    <row r="6068" spans="1:10" x14ac:dyDescent="0.25">
      <c r="A6068" s="2">
        <v>151.58841775996399</v>
      </c>
      <c r="B6068" s="3">
        <v>-0.50854991770434499</v>
      </c>
      <c r="C6068" s="5">
        <v>1.52323263113651E-7</v>
      </c>
      <c r="D6068" s="6">
        <v>6.78521515383148E-7</v>
      </c>
      <c r="E6068" s="3" t="s">
        <v>8871</v>
      </c>
      <c r="F6068" s="3" t="s">
        <v>8872</v>
      </c>
      <c r="G6068" s="3">
        <v>76889</v>
      </c>
      <c r="H6068" s="7" t="str">
        <f>HYPERLINK("http://www.ensembl.org/Mus_musculus/Gene/Summary?db=core;g=ENSMUSG00000003762","ENSMUSG00000003762")</f>
        <v>ENSMUSG00000003762</v>
      </c>
      <c r="I6068" s="7" t="str">
        <f>HYPERLINK("http://www.informatics.jax.org/marker/MGI:1924139","MGI:1924139")</f>
        <v>MGI:1924139</v>
      </c>
      <c r="J6068" s="4" t="s">
        <v>12</v>
      </c>
    </row>
    <row r="6069" spans="1:10" x14ac:dyDescent="0.25">
      <c r="A6069" s="2">
        <v>884.38960854149195</v>
      </c>
      <c r="B6069" s="3">
        <v>-0.50863124249352398</v>
      </c>
      <c r="C6069" s="5">
        <v>2.60600181960879E-17</v>
      </c>
      <c r="D6069" s="6">
        <v>2.26289545938729E-16</v>
      </c>
      <c r="E6069" s="3" t="s">
        <v>4559</v>
      </c>
      <c r="F6069" s="3" t="s">
        <v>4560</v>
      </c>
      <c r="G6069" s="3">
        <v>17850</v>
      </c>
      <c r="H6069" s="7" t="str">
        <f>HYPERLINK("http://www.ensembl.org/Mus_musculus/Gene/Summary?db=core;g=ENSMUSG00000023921","ENSMUSG00000023921")</f>
        <v>ENSMUSG00000023921</v>
      </c>
      <c r="I6069" s="7" t="str">
        <f>HYPERLINK("http://www.informatics.jax.org/marker/MGI:97239","MGI:97239")</f>
        <v>MGI:97239</v>
      </c>
      <c r="J6069" s="4" t="s">
        <v>12</v>
      </c>
    </row>
    <row r="6070" spans="1:10" x14ac:dyDescent="0.25">
      <c r="A6070" s="2">
        <v>2740.2909945249098</v>
      </c>
      <c r="B6070" s="3">
        <v>-0.50895610271527303</v>
      </c>
      <c r="C6070" s="5">
        <v>4.5995640858292299E-5</v>
      </c>
      <c r="D6070" s="4">
        <v>1.6079312847465399E-4</v>
      </c>
      <c r="E6070" s="3" t="s">
        <v>11293</v>
      </c>
      <c r="F6070" s="3" t="s">
        <v>11294</v>
      </c>
      <c r="G6070" s="3">
        <v>74202</v>
      </c>
      <c r="H6070" s="7" t="str">
        <f>HYPERLINK("http://www.ensembl.org/Mus_musculus/Gene/Summary?db=core;g=ENSMUSG00000006219","ENSMUSG00000006219")</f>
        <v>ENSMUSG00000006219</v>
      </c>
      <c r="I6070" s="7" t="str">
        <f>HYPERLINK("http://www.informatics.jax.org/marker/MGI:1921452","MGI:1921452")</f>
        <v>MGI:1921452</v>
      </c>
      <c r="J6070" s="4" t="s">
        <v>12</v>
      </c>
    </row>
    <row r="6071" spans="1:10" x14ac:dyDescent="0.25">
      <c r="A6071" s="2">
        <v>77.812776888982199</v>
      </c>
      <c r="B6071" s="3">
        <v>-0.50923212610435098</v>
      </c>
      <c r="C6071" s="3">
        <v>1.2223037316225599E-3</v>
      </c>
      <c r="D6071" s="4">
        <v>3.55986258862753E-3</v>
      </c>
      <c r="E6071" s="3" t="s">
        <v>13551</v>
      </c>
      <c r="F6071" s="3" t="s">
        <v>13552</v>
      </c>
      <c r="G6071" s="3">
        <v>100072</v>
      </c>
      <c r="H6071" s="7" t="str">
        <f>HYPERLINK("http://www.ensembl.org/Mus_musculus/Gene/Summary?db=core;g=ENSMUSG00000014592","ENSMUSG00000014592")</f>
        <v>ENSMUSG00000014592</v>
      </c>
      <c r="I6071" s="7" t="str">
        <f>HYPERLINK("http://www.informatics.jax.org/marker/MGI:2140230","MGI:2140230")</f>
        <v>MGI:2140230</v>
      </c>
      <c r="J6071" s="4" t="s">
        <v>12</v>
      </c>
    </row>
    <row r="6072" spans="1:10" x14ac:dyDescent="0.25">
      <c r="A6072" s="2">
        <v>73.797413673393706</v>
      </c>
      <c r="B6072" s="3">
        <v>-0.50933480999280101</v>
      </c>
      <c r="C6072" s="3">
        <v>2.6884816648958099E-4</v>
      </c>
      <c r="D6072" s="4">
        <v>8.5760042755977505E-4</v>
      </c>
      <c r="E6072" s="3" t="s">
        <v>12376</v>
      </c>
      <c r="F6072" s="3" t="s">
        <v>12377</v>
      </c>
      <c r="G6072" s="3">
        <v>319535</v>
      </c>
      <c r="H6072" s="7" t="str">
        <f>HYPERLINK("http://www.ensembl.org/Mus_musculus/Gene/Summary?db=core;g=ENSMUSG00000054737","ENSMUSG00000054737")</f>
        <v>ENSMUSG00000054737</v>
      </c>
      <c r="I6072" s="7" t="str">
        <f>HYPERLINK("http://www.informatics.jax.org/marker/MGI:2442220","MGI:2442220")</f>
        <v>MGI:2442220</v>
      </c>
      <c r="J6072" s="4" t="s">
        <v>12</v>
      </c>
    </row>
    <row r="6073" spans="1:10" x14ac:dyDescent="0.25">
      <c r="A6073" s="2">
        <v>1417.66589403015</v>
      </c>
      <c r="B6073" s="3">
        <v>-0.50937330595399899</v>
      </c>
      <c r="C6073" s="5">
        <v>4.89295112248354E-12</v>
      </c>
      <c r="D6073" s="6">
        <v>3.13785353285774E-11</v>
      </c>
      <c r="E6073" s="3" t="s">
        <v>6167</v>
      </c>
      <c r="F6073" s="3" t="s">
        <v>6168</v>
      </c>
      <c r="G6073" s="3">
        <v>319758</v>
      </c>
      <c r="H6073" s="7" t="str">
        <f>HYPERLINK("http://www.ensembl.org/Mus_musculus/Gene/Summary?db=core;g=ENSMUSG00000037674","ENSMUSG00000037674")</f>
        <v>ENSMUSG00000037674</v>
      </c>
      <c r="I6073" s="7" t="str">
        <f>HYPERLINK("http://www.informatics.jax.org/marker/MGI:2442675","MGI:2442675")</f>
        <v>MGI:2442675</v>
      </c>
      <c r="J6073" s="4" t="s">
        <v>12</v>
      </c>
    </row>
    <row r="6074" spans="1:10" x14ac:dyDescent="0.25">
      <c r="A6074" s="2">
        <v>261.356869611729</v>
      </c>
      <c r="B6074" s="3">
        <v>-0.50950683246636097</v>
      </c>
      <c r="C6074" s="5">
        <v>8.2940947248256399E-7</v>
      </c>
      <c r="D6074" s="6">
        <v>3.4557267689322101E-6</v>
      </c>
      <c r="E6074" s="3" t="s">
        <v>9481</v>
      </c>
      <c r="F6074" s="3" t="s">
        <v>9482</v>
      </c>
      <c r="G6074" s="3">
        <v>71151</v>
      </c>
      <c r="H6074" s="7" t="str">
        <f>HYPERLINK("http://www.ensembl.org/Mus_musculus/Gene/Summary?db=core;g=ENSMUSG00000030929","ENSMUSG00000030929")</f>
        <v>ENSMUSG00000030929</v>
      </c>
      <c r="I6074" s="7" t="str">
        <f>HYPERLINK("http://www.informatics.jax.org/marker/MGI:1918401","MGI:1918401")</f>
        <v>MGI:1918401</v>
      </c>
      <c r="J6074" s="4" t="s">
        <v>12</v>
      </c>
    </row>
    <row r="6075" spans="1:10" x14ac:dyDescent="0.25">
      <c r="A6075" s="2">
        <v>32.7185008522682</v>
      </c>
      <c r="B6075" s="3">
        <v>-0.50959864722477</v>
      </c>
      <c r="C6075" s="3">
        <v>1.70082078263885E-2</v>
      </c>
      <c r="D6075" s="4">
        <v>4.0332113797063598E-2</v>
      </c>
      <c r="E6075" s="3" t="s">
        <v>16636</v>
      </c>
      <c r="F6075" s="3" t="s">
        <v>16637</v>
      </c>
      <c r="G6075" s="3" t="s">
        <v>83</v>
      </c>
      <c r="H6075" s="7" t="str">
        <f>HYPERLINK("http://www.ensembl.org/Mus_musculus/Gene/Summary?db=core;g=ENSMUSG00000117113","ENSMUSG00000117113")</f>
        <v>ENSMUSG00000117113</v>
      </c>
      <c r="I6075" s="7" t="str">
        <f>HYPERLINK("http://www.informatics.jax.org/marker/MGI:6270565","MGI:6270565")</f>
        <v>MGI:6270565</v>
      </c>
      <c r="J6075" s="4" t="s">
        <v>1828</v>
      </c>
    </row>
    <row r="6076" spans="1:10" x14ac:dyDescent="0.25">
      <c r="A6076" s="2">
        <v>1408.1623583108301</v>
      </c>
      <c r="B6076" s="3">
        <v>-0.51064458525454304</v>
      </c>
      <c r="C6076" s="5">
        <v>1.7773194059240999E-19</v>
      </c>
      <c r="D6076" s="6">
        <v>1.72568875848465E-18</v>
      </c>
      <c r="E6076" s="3" t="s">
        <v>4079</v>
      </c>
      <c r="F6076" s="3" t="s">
        <v>4080</v>
      </c>
      <c r="G6076" s="3">
        <v>19765</v>
      </c>
      <c r="H6076" s="7" t="str">
        <f>HYPERLINK("http://www.ensembl.org/Mus_musculus/Gene/Summary?db=core;g=ENSMUSG00000024096","ENSMUSG00000024096")</f>
        <v>ENSMUSG00000024096</v>
      </c>
      <c r="I6076" s="7" t="str">
        <f>HYPERLINK("http://www.informatics.jax.org/marker/MGI:108466","MGI:108466")</f>
        <v>MGI:108466</v>
      </c>
      <c r="J6076" s="4" t="s">
        <v>12</v>
      </c>
    </row>
    <row r="6077" spans="1:10" x14ac:dyDescent="0.25">
      <c r="A6077" s="2">
        <v>94.576293372442706</v>
      </c>
      <c r="B6077" s="3">
        <v>-0.51079641441613799</v>
      </c>
      <c r="C6077" s="3">
        <v>1.6334169439176401E-4</v>
      </c>
      <c r="D6077" s="4">
        <v>5.3551092492195901E-4</v>
      </c>
      <c r="E6077" s="3" t="s">
        <v>12041</v>
      </c>
      <c r="F6077" s="3" t="s">
        <v>12042</v>
      </c>
      <c r="G6077" s="3">
        <v>66935</v>
      </c>
      <c r="H6077" s="7" t="str">
        <f>HYPERLINK("http://www.ensembl.org/Mus_musculus/Gene/Summary?db=core;g=ENSMUSG00000041777","ENSMUSG00000041777")</f>
        <v>ENSMUSG00000041777</v>
      </c>
      <c r="I6077" s="7" t="str">
        <f>HYPERLINK("http://www.informatics.jax.org/marker/MGI:1914185","MGI:1914185")</f>
        <v>MGI:1914185</v>
      </c>
      <c r="J6077" s="4" t="s">
        <v>12</v>
      </c>
    </row>
    <row r="6078" spans="1:10" x14ac:dyDescent="0.25">
      <c r="A6078" s="2">
        <v>42.466530219145298</v>
      </c>
      <c r="B6078" s="3">
        <v>-0.51091151065464402</v>
      </c>
      <c r="C6078" s="3">
        <v>3.3674859571963698E-3</v>
      </c>
      <c r="D6078" s="4">
        <v>9.1582985899755099E-3</v>
      </c>
      <c r="E6078" s="3" t="s">
        <v>14505</v>
      </c>
      <c r="F6078" s="3" t="s">
        <v>14506</v>
      </c>
      <c r="G6078" s="3">
        <v>21961</v>
      </c>
      <c r="H6078" s="7" t="str">
        <f>HYPERLINK("http://www.ensembl.org/Mus_musculus/Gene/Summary?db=core;g=ENSMUSG00000055322","ENSMUSG00000055322")</f>
        <v>ENSMUSG00000055322</v>
      </c>
      <c r="I6078" s="7" t="str">
        <f>HYPERLINK("http://www.informatics.jax.org/marker/MGI:104552","MGI:104552")</f>
        <v>MGI:104552</v>
      </c>
      <c r="J6078" s="4" t="s">
        <v>12</v>
      </c>
    </row>
    <row r="6079" spans="1:10" x14ac:dyDescent="0.25">
      <c r="A6079" s="2">
        <v>776.38553928167403</v>
      </c>
      <c r="B6079" s="3">
        <v>-0.51096553279436197</v>
      </c>
      <c r="C6079" s="5">
        <v>4.8267891669316098E-12</v>
      </c>
      <c r="D6079" s="6">
        <v>3.0994556291726201E-11</v>
      </c>
      <c r="E6079" s="3" t="s">
        <v>6159</v>
      </c>
      <c r="F6079" s="3" t="s">
        <v>6160</v>
      </c>
      <c r="G6079" s="3">
        <v>67675</v>
      </c>
      <c r="H6079" s="7" t="str">
        <f>HYPERLINK("http://www.ensembl.org/Mus_musculus/Gene/Summary?db=core;g=ENSMUSG00000024194","ENSMUSG00000024194")</f>
        <v>ENSMUSG00000024194</v>
      </c>
      <c r="I6079" s="7" t="str">
        <f>HYPERLINK("http://www.informatics.jax.org/marker/MGI:1914925","MGI:1914925")</f>
        <v>MGI:1914925</v>
      </c>
      <c r="J6079" s="4" t="s">
        <v>12</v>
      </c>
    </row>
    <row r="6080" spans="1:10" x14ac:dyDescent="0.25">
      <c r="A6080" s="2">
        <v>57.634725621719298</v>
      </c>
      <c r="B6080" s="3">
        <v>-0.51103501659123696</v>
      </c>
      <c r="C6080" s="3">
        <v>1.27878761643499E-2</v>
      </c>
      <c r="D6080" s="4">
        <v>3.1136796883686899E-2</v>
      </c>
      <c r="E6080" s="3" t="s">
        <v>16203</v>
      </c>
      <c r="F6080" s="3" t="s">
        <v>16204</v>
      </c>
      <c r="G6080" s="3" t="s">
        <v>83</v>
      </c>
      <c r="H6080" s="7" t="str">
        <f>HYPERLINK("http://www.ensembl.org/Mus_musculus/Gene/Summary?db=core;g=ENSMUSG00000085667","ENSMUSG00000085667")</f>
        <v>ENSMUSG00000085667</v>
      </c>
      <c r="I6080" s="7" t="str">
        <f>HYPERLINK("http://www.informatics.jax.org/marker/MGI:3702644","MGI:3702644")</f>
        <v>MGI:3702644</v>
      </c>
      <c r="J6080" s="4" t="s">
        <v>331</v>
      </c>
    </row>
    <row r="6081" spans="1:10" x14ac:dyDescent="0.25">
      <c r="A6081" s="2">
        <v>237.27777223980101</v>
      </c>
      <c r="B6081" s="3">
        <v>-0.51106606397598497</v>
      </c>
      <c r="C6081" s="5">
        <v>5.4761681619114301E-9</v>
      </c>
      <c r="D6081" s="6">
        <v>2.7725298113708198E-8</v>
      </c>
      <c r="E6081" s="3" t="s">
        <v>7806</v>
      </c>
      <c r="F6081" s="3" t="s">
        <v>7807</v>
      </c>
      <c r="G6081" s="3">
        <v>67892</v>
      </c>
      <c r="H6081" s="7" t="str">
        <f>HYPERLINK("http://www.ensembl.org/Mus_musculus/Gene/Summary?db=core;g=ENSMUSG00000051671","ENSMUSG00000051671")</f>
        <v>ENSMUSG00000051671</v>
      </c>
      <c r="I6081" s="7" t="str">
        <f>HYPERLINK("http://www.informatics.jax.org/marker/MGI:1915142","MGI:1915142")</f>
        <v>MGI:1915142</v>
      </c>
      <c r="J6081" s="4" t="s">
        <v>12</v>
      </c>
    </row>
    <row r="6082" spans="1:10" x14ac:dyDescent="0.25">
      <c r="A6082" s="2">
        <v>1900.2910633947199</v>
      </c>
      <c r="B6082" s="3">
        <v>-0.51106629768391298</v>
      </c>
      <c r="C6082" s="5">
        <v>2.8667094545544698E-9</v>
      </c>
      <c r="D6082" s="6">
        <v>1.48221055175181E-8</v>
      </c>
      <c r="E6082" s="3" t="s">
        <v>7644</v>
      </c>
      <c r="F6082" s="3" t="s">
        <v>7645</v>
      </c>
      <c r="G6082" s="3">
        <v>320024</v>
      </c>
      <c r="H6082" s="7" t="str">
        <f>HYPERLINK("http://www.ensembl.org/Mus_musculus/Gene/Summary?db=core;g=ENSMUSG00000027698","ENSMUSG00000027698")</f>
        <v>ENSMUSG00000027698</v>
      </c>
      <c r="I6082" s="7" t="str">
        <f>HYPERLINK("http://www.informatics.jax.org/marker/MGI:2443191","MGI:2443191")</f>
        <v>MGI:2443191</v>
      </c>
      <c r="J6082" s="4" t="s">
        <v>12</v>
      </c>
    </row>
    <row r="6083" spans="1:10" x14ac:dyDescent="0.25">
      <c r="A6083" s="2">
        <v>130.456651495648</v>
      </c>
      <c r="B6083" s="3">
        <v>-0.51124302209978401</v>
      </c>
      <c r="C6083" s="3">
        <v>2.3624438885198399E-4</v>
      </c>
      <c r="D6083" s="4">
        <v>7.6036222427960302E-4</v>
      </c>
      <c r="E6083" s="3" t="s">
        <v>12265</v>
      </c>
      <c r="F6083" s="3" t="s">
        <v>12266</v>
      </c>
      <c r="G6083" s="3">
        <v>67839</v>
      </c>
      <c r="H6083" s="7" t="str">
        <f>HYPERLINK("http://www.ensembl.org/Mus_musculus/Gene/Summary?db=core;g=ENSMUSG00000026930","ENSMUSG00000026930")</f>
        <v>ENSMUSG00000026930</v>
      </c>
      <c r="I6083" s="7" t="str">
        <f>HYPERLINK("http://www.informatics.jax.org/marker/MGI:1915089","MGI:1915089")</f>
        <v>MGI:1915089</v>
      </c>
      <c r="J6083" s="4" t="s">
        <v>12</v>
      </c>
    </row>
    <row r="6084" spans="1:10" x14ac:dyDescent="0.25">
      <c r="A6084" s="2">
        <v>524.18622715648598</v>
      </c>
      <c r="B6084" s="3">
        <v>-0.51127892414996601</v>
      </c>
      <c r="C6084" s="5">
        <v>1.3409929046313701E-12</v>
      </c>
      <c r="D6084" s="6">
        <v>8.9278798377213706E-12</v>
      </c>
      <c r="E6084" s="3" t="s">
        <v>5941</v>
      </c>
      <c r="F6084" s="3" t="s">
        <v>5942</v>
      </c>
      <c r="G6084" s="3">
        <v>67211</v>
      </c>
      <c r="H6084" s="7" t="str">
        <f>HYPERLINK("http://www.ensembl.org/Mus_musculus/Gene/Summary?db=core;g=ENSMUSG00000038525","ENSMUSG00000038525")</f>
        <v>ENSMUSG00000038525</v>
      </c>
      <c r="I6084" s="7" t="str">
        <f>HYPERLINK("http://www.informatics.jax.org/marker/MGI:1914461","MGI:1914461")</f>
        <v>MGI:1914461</v>
      </c>
      <c r="J6084" s="4" t="s">
        <v>12</v>
      </c>
    </row>
    <row r="6085" spans="1:10" x14ac:dyDescent="0.25">
      <c r="A6085" s="2">
        <v>221.15223796037401</v>
      </c>
      <c r="B6085" s="3">
        <v>-0.51155443739374595</v>
      </c>
      <c r="C6085" s="5">
        <v>3.21463858883802E-7</v>
      </c>
      <c r="D6085" s="6">
        <v>1.3990879049191301E-6</v>
      </c>
      <c r="E6085" s="3" t="s">
        <v>9077</v>
      </c>
      <c r="F6085" s="3" t="s">
        <v>9078</v>
      </c>
      <c r="G6085" s="3">
        <v>69179</v>
      </c>
      <c r="H6085" s="7" t="str">
        <f>HYPERLINK("http://www.ensembl.org/Mus_musculus/Gene/Summary?db=core;g=ENSMUSG00000006526","ENSMUSG00000006526")</f>
        <v>ENSMUSG00000006526</v>
      </c>
      <c r="I6085" s="7" t="str">
        <f>HYPERLINK("http://www.informatics.jax.org/marker/MGI:1921500","MGI:1921500")</f>
        <v>MGI:1921500</v>
      </c>
      <c r="J6085" s="4" t="s">
        <v>12</v>
      </c>
    </row>
    <row r="6086" spans="1:10" x14ac:dyDescent="0.25">
      <c r="A6086" s="2">
        <v>96.985435032497094</v>
      </c>
      <c r="B6086" s="3">
        <v>-0.51157299688729296</v>
      </c>
      <c r="C6086" s="5">
        <v>7.0038839955283207E-5</v>
      </c>
      <c r="D6086" s="4">
        <v>2.3995238428043501E-4</v>
      </c>
      <c r="E6086" s="3" t="s">
        <v>11523</v>
      </c>
      <c r="F6086" s="3" t="s">
        <v>11524</v>
      </c>
      <c r="G6086" s="3">
        <v>242362</v>
      </c>
      <c r="H6086" s="7" t="str">
        <f>HYPERLINK("http://www.ensembl.org/Mus_musculus/Gene/Summary?db=core;g=ENSMUSG00000040520","ENSMUSG00000040520")</f>
        <v>ENSMUSG00000040520</v>
      </c>
      <c r="I6086" s="7" t="str">
        <f>HYPERLINK("http://www.informatics.jax.org/marker/MGI:2444484","MGI:2444484")</f>
        <v>MGI:2444484</v>
      </c>
      <c r="J6086" s="4" t="s">
        <v>12</v>
      </c>
    </row>
    <row r="6087" spans="1:10" x14ac:dyDescent="0.25">
      <c r="A6087" s="2">
        <v>317.60044824588698</v>
      </c>
      <c r="B6087" s="3">
        <v>-0.51164461414446105</v>
      </c>
      <c r="C6087" s="5">
        <v>1.2172682069331401E-8</v>
      </c>
      <c r="D6087" s="6">
        <v>5.9966347840923005E-8</v>
      </c>
      <c r="E6087" s="3" t="s">
        <v>8023</v>
      </c>
      <c r="F6087" s="3" t="s">
        <v>8024</v>
      </c>
      <c r="G6087" s="3">
        <v>22275</v>
      </c>
      <c r="H6087" s="7" t="str">
        <f>HYPERLINK("http://www.ensembl.org/Mus_musculus/Gene/Summary?db=core;g=ENSMUSG00000028684","ENSMUSG00000028684")</f>
        <v>ENSMUSG00000028684</v>
      </c>
      <c r="I6087" s="7" t="str">
        <f>HYPERLINK("http://www.informatics.jax.org/marker/MGI:98916","MGI:98916")</f>
        <v>MGI:98916</v>
      </c>
      <c r="J6087" s="4" t="s">
        <v>12</v>
      </c>
    </row>
    <row r="6088" spans="1:10" x14ac:dyDescent="0.25">
      <c r="A6088" s="2">
        <v>403.41603628035898</v>
      </c>
      <c r="B6088" s="3">
        <v>-0.51165144549533503</v>
      </c>
      <c r="C6088" s="5">
        <v>1.7213095365852E-6</v>
      </c>
      <c r="D6088" s="6">
        <v>6.9543585456791897E-6</v>
      </c>
      <c r="E6088" s="3" t="s">
        <v>9777</v>
      </c>
      <c r="F6088" s="3" t="s">
        <v>9778</v>
      </c>
      <c r="G6088" s="3">
        <v>76123</v>
      </c>
      <c r="H6088" s="7" t="str">
        <f>HYPERLINK("http://www.ensembl.org/Mus_musculus/Gene/Summary?db=core;g=ENSMUSG00000027883","ENSMUSG00000027883")</f>
        <v>ENSMUSG00000027883</v>
      </c>
      <c r="I6088" s="7" t="str">
        <f>HYPERLINK("http://www.informatics.jax.org/marker/MGI:1923373","MGI:1923373")</f>
        <v>MGI:1923373</v>
      </c>
      <c r="J6088" s="4" t="s">
        <v>12</v>
      </c>
    </row>
    <row r="6089" spans="1:10" x14ac:dyDescent="0.25">
      <c r="A6089" s="2">
        <v>662.31116077495301</v>
      </c>
      <c r="B6089" s="3">
        <v>-0.51188169796805405</v>
      </c>
      <c r="C6089" s="5">
        <v>3.1324444959729902E-20</v>
      </c>
      <c r="D6089" s="6">
        <v>3.1436033313276002E-19</v>
      </c>
      <c r="E6089" s="3" t="s">
        <v>3948</v>
      </c>
      <c r="F6089" s="3" t="s">
        <v>3949</v>
      </c>
      <c r="G6089" s="3">
        <v>11907</v>
      </c>
      <c r="H6089" s="7" t="str">
        <f>HYPERLINK("http://www.ensembl.org/Mus_musculus/Gene/Summary?db=core;g=ENSMUSG00000030850","ENSMUSG00000030850")</f>
        <v>ENSMUSG00000030850</v>
      </c>
      <c r="I6089" s="7" t="str">
        <f>HYPERLINK("http://www.informatics.jax.org/marker/MGI:1333870","MGI:1333870")</f>
        <v>MGI:1333870</v>
      </c>
      <c r="J6089" s="4" t="s">
        <v>12</v>
      </c>
    </row>
    <row r="6090" spans="1:10" x14ac:dyDescent="0.25">
      <c r="A6090" s="2">
        <v>176.224731847637</v>
      </c>
      <c r="B6090" s="3">
        <v>-0.51192426157763704</v>
      </c>
      <c r="C6090" s="5">
        <v>2.6254782316229598E-7</v>
      </c>
      <c r="D6090" s="6">
        <v>1.15054290505789E-6</v>
      </c>
      <c r="E6090" s="3" t="s">
        <v>9015</v>
      </c>
      <c r="F6090" s="3" t="s">
        <v>9016</v>
      </c>
      <c r="G6090" s="3">
        <v>71941</v>
      </c>
      <c r="H6090" s="7" t="str">
        <f>HYPERLINK("http://www.ensembl.org/Mus_musculus/Gene/Summary?db=core;g=ENSMUSG00000056228","ENSMUSG00000056228")</f>
        <v>ENSMUSG00000056228</v>
      </c>
      <c r="I6090" s="7" t="str">
        <f>HYPERLINK("http://www.informatics.jax.org/marker/MGI:1919191","MGI:1919191")</f>
        <v>MGI:1919191</v>
      </c>
      <c r="J6090" s="4" t="s">
        <v>12</v>
      </c>
    </row>
    <row r="6091" spans="1:10" x14ac:dyDescent="0.25">
      <c r="A6091" s="2">
        <v>91.440504771652002</v>
      </c>
      <c r="B6091" s="3">
        <v>-0.51195250853164498</v>
      </c>
      <c r="C6091" s="3">
        <v>1.29951537877405E-4</v>
      </c>
      <c r="D6091" s="4">
        <v>4.3185782388648801E-4</v>
      </c>
      <c r="E6091" s="3" t="s">
        <v>11879</v>
      </c>
      <c r="F6091" s="3" t="s">
        <v>11880</v>
      </c>
      <c r="G6091" s="3">
        <v>72085</v>
      </c>
      <c r="H6091" s="7" t="str">
        <f>HYPERLINK("http://www.ensembl.org/Mus_musculus/Gene/Summary?db=core;g=ENSMUSG00000026096","ENSMUSG00000026096")</f>
        <v>ENSMUSG00000026096</v>
      </c>
      <c r="I6091" s="7" t="str">
        <f>HYPERLINK("http://www.informatics.jax.org/marker/MGI:1919335","MGI:1919335")</f>
        <v>MGI:1919335</v>
      </c>
      <c r="J6091" s="4" t="s">
        <v>12</v>
      </c>
    </row>
    <row r="6092" spans="1:10" x14ac:dyDescent="0.25">
      <c r="A6092" s="2">
        <v>130.45233570203899</v>
      </c>
      <c r="B6092" s="3">
        <v>-0.51230274531255104</v>
      </c>
      <c r="C6092" s="5">
        <v>1.00281915343844E-5</v>
      </c>
      <c r="D6092" s="6">
        <v>3.7517726628355298E-5</v>
      </c>
      <c r="E6092" s="3" t="s">
        <v>10555</v>
      </c>
      <c r="F6092" s="3" t="s">
        <v>10556</v>
      </c>
      <c r="G6092" s="3">
        <v>57813</v>
      </c>
      <c r="H6092" s="7" t="str">
        <f>HYPERLINK("http://www.ensembl.org/Mus_musculus/Gene/Summary?db=core;g=ENSMUSG00000035824","ENSMUSG00000035824")</f>
        <v>ENSMUSG00000035824</v>
      </c>
      <c r="I6092" s="7" t="str">
        <f>HYPERLINK("http://www.informatics.jax.org/marker/MGI:1913266","MGI:1913266")</f>
        <v>MGI:1913266</v>
      </c>
      <c r="J6092" s="4" t="s">
        <v>12</v>
      </c>
    </row>
    <row r="6093" spans="1:10" x14ac:dyDescent="0.25">
      <c r="A6093" s="2">
        <v>267.133945976723</v>
      </c>
      <c r="B6093" s="3">
        <v>-0.51231536887877704</v>
      </c>
      <c r="C6093" s="5">
        <v>4.0651702996423101E-7</v>
      </c>
      <c r="D6093" s="6">
        <v>1.75033096744424E-6</v>
      </c>
      <c r="E6093" s="3" t="s">
        <v>9173</v>
      </c>
      <c r="F6093" s="3" t="s">
        <v>9174</v>
      </c>
      <c r="G6093" s="3">
        <v>56520</v>
      </c>
      <c r="H6093" s="7" t="str">
        <f>HYPERLINK("http://www.ensembl.org/Mus_musculus/Gene/Summary?db=core;g=ENSMUSG00000024177","ENSMUSG00000024177")</f>
        <v>ENSMUSG00000024177</v>
      </c>
      <c r="I6093" s="7" t="str">
        <f>HYPERLINK("http://www.informatics.jax.org/marker/MGI:1931148","MGI:1931148")</f>
        <v>MGI:1931148</v>
      </c>
      <c r="J6093" s="4" t="s">
        <v>12</v>
      </c>
    </row>
    <row r="6094" spans="1:10" x14ac:dyDescent="0.25">
      <c r="A6094" s="2">
        <v>385.53239410724098</v>
      </c>
      <c r="B6094" s="3">
        <v>-0.51241583449195705</v>
      </c>
      <c r="C6094" s="5">
        <v>6.4845973606345205E-10</v>
      </c>
      <c r="D6094" s="6">
        <v>3.5208221352343799E-9</v>
      </c>
      <c r="E6094" s="3" t="s">
        <v>7282</v>
      </c>
      <c r="F6094" s="3" t="s">
        <v>7283</v>
      </c>
      <c r="G6094" s="3">
        <v>246221</v>
      </c>
      <c r="H6094" s="7" t="str">
        <f>HYPERLINK("http://www.ensembl.org/Mus_musculus/Gene/Summary?db=core;g=ENSMUSG00000071711","ENSMUSG00000071711")</f>
        <v>ENSMUSG00000071711</v>
      </c>
      <c r="I6094" s="7" t="str">
        <f>HYPERLINK("http://www.informatics.jax.org/marker/MGI:2179733","MGI:2179733")</f>
        <v>MGI:2179733</v>
      </c>
      <c r="J6094" s="4" t="s">
        <v>12</v>
      </c>
    </row>
    <row r="6095" spans="1:10" x14ac:dyDescent="0.25">
      <c r="A6095" s="2">
        <v>1970.06649246285</v>
      </c>
      <c r="B6095" s="3">
        <v>-0.51244566788483303</v>
      </c>
      <c r="C6095" s="5">
        <v>2.9576240664453398E-19</v>
      </c>
      <c r="D6095" s="6">
        <v>2.8395494931987401E-18</v>
      </c>
      <c r="E6095" s="3" t="s">
        <v>4125</v>
      </c>
      <c r="F6095" s="3" t="s">
        <v>4126</v>
      </c>
      <c r="G6095" s="3">
        <v>234736</v>
      </c>
      <c r="H6095" s="7" t="str">
        <f>HYPERLINK("http://www.ensembl.org/Mus_musculus/Gene/Summary?db=core;g=ENSMUSG00000033596","ENSMUSG00000033596")</f>
        <v>ENSMUSG00000033596</v>
      </c>
      <c r="I6095" s="7" t="str">
        <f>HYPERLINK("http://www.informatics.jax.org/marker/MGI:2384584","MGI:2384584")</f>
        <v>MGI:2384584</v>
      </c>
      <c r="J6095" s="4" t="s">
        <v>12</v>
      </c>
    </row>
    <row r="6096" spans="1:10" x14ac:dyDescent="0.25">
      <c r="A6096" s="2">
        <v>147.40082077902301</v>
      </c>
      <c r="B6096" s="3">
        <v>-0.51249004896890504</v>
      </c>
      <c r="C6096" s="5">
        <v>9.1675238270653393E-6</v>
      </c>
      <c r="D6096" s="6">
        <v>3.4467792158194198E-5</v>
      </c>
      <c r="E6096" s="3" t="s">
        <v>10504</v>
      </c>
      <c r="F6096" s="3" t="s">
        <v>10505</v>
      </c>
      <c r="G6096" s="3">
        <v>94346</v>
      </c>
      <c r="H6096" s="7" t="str">
        <f>HYPERLINK("http://www.ensembl.org/Mus_musculus/Gene/Summary?db=core;g=ENSMUSG00000059900","ENSMUSG00000059900")</f>
        <v>ENSMUSG00000059900</v>
      </c>
      <c r="I6096" s="7" t="str">
        <f>HYPERLINK("http://www.informatics.jax.org/marker/MGI:2137870","MGI:2137870")</f>
        <v>MGI:2137870</v>
      </c>
      <c r="J6096" s="4" t="s">
        <v>12</v>
      </c>
    </row>
    <row r="6097" spans="1:10" x14ac:dyDescent="0.25">
      <c r="A6097" s="2">
        <v>103.14919266443</v>
      </c>
      <c r="B6097" s="3">
        <v>-0.51321916300276305</v>
      </c>
      <c r="C6097" s="5">
        <v>8.25990198947897E-5</v>
      </c>
      <c r="D6097" s="4">
        <v>2.8093354127720798E-4</v>
      </c>
      <c r="E6097" s="3" t="s">
        <v>11607</v>
      </c>
      <c r="F6097" s="3" t="s">
        <v>11608</v>
      </c>
      <c r="G6097" s="3">
        <v>231668</v>
      </c>
      <c r="H6097" s="7" t="str">
        <f>HYPERLINK("http://www.ensembl.org/Mus_musculus/Gene/Summary?db=core;g=ENSMUSG00000066894","ENSMUSG00000066894")</f>
        <v>ENSMUSG00000066894</v>
      </c>
      <c r="I6097" s="7" t="str">
        <f>HYPERLINK("http://www.informatics.jax.org/marker/MGI:2448533","MGI:2448533")</f>
        <v>MGI:2448533</v>
      </c>
      <c r="J6097" s="4" t="s">
        <v>12</v>
      </c>
    </row>
    <row r="6098" spans="1:10" x14ac:dyDescent="0.25">
      <c r="A6098" s="2">
        <v>172.90976693839599</v>
      </c>
      <c r="B6098" s="3">
        <v>-0.51321992544443296</v>
      </c>
      <c r="C6098" s="5">
        <v>3.20570192533513E-6</v>
      </c>
      <c r="D6098" s="6">
        <v>1.2602958924961901E-5</v>
      </c>
      <c r="E6098" s="3" t="s">
        <v>10048</v>
      </c>
      <c r="F6098" s="3" t="s">
        <v>10049</v>
      </c>
      <c r="G6098" s="3">
        <v>26450</v>
      </c>
      <c r="H6098" s="7" t="str">
        <f>HYPERLINK("http://www.ensembl.org/Mus_musculus/Gene/Summary?db=core;g=ENSMUSG00000027428","ENSMUSG00000027428")</f>
        <v>ENSMUSG00000027428</v>
      </c>
      <c r="I6098" s="7" t="str">
        <f>HYPERLINK("http://www.informatics.jax.org/marker/MGI:1347074","MGI:1347074")</f>
        <v>MGI:1347074</v>
      </c>
      <c r="J6098" s="4" t="s">
        <v>12</v>
      </c>
    </row>
    <row r="6099" spans="1:10" x14ac:dyDescent="0.25">
      <c r="A6099" s="2">
        <v>234.25532566094401</v>
      </c>
      <c r="B6099" s="3">
        <v>-0.513307955616644</v>
      </c>
      <c r="C6099" s="5">
        <v>5.9871049279354899E-7</v>
      </c>
      <c r="D6099" s="6">
        <v>2.5357755407836699E-6</v>
      </c>
      <c r="E6099" s="3" t="s">
        <v>9327</v>
      </c>
      <c r="F6099" s="3" t="s">
        <v>9328</v>
      </c>
      <c r="G6099" s="3">
        <v>80987</v>
      </c>
      <c r="H6099" s="7" t="str">
        <f>HYPERLINK("http://www.ensembl.org/Mus_musculus/Gene/Summary?db=core;g=ENSMUSG00000032598","ENSMUSG00000032598")</f>
        <v>ENSMUSG00000032598</v>
      </c>
      <c r="I6099" s="7" t="str">
        <f>HYPERLINK("http://www.informatics.jax.org/marker/MGI:1931834","MGI:1931834")</f>
        <v>MGI:1931834</v>
      </c>
      <c r="J6099" s="4" t="s">
        <v>12</v>
      </c>
    </row>
    <row r="6100" spans="1:10" x14ac:dyDescent="0.25">
      <c r="A6100" s="2">
        <v>174.49635527332799</v>
      </c>
      <c r="B6100" s="3">
        <v>-0.51345997112610597</v>
      </c>
      <c r="C6100" s="5">
        <v>3.2967712152271499E-6</v>
      </c>
      <c r="D6100" s="6">
        <v>1.29480837212267E-5</v>
      </c>
      <c r="E6100" s="3" t="s">
        <v>10058</v>
      </c>
      <c r="F6100" s="3" t="s">
        <v>10059</v>
      </c>
      <c r="G6100" s="3">
        <v>232196</v>
      </c>
      <c r="H6100" s="7" t="str">
        <f>HYPERLINK("http://www.ensembl.org/Mus_musculus/Gene/Summary?db=core;g=ENSMUSG00000046679","ENSMUSG00000046679")</f>
        <v>ENSMUSG00000046679</v>
      </c>
      <c r="I6100" s="7" t="str">
        <f>HYPERLINK("http://www.informatics.jax.org/marker/MGI:2141787","MGI:2141787")</f>
        <v>MGI:2141787</v>
      </c>
      <c r="J6100" s="4" t="s">
        <v>12</v>
      </c>
    </row>
    <row r="6101" spans="1:10" x14ac:dyDescent="0.25">
      <c r="A6101" s="2">
        <v>802.01683210589204</v>
      </c>
      <c r="B6101" s="3">
        <v>-0.51414386476449103</v>
      </c>
      <c r="C6101" s="5">
        <v>2.51408237199865E-9</v>
      </c>
      <c r="D6101" s="6">
        <v>1.3039901203527999E-8</v>
      </c>
      <c r="E6101" s="3" t="s">
        <v>7622</v>
      </c>
      <c r="F6101" s="3" t="s">
        <v>7623</v>
      </c>
      <c r="G6101" s="3">
        <v>16568</v>
      </c>
      <c r="H6101" s="7" t="str">
        <f>HYPERLINK("http://www.ensembl.org/Mus_musculus/Gene/Summary?db=core;g=ENSMUSG00000018395","ENSMUSG00000018395")</f>
        <v>ENSMUSG00000018395</v>
      </c>
      <c r="I6101" s="7" t="str">
        <f>HYPERLINK("http://www.informatics.jax.org/marker/MGI:107689","MGI:107689")</f>
        <v>MGI:107689</v>
      </c>
      <c r="J6101" s="4" t="s">
        <v>12</v>
      </c>
    </row>
    <row r="6102" spans="1:10" x14ac:dyDescent="0.25">
      <c r="A6102" s="2">
        <v>778.53871518436199</v>
      </c>
      <c r="B6102" s="3">
        <v>-0.51516812029127101</v>
      </c>
      <c r="C6102" s="5">
        <v>8.3208168233353595E-12</v>
      </c>
      <c r="D6102" s="6">
        <v>5.2340193861618299E-11</v>
      </c>
      <c r="E6102" s="3" t="s">
        <v>6287</v>
      </c>
      <c r="F6102" s="3" t="s">
        <v>6288</v>
      </c>
      <c r="G6102" s="3">
        <v>227541</v>
      </c>
      <c r="H6102" s="7" t="str">
        <f>HYPERLINK("http://www.ensembl.org/Mus_musculus/Gene/Summary?db=core;g=ENSMUSG00000039145","ENSMUSG00000039145")</f>
        <v>ENSMUSG00000039145</v>
      </c>
      <c r="I6102" s="7" t="str">
        <f>HYPERLINK("http://www.informatics.jax.org/marker/MGI:2442190","MGI:2442190")</f>
        <v>MGI:2442190</v>
      </c>
      <c r="J6102" s="4" t="s">
        <v>12</v>
      </c>
    </row>
    <row r="6103" spans="1:10" x14ac:dyDescent="0.25">
      <c r="A6103" s="2">
        <v>1368.9498476946201</v>
      </c>
      <c r="B6103" s="3">
        <v>-0.51520508841496404</v>
      </c>
      <c r="C6103" s="5">
        <v>1.16359867288238E-19</v>
      </c>
      <c r="D6103" s="6">
        <v>1.13651143284995E-18</v>
      </c>
      <c r="E6103" s="3" t="s">
        <v>4055</v>
      </c>
      <c r="F6103" s="3" t="s">
        <v>4056</v>
      </c>
      <c r="G6103" s="3">
        <v>77683</v>
      </c>
      <c r="H6103" s="7" t="str">
        <f>HYPERLINK("http://www.ensembl.org/Mus_musculus/Gene/Summary?db=core;g=ENSMUSG00000036893","ENSMUSG00000036893")</f>
        <v>ENSMUSG00000036893</v>
      </c>
      <c r="I6103" s="7" t="str">
        <f>HYPERLINK("http://www.informatics.jax.org/marker/MGI:1924933","MGI:1924933")</f>
        <v>MGI:1924933</v>
      </c>
      <c r="J6103" s="4" t="s">
        <v>12</v>
      </c>
    </row>
    <row r="6104" spans="1:10" x14ac:dyDescent="0.25">
      <c r="A6104" s="2">
        <v>311.12079207647298</v>
      </c>
      <c r="B6104" s="3">
        <v>-0.51559729364034101</v>
      </c>
      <c r="C6104" s="5">
        <v>5.0829263232501603E-12</v>
      </c>
      <c r="D6104" s="6">
        <v>3.2501720847760403E-11</v>
      </c>
      <c r="E6104" s="3" t="s">
        <v>6185</v>
      </c>
      <c r="F6104" s="3" t="s">
        <v>6186</v>
      </c>
      <c r="G6104" s="3">
        <v>72475</v>
      </c>
      <c r="H6104" s="7" t="str">
        <f>HYPERLINK("http://www.ensembl.org/Mus_musculus/Gene/Summary?db=core;g=ENSMUSG00000061887","ENSMUSG00000061887")</f>
        <v>ENSMUSG00000061887</v>
      </c>
      <c r="I6104" s="7" t="str">
        <f>HYPERLINK("http://www.informatics.jax.org/marker/MGI:1919725","MGI:1919725")</f>
        <v>MGI:1919725</v>
      </c>
      <c r="J6104" s="4" t="s">
        <v>12</v>
      </c>
    </row>
    <row r="6105" spans="1:10" x14ac:dyDescent="0.25">
      <c r="A6105" s="2">
        <v>4313.3252688447901</v>
      </c>
      <c r="B6105" s="3">
        <v>-0.51619447189891099</v>
      </c>
      <c r="C6105" s="5">
        <v>4.7417706096011395E-13</v>
      </c>
      <c r="D6105" s="6">
        <v>3.2445425545223601E-12</v>
      </c>
      <c r="E6105" s="3" t="s">
        <v>5781</v>
      </c>
      <c r="F6105" s="3" t="s">
        <v>5782</v>
      </c>
      <c r="G6105" s="3">
        <v>19357</v>
      </c>
      <c r="H6105" s="7" t="str">
        <f>HYPERLINK("http://www.ensembl.org/Mus_musculus/Gene/Summary?db=core;g=ENSMUSG00000022314","ENSMUSG00000022314")</f>
        <v>ENSMUSG00000022314</v>
      </c>
      <c r="I6105" s="7" t="str">
        <f>HYPERLINK("http://www.informatics.jax.org/marker/MGI:108016","MGI:108016")</f>
        <v>MGI:108016</v>
      </c>
      <c r="J6105" s="4" t="s">
        <v>12</v>
      </c>
    </row>
    <row r="6106" spans="1:10" x14ac:dyDescent="0.25">
      <c r="A6106" s="2">
        <v>248.667052808937</v>
      </c>
      <c r="B6106" s="3">
        <v>-0.516464777771382</v>
      </c>
      <c r="C6106" s="5">
        <v>3.4931454608155597E-8</v>
      </c>
      <c r="D6106" s="6">
        <v>1.646386914132E-7</v>
      </c>
      <c r="E6106" s="3" t="s">
        <v>8385</v>
      </c>
      <c r="F6106" s="3" t="s">
        <v>8386</v>
      </c>
      <c r="G6106" s="3">
        <v>110012</v>
      </c>
      <c r="H6106" s="7" t="str">
        <f>HYPERLINK("http://www.ensembl.org/Mus_musculus/Gene/Summary?db=core;g=ENSMUSG00000020308","ENSMUSG00000020308")</f>
        <v>ENSMUSG00000020308</v>
      </c>
      <c r="I6106" s="7" t="str">
        <f>HYPERLINK("http://www.informatics.jax.org/marker/MGI:106618","MGI:106618")</f>
        <v>MGI:106618</v>
      </c>
      <c r="J6106" s="4" t="s">
        <v>12</v>
      </c>
    </row>
    <row r="6107" spans="1:10" x14ac:dyDescent="0.25">
      <c r="A6107" s="2">
        <v>36.372290411895399</v>
      </c>
      <c r="B6107" s="3">
        <v>-0.51647901982470501</v>
      </c>
      <c r="C6107" s="3">
        <v>1.52621868994323E-2</v>
      </c>
      <c r="D6107" s="4">
        <v>3.6556580305697098E-2</v>
      </c>
      <c r="E6107" s="3" t="s">
        <v>16469</v>
      </c>
      <c r="F6107" s="3" t="s">
        <v>16470</v>
      </c>
      <c r="G6107" s="3" t="s">
        <v>83</v>
      </c>
      <c r="H6107" s="7" t="str">
        <f>HYPERLINK("http://www.ensembl.org/Mus_musculus/Gene/Summary?db=core;g=ENSMUSG00000113585","ENSMUSG00000113585")</f>
        <v>ENSMUSG00000113585</v>
      </c>
      <c r="I6107" s="7" t="str">
        <f>HYPERLINK("http://www.informatics.jax.org/marker/MGI:5011790","MGI:5011790")</f>
        <v>MGI:5011790</v>
      </c>
      <c r="J6107" s="4" t="s">
        <v>331</v>
      </c>
    </row>
    <row r="6108" spans="1:10" x14ac:dyDescent="0.25">
      <c r="A6108" s="2">
        <v>35.089077489854702</v>
      </c>
      <c r="B6108" s="3">
        <v>-0.51649361401587202</v>
      </c>
      <c r="C6108" s="3">
        <v>1.73582362443741E-2</v>
      </c>
      <c r="D6108" s="4">
        <v>4.1073244389135601E-2</v>
      </c>
      <c r="E6108" s="3" t="s">
        <v>16672</v>
      </c>
      <c r="F6108" s="3" t="s">
        <v>16673</v>
      </c>
      <c r="G6108" s="3">
        <v>80890</v>
      </c>
      <c r="H6108" s="7" t="str">
        <f>HYPERLINK("http://www.ensembl.org/Mus_musculus/Gene/Summary?db=core;g=ENSMUSG00000027993","ENSMUSG00000027993")</f>
        <v>ENSMUSG00000027993</v>
      </c>
      <c r="I6108" s="7" t="str">
        <f>HYPERLINK("http://www.informatics.jax.org/marker/MGI:1933163","MGI:1933163")</f>
        <v>MGI:1933163</v>
      </c>
      <c r="J6108" s="4" t="s">
        <v>12</v>
      </c>
    </row>
    <row r="6109" spans="1:10" x14ac:dyDescent="0.25">
      <c r="A6109" s="2">
        <v>8537.6359843975897</v>
      </c>
      <c r="B6109" s="3">
        <v>-0.51677254477380397</v>
      </c>
      <c r="C6109" s="5">
        <v>4.5802296951108498E-20</v>
      </c>
      <c r="D6109" s="6">
        <v>4.5502332285937501E-19</v>
      </c>
      <c r="E6109" s="3" t="s">
        <v>3988</v>
      </c>
      <c r="F6109" s="3" t="s">
        <v>3989</v>
      </c>
      <c r="G6109" s="3">
        <v>65972</v>
      </c>
      <c r="H6109" s="7" t="str">
        <f>HYPERLINK("http://www.ensembl.org/Mus_musculus/Gene/Summary?db=core;g=ENSMUSG00000031838","ENSMUSG00000031838")</f>
        <v>ENSMUSG00000031838</v>
      </c>
      <c r="I6109" s="7" t="str">
        <f>HYPERLINK("http://www.informatics.jax.org/marker/MGI:2137648","MGI:2137648")</f>
        <v>MGI:2137648</v>
      </c>
      <c r="J6109" s="4" t="s">
        <v>331</v>
      </c>
    </row>
    <row r="6110" spans="1:10" x14ac:dyDescent="0.25">
      <c r="A6110" s="2">
        <v>1291.73523052976</v>
      </c>
      <c r="B6110" s="3">
        <v>-0.51725514401971195</v>
      </c>
      <c r="C6110" s="5">
        <v>1.1917350884194601E-22</v>
      </c>
      <c r="D6110" s="6">
        <v>1.3315023197525099E-21</v>
      </c>
      <c r="E6110" s="3" t="s">
        <v>3548</v>
      </c>
      <c r="F6110" s="3" t="s">
        <v>3549</v>
      </c>
      <c r="G6110" s="3">
        <v>77626</v>
      </c>
      <c r="H6110" s="7" t="str">
        <f>HYPERLINK("http://www.ensembl.org/Mus_musculus/Gene/Summary?db=core;g=ENSMUSG00000005899","ENSMUSG00000005899")</f>
        <v>ENSMUSG00000005899</v>
      </c>
      <c r="I6110" s="7" t="str">
        <f>HYPERLINK("http://www.informatics.jax.org/marker/MGI:1924876","MGI:1924876")</f>
        <v>MGI:1924876</v>
      </c>
      <c r="J6110" s="4" t="s">
        <v>12</v>
      </c>
    </row>
    <row r="6111" spans="1:10" x14ac:dyDescent="0.25">
      <c r="A6111" s="2">
        <v>2273.7722363207199</v>
      </c>
      <c r="B6111" s="3">
        <v>-0.51736150849032003</v>
      </c>
      <c r="C6111" s="5">
        <v>1.3704845277764E-15</v>
      </c>
      <c r="D6111" s="6">
        <v>1.08581578496386E-14</v>
      </c>
      <c r="E6111" s="3" t="s">
        <v>4995</v>
      </c>
      <c r="F6111" s="3" t="s">
        <v>4996</v>
      </c>
      <c r="G6111" s="3">
        <v>54563</v>
      </c>
      <c r="H6111" s="7" t="str">
        <f>HYPERLINK("http://www.ensembl.org/Mus_musculus/Gene/Summary?db=core;g=ENSMUSG00000030091","ENSMUSG00000030091")</f>
        <v>ENSMUSG00000030091</v>
      </c>
      <c r="I6111" s="7" t="str">
        <f>HYPERLINK("http://www.informatics.jax.org/marker/MGI:1859555","MGI:1859555")</f>
        <v>MGI:1859555</v>
      </c>
      <c r="J6111" s="4" t="s">
        <v>12</v>
      </c>
    </row>
    <row r="6112" spans="1:10" x14ac:dyDescent="0.25">
      <c r="A6112" s="2">
        <v>454.72085981824699</v>
      </c>
      <c r="B6112" s="3">
        <v>-0.517607119121549</v>
      </c>
      <c r="C6112" s="5">
        <v>1.45137457617718E-15</v>
      </c>
      <c r="D6112" s="6">
        <v>1.1485195281787301E-14</v>
      </c>
      <c r="E6112" s="3" t="s">
        <v>5001</v>
      </c>
      <c r="F6112" s="3" t="s">
        <v>5002</v>
      </c>
      <c r="G6112" s="3">
        <v>223664</v>
      </c>
      <c r="H6112" s="7" t="str">
        <f>HYPERLINK("http://www.ensembl.org/Mus_musculus/Gene/Summary?db=core;g=ENSMUSG00000033728","ENSMUSG00000033728")</f>
        <v>ENSMUSG00000033728</v>
      </c>
      <c r="I6112" s="7" t="str">
        <f>HYPERLINK("http://www.informatics.jax.org/marker/MGI:2445060","MGI:2445060")</f>
        <v>MGI:2445060</v>
      </c>
      <c r="J6112" s="4" t="s">
        <v>12</v>
      </c>
    </row>
    <row r="6113" spans="1:10" x14ac:dyDescent="0.25">
      <c r="A6113" s="2">
        <v>451.216460799895</v>
      </c>
      <c r="B6113" s="3">
        <v>-0.51796071712223801</v>
      </c>
      <c r="C6113" s="5">
        <v>4.2879073560471697E-7</v>
      </c>
      <c r="D6113" s="6">
        <v>1.8418107832988501E-6</v>
      </c>
      <c r="E6113" s="3" t="s">
        <v>9197</v>
      </c>
      <c r="F6113" s="3" t="s">
        <v>9198</v>
      </c>
      <c r="G6113" s="3">
        <v>233204</v>
      </c>
      <c r="H6113" s="7" t="str">
        <f>HYPERLINK("http://www.ensembl.org/Mus_musculus/Gene/Summary?db=core;g=ENSMUSG00000038520","ENSMUSG00000038520")</f>
        <v>ENSMUSG00000038520</v>
      </c>
      <c r="I6113" s="7" t="str">
        <f>HYPERLINK("http://www.informatics.jax.org/marker/MGI:2449973","MGI:2449973")</f>
        <v>MGI:2449973</v>
      </c>
      <c r="J6113" s="4" t="s">
        <v>12</v>
      </c>
    </row>
    <row r="6114" spans="1:10" x14ac:dyDescent="0.25">
      <c r="A6114" s="2">
        <v>411.11062268514303</v>
      </c>
      <c r="B6114" s="3">
        <v>-0.518139660919956</v>
      </c>
      <c r="C6114" s="3">
        <v>1.7678422726503599E-3</v>
      </c>
      <c r="D6114" s="4">
        <v>5.0327486093063398E-3</v>
      </c>
      <c r="E6114" s="3" t="s">
        <v>13861</v>
      </c>
      <c r="F6114" s="3" t="s">
        <v>13862</v>
      </c>
      <c r="G6114" s="3">
        <v>12522</v>
      </c>
      <c r="H6114" s="7" t="str">
        <f>HYPERLINK("http://www.ensembl.org/Mus_musculus/Gene/Summary?db=core;g=ENSMUSG00000015396","ENSMUSG00000015396")</f>
        <v>ENSMUSG00000015396</v>
      </c>
      <c r="I6114" s="7" t="str">
        <f>HYPERLINK("http://www.informatics.jax.org/marker/MGI:1328316","MGI:1328316")</f>
        <v>MGI:1328316</v>
      </c>
      <c r="J6114" s="4" t="s">
        <v>12</v>
      </c>
    </row>
    <row r="6115" spans="1:10" x14ac:dyDescent="0.25">
      <c r="A6115" s="2">
        <v>1104.9640541680301</v>
      </c>
      <c r="B6115" s="3">
        <v>-0.51828811828863097</v>
      </c>
      <c r="C6115" s="5">
        <v>1.12340089371063E-10</v>
      </c>
      <c r="D6115" s="6">
        <v>6.5138093572401E-10</v>
      </c>
      <c r="E6115" s="3" t="s">
        <v>6820</v>
      </c>
      <c r="F6115" s="3" t="s">
        <v>6821</v>
      </c>
      <c r="G6115" s="3">
        <v>26384</v>
      </c>
      <c r="H6115" s="7" t="str">
        <f>HYPERLINK("http://www.ensembl.org/Mus_musculus/Gene/Summary?db=core;g=ENSMUSG00000052102","ENSMUSG00000052102")</f>
        <v>ENSMUSG00000052102</v>
      </c>
      <c r="I6115" s="7" t="str">
        <f>HYPERLINK("http://www.informatics.jax.org/marker/MGI:1347054","MGI:1347054")</f>
        <v>MGI:1347054</v>
      </c>
      <c r="J6115" s="4" t="s">
        <v>12</v>
      </c>
    </row>
    <row r="6116" spans="1:10" x14ac:dyDescent="0.25">
      <c r="A6116" s="2">
        <v>302.44858313248</v>
      </c>
      <c r="B6116" s="3">
        <v>-0.51829563834259995</v>
      </c>
      <c r="C6116" s="5">
        <v>2.6063910025560398E-13</v>
      </c>
      <c r="D6116" s="6">
        <v>1.81106520685007E-12</v>
      </c>
      <c r="E6116" s="3" t="s">
        <v>5693</v>
      </c>
      <c r="F6116" s="3" t="s">
        <v>5694</v>
      </c>
      <c r="G6116" s="3">
        <v>69930</v>
      </c>
      <c r="H6116" s="7" t="str">
        <f>HYPERLINK("http://www.ensembl.org/Mus_musculus/Gene/Summary?db=core;g=ENSMUSG00000012640","ENSMUSG00000012640")</f>
        <v>ENSMUSG00000012640</v>
      </c>
      <c r="I6116" s="7" t="str">
        <f>HYPERLINK("http://www.informatics.jax.org/marker/MGI:1917180","MGI:1917180")</f>
        <v>MGI:1917180</v>
      </c>
      <c r="J6116" s="4" t="s">
        <v>12</v>
      </c>
    </row>
    <row r="6117" spans="1:10" x14ac:dyDescent="0.25">
      <c r="A6117" s="2">
        <v>361.03788502936197</v>
      </c>
      <c r="B6117" s="3">
        <v>-0.51834781206722402</v>
      </c>
      <c r="C6117" s="5">
        <v>4.5551215400266998E-6</v>
      </c>
      <c r="D6117" s="6">
        <v>1.7644273574803899E-5</v>
      </c>
      <c r="E6117" s="3" t="s">
        <v>10196</v>
      </c>
      <c r="F6117" s="3" t="s">
        <v>10197</v>
      </c>
      <c r="G6117" s="3">
        <v>70451</v>
      </c>
      <c r="H6117" s="7" t="str">
        <f>HYPERLINK("http://www.ensembl.org/Mus_musculus/Gene/Summary?db=core;g=ENSMUSG00000020834","ENSMUSG00000020834")</f>
        <v>ENSMUSG00000020834</v>
      </c>
      <c r="I6117" s="7" t="str">
        <f>HYPERLINK("http://www.informatics.jax.org/marker/MGI:1917701","MGI:1917701")</f>
        <v>MGI:1917701</v>
      </c>
      <c r="J6117" s="4" t="s">
        <v>12</v>
      </c>
    </row>
    <row r="6118" spans="1:10" x14ac:dyDescent="0.25">
      <c r="A6118" s="2">
        <v>714.24233289774497</v>
      </c>
      <c r="B6118" s="3">
        <v>-0.51854336311969296</v>
      </c>
      <c r="C6118" s="5">
        <v>1.8872760622558802E-5</v>
      </c>
      <c r="D6118" s="6">
        <v>6.8767708698606799E-5</v>
      </c>
      <c r="E6118" s="3" t="s">
        <v>10836</v>
      </c>
      <c r="F6118" s="3" t="s">
        <v>10837</v>
      </c>
      <c r="G6118" s="3">
        <v>66442</v>
      </c>
      <c r="H6118" s="7" t="str">
        <f>HYPERLINK("http://www.ensembl.org/Mus_musculus/Gene/Summary?db=core;g=ENSMUSG00000005233","ENSMUSG00000005233")</f>
        <v>ENSMUSG00000005233</v>
      </c>
      <c r="I6118" s="7" t="str">
        <f>HYPERLINK("http://www.informatics.jax.org/marker/MGI:1913692","MGI:1913692")</f>
        <v>MGI:1913692</v>
      </c>
      <c r="J6118" s="4" t="s">
        <v>12</v>
      </c>
    </row>
    <row r="6119" spans="1:10" x14ac:dyDescent="0.25">
      <c r="A6119" s="2">
        <v>790.14116377144398</v>
      </c>
      <c r="B6119" s="3">
        <v>-0.51869219611115303</v>
      </c>
      <c r="C6119" s="5">
        <v>5.3006022120338903E-6</v>
      </c>
      <c r="D6119" s="6">
        <v>2.0411614063914898E-5</v>
      </c>
      <c r="E6119" s="3" t="s">
        <v>10256</v>
      </c>
      <c r="F6119" s="3" t="s">
        <v>10257</v>
      </c>
      <c r="G6119" s="3">
        <v>242785</v>
      </c>
      <c r="H6119" s="7" t="str">
        <f>HYPERLINK("http://www.ensembl.org/Mus_musculus/Gene/Summary?db=core;g=ENSMUSG00000073700","ENSMUSG00000073700")</f>
        <v>ENSMUSG00000073700</v>
      </c>
      <c r="I6119" s="7" t="str">
        <f>HYPERLINK("http://www.informatics.jax.org/marker/MGI:1919288","MGI:1919288")</f>
        <v>MGI:1919288</v>
      </c>
      <c r="J6119" s="4" t="s">
        <v>12</v>
      </c>
    </row>
    <row r="6120" spans="1:10" x14ac:dyDescent="0.25">
      <c r="A6120" s="2">
        <v>1324.1020851168901</v>
      </c>
      <c r="B6120" s="3">
        <v>-0.51891582470765796</v>
      </c>
      <c r="C6120" s="5">
        <v>2.33061424430598E-14</v>
      </c>
      <c r="D6120" s="6">
        <v>1.72975961225871E-13</v>
      </c>
      <c r="E6120" s="3" t="s">
        <v>5331</v>
      </c>
      <c r="F6120" s="3" t="s">
        <v>5332</v>
      </c>
      <c r="G6120" s="3">
        <v>27357</v>
      </c>
      <c r="H6120" s="7" t="str">
        <f>HYPERLINK("http://www.ensembl.org/Mus_musculus/Gene/Summary?db=core;g=ENSMUSG00000019528","ENSMUSG00000019528")</f>
        <v>ENSMUSG00000019528</v>
      </c>
      <c r="I6120" s="7" t="str">
        <f>HYPERLINK("http://www.informatics.jax.org/marker/MGI:1351614","MGI:1351614")</f>
        <v>MGI:1351614</v>
      </c>
      <c r="J6120" s="4" t="s">
        <v>12</v>
      </c>
    </row>
    <row r="6121" spans="1:10" x14ac:dyDescent="0.25">
      <c r="A6121" s="2">
        <v>527.49688130042705</v>
      </c>
      <c r="B6121" s="3">
        <v>-0.51905994271984501</v>
      </c>
      <c r="C6121" s="5">
        <v>2.4475972530672598E-13</v>
      </c>
      <c r="D6121" s="6">
        <v>1.70734410436811E-12</v>
      </c>
      <c r="E6121" s="3" t="s">
        <v>5671</v>
      </c>
      <c r="F6121" s="3" t="s">
        <v>5672</v>
      </c>
      <c r="G6121" s="3">
        <v>272359</v>
      </c>
      <c r="H6121" s="7" t="str">
        <f>HYPERLINK("http://www.ensembl.org/Mus_musculus/Gene/Summary?db=core;g=ENSMUSG00000044030","ENSMUSG00000044030")</f>
        <v>ENSMUSG00000044030</v>
      </c>
      <c r="I6121" s="7" t="str">
        <f>HYPERLINK("http://www.informatics.jax.org/marker/MGI:2442159","MGI:2442159")</f>
        <v>MGI:2442159</v>
      </c>
      <c r="J6121" s="4" t="s">
        <v>12</v>
      </c>
    </row>
    <row r="6122" spans="1:10" x14ac:dyDescent="0.25">
      <c r="A6122" s="2">
        <v>1014.5000411987201</v>
      </c>
      <c r="B6122" s="3">
        <v>-0.51955272498095095</v>
      </c>
      <c r="C6122" s="5">
        <v>1.02559620358827E-22</v>
      </c>
      <c r="D6122" s="6">
        <v>1.14782957632013E-21</v>
      </c>
      <c r="E6122" s="3" t="s">
        <v>3542</v>
      </c>
      <c r="F6122" s="3" t="s">
        <v>3543</v>
      </c>
      <c r="G6122" s="3">
        <v>74192</v>
      </c>
      <c r="H6122" s="7" t="str">
        <f>HYPERLINK("http://www.ensembl.org/Mus_musculus/Gene/Summary?db=core;g=ENSMUSG00000026755","ENSMUSG00000026755")</f>
        <v>ENSMUSG00000026755</v>
      </c>
      <c r="I6122" s="7" t="str">
        <f>HYPERLINK("http://www.informatics.jax.org/marker/MGI:1921442","MGI:1921442")</f>
        <v>MGI:1921442</v>
      </c>
      <c r="J6122" s="4" t="s">
        <v>12</v>
      </c>
    </row>
    <row r="6123" spans="1:10" x14ac:dyDescent="0.25">
      <c r="A6123" s="2">
        <v>110.60170315468299</v>
      </c>
      <c r="B6123" s="3">
        <v>-0.520314322535817</v>
      </c>
      <c r="C6123" s="3">
        <v>5.1101231550033E-4</v>
      </c>
      <c r="D6123" s="4">
        <v>1.57014067648278E-3</v>
      </c>
      <c r="E6123" s="3" t="s">
        <v>12845</v>
      </c>
      <c r="F6123" s="3" t="s">
        <v>12846</v>
      </c>
      <c r="G6123" s="3">
        <v>68910</v>
      </c>
      <c r="H6123" s="7" t="str">
        <f>HYPERLINK("http://www.ensembl.org/Mus_musculus/Gene/Summary?db=core;g=ENSMUSG00000068551","ENSMUSG00000068551")</f>
        <v>ENSMUSG00000068551</v>
      </c>
      <c r="I6123" s="7" t="str">
        <f>HYPERLINK("http://www.informatics.jax.org/marker/MGI:1916160","MGI:1916160")</f>
        <v>MGI:1916160</v>
      </c>
      <c r="J6123" s="4" t="s">
        <v>12</v>
      </c>
    </row>
    <row r="6124" spans="1:10" x14ac:dyDescent="0.25">
      <c r="A6124" s="2">
        <v>514.63693812758595</v>
      </c>
      <c r="B6124" s="3">
        <v>-0.52036537832047802</v>
      </c>
      <c r="C6124" s="5">
        <v>4.5371229891217198E-13</v>
      </c>
      <c r="D6124" s="6">
        <v>3.1099084235481501E-12</v>
      </c>
      <c r="E6124" s="3" t="s">
        <v>5771</v>
      </c>
      <c r="F6124" s="3" t="s">
        <v>5772</v>
      </c>
      <c r="G6124" s="3">
        <v>67392</v>
      </c>
      <c r="H6124" s="7" t="str">
        <f>HYPERLINK("http://www.ensembl.org/Mus_musculus/Gene/Summary?db=core;g=ENSMUSG00000062822","ENSMUSG00000062822")</f>
        <v>ENSMUSG00000062822</v>
      </c>
      <c r="I6124" s="7" t="str">
        <f>HYPERLINK("http://www.informatics.jax.org/marker/MGI:1914642","MGI:1914642")</f>
        <v>MGI:1914642</v>
      </c>
      <c r="J6124" s="4" t="s">
        <v>12</v>
      </c>
    </row>
    <row r="6125" spans="1:10" x14ac:dyDescent="0.25">
      <c r="A6125" s="2">
        <v>3253.15393531263</v>
      </c>
      <c r="B6125" s="3">
        <v>-0.52039223191585904</v>
      </c>
      <c r="C6125" s="5">
        <v>3.7563970145093599E-31</v>
      </c>
      <c r="D6125" s="6">
        <v>5.72458648579016E-30</v>
      </c>
      <c r="E6125" s="3" t="s">
        <v>2605</v>
      </c>
      <c r="F6125" s="3" t="s">
        <v>2606</v>
      </c>
      <c r="G6125" s="3">
        <v>99371</v>
      </c>
      <c r="H6125" s="7" t="str">
        <f>HYPERLINK("http://www.ensembl.org/Mus_musculus/Gene/Summary?db=core;g=ENSMUSG00000074582","ENSMUSG00000074582")</f>
        <v>ENSMUSG00000074582</v>
      </c>
      <c r="I6125" s="7" t="str">
        <f>HYPERLINK("http://www.informatics.jax.org/marker/MGI:2139354","MGI:2139354")</f>
        <v>MGI:2139354</v>
      </c>
      <c r="J6125" s="4" t="s">
        <v>12</v>
      </c>
    </row>
    <row r="6126" spans="1:10" x14ac:dyDescent="0.25">
      <c r="A6126" s="2">
        <v>29.4608950642785</v>
      </c>
      <c r="B6126" s="3">
        <v>-0.52045716553469001</v>
      </c>
      <c r="C6126" s="3">
        <v>1.1432340025626099E-2</v>
      </c>
      <c r="D6126" s="4">
        <v>2.8078932034543199E-2</v>
      </c>
      <c r="E6126" s="3" t="s">
        <v>16063</v>
      </c>
      <c r="F6126" s="3" t="s">
        <v>16064</v>
      </c>
      <c r="G6126" s="3" t="s">
        <v>83</v>
      </c>
      <c r="H6126" s="7" t="str">
        <f>HYPERLINK("http://www.ensembl.org/Mus_musculus/Gene/Summary?db=core;g=ENSMUSG00000104633","ENSMUSG00000104633")</f>
        <v>ENSMUSG00000104633</v>
      </c>
      <c r="I6126" s="7" t="str">
        <f>HYPERLINK("http://www.informatics.jax.org/marker/MGI:5649069","MGI:5649069")</f>
        <v>MGI:5649069</v>
      </c>
      <c r="J6126" s="4" t="s">
        <v>12</v>
      </c>
    </row>
    <row r="6127" spans="1:10" x14ac:dyDescent="0.25">
      <c r="A6127" s="2">
        <v>163.83464655252001</v>
      </c>
      <c r="B6127" s="3">
        <v>-0.520540803375804</v>
      </c>
      <c r="C6127" s="3">
        <v>3.0408006152146498E-3</v>
      </c>
      <c r="D6127" s="4">
        <v>8.3261022121678702E-3</v>
      </c>
      <c r="E6127" s="3" t="s">
        <v>14409</v>
      </c>
      <c r="F6127" s="3" t="s">
        <v>14410</v>
      </c>
      <c r="G6127" s="3" t="s">
        <v>83</v>
      </c>
      <c r="H6127" s="7" t="str">
        <f>HYPERLINK("http://www.ensembl.org/Mus_musculus/Gene/Summary?db=core;g=ENSMUSG00000073538","ENSMUSG00000073538")</f>
        <v>ENSMUSG00000073538</v>
      </c>
      <c r="I6127" s="7" t="str">
        <f>HYPERLINK("http://www.informatics.jax.org/marker/MGI:3761270","MGI:3761270")</f>
        <v>MGI:3761270</v>
      </c>
      <c r="J6127" s="4" t="s">
        <v>331</v>
      </c>
    </row>
    <row r="6128" spans="1:10" x14ac:dyDescent="0.25">
      <c r="A6128" s="2">
        <v>1034.8971142248499</v>
      </c>
      <c r="B6128" s="3">
        <v>-0.52078028690006795</v>
      </c>
      <c r="C6128" s="5">
        <v>1.6649454690054801E-34</v>
      </c>
      <c r="D6128" s="6">
        <v>2.8328494088686802E-33</v>
      </c>
      <c r="E6128" s="3" t="s">
        <v>2335</v>
      </c>
      <c r="F6128" s="3" t="s">
        <v>2336</v>
      </c>
      <c r="G6128" s="3">
        <v>277250</v>
      </c>
      <c r="H6128" s="7" t="str">
        <f>HYPERLINK("http://www.ensembl.org/Mus_musculus/Gene/Summary?db=core;g=ENSMUSG00000038773","ENSMUSG00000038773")</f>
        <v>ENSMUSG00000038773</v>
      </c>
      <c r="I6128" s="7" t="str">
        <f>HYPERLINK("http://www.informatics.jax.org/marker/MGI:1923356","MGI:1923356")</f>
        <v>MGI:1923356</v>
      </c>
      <c r="J6128" s="4" t="s">
        <v>12</v>
      </c>
    </row>
    <row r="6129" spans="1:10" x14ac:dyDescent="0.25">
      <c r="A6129" s="2">
        <v>108.92650160090599</v>
      </c>
      <c r="B6129" s="3">
        <v>-0.52091332301015203</v>
      </c>
      <c r="C6129" s="5">
        <v>4.7819646070313998E-5</v>
      </c>
      <c r="D6129" s="4">
        <v>1.66814686097045E-4</v>
      </c>
      <c r="E6129" s="3" t="s">
        <v>11317</v>
      </c>
      <c r="F6129" s="3" t="s">
        <v>11318</v>
      </c>
      <c r="G6129" s="3">
        <v>72154</v>
      </c>
      <c r="H6129" s="7" t="str">
        <f>HYPERLINK("http://www.ensembl.org/Mus_musculus/Gene/Summary?db=core;g=ENSMUSG00000036898","ENSMUSG00000036898")</f>
        <v>ENSMUSG00000036898</v>
      </c>
      <c r="I6129" s="7" t="str">
        <f>HYPERLINK("http://www.informatics.jax.org/marker/MGI:1919404","MGI:1919404")</f>
        <v>MGI:1919404</v>
      </c>
      <c r="J6129" s="4" t="s">
        <v>12</v>
      </c>
    </row>
    <row r="6130" spans="1:10" x14ac:dyDescent="0.25">
      <c r="A6130" s="2">
        <v>362.77309435386502</v>
      </c>
      <c r="B6130" s="3">
        <v>-0.52094794253469101</v>
      </c>
      <c r="C6130" s="5">
        <v>2.3707578332932801E-6</v>
      </c>
      <c r="D6130" s="6">
        <v>9.4580911334297905E-6</v>
      </c>
      <c r="E6130" s="3" t="s">
        <v>9901</v>
      </c>
      <c r="F6130" s="3" t="s">
        <v>9902</v>
      </c>
      <c r="G6130" s="3">
        <v>268465</v>
      </c>
      <c r="H6130" s="7" t="str">
        <f>HYPERLINK("http://www.ensembl.org/Mus_musculus/Gene/Summary?db=core;g=ENSMUSG00000039055","ENSMUSG00000039055")</f>
        <v>ENSMUSG00000039055</v>
      </c>
      <c r="I6130" s="7" t="str">
        <f>HYPERLINK("http://www.informatics.jax.org/marker/MGI:3576783","MGI:3576783")</f>
        <v>MGI:3576783</v>
      </c>
      <c r="J6130" s="4" t="s">
        <v>12</v>
      </c>
    </row>
    <row r="6131" spans="1:10" x14ac:dyDescent="0.25">
      <c r="A6131" s="2">
        <v>190.32243533233299</v>
      </c>
      <c r="B6131" s="3">
        <v>-0.52139354848231101</v>
      </c>
      <c r="C6131" s="3">
        <v>3.7752804091459601E-4</v>
      </c>
      <c r="D6131" s="4">
        <v>1.18059831380207E-3</v>
      </c>
      <c r="E6131" s="3" t="s">
        <v>12625</v>
      </c>
      <c r="F6131" s="3" t="s">
        <v>12626</v>
      </c>
      <c r="G6131" s="3">
        <v>114679</v>
      </c>
      <c r="H6131" s="7" t="str">
        <f>HYPERLINK("http://www.ensembl.org/Mus_musculus/Gene/Summary?db=core;g=ENSMUSG00000075702","ENSMUSG00000075702")</f>
        <v>ENSMUSG00000075702</v>
      </c>
      <c r="I6131" s="7" t="str">
        <f>HYPERLINK("http://www.informatics.jax.org/marker/MGI:2149786","MGI:2149786")</f>
        <v>MGI:2149786</v>
      </c>
      <c r="J6131" s="4" t="s">
        <v>12</v>
      </c>
    </row>
    <row r="6132" spans="1:10" x14ac:dyDescent="0.25">
      <c r="A6132" s="2">
        <v>561.41893080299405</v>
      </c>
      <c r="B6132" s="3">
        <v>-0.52193640820489895</v>
      </c>
      <c r="C6132" s="5">
        <v>1.9840463273155702E-9</v>
      </c>
      <c r="D6132" s="6">
        <v>1.03891114112223E-8</v>
      </c>
      <c r="E6132" s="3" t="s">
        <v>7550</v>
      </c>
      <c r="F6132" s="3" t="s">
        <v>7551</v>
      </c>
      <c r="G6132" s="3">
        <v>108958</v>
      </c>
      <c r="H6132" s="7" t="str">
        <f>HYPERLINK("http://www.ensembl.org/Mus_musculus/Gene/Summary?db=core;g=ENSMUSG00000026858","ENSMUSG00000026858")</f>
        <v>ENSMUSG00000026858</v>
      </c>
      <c r="I6132" s="7" t="str">
        <f>HYPERLINK("http://www.informatics.jax.org/marker/MGI:1922035","MGI:1922035")</f>
        <v>MGI:1922035</v>
      </c>
      <c r="J6132" s="4" t="s">
        <v>12</v>
      </c>
    </row>
    <row r="6133" spans="1:10" x14ac:dyDescent="0.25">
      <c r="A6133" s="2">
        <v>207.60093999519501</v>
      </c>
      <c r="B6133" s="3">
        <v>-0.52195779463642</v>
      </c>
      <c r="C6133" s="5">
        <v>1.05584979918257E-7</v>
      </c>
      <c r="D6133" s="6">
        <v>4.7810236601332397E-7</v>
      </c>
      <c r="E6133" s="3" t="s">
        <v>8727</v>
      </c>
      <c r="F6133" s="3" t="s">
        <v>8728</v>
      </c>
      <c r="G6133" s="3">
        <v>14062</v>
      </c>
      <c r="H6133" s="7" t="str">
        <f>HYPERLINK("http://www.ensembl.org/Mus_musculus/Gene/Summary?db=core;g=ENSMUSG00000048376","ENSMUSG00000048376")</f>
        <v>ENSMUSG00000048376</v>
      </c>
      <c r="I6133" s="7" t="str">
        <f>HYPERLINK("http://www.informatics.jax.org/marker/MGI:101802","MGI:101802")</f>
        <v>MGI:101802</v>
      </c>
      <c r="J6133" s="4" t="s">
        <v>12</v>
      </c>
    </row>
    <row r="6134" spans="1:10" x14ac:dyDescent="0.25">
      <c r="A6134" s="2">
        <v>671.21791090844704</v>
      </c>
      <c r="B6134" s="3">
        <v>-0.52222832572222799</v>
      </c>
      <c r="C6134" s="5">
        <v>9.0876351211779197E-18</v>
      </c>
      <c r="D6134" s="6">
        <v>8.1163118020665099E-17</v>
      </c>
      <c r="E6134" s="3" t="s">
        <v>4433</v>
      </c>
      <c r="F6134" s="3" t="s">
        <v>4434</v>
      </c>
      <c r="G6134" s="3">
        <v>21343</v>
      </c>
      <c r="H6134" s="7" t="str">
        <f>HYPERLINK("http://www.ensembl.org/Mus_musculus/Gene/Summary?db=core;g=ENSMUSG00000036980","ENSMUSG00000036980")</f>
        <v>ENSMUSG00000036980</v>
      </c>
      <c r="I6134" s="7" t="str">
        <f>HYPERLINK("http://www.informatics.jax.org/marker/MGI:109129","MGI:109129")</f>
        <v>MGI:109129</v>
      </c>
      <c r="J6134" s="4" t="s">
        <v>12</v>
      </c>
    </row>
    <row r="6135" spans="1:10" x14ac:dyDescent="0.25">
      <c r="A6135" s="2">
        <v>75.421588211766405</v>
      </c>
      <c r="B6135" s="3">
        <v>-0.52228671858609099</v>
      </c>
      <c r="C6135" s="3">
        <v>6.5353059787669296E-4</v>
      </c>
      <c r="D6135" s="4">
        <v>1.9805783602471799E-3</v>
      </c>
      <c r="E6135" s="3" t="s">
        <v>13023</v>
      </c>
      <c r="F6135" s="3" t="s">
        <v>13024</v>
      </c>
      <c r="G6135" s="3">
        <v>100036521</v>
      </c>
      <c r="H6135" s="7" t="str">
        <f>HYPERLINK("http://www.ensembl.org/Mus_musculus/Gene/Summary?db=core;g=ENSMUSG00000089862","ENSMUSG00000089862")</f>
        <v>ENSMUSG00000089862</v>
      </c>
      <c r="I6135" s="7" t="str">
        <f>HYPERLINK("http://www.informatics.jax.org/marker/MGI:3840148","MGI:3840148")</f>
        <v>MGI:3840148</v>
      </c>
      <c r="J6135" s="4" t="s">
        <v>12</v>
      </c>
    </row>
    <row r="6136" spans="1:10" x14ac:dyDescent="0.25">
      <c r="A6136" s="2">
        <v>992.57961470823102</v>
      </c>
      <c r="B6136" s="3">
        <v>-0.52237747569634596</v>
      </c>
      <c r="C6136" s="5">
        <v>2.8868365434850401E-16</v>
      </c>
      <c r="D6136" s="6">
        <v>2.3563086356591502E-15</v>
      </c>
      <c r="E6136" s="3" t="s">
        <v>4849</v>
      </c>
      <c r="F6136" s="3" t="s">
        <v>4850</v>
      </c>
      <c r="G6136" s="3">
        <v>380836</v>
      </c>
      <c r="H6136" s="7" t="str">
        <f>HYPERLINK("http://www.ensembl.org/Mus_musculus/Gene/Summary?db=core;g=ENSMUSG00000021339","ENSMUSG00000021339")</f>
        <v>ENSMUSG00000021339</v>
      </c>
      <c r="I6136" s="7" t="str">
        <f>HYPERLINK("http://www.informatics.jax.org/marker/MGI:2685748","MGI:2685748")</f>
        <v>MGI:2685748</v>
      </c>
      <c r="J6136" s="4" t="s">
        <v>12</v>
      </c>
    </row>
    <row r="6137" spans="1:10" x14ac:dyDescent="0.25">
      <c r="A6137" s="2">
        <v>375.69458996054902</v>
      </c>
      <c r="B6137" s="3">
        <v>-0.52329304744643501</v>
      </c>
      <c r="C6137" s="5">
        <v>4.5766810306887998E-10</v>
      </c>
      <c r="D6137" s="6">
        <v>2.5125876927946299E-9</v>
      </c>
      <c r="E6137" s="3" t="s">
        <v>7200</v>
      </c>
      <c r="F6137" s="3" t="s">
        <v>7201</v>
      </c>
      <c r="G6137" s="3">
        <v>217353</v>
      </c>
      <c r="H6137" s="7" t="str">
        <f>HYPERLINK("http://www.ensembl.org/Mus_musculus/Gene/Summary?db=core;g=ENSMUSG00000025572","ENSMUSG00000025572")</f>
        <v>ENSMUSG00000025572</v>
      </c>
      <c r="I6137" s="7" t="str">
        <f>HYPERLINK("http://www.informatics.jax.org/marker/MGI:1098686","MGI:1098686")</f>
        <v>MGI:1098686</v>
      </c>
      <c r="J6137" s="4" t="s">
        <v>12</v>
      </c>
    </row>
    <row r="6138" spans="1:10" x14ac:dyDescent="0.25">
      <c r="A6138" s="2">
        <v>353.11692707340598</v>
      </c>
      <c r="B6138" s="3">
        <v>-0.52364843917616899</v>
      </c>
      <c r="C6138" s="5">
        <v>2.7999470000727401E-7</v>
      </c>
      <c r="D6138" s="6">
        <v>1.22509329579397E-6</v>
      </c>
      <c r="E6138" s="3" t="s">
        <v>9029</v>
      </c>
      <c r="F6138" s="3" t="s">
        <v>9030</v>
      </c>
      <c r="G6138" s="3">
        <v>217333</v>
      </c>
      <c r="H6138" s="7" t="str">
        <f>HYPERLINK("http://www.ensembl.org/Mus_musculus/Gene/Summary?db=core;g=ENSMUSG00000020773","ENSMUSG00000020773")</f>
        <v>ENSMUSG00000020773</v>
      </c>
      <c r="I6138" s="7" t="str">
        <f>HYPERLINK("http://www.informatics.jax.org/marker/MGI:1917374","MGI:1917374")</f>
        <v>MGI:1917374</v>
      </c>
      <c r="J6138" s="4" t="s">
        <v>12</v>
      </c>
    </row>
    <row r="6139" spans="1:10" x14ac:dyDescent="0.25">
      <c r="A6139" s="2">
        <v>107.1965792485</v>
      </c>
      <c r="B6139" s="3">
        <v>-0.524073044184033</v>
      </c>
      <c r="C6139" s="3">
        <v>3.71641717369569E-4</v>
      </c>
      <c r="D6139" s="4">
        <v>1.1629283825020499E-3</v>
      </c>
      <c r="E6139" s="3" t="s">
        <v>12617</v>
      </c>
      <c r="F6139" s="3" t="s">
        <v>12618</v>
      </c>
      <c r="G6139" s="3" t="s">
        <v>83</v>
      </c>
      <c r="H6139" s="7" t="str">
        <f>HYPERLINK("http://www.ensembl.org/Mus_musculus/Gene/Summary?db=core;g=ENSMUSG00000087658","ENSMUSG00000087658")</f>
        <v>ENSMUSG00000087658</v>
      </c>
      <c r="I6139" s="7" t="str">
        <f>HYPERLINK("http://www.informatics.jax.org/marker/MGI:3705155","MGI:3705155")</f>
        <v>MGI:3705155</v>
      </c>
      <c r="J6139" s="4" t="s">
        <v>932</v>
      </c>
    </row>
    <row r="6140" spans="1:10" x14ac:dyDescent="0.25">
      <c r="A6140" s="2">
        <v>601.24636465850597</v>
      </c>
      <c r="B6140" s="3">
        <v>-0.52419695470796601</v>
      </c>
      <c r="C6140" s="5">
        <v>4.25351671547009E-14</v>
      </c>
      <c r="D6140" s="6">
        <v>3.0963215071639101E-13</v>
      </c>
      <c r="E6140" s="3" t="s">
        <v>5435</v>
      </c>
      <c r="F6140" s="3" t="s">
        <v>5436</v>
      </c>
      <c r="G6140" s="3">
        <v>22248</v>
      </c>
      <c r="H6140" s="7" t="str">
        <f>HYPERLINK("http://www.ensembl.org/Mus_musculus/Gene/Summary?db=core;g=ENSMUSG00000002058","ENSMUSG00000002058")</f>
        <v>ENSMUSG00000002058</v>
      </c>
      <c r="I6140" s="7" t="str">
        <f>HYPERLINK("http://www.informatics.jax.org/marker/MGI:1328357","MGI:1328357")</f>
        <v>MGI:1328357</v>
      </c>
      <c r="J6140" s="4" t="s">
        <v>12</v>
      </c>
    </row>
    <row r="6141" spans="1:10" x14ac:dyDescent="0.25">
      <c r="A6141" s="2">
        <v>101.20094506792</v>
      </c>
      <c r="B6141" s="3">
        <v>-0.52436177908764903</v>
      </c>
      <c r="C6141" s="3">
        <v>3.5031941418065399E-3</v>
      </c>
      <c r="D6141" s="4">
        <v>9.5063972033060402E-3</v>
      </c>
      <c r="E6141" s="3" t="s">
        <v>14537</v>
      </c>
      <c r="F6141" s="3" t="s">
        <v>14538</v>
      </c>
      <c r="G6141" s="3" t="s">
        <v>83</v>
      </c>
      <c r="H6141" s="7" t="str">
        <f>HYPERLINK("http://www.ensembl.org/Mus_musculus/Gene/Summary?db=core;g=ENSMUSG00000099881","ENSMUSG00000099881")</f>
        <v>ENSMUSG00000099881</v>
      </c>
      <c r="I6141" s="7" t="str">
        <f>HYPERLINK("http://www.informatics.jax.org/marker/MGI:1914456","MGI:1914456")</f>
        <v>MGI:1914456</v>
      </c>
      <c r="J6141" s="4" t="s">
        <v>3187</v>
      </c>
    </row>
    <row r="6142" spans="1:10" x14ac:dyDescent="0.25">
      <c r="A6142" s="2">
        <v>506.80826450549603</v>
      </c>
      <c r="B6142" s="3">
        <v>-0.524375195342347</v>
      </c>
      <c r="C6142" s="5">
        <v>3.5860400055458097E-14</v>
      </c>
      <c r="D6142" s="6">
        <v>2.6220507567431702E-13</v>
      </c>
      <c r="E6142" s="3" t="s">
        <v>5411</v>
      </c>
      <c r="F6142" s="3" t="s">
        <v>5412</v>
      </c>
      <c r="G6142" s="3">
        <v>109284</v>
      </c>
      <c r="H6142" s="7" t="str">
        <f>HYPERLINK("http://www.ensembl.org/Mus_musculus/Gene/Summary?db=core;g=ENSMUSG00000035781","ENSMUSG00000035781")</f>
        <v>ENSMUSG00000035781</v>
      </c>
      <c r="I6142" s="7" t="str">
        <f>HYPERLINK("http://www.informatics.jax.org/marker/MGI:1924814","MGI:1924814")</f>
        <v>MGI:1924814</v>
      </c>
      <c r="J6142" s="4" t="s">
        <v>12</v>
      </c>
    </row>
    <row r="6143" spans="1:10" x14ac:dyDescent="0.25">
      <c r="A6143" s="2">
        <v>1626.83778738915</v>
      </c>
      <c r="B6143" s="3">
        <v>-0.52447727093817398</v>
      </c>
      <c r="C6143" s="5">
        <v>4.3523827421910096E-6</v>
      </c>
      <c r="D6143" s="6">
        <v>1.6898796549715801E-5</v>
      </c>
      <c r="E6143" s="3" t="s">
        <v>10172</v>
      </c>
      <c r="F6143" s="3" t="s">
        <v>10173</v>
      </c>
      <c r="G6143" s="3">
        <v>98386</v>
      </c>
      <c r="H6143" s="7" t="str">
        <f>HYPERLINK("http://www.ensembl.org/Mus_musculus/Gene/Summary?db=core;g=ENSMUSG00000004880","ENSMUSG00000004880")</f>
        <v>ENSMUSG00000004880</v>
      </c>
      <c r="I6143" s="7" t="str">
        <f>HYPERLINK("http://www.informatics.jax.org/marker/MGI:2138281","MGI:2138281")</f>
        <v>MGI:2138281</v>
      </c>
      <c r="J6143" s="4" t="s">
        <v>12</v>
      </c>
    </row>
    <row r="6144" spans="1:10" x14ac:dyDescent="0.25">
      <c r="A6144" s="2">
        <v>847.92296622182198</v>
      </c>
      <c r="B6144" s="3">
        <v>-0.52468392926450802</v>
      </c>
      <c r="C6144" s="5">
        <v>1.13678836111563E-10</v>
      </c>
      <c r="D6144" s="6">
        <v>6.5894963201646904E-10</v>
      </c>
      <c r="E6144" s="3" t="s">
        <v>6822</v>
      </c>
      <c r="F6144" s="3" t="s">
        <v>6823</v>
      </c>
      <c r="G6144" s="3">
        <v>66771</v>
      </c>
      <c r="H6144" s="7" t="str">
        <f>HYPERLINK("http://www.ensembl.org/Mus_musculus/Gene/Summary?db=core;g=ENSMUSG00000018415","ENSMUSG00000018415")</f>
        <v>ENSMUSG00000018415</v>
      </c>
      <c r="I6144" s="7" t="str">
        <f>HYPERLINK("http://www.informatics.jax.org/marker/MGI:1914021","MGI:1914021")</f>
        <v>MGI:1914021</v>
      </c>
      <c r="J6144" s="4" t="s">
        <v>12</v>
      </c>
    </row>
    <row r="6145" spans="1:10" x14ac:dyDescent="0.25">
      <c r="A6145" s="2">
        <v>1038.09541892582</v>
      </c>
      <c r="B6145" s="3">
        <v>-0.52479799217035905</v>
      </c>
      <c r="C6145" s="5">
        <v>6.0545245579205997E-18</v>
      </c>
      <c r="D6145" s="6">
        <v>5.4568201225865702E-17</v>
      </c>
      <c r="E6145" s="3" t="s">
        <v>4393</v>
      </c>
      <c r="F6145" s="3" t="s">
        <v>4394</v>
      </c>
      <c r="G6145" s="3">
        <v>229285</v>
      </c>
      <c r="H6145" s="7" t="str">
        <f>HYPERLINK("http://www.ensembl.org/Mus_musculus/Gene/Summary?db=core;g=ENSMUSG00000036580","ENSMUSG00000036580")</f>
        <v>ENSMUSG00000036580</v>
      </c>
      <c r="I6145" s="7" t="str">
        <f>HYPERLINK("http://www.informatics.jax.org/marker/MGI:2139806","MGI:2139806")</f>
        <v>MGI:2139806</v>
      </c>
      <c r="J6145" s="4" t="s">
        <v>12</v>
      </c>
    </row>
    <row r="6146" spans="1:10" x14ac:dyDescent="0.25">
      <c r="A6146" s="2">
        <v>621.91234505508896</v>
      </c>
      <c r="B6146" s="3">
        <v>-0.52496544815474799</v>
      </c>
      <c r="C6146" s="5">
        <v>6.4439046014251397E-6</v>
      </c>
      <c r="D6146" s="6">
        <v>2.4602865196535099E-5</v>
      </c>
      <c r="E6146" s="3" t="s">
        <v>10344</v>
      </c>
      <c r="F6146" s="3" t="s">
        <v>10345</v>
      </c>
      <c r="G6146" s="3">
        <v>20148</v>
      </c>
      <c r="H6146" s="7" t="str">
        <f>HYPERLINK("http://www.ensembl.org/Mus_musculus/Gene/Summary?db=core;g=ENSMUSG00000066026","ENSMUSG00000066026")</f>
        <v>ENSMUSG00000066026</v>
      </c>
      <c r="I6146" s="7" t="str">
        <f>HYPERLINK("http://www.informatics.jax.org/marker/MGI:1315215","MGI:1315215")</f>
        <v>MGI:1315215</v>
      </c>
      <c r="J6146" s="4" t="s">
        <v>12</v>
      </c>
    </row>
    <row r="6147" spans="1:10" x14ac:dyDescent="0.25">
      <c r="A6147" s="2">
        <v>232.26221659042</v>
      </c>
      <c r="B6147" s="3">
        <v>-0.52531764814211201</v>
      </c>
      <c r="C6147" s="5">
        <v>6.1404972118857297E-9</v>
      </c>
      <c r="D6147" s="6">
        <v>3.0969464199075897E-8</v>
      </c>
      <c r="E6147" s="3" t="s">
        <v>7836</v>
      </c>
      <c r="F6147" s="3" t="s">
        <v>7837</v>
      </c>
      <c r="G6147" s="3">
        <v>245638</v>
      </c>
      <c r="H6147" s="7" t="str">
        <f>HYPERLINK("http://www.ensembl.org/Mus_musculus/Gene/Summary?db=core;g=ENSMUSG00000042473","ENSMUSG00000042473")</f>
        <v>ENSMUSG00000042473</v>
      </c>
      <c r="I6147" s="7" t="str">
        <f>HYPERLINK("http://www.informatics.jax.org/marker/MGI:1918101","MGI:1918101")</f>
        <v>MGI:1918101</v>
      </c>
      <c r="J6147" s="4" t="s">
        <v>12</v>
      </c>
    </row>
    <row r="6148" spans="1:10" x14ac:dyDescent="0.25">
      <c r="A6148" s="2">
        <v>388.74643621702199</v>
      </c>
      <c r="B6148" s="3">
        <v>-0.52547373760307803</v>
      </c>
      <c r="C6148" s="5">
        <v>4.9133748937170403E-15</v>
      </c>
      <c r="D6148" s="6">
        <v>3.7892746540516298E-14</v>
      </c>
      <c r="E6148" s="3" t="s">
        <v>5131</v>
      </c>
      <c r="F6148" s="3" t="s">
        <v>5132</v>
      </c>
      <c r="G6148" s="3">
        <v>171207</v>
      </c>
      <c r="H6148" s="7" t="str">
        <f>HYPERLINK("http://www.ensembl.org/Mus_musculus/Gene/Summary?db=core;g=ENSMUSG00000031389","ENSMUSG00000031389")</f>
        <v>ENSMUSG00000031389</v>
      </c>
      <c r="I6148" s="7" t="str">
        <f>HYPERLINK("http://www.informatics.jax.org/marker/MGI:2159577","MGI:2159577")</f>
        <v>MGI:2159577</v>
      </c>
      <c r="J6148" s="4" t="s">
        <v>12</v>
      </c>
    </row>
    <row r="6149" spans="1:10" x14ac:dyDescent="0.25">
      <c r="A6149" s="2">
        <v>1238.66195159924</v>
      </c>
      <c r="B6149" s="3">
        <v>-0.52583458622222501</v>
      </c>
      <c r="C6149" s="5">
        <v>8.4636871939938905E-15</v>
      </c>
      <c r="D6149" s="6">
        <v>6.4416793309748994E-14</v>
      </c>
      <c r="E6149" s="3" t="s">
        <v>5199</v>
      </c>
      <c r="F6149" s="3" t="s">
        <v>5200</v>
      </c>
      <c r="G6149" s="3">
        <v>75302</v>
      </c>
      <c r="H6149" s="7" t="str">
        <f>HYPERLINK("http://www.ensembl.org/Mus_musculus/Gene/Summary?db=core;g=ENSMUSG00000037486","ENSMUSG00000037486")</f>
        <v>ENSMUSG00000037486</v>
      </c>
      <c r="I6149" s="7" t="str">
        <f>HYPERLINK("http://www.informatics.jax.org/marker/MGI:1922552","MGI:1922552")</f>
        <v>MGI:1922552</v>
      </c>
      <c r="J6149" s="4" t="s">
        <v>12</v>
      </c>
    </row>
    <row r="6150" spans="1:10" x14ac:dyDescent="0.25">
      <c r="A6150" s="2">
        <v>687.39566930751096</v>
      </c>
      <c r="B6150" s="3">
        <v>-0.52590992468884001</v>
      </c>
      <c r="C6150" s="5">
        <v>5.4988436058429002E-9</v>
      </c>
      <c r="D6150" s="6">
        <v>2.78186751942591E-8</v>
      </c>
      <c r="E6150" s="3" t="s">
        <v>7812</v>
      </c>
      <c r="F6150" s="3" t="s">
        <v>7813</v>
      </c>
      <c r="G6150" s="3">
        <v>67998</v>
      </c>
      <c r="H6150" s="7" t="str">
        <f>HYPERLINK("http://www.ensembl.org/Mus_musculus/Gene/Summary?db=core;g=ENSMUSG00000017802","ENSMUSG00000017802")</f>
        <v>ENSMUSG00000017802</v>
      </c>
      <c r="I6150" s="7" t="str">
        <f>HYPERLINK("http://www.informatics.jax.org/marker/MGI:1915248","MGI:1915248")</f>
        <v>MGI:1915248</v>
      </c>
      <c r="J6150" s="4" t="s">
        <v>12</v>
      </c>
    </row>
    <row r="6151" spans="1:10" x14ac:dyDescent="0.25">
      <c r="A6151" s="2">
        <v>507.29165145759703</v>
      </c>
      <c r="B6151" s="3">
        <v>-0.52611189246849599</v>
      </c>
      <c r="C6151" s="5">
        <v>7.1257833070434597E-13</v>
      </c>
      <c r="D6151" s="6">
        <v>4.8222528076491701E-12</v>
      </c>
      <c r="E6151" s="3" t="s">
        <v>5845</v>
      </c>
      <c r="F6151" s="3" t="s">
        <v>5846</v>
      </c>
      <c r="G6151" s="3">
        <v>79044</v>
      </c>
      <c r="H6151" s="7" t="str">
        <f>HYPERLINK("http://www.ensembl.org/Mus_musculus/Gene/Summary?db=core;g=ENSMUSG00000038880","ENSMUSG00000038880")</f>
        <v>ENSMUSG00000038880</v>
      </c>
      <c r="I6151" s="7" t="str">
        <f>HYPERLINK("http://www.informatics.jax.org/marker/MGI:1930188","MGI:1930188")</f>
        <v>MGI:1930188</v>
      </c>
      <c r="J6151" s="4" t="s">
        <v>12</v>
      </c>
    </row>
    <row r="6152" spans="1:10" x14ac:dyDescent="0.25">
      <c r="A6152" s="2">
        <v>398.52938274652098</v>
      </c>
      <c r="B6152" s="3">
        <v>-0.52614360802359905</v>
      </c>
      <c r="C6152" s="5">
        <v>4.9971521983412497E-10</v>
      </c>
      <c r="D6152" s="6">
        <v>2.7365687684334699E-9</v>
      </c>
      <c r="E6152" s="3" t="s">
        <v>7220</v>
      </c>
      <c r="F6152" s="3" t="s">
        <v>7221</v>
      </c>
      <c r="G6152" s="3">
        <v>11671</v>
      </c>
      <c r="H6152" s="7" t="str">
        <f>HYPERLINK("http://www.ensembl.org/Mus_musculus/Gene/Summary?db=core;g=ENSMUSG00000010025","ENSMUSG00000010025")</f>
        <v>ENSMUSG00000010025</v>
      </c>
      <c r="I6152" s="7" t="str">
        <f>HYPERLINK("http://www.informatics.jax.org/marker/MGI:1353452","MGI:1353452")</f>
        <v>MGI:1353452</v>
      </c>
      <c r="J6152" s="4" t="s">
        <v>12</v>
      </c>
    </row>
    <row r="6153" spans="1:10" x14ac:dyDescent="0.25">
      <c r="A6153" s="2">
        <v>68.467241256787105</v>
      </c>
      <c r="B6153" s="3">
        <v>-0.52632333453201496</v>
      </c>
      <c r="C6153" s="3">
        <v>7.7383338864170001E-4</v>
      </c>
      <c r="D6153" s="4">
        <v>2.3195005964454099E-3</v>
      </c>
      <c r="E6153" s="3" t="s">
        <v>13167</v>
      </c>
      <c r="F6153" s="3" t="s">
        <v>13168</v>
      </c>
      <c r="G6153" s="3" t="s">
        <v>83</v>
      </c>
      <c r="H6153" s="7" t="str">
        <f>HYPERLINK("http://www.ensembl.org/Mus_musculus/Gene/Summary?db=core;g=ENSMUSG00000092356","ENSMUSG00000092356")</f>
        <v>ENSMUSG00000092356</v>
      </c>
      <c r="I6153" s="7" t="str">
        <f>HYPERLINK("http://www.informatics.jax.org/marker/MGI:5141997","MGI:5141997")</f>
        <v>MGI:5141997</v>
      </c>
      <c r="J6153" s="4" t="s">
        <v>12</v>
      </c>
    </row>
    <row r="6154" spans="1:10" x14ac:dyDescent="0.25">
      <c r="A6154" s="2">
        <v>261.12287541874599</v>
      </c>
      <c r="B6154" s="3">
        <v>-0.52638932609841904</v>
      </c>
      <c r="C6154" s="5">
        <v>3.2090314372397402E-10</v>
      </c>
      <c r="D6154" s="6">
        <v>1.7911718070299399E-9</v>
      </c>
      <c r="E6154" s="3" t="s">
        <v>7084</v>
      </c>
      <c r="F6154" s="3" t="s">
        <v>7085</v>
      </c>
      <c r="G6154" s="3">
        <v>68304</v>
      </c>
      <c r="H6154" s="7" t="str">
        <f>HYPERLINK("http://www.ensembl.org/Mus_musculus/Gene/Summary?db=core;g=ENSMUSG00000034487","ENSMUSG00000034487")</f>
        <v>ENSMUSG00000034487</v>
      </c>
      <c r="I6154" s="7" t="str">
        <f>HYPERLINK("http://www.informatics.jax.org/marker/MGI:1923765","MGI:1923765")</f>
        <v>MGI:1923765</v>
      </c>
      <c r="J6154" s="4" t="s">
        <v>12</v>
      </c>
    </row>
    <row r="6155" spans="1:10" x14ac:dyDescent="0.25">
      <c r="A6155" s="2">
        <v>1062.02767514177</v>
      </c>
      <c r="B6155" s="3">
        <v>-0.52640915442307001</v>
      </c>
      <c r="C6155" s="5">
        <v>2.0868742729612801E-15</v>
      </c>
      <c r="D6155" s="6">
        <v>1.63826276523871E-14</v>
      </c>
      <c r="E6155" s="3" t="s">
        <v>5041</v>
      </c>
      <c r="F6155" s="3" t="s">
        <v>5042</v>
      </c>
      <c r="G6155" s="3">
        <v>27223</v>
      </c>
      <c r="H6155" s="7" t="str">
        <f>HYPERLINK("http://www.ensembl.org/Mus_musculus/Gene/Summary?db=core;g=ENSMUSG00000043909","ENSMUSG00000043909")</f>
        <v>ENSMUSG00000043909</v>
      </c>
      <c r="I6155" s="7" t="str">
        <f>HYPERLINK("http://www.informatics.jax.org/marker/MGI:1351320","MGI:1351320")</f>
        <v>MGI:1351320</v>
      </c>
      <c r="J6155" s="4" t="s">
        <v>12</v>
      </c>
    </row>
    <row r="6156" spans="1:10" x14ac:dyDescent="0.25">
      <c r="A6156" s="2">
        <v>556.62238082875797</v>
      </c>
      <c r="B6156" s="3">
        <v>-0.52645321371031295</v>
      </c>
      <c r="C6156" s="5">
        <v>8.4426344418270008E-6</v>
      </c>
      <c r="D6156" s="6">
        <v>3.1900507988662301E-5</v>
      </c>
      <c r="E6156" s="3" t="s">
        <v>10452</v>
      </c>
      <c r="F6156" s="3" t="s">
        <v>10453</v>
      </c>
      <c r="G6156" s="3">
        <v>217830</v>
      </c>
      <c r="H6156" s="7" t="str">
        <f>HYPERLINK("http://www.ensembl.org/Mus_musculus/Gene/Summary?db=core;g=ENSMUSG00000021185","ENSMUSG00000021185")</f>
        <v>ENSMUSG00000021185</v>
      </c>
      <c r="I6156" s="7" t="str">
        <f>HYPERLINK("http://www.informatics.jax.org/marker/MGI:2444813","MGI:2444813")</f>
        <v>MGI:2444813</v>
      </c>
      <c r="J6156" s="4" t="s">
        <v>12</v>
      </c>
    </row>
    <row r="6157" spans="1:10" x14ac:dyDescent="0.25">
      <c r="A6157" s="2">
        <v>311.45303246562997</v>
      </c>
      <c r="B6157" s="3">
        <v>-0.526908265498786</v>
      </c>
      <c r="C6157" s="5">
        <v>3.3134382402937999E-6</v>
      </c>
      <c r="D6157" s="6">
        <v>1.30109522299072E-5</v>
      </c>
      <c r="E6157" s="3" t="s">
        <v>10060</v>
      </c>
      <c r="F6157" s="3" t="s">
        <v>10061</v>
      </c>
      <c r="G6157" s="3">
        <v>544817</v>
      </c>
      <c r="H6157" s="7" t="str">
        <f>HYPERLINK("http://www.ensembl.org/Mus_musculus/Gene/Summary?db=core;g=ENSMUSG00000034255","ENSMUSG00000034255")</f>
        <v>ENSMUSG00000034255</v>
      </c>
      <c r="I6157" s="7" t="str">
        <f>HYPERLINK("http://www.informatics.jax.org/marker/MGI:1916903","MGI:1916903")</f>
        <v>MGI:1916903</v>
      </c>
      <c r="J6157" s="4" t="s">
        <v>12</v>
      </c>
    </row>
    <row r="6158" spans="1:10" x14ac:dyDescent="0.25">
      <c r="A6158" s="2">
        <v>375.81828260568199</v>
      </c>
      <c r="B6158" s="3">
        <v>-0.52732404135154098</v>
      </c>
      <c r="C6158" s="5">
        <v>7.0316083868821297E-8</v>
      </c>
      <c r="D6158" s="6">
        <v>3.2269796925602899E-7</v>
      </c>
      <c r="E6158" s="3" t="s">
        <v>8611</v>
      </c>
      <c r="F6158" s="3" t="s">
        <v>8612</v>
      </c>
      <c r="G6158" s="3">
        <v>170749</v>
      </c>
      <c r="H6158" s="7" t="str">
        <f>HYPERLINK("http://www.ensembl.org/Mus_musculus/Gene/Summary?db=core;g=ENSMUSG00000018401","ENSMUSG00000018401")</f>
        <v>ENSMUSG00000018401</v>
      </c>
      <c r="I6158" s="7" t="str">
        <f>HYPERLINK("http://www.informatics.jax.org/marker/MGI:2180699","MGI:2180699")</f>
        <v>MGI:2180699</v>
      </c>
      <c r="J6158" s="4" t="s">
        <v>12</v>
      </c>
    </row>
    <row r="6159" spans="1:10" x14ac:dyDescent="0.25">
      <c r="A6159" s="2">
        <v>90.185658123437406</v>
      </c>
      <c r="B6159" s="3">
        <v>-0.52762427443593896</v>
      </c>
      <c r="C6159" s="3">
        <v>2.06429516764883E-4</v>
      </c>
      <c r="D6159" s="4">
        <v>6.6931767027351204E-4</v>
      </c>
      <c r="E6159" s="3" t="s">
        <v>12173</v>
      </c>
      <c r="F6159" s="3" t="s">
        <v>12174</v>
      </c>
      <c r="G6159" s="3">
        <v>225289</v>
      </c>
      <c r="H6159" s="7" t="str">
        <f>HYPERLINK("http://www.ensembl.org/Mus_musculus/Gene/Summary?db=core;g=ENSMUSG00000033632","ENSMUSG00000033632")</f>
        <v>ENSMUSG00000033632</v>
      </c>
      <c r="I6159" s="7" t="str">
        <f>HYPERLINK("http://www.informatics.jax.org/marker/MGI:2147376","MGI:2147376")</f>
        <v>MGI:2147376</v>
      </c>
      <c r="J6159" s="4" t="s">
        <v>12</v>
      </c>
    </row>
    <row r="6160" spans="1:10" x14ac:dyDescent="0.25">
      <c r="A6160" s="2">
        <v>464.35743952969301</v>
      </c>
      <c r="B6160" s="3">
        <v>-0.52763058423809195</v>
      </c>
      <c r="C6160" s="5">
        <v>7.6190832569007203E-8</v>
      </c>
      <c r="D6160" s="6">
        <v>3.4860399495610699E-7</v>
      </c>
      <c r="E6160" s="3" t="s">
        <v>8637</v>
      </c>
      <c r="F6160" s="3" t="s">
        <v>8638</v>
      </c>
      <c r="G6160" s="3">
        <v>70292</v>
      </c>
      <c r="H6160" s="7" t="str">
        <f>HYPERLINK("http://www.ensembl.org/Mus_musculus/Gene/Summary?db=core;g=ENSMUSG00000029094","ENSMUSG00000029094")</f>
        <v>ENSMUSG00000029094</v>
      </c>
      <c r="I6160" s="7" t="str">
        <f>HYPERLINK("http://www.informatics.jax.org/marker/MGI:1917542","MGI:1917542")</f>
        <v>MGI:1917542</v>
      </c>
      <c r="J6160" s="4" t="s">
        <v>12</v>
      </c>
    </row>
    <row r="6161" spans="1:10" x14ac:dyDescent="0.25">
      <c r="A6161" s="2">
        <v>365.31103375790701</v>
      </c>
      <c r="B6161" s="3">
        <v>-0.52776746871014302</v>
      </c>
      <c r="C6161" s="5">
        <v>5.6003770683423199E-6</v>
      </c>
      <c r="D6161" s="6">
        <v>2.15258415546191E-5</v>
      </c>
      <c r="E6161" s="3" t="s">
        <v>10276</v>
      </c>
      <c r="F6161" s="3" t="s">
        <v>10277</v>
      </c>
      <c r="G6161" s="3">
        <v>17686</v>
      </c>
      <c r="H6161" s="7" t="str">
        <f>HYPERLINK("http://www.ensembl.org/Mus_musculus/Gene/Summary?db=core;g=ENSMUSG00000014850","ENSMUSG00000014850")</f>
        <v>ENSMUSG00000014850</v>
      </c>
      <c r="I6161" s="7" t="str">
        <f>HYPERLINK("http://www.informatics.jax.org/marker/MGI:109519","MGI:109519")</f>
        <v>MGI:109519</v>
      </c>
      <c r="J6161" s="4" t="s">
        <v>12</v>
      </c>
    </row>
    <row r="6162" spans="1:10" x14ac:dyDescent="0.25">
      <c r="A6162" s="2">
        <v>634.23577846871501</v>
      </c>
      <c r="B6162" s="3">
        <v>-0.52797017580014305</v>
      </c>
      <c r="C6162" s="5">
        <v>1.7410733935287601E-11</v>
      </c>
      <c r="D6162" s="6">
        <v>1.0712626309013199E-10</v>
      </c>
      <c r="E6162" s="3" t="s">
        <v>6427</v>
      </c>
      <c r="F6162" s="3" t="s">
        <v>6428</v>
      </c>
      <c r="G6162" s="3">
        <v>72691</v>
      </c>
      <c r="H6162" s="7" t="str">
        <f>HYPERLINK("http://www.ensembl.org/Mus_musculus/Gene/Summary?db=core;g=ENSMUSG00000033033","ENSMUSG00000033033")</f>
        <v>ENSMUSG00000033033</v>
      </c>
      <c r="I6162" s="7" t="str">
        <f>HYPERLINK("http://www.informatics.jax.org/marker/MGI:1919941","MGI:1919941")</f>
        <v>MGI:1919941</v>
      </c>
      <c r="J6162" s="4" t="s">
        <v>12</v>
      </c>
    </row>
    <row r="6163" spans="1:10" x14ac:dyDescent="0.25">
      <c r="A6163" s="2">
        <v>768.76911790555596</v>
      </c>
      <c r="B6163" s="3">
        <v>-0.52813215165976801</v>
      </c>
      <c r="C6163" s="5">
        <v>1.05978652078084E-13</v>
      </c>
      <c r="D6163" s="6">
        <v>7.5584051319342497E-13</v>
      </c>
      <c r="E6163" s="3" t="s">
        <v>5547</v>
      </c>
      <c r="F6163" s="3" t="s">
        <v>5548</v>
      </c>
      <c r="G6163" s="3">
        <v>321003</v>
      </c>
      <c r="H6163" s="7" t="str">
        <f>HYPERLINK("http://www.ensembl.org/Mus_musculus/Gene/Summary?db=core;g=ENSMUSG00000022401","ENSMUSG00000022401")</f>
        <v>ENSMUSG00000022401</v>
      </c>
      <c r="I6163" s="7" t="str">
        <f>HYPERLINK("http://www.informatics.jax.org/marker/MGI:2445217","MGI:2445217")</f>
        <v>MGI:2445217</v>
      </c>
      <c r="J6163" s="4" t="s">
        <v>12</v>
      </c>
    </row>
    <row r="6164" spans="1:10" x14ac:dyDescent="0.25">
      <c r="A6164" s="2">
        <v>738.10055641834697</v>
      </c>
      <c r="B6164" s="3">
        <v>-0.52847162426487904</v>
      </c>
      <c r="C6164" s="5">
        <v>6.21361364129765E-9</v>
      </c>
      <c r="D6164" s="6">
        <v>3.1322203733739699E-8</v>
      </c>
      <c r="E6164" s="3" t="s">
        <v>7840</v>
      </c>
      <c r="F6164" s="3" t="s">
        <v>7841</v>
      </c>
      <c r="G6164" s="3">
        <v>320209</v>
      </c>
      <c r="H6164" s="7" t="str">
        <f>HYPERLINK("http://www.ensembl.org/Mus_musculus/Gene/Summary?db=core;g=ENSMUSG00000035842","ENSMUSG00000035842")</f>
        <v>ENSMUSG00000035842</v>
      </c>
      <c r="I6164" s="7" t="str">
        <f>HYPERLINK("http://www.informatics.jax.org/marker/MGI:2443590","MGI:2443590")</f>
        <v>MGI:2443590</v>
      </c>
      <c r="J6164" s="4" t="s">
        <v>12</v>
      </c>
    </row>
    <row r="6165" spans="1:10" x14ac:dyDescent="0.25">
      <c r="A6165" s="2">
        <v>261.69586314343798</v>
      </c>
      <c r="B6165" s="3">
        <v>-0.52856617827827301</v>
      </c>
      <c r="C6165" s="5">
        <v>8.0067064661021601E-10</v>
      </c>
      <c r="D6165" s="6">
        <v>4.3246302796914498E-9</v>
      </c>
      <c r="E6165" s="3" t="s">
        <v>7320</v>
      </c>
      <c r="F6165" s="3" t="s">
        <v>7321</v>
      </c>
      <c r="G6165" s="3">
        <v>12408</v>
      </c>
      <c r="H6165" s="7" t="str">
        <f>HYPERLINK("http://www.ensembl.org/Mus_musculus/Gene/Summary?db=core;g=ENSMUSG00000051483","ENSMUSG00000051483")</f>
        <v>ENSMUSG00000051483</v>
      </c>
      <c r="I6165" s="7" t="str">
        <f>HYPERLINK("http://www.informatics.jax.org/marker/MGI:88284","MGI:88284")</f>
        <v>MGI:88284</v>
      </c>
      <c r="J6165" s="4" t="s">
        <v>12</v>
      </c>
    </row>
    <row r="6166" spans="1:10" x14ac:dyDescent="0.25">
      <c r="A6166" s="2">
        <v>245.85352823169899</v>
      </c>
      <c r="B6166" s="3">
        <v>-0.528887733637042</v>
      </c>
      <c r="C6166" s="5">
        <v>9.7397388860979508E-6</v>
      </c>
      <c r="D6166" s="6">
        <v>3.6500883852879401E-5</v>
      </c>
      <c r="E6166" s="3" t="s">
        <v>10538</v>
      </c>
      <c r="F6166" s="3" t="s">
        <v>10539</v>
      </c>
      <c r="G6166" s="3">
        <v>67121</v>
      </c>
      <c r="H6166" s="7" t="str">
        <f>HYPERLINK("http://www.ensembl.org/Mus_musculus/Gene/Summary?db=core;g=ENSMUSG00000026779","ENSMUSG00000026779")</f>
        <v>ENSMUSG00000026779</v>
      </c>
      <c r="I6166" s="7" t="str">
        <f>HYPERLINK("http://www.informatics.jax.org/marker/MGI:1914371","MGI:1914371")</f>
        <v>MGI:1914371</v>
      </c>
      <c r="J6166" s="4" t="s">
        <v>12</v>
      </c>
    </row>
    <row r="6167" spans="1:10" x14ac:dyDescent="0.25">
      <c r="A6167" s="2">
        <v>844.09222196239398</v>
      </c>
      <c r="B6167" s="3">
        <v>-0.52953697610158701</v>
      </c>
      <c r="C6167" s="5">
        <v>2.5993248203267801E-13</v>
      </c>
      <c r="D6167" s="6">
        <v>1.8067918736991299E-12</v>
      </c>
      <c r="E6167" s="3" t="s">
        <v>5691</v>
      </c>
      <c r="F6167" s="3" t="s">
        <v>5692</v>
      </c>
      <c r="G6167" s="3">
        <v>228913</v>
      </c>
      <c r="H6167" s="7" t="str">
        <f>HYPERLINK("http://www.ensembl.org/Mus_musculus/Gene/Summary?db=core;g=ENSMUSG00000052056","ENSMUSG00000052056")</f>
        <v>ENSMUSG00000052056</v>
      </c>
      <c r="I6167" s="7" t="str">
        <f>HYPERLINK("http://www.informatics.jax.org/marker/MGI:2685408","MGI:2685408")</f>
        <v>MGI:2685408</v>
      </c>
      <c r="J6167" s="4" t="s">
        <v>12</v>
      </c>
    </row>
    <row r="6168" spans="1:10" x14ac:dyDescent="0.25">
      <c r="A6168" s="2">
        <v>88.599084139470506</v>
      </c>
      <c r="B6168" s="3">
        <v>-0.52953763299669798</v>
      </c>
      <c r="C6168" s="5">
        <v>6.8052068428052699E-5</v>
      </c>
      <c r="D6168" s="4">
        <v>2.3352001738182799E-4</v>
      </c>
      <c r="E6168" s="3" t="s">
        <v>11505</v>
      </c>
      <c r="F6168" s="3" t="s">
        <v>11506</v>
      </c>
      <c r="G6168" s="3">
        <v>57869</v>
      </c>
      <c r="H6168" s="7" t="str">
        <f>HYPERLINK("http://www.ensembl.org/Mus_musculus/Gene/Summary?db=core;g=ENSMUSG00000046947","ENSMUSG00000046947")</f>
        <v>ENSMUSG00000046947</v>
      </c>
      <c r="I6168" s="7" t="str">
        <f>HYPERLINK("http://www.informatics.jax.org/marker/MGI:1889336","MGI:1889336")</f>
        <v>MGI:1889336</v>
      </c>
      <c r="J6168" s="4" t="s">
        <v>12</v>
      </c>
    </row>
    <row r="6169" spans="1:10" x14ac:dyDescent="0.25">
      <c r="A6169" s="2">
        <v>563.94628337975098</v>
      </c>
      <c r="B6169" s="3">
        <v>-0.52962555630175501</v>
      </c>
      <c r="C6169" s="5">
        <v>3.17189732050331E-12</v>
      </c>
      <c r="D6169" s="6">
        <v>2.06913050480732E-11</v>
      </c>
      <c r="E6169" s="3" t="s">
        <v>6063</v>
      </c>
      <c r="F6169" s="3" t="s">
        <v>6064</v>
      </c>
      <c r="G6169" s="3">
        <v>268564</v>
      </c>
      <c r="H6169" s="7" t="str">
        <f>HYPERLINK("http://www.ensembl.org/Mus_musculus/Gene/Summary?db=core;g=ENSMUSG00000033454","ENSMUSG00000033454")</f>
        <v>ENSMUSG00000033454</v>
      </c>
      <c r="I6169" s="7" t="str">
        <f>HYPERLINK("http://www.informatics.jax.org/marker/MGI:2442326","MGI:2442326")</f>
        <v>MGI:2442326</v>
      </c>
      <c r="J6169" s="4" t="s">
        <v>12</v>
      </c>
    </row>
    <row r="6170" spans="1:10" x14ac:dyDescent="0.25">
      <c r="A6170" s="2">
        <v>3681.1751636775198</v>
      </c>
      <c r="B6170" s="3">
        <v>-0.529926304170522</v>
      </c>
      <c r="C6170" s="5">
        <v>4.6852849687353E-21</v>
      </c>
      <c r="D6170" s="6">
        <v>4.8500692694729702E-20</v>
      </c>
      <c r="E6170" s="3" t="s">
        <v>3828</v>
      </c>
      <c r="F6170" s="3" t="s">
        <v>3829</v>
      </c>
      <c r="G6170" s="3">
        <v>15925</v>
      </c>
      <c r="H6170" s="7" t="str">
        <f>HYPERLINK("http://www.ensembl.org/Mus_musculus/Gene/Summary?db=core;g=ENSMUSG00000056999","ENSMUSG00000056999")</f>
        <v>ENSMUSG00000056999</v>
      </c>
      <c r="I6170" s="7" t="str">
        <f>HYPERLINK("http://www.informatics.jax.org/marker/MGI:96412","MGI:96412")</f>
        <v>MGI:96412</v>
      </c>
      <c r="J6170" s="4" t="s">
        <v>12</v>
      </c>
    </row>
    <row r="6171" spans="1:10" x14ac:dyDescent="0.25">
      <c r="A6171" s="2">
        <v>865.55883670543096</v>
      </c>
      <c r="B6171" s="3">
        <v>-0.53049282245604801</v>
      </c>
      <c r="C6171" s="5">
        <v>2.25837991461305E-7</v>
      </c>
      <c r="D6171" s="6">
        <v>9.960915212741991E-7</v>
      </c>
      <c r="E6171" s="3" t="s">
        <v>8959</v>
      </c>
      <c r="F6171" s="3" t="s">
        <v>8960</v>
      </c>
      <c r="G6171" s="3">
        <v>20496</v>
      </c>
      <c r="H6171" s="7" t="str">
        <f>HYPERLINK("http://www.ensembl.org/Mus_musculus/Gene/Summary?db=core;g=ENSMUSG00000024597","ENSMUSG00000024597")</f>
        <v>ENSMUSG00000024597</v>
      </c>
      <c r="I6171" s="7" t="str">
        <f>HYPERLINK("http://www.informatics.jax.org/marker/MGI:101924","MGI:101924")</f>
        <v>MGI:101924</v>
      </c>
      <c r="J6171" s="4" t="s">
        <v>12</v>
      </c>
    </row>
    <row r="6172" spans="1:10" x14ac:dyDescent="0.25">
      <c r="A6172" s="2">
        <v>623.96709240277198</v>
      </c>
      <c r="B6172" s="3">
        <v>-0.53061236239564302</v>
      </c>
      <c r="C6172" s="5">
        <v>6.4443428836407603E-18</v>
      </c>
      <c r="D6172" s="6">
        <v>5.7922717258612499E-17</v>
      </c>
      <c r="E6172" s="3" t="s">
        <v>4405</v>
      </c>
      <c r="F6172" s="3" t="s">
        <v>4406</v>
      </c>
      <c r="G6172" s="3">
        <v>212139</v>
      </c>
      <c r="H6172" s="7" t="str">
        <f>HYPERLINK("http://www.ensembl.org/Mus_musculus/Gene/Summary?db=core;g=ENSMUSG00000036686","ENSMUSG00000036686")</f>
        <v>ENSMUSG00000036686</v>
      </c>
      <c r="I6172" s="7" t="str">
        <f>HYPERLINK("http://www.informatics.jax.org/marker/MGI:2384831","MGI:2384831")</f>
        <v>MGI:2384831</v>
      </c>
      <c r="J6172" s="4" t="s">
        <v>12</v>
      </c>
    </row>
    <row r="6173" spans="1:10" x14ac:dyDescent="0.25">
      <c r="A6173" s="2">
        <v>373.66230126829402</v>
      </c>
      <c r="B6173" s="3">
        <v>-0.53089237235034104</v>
      </c>
      <c r="C6173" s="5">
        <v>1.21210482192929E-9</v>
      </c>
      <c r="D6173" s="6">
        <v>6.4619375746000298E-9</v>
      </c>
      <c r="E6173" s="3" t="s">
        <v>7416</v>
      </c>
      <c r="F6173" s="3" t="s">
        <v>7417</v>
      </c>
      <c r="G6173" s="3">
        <v>26879</v>
      </c>
      <c r="H6173" s="7" t="str">
        <f>HYPERLINK("http://www.ensembl.org/Mus_musculus/Gene/Summary?db=core;g=ENSMUSG00000043300","ENSMUSG00000043300")</f>
        <v>ENSMUSG00000043300</v>
      </c>
      <c r="I6173" s="7" t="str">
        <f>HYPERLINK("http://www.informatics.jax.org/marker/MGI:1349405","MGI:1349405")</f>
        <v>MGI:1349405</v>
      </c>
      <c r="J6173" s="4" t="s">
        <v>12</v>
      </c>
    </row>
    <row r="6174" spans="1:10" x14ac:dyDescent="0.25">
      <c r="A6174" s="2">
        <v>368.28913584685802</v>
      </c>
      <c r="B6174" s="3">
        <v>-0.53103663654536004</v>
      </c>
      <c r="C6174" s="5">
        <v>3.7070468344133701E-10</v>
      </c>
      <c r="D6174" s="6">
        <v>2.0575592511983401E-9</v>
      </c>
      <c r="E6174" s="3" t="s">
        <v>7122</v>
      </c>
      <c r="F6174" s="3" t="s">
        <v>7123</v>
      </c>
      <c r="G6174" s="3">
        <v>69367</v>
      </c>
      <c r="H6174" s="7" t="str">
        <f>HYPERLINK("http://www.ensembl.org/Mus_musculus/Gene/Summary?db=core;g=ENSMUSG00000018196","ENSMUSG00000018196")</f>
        <v>ENSMUSG00000018196</v>
      </c>
      <c r="I6174" s="7" t="str">
        <f>HYPERLINK("http://www.informatics.jax.org/marker/MGI:1916617","MGI:1916617")</f>
        <v>MGI:1916617</v>
      </c>
      <c r="J6174" s="4" t="s">
        <v>12</v>
      </c>
    </row>
    <row r="6175" spans="1:10" x14ac:dyDescent="0.25">
      <c r="A6175" s="2">
        <v>147.50251291494399</v>
      </c>
      <c r="B6175" s="3">
        <v>-0.53107063698468104</v>
      </c>
      <c r="C6175" s="5">
        <v>5.6317726779235403E-5</v>
      </c>
      <c r="D6175" s="4">
        <v>1.9525062800396001E-4</v>
      </c>
      <c r="E6175" s="3" t="s">
        <v>11387</v>
      </c>
      <c r="F6175" s="3" t="s">
        <v>11388</v>
      </c>
      <c r="G6175" s="3">
        <v>16475</v>
      </c>
      <c r="H6175" s="7" t="str">
        <f>HYPERLINK("http://www.ensembl.org/Mus_musculus/Gene/Summary?db=core;g=ENSMUSG00000022178","ENSMUSG00000022178")</f>
        <v>ENSMUSG00000022178</v>
      </c>
      <c r="I6175" s="7" t="str">
        <f>HYPERLINK("http://www.informatics.jax.org/marker/MGI:1341886","MGI:1341886")</f>
        <v>MGI:1341886</v>
      </c>
      <c r="J6175" s="4" t="s">
        <v>12</v>
      </c>
    </row>
    <row r="6176" spans="1:10" x14ac:dyDescent="0.25">
      <c r="A6176" s="2">
        <v>100.419407716263</v>
      </c>
      <c r="B6176" s="3">
        <v>-0.53194926026566702</v>
      </c>
      <c r="C6176" s="3">
        <v>4.3180204943023201E-3</v>
      </c>
      <c r="D6176" s="4">
        <v>1.1558485699422E-2</v>
      </c>
      <c r="E6176" s="3" t="s">
        <v>14738</v>
      </c>
      <c r="F6176" s="3" t="s">
        <v>14739</v>
      </c>
      <c r="G6176" s="3" t="s">
        <v>83</v>
      </c>
      <c r="H6176" s="7" t="str">
        <f>HYPERLINK("http://www.ensembl.org/Mus_musculus/Gene/Summary?db=core;g=ENSMUSG00000086109","ENSMUSG00000086109")</f>
        <v>ENSMUSG00000086109</v>
      </c>
      <c r="I6176" s="7" t="str">
        <f>HYPERLINK("http://www.informatics.jax.org/marker/MGI:3651526","MGI:3651526")</f>
        <v>MGI:3651526</v>
      </c>
      <c r="J6176" s="4" t="s">
        <v>939</v>
      </c>
    </row>
    <row r="6177" spans="1:10" x14ac:dyDescent="0.25">
      <c r="A6177" s="2">
        <v>62.896580322551102</v>
      </c>
      <c r="B6177" s="3">
        <v>-0.53267656348357895</v>
      </c>
      <c r="C6177" s="3">
        <v>1.0089766012056399E-3</v>
      </c>
      <c r="D6177" s="4">
        <v>2.9710345790317002E-3</v>
      </c>
      <c r="E6177" s="3" t="s">
        <v>13403</v>
      </c>
      <c r="F6177" s="3" t="s">
        <v>13404</v>
      </c>
      <c r="G6177" s="3">
        <v>15442</v>
      </c>
      <c r="H6177" s="7" t="str">
        <f>HYPERLINK("http://www.ensembl.org/Mus_musculus/Gene/Summary?db=core;g=ENSMUSG00000035273","ENSMUSG00000035273")</f>
        <v>ENSMUSG00000035273</v>
      </c>
      <c r="I6177" s="7" t="str">
        <f>HYPERLINK("http://www.informatics.jax.org/marker/MGI:1343124","MGI:1343124")</f>
        <v>MGI:1343124</v>
      </c>
      <c r="J6177" s="4" t="s">
        <v>12</v>
      </c>
    </row>
    <row r="6178" spans="1:10" x14ac:dyDescent="0.25">
      <c r="A6178" s="2">
        <v>492.77460123315097</v>
      </c>
      <c r="B6178" s="3">
        <v>-0.532861231464274</v>
      </c>
      <c r="C6178" s="5">
        <v>1.5502848898408001E-5</v>
      </c>
      <c r="D6178" s="6">
        <v>5.7057891055730902E-5</v>
      </c>
      <c r="E6178" s="3" t="s">
        <v>10726</v>
      </c>
      <c r="F6178" s="3" t="s">
        <v>10727</v>
      </c>
      <c r="G6178" s="3">
        <v>224624</v>
      </c>
      <c r="H6178" s="7" t="str">
        <f>HYPERLINK("http://www.ensembl.org/Mus_musculus/Gene/Summary?db=core;g=ENSMUSG00000025730","ENSMUSG00000025730")</f>
        <v>ENSMUSG00000025730</v>
      </c>
      <c r="I6178" s="7" t="str">
        <f>HYPERLINK("http://www.informatics.jax.org/marker/MGI:2183454","MGI:2183454")</f>
        <v>MGI:2183454</v>
      </c>
      <c r="J6178" s="4" t="s">
        <v>12</v>
      </c>
    </row>
    <row r="6179" spans="1:10" x14ac:dyDescent="0.25">
      <c r="A6179" s="2">
        <v>1017.72222720592</v>
      </c>
      <c r="B6179" s="3">
        <v>-0.53366158836871302</v>
      </c>
      <c r="C6179" s="5">
        <v>1.32242773281524E-16</v>
      </c>
      <c r="D6179" s="6">
        <v>1.10302839120159E-15</v>
      </c>
      <c r="E6179" s="3" t="s">
        <v>4747</v>
      </c>
      <c r="F6179" s="3" t="s">
        <v>4748</v>
      </c>
      <c r="G6179" s="3">
        <v>239985</v>
      </c>
      <c r="H6179" s="7" t="str">
        <f>HYPERLINK("http://www.ensembl.org/Mus_musculus/Gene/Summary?db=core;g=ENSMUSG00000069729","ENSMUSG00000069729")</f>
        <v>ENSMUSG00000069729</v>
      </c>
      <c r="I6179" s="7" t="str">
        <f>HYPERLINK("http://www.informatics.jax.org/marker/MGI:1926129","MGI:1926129")</f>
        <v>MGI:1926129</v>
      </c>
      <c r="J6179" s="4" t="s">
        <v>12</v>
      </c>
    </row>
    <row r="6180" spans="1:10" x14ac:dyDescent="0.25">
      <c r="A6180" s="2">
        <v>1787.7480427431401</v>
      </c>
      <c r="B6180" s="3">
        <v>-0.53487582915439702</v>
      </c>
      <c r="C6180" s="5">
        <v>8.2675809814179102E-17</v>
      </c>
      <c r="D6180" s="6">
        <v>6.9525243903437604E-16</v>
      </c>
      <c r="E6180" s="3" t="s">
        <v>4707</v>
      </c>
      <c r="F6180" s="3" t="s">
        <v>4708</v>
      </c>
      <c r="G6180" s="3" t="s">
        <v>83</v>
      </c>
      <c r="H6180" s="7" t="str">
        <f>HYPERLINK("http://www.ensembl.org/Mus_musculus/Gene/Summary?db=core;g=ENSMUSG00000092329","ENSMUSG00000092329")</f>
        <v>ENSMUSG00000092329</v>
      </c>
      <c r="I6180" s="7" t="str">
        <f>HYPERLINK("http://www.informatics.jax.org/marker/MGI:5141853","MGI:5141853")</f>
        <v>MGI:5141853</v>
      </c>
      <c r="J6180" s="4" t="s">
        <v>12</v>
      </c>
    </row>
    <row r="6181" spans="1:10" x14ac:dyDescent="0.25">
      <c r="A6181" s="2">
        <v>804.39708791521798</v>
      </c>
      <c r="B6181" s="3">
        <v>-0.53535237808334601</v>
      </c>
      <c r="C6181" s="5">
        <v>3.3049035987085101E-7</v>
      </c>
      <c r="D6181" s="6">
        <v>1.4358382676037E-6</v>
      </c>
      <c r="E6181" s="3" t="s">
        <v>9093</v>
      </c>
      <c r="F6181" s="3" t="s">
        <v>9094</v>
      </c>
      <c r="G6181" s="3">
        <v>69724</v>
      </c>
      <c r="H6181" s="7" t="str">
        <f>HYPERLINK("http://www.ensembl.org/Mus_musculus/Gene/Summary?db=core;g=ENSMUSG00000052926","ENSMUSG00000052926")</f>
        <v>ENSMUSG00000052926</v>
      </c>
      <c r="I6181" s="7" t="str">
        <f>HYPERLINK("http://www.informatics.jax.org/marker/MGI:1916974","MGI:1916974")</f>
        <v>MGI:1916974</v>
      </c>
      <c r="J6181" s="4" t="s">
        <v>12</v>
      </c>
    </row>
    <row r="6182" spans="1:10" x14ac:dyDescent="0.25">
      <c r="A6182" s="2">
        <v>69.374287305506499</v>
      </c>
      <c r="B6182" s="3">
        <v>-0.53562048721216404</v>
      </c>
      <c r="C6182" s="3">
        <v>2.8590495906331202E-4</v>
      </c>
      <c r="D6182" s="4">
        <v>9.08922423460988E-4</v>
      </c>
      <c r="E6182" s="3" t="s">
        <v>12418</v>
      </c>
      <c r="F6182" s="3" t="s">
        <v>12419</v>
      </c>
      <c r="G6182" s="3" t="s">
        <v>83</v>
      </c>
      <c r="H6182" s="7" t="str">
        <f>HYPERLINK("http://www.ensembl.org/Mus_musculus/Gene/Summary?db=core;g=ENSMUSG00000097412","ENSMUSG00000097412")</f>
        <v>ENSMUSG00000097412</v>
      </c>
      <c r="I6182" s="7" t="str">
        <f>HYPERLINK("http://www.informatics.jax.org/marker/MGI:1913513","MGI:1913513")</f>
        <v>MGI:1913513</v>
      </c>
      <c r="J6182" s="4" t="s">
        <v>320</v>
      </c>
    </row>
    <row r="6183" spans="1:10" x14ac:dyDescent="0.25">
      <c r="A6183" s="2">
        <v>1141.3852117818999</v>
      </c>
      <c r="B6183" s="3">
        <v>-0.53566394079144897</v>
      </c>
      <c r="C6183" s="5">
        <v>2.03979661602266E-10</v>
      </c>
      <c r="D6183" s="6">
        <v>1.15621699534254E-9</v>
      </c>
      <c r="E6183" s="3" t="s">
        <v>6976</v>
      </c>
      <c r="F6183" s="3" t="s">
        <v>6977</v>
      </c>
      <c r="G6183" s="3">
        <v>217835</v>
      </c>
      <c r="H6183" s="7" t="str">
        <f>HYPERLINK("http://www.ensembl.org/Mus_musculus/Gene/Summary?db=core;g=ENSMUSG00000044456","ENSMUSG00000044456")</f>
        <v>ENSMUSG00000044456</v>
      </c>
      <c r="I6183" s="7" t="str">
        <f>HYPERLINK("http://www.informatics.jax.org/marker/MGI:2385708","MGI:2385708")</f>
        <v>MGI:2385708</v>
      </c>
      <c r="J6183" s="4" t="s">
        <v>12</v>
      </c>
    </row>
    <row r="6184" spans="1:10" x14ac:dyDescent="0.25">
      <c r="A6184" s="2">
        <v>41.019817582369797</v>
      </c>
      <c r="B6184" s="3">
        <v>-0.53575186775661299</v>
      </c>
      <c r="C6184" s="3">
        <v>3.4337761653379698E-3</v>
      </c>
      <c r="D6184" s="4">
        <v>9.3295764646548207E-3</v>
      </c>
      <c r="E6184" s="3" t="s">
        <v>14519</v>
      </c>
      <c r="F6184" s="3" t="s">
        <v>14520</v>
      </c>
      <c r="G6184" s="3" t="s">
        <v>83</v>
      </c>
      <c r="H6184" s="7" t="str">
        <f>HYPERLINK("http://www.ensembl.org/Mus_musculus/Gene/Summary?db=core;g=ENSMUSG00000074466","ENSMUSG00000074466")</f>
        <v>ENSMUSG00000074466</v>
      </c>
      <c r="I6184" s="7" t="str">
        <f>HYPERLINK("http://www.informatics.jax.org/marker/MGI:3642531","MGI:3642531")</f>
        <v>MGI:3642531</v>
      </c>
      <c r="J6184" s="4" t="s">
        <v>932</v>
      </c>
    </row>
    <row r="6185" spans="1:10" x14ac:dyDescent="0.25">
      <c r="A6185" s="2">
        <v>803.30032621158398</v>
      </c>
      <c r="B6185" s="3">
        <v>-0.53617122106123905</v>
      </c>
      <c r="C6185" s="5">
        <v>2.3270059901773101E-15</v>
      </c>
      <c r="D6185" s="6">
        <v>1.8195304570299999E-14</v>
      </c>
      <c r="E6185" s="3" t="s">
        <v>5061</v>
      </c>
      <c r="F6185" s="3" t="s">
        <v>5062</v>
      </c>
      <c r="G6185" s="3">
        <v>18120</v>
      </c>
      <c r="H6185" s="7" t="str">
        <f>HYPERLINK("http://www.ensembl.org/Mus_musculus/Gene/Summary?db=core;g=ENSMUSG00000007338","ENSMUSG00000007338")</f>
        <v>ENSMUSG00000007338</v>
      </c>
      <c r="I6185" s="7" t="str">
        <f>HYPERLINK("http://www.informatics.jax.org/marker/MGI:108180","MGI:108180")</f>
        <v>MGI:108180</v>
      </c>
      <c r="J6185" s="4" t="s">
        <v>12</v>
      </c>
    </row>
    <row r="6186" spans="1:10" x14ac:dyDescent="0.25">
      <c r="A6186" s="2">
        <v>70.5293467271472</v>
      </c>
      <c r="B6186" s="3">
        <v>-0.53626535122974395</v>
      </c>
      <c r="C6186" s="3">
        <v>4.8898482249300898E-3</v>
      </c>
      <c r="D6186" s="4">
        <v>1.2950282970134499E-2</v>
      </c>
      <c r="E6186" s="3" t="s">
        <v>14896</v>
      </c>
      <c r="F6186" s="3" t="s">
        <v>14897</v>
      </c>
      <c r="G6186" s="3">
        <v>228140</v>
      </c>
      <c r="H6186" s="7" t="str">
        <f>HYPERLINK("http://www.ensembl.org/Mus_musculus/Gene/Summary?db=core;g=ENSMUSG00000033955","ENSMUSG00000033955")</f>
        <v>ENSMUSG00000033955</v>
      </c>
      <c r="I6186" s="7" t="str">
        <f>HYPERLINK("http://www.informatics.jax.org/marker/MGI:2446193","MGI:2446193")</f>
        <v>MGI:2446193</v>
      </c>
      <c r="J6186" s="4" t="s">
        <v>12</v>
      </c>
    </row>
    <row r="6187" spans="1:10" x14ac:dyDescent="0.25">
      <c r="A6187" s="2">
        <v>59.498666900315797</v>
      </c>
      <c r="B6187" s="3">
        <v>-0.53678750163169997</v>
      </c>
      <c r="C6187" s="3">
        <v>2.4395739796565499E-3</v>
      </c>
      <c r="D6187" s="4">
        <v>6.7978520388338503E-3</v>
      </c>
      <c r="E6187" s="3" t="s">
        <v>14161</v>
      </c>
      <c r="F6187" s="3" t="s">
        <v>14162</v>
      </c>
      <c r="G6187" s="3">
        <v>18227</v>
      </c>
      <c r="H6187" s="7" t="str">
        <f>HYPERLINK("http://www.ensembl.org/Mus_musculus/Gene/Summary?db=core;g=ENSMUSG00000026826","ENSMUSG00000026826")</f>
        <v>ENSMUSG00000026826</v>
      </c>
      <c r="I6187" s="7" t="str">
        <f>HYPERLINK("http://www.informatics.jax.org/marker/MGI:1352456","MGI:1352456")</f>
        <v>MGI:1352456</v>
      </c>
      <c r="J6187" s="4" t="s">
        <v>12</v>
      </c>
    </row>
    <row r="6188" spans="1:10" x14ac:dyDescent="0.25">
      <c r="A6188" s="2">
        <v>2511.3416847408098</v>
      </c>
      <c r="B6188" s="3">
        <v>-0.53679621824757595</v>
      </c>
      <c r="C6188" s="3">
        <v>1.03178702920251E-4</v>
      </c>
      <c r="D6188" s="4">
        <v>3.4763096217108399E-4</v>
      </c>
      <c r="E6188" s="3" t="s">
        <v>11717</v>
      </c>
      <c r="F6188" s="3" t="s">
        <v>11718</v>
      </c>
      <c r="G6188" s="3">
        <v>20787</v>
      </c>
      <c r="H6188" s="7" t="str">
        <f>HYPERLINK("http://www.ensembl.org/Mus_musculus/Gene/Summary?db=core;g=ENSMUSG00000020538","ENSMUSG00000020538")</f>
        <v>ENSMUSG00000020538</v>
      </c>
      <c r="I6188" s="7" t="str">
        <f>HYPERLINK("http://www.informatics.jax.org/marker/MGI:107606","MGI:107606")</f>
        <v>MGI:107606</v>
      </c>
      <c r="J6188" s="4" t="s">
        <v>12</v>
      </c>
    </row>
    <row r="6189" spans="1:10" x14ac:dyDescent="0.25">
      <c r="A6189" s="2">
        <v>331.21744092713499</v>
      </c>
      <c r="B6189" s="3">
        <v>-0.53800621776840396</v>
      </c>
      <c r="C6189" s="5">
        <v>6.5098209197204104E-10</v>
      </c>
      <c r="D6189" s="6">
        <v>3.53354441334672E-9</v>
      </c>
      <c r="E6189" s="3" t="s">
        <v>7284</v>
      </c>
      <c r="F6189" s="3" t="s">
        <v>7285</v>
      </c>
      <c r="G6189" s="3">
        <v>18685</v>
      </c>
      <c r="H6189" s="7" t="str">
        <f>HYPERLINK("http://www.ensembl.org/Mus_musculus/Gene/Summary?db=core;g=ENSMUSG00000058388","ENSMUSG00000058388")</f>
        <v>ENSMUSG00000058388</v>
      </c>
      <c r="I6189" s="7" t="str">
        <f>HYPERLINK("http://www.informatics.jax.org/marker/MGI:1332671","MGI:1332671")</f>
        <v>MGI:1332671</v>
      </c>
      <c r="J6189" s="4" t="s">
        <v>12</v>
      </c>
    </row>
    <row r="6190" spans="1:10" x14ac:dyDescent="0.25">
      <c r="A6190" s="2">
        <v>334.57320683594497</v>
      </c>
      <c r="B6190" s="3">
        <v>-0.53857775899417804</v>
      </c>
      <c r="C6190" s="5">
        <v>1.19119664824011E-6</v>
      </c>
      <c r="D6190" s="6">
        <v>4.8928135603613604E-6</v>
      </c>
      <c r="E6190" s="3" t="s">
        <v>9617</v>
      </c>
      <c r="F6190" s="3" t="s">
        <v>9618</v>
      </c>
      <c r="G6190" s="3">
        <v>668212</v>
      </c>
      <c r="H6190" s="7" t="str">
        <f>HYPERLINK("http://www.ensembl.org/Mus_musculus/Gene/Summary?db=core;g=ENSMUSG00000020658","ENSMUSG00000020658")</f>
        <v>ENSMUSG00000020658</v>
      </c>
      <c r="I6190" s="7" t="str">
        <f>HYPERLINK("http://www.informatics.jax.org/marker/MGI:2444851","MGI:2444851")</f>
        <v>MGI:2444851</v>
      </c>
      <c r="J6190" s="4" t="s">
        <v>12</v>
      </c>
    </row>
    <row r="6191" spans="1:10" x14ac:dyDescent="0.25">
      <c r="A6191" s="2">
        <v>1071.01643756161</v>
      </c>
      <c r="B6191" s="3">
        <v>-0.53861782257993995</v>
      </c>
      <c r="C6191" s="5">
        <v>2.52726550567863E-8</v>
      </c>
      <c r="D6191" s="6">
        <v>1.2081860793207899E-7</v>
      </c>
      <c r="E6191" s="3" t="s">
        <v>8267</v>
      </c>
      <c r="F6191" s="3" t="s">
        <v>8268</v>
      </c>
      <c r="G6191" s="3">
        <v>18718</v>
      </c>
      <c r="H6191" s="7" t="str">
        <f>HYPERLINK("http://www.ensembl.org/Mus_musculus/Gene/Summary?db=core;g=ENSMUSG00000026737","ENSMUSG00000026737")</f>
        <v>ENSMUSG00000026737</v>
      </c>
      <c r="I6191" s="7" t="str">
        <f>HYPERLINK("http://www.informatics.jax.org/marker/MGI:1298206","MGI:1298206")</f>
        <v>MGI:1298206</v>
      </c>
      <c r="J6191" s="4" t="s">
        <v>12</v>
      </c>
    </row>
    <row r="6192" spans="1:10" x14ac:dyDescent="0.25">
      <c r="A6192" s="2">
        <v>262.21415917712</v>
      </c>
      <c r="B6192" s="3">
        <v>-0.53872360489312698</v>
      </c>
      <c r="C6192" s="5">
        <v>1.1677231251243799E-10</v>
      </c>
      <c r="D6192" s="6">
        <v>6.7588787870422002E-10</v>
      </c>
      <c r="E6192" s="3" t="s">
        <v>6832</v>
      </c>
      <c r="F6192" s="3" t="s">
        <v>6833</v>
      </c>
      <c r="G6192" s="3">
        <v>101095</v>
      </c>
      <c r="H6192" s="7" t="str">
        <f>HYPERLINK("http://www.ensembl.org/Mus_musculus/Gene/Summary?db=core;g=ENSMUSG00000025821","ENSMUSG00000025821")</f>
        <v>ENSMUSG00000025821</v>
      </c>
      <c r="I6192" s="7" t="str">
        <f>HYPERLINK("http://www.informatics.jax.org/marker/MGI:2141413","MGI:2141413")</f>
        <v>MGI:2141413</v>
      </c>
      <c r="J6192" s="4" t="s">
        <v>12</v>
      </c>
    </row>
    <row r="6193" spans="1:10" x14ac:dyDescent="0.25">
      <c r="A6193" s="2">
        <v>714.21622126293698</v>
      </c>
      <c r="B6193" s="3">
        <v>-0.53893715557434396</v>
      </c>
      <c r="C6193" s="5">
        <v>3.0820390881770102E-11</v>
      </c>
      <c r="D6193" s="6">
        <v>1.8620652824402801E-10</v>
      </c>
      <c r="E6193" s="3" t="s">
        <v>6545</v>
      </c>
      <c r="F6193" s="3" t="s">
        <v>6546</v>
      </c>
      <c r="G6193" s="3">
        <v>26417</v>
      </c>
      <c r="H6193" s="7" t="str">
        <f>HYPERLINK("http://www.ensembl.org/Mus_musculus/Gene/Summary?db=core;g=ENSMUSG00000063065","ENSMUSG00000063065")</f>
        <v>ENSMUSG00000063065</v>
      </c>
      <c r="I6193" s="7" t="str">
        <f>HYPERLINK("http://www.informatics.jax.org/marker/MGI:1346859","MGI:1346859")</f>
        <v>MGI:1346859</v>
      </c>
      <c r="J6193" s="4" t="s">
        <v>12</v>
      </c>
    </row>
    <row r="6194" spans="1:10" x14ac:dyDescent="0.25">
      <c r="A6194" s="2">
        <v>48.101916374762901</v>
      </c>
      <c r="B6194" s="3">
        <v>-0.53946933297738497</v>
      </c>
      <c r="C6194" s="3">
        <v>8.0213405456471994E-3</v>
      </c>
      <c r="D6194" s="4">
        <v>2.03134500526728E-2</v>
      </c>
      <c r="E6194" s="3" t="s">
        <v>15579</v>
      </c>
      <c r="F6194" s="3" t="s">
        <v>15580</v>
      </c>
      <c r="G6194" s="3" t="s">
        <v>83</v>
      </c>
      <c r="H6194" s="7" t="str">
        <f>HYPERLINK("http://www.ensembl.org/Mus_musculus/Gene/Summary?db=core;g=ENSMUSG00000084790","ENSMUSG00000084790")</f>
        <v>ENSMUSG00000084790</v>
      </c>
      <c r="I6194" s="7" t="str">
        <f>HYPERLINK("http://www.informatics.jax.org/marker/MGI:3802012","MGI:3802012")</f>
        <v>MGI:3802012</v>
      </c>
      <c r="J6194" s="4" t="s">
        <v>932</v>
      </c>
    </row>
    <row r="6195" spans="1:10" x14ac:dyDescent="0.25">
      <c r="A6195" s="2">
        <v>1159.15448739369</v>
      </c>
      <c r="B6195" s="3">
        <v>-0.53994469501365705</v>
      </c>
      <c r="C6195" s="5">
        <v>2.3006500833720601E-21</v>
      </c>
      <c r="D6195" s="6">
        <v>2.41709214939249E-20</v>
      </c>
      <c r="E6195" s="3" t="s">
        <v>3772</v>
      </c>
      <c r="F6195" s="3" t="s">
        <v>3773</v>
      </c>
      <c r="G6195" s="3">
        <v>72151</v>
      </c>
      <c r="H6195" s="7" t="str">
        <f>HYPERLINK("http://www.ensembl.org/Mus_musculus/Gene/Summary?db=core;g=ENSMUSG00000029363","ENSMUSG00000029363")</f>
        <v>ENSMUSG00000029363</v>
      </c>
      <c r="I6195" s="7" t="str">
        <f>HYPERLINK("http://www.informatics.jax.org/marker/MGI:1919401","MGI:1919401")</f>
        <v>MGI:1919401</v>
      </c>
      <c r="J6195" s="4" t="s">
        <v>12</v>
      </c>
    </row>
    <row r="6196" spans="1:10" x14ac:dyDescent="0.25">
      <c r="A6196" s="2">
        <v>83.413823173369707</v>
      </c>
      <c r="B6196" s="3">
        <v>-0.54014742500143298</v>
      </c>
      <c r="C6196" s="3">
        <v>7.7487366650978197E-4</v>
      </c>
      <c r="D6196" s="4">
        <v>2.3219128861226099E-3</v>
      </c>
      <c r="E6196" s="3" t="s">
        <v>13171</v>
      </c>
      <c r="F6196" s="3" t="s">
        <v>13172</v>
      </c>
      <c r="G6196" s="3">
        <v>67454</v>
      </c>
      <c r="H6196" s="7" t="str">
        <f>HYPERLINK("http://www.ensembl.org/Mus_musculus/Gene/Summary?db=core;g=ENSMUSG00000019975","ENSMUSG00000019975")</f>
        <v>ENSMUSG00000019975</v>
      </c>
      <c r="I6196" s="7" t="str">
        <f>HYPERLINK("http://www.informatics.jax.org/marker/MGI:1914704","MGI:1914704")</f>
        <v>MGI:1914704</v>
      </c>
      <c r="J6196" s="4" t="s">
        <v>12</v>
      </c>
    </row>
    <row r="6197" spans="1:10" x14ac:dyDescent="0.25">
      <c r="A6197" s="2">
        <v>161.174699060591</v>
      </c>
      <c r="B6197" s="3">
        <v>-0.54018499527465602</v>
      </c>
      <c r="C6197" s="5">
        <v>1.1255746346188E-8</v>
      </c>
      <c r="D6197" s="6">
        <v>5.5615965408877003E-8</v>
      </c>
      <c r="E6197" s="3" t="s">
        <v>7999</v>
      </c>
      <c r="F6197" s="3" t="s">
        <v>8000</v>
      </c>
      <c r="G6197" s="3" t="s">
        <v>83</v>
      </c>
      <c r="H6197" s="7" t="str">
        <f>HYPERLINK("http://www.ensembl.org/Mus_musculus/Gene/Summary?db=core;g=ENSMUSG00000093575","ENSMUSG00000093575")</f>
        <v>ENSMUSG00000093575</v>
      </c>
      <c r="I6197" s="7" t="str">
        <f>HYPERLINK("http://www.informatics.jax.org/marker/MGI:5313142","MGI:5313142")</f>
        <v>MGI:5313142</v>
      </c>
      <c r="J6197" s="4" t="s">
        <v>12</v>
      </c>
    </row>
    <row r="6198" spans="1:10" x14ac:dyDescent="0.25">
      <c r="A6198" s="2">
        <v>349.81612698385101</v>
      </c>
      <c r="B6198" s="3">
        <v>-0.54019390841966197</v>
      </c>
      <c r="C6198" s="5">
        <v>1.6416024914573699E-13</v>
      </c>
      <c r="D6198" s="6">
        <v>1.1561571832692599E-12</v>
      </c>
      <c r="E6198" s="3" t="s">
        <v>5617</v>
      </c>
      <c r="F6198" s="3" t="s">
        <v>5618</v>
      </c>
      <c r="G6198" s="3">
        <v>227095</v>
      </c>
      <c r="H6198" s="7" t="str">
        <f>HYPERLINK("http://www.ensembl.org/Mus_musculus/Gene/Summary?db=core;g=ENSMUSG00000041426","ENSMUSG00000041426")</f>
        <v>ENSMUSG00000041426</v>
      </c>
      <c r="I6198" s="7" t="str">
        <f>HYPERLINK("http://www.informatics.jax.org/marker/MGI:1923792","MGI:1923792")</f>
        <v>MGI:1923792</v>
      </c>
      <c r="J6198" s="4" t="s">
        <v>12</v>
      </c>
    </row>
    <row r="6199" spans="1:10" x14ac:dyDescent="0.25">
      <c r="A6199" s="2">
        <v>1968.9354852798499</v>
      </c>
      <c r="B6199" s="3">
        <v>-0.54043395459708798</v>
      </c>
      <c r="C6199" s="5">
        <v>4.5155500106860098E-10</v>
      </c>
      <c r="D6199" s="6">
        <v>2.4824824703297501E-9</v>
      </c>
      <c r="E6199" s="3" t="s">
        <v>7192</v>
      </c>
      <c r="F6199" s="3" t="s">
        <v>7193</v>
      </c>
      <c r="G6199" s="3">
        <v>20927</v>
      </c>
      <c r="H6199" s="7" t="str">
        <f>HYPERLINK("http://www.ensembl.org/Mus_musculus/Gene/Summary?db=core;g=ENSMUSG00000040136","ENSMUSG00000040136")</f>
        <v>ENSMUSG00000040136</v>
      </c>
      <c r="I6199" s="7" t="str">
        <f>HYPERLINK("http://www.informatics.jax.org/marker/MGI:1352629","MGI:1352629")</f>
        <v>MGI:1352629</v>
      </c>
      <c r="J6199" s="4" t="s">
        <v>12</v>
      </c>
    </row>
    <row r="6200" spans="1:10" x14ac:dyDescent="0.25">
      <c r="A6200" s="2">
        <v>550.02748822391698</v>
      </c>
      <c r="B6200" s="3">
        <v>-0.54106772320724195</v>
      </c>
      <c r="C6200" s="5">
        <v>1.7876625800499201E-14</v>
      </c>
      <c r="D6200" s="6">
        <v>1.33532977570395E-13</v>
      </c>
      <c r="E6200" s="3" t="s">
        <v>5297</v>
      </c>
      <c r="F6200" s="3" t="s">
        <v>5298</v>
      </c>
      <c r="G6200" s="3">
        <v>15242</v>
      </c>
      <c r="H6200" s="7" t="str">
        <f>HYPERLINK("http://www.ensembl.org/Mus_musculus/Gene/Summary?db=core;g=ENSMUSG00000024986","ENSMUSG00000024986")</f>
        <v>ENSMUSG00000024986</v>
      </c>
      <c r="I6200" s="7" t="str">
        <f>HYPERLINK("http://www.informatics.jax.org/marker/MGI:96086","MGI:96086")</f>
        <v>MGI:96086</v>
      </c>
      <c r="J6200" s="4" t="s">
        <v>12</v>
      </c>
    </row>
    <row r="6201" spans="1:10" x14ac:dyDescent="0.25">
      <c r="A6201" s="2">
        <v>715.25456563830403</v>
      </c>
      <c r="B6201" s="3">
        <v>-0.54107054942622901</v>
      </c>
      <c r="C6201" s="5">
        <v>5.7087695521038003E-10</v>
      </c>
      <c r="D6201" s="6">
        <v>3.1150231202957101E-9</v>
      </c>
      <c r="E6201" s="3" t="s">
        <v>7246</v>
      </c>
      <c r="F6201" s="3" t="s">
        <v>7247</v>
      </c>
      <c r="G6201" s="3">
        <v>93747</v>
      </c>
      <c r="H6201" s="7" t="str">
        <f>HYPERLINK("http://www.ensembl.org/Mus_musculus/Gene/Summary?db=core;g=ENSMUSG00000025465","ENSMUSG00000025465")</f>
        <v>ENSMUSG00000025465</v>
      </c>
      <c r="I6201" s="7" t="str">
        <f>HYPERLINK("http://www.informatics.jax.org/marker/MGI:2136460","MGI:2136460")</f>
        <v>MGI:2136460</v>
      </c>
      <c r="J6201" s="4" t="s">
        <v>12</v>
      </c>
    </row>
    <row r="6202" spans="1:10" x14ac:dyDescent="0.25">
      <c r="A6202" s="2">
        <v>1235.42054811046</v>
      </c>
      <c r="B6202" s="3">
        <v>-0.54150208867854999</v>
      </c>
      <c r="C6202" s="5">
        <v>3.6936170626898398E-15</v>
      </c>
      <c r="D6202" s="6">
        <v>2.8620089774555498E-14</v>
      </c>
      <c r="E6202" s="3" t="s">
        <v>5107</v>
      </c>
      <c r="F6202" s="3" t="s">
        <v>5108</v>
      </c>
      <c r="G6202" s="3">
        <v>319934</v>
      </c>
      <c r="H6202" s="7" t="str">
        <f>HYPERLINK("http://www.ensembl.org/Mus_musculus/Gene/Summary?db=core;g=ENSMUSG00000038371","ENSMUSG00000038371")</f>
        <v>ENSMUSG00000038371</v>
      </c>
      <c r="I6202" s="7" t="str">
        <f>HYPERLINK("http://www.informatics.jax.org/marker/MGI:1921831","MGI:1921831")</f>
        <v>MGI:1921831</v>
      </c>
      <c r="J6202" s="4" t="s">
        <v>12</v>
      </c>
    </row>
    <row r="6203" spans="1:10" x14ac:dyDescent="0.25">
      <c r="A6203" s="2">
        <v>586.57413236974298</v>
      </c>
      <c r="B6203" s="3">
        <v>-0.54176234917931898</v>
      </c>
      <c r="C6203" s="5">
        <v>1.01648378764579E-11</v>
      </c>
      <c r="D6203" s="6">
        <v>6.3413667486159399E-11</v>
      </c>
      <c r="E6203" s="3" t="s">
        <v>6339</v>
      </c>
      <c r="F6203" s="3" t="s">
        <v>6340</v>
      </c>
      <c r="G6203" s="3">
        <v>74528</v>
      </c>
      <c r="H6203" s="7" t="str">
        <f>HYPERLINK("http://www.ensembl.org/Mus_musculus/Gene/Summary?db=core;g=ENSMUSG00000027424","ENSMUSG00000027424")</f>
        <v>ENSMUSG00000027424</v>
      </c>
      <c r="I6203" s="7" t="str">
        <f>HYPERLINK("http://www.informatics.jax.org/marker/MGI:1921778","MGI:1921778")</f>
        <v>MGI:1921778</v>
      </c>
      <c r="J6203" s="4" t="s">
        <v>12</v>
      </c>
    </row>
    <row r="6204" spans="1:10" x14ac:dyDescent="0.25">
      <c r="A6204" s="2">
        <v>809.85416063680805</v>
      </c>
      <c r="B6204" s="3">
        <v>-0.54260621144775101</v>
      </c>
      <c r="C6204" s="5">
        <v>2.8321155383980502E-18</v>
      </c>
      <c r="D6204" s="6">
        <v>2.5964350728595799E-17</v>
      </c>
      <c r="E6204" s="3" t="s">
        <v>4319</v>
      </c>
      <c r="F6204" s="3" t="s">
        <v>4320</v>
      </c>
      <c r="G6204" s="3">
        <v>227700</v>
      </c>
      <c r="H6204" s="7" t="str">
        <f>HYPERLINK("http://www.ensembl.org/Mus_musculus/Gene/Summary?db=core;g=ENSMUSG00000026860","ENSMUSG00000026860")</f>
        <v>ENSMUSG00000026860</v>
      </c>
      <c r="I6204" s="7" t="str">
        <f>HYPERLINK("http://www.informatics.jax.org/marker/MGI:2385131","MGI:2385131")</f>
        <v>MGI:2385131</v>
      </c>
      <c r="J6204" s="4" t="s">
        <v>12</v>
      </c>
    </row>
    <row r="6205" spans="1:10" x14ac:dyDescent="0.25">
      <c r="A6205" s="2">
        <v>401.66646688661899</v>
      </c>
      <c r="B6205" s="3">
        <v>-0.54329246811019904</v>
      </c>
      <c r="C6205" s="5">
        <v>5.0770569242513104E-10</v>
      </c>
      <c r="D6205" s="6">
        <v>2.7787833068619401E-9</v>
      </c>
      <c r="E6205" s="3" t="s">
        <v>7224</v>
      </c>
      <c r="F6205" s="3" t="s">
        <v>7225</v>
      </c>
      <c r="G6205" s="3">
        <v>384281</v>
      </c>
      <c r="H6205" s="7" t="str">
        <f>HYPERLINK("http://www.ensembl.org/Mus_musculus/Gene/Summary?db=core;g=ENSMUSG00000029536","ENSMUSG00000029536")</f>
        <v>ENSMUSG00000029536</v>
      </c>
      <c r="I6205" s="7" t="str">
        <f>HYPERLINK("http://www.informatics.jax.org/marker/MGI:1923776","MGI:1923776")</f>
        <v>MGI:1923776</v>
      </c>
      <c r="J6205" s="4" t="s">
        <v>12</v>
      </c>
    </row>
    <row r="6206" spans="1:10" x14ac:dyDescent="0.25">
      <c r="A6206" s="2">
        <v>986.78702095605797</v>
      </c>
      <c r="B6206" s="3">
        <v>-0.54381673503457795</v>
      </c>
      <c r="C6206" s="5">
        <v>5.7211812705777104E-16</v>
      </c>
      <c r="D6206" s="6">
        <v>4.60872935685427E-15</v>
      </c>
      <c r="E6206" s="3" t="s">
        <v>4913</v>
      </c>
      <c r="F6206" s="3" t="s">
        <v>4914</v>
      </c>
      <c r="G6206" s="3">
        <v>219158</v>
      </c>
      <c r="H6206" s="7" t="str">
        <f>HYPERLINK("http://www.ensembl.org/Mus_musculus/Gene/Summary?db=core;g=ENSMUSG00000033712","ENSMUSG00000033712")</f>
        <v>ENSMUSG00000033712</v>
      </c>
      <c r="I6206" s="7" t="str">
        <f>HYPERLINK("http://www.informatics.jax.org/marker/MGI:2444228","MGI:2444228")</f>
        <v>MGI:2444228</v>
      </c>
      <c r="J6206" s="4" t="s">
        <v>12</v>
      </c>
    </row>
    <row r="6207" spans="1:10" x14ac:dyDescent="0.25">
      <c r="A6207" s="2">
        <v>967.671423739901</v>
      </c>
      <c r="B6207" s="3">
        <v>-0.54428095905414697</v>
      </c>
      <c r="C6207" s="5">
        <v>1.9293101440947499E-20</v>
      </c>
      <c r="D6207" s="6">
        <v>1.95207778561049E-19</v>
      </c>
      <c r="E6207" s="3" t="s">
        <v>3916</v>
      </c>
      <c r="F6207" s="3" t="s">
        <v>3917</v>
      </c>
      <c r="G6207" s="3">
        <v>14375</v>
      </c>
      <c r="H6207" s="7" t="str">
        <f>HYPERLINK("http://www.ensembl.org/Mus_musculus/Gene/Summary?db=core;g=ENSMUSG00000022471","ENSMUSG00000022471")</f>
        <v>ENSMUSG00000022471</v>
      </c>
      <c r="I6207" s="7" t="str">
        <f>HYPERLINK("http://www.informatics.jax.org/marker/MGI:95606","MGI:95606")</f>
        <v>MGI:95606</v>
      </c>
      <c r="J6207" s="4" t="s">
        <v>12</v>
      </c>
    </row>
    <row r="6208" spans="1:10" x14ac:dyDescent="0.25">
      <c r="A6208" s="2">
        <v>1227.9536059361601</v>
      </c>
      <c r="B6208" s="3">
        <v>-0.54439768716552095</v>
      </c>
      <c r="C6208" s="5">
        <v>2.4200926137755401E-9</v>
      </c>
      <c r="D6208" s="6">
        <v>1.2582184641089801E-8</v>
      </c>
      <c r="E6208" s="3" t="s">
        <v>7604</v>
      </c>
      <c r="F6208" s="3" t="s">
        <v>7605</v>
      </c>
      <c r="G6208" s="3">
        <v>67144</v>
      </c>
      <c r="H6208" s="7" t="str">
        <f>HYPERLINK("http://www.ensembl.org/Mus_musculus/Gene/Summary?db=core;g=ENSMUSG00000063052","ENSMUSG00000063052")</f>
        <v>ENSMUSG00000063052</v>
      </c>
      <c r="I6208" s="7" t="str">
        <f>HYPERLINK("http://www.informatics.jax.org/marker/MGI:1914394","MGI:1914394")</f>
        <v>MGI:1914394</v>
      </c>
      <c r="J6208" s="4" t="s">
        <v>12</v>
      </c>
    </row>
    <row r="6209" spans="1:10" x14ac:dyDescent="0.25">
      <c r="A6209" s="2">
        <v>31.014129015377499</v>
      </c>
      <c r="B6209" s="3">
        <v>-0.54475002130028705</v>
      </c>
      <c r="C6209" s="3">
        <v>1.32910990532222E-2</v>
      </c>
      <c r="D6209" s="4">
        <v>3.2218865805721197E-2</v>
      </c>
      <c r="E6209" s="3" t="s">
        <v>16273</v>
      </c>
      <c r="F6209" s="3" t="s">
        <v>16274</v>
      </c>
      <c r="G6209" s="3" t="s">
        <v>83</v>
      </c>
      <c r="H6209" s="7" t="str">
        <f>HYPERLINK("http://www.ensembl.org/Mus_musculus/Gene/Summary?db=core;g=ENSMUSG00000086725","ENSMUSG00000086725")</f>
        <v>ENSMUSG00000086725</v>
      </c>
      <c r="I6209" s="7" t="str">
        <f>HYPERLINK("http://www.informatics.jax.org/marker/MGI:2444673","MGI:2444673")</f>
        <v>MGI:2444673</v>
      </c>
      <c r="J6209" s="4" t="s">
        <v>331</v>
      </c>
    </row>
    <row r="6210" spans="1:10" x14ac:dyDescent="0.25">
      <c r="A6210" s="2">
        <v>1326.4931410484301</v>
      </c>
      <c r="B6210" s="3">
        <v>-0.54510471149160999</v>
      </c>
      <c r="C6210" s="5">
        <v>2.7985591775523E-6</v>
      </c>
      <c r="D6210" s="6">
        <v>1.1079619952084199E-5</v>
      </c>
      <c r="E6210" s="3" t="s">
        <v>9978</v>
      </c>
      <c r="F6210" s="3" t="s">
        <v>9979</v>
      </c>
      <c r="G6210" s="3">
        <v>217653</v>
      </c>
      <c r="H6210" s="7" t="str">
        <f>HYPERLINK("http://www.ensembl.org/Mus_musculus/Gene/Summary?db=core;g=ENSMUSG00000047534","ENSMUSG00000047534")</f>
        <v>ENSMUSG00000047534</v>
      </c>
      <c r="I6210" s="7" t="str">
        <f>HYPERLINK("http://www.informatics.jax.org/marker/MGI:2145099","MGI:2145099")</f>
        <v>MGI:2145099</v>
      </c>
      <c r="J6210" s="4" t="s">
        <v>12</v>
      </c>
    </row>
    <row r="6211" spans="1:10" x14ac:dyDescent="0.25">
      <c r="A6211" s="2">
        <v>224.423158335051</v>
      </c>
      <c r="B6211" s="3">
        <v>-0.54514479556889694</v>
      </c>
      <c r="C6211" s="5">
        <v>1.34137800070459E-5</v>
      </c>
      <c r="D6211" s="6">
        <v>4.9637782274149801E-5</v>
      </c>
      <c r="E6211" s="3" t="s">
        <v>10670</v>
      </c>
      <c r="F6211" s="3" t="s">
        <v>10671</v>
      </c>
      <c r="G6211" s="3">
        <v>210146</v>
      </c>
      <c r="H6211" s="7" t="str">
        <f>HYPERLINK("http://www.ensembl.org/Mus_musculus/Gene/Summary?db=core;g=ENSMUSG00000041037","ENSMUSG00000041037")</f>
        <v>ENSMUSG00000041037</v>
      </c>
      <c r="I6211" s="7" t="str">
        <f>HYPERLINK("http://www.informatics.jax.org/marker/MGI:2667176","MGI:2667176")</f>
        <v>MGI:2667176</v>
      </c>
      <c r="J6211" s="4" t="s">
        <v>12</v>
      </c>
    </row>
    <row r="6212" spans="1:10" x14ac:dyDescent="0.25">
      <c r="A6212" s="2">
        <v>502.63214904151903</v>
      </c>
      <c r="B6212" s="3">
        <v>-0.54524136741996998</v>
      </c>
      <c r="C6212" s="5">
        <v>9.6505110267274694E-10</v>
      </c>
      <c r="D6212" s="6">
        <v>5.1798605728651499E-9</v>
      </c>
      <c r="E6212" s="3" t="s">
        <v>7366</v>
      </c>
      <c r="F6212" s="3" t="s">
        <v>7367</v>
      </c>
      <c r="G6212" s="3">
        <v>226182</v>
      </c>
      <c r="H6212" s="7" t="str">
        <f>HYPERLINK("http://www.ensembl.org/Mus_musculus/Gene/Summary?db=core;g=ENSMUSG00000025049","ENSMUSG00000025049")</f>
        <v>ENSMUSG00000025049</v>
      </c>
      <c r="I6212" s="7" t="str">
        <f>HYPERLINK("http://www.informatics.jax.org/marker/MGI:2442144","MGI:2442144")</f>
        <v>MGI:2442144</v>
      </c>
      <c r="J6212" s="4" t="s">
        <v>12</v>
      </c>
    </row>
    <row r="6213" spans="1:10" x14ac:dyDescent="0.25">
      <c r="A6213" s="2">
        <v>549.10868997443697</v>
      </c>
      <c r="B6213" s="3">
        <v>-0.545414785103988</v>
      </c>
      <c r="C6213" s="5">
        <v>5.4290141708441703E-11</v>
      </c>
      <c r="D6213" s="6">
        <v>3.2237325940694701E-10</v>
      </c>
      <c r="E6213" s="3" t="s">
        <v>6659</v>
      </c>
      <c r="F6213" s="3" t="s">
        <v>6660</v>
      </c>
      <c r="G6213" s="3">
        <v>106068</v>
      </c>
      <c r="H6213" s="7" t="str">
        <f>HYPERLINK("http://www.ensembl.org/Mus_musculus/Gene/Summary?db=core;g=ENSMUSG00000079020","ENSMUSG00000079020")</f>
        <v>ENSMUSG00000079020</v>
      </c>
      <c r="I6213" s="7" t="str">
        <f>HYPERLINK("http://www.informatics.jax.org/marker/MGI:2146236","MGI:2146236")</f>
        <v>MGI:2146236</v>
      </c>
      <c r="J6213" s="4" t="s">
        <v>12</v>
      </c>
    </row>
    <row r="6214" spans="1:10" x14ac:dyDescent="0.25">
      <c r="A6214" s="2">
        <v>560.17432859789096</v>
      </c>
      <c r="B6214" s="3">
        <v>-0.54558188276322594</v>
      </c>
      <c r="C6214" s="5">
        <v>3.0905607082598899E-18</v>
      </c>
      <c r="D6214" s="6">
        <v>2.8215674614298603E-17</v>
      </c>
      <c r="E6214" s="3" t="s">
        <v>4337</v>
      </c>
      <c r="F6214" s="3" t="s">
        <v>4338</v>
      </c>
      <c r="G6214" s="3">
        <v>84652</v>
      </c>
      <c r="H6214" s="7" t="str">
        <f>HYPERLINK("http://www.ensembl.org/Mus_musculus/Gene/Summary?db=core;g=ENSMUSG00000028995","ENSMUSG00000028995")</f>
        <v>ENSMUSG00000028995</v>
      </c>
      <c r="I6214" s="7" t="str">
        <f>HYPERLINK("http://www.informatics.jax.org/marker/MGI:2149839","MGI:2149839")</f>
        <v>MGI:2149839</v>
      </c>
      <c r="J6214" s="4" t="s">
        <v>12</v>
      </c>
    </row>
    <row r="6215" spans="1:10" x14ac:dyDescent="0.25">
      <c r="A6215" s="2">
        <v>1195.77060869761</v>
      </c>
      <c r="B6215" s="3">
        <v>-0.54564570906383503</v>
      </c>
      <c r="C6215" s="5">
        <v>1.13122159836627E-18</v>
      </c>
      <c r="D6215" s="6">
        <v>1.0587418091971E-17</v>
      </c>
      <c r="E6215" s="3" t="s">
        <v>4231</v>
      </c>
      <c r="F6215" s="3" t="s">
        <v>4232</v>
      </c>
      <c r="G6215" s="3">
        <v>22379</v>
      </c>
      <c r="H6215" s="7" t="str">
        <f>HYPERLINK("http://www.ensembl.org/Mus_musculus/Gene/Summary?db=core;g=ENSMUSG00000023008","ENSMUSG00000023008")</f>
        <v>ENSMUSG00000023008</v>
      </c>
      <c r="I6215" s="7" t="str">
        <f>HYPERLINK("http://www.informatics.jax.org/marker/MGI:109569","MGI:109569")</f>
        <v>MGI:109569</v>
      </c>
      <c r="J6215" s="4" t="s">
        <v>12</v>
      </c>
    </row>
    <row r="6216" spans="1:10" x14ac:dyDescent="0.25">
      <c r="A6216" s="2">
        <v>47.1029336524591</v>
      </c>
      <c r="B6216" s="3">
        <v>-0.54635573518324199</v>
      </c>
      <c r="C6216" s="3">
        <v>4.7140354808344201E-3</v>
      </c>
      <c r="D6216" s="4">
        <v>1.25115450446911E-2</v>
      </c>
      <c r="E6216" s="3" t="s">
        <v>14864</v>
      </c>
      <c r="F6216" s="3" t="s">
        <v>14865</v>
      </c>
      <c r="G6216" s="3">
        <v>71776</v>
      </c>
      <c r="H6216" s="7" t="str">
        <f>HYPERLINK("http://www.ensembl.org/Mus_musculus/Gene/Summary?db=core;g=ENSMUSG00000017713","ENSMUSG00000017713")</f>
        <v>ENSMUSG00000017713</v>
      </c>
      <c r="I6216" s="7" t="str">
        <f>HYPERLINK("http://www.informatics.jax.org/marker/MGI:1919026","MGI:1919026")</f>
        <v>MGI:1919026</v>
      </c>
      <c r="J6216" s="4" t="s">
        <v>12</v>
      </c>
    </row>
    <row r="6217" spans="1:10" x14ac:dyDescent="0.25">
      <c r="A6217" s="2">
        <v>179.80230275795299</v>
      </c>
      <c r="B6217" s="3">
        <v>-0.54641742393559301</v>
      </c>
      <c r="C6217" s="5">
        <v>6.7212039556040395E-7</v>
      </c>
      <c r="D6217" s="6">
        <v>2.8309060524766498E-6</v>
      </c>
      <c r="E6217" s="3" t="s">
        <v>9377</v>
      </c>
      <c r="F6217" s="3" t="s">
        <v>9378</v>
      </c>
      <c r="G6217" s="3">
        <v>217038</v>
      </c>
      <c r="H6217" s="7" t="str">
        <f>HYPERLINK("http://www.ensembl.org/Mus_musculus/Gene/Summary?db=core;g=ENSMUSG00000018405","ENSMUSG00000018405")</f>
        <v>ENSMUSG00000018405</v>
      </c>
      <c r="I6217" s="7" t="str">
        <f>HYPERLINK("http://www.informatics.jax.org/marker/MGI:2443470","MGI:2443470")</f>
        <v>MGI:2443470</v>
      </c>
      <c r="J6217" s="4" t="s">
        <v>12</v>
      </c>
    </row>
    <row r="6218" spans="1:10" x14ac:dyDescent="0.25">
      <c r="A6218" s="2">
        <v>1414.0902939945499</v>
      </c>
      <c r="B6218" s="3">
        <v>-0.54647918390818795</v>
      </c>
      <c r="C6218" s="5">
        <v>2.2962571175564301E-8</v>
      </c>
      <c r="D6218" s="6">
        <v>1.1004177486807499E-7</v>
      </c>
      <c r="E6218" s="3" t="s">
        <v>8247</v>
      </c>
      <c r="F6218" s="3" t="s">
        <v>8248</v>
      </c>
      <c r="G6218" s="3">
        <v>54392</v>
      </c>
      <c r="H6218" s="7" t="str">
        <f>HYPERLINK("http://www.ensembl.org/Mus_musculus/Gene/Summary?db=core;g=ENSMUSG00000015880","ENSMUSG00000015880")</f>
        <v>ENSMUSG00000015880</v>
      </c>
      <c r="I6218" s="7" t="str">
        <f>HYPERLINK("http://www.informatics.jax.org/marker/MGI:1930197","MGI:1930197")</f>
        <v>MGI:1930197</v>
      </c>
      <c r="J6218" s="4" t="s">
        <v>12</v>
      </c>
    </row>
    <row r="6219" spans="1:10" x14ac:dyDescent="0.25">
      <c r="A6219" s="2">
        <v>202.46211725654899</v>
      </c>
      <c r="B6219" s="3">
        <v>-0.54656070586303196</v>
      </c>
      <c r="C6219" s="5">
        <v>1.60940300598099E-10</v>
      </c>
      <c r="D6219" s="6">
        <v>9.2206354671543103E-10</v>
      </c>
      <c r="E6219" s="3" t="s">
        <v>6902</v>
      </c>
      <c r="F6219" s="3" t="s">
        <v>6903</v>
      </c>
      <c r="G6219" s="3">
        <v>77090</v>
      </c>
      <c r="H6219" s="7" t="str">
        <f>HYPERLINK("http://www.ensembl.org/Mus_musculus/Gene/Summary?db=core;g=ENSMUSG00000002396","ENSMUSG00000002396")</f>
        <v>ENSMUSG00000002396</v>
      </c>
      <c r="I6219" s="7" t="str">
        <f>HYPERLINK("http://www.informatics.jax.org/marker/MGI:1924340","MGI:1924340")</f>
        <v>MGI:1924340</v>
      </c>
      <c r="J6219" s="4" t="s">
        <v>12</v>
      </c>
    </row>
    <row r="6220" spans="1:10" x14ac:dyDescent="0.25">
      <c r="A6220" s="2">
        <v>4384.0266705377499</v>
      </c>
      <c r="B6220" s="3">
        <v>-0.54676688900953796</v>
      </c>
      <c r="C6220" s="3">
        <v>7.3417448639618499E-3</v>
      </c>
      <c r="D6220" s="4">
        <v>1.8746498603823301E-2</v>
      </c>
      <c r="E6220" s="3" t="s">
        <v>15451</v>
      </c>
      <c r="F6220" s="3" t="s">
        <v>15452</v>
      </c>
      <c r="G6220" s="3">
        <v>16410</v>
      </c>
      <c r="H6220" s="7" t="str">
        <f>HYPERLINK("http://www.ensembl.org/Mus_musculus/Gene/Summary?db=core;g=ENSMUSG00000027087","ENSMUSG00000027087")</f>
        <v>ENSMUSG00000027087</v>
      </c>
      <c r="I6220" s="7" t="str">
        <f>HYPERLINK("http://www.informatics.jax.org/marker/MGI:96608","MGI:96608")</f>
        <v>MGI:96608</v>
      </c>
      <c r="J6220" s="4" t="s">
        <v>12</v>
      </c>
    </row>
    <row r="6221" spans="1:10" x14ac:dyDescent="0.25">
      <c r="A6221" s="2">
        <v>636.380316811532</v>
      </c>
      <c r="B6221" s="3">
        <v>-0.54687033614732605</v>
      </c>
      <c r="C6221" s="5">
        <v>3.2817921167157101E-12</v>
      </c>
      <c r="D6221" s="6">
        <v>2.1379894463704599E-11</v>
      </c>
      <c r="E6221" s="3" t="s">
        <v>6071</v>
      </c>
      <c r="F6221" s="3" t="s">
        <v>6072</v>
      </c>
      <c r="G6221" s="3">
        <v>68915</v>
      </c>
      <c r="H6221" s="7" t="str">
        <f>HYPERLINK("http://www.ensembl.org/Mus_musculus/Gene/Summary?db=core;g=ENSMUSG00000038838","ENSMUSG00000038838")</f>
        <v>ENSMUSG00000038838</v>
      </c>
      <c r="I6221" s="7" t="str">
        <f>HYPERLINK("http://www.informatics.jax.org/marker/MGI:1916165","MGI:1916165")</f>
        <v>MGI:1916165</v>
      </c>
      <c r="J6221" s="4" t="s">
        <v>12</v>
      </c>
    </row>
    <row r="6222" spans="1:10" x14ac:dyDescent="0.25">
      <c r="A6222" s="2">
        <v>29.459927232618501</v>
      </c>
      <c r="B6222" s="3">
        <v>-0.54725998349092897</v>
      </c>
      <c r="C6222" s="3">
        <v>1.1966350688300501E-2</v>
      </c>
      <c r="D6222" s="4">
        <v>2.9302922584538101E-2</v>
      </c>
      <c r="E6222" s="3" t="s">
        <v>16111</v>
      </c>
      <c r="F6222" s="3" t="s">
        <v>16112</v>
      </c>
      <c r="G6222" s="3">
        <v>79565</v>
      </c>
      <c r="H6222" s="7" t="str">
        <f>HYPERLINK("http://www.ensembl.org/Mus_musculus/Gene/Summary?db=core;g=ENSMUSG00000040557","ENSMUSG00000040557")</f>
        <v>ENSMUSG00000040557</v>
      </c>
      <c r="I6222" s="7" t="str">
        <f>HYPERLINK("http://www.informatics.jax.org/marker/MGI:1933146","MGI:1933146")</f>
        <v>MGI:1933146</v>
      </c>
      <c r="J6222" s="4" t="s">
        <v>12</v>
      </c>
    </row>
    <row r="6223" spans="1:10" x14ac:dyDescent="0.25">
      <c r="A6223" s="2">
        <v>1798.8088619919399</v>
      </c>
      <c r="B6223" s="3">
        <v>-0.54730911229369605</v>
      </c>
      <c r="C6223" s="5">
        <v>5.06264185338473E-16</v>
      </c>
      <c r="D6223" s="6">
        <v>4.0882595146907002E-15</v>
      </c>
      <c r="E6223" s="3" t="s">
        <v>4901</v>
      </c>
      <c r="F6223" s="3" t="s">
        <v>4902</v>
      </c>
      <c r="G6223" s="3">
        <v>108148</v>
      </c>
      <c r="H6223" s="7" t="str">
        <f>HYPERLINK("http://www.ensembl.org/Mus_musculus/Gene/Summary?db=core;g=ENSMUSG00000089704","ENSMUSG00000089704")</f>
        <v>ENSMUSG00000089704</v>
      </c>
      <c r="I6223" s="7" t="str">
        <f>HYPERLINK("http://www.informatics.jax.org/marker/MGI:894694","MGI:894694")</f>
        <v>MGI:894694</v>
      </c>
      <c r="J6223" s="4" t="s">
        <v>12</v>
      </c>
    </row>
    <row r="6224" spans="1:10" x14ac:dyDescent="0.25">
      <c r="A6224" s="2">
        <v>255.02308383398099</v>
      </c>
      <c r="B6224" s="3">
        <v>-0.54784956909985405</v>
      </c>
      <c r="C6224" s="5">
        <v>3.2778513281093701E-9</v>
      </c>
      <c r="D6224" s="6">
        <v>1.68814907783538E-8</v>
      </c>
      <c r="E6224" s="3" t="s">
        <v>7674</v>
      </c>
      <c r="F6224" s="3" t="s">
        <v>7675</v>
      </c>
      <c r="G6224" s="3" t="s">
        <v>83</v>
      </c>
      <c r="H6224" s="7" t="str">
        <f>HYPERLINK("http://www.ensembl.org/Mus_musculus/Gene/Summary?db=core;g=ENSMUSG00000091474","ENSMUSG00000091474")</f>
        <v>ENSMUSG00000091474</v>
      </c>
      <c r="I6224" s="7" t="str">
        <f>HYPERLINK("http://www.informatics.jax.org/marker/MGI:1922662","MGI:1922662")</f>
        <v>MGI:1922662</v>
      </c>
      <c r="J6224" s="4" t="s">
        <v>12</v>
      </c>
    </row>
    <row r="6225" spans="1:10" x14ac:dyDescent="0.25">
      <c r="A6225" s="2">
        <v>2912.9891670760599</v>
      </c>
      <c r="B6225" s="3">
        <v>-0.548000243735982</v>
      </c>
      <c r="C6225" s="5">
        <v>1.26135812108144E-13</v>
      </c>
      <c r="D6225" s="6">
        <v>8.9410431875362898E-13</v>
      </c>
      <c r="E6225" s="3" t="s">
        <v>5579</v>
      </c>
      <c r="F6225" s="3" t="s">
        <v>5580</v>
      </c>
      <c r="G6225" s="3">
        <v>269587</v>
      </c>
      <c r="H6225" s="7" t="str">
        <f>HYPERLINK("http://www.ensembl.org/Mus_musculus/Gene/Summary?db=core;g=ENSMUSG00000028906","ENSMUSG00000028906")</f>
        <v>ENSMUSG00000028906</v>
      </c>
      <c r="I6225" s="7" t="str">
        <f>HYPERLINK("http://www.informatics.jax.org/marker/MGI:95401","MGI:95401")</f>
        <v>MGI:95401</v>
      </c>
      <c r="J6225" s="4" t="s">
        <v>12</v>
      </c>
    </row>
    <row r="6226" spans="1:10" x14ac:dyDescent="0.25">
      <c r="A6226" s="2">
        <v>403.204087270819</v>
      </c>
      <c r="B6226" s="3">
        <v>-0.54801276633075202</v>
      </c>
      <c r="C6226" s="5">
        <v>2.71982083967935E-18</v>
      </c>
      <c r="D6226" s="6">
        <v>2.4958058147266999E-17</v>
      </c>
      <c r="E6226" s="3" t="s">
        <v>4315</v>
      </c>
      <c r="F6226" s="3" t="s">
        <v>4316</v>
      </c>
      <c r="G6226" s="3">
        <v>19889</v>
      </c>
      <c r="H6226" s="7" t="str">
        <f>HYPERLINK("http://www.ensembl.org/Mus_musculus/Gene/Summary?db=core;g=ENSMUSG00000060090","ENSMUSG00000060090")</f>
        <v>ENSMUSG00000060090</v>
      </c>
      <c r="I6226" s="7" t="str">
        <f>HYPERLINK("http://www.informatics.jax.org/marker/MGI:1277953","MGI:1277953")</f>
        <v>MGI:1277953</v>
      </c>
      <c r="J6226" s="4" t="s">
        <v>12</v>
      </c>
    </row>
    <row r="6227" spans="1:10" x14ac:dyDescent="0.25">
      <c r="A6227" s="2">
        <v>2680.8293437545399</v>
      </c>
      <c r="B6227" s="3">
        <v>-0.54836625873549005</v>
      </c>
      <c r="C6227" s="5">
        <v>4.3293099915457297E-24</v>
      </c>
      <c r="D6227" s="6">
        <v>5.1091557769767597E-23</v>
      </c>
      <c r="E6227" s="3" t="s">
        <v>3362</v>
      </c>
      <c r="F6227" s="3" t="s">
        <v>3363</v>
      </c>
      <c r="G6227" s="3">
        <v>76900</v>
      </c>
      <c r="H6227" s="7" t="str">
        <f>HYPERLINK("http://www.ensembl.org/Mus_musculus/Gene/Summary?db=core;g=ENSMUSG00000070003","ENSMUSG00000070003")</f>
        <v>ENSMUSG00000070003</v>
      </c>
      <c r="I6227" s="7" t="str">
        <f>HYPERLINK("http://www.informatics.jax.org/marker/MGI:1924150","MGI:1924150")</f>
        <v>MGI:1924150</v>
      </c>
      <c r="J6227" s="4" t="s">
        <v>12</v>
      </c>
    </row>
    <row r="6228" spans="1:10" x14ac:dyDescent="0.25">
      <c r="A6228" s="2">
        <v>538.78039062214305</v>
      </c>
      <c r="B6228" s="3">
        <v>-0.54849989132243704</v>
      </c>
      <c r="C6228" s="5">
        <v>7.4766680628923702E-16</v>
      </c>
      <c r="D6228" s="6">
        <v>5.98376193994471E-15</v>
      </c>
      <c r="E6228" s="3" t="s">
        <v>4945</v>
      </c>
      <c r="F6228" s="3" t="s">
        <v>4946</v>
      </c>
      <c r="G6228" s="3">
        <v>56807</v>
      </c>
      <c r="H6228" s="7" t="str">
        <f>HYPERLINK("http://www.ensembl.org/Mus_musculus/Gene/Summary?db=core;g=ENSMUSG00000040722","ENSMUSG00000040722")</f>
        <v>ENSMUSG00000040722</v>
      </c>
      <c r="I6228" s="7" t="str">
        <f>HYPERLINK("http://www.informatics.jax.org/marker/MGI:1928948","MGI:1928948")</f>
        <v>MGI:1928948</v>
      </c>
      <c r="J6228" s="4" t="s">
        <v>12</v>
      </c>
    </row>
    <row r="6229" spans="1:10" x14ac:dyDescent="0.25">
      <c r="A6229" s="2">
        <v>327.64294661500998</v>
      </c>
      <c r="B6229" s="3">
        <v>-0.54883161189818996</v>
      </c>
      <c r="C6229" s="3">
        <v>6.7207086603807695E-4</v>
      </c>
      <c r="D6229" s="4">
        <v>2.0320817967296599E-3</v>
      </c>
      <c r="E6229" s="3" t="s">
        <v>13053</v>
      </c>
      <c r="F6229" s="3" t="s">
        <v>13054</v>
      </c>
      <c r="G6229" s="3">
        <v>76580</v>
      </c>
      <c r="H6229" s="7" t="str">
        <f>HYPERLINK("http://www.ensembl.org/Mus_musculus/Gene/Summary?db=core;g=ENSMUSG00000029060","ENSMUSG00000029060")</f>
        <v>ENSMUSG00000029060</v>
      </c>
      <c r="I6229" s="7" t="str">
        <f>HYPERLINK("http://www.informatics.jax.org/marker/MGI:2679684","MGI:2679684")</f>
        <v>MGI:2679684</v>
      </c>
      <c r="J6229" s="4" t="s">
        <v>12</v>
      </c>
    </row>
    <row r="6230" spans="1:10" x14ac:dyDescent="0.25">
      <c r="A6230" s="2">
        <v>1171.78543024795</v>
      </c>
      <c r="B6230" s="3">
        <v>-0.54933518437441298</v>
      </c>
      <c r="C6230" s="5">
        <v>1.28635805300969E-14</v>
      </c>
      <c r="D6230" s="6">
        <v>9.6894502694236498E-14</v>
      </c>
      <c r="E6230" s="3" t="s">
        <v>5253</v>
      </c>
      <c r="F6230" s="3" t="s">
        <v>5254</v>
      </c>
      <c r="G6230" s="3">
        <v>74302</v>
      </c>
      <c r="H6230" s="7" t="str">
        <f>HYPERLINK("http://www.ensembl.org/Mus_musculus/Gene/Summary?db=core;g=ENSMUSG00000034354","ENSMUSG00000034354")</f>
        <v>ENSMUSG00000034354</v>
      </c>
      <c r="I6230" s="7" t="str">
        <f>HYPERLINK("http://www.informatics.jax.org/marker/MGI:1921552","MGI:1921552")</f>
        <v>MGI:1921552</v>
      </c>
      <c r="J6230" s="4" t="s">
        <v>12</v>
      </c>
    </row>
    <row r="6231" spans="1:10" x14ac:dyDescent="0.25">
      <c r="A6231" s="2">
        <v>694.73041439641304</v>
      </c>
      <c r="B6231" s="3">
        <v>-0.549524375721408</v>
      </c>
      <c r="C6231" s="5">
        <v>7.6788554928477002E-17</v>
      </c>
      <c r="D6231" s="6">
        <v>6.4712406119212296E-16</v>
      </c>
      <c r="E6231" s="3" t="s">
        <v>4697</v>
      </c>
      <c r="F6231" s="3" t="s">
        <v>4698</v>
      </c>
      <c r="G6231" s="3">
        <v>66682</v>
      </c>
      <c r="H6231" s="7" t="str">
        <f>HYPERLINK("http://www.ensembl.org/Mus_musculus/Gene/Summary?db=core;g=ENSMUSG00000040236","ENSMUSG00000040236")</f>
        <v>ENSMUSG00000040236</v>
      </c>
      <c r="I6231" s="7" t="str">
        <f>HYPERLINK("http://www.informatics.jax.org/marker/MGI:1913932","MGI:1913932")</f>
        <v>MGI:1913932</v>
      </c>
      <c r="J6231" s="4" t="s">
        <v>12</v>
      </c>
    </row>
    <row r="6232" spans="1:10" x14ac:dyDescent="0.25">
      <c r="A6232" s="2">
        <v>88.747405695182906</v>
      </c>
      <c r="B6232" s="3">
        <v>-0.550615700222847</v>
      </c>
      <c r="C6232" s="5">
        <v>2.0926164525279399E-5</v>
      </c>
      <c r="D6232" s="6">
        <v>7.5927132371390901E-5</v>
      </c>
      <c r="E6232" s="3" t="s">
        <v>10882</v>
      </c>
      <c r="F6232" s="3" t="s">
        <v>10883</v>
      </c>
      <c r="G6232" s="3">
        <v>29807</v>
      </c>
      <c r="H6232" s="7" t="str">
        <f>HYPERLINK("http://www.ensembl.org/Mus_musculus/Gene/Summary?db=core;g=ENSMUSG00000029735","ENSMUSG00000029735")</f>
        <v>ENSMUSG00000029735</v>
      </c>
      <c r="I6232" s="7" t="str">
        <f>HYPERLINK("http://www.informatics.jax.org/marker/MGI:1352500","MGI:1352500")</f>
        <v>MGI:1352500</v>
      </c>
      <c r="J6232" s="4" t="s">
        <v>12</v>
      </c>
    </row>
    <row r="6233" spans="1:10" x14ac:dyDescent="0.25">
      <c r="A6233" s="2">
        <v>219.060818528222</v>
      </c>
      <c r="B6233" s="3">
        <v>-0.550866304031848</v>
      </c>
      <c r="C6233" s="5">
        <v>4.3186571979891897E-9</v>
      </c>
      <c r="D6233" s="6">
        <v>2.20574773230632E-8</v>
      </c>
      <c r="E6233" s="3" t="s">
        <v>7738</v>
      </c>
      <c r="F6233" s="3" t="s">
        <v>7739</v>
      </c>
      <c r="G6233" s="3">
        <v>329416</v>
      </c>
      <c r="H6233" s="7" t="str">
        <f>HYPERLINK("http://www.ensembl.org/Mus_musculus/Gene/Summary?db=core;g=ENSMUSG00000034738","ENSMUSG00000034738")</f>
        <v>ENSMUSG00000034738</v>
      </c>
      <c r="I6233" s="7" t="str">
        <f>HYPERLINK("http://www.informatics.jax.org/marker/MGI:3606242","MGI:3606242")</f>
        <v>MGI:3606242</v>
      </c>
      <c r="J6233" s="4" t="s">
        <v>12</v>
      </c>
    </row>
    <row r="6234" spans="1:10" x14ac:dyDescent="0.25">
      <c r="A6234" s="2">
        <v>1336.43616834607</v>
      </c>
      <c r="B6234" s="3">
        <v>-0.55133635043693996</v>
      </c>
      <c r="C6234" s="5">
        <v>2.8449736982976599E-7</v>
      </c>
      <c r="D6234" s="6">
        <v>1.24396632661707E-6</v>
      </c>
      <c r="E6234" s="3" t="s">
        <v>9035</v>
      </c>
      <c r="F6234" s="3" t="s">
        <v>9036</v>
      </c>
      <c r="G6234" s="3">
        <v>13605</v>
      </c>
      <c r="H6234" s="7" t="str">
        <f>HYPERLINK("http://www.ensembl.org/Mus_musculus/Gene/Summary?db=core;g=ENSMUSG00000027699","ENSMUSG00000027699")</f>
        <v>ENSMUSG00000027699</v>
      </c>
      <c r="I6234" s="7" t="str">
        <f>HYPERLINK("http://www.informatics.jax.org/marker/MGI:95281","MGI:95281")</f>
        <v>MGI:95281</v>
      </c>
      <c r="J6234" s="4" t="s">
        <v>12</v>
      </c>
    </row>
    <row r="6235" spans="1:10" x14ac:dyDescent="0.25">
      <c r="A6235" s="2">
        <v>1229.3583095958099</v>
      </c>
      <c r="B6235" s="3">
        <v>-0.55140332645019696</v>
      </c>
      <c r="C6235" s="5">
        <v>9.0940424184902295E-14</v>
      </c>
      <c r="D6235" s="6">
        <v>6.5117834601535004E-13</v>
      </c>
      <c r="E6235" s="3" t="s">
        <v>5525</v>
      </c>
      <c r="F6235" s="3" t="s">
        <v>5526</v>
      </c>
      <c r="G6235" s="3">
        <v>54616</v>
      </c>
      <c r="H6235" s="7" t="str">
        <f>HYPERLINK("http://www.ensembl.org/Mus_musculus/Gene/Summary?db=core;g=ENSMUSG00000021978","ENSMUSG00000021978")</f>
        <v>ENSMUSG00000021978</v>
      </c>
      <c r="I6235" s="7" t="str">
        <f>HYPERLINK("http://www.informatics.jax.org/marker/MGI:1860765","MGI:1860765")</f>
        <v>MGI:1860765</v>
      </c>
      <c r="J6235" s="4" t="s">
        <v>12</v>
      </c>
    </row>
    <row r="6236" spans="1:10" x14ac:dyDescent="0.25">
      <c r="A6236" s="2">
        <v>1308.54737006355</v>
      </c>
      <c r="B6236" s="3">
        <v>-0.55167904485587305</v>
      </c>
      <c r="C6236" s="5">
        <v>2.5450460370597101E-24</v>
      </c>
      <c r="D6236" s="6">
        <v>3.0325261541279398E-23</v>
      </c>
      <c r="E6236" s="3" t="s">
        <v>3330</v>
      </c>
      <c r="F6236" s="3" t="s">
        <v>3331</v>
      </c>
      <c r="G6236" s="3">
        <v>66596</v>
      </c>
      <c r="H6236" s="7" t="str">
        <f>HYPERLINK("http://www.ensembl.org/Mus_musculus/Gene/Summary?db=core;g=ENSMUSG00000016503","ENSMUSG00000016503")</f>
        <v>ENSMUSG00000016503</v>
      </c>
      <c r="I6236" s="7" t="str">
        <f>HYPERLINK("http://www.informatics.jax.org/marker/MGI:1913846","MGI:1913846")</f>
        <v>MGI:1913846</v>
      </c>
      <c r="J6236" s="4" t="s">
        <v>12</v>
      </c>
    </row>
    <row r="6237" spans="1:10" x14ac:dyDescent="0.25">
      <c r="A6237" s="2">
        <v>203.49055646974</v>
      </c>
      <c r="B6237" s="3">
        <v>-0.55176222650887896</v>
      </c>
      <c r="C6237" s="5">
        <v>3.1077409528548E-6</v>
      </c>
      <c r="D6237" s="6">
        <v>1.2242239630502701E-5</v>
      </c>
      <c r="E6237" s="3" t="s">
        <v>10028</v>
      </c>
      <c r="F6237" s="3" t="s">
        <v>10029</v>
      </c>
      <c r="G6237" s="3">
        <v>381319</v>
      </c>
      <c r="H6237" s="7" t="str">
        <f>HYPERLINK("http://www.ensembl.org/Mus_musculus/Gene/Summary?db=core;g=ENSMUSG00000026630","ENSMUSG00000026630")</f>
        <v>ENSMUSG00000026630</v>
      </c>
      <c r="I6237" s="7" t="str">
        <f>HYPERLINK("http://www.informatics.jax.org/marker/MGI:1925491","MGI:1925491")</f>
        <v>MGI:1925491</v>
      </c>
      <c r="J6237" s="4" t="s">
        <v>12</v>
      </c>
    </row>
    <row r="6238" spans="1:10" x14ac:dyDescent="0.25">
      <c r="A6238" s="2">
        <v>345.56588429170398</v>
      </c>
      <c r="B6238" s="3">
        <v>-0.55203490036967995</v>
      </c>
      <c r="C6238" s="5">
        <v>3.7305393887053998E-10</v>
      </c>
      <c r="D6238" s="6">
        <v>2.0687918094845501E-9</v>
      </c>
      <c r="E6238" s="3" t="s">
        <v>7130</v>
      </c>
      <c r="F6238" s="3" t="s">
        <v>7131</v>
      </c>
      <c r="G6238" s="3">
        <v>16885</v>
      </c>
      <c r="H6238" s="7" t="str">
        <f>HYPERLINK("http://www.ensembl.org/Mus_musculus/Gene/Summary?db=core;g=ENSMUSG00000029674","ENSMUSG00000029674")</f>
        <v>ENSMUSG00000029674</v>
      </c>
      <c r="I6238" s="7" t="str">
        <f>HYPERLINK("http://www.informatics.jax.org/marker/MGI:104572","MGI:104572")</f>
        <v>MGI:104572</v>
      </c>
      <c r="J6238" s="4" t="s">
        <v>12</v>
      </c>
    </row>
    <row r="6239" spans="1:10" x14ac:dyDescent="0.25">
      <c r="A6239" s="2">
        <v>144.46910388121</v>
      </c>
      <c r="B6239" s="3">
        <v>-0.55241950229431502</v>
      </c>
      <c r="C6239" s="5">
        <v>1.45728503194253E-6</v>
      </c>
      <c r="D6239" s="6">
        <v>5.9228484810195303E-6</v>
      </c>
      <c r="E6239" s="3" t="s">
        <v>9719</v>
      </c>
      <c r="F6239" s="3" t="s">
        <v>9720</v>
      </c>
      <c r="G6239" s="3">
        <v>171429</v>
      </c>
      <c r="H6239" s="7" t="str">
        <f>HYPERLINK("http://www.ensembl.org/Mus_musculus/Gene/Summary?db=core;g=ENSMUSG00000023259","ENSMUSG00000023259")</f>
        <v>ENSMUSG00000023259</v>
      </c>
      <c r="I6239" s="7" t="str">
        <f>HYPERLINK("http://www.informatics.jax.org/marker/MGI:2159728","MGI:2159728")</f>
        <v>MGI:2159728</v>
      </c>
      <c r="J6239" s="4" t="s">
        <v>12</v>
      </c>
    </row>
    <row r="6240" spans="1:10" x14ac:dyDescent="0.25">
      <c r="A6240" s="2">
        <v>1295.0085273700299</v>
      </c>
      <c r="B6240" s="3">
        <v>-0.55268507579863901</v>
      </c>
      <c r="C6240" s="3">
        <v>4.5572834446725601E-4</v>
      </c>
      <c r="D6240" s="4">
        <v>1.4090565934296499E-3</v>
      </c>
      <c r="E6240" s="3" t="s">
        <v>12765</v>
      </c>
      <c r="F6240" s="3" t="s">
        <v>12766</v>
      </c>
      <c r="G6240" s="3">
        <v>70381</v>
      </c>
      <c r="H6240" s="7" t="str">
        <f>HYPERLINK("http://www.ensembl.org/Mus_musculus/Gene/Summary?db=core;g=ENSMUSG00000066621","ENSMUSG00000066621")</f>
        <v>ENSMUSG00000066621</v>
      </c>
      <c r="I6240" s="7" t="str">
        <f>HYPERLINK("http://www.informatics.jax.org/marker/MGI:1917631","MGI:1917631")</f>
        <v>MGI:1917631</v>
      </c>
      <c r="J6240" s="4" t="s">
        <v>12</v>
      </c>
    </row>
    <row r="6241" spans="1:10" x14ac:dyDescent="0.25">
      <c r="A6241" s="2">
        <v>506.885366064371</v>
      </c>
      <c r="B6241" s="3">
        <v>-0.55313488917150699</v>
      </c>
      <c r="C6241" s="5">
        <v>1.2255048374607201E-6</v>
      </c>
      <c r="D6241" s="6">
        <v>5.02640503218083E-6</v>
      </c>
      <c r="E6241" s="3" t="s">
        <v>9631</v>
      </c>
      <c r="F6241" s="3" t="s">
        <v>9632</v>
      </c>
      <c r="G6241" s="3">
        <v>210035</v>
      </c>
      <c r="H6241" s="7" t="str">
        <f>HYPERLINK("http://www.ensembl.org/Mus_musculus/Gene/Summary?db=core;g=ENSMUSG00000040195","ENSMUSG00000040195")</f>
        <v>ENSMUSG00000040195</v>
      </c>
      <c r="I6241" s="7" t="str">
        <f>HYPERLINK("http://www.informatics.jax.org/marker/MGI:2446113","MGI:2446113")</f>
        <v>MGI:2446113</v>
      </c>
      <c r="J6241" s="4" t="s">
        <v>12</v>
      </c>
    </row>
    <row r="6242" spans="1:10" x14ac:dyDescent="0.25">
      <c r="A6242" s="2">
        <v>2499.87705820579</v>
      </c>
      <c r="B6242" s="3">
        <v>-0.55324393939471195</v>
      </c>
      <c r="C6242" s="5">
        <v>3.9122650754600603E-6</v>
      </c>
      <c r="D6242" s="6">
        <v>1.5259071852862399E-5</v>
      </c>
      <c r="E6242" s="3" t="s">
        <v>10128</v>
      </c>
      <c r="F6242" s="3" t="s">
        <v>10129</v>
      </c>
      <c r="G6242" s="3">
        <v>105988</v>
      </c>
      <c r="H6242" s="7" t="str">
        <f>HYPERLINK("http://www.ensembl.org/Mus_musculus/Gene/Summary?db=core;g=ENSMUSG00000058290","ENSMUSG00000058290")</f>
        <v>ENSMUSG00000058290</v>
      </c>
      <c r="I6242" s="7" t="str">
        <f>HYPERLINK("http://www.informatics.jax.org/marker/MGI:2146156","MGI:2146156")</f>
        <v>MGI:2146156</v>
      </c>
      <c r="J6242" s="4" t="s">
        <v>12</v>
      </c>
    </row>
    <row r="6243" spans="1:10" x14ac:dyDescent="0.25">
      <c r="A6243" s="2">
        <v>46.867694043249401</v>
      </c>
      <c r="B6243" s="3">
        <v>-0.55354153676050499</v>
      </c>
      <c r="C6243" s="3">
        <v>5.8351347182635099E-3</v>
      </c>
      <c r="D6243" s="4">
        <v>1.52167226453526E-2</v>
      </c>
      <c r="E6243" s="3" t="s">
        <v>15128</v>
      </c>
      <c r="F6243" s="3" t="s">
        <v>15129</v>
      </c>
      <c r="G6243" s="3">
        <v>11554</v>
      </c>
      <c r="H6243" s="7" t="str">
        <f>HYPERLINK("http://www.ensembl.org/Mus_musculus/Gene/Summary?db=core;g=ENSMUSG00000035283","ENSMUSG00000035283")</f>
        <v>ENSMUSG00000035283</v>
      </c>
      <c r="I6243" s="7" t="str">
        <f>HYPERLINK("http://www.informatics.jax.org/marker/MGI:87937","MGI:87937")</f>
        <v>MGI:87937</v>
      </c>
      <c r="J6243" s="4" t="s">
        <v>12</v>
      </c>
    </row>
    <row r="6244" spans="1:10" x14ac:dyDescent="0.25">
      <c r="A6244" s="2">
        <v>59.583430990120398</v>
      </c>
      <c r="B6244" s="3">
        <v>-0.55381452046736901</v>
      </c>
      <c r="C6244" s="3">
        <v>3.9837112754333501E-4</v>
      </c>
      <c r="D6244" s="4">
        <v>1.2418398095407201E-3</v>
      </c>
      <c r="E6244" s="3" t="s">
        <v>12665</v>
      </c>
      <c r="F6244" s="3" t="s">
        <v>12666</v>
      </c>
      <c r="G6244" s="3">
        <v>70348</v>
      </c>
      <c r="H6244" s="7" t="str">
        <f>HYPERLINK("http://www.ensembl.org/Mus_musculus/Gene/Summary?db=core;g=ENSMUSG00000032415","ENSMUSG00000032415")</f>
        <v>ENSMUSG00000032415</v>
      </c>
      <c r="I6244" s="7" t="str">
        <f>HYPERLINK("http://www.informatics.jax.org/marker/MGI:1917598","MGI:1917598")</f>
        <v>MGI:1917598</v>
      </c>
      <c r="J6244" s="4" t="s">
        <v>12</v>
      </c>
    </row>
    <row r="6245" spans="1:10" x14ac:dyDescent="0.25">
      <c r="A6245" s="2">
        <v>165.90400611681599</v>
      </c>
      <c r="B6245" s="3">
        <v>-0.55388883797619104</v>
      </c>
      <c r="C6245" s="5">
        <v>1.3503640179659001E-6</v>
      </c>
      <c r="D6245" s="6">
        <v>5.5098651840032199E-6</v>
      </c>
      <c r="E6245" s="3" t="s">
        <v>9681</v>
      </c>
      <c r="F6245" s="3" t="s">
        <v>9682</v>
      </c>
      <c r="G6245" s="3">
        <v>329727</v>
      </c>
      <c r="H6245" s="7" t="str">
        <f>HYPERLINK("http://www.ensembl.org/Mus_musculus/Gene/Summary?db=core;g=ENSMUSG00000007379","ENSMUSG00000007379")</f>
        <v>ENSMUSG00000007379</v>
      </c>
      <c r="I6245" s="7" t="str">
        <f>HYPERLINK("http://www.informatics.jax.org/marker/MGI:3036254","MGI:3036254")</f>
        <v>MGI:3036254</v>
      </c>
      <c r="J6245" s="4" t="s">
        <v>12</v>
      </c>
    </row>
    <row r="6246" spans="1:10" x14ac:dyDescent="0.25">
      <c r="A6246" s="2">
        <v>832.20459526672903</v>
      </c>
      <c r="B6246" s="3">
        <v>-0.55412221484594504</v>
      </c>
      <c r="C6246" s="5">
        <v>1.28563223544109E-6</v>
      </c>
      <c r="D6246" s="6">
        <v>5.26098105061181E-6</v>
      </c>
      <c r="E6246" s="3" t="s">
        <v>9653</v>
      </c>
      <c r="F6246" s="3" t="s">
        <v>9654</v>
      </c>
      <c r="G6246" s="3">
        <v>110033</v>
      </c>
      <c r="H6246" s="7" t="str">
        <f>HYPERLINK("http://www.ensembl.org/Mus_musculus/Gene/Summary?db=core;g=ENSMUSG00000030677","ENSMUSG00000030677")</f>
        <v>ENSMUSG00000030677</v>
      </c>
      <c r="I6246" s="7" t="str">
        <f>HYPERLINK("http://www.informatics.jax.org/marker/MGI:109233","MGI:109233")</f>
        <v>MGI:109233</v>
      </c>
      <c r="J6246" s="4" t="s">
        <v>12</v>
      </c>
    </row>
    <row r="6247" spans="1:10" x14ac:dyDescent="0.25">
      <c r="A6247" s="2">
        <v>86.728920255955799</v>
      </c>
      <c r="B6247" s="3">
        <v>-0.55434685083895696</v>
      </c>
      <c r="C6247" s="3">
        <v>1.7847594524298001E-4</v>
      </c>
      <c r="D6247" s="4">
        <v>5.8232058904559203E-4</v>
      </c>
      <c r="E6247" s="3" t="s">
        <v>12099</v>
      </c>
      <c r="F6247" s="3" t="s">
        <v>12100</v>
      </c>
      <c r="G6247" s="3">
        <v>72296</v>
      </c>
      <c r="H6247" s="7" t="str">
        <f>HYPERLINK("http://www.ensembl.org/Mus_musculus/Gene/Summary?db=core;g=ENSMUSG00000041263","ENSMUSG00000041263")</f>
        <v>ENSMUSG00000041263</v>
      </c>
      <c r="I6247" s="7" t="str">
        <f>HYPERLINK("http://www.informatics.jax.org/marker/MGI:1919546","MGI:1919546")</f>
        <v>MGI:1919546</v>
      </c>
      <c r="J6247" s="4" t="s">
        <v>12</v>
      </c>
    </row>
    <row r="6248" spans="1:10" x14ac:dyDescent="0.25">
      <c r="A6248" s="2">
        <v>59.821640096755999</v>
      </c>
      <c r="B6248" s="3">
        <v>-0.55448277617661501</v>
      </c>
      <c r="C6248" s="3">
        <v>1.1656882561648001E-3</v>
      </c>
      <c r="D6248" s="4">
        <v>3.40351975297154E-3</v>
      </c>
      <c r="E6248" s="3" t="s">
        <v>13517</v>
      </c>
      <c r="F6248" s="3" t="s">
        <v>13518</v>
      </c>
      <c r="G6248" s="3">
        <v>67774</v>
      </c>
      <c r="H6248" s="7" t="str">
        <f>HYPERLINK("http://www.ensembl.org/Mus_musculus/Gene/Summary?db=core;g=ENSMUSG00000042992","ENSMUSG00000042992")</f>
        <v>ENSMUSG00000042992</v>
      </c>
      <c r="I6248" s="7" t="str">
        <f>HYPERLINK("http://www.informatics.jax.org/marker/MGI:1915024","MGI:1915024")</f>
        <v>MGI:1915024</v>
      </c>
      <c r="J6248" s="4" t="s">
        <v>12</v>
      </c>
    </row>
    <row r="6249" spans="1:10" x14ac:dyDescent="0.25">
      <c r="A6249" s="2">
        <v>282.950647903907</v>
      </c>
      <c r="B6249" s="3">
        <v>-0.55491235373673498</v>
      </c>
      <c r="C6249" s="5">
        <v>6.5665742589947199E-9</v>
      </c>
      <c r="D6249" s="6">
        <v>3.30423180370952E-8</v>
      </c>
      <c r="E6249" s="3" t="s">
        <v>7854</v>
      </c>
      <c r="F6249" s="3" t="s">
        <v>7855</v>
      </c>
      <c r="G6249" s="3">
        <v>66948</v>
      </c>
      <c r="H6249" s="7" t="str">
        <f>HYPERLINK("http://www.ensembl.org/Mus_musculus/Gene/Summary?db=core;g=ENSMUSG00000031969","ENSMUSG00000031969")</f>
        <v>ENSMUSG00000031969</v>
      </c>
      <c r="I6249" s="7" t="str">
        <f>HYPERLINK("http://www.informatics.jax.org/marker/MGI:1914198","MGI:1914198")</f>
        <v>MGI:1914198</v>
      </c>
      <c r="J6249" s="4" t="s">
        <v>12</v>
      </c>
    </row>
    <row r="6250" spans="1:10" x14ac:dyDescent="0.25">
      <c r="A6250" s="2">
        <v>327.28049798499899</v>
      </c>
      <c r="B6250" s="3">
        <v>-0.55505923300732096</v>
      </c>
      <c r="C6250" s="5">
        <v>3.3139595103168498E-8</v>
      </c>
      <c r="D6250" s="6">
        <v>1.5641761977847901E-7</v>
      </c>
      <c r="E6250" s="3" t="s">
        <v>8373</v>
      </c>
      <c r="F6250" s="3" t="s">
        <v>8374</v>
      </c>
      <c r="G6250" s="3">
        <v>55981</v>
      </c>
      <c r="H6250" s="7" t="str">
        <f>HYPERLINK("http://www.ensembl.org/Mus_musculus/Gene/Summary?db=core;g=ENSMUSG00000079469","ENSMUSG00000079469")</f>
        <v>ENSMUSG00000079469</v>
      </c>
      <c r="I6250" s="7" t="str">
        <f>HYPERLINK("http://www.informatics.jax.org/marker/MGI:1891825","MGI:1891825")</f>
        <v>MGI:1891825</v>
      </c>
      <c r="J6250" s="4" t="s">
        <v>12</v>
      </c>
    </row>
    <row r="6251" spans="1:10" x14ac:dyDescent="0.25">
      <c r="A6251" s="2">
        <v>837.93105700766296</v>
      </c>
      <c r="B6251" s="3">
        <v>-0.55648896165669404</v>
      </c>
      <c r="C6251" s="5">
        <v>4.08636817577162E-30</v>
      </c>
      <c r="D6251" s="6">
        <v>6.0543336157938703E-29</v>
      </c>
      <c r="E6251" s="3" t="s">
        <v>2679</v>
      </c>
      <c r="F6251" s="3" t="s">
        <v>2680</v>
      </c>
      <c r="G6251" s="3">
        <v>56292</v>
      </c>
      <c r="H6251" s="7" t="str">
        <f>HYPERLINK("http://www.ensembl.org/Mus_musculus/Gene/Summary?db=core;g=ENSMUSG00000031388","ENSMUSG00000031388")</f>
        <v>ENSMUSG00000031388</v>
      </c>
      <c r="I6251" s="7" t="str">
        <f>HYPERLINK("http://www.informatics.jax.org/marker/MGI:1915255","MGI:1915255")</f>
        <v>MGI:1915255</v>
      </c>
      <c r="J6251" s="4" t="s">
        <v>12</v>
      </c>
    </row>
    <row r="6252" spans="1:10" x14ac:dyDescent="0.25">
      <c r="A6252" s="2">
        <v>305.32649636122801</v>
      </c>
      <c r="B6252" s="3">
        <v>-0.55650062390278798</v>
      </c>
      <c r="C6252" s="5">
        <v>1.3590574767947001E-7</v>
      </c>
      <c r="D6252" s="6">
        <v>6.0882811091302804E-7</v>
      </c>
      <c r="E6252" s="3" t="s">
        <v>8821</v>
      </c>
      <c r="F6252" s="3" t="s">
        <v>8822</v>
      </c>
      <c r="G6252" s="3">
        <v>433586</v>
      </c>
      <c r="H6252" s="7" t="str">
        <f>HYPERLINK("http://www.ensembl.org/Mus_musculus/Gene/Summary?db=core;g=ENSMUSG00000061143","ENSMUSG00000061143")</f>
        <v>ENSMUSG00000061143</v>
      </c>
      <c r="I6252" s="7" t="str">
        <f>HYPERLINK("http://www.informatics.jax.org/marker/MGI:2389461","MGI:2389461")</f>
        <v>MGI:2389461</v>
      </c>
      <c r="J6252" s="4" t="s">
        <v>12</v>
      </c>
    </row>
    <row r="6253" spans="1:10" x14ac:dyDescent="0.25">
      <c r="A6253" s="2">
        <v>363.10409668577199</v>
      </c>
      <c r="B6253" s="3">
        <v>-0.556506491006169</v>
      </c>
      <c r="C6253" s="3">
        <v>1.07425388581457E-2</v>
      </c>
      <c r="D6253" s="4">
        <v>2.6546725098074399E-2</v>
      </c>
      <c r="E6253" s="3" t="s">
        <v>15965</v>
      </c>
      <c r="F6253" s="3" t="s">
        <v>15966</v>
      </c>
      <c r="G6253" s="3">
        <v>110460</v>
      </c>
      <c r="H6253" s="7" t="str">
        <f>HYPERLINK("http://www.ensembl.org/Mus_musculus/Gene/Summary?db=core;g=ENSMUSG00000023832","ENSMUSG00000023832")</f>
        <v>ENSMUSG00000023832</v>
      </c>
      <c r="I6253" s="7" t="str">
        <f>HYPERLINK("http://www.informatics.jax.org/marker/MGI:87871","MGI:87871")</f>
        <v>MGI:87871</v>
      </c>
      <c r="J6253" s="4" t="s">
        <v>12</v>
      </c>
    </row>
    <row r="6254" spans="1:10" x14ac:dyDescent="0.25">
      <c r="A6254" s="2">
        <v>28.509204967045601</v>
      </c>
      <c r="B6254" s="3">
        <v>-0.55654569921980301</v>
      </c>
      <c r="C6254" s="3">
        <v>8.23826679262794E-3</v>
      </c>
      <c r="D6254" s="4">
        <v>2.0809353291997301E-2</v>
      </c>
      <c r="E6254" s="3" t="s">
        <v>15619</v>
      </c>
      <c r="F6254" s="3" t="s">
        <v>15620</v>
      </c>
      <c r="G6254" s="3">
        <v>215814</v>
      </c>
      <c r="H6254" s="7" t="str">
        <f>HYPERLINK("http://www.ensembl.org/Mus_musculus/Gene/Summary?db=core;g=ENSMUSG00000059554","ENSMUSG00000059554")</f>
        <v>ENSMUSG00000059554</v>
      </c>
      <c r="I6254" s="7" t="str">
        <f>HYPERLINK("http://www.informatics.jax.org/marker/MGI:2443508","MGI:2443508")</f>
        <v>MGI:2443508</v>
      </c>
      <c r="J6254" s="4" t="s">
        <v>12</v>
      </c>
    </row>
    <row r="6255" spans="1:10" x14ac:dyDescent="0.25">
      <c r="A6255" s="2">
        <v>1619.40380836646</v>
      </c>
      <c r="B6255" s="3">
        <v>-0.55676733408563295</v>
      </c>
      <c r="C6255" s="5">
        <v>5.5291085080234E-20</v>
      </c>
      <c r="D6255" s="6">
        <v>5.4708489602720195E-19</v>
      </c>
      <c r="E6255" s="3" t="s">
        <v>4004</v>
      </c>
      <c r="F6255" s="3" t="s">
        <v>4005</v>
      </c>
      <c r="G6255" s="3">
        <v>445007</v>
      </c>
      <c r="H6255" s="7" t="str">
        <f>HYPERLINK("http://www.ensembl.org/Mus_musculus/Gene/Summary?db=core;g=ENSMUSG00000020739","ENSMUSG00000020739")</f>
        <v>ENSMUSG00000020739</v>
      </c>
      <c r="I6255" s="7" t="str">
        <f>HYPERLINK("http://www.informatics.jax.org/marker/MGI:3046173","MGI:3046173")</f>
        <v>MGI:3046173</v>
      </c>
      <c r="J6255" s="4" t="s">
        <v>12</v>
      </c>
    </row>
    <row r="6256" spans="1:10" x14ac:dyDescent="0.25">
      <c r="A6256" s="2">
        <v>771.83878422307998</v>
      </c>
      <c r="B6256" s="3">
        <v>-0.55702935319816105</v>
      </c>
      <c r="C6256" s="5">
        <v>1.4463279761428401E-17</v>
      </c>
      <c r="D6256" s="6">
        <v>1.2755629557038001E-16</v>
      </c>
      <c r="E6256" s="3" t="s">
        <v>4489</v>
      </c>
      <c r="F6256" s="3" t="s">
        <v>4490</v>
      </c>
      <c r="G6256" s="3">
        <v>171212</v>
      </c>
      <c r="H6256" s="7" t="str">
        <f>HYPERLINK("http://www.ensembl.org/Mus_musculus/Gene/Summary?db=core;g=ENSMUSG00000020520","ENSMUSG00000020520")</f>
        <v>ENSMUSG00000020520</v>
      </c>
      <c r="I6256" s="7" t="str">
        <f>HYPERLINK("http://www.informatics.jax.org/marker/MGI:1890480","MGI:1890480")</f>
        <v>MGI:1890480</v>
      </c>
      <c r="J6256" s="4" t="s">
        <v>12</v>
      </c>
    </row>
    <row r="6257" spans="1:10" x14ac:dyDescent="0.25">
      <c r="A6257" s="2">
        <v>261.55027301676898</v>
      </c>
      <c r="B6257" s="3">
        <v>-0.55726870935040196</v>
      </c>
      <c r="C6257" s="5">
        <v>2.23173204360626E-8</v>
      </c>
      <c r="D6257" s="6">
        <v>1.0713183033085599E-7</v>
      </c>
      <c r="E6257" s="3" t="s">
        <v>8233</v>
      </c>
      <c r="F6257" s="3" t="s">
        <v>8234</v>
      </c>
      <c r="G6257" s="3">
        <v>69168</v>
      </c>
      <c r="H6257" s="7" t="str">
        <f>HYPERLINK("http://www.ensembl.org/Mus_musculus/Gene/Summary?db=core;g=ENSMUSG00000015943","ENSMUSG00000015943")</f>
        <v>ENSMUSG00000015943</v>
      </c>
      <c r="I6257" s="7" t="str">
        <f>HYPERLINK("http://www.informatics.jax.org/marker/MGI:1916418","MGI:1916418")</f>
        <v>MGI:1916418</v>
      </c>
      <c r="J6257" s="4" t="s">
        <v>12</v>
      </c>
    </row>
    <row r="6258" spans="1:10" x14ac:dyDescent="0.25">
      <c r="A6258" s="2">
        <v>470.587134514507</v>
      </c>
      <c r="B6258" s="3">
        <v>-0.55732122071366696</v>
      </c>
      <c r="C6258" s="5">
        <v>9.4344650770602896E-5</v>
      </c>
      <c r="D6258" s="4">
        <v>3.1912118579696203E-4</v>
      </c>
      <c r="E6258" s="3" t="s">
        <v>11671</v>
      </c>
      <c r="F6258" s="3" t="s">
        <v>11672</v>
      </c>
      <c r="G6258" s="3">
        <v>20856</v>
      </c>
      <c r="H6258" s="7" t="str">
        <f>HYPERLINK("http://www.ensembl.org/Mus_musculus/Gene/Summary?db=core;g=ENSMUSG00000020303","ENSMUSG00000020303")</f>
        <v>ENSMUSG00000020303</v>
      </c>
      <c r="I6258" s="7" t="str">
        <f>HYPERLINK("http://www.informatics.jax.org/marker/MGI:1316731","MGI:1316731")</f>
        <v>MGI:1316731</v>
      </c>
      <c r="J6258" s="4" t="s">
        <v>12</v>
      </c>
    </row>
    <row r="6259" spans="1:10" x14ac:dyDescent="0.25">
      <c r="A6259" s="2">
        <v>834.63399001804999</v>
      </c>
      <c r="B6259" s="3">
        <v>-0.557860672735217</v>
      </c>
      <c r="C6259" s="5">
        <v>9.8069059828950798E-12</v>
      </c>
      <c r="D6259" s="6">
        <v>6.1277625469800705E-11</v>
      </c>
      <c r="E6259" s="3" t="s">
        <v>6329</v>
      </c>
      <c r="F6259" s="3" t="s">
        <v>6330</v>
      </c>
      <c r="G6259" s="3">
        <v>22282</v>
      </c>
      <c r="H6259" s="7" t="str">
        <f>HYPERLINK("http://www.ensembl.org/Mus_musculus/Gene/Summary?db=core;g=ENSMUSG00000058239","ENSMUSG00000058239")</f>
        <v>ENSMUSG00000058239</v>
      </c>
      <c r="I6259" s="7" t="str">
        <f>HYPERLINK("http://www.informatics.jax.org/marker/MGI:99961","MGI:99961")</f>
        <v>MGI:99961</v>
      </c>
      <c r="J6259" s="4" t="s">
        <v>12</v>
      </c>
    </row>
    <row r="6260" spans="1:10" x14ac:dyDescent="0.25">
      <c r="A6260" s="2">
        <v>200.46475912665699</v>
      </c>
      <c r="B6260" s="3">
        <v>-0.55814619642549301</v>
      </c>
      <c r="C6260" s="5">
        <v>2.5959875595067199E-7</v>
      </c>
      <c r="D6260" s="6">
        <v>1.13837835609234E-6</v>
      </c>
      <c r="E6260" s="3" t="s">
        <v>9009</v>
      </c>
      <c r="F6260" s="3" t="s">
        <v>9010</v>
      </c>
      <c r="G6260" s="3">
        <v>69745</v>
      </c>
      <c r="H6260" s="7" t="str">
        <f>HYPERLINK("http://www.ensembl.org/Mus_musculus/Gene/Summary?db=core;g=ENSMUSG00000024854","ENSMUSG00000024854")</f>
        <v>ENSMUSG00000024854</v>
      </c>
      <c r="I6260" s="7" t="str">
        <f>HYPERLINK("http://www.informatics.jax.org/marker/MGI:1916995","MGI:1916995")</f>
        <v>MGI:1916995</v>
      </c>
      <c r="J6260" s="4" t="s">
        <v>12</v>
      </c>
    </row>
    <row r="6261" spans="1:10" x14ac:dyDescent="0.25">
      <c r="A6261" s="2">
        <v>1443.9958772114701</v>
      </c>
      <c r="B6261" s="3">
        <v>-0.55822440865329903</v>
      </c>
      <c r="C6261" s="5">
        <v>6.87277090869243E-30</v>
      </c>
      <c r="D6261" s="6">
        <v>1.00841549344803E-28</v>
      </c>
      <c r="E6261" s="3" t="s">
        <v>2706</v>
      </c>
      <c r="F6261" s="3" t="s">
        <v>2707</v>
      </c>
      <c r="G6261" s="3">
        <v>21974</v>
      </c>
      <c r="H6261" s="7" t="str">
        <f>HYPERLINK("http://www.ensembl.org/Mus_musculus/Gene/Summary?db=core;g=ENSMUSG00000017485","ENSMUSG00000017485")</f>
        <v>ENSMUSG00000017485</v>
      </c>
      <c r="I6261" s="7" t="str">
        <f>HYPERLINK("http://www.informatics.jax.org/marker/MGI:98791","MGI:98791")</f>
        <v>MGI:98791</v>
      </c>
      <c r="J6261" s="4" t="s">
        <v>12</v>
      </c>
    </row>
    <row r="6262" spans="1:10" x14ac:dyDescent="0.25">
      <c r="A6262" s="2">
        <v>329.08836672259798</v>
      </c>
      <c r="B6262" s="3">
        <v>-0.55826030300941498</v>
      </c>
      <c r="C6262" s="5">
        <v>2.8304582431845799E-8</v>
      </c>
      <c r="D6262" s="6">
        <v>1.3482279361255999E-7</v>
      </c>
      <c r="E6262" s="3" t="s">
        <v>8297</v>
      </c>
      <c r="F6262" s="3" t="s">
        <v>8298</v>
      </c>
      <c r="G6262" s="3">
        <v>218100</v>
      </c>
      <c r="H6262" s="7" t="str">
        <f>HYPERLINK("http://www.ensembl.org/Mus_musculus/Gene/Summary?db=core;g=ENSMUSG00000046351","ENSMUSG00000046351")</f>
        <v>ENSMUSG00000046351</v>
      </c>
      <c r="I6262" s="7" t="str">
        <f>HYPERLINK("http://www.informatics.jax.org/marker/MGI:2442566","MGI:2442566")</f>
        <v>MGI:2442566</v>
      </c>
      <c r="J6262" s="4" t="s">
        <v>12</v>
      </c>
    </row>
    <row r="6263" spans="1:10" x14ac:dyDescent="0.25">
      <c r="A6263" s="2">
        <v>2184.1660494136099</v>
      </c>
      <c r="B6263" s="3">
        <v>-0.55883637451596901</v>
      </c>
      <c r="C6263" s="5">
        <v>3.6840412914674498E-36</v>
      </c>
      <c r="D6263" s="6">
        <v>6.6470703422560399E-35</v>
      </c>
      <c r="E6263" s="3" t="s">
        <v>2201</v>
      </c>
      <c r="F6263" s="3" t="s">
        <v>2202</v>
      </c>
      <c r="G6263" s="3">
        <v>26936</v>
      </c>
      <c r="H6263" s="7" t="str">
        <f>HYPERLINK("http://www.ensembl.org/Mus_musculus/Gene/Summary?db=core;g=ENSMUSG00000005417","ENSMUSG00000005417")</f>
        <v>ENSMUSG00000005417</v>
      </c>
      <c r="I6263" s="7" t="str">
        <f>HYPERLINK("http://www.informatics.jax.org/marker/MGI:1349438","MGI:1349438")</f>
        <v>MGI:1349438</v>
      </c>
      <c r="J6263" s="4" t="s">
        <v>12</v>
      </c>
    </row>
    <row r="6264" spans="1:10" x14ac:dyDescent="0.25">
      <c r="A6264" s="2">
        <v>190.14165618841301</v>
      </c>
      <c r="B6264" s="3">
        <v>-0.55932579942039096</v>
      </c>
      <c r="C6264" s="5">
        <v>4.4884402713425303E-9</v>
      </c>
      <c r="D6264" s="6">
        <v>2.2889072187968599E-8</v>
      </c>
      <c r="E6264" s="3" t="s">
        <v>7750</v>
      </c>
      <c r="F6264" s="3" t="s">
        <v>7751</v>
      </c>
      <c r="G6264" s="3">
        <v>23830</v>
      </c>
      <c r="H6264" s="7" t="str">
        <f>HYPERLINK("http://www.ensembl.org/Mus_musculus/Gene/Summary?db=core;g=ENSMUSG00000026270","ENSMUSG00000026270")</f>
        <v>ENSMUSG00000026270</v>
      </c>
      <c r="I6264" s="7" t="str">
        <f>HYPERLINK("http://www.informatics.jax.org/marker/MGI:1344392","MGI:1344392")</f>
        <v>MGI:1344392</v>
      </c>
      <c r="J6264" s="4" t="s">
        <v>12</v>
      </c>
    </row>
    <row r="6265" spans="1:10" x14ac:dyDescent="0.25">
      <c r="A6265" s="2">
        <v>382.71102566094203</v>
      </c>
      <c r="B6265" s="3">
        <v>-0.55939011988593901</v>
      </c>
      <c r="C6265" s="5">
        <v>3.0257208854969902E-8</v>
      </c>
      <c r="D6265" s="6">
        <v>1.43534317685833E-7</v>
      </c>
      <c r="E6265" s="3" t="s">
        <v>8331</v>
      </c>
      <c r="F6265" s="3" t="s">
        <v>8332</v>
      </c>
      <c r="G6265" s="3">
        <v>77781</v>
      </c>
      <c r="H6265" s="7" t="str">
        <f>HYPERLINK("http://www.ensembl.org/Mus_musculus/Gene/Summary?db=core;g=ENSMUSG00000046785","ENSMUSG00000046785")</f>
        <v>ENSMUSG00000046785</v>
      </c>
      <c r="I6265" s="7" t="str">
        <f>HYPERLINK("http://www.informatics.jax.org/marker/MGI:1925031","MGI:1925031")</f>
        <v>MGI:1925031</v>
      </c>
      <c r="J6265" s="4" t="s">
        <v>12</v>
      </c>
    </row>
    <row r="6266" spans="1:10" x14ac:dyDescent="0.25">
      <c r="A6266" s="2">
        <v>276.02937640117699</v>
      </c>
      <c r="B6266" s="3">
        <v>-0.55950002076169203</v>
      </c>
      <c r="C6266" s="5">
        <v>1.8573979871221001E-5</v>
      </c>
      <c r="D6266" s="6">
        <v>6.7741609591359E-5</v>
      </c>
      <c r="E6266" s="3" t="s">
        <v>10826</v>
      </c>
      <c r="F6266" s="3" t="s">
        <v>10827</v>
      </c>
      <c r="G6266" s="3">
        <v>215494</v>
      </c>
      <c r="H6266" s="7" t="str">
        <f>HYPERLINK("http://www.ensembl.org/Mus_musculus/Gene/Summary?db=core;g=ENSMUSG00000066235","ENSMUSG00000066235")</f>
        <v>ENSMUSG00000066235</v>
      </c>
      <c r="I6266" s="7" t="str">
        <f>HYPERLINK("http://www.informatics.jax.org/marker/MGI:2143424","MGI:2143424")</f>
        <v>MGI:2143424</v>
      </c>
      <c r="J6266" s="4" t="s">
        <v>12</v>
      </c>
    </row>
    <row r="6267" spans="1:10" x14ac:dyDescent="0.25">
      <c r="A6267" s="2">
        <v>629.41637580307099</v>
      </c>
      <c r="B6267" s="3">
        <v>-0.55980146064360903</v>
      </c>
      <c r="C6267" s="5">
        <v>3.8517421530547602E-12</v>
      </c>
      <c r="D6267" s="6">
        <v>2.4944615848354699E-11</v>
      </c>
      <c r="E6267" s="3" t="s">
        <v>6107</v>
      </c>
      <c r="F6267" s="3" t="s">
        <v>6108</v>
      </c>
      <c r="G6267" s="3">
        <v>20822</v>
      </c>
      <c r="H6267" s="7" t="str">
        <f>HYPERLINK("http://www.ensembl.org/Mus_musculus/Gene/Summary?db=core;g=ENSMUSG00000018199","ENSMUSG00000018199")</f>
        <v>ENSMUSG00000018199</v>
      </c>
      <c r="I6267" s="7" t="str">
        <f>HYPERLINK("http://www.informatics.jax.org/marker/MGI:106652","MGI:106652")</f>
        <v>MGI:106652</v>
      </c>
      <c r="J6267" s="4" t="s">
        <v>12</v>
      </c>
    </row>
    <row r="6268" spans="1:10" x14ac:dyDescent="0.25">
      <c r="A6268" s="2">
        <v>115.305797085373</v>
      </c>
      <c r="B6268" s="3">
        <v>-0.560076154133473</v>
      </c>
      <c r="C6268" s="3">
        <v>1.4605519826415601E-4</v>
      </c>
      <c r="D6268" s="4">
        <v>4.8212395543507903E-4</v>
      </c>
      <c r="E6268" s="3" t="s">
        <v>11959</v>
      </c>
      <c r="F6268" s="3" t="s">
        <v>11960</v>
      </c>
      <c r="G6268" s="3">
        <v>218232</v>
      </c>
      <c r="H6268" s="7" t="str">
        <f>HYPERLINK("http://www.ensembl.org/Mus_musculus/Gene/Summary?db=core;g=ENSMUSG00000038042","ENSMUSG00000038042")</f>
        <v>ENSMUSG00000038042</v>
      </c>
      <c r="I6268" s="7" t="str">
        <f>HYPERLINK("http://www.informatics.jax.org/marker/MGI:2145430","MGI:2145430")</f>
        <v>MGI:2145430</v>
      </c>
      <c r="J6268" s="4" t="s">
        <v>12</v>
      </c>
    </row>
    <row r="6269" spans="1:10" x14ac:dyDescent="0.25">
      <c r="A6269" s="2">
        <v>169.540293678919</v>
      </c>
      <c r="B6269" s="3">
        <v>-0.560450242858065</v>
      </c>
      <c r="C6269" s="5">
        <v>2.3482366941837199E-5</v>
      </c>
      <c r="D6269" s="6">
        <v>8.4785294494528802E-5</v>
      </c>
      <c r="E6269" s="3" t="s">
        <v>10936</v>
      </c>
      <c r="F6269" s="3" t="s">
        <v>10937</v>
      </c>
      <c r="G6269" s="3">
        <v>16580</v>
      </c>
      <c r="H6269" s="7" t="str">
        <f>HYPERLINK("http://www.ensembl.org/Mus_musculus/Gene/Summary?db=core;g=ENSMUSG00000024301","ENSMUSG00000024301")</f>
        <v>ENSMUSG00000024301</v>
      </c>
      <c r="I6269" s="7" t="str">
        <f>HYPERLINK("http://www.informatics.jax.org/marker/MGI:2137414","MGI:2137414")</f>
        <v>MGI:2137414</v>
      </c>
      <c r="J6269" s="4" t="s">
        <v>12</v>
      </c>
    </row>
    <row r="6270" spans="1:10" x14ac:dyDescent="0.25">
      <c r="A6270" s="2">
        <v>476.00586306715797</v>
      </c>
      <c r="B6270" s="3">
        <v>-0.56054418287097996</v>
      </c>
      <c r="C6270" s="5">
        <v>3.2101704443355E-15</v>
      </c>
      <c r="D6270" s="6">
        <v>2.4962366388917998E-14</v>
      </c>
      <c r="E6270" s="3" t="s">
        <v>5089</v>
      </c>
      <c r="F6270" s="3" t="s">
        <v>5090</v>
      </c>
      <c r="G6270" s="3">
        <v>16886</v>
      </c>
      <c r="H6270" s="7" t="str">
        <f>HYPERLINK("http://www.ensembl.org/Mus_musculus/Gene/Summary?db=core;g=ENSMUSG00000020451","ENSMUSG00000020451")</f>
        <v>ENSMUSG00000020451</v>
      </c>
      <c r="I6270" s="7" t="str">
        <f>HYPERLINK("http://www.informatics.jax.org/marker/MGI:1197517","MGI:1197517")</f>
        <v>MGI:1197517</v>
      </c>
      <c r="J6270" s="4" t="s">
        <v>12</v>
      </c>
    </row>
    <row r="6271" spans="1:10" x14ac:dyDescent="0.25">
      <c r="A6271" s="2">
        <v>438.38752361594402</v>
      </c>
      <c r="B6271" s="3">
        <v>-0.56064462977347096</v>
      </c>
      <c r="C6271" s="5">
        <v>1.4720222521629E-11</v>
      </c>
      <c r="D6271" s="6">
        <v>9.0883778373989898E-11</v>
      </c>
      <c r="E6271" s="3" t="s">
        <v>6405</v>
      </c>
      <c r="F6271" s="3" t="s">
        <v>6406</v>
      </c>
      <c r="G6271" s="3">
        <v>21885</v>
      </c>
      <c r="H6271" s="7" t="str">
        <f>HYPERLINK("http://www.ensembl.org/Mus_musculus/Gene/Summary?db=core;g=ENSMUSG00000008305","ENSMUSG00000008305")</f>
        <v>ENSMUSG00000008305</v>
      </c>
      <c r="I6271" s="7" t="str">
        <f>HYPERLINK("http://www.informatics.jax.org/marker/MGI:104636","MGI:104636")</f>
        <v>MGI:104636</v>
      </c>
      <c r="J6271" s="4" t="s">
        <v>12</v>
      </c>
    </row>
    <row r="6272" spans="1:10" x14ac:dyDescent="0.25">
      <c r="A6272" s="2">
        <v>966.64003647646905</v>
      </c>
      <c r="B6272" s="3">
        <v>-0.56085121066055299</v>
      </c>
      <c r="C6272" s="5">
        <v>2.12443970005155E-17</v>
      </c>
      <c r="D6272" s="6">
        <v>1.8512572198416501E-16</v>
      </c>
      <c r="E6272" s="3" t="s">
        <v>4543</v>
      </c>
      <c r="F6272" s="3" t="s">
        <v>4544</v>
      </c>
      <c r="G6272" s="3">
        <v>67914</v>
      </c>
      <c r="H6272" s="7" t="str">
        <f>HYPERLINK("http://www.ensembl.org/Mus_musculus/Gene/Summary?db=core;g=ENSMUSG00000031782","ENSMUSG00000031782")</f>
        <v>ENSMUSG00000031782</v>
      </c>
      <c r="I6272" s="7" t="str">
        <f>HYPERLINK("http://www.informatics.jax.org/marker/MGI:1915164","MGI:1915164")</f>
        <v>MGI:1915164</v>
      </c>
      <c r="J6272" s="4" t="s">
        <v>12</v>
      </c>
    </row>
    <row r="6273" spans="1:10" x14ac:dyDescent="0.25">
      <c r="A6273" s="2">
        <v>130.361982964661</v>
      </c>
      <c r="B6273" s="3">
        <v>-0.56116949644431002</v>
      </c>
      <c r="C6273" s="5">
        <v>5.7657995094599298E-5</v>
      </c>
      <c r="D6273" s="4">
        <v>1.9958147503343801E-4</v>
      </c>
      <c r="E6273" s="3" t="s">
        <v>11405</v>
      </c>
      <c r="F6273" s="3" t="s">
        <v>11406</v>
      </c>
      <c r="G6273" s="3">
        <v>68597</v>
      </c>
      <c r="H6273" s="7" t="str">
        <f>HYPERLINK("http://www.ensembl.org/Mus_musculus/Gene/Summary?db=core;g=ENSMUSG00000024018","ENSMUSG00000024018")</f>
        <v>ENSMUSG00000024018</v>
      </c>
      <c r="I6273" s="7" t="str">
        <f>HYPERLINK("http://www.informatics.jax.org/marker/MGI:1915847","MGI:1915847")</f>
        <v>MGI:1915847</v>
      </c>
      <c r="J6273" s="4" t="s">
        <v>12</v>
      </c>
    </row>
    <row r="6274" spans="1:10" x14ac:dyDescent="0.25">
      <c r="A6274" s="2">
        <v>1180.46974158888</v>
      </c>
      <c r="B6274" s="3">
        <v>-0.56125651594667103</v>
      </c>
      <c r="C6274" s="5">
        <v>3.4398619614088401E-23</v>
      </c>
      <c r="D6274" s="6">
        <v>3.9187797734825202E-22</v>
      </c>
      <c r="E6274" s="3" t="s">
        <v>3480</v>
      </c>
      <c r="F6274" s="3" t="s">
        <v>3481</v>
      </c>
      <c r="G6274" s="3">
        <v>21766</v>
      </c>
      <c r="H6274" s="7" t="str">
        <f>HYPERLINK("http://www.ensembl.org/Mus_musculus/Gene/Summary?db=core;g=ENSMUSG00000014748","ENSMUSG00000014748")</f>
        <v>ENSMUSG00000014748</v>
      </c>
      <c r="I6274" s="7" t="str">
        <f>HYPERLINK("http://www.informatics.jax.org/marker/MGI:1096575","MGI:1096575")</f>
        <v>MGI:1096575</v>
      </c>
      <c r="J6274" s="4" t="s">
        <v>12</v>
      </c>
    </row>
    <row r="6275" spans="1:10" x14ac:dyDescent="0.25">
      <c r="A6275" s="2">
        <v>381.07801701856101</v>
      </c>
      <c r="B6275" s="3">
        <v>-0.56155908512082398</v>
      </c>
      <c r="C6275" s="5">
        <v>2.29706303285944E-8</v>
      </c>
      <c r="D6275" s="6">
        <v>1.10053651622906E-7</v>
      </c>
      <c r="E6275" s="3" t="s">
        <v>8249</v>
      </c>
      <c r="F6275" s="3" t="s">
        <v>8250</v>
      </c>
      <c r="G6275" s="3">
        <v>66821</v>
      </c>
      <c r="H6275" s="7" t="str">
        <f>HYPERLINK("http://www.ensembl.org/Mus_musculus/Gene/Summary?db=core;g=ENSMUSG00000026172","ENSMUSG00000026172")</f>
        <v>ENSMUSG00000026172</v>
      </c>
      <c r="I6275" s="7" t="str">
        <f>HYPERLINK("http://www.informatics.jax.org/marker/MGI:1914071","MGI:1914071")</f>
        <v>MGI:1914071</v>
      </c>
      <c r="J6275" s="4" t="s">
        <v>12</v>
      </c>
    </row>
    <row r="6276" spans="1:10" x14ac:dyDescent="0.25">
      <c r="A6276" s="2">
        <v>62.107576191872703</v>
      </c>
      <c r="B6276" s="3">
        <v>-0.56165661990056204</v>
      </c>
      <c r="C6276" s="3">
        <v>2.75535224912431E-4</v>
      </c>
      <c r="D6276" s="4">
        <v>8.7737035932070702E-4</v>
      </c>
      <c r="E6276" s="3" t="s">
        <v>12398</v>
      </c>
      <c r="F6276" s="3" t="s">
        <v>12399</v>
      </c>
      <c r="G6276" s="3" t="s">
        <v>83</v>
      </c>
      <c r="H6276" s="7" t="str">
        <f>HYPERLINK("http://www.ensembl.org/Mus_musculus/Gene/Summary?db=core;g=ENSMUSG00000090330","ENSMUSG00000090330")</f>
        <v>ENSMUSG00000090330</v>
      </c>
      <c r="I6276" s="7" t="str">
        <f>HYPERLINK("http://www.informatics.jax.org/marker/MGI:1924374","MGI:1924374")</f>
        <v>MGI:1924374</v>
      </c>
      <c r="J6276" s="4" t="s">
        <v>932</v>
      </c>
    </row>
    <row r="6277" spans="1:10" x14ac:dyDescent="0.25">
      <c r="A6277" s="2">
        <v>1465.3363888080501</v>
      </c>
      <c r="B6277" s="3">
        <v>-0.56171959922071801</v>
      </c>
      <c r="C6277" s="5">
        <v>8.9927712799442306E-8</v>
      </c>
      <c r="D6277" s="6">
        <v>4.0927175084352698E-7</v>
      </c>
      <c r="E6277" s="3" t="s">
        <v>8683</v>
      </c>
      <c r="F6277" s="3" t="s">
        <v>8684</v>
      </c>
      <c r="G6277" s="3">
        <v>51944</v>
      </c>
      <c r="H6277" s="7" t="str">
        <f>HYPERLINK("http://www.ensembl.org/Mus_musculus/Gene/Summary?db=core;g=ENSMUSG00000027331","ENSMUSG00000027331")</f>
        <v>ENSMUSG00000027331</v>
      </c>
      <c r="I6277" s="7" t="str">
        <f>HYPERLINK("http://www.informatics.jax.org/marker/MGI:1289298","MGI:1289298")</f>
        <v>MGI:1289298</v>
      </c>
      <c r="J6277" s="4" t="s">
        <v>12</v>
      </c>
    </row>
    <row r="6278" spans="1:10" x14ac:dyDescent="0.25">
      <c r="A6278" s="2">
        <v>318.70085244253499</v>
      </c>
      <c r="B6278" s="3">
        <v>-0.56198602278107002</v>
      </c>
      <c r="C6278" s="5">
        <v>1.94090809077934E-7</v>
      </c>
      <c r="D6278" s="6">
        <v>8.6068602541417899E-7</v>
      </c>
      <c r="E6278" s="3" t="s">
        <v>8911</v>
      </c>
      <c r="F6278" s="3" t="s">
        <v>8912</v>
      </c>
      <c r="G6278" s="3">
        <v>26408</v>
      </c>
      <c r="H6278" s="7" t="str">
        <f>HYPERLINK("http://www.ensembl.org/Mus_musculus/Gene/Summary?db=core;g=ENSMUSG00000071369","ENSMUSG00000071369")</f>
        <v>ENSMUSG00000071369</v>
      </c>
      <c r="I6278" s="7" t="str">
        <f>HYPERLINK("http://www.informatics.jax.org/marker/MGI:1346876","MGI:1346876")</f>
        <v>MGI:1346876</v>
      </c>
      <c r="J6278" s="4" t="s">
        <v>12</v>
      </c>
    </row>
    <row r="6279" spans="1:10" x14ac:dyDescent="0.25">
      <c r="A6279" s="2">
        <v>290.53349146634201</v>
      </c>
      <c r="B6279" s="3">
        <v>-0.56253342722277599</v>
      </c>
      <c r="C6279" s="5">
        <v>2.9768327025655802E-10</v>
      </c>
      <c r="D6279" s="6">
        <v>1.6653373303430699E-9</v>
      </c>
      <c r="E6279" s="3" t="s">
        <v>7068</v>
      </c>
      <c r="F6279" s="3" t="s">
        <v>7069</v>
      </c>
      <c r="G6279" s="3">
        <v>243842</v>
      </c>
      <c r="H6279" s="7" t="str">
        <f>HYPERLINK("http://www.ensembl.org/Mus_musculus/Gene/Summary?db=core;g=ENSMUSG00000070808","ENSMUSG00000070808")</f>
        <v>ENSMUSG00000070808</v>
      </c>
      <c r="I6279" s="7" t="str">
        <f>HYPERLINK("http://www.informatics.jax.org/marker/MGI:2154263","MGI:2154263")</f>
        <v>MGI:2154263</v>
      </c>
      <c r="J6279" s="4" t="s">
        <v>12</v>
      </c>
    </row>
    <row r="6280" spans="1:10" x14ac:dyDescent="0.25">
      <c r="A6280" s="2">
        <v>333.50697783479899</v>
      </c>
      <c r="B6280" s="3">
        <v>-0.56257576743931004</v>
      </c>
      <c r="C6280" s="5">
        <v>3.3556675559400701E-11</v>
      </c>
      <c r="D6280" s="6">
        <v>2.0224255563306301E-10</v>
      </c>
      <c r="E6280" s="3" t="s">
        <v>6561</v>
      </c>
      <c r="F6280" s="3" t="s">
        <v>6562</v>
      </c>
      <c r="G6280" s="3">
        <v>73062</v>
      </c>
      <c r="H6280" s="7" t="str">
        <f>HYPERLINK("http://www.ensembl.org/Mus_musculus/Gene/Summary?db=core;g=ENSMUSG00000033819","ENSMUSG00000033819")</f>
        <v>ENSMUSG00000033819</v>
      </c>
      <c r="I6280" s="7" t="str">
        <f>HYPERLINK("http://www.informatics.jax.org/marker/MGI:1920312","MGI:1920312")</f>
        <v>MGI:1920312</v>
      </c>
      <c r="J6280" s="4" t="s">
        <v>12</v>
      </c>
    </row>
    <row r="6281" spans="1:10" x14ac:dyDescent="0.25">
      <c r="A6281" s="2">
        <v>188.11853422203799</v>
      </c>
      <c r="B6281" s="3">
        <v>-0.56259222190647096</v>
      </c>
      <c r="C6281" s="5">
        <v>2.4456613106875501E-5</v>
      </c>
      <c r="D6281" s="6">
        <v>8.8120666995721706E-5</v>
      </c>
      <c r="E6281" s="3" t="s">
        <v>10958</v>
      </c>
      <c r="F6281" s="3" t="s">
        <v>10959</v>
      </c>
      <c r="G6281" s="3">
        <v>24083</v>
      </c>
      <c r="H6281" s="7" t="str">
        <f>HYPERLINK("http://www.ensembl.org/Mus_musculus/Gene/Summary?db=core;g=ENSMUSG00000018931","ENSMUSG00000018931")</f>
        <v>ENSMUSG00000018931</v>
      </c>
      <c r="I6281" s="7" t="str">
        <f>HYPERLINK("http://www.informatics.jax.org/marker/MGI:1344388","MGI:1344388")</f>
        <v>MGI:1344388</v>
      </c>
      <c r="J6281" s="4" t="s">
        <v>12</v>
      </c>
    </row>
    <row r="6282" spans="1:10" x14ac:dyDescent="0.25">
      <c r="A6282" s="2">
        <v>221.84290932860401</v>
      </c>
      <c r="B6282" s="3">
        <v>-0.56286717669967301</v>
      </c>
      <c r="C6282" s="5">
        <v>1.9628209964394899E-7</v>
      </c>
      <c r="D6282" s="6">
        <v>8.7001191390844596E-7</v>
      </c>
      <c r="E6282" s="3" t="s">
        <v>8915</v>
      </c>
      <c r="F6282" s="3" t="s">
        <v>8916</v>
      </c>
      <c r="G6282" s="3">
        <v>54169</v>
      </c>
      <c r="H6282" s="7" t="str">
        <f>HYPERLINK("http://www.ensembl.org/Mus_musculus/Gene/Summary?db=core;g=ENSMUSG00000021767","ENSMUSG00000021767")</f>
        <v>ENSMUSG00000021767</v>
      </c>
      <c r="I6282" s="7" t="str">
        <f>HYPERLINK("http://www.informatics.jax.org/marker/MGI:1858746","MGI:1858746")</f>
        <v>MGI:1858746</v>
      </c>
      <c r="J6282" s="4" t="s">
        <v>12</v>
      </c>
    </row>
    <row r="6283" spans="1:10" x14ac:dyDescent="0.25">
      <c r="A6283" s="2">
        <v>135.599277700882</v>
      </c>
      <c r="B6283" s="3">
        <v>-0.56300044759669998</v>
      </c>
      <c r="C6283" s="5">
        <v>2.4417903731967802E-7</v>
      </c>
      <c r="D6283" s="6">
        <v>1.07314700600492E-6</v>
      </c>
      <c r="E6283" s="3" t="s">
        <v>8991</v>
      </c>
      <c r="F6283" s="3" t="s">
        <v>8992</v>
      </c>
      <c r="G6283" s="3">
        <v>74411</v>
      </c>
      <c r="H6283" s="7" t="str">
        <f>HYPERLINK("http://www.ensembl.org/Mus_musculus/Gene/Summary?db=core;g=ENSMUSG00000040105","ENSMUSG00000040105")</f>
        <v>ENSMUSG00000040105</v>
      </c>
      <c r="I6283" s="7" t="str">
        <f>HYPERLINK("http://www.informatics.jax.org/marker/MGI:1921661","MGI:1921661")</f>
        <v>MGI:1921661</v>
      </c>
      <c r="J6283" s="4" t="s">
        <v>12</v>
      </c>
    </row>
    <row r="6284" spans="1:10" x14ac:dyDescent="0.25">
      <c r="A6284" s="2">
        <v>299.50669916829003</v>
      </c>
      <c r="B6284" s="3">
        <v>-0.56311655291756801</v>
      </c>
      <c r="C6284" s="5">
        <v>1.24231414302839E-9</v>
      </c>
      <c r="D6284" s="6">
        <v>6.6194095921426298E-9</v>
      </c>
      <c r="E6284" s="3" t="s">
        <v>7420</v>
      </c>
      <c r="F6284" s="3" t="s">
        <v>7421</v>
      </c>
      <c r="G6284" s="3">
        <v>66756</v>
      </c>
      <c r="H6284" s="7" t="str">
        <f>HYPERLINK("http://www.ensembl.org/Mus_musculus/Gene/Summary?db=core;g=ENSMUSG00000031631","ENSMUSG00000031631")</f>
        <v>ENSMUSG00000031631</v>
      </c>
      <c r="I6284" s="7" t="str">
        <f>HYPERLINK("http://www.informatics.jax.org/marker/MGI:1914006","MGI:1914006")</f>
        <v>MGI:1914006</v>
      </c>
      <c r="J6284" s="4" t="s">
        <v>12</v>
      </c>
    </row>
    <row r="6285" spans="1:10" x14ac:dyDescent="0.25">
      <c r="A6285" s="2">
        <v>628.75184808819995</v>
      </c>
      <c r="B6285" s="3">
        <v>-0.56339202787087495</v>
      </c>
      <c r="C6285" s="5">
        <v>3.1370916161880697E-14</v>
      </c>
      <c r="D6285" s="6">
        <v>2.3066162069809402E-13</v>
      </c>
      <c r="E6285" s="3" t="s">
        <v>5381</v>
      </c>
      <c r="F6285" s="3" t="s">
        <v>5382</v>
      </c>
      <c r="G6285" s="3">
        <v>106512</v>
      </c>
      <c r="H6285" s="7" t="str">
        <f>HYPERLINK("http://www.ensembl.org/Mus_musculus/Gene/Summary?db=core;g=ENSMUSG00000034786","ENSMUSG00000034786")</f>
        <v>ENSMUSG00000034786</v>
      </c>
      <c r="I6285" s="7" t="str">
        <f>HYPERLINK("http://www.informatics.jax.org/marker/MGI:2146785","MGI:2146785")</f>
        <v>MGI:2146785</v>
      </c>
      <c r="J6285" s="4" t="s">
        <v>12</v>
      </c>
    </row>
    <row r="6286" spans="1:10" x14ac:dyDescent="0.25">
      <c r="A6286" s="2">
        <v>971.83641293210303</v>
      </c>
      <c r="B6286" s="3">
        <v>-0.56348306478188304</v>
      </c>
      <c r="C6286" s="5">
        <v>1.8014573661143099E-9</v>
      </c>
      <c r="D6286" s="6">
        <v>9.4707382724004606E-9</v>
      </c>
      <c r="E6286" s="3" t="s">
        <v>7520</v>
      </c>
      <c r="F6286" s="3" t="s">
        <v>7521</v>
      </c>
      <c r="G6286" s="3">
        <v>14744</v>
      </c>
      <c r="H6286" s="7" t="str">
        <f>HYPERLINK("http://www.ensembl.org/Mus_musculus/Gene/Summary?db=core;g=ENSMUSG00000021886","ENSMUSG00000021886")</f>
        <v>ENSMUSG00000021886</v>
      </c>
      <c r="I6286" s="7" t="str">
        <f>HYPERLINK("http://www.informatics.jax.org/marker/MGI:108031","MGI:108031")</f>
        <v>MGI:108031</v>
      </c>
      <c r="J6286" s="4" t="s">
        <v>12</v>
      </c>
    </row>
    <row r="6287" spans="1:10" x14ac:dyDescent="0.25">
      <c r="A6287" s="2">
        <v>227.148928114234</v>
      </c>
      <c r="B6287" s="3">
        <v>-0.56359473403532001</v>
      </c>
      <c r="C6287" s="5">
        <v>7.7230984171160794E-11</v>
      </c>
      <c r="D6287" s="6">
        <v>4.5133490855634498E-10</v>
      </c>
      <c r="E6287" s="3" t="s">
        <v>6768</v>
      </c>
      <c r="F6287" s="3" t="s">
        <v>6769</v>
      </c>
      <c r="G6287" s="3">
        <v>67288</v>
      </c>
      <c r="H6287" s="7" t="str">
        <f>HYPERLINK("http://www.ensembl.org/Mus_musculus/Gene/Summary?db=core;g=ENSMUSG00000021716","ENSMUSG00000021716")</f>
        <v>ENSMUSG00000021716</v>
      </c>
      <c r="I6287" s="7" t="str">
        <f>HYPERLINK("http://www.informatics.jax.org/marker/MGI:1914538","MGI:1914538")</f>
        <v>MGI:1914538</v>
      </c>
      <c r="J6287" s="4" t="s">
        <v>12</v>
      </c>
    </row>
    <row r="6288" spans="1:10" x14ac:dyDescent="0.25">
      <c r="A6288" s="2">
        <v>867.03588333744494</v>
      </c>
      <c r="B6288" s="3">
        <v>-0.56410341380869899</v>
      </c>
      <c r="C6288" s="5">
        <v>3.0241292786601699E-21</v>
      </c>
      <c r="D6288" s="6">
        <v>3.1581715659833097E-20</v>
      </c>
      <c r="E6288" s="3" t="s">
        <v>3794</v>
      </c>
      <c r="F6288" s="3" t="s">
        <v>3795</v>
      </c>
      <c r="G6288" s="3">
        <v>81004</v>
      </c>
      <c r="H6288" s="7" t="str">
        <f>HYPERLINK("http://www.ensembl.org/Mus_musculus/Gene/Summary?db=core;g=ENSMUSG00000027630","ENSMUSG00000027630")</f>
        <v>ENSMUSG00000027630</v>
      </c>
      <c r="I6288" s="7" t="str">
        <f>HYPERLINK("http://www.informatics.jax.org/marker/MGI:2441730","MGI:2441730")</f>
        <v>MGI:2441730</v>
      </c>
      <c r="J6288" s="4" t="s">
        <v>12</v>
      </c>
    </row>
    <row r="6289" spans="1:10" x14ac:dyDescent="0.25">
      <c r="A6289" s="2">
        <v>1421.1698862614701</v>
      </c>
      <c r="B6289" s="3">
        <v>-0.56446429278041099</v>
      </c>
      <c r="C6289" s="5">
        <v>4.9677931639392996E-15</v>
      </c>
      <c r="D6289" s="6">
        <v>3.826753171597E-14</v>
      </c>
      <c r="E6289" s="3" t="s">
        <v>5137</v>
      </c>
      <c r="F6289" s="3" t="s">
        <v>5138</v>
      </c>
      <c r="G6289" s="3">
        <v>16328</v>
      </c>
      <c r="H6289" s="7" t="str">
        <f>HYPERLINK("http://www.ensembl.org/Mus_musculus/Gene/Summary?db=core;g=ENSMUSG00000038241","ENSMUSG00000038241")</f>
        <v>ENSMUSG00000038241</v>
      </c>
      <c r="I6289" s="7" t="str">
        <f>HYPERLINK("http://www.informatics.jax.org/marker/MGI:108084","MGI:108084")</f>
        <v>MGI:108084</v>
      </c>
      <c r="J6289" s="4" t="s">
        <v>12</v>
      </c>
    </row>
    <row r="6290" spans="1:10" x14ac:dyDescent="0.25">
      <c r="A6290" s="2">
        <v>385.09969703511001</v>
      </c>
      <c r="B6290" s="3">
        <v>-0.56465525033130703</v>
      </c>
      <c r="C6290" s="5">
        <v>3.5959633096792898E-10</v>
      </c>
      <c r="D6290" s="6">
        <v>1.99809513854257E-9</v>
      </c>
      <c r="E6290" s="3" t="s">
        <v>7116</v>
      </c>
      <c r="F6290" s="3" t="s">
        <v>7117</v>
      </c>
      <c r="G6290" s="3">
        <v>72776</v>
      </c>
      <c r="H6290" s="7" t="str">
        <f>HYPERLINK("http://www.ensembl.org/Mus_musculus/Gene/Summary?db=core;g=ENSMUSG00000027959","ENSMUSG00000027959")</f>
        <v>ENSMUSG00000027959</v>
      </c>
      <c r="I6290" s="7" t="str">
        <f>HYPERLINK("http://www.informatics.jax.org/marker/MGI:1920026","MGI:1920026")</f>
        <v>MGI:1920026</v>
      </c>
      <c r="J6290" s="4" t="s">
        <v>12</v>
      </c>
    </row>
    <row r="6291" spans="1:10" x14ac:dyDescent="0.25">
      <c r="A6291" s="2">
        <v>203.88657760182599</v>
      </c>
      <c r="B6291" s="3">
        <v>-0.56473680084639799</v>
      </c>
      <c r="C6291" s="3">
        <v>2.23297710199736E-4</v>
      </c>
      <c r="D6291" s="4">
        <v>7.2128269371642801E-4</v>
      </c>
      <c r="E6291" s="3" t="s">
        <v>12221</v>
      </c>
      <c r="F6291" s="3" t="s">
        <v>12222</v>
      </c>
      <c r="G6291" s="3">
        <v>270076</v>
      </c>
      <c r="H6291" s="7" t="str">
        <f>HYPERLINK("http://www.ensembl.org/Mus_musculus/Gene/Summary?db=core;g=ENSMUSG00000003809","ENSMUSG00000003809")</f>
        <v>ENSMUSG00000003809</v>
      </c>
      <c r="I6291" s="7" t="str">
        <f>HYPERLINK("http://www.informatics.jax.org/marker/MGI:104541","MGI:104541")</f>
        <v>MGI:104541</v>
      </c>
      <c r="J6291" s="4" t="s">
        <v>12</v>
      </c>
    </row>
    <row r="6292" spans="1:10" x14ac:dyDescent="0.25">
      <c r="A6292" s="2">
        <v>86.735664515147107</v>
      </c>
      <c r="B6292" s="3">
        <v>-0.564847839298525</v>
      </c>
      <c r="C6292" s="3">
        <v>1.19208188949191E-3</v>
      </c>
      <c r="D6292" s="4">
        <v>3.4764647827241202E-3</v>
      </c>
      <c r="E6292" s="3" t="s">
        <v>13533</v>
      </c>
      <c r="F6292" s="3" t="s">
        <v>13534</v>
      </c>
      <c r="G6292" s="3">
        <v>50782</v>
      </c>
      <c r="H6292" s="7" t="str">
        <f>HYPERLINK("http://www.ensembl.org/Mus_musculus/Gene/Summary?db=core;g=ENSMUSG00000024186","ENSMUSG00000024186")</f>
        <v>ENSMUSG00000024186</v>
      </c>
      <c r="I6292" s="7" t="str">
        <f>HYPERLINK("http://www.informatics.jax.org/marker/MGI:1354739","MGI:1354739")</f>
        <v>MGI:1354739</v>
      </c>
      <c r="J6292" s="4" t="s">
        <v>12</v>
      </c>
    </row>
    <row r="6293" spans="1:10" x14ac:dyDescent="0.25">
      <c r="A6293" s="2">
        <v>202.60661941417999</v>
      </c>
      <c r="B6293" s="3">
        <v>-0.56511405417425997</v>
      </c>
      <c r="C6293" s="5">
        <v>1.8176665256881699E-9</v>
      </c>
      <c r="D6293" s="6">
        <v>9.5483174977545793E-9</v>
      </c>
      <c r="E6293" s="3" t="s">
        <v>7526</v>
      </c>
      <c r="F6293" s="3" t="s">
        <v>7527</v>
      </c>
      <c r="G6293" s="3">
        <v>53858</v>
      </c>
      <c r="H6293" s="7" t="str">
        <f>HYPERLINK("http://www.ensembl.org/Mus_musculus/Gene/Summary?db=core;g=ENSMUSG00000041079","ENSMUSG00000041079")</f>
        <v>ENSMUSG00000041079</v>
      </c>
      <c r="I6293" s="7" t="str">
        <f>HYPERLINK("http://www.informatics.jax.org/marker/MGI:1858215","MGI:1858215")</f>
        <v>MGI:1858215</v>
      </c>
      <c r="J6293" s="4" t="s">
        <v>12</v>
      </c>
    </row>
    <row r="6294" spans="1:10" x14ac:dyDescent="0.25">
      <c r="A6294" s="2">
        <v>214.32983605997501</v>
      </c>
      <c r="B6294" s="3">
        <v>-0.56524319071733198</v>
      </c>
      <c r="C6294" s="5">
        <v>3.2355400164865202E-7</v>
      </c>
      <c r="D6294" s="6">
        <v>1.40756340448079E-6</v>
      </c>
      <c r="E6294" s="3" t="s">
        <v>9081</v>
      </c>
      <c r="F6294" s="3" t="s">
        <v>9082</v>
      </c>
      <c r="G6294" s="3">
        <v>77697</v>
      </c>
      <c r="H6294" s="7" t="str">
        <f>HYPERLINK("http://www.ensembl.org/Mus_musculus/Gene/Summary?db=core;g=ENSMUSG00000029575","ENSMUSG00000029575")</f>
        <v>ENSMUSG00000029575</v>
      </c>
      <c r="I6294" s="7" t="str">
        <f>HYPERLINK("http://www.informatics.jax.org/marker/MGI:1924947","MGI:1924947")</f>
        <v>MGI:1924947</v>
      </c>
      <c r="J6294" s="4" t="s">
        <v>12</v>
      </c>
    </row>
    <row r="6295" spans="1:10" x14ac:dyDescent="0.25">
      <c r="A6295" s="2">
        <v>317.78901106015201</v>
      </c>
      <c r="B6295" s="3">
        <v>-0.56530088055192795</v>
      </c>
      <c r="C6295" s="5">
        <v>1.8685369717866999E-10</v>
      </c>
      <c r="D6295" s="6">
        <v>1.0634213299750001E-9</v>
      </c>
      <c r="E6295" s="3" t="s">
        <v>6948</v>
      </c>
      <c r="F6295" s="3" t="s">
        <v>6949</v>
      </c>
      <c r="G6295" s="3">
        <v>68971</v>
      </c>
      <c r="H6295" s="7" t="str">
        <f>HYPERLINK("http://www.ensembl.org/Mus_musculus/Gene/Summary?db=core;g=ENSMUSG00000030316","ENSMUSG00000030316")</f>
        <v>ENSMUSG00000030316</v>
      </c>
      <c r="I6295" s="7" t="str">
        <f>HYPERLINK("http://www.informatics.jax.org/marker/MGI:1916221","MGI:1916221")</f>
        <v>MGI:1916221</v>
      </c>
      <c r="J6295" s="4" t="s">
        <v>12</v>
      </c>
    </row>
    <row r="6296" spans="1:10" x14ac:dyDescent="0.25">
      <c r="A6296" s="2">
        <v>601.43959769200001</v>
      </c>
      <c r="B6296" s="3">
        <v>-0.56547827076551205</v>
      </c>
      <c r="C6296" s="5">
        <v>5.1617732169050002E-6</v>
      </c>
      <c r="D6296" s="6">
        <v>1.9892547945547499E-5</v>
      </c>
      <c r="E6296" s="3" t="s">
        <v>10248</v>
      </c>
      <c r="F6296" s="3" t="s">
        <v>10249</v>
      </c>
      <c r="G6296" s="3">
        <v>73137</v>
      </c>
      <c r="H6296" s="7" t="str">
        <f>HYPERLINK("http://www.ensembl.org/Mus_musculus/Gene/Summary?db=core;g=ENSMUSG00000024594","ENSMUSG00000024594")</f>
        <v>ENSMUSG00000024594</v>
      </c>
      <c r="I6296" s="7" t="str">
        <f>HYPERLINK("http://www.informatics.jax.org/marker/MGI:1916106","MGI:1916106")</f>
        <v>MGI:1916106</v>
      </c>
      <c r="J6296" s="4" t="s">
        <v>12</v>
      </c>
    </row>
    <row r="6297" spans="1:10" x14ac:dyDescent="0.25">
      <c r="A6297" s="2">
        <v>405.194741386808</v>
      </c>
      <c r="B6297" s="3">
        <v>-0.56563757351228805</v>
      </c>
      <c r="C6297" s="5">
        <v>1.3459526346212699E-9</v>
      </c>
      <c r="D6297" s="6">
        <v>7.1445991802776204E-9</v>
      </c>
      <c r="E6297" s="3" t="s">
        <v>7448</v>
      </c>
      <c r="F6297" s="3" t="s">
        <v>7449</v>
      </c>
      <c r="G6297" s="3">
        <v>70802</v>
      </c>
      <c r="H6297" s="7" t="str">
        <f>HYPERLINK("http://www.ensembl.org/Mus_musculus/Gene/Summary?db=core;g=ENSMUSG00000044950","ENSMUSG00000044950")</f>
        <v>ENSMUSG00000044950</v>
      </c>
      <c r="I6297" s="7" t="str">
        <f>HYPERLINK("http://www.informatics.jax.org/marker/MGI:1918052","MGI:1918052")</f>
        <v>MGI:1918052</v>
      </c>
      <c r="J6297" s="4" t="s">
        <v>12</v>
      </c>
    </row>
    <row r="6298" spans="1:10" x14ac:dyDescent="0.25">
      <c r="A6298" s="2">
        <v>2296.6218642978101</v>
      </c>
      <c r="B6298" s="3">
        <v>-0.56593047938420205</v>
      </c>
      <c r="C6298" s="5">
        <v>4.6501265478709302E-23</v>
      </c>
      <c r="D6298" s="6">
        <v>5.2671163425626001E-22</v>
      </c>
      <c r="E6298" s="3" t="s">
        <v>3500</v>
      </c>
      <c r="F6298" s="3" t="s">
        <v>3501</v>
      </c>
      <c r="G6298" s="3">
        <v>11487</v>
      </c>
      <c r="H6298" s="7" t="str">
        <f>HYPERLINK("http://www.ensembl.org/Mus_musculus/Gene/Summary?db=core;g=ENSMUSG00000054693","ENSMUSG00000054693")</f>
        <v>ENSMUSG00000054693</v>
      </c>
      <c r="I6298" s="7" t="str">
        <f>HYPERLINK("http://www.informatics.jax.org/marker/MGI:109548","MGI:109548")</f>
        <v>MGI:109548</v>
      </c>
      <c r="J6298" s="4" t="s">
        <v>12</v>
      </c>
    </row>
    <row r="6299" spans="1:10" x14ac:dyDescent="0.25">
      <c r="A6299" s="2">
        <v>220.017415506649</v>
      </c>
      <c r="B6299" s="3">
        <v>-0.56643995488130305</v>
      </c>
      <c r="C6299" s="5">
        <v>6.2618155274831801E-10</v>
      </c>
      <c r="D6299" s="6">
        <v>3.40642764695085E-9</v>
      </c>
      <c r="E6299" s="3" t="s">
        <v>7268</v>
      </c>
      <c r="F6299" s="3" t="s">
        <v>7269</v>
      </c>
      <c r="G6299" s="3">
        <v>67228</v>
      </c>
      <c r="H6299" s="7" t="str">
        <f>HYPERLINK("http://www.ensembl.org/Mus_musculus/Gene/Summary?db=core;g=ENSMUSG00000026975","ENSMUSG00000026975")</f>
        <v>ENSMUSG00000026975</v>
      </c>
      <c r="I6299" s="7" t="str">
        <f>HYPERLINK("http://www.informatics.jax.org/marker/MGI:1914478","MGI:1914478")</f>
        <v>MGI:1914478</v>
      </c>
      <c r="J6299" s="4" t="s">
        <v>12</v>
      </c>
    </row>
    <row r="6300" spans="1:10" x14ac:dyDescent="0.25">
      <c r="A6300" s="2">
        <v>119.11600597056101</v>
      </c>
      <c r="B6300" s="3">
        <v>-0.56717918790590804</v>
      </c>
      <c r="C6300" s="3">
        <v>5.9735604181907999E-3</v>
      </c>
      <c r="D6300" s="4">
        <v>1.55407139111771E-2</v>
      </c>
      <c r="E6300" s="3" t="s">
        <v>15165</v>
      </c>
      <c r="F6300" s="3" t="s">
        <v>15166</v>
      </c>
      <c r="G6300" s="3">
        <v>74691</v>
      </c>
      <c r="H6300" s="7" t="str">
        <f>HYPERLINK("http://www.ensembl.org/Mus_musculus/Gene/Summary?db=core;g=ENSMUSG00000054003","ENSMUSG00000054003")</f>
        <v>ENSMUSG00000054003</v>
      </c>
      <c r="I6300" s="7" t="str">
        <f>HYPERLINK("http://www.informatics.jax.org/marker/MGI:1921941","MGI:1921941")</f>
        <v>MGI:1921941</v>
      </c>
      <c r="J6300" s="4" t="s">
        <v>12</v>
      </c>
    </row>
    <row r="6301" spans="1:10" x14ac:dyDescent="0.25">
      <c r="A6301" s="2">
        <v>1514.8244143500899</v>
      </c>
      <c r="B6301" s="3">
        <v>-0.56748739088895594</v>
      </c>
      <c r="C6301" s="5">
        <v>2.7196270176797402E-32</v>
      </c>
      <c r="D6301" s="6">
        <v>4.2699876424079996E-31</v>
      </c>
      <c r="E6301" s="3" t="s">
        <v>2529</v>
      </c>
      <c r="F6301" s="3" t="s">
        <v>2530</v>
      </c>
      <c r="G6301" s="3">
        <v>18117</v>
      </c>
      <c r="H6301" s="7" t="str">
        <f>HYPERLINK("http://www.ensembl.org/Mus_musculus/Gene/Summary?db=core;g=ENSMUSG00000031819","ENSMUSG00000031819")</f>
        <v>ENSMUSG00000031819</v>
      </c>
      <c r="I6301" s="7" t="str">
        <f>HYPERLINK("http://www.informatics.jax.org/marker/MGI:1343095","MGI:1343095")</f>
        <v>MGI:1343095</v>
      </c>
      <c r="J6301" s="4" t="s">
        <v>12</v>
      </c>
    </row>
    <row r="6302" spans="1:10" x14ac:dyDescent="0.25">
      <c r="A6302" s="2">
        <v>597.76774717542503</v>
      </c>
      <c r="B6302" s="3">
        <v>-0.56752754678869799</v>
      </c>
      <c r="C6302" s="5">
        <v>1.4564620590090799E-13</v>
      </c>
      <c r="D6302" s="6">
        <v>1.02833626221479E-12</v>
      </c>
      <c r="E6302" s="3" t="s">
        <v>5603</v>
      </c>
      <c r="F6302" s="3" t="s">
        <v>5604</v>
      </c>
      <c r="G6302" s="3">
        <v>12039</v>
      </c>
      <c r="H6302" s="7" t="str">
        <f>HYPERLINK("http://www.ensembl.org/Mus_musculus/Gene/Summary?db=core;g=ENSMUSG00000060376","ENSMUSG00000060376")</f>
        <v>ENSMUSG00000060376</v>
      </c>
      <c r="I6302" s="7" t="str">
        <f>HYPERLINK("http://www.informatics.jax.org/marker/MGI:107701","MGI:107701")</f>
        <v>MGI:107701</v>
      </c>
      <c r="J6302" s="4" t="s">
        <v>12</v>
      </c>
    </row>
    <row r="6303" spans="1:10" x14ac:dyDescent="0.25">
      <c r="A6303" s="2">
        <v>74.763729927209695</v>
      </c>
      <c r="B6303" s="3">
        <v>-0.56800105398235901</v>
      </c>
      <c r="C6303" s="3">
        <v>5.0505351732240897E-3</v>
      </c>
      <c r="D6303" s="4">
        <v>1.33489550483821E-2</v>
      </c>
      <c r="E6303" s="3" t="s">
        <v>14926</v>
      </c>
      <c r="F6303" s="3" t="s">
        <v>14927</v>
      </c>
      <c r="G6303" s="3">
        <v>338350</v>
      </c>
      <c r="H6303" s="7" t="str">
        <f>HYPERLINK("http://www.ensembl.org/Mus_musculus/Gene/Summary?db=core;g=ENSMUSG00000042647","ENSMUSG00000042647")</f>
        <v>ENSMUSG00000042647</v>
      </c>
      <c r="I6303" s="7" t="str">
        <f>HYPERLINK("http://www.informatics.jax.org/marker/MGI:2443320","MGI:2443320")</f>
        <v>MGI:2443320</v>
      </c>
      <c r="J6303" s="4" t="s">
        <v>12</v>
      </c>
    </row>
    <row r="6304" spans="1:10" x14ac:dyDescent="0.25">
      <c r="A6304" s="2">
        <v>2860.9353829716101</v>
      </c>
      <c r="B6304" s="3">
        <v>-0.56845049319965002</v>
      </c>
      <c r="C6304" s="5">
        <v>6.3204285018786505E-13</v>
      </c>
      <c r="D6304" s="6">
        <v>4.2845943642848798E-12</v>
      </c>
      <c r="E6304" s="3" t="s">
        <v>5835</v>
      </c>
      <c r="F6304" s="3" t="s">
        <v>5836</v>
      </c>
      <c r="G6304" s="3">
        <v>15201</v>
      </c>
      <c r="H6304" s="7" t="str">
        <f>HYPERLINK("http://www.ensembl.org/Mus_musculus/Gene/Summary?db=core;g=ENSMUSG00000025001","ENSMUSG00000025001")</f>
        <v>ENSMUSG00000025001</v>
      </c>
      <c r="I6304" s="7" t="str">
        <f>HYPERLINK("http://www.informatics.jax.org/marker/MGI:106209","MGI:106209")</f>
        <v>MGI:106209</v>
      </c>
      <c r="J6304" s="4" t="s">
        <v>12</v>
      </c>
    </row>
    <row r="6305" spans="1:10" x14ac:dyDescent="0.25">
      <c r="A6305" s="2">
        <v>67.204065127040593</v>
      </c>
      <c r="B6305" s="3">
        <v>-0.56873050975565598</v>
      </c>
      <c r="C6305" s="5">
        <v>4.5153333399460803E-5</v>
      </c>
      <c r="D6305" s="4">
        <v>1.5798859734516801E-4</v>
      </c>
      <c r="E6305" s="3" t="s">
        <v>11283</v>
      </c>
      <c r="F6305" s="3" t="s">
        <v>11284</v>
      </c>
      <c r="G6305" s="3">
        <v>227696</v>
      </c>
      <c r="H6305" s="7" t="str">
        <f>HYPERLINK("http://www.ensembl.org/Mus_musculus/Gene/Summary?db=core;g=ENSMUSG00000079484","ENSMUSG00000079484")</f>
        <v>ENSMUSG00000079484</v>
      </c>
      <c r="I6305" s="7" t="str">
        <f>HYPERLINK("http://www.informatics.jax.org/marker/MGI:3612860","MGI:3612860")</f>
        <v>MGI:3612860</v>
      </c>
      <c r="J6305" s="4" t="s">
        <v>12</v>
      </c>
    </row>
    <row r="6306" spans="1:10" x14ac:dyDescent="0.25">
      <c r="A6306" s="2">
        <v>2832.0991387438298</v>
      </c>
      <c r="B6306" s="3">
        <v>-0.56874544150004702</v>
      </c>
      <c r="C6306" s="3">
        <v>1.68527780726204E-3</v>
      </c>
      <c r="D6306" s="4">
        <v>4.8136845827357203E-3</v>
      </c>
      <c r="E6306" s="3" t="s">
        <v>13815</v>
      </c>
      <c r="F6306" s="3" t="s">
        <v>13816</v>
      </c>
      <c r="G6306" s="3">
        <v>11881</v>
      </c>
      <c r="H6306" s="7" t="str">
        <f>HYPERLINK("http://www.ensembl.org/Mus_musculus/Gene/Summary?db=core;g=ENSMUSG00000042082","ENSMUSG00000042082")</f>
        <v>ENSMUSG00000042082</v>
      </c>
      <c r="I6306" s="7" t="str">
        <f>HYPERLINK("http://www.informatics.jax.org/marker/MGI:88075","MGI:88075")</f>
        <v>MGI:88075</v>
      </c>
      <c r="J6306" s="4" t="s">
        <v>12</v>
      </c>
    </row>
    <row r="6307" spans="1:10" x14ac:dyDescent="0.25">
      <c r="A6307" s="2">
        <v>149.85183492365101</v>
      </c>
      <c r="B6307" s="3">
        <v>-0.56886739144362197</v>
      </c>
      <c r="C6307" s="5">
        <v>1.3875260350479101E-5</v>
      </c>
      <c r="D6307" s="6">
        <v>5.1297362975524698E-5</v>
      </c>
      <c r="E6307" s="3" t="s">
        <v>10680</v>
      </c>
      <c r="F6307" s="3" t="s">
        <v>10681</v>
      </c>
      <c r="G6307" s="3">
        <v>52466</v>
      </c>
      <c r="H6307" s="7" t="str">
        <f>HYPERLINK("http://www.ensembl.org/Mus_musculus/Gene/Summary?db=core;g=ENSMUSG00000020829","ENSMUSG00000020829")</f>
        <v>ENSMUSG00000020829</v>
      </c>
      <c r="I6307" s="7" t="str">
        <f>HYPERLINK("http://www.informatics.jax.org/marker/MGI:1098733","MGI:1098733")</f>
        <v>MGI:1098733</v>
      </c>
      <c r="J6307" s="4" t="s">
        <v>12</v>
      </c>
    </row>
    <row r="6308" spans="1:10" x14ac:dyDescent="0.25">
      <c r="A6308" s="2">
        <v>750.14904940643805</v>
      </c>
      <c r="B6308" s="3">
        <v>-0.56952283145466798</v>
      </c>
      <c r="C6308" s="5">
        <v>4.1503135040758199E-11</v>
      </c>
      <c r="D6308" s="6">
        <v>2.4853987944237799E-10</v>
      </c>
      <c r="E6308" s="3" t="s">
        <v>6603</v>
      </c>
      <c r="F6308" s="3" t="s">
        <v>6604</v>
      </c>
      <c r="G6308" s="3">
        <v>76454</v>
      </c>
      <c r="H6308" s="7" t="str">
        <f>HYPERLINK("http://www.ensembl.org/Mus_musculus/Gene/Summary?db=core;g=ENSMUSG00000052934","ENSMUSG00000052934")</f>
        <v>ENSMUSG00000052934</v>
      </c>
      <c r="I6308" s="7" t="str">
        <f>HYPERLINK("http://www.informatics.jax.org/marker/MGI:1354708","MGI:1354708")</f>
        <v>MGI:1354708</v>
      </c>
      <c r="J6308" s="4" t="s">
        <v>12</v>
      </c>
    </row>
    <row r="6309" spans="1:10" x14ac:dyDescent="0.25">
      <c r="A6309" s="2">
        <v>120.47681175451</v>
      </c>
      <c r="B6309" s="3">
        <v>-0.56959479556479797</v>
      </c>
      <c r="C6309" s="5">
        <v>8.5165125381157905E-5</v>
      </c>
      <c r="D6309" s="4">
        <v>2.8916258135613498E-4</v>
      </c>
      <c r="E6309" s="3" t="s">
        <v>11627</v>
      </c>
      <c r="F6309" s="3" t="s">
        <v>11628</v>
      </c>
      <c r="G6309" s="3">
        <v>70315</v>
      </c>
      <c r="H6309" s="7" t="str">
        <f>HYPERLINK("http://www.ensembl.org/Mus_musculus/Gene/Summary?db=core;g=ENSMUSG00000067567","ENSMUSG00000067567")</f>
        <v>ENSMUSG00000067567</v>
      </c>
      <c r="I6309" s="7" t="str">
        <f>HYPERLINK("http://www.informatics.jax.org/marker/MGI:1917565","MGI:1917565")</f>
        <v>MGI:1917565</v>
      </c>
      <c r="J6309" s="4" t="s">
        <v>12</v>
      </c>
    </row>
    <row r="6310" spans="1:10" x14ac:dyDescent="0.25">
      <c r="A6310" s="2">
        <v>378.60715559105302</v>
      </c>
      <c r="B6310" s="3">
        <v>-0.56962722043705305</v>
      </c>
      <c r="C6310" s="5">
        <v>1.3488946852944E-7</v>
      </c>
      <c r="D6310" s="6">
        <v>6.0441270606692896E-7</v>
      </c>
      <c r="E6310" s="3" t="s">
        <v>8819</v>
      </c>
      <c r="F6310" s="3" t="s">
        <v>8820</v>
      </c>
      <c r="G6310" s="3">
        <v>67452</v>
      </c>
      <c r="H6310" s="7" t="str">
        <f>HYPERLINK("http://www.ensembl.org/Mus_musculus/Gene/Summary?db=core;g=ENSMUSG00000036257","ENSMUSG00000036257")</f>
        <v>ENSMUSG00000036257</v>
      </c>
      <c r="I6310" s="7" t="str">
        <f>HYPERLINK("http://www.informatics.jax.org/marker/MGI:1914702","MGI:1914702")</f>
        <v>MGI:1914702</v>
      </c>
      <c r="J6310" s="4" t="s">
        <v>12</v>
      </c>
    </row>
    <row r="6311" spans="1:10" x14ac:dyDescent="0.25">
      <c r="A6311" s="2">
        <v>82.294505077887607</v>
      </c>
      <c r="B6311" s="3">
        <v>-0.56965241126424804</v>
      </c>
      <c r="C6311" s="5">
        <v>7.4708098402542805E-5</v>
      </c>
      <c r="D6311" s="4">
        <v>2.5541673032214701E-4</v>
      </c>
      <c r="E6311" s="3" t="s">
        <v>11547</v>
      </c>
      <c r="F6311" s="3" t="s">
        <v>11548</v>
      </c>
      <c r="G6311" s="3">
        <v>27364</v>
      </c>
      <c r="H6311" s="7" t="str">
        <f>HYPERLINK("http://www.ensembl.org/Mus_musculus/Gene/Summary?db=core;g=ENSMUSG00000001323","ENSMUSG00000001323")</f>
        <v>ENSMUSG00000001323</v>
      </c>
      <c r="I6311" s="7" t="str">
        <f>HYPERLINK("http://www.informatics.jax.org/marker/MGI:1351636","MGI:1351636")</f>
        <v>MGI:1351636</v>
      </c>
      <c r="J6311" s="4" t="s">
        <v>12</v>
      </c>
    </row>
    <row r="6312" spans="1:10" x14ac:dyDescent="0.25">
      <c r="A6312" s="2">
        <v>879.10881151599199</v>
      </c>
      <c r="B6312" s="3">
        <v>-0.57019939099101502</v>
      </c>
      <c r="C6312" s="5">
        <v>9.5553374847099601E-25</v>
      </c>
      <c r="D6312" s="6">
        <v>1.15319005629425E-23</v>
      </c>
      <c r="E6312" s="3" t="s">
        <v>3288</v>
      </c>
      <c r="F6312" s="3" t="s">
        <v>3289</v>
      </c>
      <c r="G6312" s="3">
        <v>57443</v>
      </c>
      <c r="H6312" s="7" t="str">
        <f>HYPERLINK("http://www.ensembl.org/Mus_musculus/Gene/Summary?db=core;g=ENSMUSG00000027180","ENSMUSG00000027180")</f>
        <v>ENSMUSG00000027180</v>
      </c>
      <c r="I6312" s="7" t="str">
        <f>HYPERLINK("http://www.informatics.jax.org/marker/MGI:1929084","MGI:1929084")</f>
        <v>MGI:1929084</v>
      </c>
      <c r="J6312" s="4" t="s">
        <v>12</v>
      </c>
    </row>
    <row r="6313" spans="1:10" x14ac:dyDescent="0.25">
      <c r="A6313" s="2">
        <v>716.87316133315596</v>
      </c>
      <c r="B6313" s="3">
        <v>-0.57045245598372996</v>
      </c>
      <c r="C6313" s="5">
        <v>2.11518196494258E-14</v>
      </c>
      <c r="D6313" s="6">
        <v>1.57520348748745E-13</v>
      </c>
      <c r="E6313" s="3" t="s">
        <v>5313</v>
      </c>
      <c r="F6313" s="3" t="s">
        <v>5314</v>
      </c>
      <c r="G6313" s="3">
        <v>20937</v>
      </c>
      <c r="H6313" s="7" t="str">
        <f>HYPERLINK("http://www.ensembl.org/Mus_musculus/Gene/Summary?db=core;g=ENSMUSG00000039231","ENSMUSG00000039231")</f>
        <v>ENSMUSG00000039231</v>
      </c>
      <c r="I6313" s="7" t="str">
        <f>HYPERLINK("http://www.informatics.jax.org/marker/MGI:1099440","MGI:1099440")</f>
        <v>MGI:1099440</v>
      </c>
      <c r="J6313" s="4" t="s">
        <v>12</v>
      </c>
    </row>
    <row r="6314" spans="1:10" x14ac:dyDescent="0.25">
      <c r="A6314" s="2">
        <v>380.53099498628097</v>
      </c>
      <c r="B6314" s="3">
        <v>-0.57045265689334901</v>
      </c>
      <c r="C6314" s="5">
        <v>1.6252628717250499E-12</v>
      </c>
      <c r="D6314" s="6">
        <v>1.0751487363441099E-11</v>
      </c>
      <c r="E6314" s="3" t="s">
        <v>5979</v>
      </c>
      <c r="F6314" s="3" t="s">
        <v>5980</v>
      </c>
      <c r="G6314" s="3">
        <v>18679</v>
      </c>
      <c r="H6314" s="7" t="str">
        <f>HYPERLINK("http://www.ensembl.org/Mus_musculus/Gene/Summary?db=core;g=ENSMUSG00000034055","ENSMUSG00000034055")</f>
        <v>ENSMUSG00000034055</v>
      </c>
      <c r="I6314" s="7" t="str">
        <f>HYPERLINK("http://www.informatics.jax.org/marker/MGI:97576","MGI:97576")</f>
        <v>MGI:97576</v>
      </c>
      <c r="J6314" s="4" t="s">
        <v>12</v>
      </c>
    </row>
    <row r="6315" spans="1:10" x14ac:dyDescent="0.25">
      <c r="A6315" s="2">
        <v>335.32294050945001</v>
      </c>
      <c r="B6315" s="3">
        <v>-0.57061630486596204</v>
      </c>
      <c r="C6315" s="5">
        <v>2.6061674339788999E-16</v>
      </c>
      <c r="D6315" s="6">
        <v>2.1351733194043999E-15</v>
      </c>
      <c r="E6315" s="3" t="s">
        <v>4831</v>
      </c>
      <c r="F6315" s="3" t="s">
        <v>4832</v>
      </c>
      <c r="G6315" s="3">
        <v>57321</v>
      </c>
      <c r="H6315" s="7" t="str">
        <f>HYPERLINK("http://www.ensembl.org/Mus_musculus/Gene/Summary?db=core;g=ENSMUSG00000033430","ENSMUSG00000033430")</f>
        <v>ENSMUSG00000033430</v>
      </c>
      <c r="I6315" s="7" t="str">
        <f>HYPERLINK("http://www.informatics.jax.org/marker/MGI:1929871","MGI:1929871")</f>
        <v>MGI:1929871</v>
      </c>
      <c r="J6315" s="4" t="s">
        <v>12</v>
      </c>
    </row>
    <row r="6316" spans="1:10" x14ac:dyDescent="0.25">
      <c r="A6316" s="2">
        <v>413.63881873560399</v>
      </c>
      <c r="B6316" s="3">
        <v>-0.57089060839692096</v>
      </c>
      <c r="C6316" s="5">
        <v>5.1988608681798403E-9</v>
      </c>
      <c r="D6316" s="6">
        <v>2.6361927570199702E-8</v>
      </c>
      <c r="E6316" s="3" t="s">
        <v>7794</v>
      </c>
      <c r="F6316" s="3" t="s">
        <v>7795</v>
      </c>
      <c r="G6316" s="3">
        <v>380967</v>
      </c>
      <c r="H6316" s="7" t="str">
        <f>HYPERLINK("http://www.ensembl.org/Mus_musculus/Gene/Summary?db=core;g=ENSMUSG00000052369","ENSMUSG00000052369")</f>
        <v>ENSMUSG00000052369</v>
      </c>
      <c r="I6316" s="7" t="str">
        <f>HYPERLINK("http://www.informatics.jax.org/marker/MGI:1196384","MGI:1196384")</f>
        <v>MGI:1196384</v>
      </c>
      <c r="J6316" s="4" t="s">
        <v>12</v>
      </c>
    </row>
    <row r="6317" spans="1:10" x14ac:dyDescent="0.25">
      <c r="A6317" s="2">
        <v>703.87556850027102</v>
      </c>
      <c r="B6317" s="3">
        <v>-0.57117517154809405</v>
      </c>
      <c r="C6317" s="5">
        <v>4.2946506390081001E-12</v>
      </c>
      <c r="D6317" s="6">
        <v>2.7676637451385499E-11</v>
      </c>
      <c r="E6317" s="3" t="s">
        <v>6137</v>
      </c>
      <c r="F6317" s="3" t="s">
        <v>6138</v>
      </c>
      <c r="G6317" s="3">
        <v>216151</v>
      </c>
      <c r="H6317" s="7" t="str">
        <f>HYPERLINK("http://www.ensembl.org/Mus_musculus/Gene/Summary?db=core;g=ENSMUSG00000020329","ENSMUSG00000020329")</f>
        <v>ENSMUSG00000020329</v>
      </c>
      <c r="I6317" s="7" t="str">
        <f>HYPERLINK("http://www.informatics.jax.org/marker/MGI:1915843","MGI:1915843")</f>
        <v>MGI:1915843</v>
      </c>
      <c r="J6317" s="4" t="s">
        <v>12</v>
      </c>
    </row>
    <row r="6318" spans="1:10" x14ac:dyDescent="0.25">
      <c r="A6318" s="2">
        <v>1436.8141900026701</v>
      </c>
      <c r="B6318" s="3">
        <v>-0.57118678498439102</v>
      </c>
      <c r="C6318" s="5">
        <v>1.57116481389788E-13</v>
      </c>
      <c r="D6318" s="6">
        <v>1.10762105786768E-12</v>
      </c>
      <c r="E6318" s="3" t="s">
        <v>5613</v>
      </c>
      <c r="F6318" s="3" t="s">
        <v>5614</v>
      </c>
      <c r="G6318" s="3">
        <v>666938</v>
      </c>
      <c r="H6318" s="7" t="str">
        <f>HYPERLINK("http://www.ensembl.org/Mus_musculus/Gene/Summary?db=core;g=ENSMUSG00000092060","ENSMUSG00000092060")</f>
        <v>ENSMUSG00000092060</v>
      </c>
      <c r="I6318" s="7" t="str">
        <f>HYPERLINK("http://www.informatics.jax.org/marker/MGI:3648414","MGI:3648414")</f>
        <v>MGI:3648414</v>
      </c>
      <c r="J6318" s="4" t="s">
        <v>12</v>
      </c>
    </row>
    <row r="6319" spans="1:10" x14ac:dyDescent="0.25">
      <c r="A6319" s="2">
        <v>571.00032885216604</v>
      </c>
      <c r="B6319" s="3">
        <v>-0.57147336611969002</v>
      </c>
      <c r="C6319" s="5">
        <v>1.1336854762670299E-8</v>
      </c>
      <c r="D6319" s="6">
        <v>5.5974655963910202E-8</v>
      </c>
      <c r="E6319" s="3" t="s">
        <v>8005</v>
      </c>
      <c r="F6319" s="3" t="s">
        <v>8006</v>
      </c>
      <c r="G6319" s="3">
        <v>75415</v>
      </c>
      <c r="H6319" s="7" t="str">
        <f>HYPERLINK("http://www.ensembl.org/Mus_musculus/Gene/Summary?db=core;g=ENSMUSG00000041225","ENSMUSG00000041225")</f>
        <v>ENSMUSG00000041225</v>
      </c>
      <c r="I6319" s="7" t="str">
        <f>HYPERLINK("http://www.informatics.jax.org/marker/MGI:1922665","MGI:1922665")</f>
        <v>MGI:1922665</v>
      </c>
      <c r="J6319" s="4" t="s">
        <v>12</v>
      </c>
    </row>
    <row r="6320" spans="1:10" x14ac:dyDescent="0.25">
      <c r="A6320" s="2">
        <v>1599.89189281424</v>
      </c>
      <c r="B6320" s="3">
        <v>-0.57195092637026201</v>
      </c>
      <c r="C6320" s="5">
        <v>2.0740395390864001E-8</v>
      </c>
      <c r="D6320" s="6">
        <v>9.9804928528022899E-8</v>
      </c>
      <c r="E6320" s="3" t="s">
        <v>8213</v>
      </c>
      <c r="F6320" s="3" t="s">
        <v>8214</v>
      </c>
      <c r="G6320" s="3">
        <v>213054</v>
      </c>
      <c r="H6320" s="7" t="str">
        <f>HYPERLINK("http://www.ensembl.org/Mus_musculus/Gene/Summary?db=core;g=ENSMUSG00000038766","ENSMUSG00000038766")</f>
        <v>ENSMUSG00000038766</v>
      </c>
      <c r="I6320" s="7" t="str">
        <f>HYPERLINK("http://www.informatics.jax.org/marker/MGI:95612","MGI:95612")</f>
        <v>MGI:95612</v>
      </c>
      <c r="J6320" s="4" t="s">
        <v>12</v>
      </c>
    </row>
    <row r="6321" spans="1:10" x14ac:dyDescent="0.25">
      <c r="A6321" s="2">
        <v>1700.2690850476299</v>
      </c>
      <c r="B6321" s="3">
        <v>-0.57215222263464904</v>
      </c>
      <c r="C6321" s="5">
        <v>9.2741019385987291E-44</v>
      </c>
      <c r="D6321" s="6">
        <v>2.0925090415236501E-42</v>
      </c>
      <c r="E6321" s="3" t="s">
        <v>1764</v>
      </c>
      <c r="F6321" s="3" t="s">
        <v>1765</v>
      </c>
      <c r="G6321" s="3">
        <v>72754</v>
      </c>
      <c r="H6321" s="7" t="str">
        <f>HYPERLINK("http://www.ensembl.org/Mus_musculus/Gene/Summary?db=core;g=ENSMUSG00000040964","ENSMUSG00000040964")</f>
        <v>ENSMUSG00000040964</v>
      </c>
      <c r="I6321" s="7" t="str">
        <f>HYPERLINK("http://www.informatics.jax.org/marker/MGI:1920004","MGI:1920004")</f>
        <v>MGI:1920004</v>
      </c>
      <c r="J6321" s="4" t="s">
        <v>12</v>
      </c>
    </row>
    <row r="6322" spans="1:10" x14ac:dyDescent="0.25">
      <c r="A6322" s="2">
        <v>1019.0807609111999</v>
      </c>
      <c r="B6322" s="3">
        <v>-0.57274493325899301</v>
      </c>
      <c r="C6322" s="5">
        <v>7.72812641736548E-20</v>
      </c>
      <c r="D6322" s="6">
        <v>7.6009303217180697E-19</v>
      </c>
      <c r="E6322" s="3" t="s">
        <v>4029</v>
      </c>
      <c r="F6322" s="3" t="s">
        <v>4030</v>
      </c>
      <c r="G6322" s="3">
        <v>68744</v>
      </c>
      <c r="H6322" s="7" t="str">
        <f>HYPERLINK("http://www.ensembl.org/Mus_musculus/Gene/Summary?db=core;g=ENSMUSG00000046897","ENSMUSG00000046897")</f>
        <v>ENSMUSG00000046897</v>
      </c>
      <c r="I6322" s="7" t="str">
        <f>HYPERLINK("http://www.informatics.jax.org/marker/MGI:1915994","MGI:1915994")</f>
        <v>MGI:1915994</v>
      </c>
      <c r="J6322" s="4" t="s">
        <v>12</v>
      </c>
    </row>
    <row r="6323" spans="1:10" x14ac:dyDescent="0.25">
      <c r="A6323" s="2">
        <v>187.761206794392</v>
      </c>
      <c r="B6323" s="3">
        <v>-0.57320919975197904</v>
      </c>
      <c r="C6323" s="5">
        <v>6.7648820059879201E-9</v>
      </c>
      <c r="D6323" s="6">
        <v>3.40054736574259E-8</v>
      </c>
      <c r="E6323" s="3" t="s">
        <v>7862</v>
      </c>
      <c r="F6323" s="3" t="s">
        <v>7863</v>
      </c>
      <c r="G6323" s="3">
        <v>67939</v>
      </c>
      <c r="H6323" s="7" t="str">
        <f>HYPERLINK("http://www.ensembl.org/Mus_musculus/Gene/Summary?db=core;g=ENSMUSG00000032673","ENSMUSG00000032673")</f>
        <v>ENSMUSG00000032673</v>
      </c>
      <c r="I6323" s="7" t="str">
        <f>HYPERLINK("http://www.informatics.jax.org/marker/MGI:1915189","MGI:1915189")</f>
        <v>MGI:1915189</v>
      </c>
      <c r="J6323" s="4" t="s">
        <v>12</v>
      </c>
    </row>
    <row r="6324" spans="1:10" x14ac:dyDescent="0.25">
      <c r="A6324" s="2">
        <v>801.80284259979805</v>
      </c>
      <c r="B6324" s="3">
        <v>-0.57371989460422901</v>
      </c>
      <c r="C6324" s="5">
        <v>1.2631944458121701E-24</v>
      </c>
      <c r="D6324" s="6">
        <v>1.5207688932488301E-23</v>
      </c>
      <c r="E6324" s="3" t="s">
        <v>3296</v>
      </c>
      <c r="F6324" s="3" t="s">
        <v>3297</v>
      </c>
      <c r="G6324" s="3">
        <v>319651</v>
      </c>
      <c r="H6324" s="7" t="str">
        <f>HYPERLINK("http://www.ensembl.org/Mus_musculus/Gene/Summary?db=core;g=ENSMUSG00000033364","ENSMUSG00000033364")</f>
        <v>ENSMUSG00000033364</v>
      </c>
      <c r="I6324" s="7" t="str">
        <f>HYPERLINK("http://www.informatics.jax.org/marker/MGI:2442483","MGI:2442483")</f>
        <v>MGI:2442483</v>
      </c>
      <c r="J6324" s="4" t="s">
        <v>12</v>
      </c>
    </row>
    <row r="6325" spans="1:10" x14ac:dyDescent="0.25">
      <c r="A6325" s="2">
        <v>300.30372880792902</v>
      </c>
      <c r="B6325" s="3">
        <v>-0.57381830152758095</v>
      </c>
      <c r="C6325" s="5">
        <v>3.5267355133038601E-11</v>
      </c>
      <c r="D6325" s="6">
        <v>2.1229311453709401E-10</v>
      </c>
      <c r="E6325" s="3" t="s">
        <v>6569</v>
      </c>
      <c r="F6325" s="3" t="s">
        <v>6570</v>
      </c>
      <c r="G6325" s="3">
        <v>77519</v>
      </c>
      <c r="H6325" s="7" t="str">
        <f>HYPERLINK("http://www.ensembl.org/Mus_musculus/Gene/Summary?db=core;g=ENSMUSG00000060510","ENSMUSG00000060510")</f>
        <v>ENSMUSG00000060510</v>
      </c>
      <c r="I6325" s="7" t="str">
        <f>HYPERLINK("http://www.informatics.jax.org/marker/MGI:1924769","MGI:1924769")</f>
        <v>MGI:1924769</v>
      </c>
      <c r="J6325" s="4" t="s">
        <v>12</v>
      </c>
    </row>
    <row r="6326" spans="1:10" x14ac:dyDescent="0.25">
      <c r="A6326" s="2">
        <v>770.47468966526606</v>
      </c>
      <c r="B6326" s="3">
        <v>-0.57397780809128096</v>
      </c>
      <c r="C6326" s="5">
        <v>1.8887948403392002E-12</v>
      </c>
      <c r="D6326" s="6">
        <v>1.2473889568482601E-11</v>
      </c>
      <c r="E6326" s="3" t="s">
        <v>5989</v>
      </c>
      <c r="F6326" s="3" t="s">
        <v>5990</v>
      </c>
      <c r="G6326" s="3">
        <v>239017</v>
      </c>
      <c r="H6326" s="7" t="str">
        <f>HYPERLINK("http://www.ensembl.org/Mus_musculus/Gene/Summary?db=core;g=ENSMUSG00000021913","ENSMUSG00000021913")</f>
        <v>ENSMUSG00000021913</v>
      </c>
      <c r="I6326" s="7" t="str">
        <f>HYPERLINK("http://www.informatics.jax.org/marker/MGI:3616088","MGI:3616088")</f>
        <v>MGI:3616088</v>
      </c>
      <c r="J6326" s="4" t="s">
        <v>12</v>
      </c>
    </row>
    <row r="6327" spans="1:10" x14ac:dyDescent="0.25">
      <c r="A6327" s="2">
        <v>572.66370204198495</v>
      </c>
      <c r="B6327" s="3">
        <v>-0.57412360057844403</v>
      </c>
      <c r="C6327" s="5">
        <v>7.7683199570095705E-19</v>
      </c>
      <c r="D6327" s="6">
        <v>7.2982977395058895E-18</v>
      </c>
      <c r="E6327" s="3" t="s">
        <v>4215</v>
      </c>
      <c r="F6327" s="3" t="s">
        <v>4216</v>
      </c>
      <c r="G6327" s="3">
        <v>207806</v>
      </c>
      <c r="H6327" s="7" t="str">
        <f>HYPERLINK("http://www.ensembl.org/Mus_musculus/Gene/Summary?db=core;g=ENSMUSG00000068284","ENSMUSG00000068284")</f>
        <v>ENSMUSG00000068284</v>
      </c>
      <c r="I6327" s="7" t="str">
        <f>HYPERLINK("http://www.informatics.jax.org/marker/MGI:2685454","MGI:2685454")</f>
        <v>MGI:2685454</v>
      </c>
      <c r="J6327" s="4" t="s">
        <v>12</v>
      </c>
    </row>
    <row r="6328" spans="1:10" x14ac:dyDescent="0.25">
      <c r="A6328" s="2">
        <v>2070.67895962581</v>
      </c>
      <c r="B6328" s="3">
        <v>-0.57422544016699495</v>
      </c>
      <c r="C6328" s="5">
        <v>8.7603559307807297E-30</v>
      </c>
      <c r="D6328" s="6">
        <v>1.2806094807634999E-28</v>
      </c>
      <c r="E6328" s="3" t="s">
        <v>2716</v>
      </c>
      <c r="F6328" s="3" t="s">
        <v>2717</v>
      </c>
      <c r="G6328" s="3">
        <v>65246</v>
      </c>
      <c r="H6328" s="7" t="str">
        <f>HYPERLINK("http://www.ensembl.org/Mus_musculus/Gene/Summary?db=core;g=ENSMUSG00000022100","ENSMUSG00000022100")</f>
        <v>ENSMUSG00000022100</v>
      </c>
      <c r="I6328" s="7" t="str">
        <f>HYPERLINK("http://www.informatics.jax.org/marker/MGI:1929705","MGI:1929705")</f>
        <v>MGI:1929705</v>
      </c>
      <c r="J6328" s="4" t="s">
        <v>12</v>
      </c>
    </row>
    <row r="6329" spans="1:10" x14ac:dyDescent="0.25">
      <c r="A6329" s="2">
        <v>1412.5388067061201</v>
      </c>
      <c r="B6329" s="3">
        <v>-0.57430884199074195</v>
      </c>
      <c r="C6329" s="5">
        <v>5.3125819508111997E-13</v>
      </c>
      <c r="D6329" s="6">
        <v>3.6187950283245902E-12</v>
      </c>
      <c r="E6329" s="3" t="s">
        <v>5807</v>
      </c>
      <c r="F6329" s="3" t="s">
        <v>5808</v>
      </c>
      <c r="G6329" s="3">
        <v>67442</v>
      </c>
      <c r="H6329" s="7" t="str">
        <f>HYPERLINK("http://www.ensembl.org/Mus_musculus/Gene/Summary?db=core;g=ENSMUSG00000056666","ENSMUSG00000056666")</f>
        <v>ENSMUSG00000056666</v>
      </c>
      <c r="I6329" s="7" t="str">
        <f>HYPERLINK("http://www.informatics.jax.org/marker/MGI:1914692","MGI:1914692")</f>
        <v>MGI:1914692</v>
      </c>
      <c r="J6329" s="4" t="s">
        <v>12</v>
      </c>
    </row>
    <row r="6330" spans="1:10" x14ac:dyDescent="0.25">
      <c r="A6330" s="2">
        <v>67.366871820073598</v>
      </c>
      <c r="B6330" s="3">
        <v>-0.57477301858886098</v>
      </c>
      <c r="C6330" s="3">
        <v>7.0329229629463997E-4</v>
      </c>
      <c r="D6330" s="4">
        <v>2.1164236354235199E-3</v>
      </c>
      <c r="E6330" s="3" t="s">
        <v>13115</v>
      </c>
      <c r="F6330" s="3" t="s">
        <v>13116</v>
      </c>
      <c r="G6330" s="3">
        <v>58239</v>
      </c>
      <c r="H6330" s="7" t="str">
        <f>HYPERLINK("http://www.ensembl.org/Mus_musculus/Gene/Summary?db=core;g=ENSMUSG00000038055","ENSMUSG00000038055")</f>
        <v>ENSMUSG00000038055</v>
      </c>
      <c r="I6330" s="7" t="str">
        <f>HYPERLINK("http://www.informatics.jax.org/marker/MGI:1926236","MGI:1926236")</f>
        <v>MGI:1926236</v>
      </c>
      <c r="J6330" s="4" t="s">
        <v>12</v>
      </c>
    </row>
    <row r="6331" spans="1:10" x14ac:dyDescent="0.25">
      <c r="A6331" s="2">
        <v>100.387199524498</v>
      </c>
      <c r="B6331" s="3">
        <v>-0.57485151685799096</v>
      </c>
      <c r="C6331" s="5">
        <v>2.2560036671506998E-6</v>
      </c>
      <c r="D6331" s="6">
        <v>9.0148717965981506E-6</v>
      </c>
      <c r="E6331" s="3" t="s">
        <v>9885</v>
      </c>
      <c r="F6331" s="3" t="s">
        <v>9886</v>
      </c>
      <c r="G6331" s="3">
        <v>72569</v>
      </c>
      <c r="H6331" s="7" t="str">
        <f>HYPERLINK("http://www.ensembl.org/Mus_musculus/Gene/Summary?db=core;g=ENSMUSG00000063145","ENSMUSG00000063145")</f>
        <v>ENSMUSG00000063145</v>
      </c>
      <c r="I6331" s="7" t="str">
        <f>HYPERLINK("http://www.informatics.jax.org/marker/MGI:1919819","MGI:1919819")</f>
        <v>MGI:1919819</v>
      </c>
      <c r="J6331" s="4" t="s">
        <v>12</v>
      </c>
    </row>
    <row r="6332" spans="1:10" x14ac:dyDescent="0.25">
      <c r="A6332" s="2">
        <v>101.834965952643</v>
      </c>
      <c r="B6332" s="3">
        <v>-0.57493365464531399</v>
      </c>
      <c r="C6332" s="3">
        <v>3.3005768175977598E-3</v>
      </c>
      <c r="D6332" s="4">
        <v>8.9874861699845206E-3</v>
      </c>
      <c r="E6332" s="3" t="s">
        <v>14487</v>
      </c>
      <c r="F6332" s="3" t="s">
        <v>14488</v>
      </c>
      <c r="G6332" s="3">
        <v>18846</v>
      </c>
      <c r="H6332" s="7" t="str">
        <f>HYPERLINK("http://www.ensembl.org/Mus_musculus/Gene/Summary?db=core;g=ENSMUSG00000031398","ENSMUSG00000031398")</f>
        <v>ENSMUSG00000031398</v>
      </c>
      <c r="I6332" s="7" t="str">
        <f>HYPERLINK("http://www.informatics.jax.org/marker/MGI:107683","MGI:107683")</f>
        <v>MGI:107683</v>
      </c>
      <c r="J6332" s="4" t="s">
        <v>12</v>
      </c>
    </row>
    <row r="6333" spans="1:10" x14ac:dyDescent="0.25">
      <c r="A6333" s="2">
        <v>44.291091634628302</v>
      </c>
      <c r="B6333" s="3">
        <v>-0.575858036276096</v>
      </c>
      <c r="C6333" s="3">
        <v>1.1259969023125001E-3</v>
      </c>
      <c r="D6333" s="4">
        <v>3.2969055551005902E-3</v>
      </c>
      <c r="E6333" s="3" t="s">
        <v>13479</v>
      </c>
      <c r="F6333" s="3" t="s">
        <v>13480</v>
      </c>
      <c r="G6333" s="3">
        <v>231474</v>
      </c>
      <c r="H6333" s="7" t="str">
        <f>HYPERLINK("http://www.ensembl.org/Mus_musculus/Gene/Summary?db=core;g=ENSMUSG00000055725","ENSMUSG00000055725")</f>
        <v>ENSMUSG00000055725</v>
      </c>
      <c r="I6333" s="7" t="str">
        <f>HYPERLINK("http://www.informatics.jax.org/marker/MGI:2679683","MGI:2679683")</f>
        <v>MGI:2679683</v>
      </c>
      <c r="J6333" s="4" t="s">
        <v>12</v>
      </c>
    </row>
    <row r="6334" spans="1:10" x14ac:dyDescent="0.25">
      <c r="A6334" s="2">
        <v>2092.4835077891798</v>
      </c>
      <c r="B6334" s="3">
        <v>-0.57607468382193205</v>
      </c>
      <c r="C6334" s="5">
        <v>1.55257860641749E-18</v>
      </c>
      <c r="D6334" s="6">
        <v>1.4401152454634501E-17</v>
      </c>
      <c r="E6334" s="3" t="s">
        <v>4269</v>
      </c>
      <c r="F6334" s="3" t="s">
        <v>4270</v>
      </c>
      <c r="G6334" s="3">
        <v>20768</v>
      </c>
      <c r="H6334" s="7" t="str">
        <f>HYPERLINK("http://www.ensembl.org/Mus_musculus/Gene/Summary?db=core;g=ENSMUSG00000049091","ENSMUSG00000049091")</f>
        <v>ENSMUSG00000049091</v>
      </c>
      <c r="I6334" s="7" t="str">
        <f>HYPERLINK("http://www.informatics.jax.org/marker/MGI:108388","MGI:108388")</f>
        <v>MGI:108388</v>
      </c>
      <c r="J6334" s="4" t="s">
        <v>12</v>
      </c>
    </row>
    <row r="6335" spans="1:10" x14ac:dyDescent="0.25">
      <c r="A6335" s="2">
        <v>134.565258875648</v>
      </c>
      <c r="B6335" s="3">
        <v>-0.57612614204783297</v>
      </c>
      <c r="C6335" s="3">
        <v>1.2168993366505E-4</v>
      </c>
      <c r="D6335" s="4">
        <v>4.05976229381624E-4</v>
      </c>
      <c r="E6335" s="3" t="s">
        <v>11833</v>
      </c>
      <c r="F6335" s="3" t="s">
        <v>11834</v>
      </c>
      <c r="G6335" s="3">
        <v>66468</v>
      </c>
      <c r="H6335" s="7" t="str">
        <f>HYPERLINK("http://www.ensembl.org/Mus_musculus/Gene/Summary?db=core;g=ENSMUSG00000036223","ENSMUSG00000036223")</f>
        <v>ENSMUSG00000036223</v>
      </c>
      <c r="I6335" s="7" t="str">
        <f>HYPERLINK("http://www.informatics.jax.org/marker/MGI:1913718","MGI:1913718")</f>
        <v>MGI:1913718</v>
      </c>
      <c r="J6335" s="4" t="s">
        <v>12</v>
      </c>
    </row>
    <row r="6336" spans="1:10" x14ac:dyDescent="0.25">
      <c r="A6336" s="2">
        <v>334.14483097413699</v>
      </c>
      <c r="B6336" s="3">
        <v>-0.57662079056230198</v>
      </c>
      <c r="C6336" s="5">
        <v>3.8526316813010603E-6</v>
      </c>
      <c r="D6336" s="6">
        <v>1.5041357504505401E-5</v>
      </c>
      <c r="E6336" s="3" t="s">
        <v>10118</v>
      </c>
      <c r="F6336" s="3" t="s">
        <v>10119</v>
      </c>
      <c r="G6336" s="3">
        <v>75317</v>
      </c>
      <c r="H6336" s="7" t="str">
        <f>HYPERLINK("http://www.ensembl.org/Mus_musculus/Gene/Summary?db=core;g=ENSMUSG00000035365","ENSMUSG00000035365")</f>
        <v>ENSMUSG00000035365</v>
      </c>
      <c r="I6336" s="7" t="str">
        <f>HYPERLINK("http://www.informatics.jax.org/marker/MGI:1922567","MGI:1922567")</f>
        <v>MGI:1922567</v>
      </c>
      <c r="J6336" s="4" t="s">
        <v>12</v>
      </c>
    </row>
    <row r="6337" spans="1:10" x14ac:dyDescent="0.25">
      <c r="A6337" s="2">
        <v>249.96075208576201</v>
      </c>
      <c r="B6337" s="3">
        <v>-0.57666660361019195</v>
      </c>
      <c r="C6337" s="3">
        <v>3.9547919504599201E-4</v>
      </c>
      <c r="D6337" s="4">
        <v>1.23301971957422E-3</v>
      </c>
      <c r="E6337" s="3" t="s">
        <v>12663</v>
      </c>
      <c r="F6337" s="3" t="s">
        <v>12664</v>
      </c>
      <c r="G6337" s="3">
        <v>66241</v>
      </c>
      <c r="H6337" s="7" t="str">
        <f>HYPERLINK("http://www.ensembl.org/Mus_musculus/Gene/Summary?db=core;g=ENSMUSG00000026411","ENSMUSG00000026411")</f>
        <v>ENSMUSG00000026411</v>
      </c>
      <c r="I6337" s="7" t="str">
        <f>HYPERLINK("http://www.informatics.jax.org/marker/MGI:1913491","MGI:1913491")</f>
        <v>MGI:1913491</v>
      </c>
      <c r="J6337" s="4" t="s">
        <v>12</v>
      </c>
    </row>
    <row r="6338" spans="1:10" x14ac:dyDescent="0.25">
      <c r="A6338" s="2">
        <v>386.96691464720601</v>
      </c>
      <c r="B6338" s="3">
        <v>-0.57686142393608797</v>
      </c>
      <c r="C6338" s="5">
        <v>1.22143615865251E-11</v>
      </c>
      <c r="D6338" s="6">
        <v>7.5839801790389094E-11</v>
      </c>
      <c r="E6338" s="3" t="s">
        <v>6369</v>
      </c>
      <c r="F6338" s="3" t="s">
        <v>6370</v>
      </c>
      <c r="G6338" s="3">
        <v>23955</v>
      </c>
      <c r="H6338" s="7" t="str">
        <f>HYPERLINK("http://www.ensembl.org/Mus_musculus/Gene/Summary?db=core;g=ENSMUSG00000021918","ENSMUSG00000021918")</f>
        <v>ENSMUSG00000021918</v>
      </c>
      <c r="I6338" s="7" t="str">
        <f>HYPERLINK("http://www.informatics.jax.org/marker/MGI:1344404","MGI:1344404")</f>
        <v>MGI:1344404</v>
      </c>
      <c r="J6338" s="4" t="s">
        <v>12</v>
      </c>
    </row>
    <row r="6339" spans="1:10" x14ac:dyDescent="0.25">
      <c r="A6339" s="2">
        <v>394.89679814481798</v>
      </c>
      <c r="B6339" s="3">
        <v>-0.57717056958621504</v>
      </c>
      <c r="C6339" s="5">
        <v>5.9196943886238902E-13</v>
      </c>
      <c r="D6339" s="6">
        <v>4.0184637984049199E-12</v>
      </c>
      <c r="E6339" s="3" t="s">
        <v>5827</v>
      </c>
      <c r="F6339" s="3" t="s">
        <v>5828</v>
      </c>
      <c r="G6339" s="3">
        <v>210982</v>
      </c>
      <c r="H6339" s="7" t="str">
        <f>HYPERLINK("http://www.ensembl.org/Mus_musculus/Gene/Summary?db=core;g=ENSMUSG00000036568","ENSMUSG00000036568")</f>
        <v>ENSMUSG00000036568</v>
      </c>
      <c r="I6339" s="7" t="str">
        <f>HYPERLINK("http://www.informatics.jax.org/marker/MGI:2673855","MGI:2673855")</f>
        <v>MGI:2673855</v>
      </c>
      <c r="J6339" s="4" t="s">
        <v>12</v>
      </c>
    </row>
    <row r="6340" spans="1:10" x14ac:dyDescent="0.25">
      <c r="A6340" s="2">
        <v>155.621270121072</v>
      </c>
      <c r="B6340" s="3">
        <v>-0.57733365408431303</v>
      </c>
      <c r="C6340" s="5">
        <v>3.0554888887176998E-7</v>
      </c>
      <c r="D6340" s="6">
        <v>1.33246883868892E-6</v>
      </c>
      <c r="E6340" s="3" t="s">
        <v>9059</v>
      </c>
      <c r="F6340" s="3" t="s">
        <v>9060</v>
      </c>
      <c r="G6340" s="3">
        <v>238037</v>
      </c>
      <c r="H6340" s="7" t="str">
        <f>HYPERLINK("http://www.ensembl.org/Mus_musculus/Gene/Summary?db=core;g=ENSMUSG00000051721","ENSMUSG00000051721")</f>
        <v>ENSMUSG00000051721</v>
      </c>
      <c r="I6340" s="7" t="str">
        <f>HYPERLINK("http://www.informatics.jax.org/marker/MGI:3040699","MGI:3040699")</f>
        <v>MGI:3040699</v>
      </c>
      <c r="J6340" s="4" t="s">
        <v>12</v>
      </c>
    </row>
    <row r="6341" spans="1:10" x14ac:dyDescent="0.25">
      <c r="A6341" s="2">
        <v>208.867262010161</v>
      </c>
      <c r="B6341" s="3">
        <v>-0.57761153749191996</v>
      </c>
      <c r="C6341" s="5">
        <v>3.8906280183521997E-8</v>
      </c>
      <c r="D6341" s="6">
        <v>1.82381381675139E-7</v>
      </c>
      <c r="E6341" s="3" t="s">
        <v>8431</v>
      </c>
      <c r="F6341" s="3" t="s">
        <v>8432</v>
      </c>
      <c r="G6341" s="3">
        <v>664968</v>
      </c>
      <c r="H6341" s="7" t="str">
        <f>HYPERLINK("http://www.ensembl.org/Mus_musculus/Gene/Summary?db=core;g=ENSMUSG00000030431","ENSMUSG00000030431")</f>
        <v>ENSMUSG00000030431</v>
      </c>
      <c r="I6341" s="7" t="str">
        <f>HYPERLINK("http://www.informatics.jax.org/marker/MGI:1922935","MGI:1922935")</f>
        <v>MGI:1922935</v>
      </c>
      <c r="J6341" s="4" t="s">
        <v>12</v>
      </c>
    </row>
    <row r="6342" spans="1:10" x14ac:dyDescent="0.25">
      <c r="A6342" s="2">
        <v>1019.6170365599399</v>
      </c>
      <c r="B6342" s="3">
        <v>-0.57775363341575503</v>
      </c>
      <c r="C6342" s="5">
        <v>6.3189594550457501E-12</v>
      </c>
      <c r="D6342" s="6">
        <v>4.0157873172253403E-11</v>
      </c>
      <c r="E6342" s="3" t="s">
        <v>6223</v>
      </c>
      <c r="F6342" s="3" t="s">
        <v>6224</v>
      </c>
      <c r="G6342" s="3">
        <v>212728</v>
      </c>
      <c r="H6342" s="7" t="str">
        <f>HYPERLINK("http://www.ensembl.org/Mus_musculus/Gene/Summary?db=core;g=ENSMUSG00000090290","ENSMUSG00000090290")</f>
        <v>ENSMUSG00000090290</v>
      </c>
      <c r="I6342" s="7" t="str">
        <f>HYPERLINK("http://www.informatics.jax.org/marker/MGI:4936930","MGI:4936930")</f>
        <v>MGI:4936930</v>
      </c>
      <c r="J6342" s="4" t="s">
        <v>12</v>
      </c>
    </row>
    <row r="6343" spans="1:10" x14ac:dyDescent="0.25">
      <c r="A6343" s="2">
        <v>359.71348626132198</v>
      </c>
      <c r="B6343" s="3">
        <v>-0.57799392783769798</v>
      </c>
      <c r="C6343" s="5">
        <v>1.3601537108887101E-6</v>
      </c>
      <c r="D6343" s="6">
        <v>5.5452204214855101E-6</v>
      </c>
      <c r="E6343" s="3" t="s">
        <v>9689</v>
      </c>
      <c r="F6343" s="3" t="s">
        <v>9690</v>
      </c>
      <c r="G6343" s="3">
        <v>15284</v>
      </c>
      <c r="H6343" s="7" t="str">
        <f>HYPERLINK("http://www.ensembl.org/Mus_musculus/Gene/Summary?db=core;g=ENSMUSG00000039377","ENSMUSG00000039377")</f>
        <v>ENSMUSG00000039377</v>
      </c>
      <c r="I6343" s="7" t="str">
        <f>HYPERLINK("http://www.informatics.jax.org/marker/MGI:96109","MGI:96109")</f>
        <v>MGI:96109</v>
      </c>
      <c r="J6343" s="4" t="s">
        <v>12</v>
      </c>
    </row>
    <row r="6344" spans="1:10" x14ac:dyDescent="0.25">
      <c r="A6344" s="2">
        <v>487.32566581123899</v>
      </c>
      <c r="B6344" s="3">
        <v>-0.57802211676366</v>
      </c>
      <c r="C6344" s="5">
        <v>2.4123424020950199E-13</v>
      </c>
      <c r="D6344" s="6">
        <v>1.6839430856394199E-12</v>
      </c>
      <c r="E6344" s="3" t="s">
        <v>5667</v>
      </c>
      <c r="F6344" s="3" t="s">
        <v>5668</v>
      </c>
      <c r="G6344" s="3">
        <v>238673</v>
      </c>
      <c r="H6344" s="7" t="str">
        <f>HYPERLINK("http://www.ensembl.org/Mus_musculus/Gene/Summary?db=core;g=ENSMUSG00000044934","ENSMUSG00000044934")</f>
        <v>ENSMUSG00000044934</v>
      </c>
      <c r="I6344" s="7" t="str">
        <f>HYPERLINK("http://www.informatics.jax.org/marker/MGI:2442266","MGI:2442266")</f>
        <v>MGI:2442266</v>
      </c>
      <c r="J6344" s="4" t="s">
        <v>12</v>
      </c>
    </row>
    <row r="6345" spans="1:10" x14ac:dyDescent="0.25">
      <c r="A6345" s="2">
        <v>2888.45743806875</v>
      </c>
      <c r="B6345" s="3">
        <v>-0.57809144987198602</v>
      </c>
      <c r="C6345" s="5">
        <v>4.6586899439151203E-22</v>
      </c>
      <c r="D6345" s="6">
        <v>5.0616730409920801E-21</v>
      </c>
      <c r="E6345" s="3" t="s">
        <v>3648</v>
      </c>
      <c r="F6345" s="3" t="s">
        <v>3649</v>
      </c>
      <c r="G6345" s="3">
        <v>22589</v>
      </c>
      <c r="H6345" s="7" t="str">
        <f>HYPERLINK("http://www.ensembl.org/Mus_musculus/Gene/Summary?db=core;g=ENSMUSG00000031229","ENSMUSG00000031229")</f>
        <v>ENSMUSG00000031229</v>
      </c>
      <c r="I6345" s="7" t="str">
        <f>HYPERLINK("http://www.informatics.jax.org/marker/MGI:103067","MGI:103067")</f>
        <v>MGI:103067</v>
      </c>
      <c r="J6345" s="4" t="s">
        <v>12</v>
      </c>
    </row>
    <row r="6346" spans="1:10" x14ac:dyDescent="0.25">
      <c r="A6346" s="2">
        <v>6800.9542670874498</v>
      </c>
      <c r="B6346" s="3">
        <v>-0.57846028185461895</v>
      </c>
      <c r="C6346" s="5">
        <v>2.7803016686176199E-42</v>
      </c>
      <c r="D6346" s="6">
        <v>6.0516058394193704E-41</v>
      </c>
      <c r="E6346" s="3" t="s">
        <v>1829</v>
      </c>
      <c r="F6346" s="3" t="s">
        <v>1830</v>
      </c>
      <c r="G6346" s="3">
        <v>11545</v>
      </c>
      <c r="H6346" s="7" t="str">
        <f>HYPERLINK("http://www.ensembl.org/Mus_musculus/Gene/Summary?db=core;g=ENSMUSG00000026496","ENSMUSG00000026496")</f>
        <v>ENSMUSG00000026496</v>
      </c>
      <c r="I6346" s="7" t="str">
        <f>HYPERLINK("http://www.informatics.jax.org/marker/MGI:1340806","MGI:1340806")</f>
        <v>MGI:1340806</v>
      </c>
      <c r="J6346" s="4" t="s">
        <v>12</v>
      </c>
    </row>
    <row r="6347" spans="1:10" x14ac:dyDescent="0.25">
      <c r="A6347" s="2">
        <v>106.65375547193</v>
      </c>
      <c r="B6347" s="3">
        <v>-0.57931302298287302</v>
      </c>
      <c r="C6347" s="5">
        <v>2.95230124539337E-6</v>
      </c>
      <c r="D6347" s="6">
        <v>1.16648728830209E-5</v>
      </c>
      <c r="E6347" s="3" t="s">
        <v>9998</v>
      </c>
      <c r="F6347" s="3" t="s">
        <v>9999</v>
      </c>
      <c r="G6347" s="3">
        <v>223642</v>
      </c>
      <c r="H6347" s="7" t="str">
        <f>HYPERLINK("http://www.ensembl.org/Mus_musculus/Gene/Summary?db=core;g=ENSMUSG00000075600","ENSMUSG00000075600")</f>
        <v>ENSMUSG00000075600</v>
      </c>
      <c r="I6347" s="7" t="str">
        <f>HYPERLINK("http://www.informatics.jax.org/marker/MGI:2663721","MGI:2663721")</f>
        <v>MGI:2663721</v>
      </c>
      <c r="J6347" s="4" t="s">
        <v>12</v>
      </c>
    </row>
    <row r="6348" spans="1:10" x14ac:dyDescent="0.25">
      <c r="A6348" s="2">
        <v>35.7407591446716</v>
      </c>
      <c r="B6348" s="3">
        <v>-0.57938929161158104</v>
      </c>
      <c r="C6348" s="3">
        <v>1.2222742477049599E-2</v>
      </c>
      <c r="D6348" s="4">
        <v>2.9856618561553201E-2</v>
      </c>
      <c r="E6348" s="3" t="s">
        <v>16149</v>
      </c>
      <c r="F6348" s="3" t="s">
        <v>16150</v>
      </c>
      <c r="G6348" s="3">
        <v>245695</v>
      </c>
      <c r="H6348" s="7" t="str">
        <f>HYPERLINK("http://www.ensembl.org/Mus_musculus/Gene/Summary?db=core;g=ENSMUSG00000051224","ENSMUSG00000051224")</f>
        <v>ENSMUSG00000051224</v>
      </c>
      <c r="I6348" s="7" t="str">
        <f>HYPERLINK("http://www.informatics.jax.org/marker/MGI:2685236","MGI:2685236")</f>
        <v>MGI:2685236</v>
      </c>
      <c r="J6348" s="4" t="s">
        <v>12</v>
      </c>
    </row>
    <row r="6349" spans="1:10" x14ac:dyDescent="0.25">
      <c r="A6349" s="2">
        <v>425.39783581730097</v>
      </c>
      <c r="B6349" s="3">
        <v>-0.58060851481320597</v>
      </c>
      <c r="C6349" s="5">
        <v>4.7324168874789098E-17</v>
      </c>
      <c r="D6349" s="6">
        <v>4.04011330961843E-16</v>
      </c>
      <c r="E6349" s="3" t="s">
        <v>4635</v>
      </c>
      <c r="F6349" s="3" t="s">
        <v>4636</v>
      </c>
      <c r="G6349" s="3">
        <v>74360</v>
      </c>
      <c r="H6349" s="7" t="str">
        <f>HYPERLINK("http://www.ensembl.org/Mus_musculus/Gene/Summary?db=core;g=ENSMUSG00000031922","ENSMUSG00000031922")</f>
        <v>ENSMUSG00000031922</v>
      </c>
      <c r="I6349" s="7" t="str">
        <f>HYPERLINK("http://www.informatics.jax.org/marker/MGI:1915551","MGI:1915551")</f>
        <v>MGI:1915551</v>
      </c>
      <c r="J6349" s="4" t="s">
        <v>12</v>
      </c>
    </row>
    <row r="6350" spans="1:10" x14ac:dyDescent="0.25">
      <c r="A6350" s="2">
        <v>216.94465822069799</v>
      </c>
      <c r="B6350" s="3">
        <v>-0.58148237238996503</v>
      </c>
      <c r="C6350" s="5">
        <v>3.1476597126074598E-9</v>
      </c>
      <c r="D6350" s="6">
        <v>1.62279345183318E-8</v>
      </c>
      <c r="E6350" s="3" t="s">
        <v>7666</v>
      </c>
      <c r="F6350" s="3" t="s">
        <v>7667</v>
      </c>
      <c r="G6350" s="3">
        <v>57028</v>
      </c>
      <c r="H6350" s="7" t="str">
        <f>HYPERLINK("http://www.ensembl.org/Mus_musculus/Gene/Summary?db=core;g=ENSMUSG00000116165","ENSMUSG00000116165")</f>
        <v>ENSMUSG00000116165</v>
      </c>
      <c r="I6350" s="7" t="str">
        <f>HYPERLINK("http://www.informatics.jax.org/marker/MGI:1919282","MGI:1919282")</f>
        <v>MGI:1919282</v>
      </c>
      <c r="J6350" s="4" t="s">
        <v>12</v>
      </c>
    </row>
    <row r="6351" spans="1:10" x14ac:dyDescent="0.25">
      <c r="A6351" s="2">
        <v>59.129126467129097</v>
      </c>
      <c r="B6351" s="3">
        <v>-0.58230558638949503</v>
      </c>
      <c r="C6351" s="3">
        <v>5.8394131338473801E-4</v>
      </c>
      <c r="D6351" s="4">
        <v>1.78338589127258E-3</v>
      </c>
      <c r="E6351" s="3" t="s">
        <v>12923</v>
      </c>
      <c r="F6351" s="3" t="s">
        <v>12924</v>
      </c>
      <c r="G6351" s="3">
        <v>66176</v>
      </c>
      <c r="H6351" s="7" t="str">
        <f>HYPERLINK("http://www.ensembl.org/Mus_musculus/Gene/Summary?db=core;g=ENSMUSG00000015542","ENSMUSG00000015542")</f>
        <v>ENSMUSG00000015542</v>
      </c>
      <c r="I6351" s="7" t="str">
        <f>HYPERLINK("http://www.informatics.jax.org/marker/MGI:1913426","MGI:1913426")</f>
        <v>MGI:1913426</v>
      </c>
      <c r="J6351" s="4" t="s">
        <v>12</v>
      </c>
    </row>
    <row r="6352" spans="1:10" x14ac:dyDescent="0.25">
      <c r="A6352" s="2">
        <v>34.455443707401102</v>
      </c>
      <c r="B6352" s="3">
        <v>-0.58285746403198102</v>
      </c>
      <c r="C6352" s="3">
        <v>2.5664270064804898E-3</v>
      </c>
      <c r="D6352" s="4">
        <v>7.12013795270051E-3</v>
      </c>
      <c r="E6352" s="3" t="s">
        <v>14223</v>
      </c>
      <c r="F6352" s="3" t="s">
        <v>14224</v>
      </c>
      <c r="G6352" s="3">
        <v>68721</v>
      </c>
      <c r="H6352" s="7" t="str">
        <f>HYPERLINK("http://www.ensembl.org/Mus_musculus/Gene/Summary?db=core;g=ENSMUSG00000037971","ENSMUSG00000037971")</f>
        <v>ENSMUSG00000037971</v>
      </c>
      <c r="I6352" s="7" t="str">
        <f>HYPERLINK("http://www.informatics.jax.org/marker/MGI:1915971","MGI:1915971")</f>
        <v>MGI:1915971</v>
      </c>
      <c r="J6352" s="4" t="s">
        <v>12</v>
      </c>
    </row>
    <row r="6353" spans="1:10" x14ac:dyDescent="0.25">
      <c r="A6353" s="2">
        <v>25.8825177061731</v>
      </c>
      <c r="B6353" s="3">
        <v>-0.58437056702713697</v>
      </c>
      <c r="C6353" s="3">
        <v>1.7738266321507799E-2</v>
      </c>
      <c r="D6353" s="4">
        <v>4.1892049324566999E-2</v>
      </c>
      <c r="E6353" s="3" t="s">
        <v>16704</v>
      </c>
      <c r="F6353" s="3" t="s">
        <v>16705</v>
      </c>
      <c r="G6353" s="3">
        <v>71670</v>
      </c>
      <c r="H6353" s="7" t="str">
        <f>HYPERLINK("http://www.ensembl.org/Mus_musculus/Gene/Summary?db=core;g=ENSMUSG00000024866","ENSMUSG00000024866")</f>
        <v>ENSMUSG00000024866</v>
      </c>
      <c r="I6353" s="7" t="str">
        <f>HYPERLINK("http://www.informatics.jax.org/marker/MGI:1918920","MGI:1918920")</f>
        <v>MGI:1918920</v>
      </c>
      <c r="J6353" s="4" t="s">
        <v>12</v>
      </c>
    </row>
    <row r="6354" spans="1:10" x14ac:dyDescent="0.25">
      <c r="A6354" s="2">
        <v>308.68022858937098</v>
      </c>
      <c r="B6354" s="3">
        <v>-0.58447951926082198</v>
      </c>
      <c r="C6354" s="5">
        <v>7.4869357768786604E-11</v>
      </c>
      <c r="D6354" s="6">
        <v>4.38361551824551E-10</v>
      </c>
      <c r="E6354" s="3" t="s">
        <v>6754</v>
      </c>
      <c r="F6354" s="3" t="s">
        <v>6755</v>
      </c>
      <c r="G6354" s="3">
        <v>17125</v>
      </c>
      <c r="H6354" s="7" t="str">
        <f>HYPERLINK("http://www.ensembl.org/Mus_musculus/Gene/Summary?db=core;g=ENSMUSG00000031681","ENSMUSG00000031681")</f>
        <v>ENSMUSG00000031681</v>
      </c>
      <c r="I6354" s="7" t="str">
        <f>HYPERLINK("http://www.informatics.jax.org/marker/MGI:109452","MGI:109452")</f>
        <v>MGI:109452</v>
      </c>
      <c r="J6354" s="4" t="s">
        <v>12</v>
      </c>
    </row>
    <row r="6355" spans="1:10" x14ac:dyDescent="0.25">
      <c r="A6355" s="2">
        <v>47.024533438621397</v>
      </c>
      <c r="B6355" s="3">
        <v>-0.58465360083013596</v>
      </c>
      <c r="C6355" s="3">
        <v>5.1291488107860399E-3</v>
      </c>
      <c r="D6355" s="4">
        <v>1.3547657989378599E-2</v>
      </c>
      <c r="E6355" s="3" t="s">
        <v>14936</v>
      </c>
      <c r="F6355" s="3" t="s">
        <v>14937</v>
      </c>
      <c r="G6355" s="3">
        <v>71962</v>
      </c>
      <c r="H6355" s="7" t="str">
        <f>HYPERLINK("http://www.ensembl.org/Mus_musculus/Gene/Summary?db=core;g=ENSMUSG00000020424","ENSMUSG00000020424")</f>
        <v>ENSMUSG00000020424</v>
      </c>
      <c r="I6355" s="7" t="str">
        <f>HYPERLINK("http://www.informatics.jax.org/marker/MGI:1919212","MGI:1919212")</f>
        <v>MGI:1919212</v>
      </c>
      <c r="J6355" s="4" t="s">
        <v>12</v>
      </c>
    </row>
    <row r="6356" spans="1:10" x14ac:dyDescent="0.25">
      <c r="A6356" s="2">
        <v>66.942064411615306</v>
      </c>
      <c r="B6356" s="3">
        <v>-0.58466230491814697</v>
      </c>
      <c r="C6356" s="3">
        <v>1.44531664172923E-4</v>
      </c>
      <c r="D6356" s="4">
        <v>4.7765450267974499E-4</v>
      </c>
      <c r="E6356" s="3" t="s">
        <v>11945</v>
      </c>
      <c r="F6356" s="3" t="s">
        <v>11946</v>
      </c>
      <c r="G6356" s="3">
        <v>22757</v>
      </c>
      <c r="H6356" s="7" t="str">
        <f>HYPERLINK("http://www.ensembl.org/Mus_musculus/Gene/Summary?db=core;g=ENSMUSG00000055991","ENSMUSG00000055991")</f>
        <v>ENSMUSG00000055991</v>
      </c>
      <c r="I6356" s="7" t="str">
        <f>HYPERLINK("http://www.informatics.jax.org/marker/MGI:107533","MGI:107533")</f>
        <v>MGI:107533</v>
      </c>
      <c r="J6356" s="4" t="s">
        <v>12</v>
      </c>
    </row>
    <row r="6357" spans="1:10" x14ac:dyDescent="0.25">
      <c r="A6357" s="2">
        <v>1419.6706341444699</v>
      </c>
      <c r="B6357" s="3">
        <v>-0.58474058232600201</v>
      </c>
      <c r="C6357" s="5">
        <v>3.5199284286818096E-21</v>
      </c>
      <c r="D6357" s="6">
        <v>3.6629545442535697E-20</v>
      </c>
      <c r="E6357" s="3" t="s">
        <v>3808</v>
      </c>
      <c r="F6357" s="3" t="s">
        <v>3809</v>
      </c>
      <c r="G6357" s="3">
        <v>14420</v>
      </c>
      <c r="H6357" s="7" t="str">
        <f>HYPERLINK("http://www.ensembl.org/Mus_musculus/Gene/Summary?db=core;g=ENSMUSG00000021003","ENSMUSG00000021003")</f>
        <v>ENSMUSG00000021003</v>
      </c>
      <c r="I6357" s="7" t="str">
        <f>HYPERLINK("http://www.informatics.jax.org/marker/MGI:95636","MGI:95636")</f>
        <v>MGI:95636</v>
      </c>
      <c r="J6357" s="4" t="s">
        <v>12</v>
      </c>
    </row>
    <row r="6358" spans="1:10" x14ac:dyDescent="0.25">
      <c r="A6358" s="2">
        <v>24.964742957162901</v>
      </c>
      <c r="B6358" s="3">
        <v>-0.58482773354433604</v>
      </c>
      <c r="C6358" s="3">
        <v>7.3711277996792697E-3</v>
      </c>
      <c r="D6358" s="4">
        <v>1.88117820900317E-2</v>
      </c>
      <c r="E6358" s="3" t="s">
        <v>15459</v>
      </c>
      <c r="F6358" s="3" t="s">
        <v>15460</v>
      </c>
      <c r="G6358" s="3" t="s">
        <v>83</v>
      </c>
      <c r="H6358" s="7" t="str">
        <f>HYPERLINK("http://www.ensembl.org/Mus_musculus/Gene/Summary?db=core;g=ENSMUSG00000074355","ENSMUSG00000074355")</f>
        <v>ENSMUSG00000074355</v>
      </c>
      <c r="I6358" s="7" t="str">
        <f>HYPERLINK("http://www.informatics.jax.org/marker/MGI:3704283","MGI:3704283")</f>
        <v>MGI:3704283</v>
      </c>
      <c r="J6358" s="4" t="s">
        <v>1828</v>
      </c>
    </row>
    <row r="6359" spans="1:10" x14ac:dyDescent="0.25">
      <c r="A6359" s="2">
        <v>3290.3818844350699</v>
      </c>
      <c r="B6359" s="3">
        <v>-0.584880693874404</v>
      </c>
      <c r="C6359" s="5">
        <v>8.48169282667282E-26</v>
      </c>
      <c r="D6359" s="6">
        <v>1.07148611493906E-24</v>
      </c>
      <c r="E6359" s="3" t="s">
        <v>3140</v>
      </c>
      <c r="F6359" s="3" t="s">
        <v>3141</v>
      </c>
      <c r="G6359" s="3">
        <v>216963</v>
      </c>
      <c r="H6359" s="7" t="str">
        <f>HYPERLINK("http://www.ensembl.org/Mus_musculus/Gene/Summary?db=core;g=ENSMUSG00000011877","ENSMUSG00000011877")</f>
        <v>ENSMUSG00000011877</v>
      </c>
      <c r="I6359" s="7" t="str">
        <f>HYPERLINK("http://www.informatics.jax.org/marker/MGI:1927140","MGI:1927140")</f>
        <v>MGI:1927140</v>
      </c>
      <c r="J6359" s="4" t="s">
        <v>12</v>
      </c>
    </row>
    <row r="6360" spans="1:10" x14ac:dyDescent="0.25">
      <c r="A6360" s="2">
        <v>509.40316136745002</v>
      </c>
      <c r="B6360" s="3">
        <v>-0.585017166387655</v>
      </c>
      <c r="C6360" s="5">
        <v>2.5771857483152998E-13</v>
      </c>
      <c r="D6360" s="6">
        <v>1.7945657823721001E-12</v>
      </c>
      <c r="E6360" s="3" t="s">
        <v>5681</v>
      </c>
      <c r="F6360" s="3" t="s">
        <v>5682</v>
      </c>
      <c r="G6360" s="3">
        <v>240660</v>
      </c>
      <c r="H6360" s="7" t="str">
        <f>HYPERLINK("http://www.ensembl.org/Mus_musculus/Gene/Summary?db=core;g=ENSMUSG00000044026","ENSMUSG00000044026")</f>
        <v>ENSMUSG00000044026</v>
      </c>
      <c r="I6360" s="7" t="str">
        <f>HYPERLINK("http://www.informatics.jax.org/marker/MGI:2444789","MGI:2444789")</f>
        <v>MGI:2444789</v>
      </c>
      <c r="J6360" s="4" t="s">
        <v>12</v>
      </c>
    </row>
    <row r="6361" spans="1:10" x14ac:dyDescent="0.25">
      <c r="A6361" s="2">
        <v>395.13686565053598</v>
      </c>
      <c r="B6361" s="3">
        <v>-0.585301335241184</v>
      </c>
      <c r="C6361" s="5">
        <v>3.6039312896860199E-8</v>
      </c>
      <c r="D6361" s="6">
        <v>1.6961700485109401E-7</v>
      </c>
      <c r="E6361" s="3" t="s">
        <v>8397</v>
      </c>
      <c r="F6361" s="3" t="s">
        <v>8398</v>
      </c>
      <c r="G6361" s="3">
        <v>214895</v>
      </c>
      <c r="H6361" s="7" t="str">
        <f>HYPERLINK("http://www.ensembl.org/Mus_musculus/Gene/Summary?db=core;g=ENSMUSG00000001143","ENSMUSG00000001143")</f>
        <v>ENSMUSG00000001143</v>
      </c>
      <c r="I6361" s="7" t="str">
        <f>HYPERLINK("http://www.informatics.jax.org/marker/MGI:2443010","MGI:2443010")</f>
        <v>MGI:2443010</v>
      </c>
      <c r="J6361" s="4" t="s">
        <v>12</v>
      </c>
    </row>
    <row r="6362" spans="1:10" x14ac:dyDescent="0.25">
      <c r="A6362" s="2">
        <v>1329.15779640204</v>
      </c>
      <c r="B6362" s="3">
        <v>-0.585304711684136</v>
      </c>
      <c r="C6362" s="5">
        <v>3.09299630627678E-5</v>
      </c>
      <c r="D6362" s="4">
        <v>1.1025648438137799E-4</v>
      </c>
      <c r="E6362" s="3" t="s">
        <v>11076</v>
      </c>
      <c r="F6362" s="3" t="s">
        <v>11077</v>
      </c>
      <c r="G6362" s="3">
        <v>17428</v>
      </c>
      <c r="H6362" s="7" t="str">
        <f>HYPERLINK("http://www.ensembl.org/Mus_musculus/Gene/Summary?db=core;g=ENSMUSG00000000282","ENSMUSG00000000282")</f>
        <v>ENSMUSG00000000282</v>
      </c>
      <c r="I6362" s="7" t="str">
        <f>HYPERLINK("http://www.informatics.jax.org/marker/MGI:109150","MGI:109150")</f>
        <v>MGI:109150</v>
      </c>
      <c r="J6362" s="4" t="s">
        <v>12</v>
      </c>
    </row>
    <row r="6363" spans="1:10" x14ac:dyDescent="0.25">
      <c r="A6363" s="2">
        <v>137.59535290461301</v>
      </c>
      <c r="B6363" s="3">
        <v>-0.58561773452728405</v>
      </c>
      <c r="C6363" s="5">
        <v>2.1941974157090502E-6</v>
      </c>
      <c r="D6363" s="6">
        <v>8.7831335930261598E-6</v>
      </c>
      <c r="E6363" s="3" t="s">
        <v>9869</v>
      </c>
      <c r="F6363" s="3" t="s">
        <v>9870</v>
      </c>
      <c r="G6363" s="3">
        <v>72103</v>
      </c>
      <c r="H6363" s="7" t="str">
        <f>HYPERLINK("http://www.ensembl.org/Mus_musculus/Gene/Summary?db=core;g=ENSMUSG00000030051","ENSMUSG00000030051")</f>
        <v>ENSMUSG00000030051</v>
      </c>
      <c r="I6363" s="7" t="str">
        <f>HYPERLINK("http://www.informatics.jax.org/marker/MGI:1919353","MGI:1919353")</f>
        <v>MGI:1919353</v>
      </c>
      <c r="J6363" s="4" t="s">
        <v>12</v>
      </c>
    </row>
    <row r="6364" spans="1:10" x14ac:dyDescent="0.25">
      <c r="A6364" s="2">
        <v>534.551292349704</v>
      </c>
      <c r="B6364" s="3">
        <v>-0.58610231997218898</v>
      </c>
      <c r="C6364" s="5">
        <v>1.29727663831937E-6</v>
      </c>
      <c r="D6364" s="6">
        <v>5.3053287655864796E-6</v>
      </c>
      <c r="E6364" s="3" t="s">
        <v>9659</v>
      </c>
      <c r="F6364" s="3" t="s">
        <v>9660</v>
      </c>
      <c r="G6364" s="3">
        <v>14768</v>
      </c>
      <c r="H6364" s="7" t="str">
        <f>HYPERLINK("http://www.ensembl.org/Mus_musculus/Gene/Summary?db=core;g=ENSMUSG00000026000","ENSMUSG00000026000")</f>
        <v>ENSMUSG00000026000</v>
      </c>
      <c r="I6364" s="7" t="str">
        <f>HYPERLINK("http://www.informatics.jax.org/marker/MGI:1336997","MGI:1336997")</f>
        <v>MGI:1336997</v>
      </c>
      <c r="J6364" s="4" t="s">
        <v>12</v>
      </c>
    </row>
    <row r="6365" spans="1:10" x14ac:dyDescent="0.25">
      <c r="A6365" s="2">
        <v>478.47807016991101</v>
      </c>
      <c r="B6365" s="3">
        <v>-0.58634398506277396</v>
      </c>
      <c r="C6365" s="5">
        <v>3.6725219919008303E-17</v>
      </c>
      <c r="D6365" s="6">
        <v>3.15977895638239E-16</v>
      </c>
      <c r="E6365" s="3" t="s">
        <v>4601</v>
      </c>
      <c r="F6365" s="3" t="s">
        <v>4602</v>
      </c>
      <c r="G6365" s="3">
        <v>68310</v>
      </c>
      <c r="H6365" s="7" t="str">
        <f>HYPERLINK("http://www.ensembl.org/Mus_musculus/Gene/Summary?db=core;g=ENSMUSG00000043872","ENSMUSG00000043872")</f>
        <v>ENSMUSG00000043872</v>
      </c>
      <c r="I6365" s="7" t="str">
        <f>HYPERLINK("http://www.informatics.jax.org/marker/MGI:1915560","MGI:1915560")</f>
        <v>MGI:1915560</v>
      </c>
      <c r="J6365" s="4" t="s">
        <v>12</v>
      </c>
    </row>
    <row r="6366" spans="1:10" x14ac:dyDescent="0.25">
      <c r="A6366" s="2">
        <v>412.16673183897001</v>
      </c>
      <c r="B6366" s="3">
        <v>-0.58674729506048295</v>
      </c>
      <c r="C6366" s="5">
        <v>9.9651922825023393E-6</v>
      </c>
      <c r="D6366" s="6">
        <v>3.7303263441713402E-5</v>
      </c>
      <c r="E6366" s="3" t="s">
        <v>10549</v>
      </c>
      <c r="F6366" s="3" t="s">
        <v>10550</v>
      </c>
      <c r="G6366" s="3">
        <v>223626</v>
      </c>
      <c r="H6366" s="7" t="str">
        <f>HYPERLINK("http://www.ensembl.org/Mus_musculus/Gene/Summary?db=core;g=ENSMUSG00000056665","ENSMUSG00000056665")</f>
        <v>ENSMUSG00000056665</v>
      </c>
      <c r="I6366" s="7" t="str">
        <f>HYPERLINK("http://www.informatics.jax.org/marker/MGI:1925301","MGI:1925301")</f>
        <v>MGI:1925301</v>
      </c>
      <c r="J6366" s="4" t="s">
        <v>12</v>
      </c>
    </row>
    <row r="6367" spans="1:10" x14ac:dyDescent="0.25">
      <c r="A6367" s="2">
        <v>8476.8418779166695</v>
      </c>
      <c r="B6367" s="3">
        <v>-0.58720899869492005</v>
      </c>
      <c r="C6367" s="5">
        <v>5.5101994476241301E-33</v>
      </c>
      <c r="D6367" s="6">
        <v>8.8414266157158504E-32</v>
      </c>
      <c r="E6367" s="3" t="s">
        <v>2475</v>
      </c>
      <c r="F6367" s="3" t="s">
        <v>2476</v>
      </c>
      <c r="G6367" s="3">
        <v>104418</v>
      </c>
      <c r="H6367" s="7" t="str">
        <f>HYPERLINK("http://www.ensembl.org/Mus_musculus/Gene/Summary?db=core;g=ENSMUSG00000040479","ENSMUSG00000040479")</f>
        <v>ENSMUSG00000040479</v>
      </c>
      <c r="I6367" s="7" t="str">
        <f>HYPERLINK("http://www.informatics.jax.org/marker/MGI:1278339","MGI:1278339")</f>
        <v>MGI:1278339</v>
      </c>
      <c r="J6367" s="4" t="s">
        <v>12</v>
      </c>
    </row>
    <row r="6368" spans="1:10" x14ac:dyDescent="0.25">
      <c r="A6368" s="2">
        <v>207.31696731926399</v>
      </c>
      <c r="B6368" s="3">
        <v>-0.5872288083078</v>
      </c>
      <c r="C6368" s="5">
        <v>4.2354939784198701E-8</v>
      </c>
      <c r="D6368" s="6">
        <v>1.9778342707657999E-7</v>
      </c>
      <c r="E6368" s="3" t="s">
        <v>8463</v>
      </c>
      <c r="F6368" s="3" t="s">
        <v>8464</v>
      </c>
      <c r="G6368" s="3">
        <v>73132</v>
      </c>
      <c r="H6368" s="7" t="str">
        <f>HYPERLINK("http://www.ensembl.org/Mus_musculus/Gene/Summary?db=core;g=ENSMUSG00000071253","ENSMUSG00000071253")</f>
        <v>ENSMUSG00000071253</v>
      </c>
      <c r="I6368" s="7" t="str">
        <f>HYPERLINK("http://www.informatics.jax.org/marker/MGI:1920382","MGI:1920382")</f>
        <v>MGI:1920382</v>
      </c>
      <c r="J6368" s="4" t="s">
        <v>12</v>
      </c>
    </row>
    <row r="6369" spans="1:10" x14ac:dyDescent="0.25">
      <c r="A6369" s="2">
        <v>228.25602911653101</v>
      </c>
      <c r="B6369" s="3">
        <v>-0.58731883001562801</v>
      </c>
      <c r="C6369" s="5">
        <v>1.7470338063131899E-8</v>
      </c>
      <c r="D6369" s="6">
        <v>8.4709876224480403E-8</v>
      </c>
      <c r="E6369" s="3" t="s">
        <v>8151</v>
      </c>
      <c r="F6369" s="3" t="s">
        <v>8152</v>
      </c>
      <c r="G6369" s="3">
        <v>231637</v>
      </c>
      <c r="H6369" s="7" t="str">
        <f>HYPERLINK("http://www.ensembl.org/Mus_musculus/Gene/Summary?db=core;g=ENSMUSG00000042121","ENSMUSG00000042121")</f>
        <v>ENSMUSG00000042121</v>
      </c>
      <c r="I6369" s="7" t="str">
        <f>HYPERLINK("http://www.informatics.jax.org/marker/MGI:2686240","MGI:2686240")</f>
        <v>MGI:2686240</v>
      </c>
      <c r="J6369" s="4" t="s">
        <v>12</v>
      </c>
    </row>
    <row r="6370" spans="1:10" x14ac:dyDescent="0.25">
      <c r="A6370" s="2">
        <v>29.349023699668201</v>
      </c>
      <c r="B6370" s="3">
        <v>-0.58735095938968396</v>
      </c>
      <c r="C6370" s="3">
        <v>1.5882695330839199E-2</v>
      </c>
      <c r="D6370" s="4">
        <v>3.79047261193452E-2</v>
      </c>
      <c r="E6370" s="3" t="s">
        <v>16529</v>
      </c>
      <c r="F6370" s="3" t="s">
        <v>16530</v>
      </c>
      <c r="G6370" s="3" t="s">
        <v>83</v>
      </c>
      <c r="H6370" s="7" t="str">
        <f>HYPERLINK("http://www.ensembl.org/Mus_musculus/Gene/Summary?db=core;g=ENSMUSG00000097743","ENSMUSG00000097743")</f>
        <v>ENSMUSG00000097743</v>
      </c>
      <c r="I6370" s="7" t="str">
        <f>HYPERLINK("http://www.informatics.jax.org/marker/MGI:4439897","MGI:4439897")</f>
        <v>MGI:4439897</v>
      </c>
      <c r="J6370" s="4" t="s">
        <v>939</v>
      </c>
    </row>
    <row r="6371" spans="1:10" x14ac:dyDescent="0.25">
      <c r="A6371" s="2">
        <v>44.304983579472903</v>
      </c>
      <c r="B6371" s="3">
        <v>-0.58737516633878695</v>
      </c>
      <c r="C6371" s="3">
        <v>4.1045938719010498E-3</v>
      </c>
      <c r="D6371" s="4">
        <v>1.10336138432237E-2</v>
      </c>
      <c r="E6371" s="3" t="s">
        <v>14675</v>
      </c>
      <c r="F6371" s="3" t="s">
        <v>14676</v>
      </c>
      <c r="G6371" s="3" t="s">
        <v>83</v>
      </c>
      <c r="H6371" s="7" t="str">
        <f>HYPERLINK("http://www.ensembl.org/Mus_musculus/Gene/Summary?db=core;g=ENSMUSG00000102101","ENSMUSG00000102101")</f>
        <v>ENSMUSG00000102101</v>
      </c>
      <c r="I6371" s="7" t="str">
        <f>HYPERLINK("http://www.informatics.jax.org/marker/MGI:1913641","MGI:1913641")</f>
        <v>MGI:1913641</v>
      </c>
      <c r="J6371" s="4" t="s">
        <v>932</v>
      </c>
    </row>
    <row r="6372" spans="1:10" x14ac:dyDescent="0.25">
      <c r="A6372" s="2">
        <v>1019.00196746528</v>
      </c>
      <c r="B6372" s="3">
        <v>-0.587577250621372</v>
      </c>
      <c r="C6372" s="5">
        <v>1.8173234963266E-17</v>
      </c>
      <c r="D6372" s="6">
        <v>1.5913685323073E-16</v>
      </c>
      <c r="E6372" s="3" t="s">
        <v>4521</v>
      </c>
      <c r="F6372" s="3" t="s">
        <v>4522</v>
      </c>
      <c r="G6372" s="3">
        <v>15107</v>
      </c>
      <c r="H6372" s="7" t="str">
        <f>HYPERLINK("http://www.ensembl.org/Mus_musculus/Gene/Summary?db=core;g=ENSMUSG00000027984","ENSMUSG00000027984")</f>
        <v>ENSMUSG00000027984</v>
      </c>
      <c r="I6372" s="7" t="str">
        <f>HYPERLINK("http://www.informatics.jax.org/marker/MGI:96009","MGI:96009")</f>
        <v>MGI:96009</v>
      </c>
      <c r="J6372" s="4" t="s">
        <v>12</v>
      </c>
    </row>
    <row r="6373" spans="1:10" x14ac:dyDescent="0.25">
      <c r="A6373" s="2">
        <v>3629.5694433572298</v>
      </c>
      <c r="B6373" s="3">
        <v>-0.587810976438361</v>
      </c>
      <c r="C6373" s="5">
        <v>1.223224925181E-35</v>
      </c>
      <c r="D6373" s="6">
        <v>2.16534968802238E-34</v>
      </c>
      <c r="E6373" s="3" t="s">
        <v>2245</v>
      </c>
      <c r="F6373" s="3" t="s">
        <v>2246</v>
      </c>
      <c r="G6373" s="3">
        <v>110147</v>
      </c>
      <c r="H6373" s="7" t="str">
        <f>HYPERLINK("http://www.ensembl.org/Mus_musculus/Gene/Summary?db=core;g=ENSMUSG00000013787","ENSMUSG00000013787")</f>
        <v>ENSMUSG00000013787</v>
      </c>
      <c r="I6373" s="7" t="str">
        <f>HYPERLINK("http://www.informatics.jax.org/marker/MGI:2148922","MGI:2148922")</f>
        <v>MGI:2148922</v>
      </c>
      <c r="J6373" s="4" t="s">
        <v>12</v>
      </c>
    </row>
    <row r="6374" spans="1:10" x14ac:dyDescent="0.25">
      <c r="A6374" s="2">
        <v>68.289809802529106</v>
      </c>
      <c r="B6374" s="3">
        <v>-0.58861595930349597</v>
      </c>
      <c r="C6374" s="3">
        <v>2.7547380987151001E-4</v>
      </c>
      <c r="D6374" s="4">
        <v>8.7731646167089504E-4</v>
      </c>
      <c r="E6374" s="3" t="s">
        <v>12396</v>
      </c>
      <c r="F6374" s="3" t="s">
        <v>12397</v>
      </c>
      <c r="G6374" s="3">
        <v>67164</v>
      </c>
      <c r="H6374" s="7" t="str">
        <f>HYPERLINK("http://www.ensembl.org/Mus_musculus/Gene/Summary?db=core;g=ENSMUSG00000030725","ENSMUSG00000030725")</f>
        <v>ENSMUSG00000030725</v>
      </c>
      <c r="I6374" s="7" t="str">
        <f>HYPERLINK("http://www.informatics.jax.org/marker/MGI:1914414","MGI:1914414")</f>
        <v>MGI:1914414</v>
      </c>
      <c r="J6374" s="4" t="s">
        <v>12</v>
      </c>
    </row>
    <row r="6375" spans="1:10" x14ac:dyDescent="0.25">
      <c r="A6375" s="2">
        <v>351.169169366353</v>
      </c>
      <c r="B6375" s="3">
        <v>-0.58862162921875505</v>
      </c>
      <c r="C6375" s="5">
        <v>2.27509442664121E-11</v>
      </c>
      <c r="D6375" s="6">
        <v>1.38857511895279E-10</v>
      </c>
      <c r="E6375" s="3" t="s">
        <v>6479</v>
      </c>
      <c r="F6375" s="3" t="s">
        <v>6480</v>
      </c>
      <c r="G6375" s="3">
        <v>381668</v>
      </c>
      <c r="H6375" s="7" t="str">
        <f>HYPERLINK("http://www.ensembl.org/Mus_musculus/Gene/Summary?db=core;g=ENSMUSG00000043323","ENSMUSG00000043323")</f>
        <v>ENSMUSG00000043323</v>
      </c>
      <c r="I6375" s="7" t="str">
        <f>HYPERLINK("http://www.informatics.jax.org/marker/MGI:1920907","MGI:1920907")</f>
        <v>MGI:1920907</v>
      </c>
      <c r="J6375" s="4" t="s">
        <v>12</v>
      </c>
    </row>
    <row r="6376" spans="1:10" x14ac:dyDescent="0.25">
      <c r="A6376" s="2">
        <v>2861.7409607680202</v>
      </c>
      <c r="B6376" s="3">
        <v>-0.58894252948674297</v>
      </c>
      <c r="C6376" s="5">
        <v>2.24572164342552E-10</v>
      </c>
      <c r="D6376" s="6">
        <v>1.27074980798712E-9</v>
      </c>
      <c r="E6376" s="3" t="s">
        <v>6988</v>
      </c>
      <c r="F6376" s="3" t="s">
        <v>6989</v>
      </c>
      <c r="G6376" s="3">
        <v>207592</v>
      </c>
      <c r="H6376" s="7" t="str">
        <f>HYPERLINK("http://www.ensembl.org/Mus_musculus/Gene/Summary?db=core;g=ENSMUSG00000039976","ENSMUSG00000039976")</f>
        <v>ENSMUSG00000039976</v>
      </c>
      <c r="I6376" s="7" t="str">
        <f>HYPERLINK("http://www.informatics.jax.org/marker/MGI:2652878","MGI:2652878")</f>
        <v>MGI:2652878</v>
      </c>
      <c r="J6376" s="4" t="s">
        <v>12</v>
      </c>
    </row>
    <row r="6377" spans="1:10" x14ac:dyDescent="0.25">
      <c r="A6377" s="2">
        <v>141.84623600716199</v>
      </c>
      <c r="B6377" s="3">
        <v>-0.58957758295351204</v>
      </c>
      <c r="C6377" s="5">
        <v>3.77462140384553E-6</v>
      </c>
      <c r="D6377" s="6">
        <v>1.475139399204E-5</v>
      </c>
      <c r="E6377" s="3" t="s">
        <v>10108</v>
      </c>
      <c r="F6377" s="3" t="s">
        <v>10109</v>
      </c>
      <c r="G6377" s="3">
        <v>116972</v>
      </c>
      <c r="H6377" s="7" t="str">
        <f>HYPERLINK("http://www.ensembl.org/Mus_musculus/Gene/Summary?db=core;g=ENSMUSG00000069808","ENSMUSG00000069808")</f>
        <v>ENSMUSG00000069808</v>
      </c>
      <c r="I6377" s="7" t="str">
        <f>HYPERLINK("http://www.informatics.jax.org/marker/MGI:2151840","MGI:2151840")</f>
        <v>MGI:2151840</v>
      </c>
      <c r="J6377" s="4" t="s">
        <v>12</v>
      </c>
    </row>
    <row r="6378" spans="1:10" x14ac:dyDescent="0.25">
      <c r="A6378" s="2">
        <v>90.452847529840497</v>
      </c>
      <c r="B6378" s="3">
        <v>-0.58971634643983994</v>
      </c>
      <c r="C6378" s="5">
        <v>3.0047394942352299E-5</v>
      </c>
      <c r="D6378" s="4">
        <v>1.07304351369646E-4</v>
      </c>
      <c r="E6378" s="3" t="s">
        <v>11056</v>
      </c>
      <c r="F6378" s="3" t="s">
        <v>11057</v>
      </c>
      <c r="G6378" s="3">
        <v>18551</v>
      </c>
      <c r="H6378" s="7" t="str">
        <f>HYPERLINK("http://www.ensembl.org/Mus_musculus/Gene/Summary?db=core;g=ENSMUSG00000020131","ENSMUSG00000020131")</f>
        <v>ENSMUSG00000020131</v>
      </c>
      <c r="I6378" s="7" t="str">
        <f>HYPERLINK("http://www.informatics.jax.org/marker/MGI:97514","MGI:97514")</f>
        <v>MGI:97514</v>
      </c>
      <c r="J6378" s="4" t="s">
        <v>12</v>
      </c>
    </row>
    <row r="6379" spans="1:10" x14ac:dyDescent="0.25">
      <c r="A6379" s="2">
        <v>162.810350266489</v>
      </c>
      <c r="B6379" s="3">
        <v>-0.58975860054482898</v>
      </c>
      <c r="C6379" s="5">
        <v>5.01077875700625E-8</v>
      </c>
      <c r="D6379" s="6">
        <v>2.32828833855238E-7</v>
      </c>
      <c r="E6379" s="3" t="s">
        <v>8505</v>
      </c>
      <c r="F6379" s="3" t="s">
        <v>8506</v>
      </c>
      <c r="G6379" s="3">
        <v>207683</v>
      </c>
      <c r="H6379" s="7" t="str">
        <f>HYPERLINK("http://www.ensembl.org/Mus_musculus/Gene/Summary?db=core;g=ENSMUSG00000022790","ENSMUSG00000022790")</f>
        <v>ENSMUSG00000022790</v>
      </c>
      <c r="I6379" s="7" t="str">
        <f>HYPERLINK("http://www.informatics.jax.org/marker/MGI:2388477","MGI:2388477")</f>
        <v>MGI:2388477</v>
      </c>
      <c r="J6379" s="4" t="s">
        <v>12</v>
      </c>
    </row>
    <row r="6380" spans="1:10" x14ac:dyDescent="0.25">
      <c r="A6380" s="2">
        <v>444.12475849446798</v>
      </c>
      <c r="B6380" s="3">
        <v>-0.58994868276725498</v>
      </c>
      <c r="C6380" s="5">
        <v>3.9347388231509899E-10</v>
      </c>
      <c r="D6380" s="6">
        <v>2.1765231302254501E-9</v>
      </c>
      <c r="E6380" s="3" t="s">
        <v>7148</v>
      </c>
      <c r="F6380" s="3" t="s">
        <v>7149</v>
      </c>
      <c r="G6380" s="3">
        <v>12663</v>
      </c>
      <c r="H6380" s="7" t="str">
        <f>HYPERLINK("http://www.ensembl.org/Mus_musculus/Gene/Summary?db=core;g=ENSMUSG00000078185","ENSMUSG00000078185")</f>
        <v>ENSMUSG00000078185</v>
      </c>
      <c r="I6380" s="7" t="str">
        <f>HYPERLINK("http://www.informatics.jax.org/marker/MGI:101913","MGI:101913")</f>
        <v>MGI:101913</v>
      </c>
      <c r="J6380" s="4" t="s">
        <v>12</v>
      </c>
    </row>
    <row r="6381" spans="1:10" x14ac:dyDescent="0.25">
      <c r="A6381" s="2">
        <v>122.989266389056</v>
      </c>
      <c r="B6381" s="3">
        <v>-0.59045349391271296</v>
      </c>
      <c r="C6381" s="5">
        <v>4.4427431438668698E-6</v>
      </c>
      <c r="D6381" s="6">
        <v>1.7239451947472399E-5</v>
      </c>
      <c r="E6381" s="3" t="s">
        <v>10178</v>
      </c>
      <c r="F6381" s="3" t="s">
        <v>10179</v>
      </c>
      <c r="G6381" s="3">
        <v>74043</v>
      </c>
      <c r="H6381" s="7" t="str">
        <f>HYPERLINK("http://www.ensembl.org/Mus_musculus/Gene/Summary?db=core;g=ENSMUSG00000067825","ENSMUSG00000067825")</f>
        <v>ENSMUSG00000067825</v>
      </c>
      <c r="I6381" s="7" t="str">
        <f>HYPERLINK("http://www.informatics.jax.org/marker/MGI:1921293","MGI:1921293")</f>
        <v>MGI:1921293</v>
      </c>
      <c r="J6381" s="4" t="s">
        <v>12</v>
      </c>
    </row>
    <row r="6382" spans="1:10" x14ac:dyDescent="0.25">
      <c r="A6382" s="2">
        <v>421.531905997791</v>
      </c>
      <c r="B6382" s="3">
        <v>-0.59080134730560496</v>
      </c>
      <c r="C6382" s="5">
        <v>3.5322484698592903E-17</v>
      </c>
      <c r="D6382" s="6">
        <v>3.0444029644067002E-16</v>
      </c>
      <c r="E6382" s="3" t="s">
        <v>4593</v>
      </c>
      <c r="F6382" s="3" t="s">
        <v>4594</v>
      </c>
      <c r="G6382" s="3">
        <v>192287</v>
      </c>
      <c r="H6382" s="7" t="str">
        <f>HYPERLINK("http://www.ensembl.org/Mus_musculus/Gene/Summary?db=core;g=ENSMUSG00000032449","ENSMUSG00000032449")</f>
        <v>ENSMUSG00000032449</v>
      </c>
      <c r="I6382" s="7" t="str">
        <f>HYPERLINK("http://www.informatics.jax.org/marker/MGI:1924909","MGI:1924909")</f>
        <v>MGI:1924909</v>
      </c>
      <c r="J6382" s="4" t="s">
        <v>12</v>
      </c>
    </row>
    <row r="6383" spans="1:10" x14ac:dyDescent="0.25">
      <c r="A6383" s="2">
        <v>555.29362785304897</v>
      </c>
      <c r="B6383" s="3">
        <v>-0.59085198402482697</v>
      </c>
      <c r="C6383" s="5">
        <v>3.4790233649828798E-18</v>
      </c>
      <c r="D6383" s="6">
        <v>3.1688840996518502E-17</v>
      </c>
      <c r="E6383" s="3" t="s">
        <v>4347</v>
      </c>
      <c r="F6383" s="3" t="s">
        <v>4348</v>
      </c>
      <c r="G6383" s="3">
        <v>20851</v>
      </c>
      <c r="H6383" s="7" t="str">
        <f>HYPERLINK("http://www.ensembl.org/Mus_musculus/Gene/Summary?db=core;g=ENSMUSG00000020919","ENSMUSG00000020919")</f>
        <v>ENSMUSG00000020919</v>
      </c>
      <c r="I6383" s="7" t="str">
        <f>HYPERLINK("http://www.informatics.jax.org/marker/MGI:103035","MGI:103035")</f>
        <v>MGI:103035</v>
      </c>
      <c r="J6383" s="4" t="s">
        <v>12</v>
      </c>
    </row>
    <row r="6384" spans="1:10" x14ac:dyDescent="0.25">
      <c r="A6384" s="2">
        <v>1410.1121514598999</v>
      </c>
      <c r="B6384" s="3">
        <v>-0.59134860593216498</v>
      </c>
      <c r="C6384" s="5">
        <v>1.5253253056966201E-14</v>
      </c>
      <c r="D6384" s="6">
        <v>1.1437039934729E-13</v>
      </c>
      <c r="E6384" s="3" t="s">
        <v>5277</v>
      </c>
      <c r="F6384" s="3" t="s">
        <v>5278</v>
      </c>
      <c r="G6384" s="3">
        <v>70799</v>
      </c>
      <c r="H6384" s="7" t="str">
        <f>HYPERLINK("http://www.ensembl.org/Mus_musculus/Gene/Summary?db=core;g=ENSMUSG00000024542","ENSMUSG00000024542")</f>
        <v>ENSMUSG00000024542</v>
      </c>
      <c r="I6384" s="7" t="str">
        <f>HYPERLINK("http://www.informatics.jax.org/marker/MGI:1918049","MGI:1918049")</f>
        <v>MGI:1918049</v>
      </c>
      <c r="J6384" s="4" t="s">
        <v>12</v>
      </c>
    </row>
    <row r="6385" spans="1:10" x14ac:dyDescent="0.25">
      <c r="A6385" s="2">
        <v>335.64404504947998</v>
      </c>
      <c r="B6385" s="3">
        <v>-0.59140203538954095</v>
      </c>
      <c r="C6385" s="5">
        <v>4.72430351844849E-12</v>
      </c>
      <c r="D6385" s="6">
        <v>3.03562285382223E-11</v>
      </c>
      <c r="E6385" s="3" t="s">
        <v>6155</v>
      </c>
      <c r="F6385" s="3" t="s">
        <v>6156</v>
      </c>
      <c r="G6385" s="3">
        <v>56695</v>
      </c>
      <c r="H6385" s="7" t="str">
        <f>HYPERLINK("http://www.ensembl.org/Mus_musculus/Gene/Summary?db=core;g=ENSMUSG00000026179","ENSMUSG00000026179")</f>
        <v>ENSMUSG00000026179</v>
      </c>
      <c r="I6385" s="7" t="str">
        <f>HYPERLINK("http://www.informatics.jax.org/marker/MGI:1930773","MGI:1930773")</f>
        <v>MGI:1930773</v>
      </c>
      <c r="J6385" s="4" t="s">
        <v>12</v>
      </c>
    </row>
    <row r="6386" spans="1:10" x14ac:dyDescent="0.25">
      <c r="A6386" s="2">
        <v>548.28768000021296</v>
      </c>
      <c r="B6386" s="3">
        <v>-0.59154085730830197</v>
      </c>
      <c r="C6386" s="5">
        <v>2.1960808135371998E-12</v>
      </c>
      <c r="D6386" s="6">
        <v>1.4450021235553401E-11</v>
      </c>
      <c r="E6386" s="3" t="s">
        <v>6011</v>
      </c>
      <c r="F6386" s="3" t="s">
        <v>6012</v>
      </c>
      <c r="G6386" s="3">
        <v>328580</v>
      </c>
      <c r="H6386" s="7" t="str">
        <f>HYPERLINK("http://www.ensembl.org/Mus_musculus/Gene/Summary?db=core;g=ENSMUSG00000051786","ENSMUSG00000051786")</f>
        <v>ENSMUSG00000051786</v>
      </c>
      <c r="I6386" s="7" t="str">
        <f>HYPERLINK("http://www.informatics.jax.org/marker/MGI:2146071","MGI:2146071")</f>
        <v>MGI:2146071</v>
      </c>
      <c r="J6386" s="4" t="s">
        <v>12</v>
      </c>
    </row>
    <row r="6387" spans="1:10" x14ac:dyDescent="0.25">
      <c r="A6387" s="2">
        <v>29.018593768449499</v>
      </c>
      <c r="B6387" s="3">
        <v>-0.59161504745256999</v>
      </c>
      <c r="C6387" s="3">
        <v>7.1587881618933799E-3</v>
      </c>
      <c r="D6387" s="4">
        <v>1.835061777623E-2</v>
      </c>
      <c r="E6387" s="3" t="s">
        <v>15391</v>
      </c>
      <c r="F6387" s="3" t="s">
        <v>15392</v>
      </c>
      <c r="G6387" s="3" t="s">
        <v>83</v>
      </c>
      <c r="H6387" s="7" t="str">
        <f>HYPERLINK("http://www.ensembl.org/Mus_musculus/Gene/Summary?db=core;g=ENSMUSG00000084910","ENSMUSG00000084910")</f>
        <v>ENSMUSG00000084910</v>
      </c>
      <c r="I6387" s="7" t="str">
        <f>HYPERLINK("http://www.informatics.jax.org/marker/MGI:1915535","MGI:1915535")</f>
        <v>MGI:1915535</v>
      </c>
      <c r="J6387" s="4" t="s">
        <v>331</v>
      </c>
    </row>
    <row r="6388" spans="1:10" x14ac:dyDescent="0.25">
      <c r="A6388" s="2">
        <v>941.79323884792996</v>
      </c>
      <c r="B6388" s="3">
        <v>-0.59192809272353097</v>
      </c>
      <c r="C6388" s="5">
        <v>3.0136819733643201E-14</v>
      </c>
      <c r="D6388" s="6">
        <v>2.2191862776230199E-13</v>
      </c>
      <c r="E6388" s="3" t="s">
        <v>5373</v>
      </c>
      <c r="F6388" s="3" t="s">
        <v>5374</v>
      </c>
      <c r="G6388" s="3">
        <v>12912</v>
      </c>
      <c r="H6388" s="7" t="str">
        <f>HYPERLINK("http://www.ensembl.org/Mus_musculus/Gene/Summary?db=core;g=ENSMUSG00000025958","ENSMUSG00000025958")</f>
        <v>ENSMUSG00000025958</v>
      </c>
      <c r="I6388" s="7" t="str">
        <f>HYPERLINK("http://www.informatics.jax.org/marker/MGI:88494","MGI:88494")</f>
        <v>MGI:88494</v>
      </c>
      <c r="J6388" s="4" t="s">
        <v>12</v>
      </c>
    </row>
    <row r="6389" spans="1:10" x14ac:dyDescent="0.25">
      <c r="A6389" s="2">
        <v>91.327156636217396</v>
      </c>
      <c r="B6389" s="3">
        <v>-0.59193045494272301</v>
      </c>
      <c r="C6389" s="5">
        <v>1.5004882182514401E-5</v>
      </c>
      <c r="D6389" s="6">
        <v>5.5318055083040703E-5</v>
      </c>
      <c r="E6389" s="3" t="s">
        <v>10710</v>
      </c>
      <c r="F6389" s="3" t="s">
        <v>10711</v>
      </c>
      <c r="G6389" s="3">
        <v>72899</v>
      </c>
      <c r="H6389" s="7" t="str">
        <f>HYPERLINK("http://www.ensembl.org/Mus_musculus/Gene/Summary?db=core;g=ENSMUSG00000068205","ENSMUSG00000068205")</f>
        <v>ENSMUSG00000068205</v>
      </c>
      <c r="I6389" s="7" t="str">
        <f>HYPERLINK("http://www.informatics.jax.org/marker/MGI:1920149","MGI:1920149")</f>
        <v>MGI:1920149</v>
      </c>
      <c r="J6389" s="4" t="s">
        <v>12</v>
      </c>
    </row>
    <row r="6390" spans="1:10" x14ac:dyDescent="0.25">
      <c r="A6390" s="2">
        <v>449.13403358190698</v>
      </c>
      <c r="B6390" s="3">
        <v>-0.59201341431761101</v>
      </c>
      <c r="C6390" s="5">
        <v>3.2964267356321801E-14</v>
      </c>
      <c r="D6390" s="6">
        <v>2.4228675075164602E-13</v>
      </c>
      <c r="E6390" s="3" t="s">
        <v>5383</v>
      </c>
      <c r="F6390" s="3" t="s">
        <v>5384</v>
      </c>
      <c r="G6390" s="3">
        <v>66659</v>
      </c>
      <c r="H6390" s="7" t="str">
        <f>HYPERLINK("http://www.ensembl.org/Mus_musculus/Gene/Summary?db=core;g=ENSMUSG00000028093","ENSMUSG00000028093")</f>
        <v>ENSMUSG00000028093</v>
      </c>
      <c r="I6390" s="7" t="str">
        <f>HYPERLINK("http://www.informatics.jax.org/marker/MGI:1931010","MGI:1931010")</f>
        <v>MGI:1931010</v>
      </c>
      <c r="J6390" s="4" t="s">
        <v>12</v>
      </c>
    </row>
    <row r="6391" spans="1:10" x14ac:dyDescent="0.25">
      <c r="A6391" s="2">
        <v>384.10873566582899</v>
      </c>
      <c r="B6391" s="3">
        <v>-0.59208475873665201</v>
      </c>
      <c r="C6391" s="5">
        <v>1.38732738615923E-9</v>
      </c>
      <c r="D6391" s="6">
        <v>7.3543268965215103E-9</v>
      </c>
      <c r="E6391" s="3" t="s">
        <v>7458</v>
      </c>
      <c r="F6391" s="3" t="s">
        <v>7459</v>
      </c>
      <c r="G6391" s="3">
        <v>72440</v>
      </c>
      <c r="H6391" s="7" t="str">
        <f>HYPERLINK("http://www.ensembl.org/Mus_musculus/Gene/Summary?db=core;g=ENSMUSG00000048668","ENSMUSG00000048668")</f>
        <v>ENSMUSG00000048668</v>
      </c>
      <c r="I6391" s="7" t="str">
        <f>HYPERLINK("http://www.informatics.jax.org/marker/MGI:1915315","MGI:1915315")</f>
        <v>MGI:1915315</v>
      </c>
      <c r="J6391" s="4" t="s">
        <v>12</v>
      </c>
    </row>
    <row r="6392" spans="1:10" x14ac:dyDescent="0.25">
      <c r="A6392" s="2">
        <v>1167.91948035613</v>
      </c>
      <c r="B6392" s="3">
        <v>-0.59219069930706603</v>
      </c>
      <c r="C6392" s="5">
        <v>3.50976521305839E-13</v>
      </c>
      <c r="D6392" s="6">
        <v>2.4217134360220901E-12</v>
      </c>
      <c r="E6392" s="3" t="s">
        <v>5733</v>
      </c>
      <c r="F6392" s="3" t="s">
        <v>5734</v>
      </c>
      <c r="G6392" s="3">
        <v>55982</v>
      </c>
      <c r="H6392" s="7" t="str">
        <f>HYPERLINK("http://www.ensembl.org/Mus_musculus/Gene/Summary?db=core;g=ENSMUSG00000002221","ENSMUSG00000002221")</f>
        <v>ENSMUSG00000002221</v>
      </c>
      <c r="I6392" s="7" t="str">
        <f>HYPERLINK("http://www.informatics.jax.org/marker/MGI:1890430","MGI:1890430")</f>
        <v>MGI:1890430</v>
      </c>
      <c r="J6392" s="4" t="s">
        <v>12</v>
      </c>
    </row>
    <row r="6393" spans="1:10" x14ac:dyDescent="0.25">
      <c r="A6393" s="2">
        <v>437.60221711761898</v>
      </c>
      <c r="B6393" s="3">
        <v>-0.59296267203481601</v>
      </c>
      <c r="C6393" s="5">
        <v>3.4560588868592198E-7</v>
      </c>
      <c r="D6393" s="6">
        <v>1.4982079852465101E-6</v>
      </c>
      <c r="E6393" s="3" t="s">
        <v>9113</v>
      </c>
      <c r="F6393" s="3" t="s">
        <v>9114</v>
      </c>
      <c r="G6393" s="3">
        <v>19724</v>
      </c>
      <c r="H6393" s="7" t="str">
        <f>HYPERLINK("http://www.ensembl.org/Mus_musculus/Gene/Summary?db=core;g=ENSMUSG00000031706","ENSMUSG00000031706")</f>
        <v>ENSMUSG00000031706</v>
      </c>
      <c r="I6393" s="7" t="str">
        <f>HYPERLINK("http://www.informatics.jax.org/marker/MGI:105982","MGI:105982")</f>
        <v>MGI:105982</v>
      </c>
      <c r="J6393" s="4" t="s">
        <v>12</v>
      </c>
    </row>
    <row r="6394" spans="1:10" x14ac:dyDescent="0.25">
      <c r="A6394" s="2">
        <v>62.002678092767503</v>
      </c>
      <c r="B6394" s="3">
        <v>-0.59303483418888603</v>
      </c>
      <c r="C6394" s="3">
        <v>1.11533652393051E-4</v>
      </c>
      <c r="D6394" s="4">
        <v>3.7392785195358198E-4</v>
      </c>
      <c r="E6394" s="3" t="s">
        <v>11775</v>
      </c>
      <c r="F6394" s="3" t="s">
        <v>11776</v>
      </c>
      <c r="G6394" s="3">
        <v>72307</v>
      </c>
      <c r="H6394" s="7" t="str">
        <f>HYPERLINK("http://www.ensembl.org/Mus_musculus/Gene/Summary?db=core;g=ENSMUSG00000071632","ENSMUSG00000071632")</f>
        <v>ENSMUSG00000071632</v>
      </c>
      <c r="I6394" s="7" t="str">
        <f>HYPERLINK("http://www.informatics.jax.org/marker/MGI:1919557","MGI:1919557")</f>
        <v>MGI:1919557</v>
      </c>
      <c r="J6394" s="4" t="s">
        <v>12</v>
      </c>
    </row>
    <row r="6395" spans="1:10" x14ac:dyDescent="0.25">
      <c r="A6395" s="2">
        <v>80.027646824392306</v>
      </c>
      <c r="B6395" s="3">
        <v>-0.59431203297600199</v>
      </c>
      <c r="C6395" s="5">
        <v>3.8322207085439302E-5</v>
      </c>
      <c r="D6395" s="4">
        <v>1.3526291815372501E-4</v>
      </c>
      <c r="E6395" s="3" t="s">
        <v>11185</v>
      </c>
      <c r="F6395" s="3" t="s">
        <v>11186</v>
      </c>
      <c r="G6395" s="3">
        <v>244721</v>
      </c>
      <c r="H6395" s="7" t="str">
        <f>HYPERLINK("http://www.ensembl.org/Mus_musculus/Gene/Summary?db=core;g=ENSMUSG00000058192","ENSMUSG00000058192")</f>
        <v>ENSMUSG00000058192</v>
      </c>
      <c r="I6395" s="7" t="str">
        <f>HYPERLINK("http://www.informatics.jax.org/marker/MGI:1924012","MGI:1924012")</f>
        <v>MGI:1924012</v>
      </c>
      <c r="J6395" s="4" t="s">
        <v>12</v>
      </c>
    </row>
    <row r="6396" spans="1:10" x14ac:dyDescent="0.25">
      <c r="A6396" s="2">
        <v>1235.0253282773201</v>
      </c>
      <c r="B6396" s="3">
        <v>-0.59447497365394097</v>
      </c>
      <c r="C6396" s="5">
        <v>5.5817483235563297E-5</v>
      </c>
      <c r="D6396" s="4">
        <v>1.93618429095041E-4</v>
      </c>
      <c r="E6396" s="3" t="s">
        <v>11381</v>
      </c>
      <c r="F6396" s="3" t="s">
        <v>11382</v>
      </c>
      <c r="G6396" s="3">
        <v>64009</v>
      </c>
      <c r="H6396" s="7" t="str">
        <f>HYPERLINK("http://www.ensembl.org/Mus_musculus/Gene/Summary?db=core;g=ENSMUSG00000096054","ENSMUSG00000096054")</f>
        <v>ENSMUSG00000096054</v>
      </c>
      <c r="I6396" s="7" t="str">
        <f>HYPERLINK("http://www.informatics.jax.org/marker/MGI:1927152","MGI:1927152")</f>
        <v>MGI:1927152</v>
      </c>
      <c r="J6396" s="4" t="s">
        <v>12</v>
      </c>
    </row>
    <row r="6397" spans="1:10" x14ac:dyDescent="0.25">
      <c r="A6397" s="2">
        <v>291.54877172038402</v>
      </c>
      <c r="B6397" s="3">
        <v>-0.59498743468590798</v>
      </c>
      <c r="C6397" s="5">
        <v>1.07124270277497E-12</v>
      </c>
      <c r="D6397" s="6">
        <v>7.1731429876816097E-12</v>
      </c>
      <c r="E6397" s="3" t="s">
        <v>5907</v>
      </c>
      <c r="F6397" s="3" t="s">
        <v>5908</v>
      </c>
      <c r="G6397" s="3">
        <v>73828</v>
      </c>
      <c r="H6397" s="7" t="str">
        <f>HYPERLINK("http://www.ensembl.org/Mus_musculus/Gene/Summary?db=core;g=ENSMUSG00000021222","ENSMUSG00000021222")</f>
        <v>ENSMUSG00000021222</v>
      </c>
      <c r="I6397" s="7" t="str">
        <f>HYPERLINK("http://www.informatics.jax.org/marker/MGI:1921078","MGI:1921078")</f>
        <v>MGI:1921078</v>
      </c>
      <c r="J6397" s="4" t="s">
        <v>12</v>
      </c>
    </row>
    <row r="6398" spans="1:10" x14ac:dyDescent="0.25">
      <c r="A6398" s="2">
        <v>143.53215704862299</v>
      </c>
      <c r="B6398" s="3">
        <v>-0.59504643649505895</v>
      </c>
      <c r="C6398" s="5">
        <v>3.593808105935E-8</v>
      </c>
      <c r="D6398" s="6">
        <v>1.69261752684591E-7</v>
      </c>
      <c r="E6398" s="3" t="s">
        <v>8391</v>
      </c>
      <c r="F6398" s="3" t="s">
        <v>8392</v>
      </c>
      <c r="G6398" s="3">
        <v>108168101</v>
      </c>
      <c r="H6398" s="7" t="str">
        <f>HYPERLINK("http://www.ensembl.org/Mus_musculus/Gene/Summary?db=core;g=ENSMUSG00000113204","ENSMUSG00000113204")</f>
        <v>ENSMUSG00000113204</v>
      </c>
      <c r="I6398" s="7" t="str">
        <f>HYPERLINK("http://www.informatics.jax.org/marker/MGI:5826067","MGI:5826067")</f>
        <v>MGI:5826067</v>
      </c>
      <c r="J6398" s="4" t="s">
        <v>939</v>
      </c>
    </row>
    <row r="6399" spans="1:10" x14ac:dyDescent="0.25">
      <c r="A6399" s="2">
        <v>723.459796006739</v>
      </c>
      <c r="B6399" s="3">
        <v>-0.595224001143839</v>
      </c>
      <c r="C6399" s="5">
        <v>3.60400153648133E-15</v>
      </c>
      <c r="D6399" s="6">
        <v>2.7947664293909499E-14</v>
      </c>
      <c r="E6399" s="3" t="s">
        <v>5103</v>
      </c>
      <c r="F6399" s="3" t="s">
        <v>5104</v>
      </c>
      <c r="G6399" s="3">
        <v>80905</v>
      </c>
      <c r="H6399" s="7" t="str">
        <f>HYPERLINK("http://www.ensembl.org/Mus_musculus/Gene/Summary?db=core;g=ENSMUSG00000023953","ENSMUSG00000023953")</f>
        <v>ENSMUSG00000023953</v>
      </c>
      <c r="I6399" s="7" t="str">
        <f>HYPERLINK("http://www.informatics.jax.org/marker/MGI:1891457","MGI:1891457")</f>
        <v>MGI:1891457</v>
      </c>
      <c r="J6399" s="4" t="s">
        <v>12</v>
      </c>
    </row>
    <row r="6400" spans="1:10" x14ac:dyDescent="0.25">
      <c r="A6400" s="2">
        <v>619.35032117925198</v>
      </c>
      <c r="B6400" s="3">
        <v>-0.59632324972060102</v>
      </c>
      <c r="C6400" s="5">
        <v>1.04303937164569E-16</v>
      </c>
      <c r="D6400" s="6">
        <v>8.7340706619333096E-16</v>
      </c>
      <c r="E6400" s="3" t="s">
        <v>4727</v>
      </c>
      <c r="F6400" s="3" t="s">
        <v>4728</v>
      </c>
      <c r="G6400" s="3">
        <v>229725</v>
      </c>
      <c r="H6400" s="7" t="str">
        <f>HYPERLINK("http://www.ensembl.org/Mus_musculus/Gene/Summary?db=core;g=ENSMUSG00000027884","ENSMUSG00000027884")</f>
        <v>ENSMUSG00000027884</v>
      </c>
      <c r="I6400" s="7" t="str">
        <f>HYPERLINK("http://www.informatics.jax.org/marker/MGI:2385186","MGI:2385186")</f>
        <v>MGI:2385186</v>
      </c>
      <c r="J6400" s="4" t="s">
        <v>12</v>
      </c>
    </row>
    <row r="6401" spans="1:10" x14ac:dyDescent="0.25">
      <c r="A6401" s="2">
        <v>160.215779283964</v>
      </c>
      <c r="B6401" s="3">
        <v>-0.59648822051358596</v>
      </c>
      <c r="C6401" s="3">
        <v>1.8620890422996601E-4</v>
      </c>
      <c r="D6401" s="4">
        <v>6.0624724969703201E-4</v>
      </c>
      <c r="E6401" s="3" t="s">
        <v>12125</v>
      </c>
      <c r="F6401" s="3" t="s">
        <v>12126</v>
      </c>
      <c r="G6401" s="3">
        <v>76832</v>
      </c>
      <c r="H6401" s="7" t="str">
        <f>HYPERLINK("http://www.ensembl.org/Mus_musculus/Gene/Summary?db=core;g=ENSMUSG00000050555","ENSMUSG00000050555")</f>
        <v>ENSMUSG00000050555</v>
      </c>
      <c r="I6401" s="7" t="str">
        <f>HYPERLINK("http://www.informatics.jax.org/marker/MGI:1924082","MGI:1924082")</f>
        <v>MGI:1924082</v>
      </c>
      <c r="J6401" s="4" t="s">
        <v>12</v>
      </c>
    </row>
    <row r="6402" spans="1:10" x14ac:dyDescent="0.25">
      <c r="A6402" s="2">
        <v>145.78694538153701</v>
      </c>
      <c r="B6402" s="3">
        <v>-0.59656341858270001</v>
      </c>
      <c r="C6402" s="5">
        <v>5.8160543650521301E-8</v>
      </c>
      <c r="D6402" s="6">
        <v>2.6878976348448098E-7</v>
      </c>
      <c r="E6402" s="3" t="s">
        <v>8551</v>
      </c>
      <c r="F6402" s="3" t="s">
        <v>8552</v>
      </c>
      <c r="G6402" s="3">
        <v>68636</v>
      </c>
      <c r="H6402" s="7" t="str">
        <f>HYPERLINK("http://www.ensembl.org/Mus_musculus/Gene/Summary?db=core;g=ENSMUSG00000045316","ENSMUSG00000045316")</f>
        <v>ENSMUSG00000045316</v>
      </c>
      <c r="I6402" s="7" t="str">
        <f>HYPERLINK("http://www.informatics.jax.org/marker/MGI:1915886","MGI:1915886")</f>
        <v>MGI:1915886</v>
      </c>
      <c r="J6402" s="4" t="s">
        <v>12</v>
      </c>
    </row>
    <row r="6403" spans="1:10" x14ac:dyDescent="0.25">
      <c r="A6403" s="2">
        <v>4539.7772096526396</v>
      </c>
      <c r="B6403" s="3">
        <v>-0.59659859841292096</v>
      </c>
      <c r="C6403" s="5">
        <v>1.28434478776281E-14</v>
      </c>
      <c r="D6403" s="6">
        <v>9.6779821225382704E-14</v>
      </c>
      <c r="E6403" s="3" t="s">
        <v>5251</v>
      </c>
      <c r="F6403" s="3" t="s">
        <v>5252</v>
      </c>
      <c r="G6403" s="3">
        <v>67397</v>
      </c>
      <c r="H6403" s="7" t="str">
        <f>HYPERLINK("http://www.ensembl.org/Mus_musculus/Gene/Summary?db=core;g=ENSMUSG00000029616","ENSMUSG00000029616")</f>
        <v>ENSMUSG00000029616</v>
      </c>
      <c r="I6403" s="7" t="str">
        <f>HYPERLINK("http://www.informatics.jax.org/marker/MGI:1914647","MGI:1914647")</f>
        <v>MGI:1914647</v>
      </c>
      <c r="J6403" s="4" t="s">
        <v>12</v>
      </c>
    </row>
    <row r="6404" spans="1:10" x14ac:dyDescent="0.25">
      <c r="A6404" s="2">
        <v>903.156153481616</v>
      </c>
      <c r="B6404" s="3">
        <v>-0.59661947684975203</v>
      </c>
      <c r="C6404" s="5">
        <v>4.9162614657295999E-21</v>
      </c>
      <c r="D6404" s="6">
        <v>5.0838319928782297E-20</v>
      </c>
      <c r="E6404" s="3" t="s">
        <v>3832</v>
      </c>
      <c r="F6404" s="3" t="s">
        <v>3833</v>
      </c>
      <c r="G6404" s="3">
        <v>78885</v>
      </c>
      <c r="H6404" s="7" t="str">
        <f>HYPERLINK("http://www.ensembl.org/Mus_musculus/Gene/Summary?db=core;g=ENSMUSG00000039637","ENSMUSG00000039637")</f>
        <v>ENSMUSG00000039637</v>
      </c>
      <c r="I6404" s="7" t="str">
        <f>HYPERLINK("http://www.informatics.jax.org/marker/MGI:1926135","MGI:1926135")</f>
        <v>MGI:1926135</v>
      </c>
      <c r="J6404" s="4" t="s">
        <v>12</v>
      </c>
    </row>
    <row r="6405" spans="1:10" x14ac:dyDescent="0.25">
      <c r="A6405" s="2">
        <v>525.48013387301899</v>
      </c>
      <c r="B6405" s="3">
        <v>-0.59693139244663096</v>
      </c>
      <c r="C6405" s="5">
        <v>1.03607615416109E-7</v>
      </c>
      <c r="D6405" s="6">
        <v>4.6957990714908403E-7</v>
      </c>
      <c r="E6405" s="3" t="s">
        <v>8719</v>
      </c>
      <c r="F6405" s="3" t="s">
        <v>8720</v>
      </c>
      <c r="G6405" s="3">
        <v>66841</v>
      </c>
      <c r="H6405" s="7" t="str">
        <f>HYPERLINK("http://www.ensembl.org/Mus_musculus/Gene/Summary?db=core;g=ENSMUSG00000027809","ENSMUSG00000027809")</f>
        <v>ENSMUSG00000027809</v>
      </c>
      <c r="I6405" s="7" t="str">
        <f>HYPERLINK("http://www.informatics.jax.org/marker/MGI:106100","MGI:106100")</f>
        <v>MGI:106100</v>
      </c>
      <c r="J6405" s="4" t="s">
        <v>12</v>
      </c>
    </row>
    <row r="6406" spans="1:10" x14ac:dyDescent="0.25">
      <c r="A6406" s="2">
        <v>638.737972900008</v>
      </c>
      <c r="B6406" s="3">
        <v>-0.59730658175069196</v>
      </c>
      <c r="C6406" s="5">
        <v>4.0291094661461003E-15</v>
      </c>
      <c r="D6406" s="6">
        <v>3.1170670330483003E-14</v>
      </c>
      <c r="E6406" s="3" t="s">
        <v>5115</v>
      </c>
      <c r="F6406" s="3" t="s">
        <v>5116</v>
      </c>
      <c r="G6406" s="3">
        <v>223752</v>
      </c>
      <c r="H6406" s="7" t="str">
        <f>HYPERLINK("http://www.ensembl.org/Mus_musculus/Gene/Summary?db=core;g=ENSMUSG00000035900","ENSMUSG00000035900")</f>
        <v>ENSMUSG00000035900</v>
      </c>
      <c r="I6406" s="7" t="str">
        <f>HYPERLINK("http://www.informatics.jax.org/marker/MGI:2676308","MGI:2676308")</f>
        <v>MGI:2676308</v>
      </c>
      <c r="J6406" s="4" t="s">
        <v>12</v>
      </c>
    </row>
    <row r="6407" spans="1:10" x14ac:dyDescent="0.25">
      <c r="A6407" s="2">
        <v>297.00104543322601</v>
      </c>
      <c r="B6407" s="3">
        <v>-0.59761596481623003</v>
      </c>
      <c r="C6407" s="5">
        <v>9.5140053940749298E-10</v>
      </c>
      <c r="D6407" s="6">
        <v>5.1093732671883899E-9</v>
      </c>
      <c r="E6407" s="3" t="s">
        <v>7362</v>
      </c>
      <c r="F6407" s="3" t="s">
        <v>7363</v>
      </c>
      <c r="G6407" s="3">
        <v>72325</v>
      </c>
      <c r="H6407" s="7" t="str">
        <f>HYPERLINK("http://www.ensembl.org/Mus_musculus/Gene/Summary?db=core;g=ENSMUSG00000001062","ENSMUSG00000001062")</f>
        <v>ENSMUSG00000001062</v>
      </c>
      <c r="I6407" s="7" t="str">
        <f>HYPERLINK("http://www.informatics.jax.org/marker/MGI:1914143","MGI:1914143")</f>
        <v>MGI:1914143</v>
      </c>
      <c r="J6407" s="4" t="s">
        <v>12</v>
      </c>
    </row>
    <row r="6408" spans="1:10" x14ac:dyDescent="0.25">
      <c r="A6408" s="2">
        <v>594.87344983533205</v>
      </c>
      <c r="B6408" s="3">
        <v>-0.59783591837799499</v>
      </c>
      <c r="C6408" s="5">
        <v>4.1595968957841202E-7</v>
      </c>
      <c r="D6408" s="6">
        <v>1.78864480560102E-6</v>
      </c>
      <c r="E6408" s="3" t="s">
        <v>9187</v>
      </c>
      <c r="F6408" s="3" t="s">
        <v>9188</v>
      </c>
      <c r="G6408" s="3">
        <v>98952</v>
      </c>
      <c r="H6408" s="7" t="str">
        <f>HYPERLINK("http://www.ensembl.org/Mus_musculus/Gene/Summary?db=core;g=ENSMUSG00000039157","ENSMUSG00000039157")</f>
        <v>ENSMUSG00000039157</v>
      </c>
      <c r="I6408" s="7" t="str">
        <f>HYPERLINK("http://www.informatics.jax.org/marker/MGI:2138935","MGI:2138935")</f>
        <v>MGI:2138935</v>
      </c>
      <c r="J6408" s="4" t="s">
        <v>12</v>
      </c>
    </row>
    <row r="6409" spans="1:10" x14ac:dyDescent="0.25">
      <c r="A6409" s="2">
        <v>35.244729597339401</v>
      </c>
      <c r="B6409" s="3">
        <v>-0.59806136781618202</v>
      </c>
      <c r="C6409" s="3">
        <v>2.7597802287844101E-3</v>
      </c>
      <c r="D6409" s="4">
        <v>7.6211827631464104E-3</v>
      </c>
      <c r="E6409" s="3" t="s">
        <v>14287</v>
      </c>
      <c r="F6409" s="3" t="s">
        <v>14288</v>
      </c>
      <c r="G6409" s="3">
        <v>73582</v>
      </c>
      <c r="H6409" s="7" t="str">
        <f>HYPERLINK("http://www.ensembl.org/Mus_musculus/Gene/Summary?db=core;g=ENSMUSG00000071037","ENSMUSG00000071037")</f>
        <v>ENSMUSG00000071037</v>
      </c>
      <c r="I6409" s="7" t="str">
        <f>HYPERLINK("http://www.informatics.jax.org/marker/MGI:1920832","MGI:1920832")</f>
        <v>MGI:1920832</v>
      </c>
      <c r="J6409" s="4" t="s">
        <v>12</v>
      </c>
    </row>
    <row r="6410" spans="1:10" x14ac:dyDescent="0.25">
      <c r="A6410" s="2">
        <v>595.96067033799898</v>
      </c>
      <c r="B6410" s="3">
        <v>-0.59827078206805695</v>
      </c>
      <c r="C6410" s="5">
        <v>1.7539128632455401E-19</v>
      </c>
      <c r="D6410" s="6">
        <v>1.70380106715281E-18</v>
      </c>
      <c r="E6410" s="3" t="s">
        <v>4077</v>
      </c>
      <c r="F6410" s="3" t="s">
        <v>4078</v>
      </c>
      <c r="G6410" s="3">
        <v>21413</v>
      </c>
      <c r="H6410" s="7" t="str">
        <f>HYPERLINK("http://www.ensembl.org/Mus_musculus/Gene/Summary?db=core;g=ENSMUSG00000053477","ENSMUSG00000053477")</f>
        <v>ENSMUSG00000053477</v>
      </c>
      <c r="I6410" s="7" t="str">
        <f>HYPERLINK("http://www.informatics.jax.org/marker/MGI:98506","MGI:98506")</f>
        <v>MGI:98506</v>
      </c>
      <c r="J6410" s="4" t="s">
        <v>12</v>
      </c>
    </row>
    <row r="6411" spans="1:10" x14ac:dyDescent="0.25">
      <c r="A6411" s="2">
        <v>1069.7970047761</v>
      </c>
      <c r="B6411" s="3">
        <v>-0.59837471471952797</v>
      </c>
      <c r="C6411" s="5">
        <v>1.69742898557972E-22</v>
      </c>
      <c r="D6411" s="6">
        <v>1.8868827280514099E-21</v>
      </c>
      <c r="E6411" s="3" t="s">
        <v>3566</v>
      </c>
      <c r="F6411" s="3" t="s">
        <v>3567</v>
      </c>
      <c r="G6411" s="3">
        <v>98193</v>
      </c>
      <c r="H6411" s="7" t="str">
        <f>HYPERLINK("http://www.ensembl.org/Mus_musculus/Gene/Summary?db=core;g=ENSMUSG00000026554","ENSMUSG00000026554")</f>
        <v>ENSMUSG00000026554</v>
      </c>
      <c r="I6411" s="7" t="str">
        <f>HYPERLINK("http://www.informatics.jax.org/marker/MGI:91860","MGI:91860")</f>
        <v>MGI:91860</v>
      </c>
      <c r="J6411" s="4" t="s">
        <v>12</v>
      </c>
    </row>
    <row r="6412" spans="1:10" x14ac:dyDescent="0.25">
      <c r="A6412" s="2">
        <v>459.792890502641</v>
      </c>
      <c r="B6412" s="3">
        <v>-0.59883393745199998</v>
      </c>
      <c r="C6412" s="5">
        <v>7.7824140552841905E-11</v>
      </c>
      <c r="D6412" s="6">
        <v>4.5458887787382799E-10</v>
      </c>
      <c r="E6412" s="3" t="s">
        <v>6770</v>
      </c>
      <c r="F6412" s="3" t="s">
        <v>6771</v>
      </c>
      <c r="G6412" s="3">
        <v>225010</v>
      </c>
      <c r="H6412" s="7" t="str">
        <f>HYPERLINK("http://www.ensembl.org/Mus_musculus/Gene/Summary?db=core;g=ENSMUSG00000054469","ENSMUSG00000054469")</f>
        <v>ENSMUSG00000054469</v>
      </c>
      <c r="I6412" s="7" t="str">
        <f>HYPERLINK("http://www.informatics.jax.org/marker/MGI:2684937","MGI:2684937")</f>
        <v>MGI:2684937</v>
      </c>
      <c r="J6412" s="4" t="s">
        <v>12</v>
      </c>
    </row>
    <row r="6413" spans="1:10" x14ac:dyDescent="0.25">
      <c r="A6413" s="2">
        <v>108.80149578016</v>
      </c>
      <c r="B6413" s="3">
        <v>-0.59921177148747096</v>
      </c>
      <c r="C6413" s="3">
        <v>5.3004448413710697E-3</v>
      </c>
      <c r="D6413" s="4">
        <v>1.3949655981827999E-2</v>
      </c>
      <c r="E6413" s="3" t="s">
        <v>14990</v>
      </c>
      <c r="F6413" s="3" t="s">
        <v>14991</v>
      </c>
      <c r="G6413" s="3">
        <v>75480</v>
      </c>
      <c r="H6413" s="7" t="str">
        <f>HYPERLINK("http://www.ensembl.org/Mus_musculus/Gene/Summary?db=core;g=ENSMUSG00000038523","ENSMUSG00000038523")</f>
        <v>ENSMUSG00000038523</v>
      </c>
      <c r="I6413" s="7" t="str">
        <f>HYPERLINK("http://www.informatics.jax.org/marker/MGI:1922730","MGI:1922730")</f>
        <v>MGI:1922730</v>
      </c>
      <c r="J6413" s="4" t="s">
        <v>12</v>
      </c>
    </row>
    <row r="6414" spans="1:10" x14ac:dyDescent="0.25">
      <c r="A6414" s="2">
        <v>131.23266650388001</v>
      </c>
      <c r="B6414" s="3">
        <v>-0.59963480611231101</v>
      </c>
      <c r="C6414" s="5">
        <v>5.8907680969579601E-7</v>
      </c>
      <c r="D6414" s="6">
        <v>2.4981924058497002E-6</v>
      </c>
      <c r="E6414" s="3" t="s">
        <v>9315</v>
      </c>
      <c r="F6414" s="3" t="s">
        <v>9316</v>
      </c>
      <c r="G6414" s="3">
        <v>68240</v>
      </c>
      <c r="H6414" s="7" t="str">
        <f>HYPERLINK("http://www.ensembl.org/Mus_musculus/Gene/Summary?db=core;g=ENSMUSG00000012483","ENSMUSG00000012483")</f>
        <v>ENSMUSG00000012483</v>
      </c>
      <c r="I6414" s="7" t="str">
        <f>HYPERLINK("http://www.informatics.jax.org/marker/MGI:1915490","MGI:1915490")</f>
        <v>MGI:1915490</v>
      </c>
      <c r="J6414" s="4" t="s">
        <v>12</v>
      </c>
    </row>
    <row r="6415" spans="1:10" x14ac:dyDescent="0.25">
      <c r="A6415" s="2">
        <v>54.754431087345097</v>
      </c>
      <c r="B6415" s="3">
        <v>-0.59983901501480597</v>
      </c>
      <c r="C6415" s="3">
        <v>1.47653114993998E-4</v>
      </c>
      <c r="D6415" s="4">
        <v>4.87153994927494E-4</v>
      </c>
      <c r="E6415" s="3" t="s">
        <v>11965</v>
      </c>
      <c r="F6415" s="3" t="s">
        <v>11966</v>
      </c>
      <c r="G6415" s="3" t="s">
        <v>83</v>
      </c>
      <c r="H6415" s="7" t="str">
        <f>HYPERLINK("http://www.ensembl.org/Mus_musculus/Gene/Summary?db=core;g=ENSMUSG00000053714","ENSMUSG00000053714")</f>
        <v>ENSMUSG00000053714</v>
      </c>
      <c r="I6415" s="7" t="str">
        <f>HYPERLINK("http://www.informatics.jax.org/marker/MGI:3603586","MGI:3603586")</f>
        <v>MGI:3603586</v>
      </c>
      <c r="J6415" s="4" t="s">
        <v>932</v>
      </c>
    </row>
    <row r="6416" spans="1:10" x14ac:dyDescent="0.25">
      <c r="A6416" s="2">
        <v>176.681080005882</v>
      </c>
      <c r="B6416" s="3">
        <v>-0.59990028827016395</v>
      </c>
      <c r="C6416" s="5">
        <v>4.3812916832888602E-7</v>
      </c>
      <c r="D6416" s="6">
        <v>1.8790576771304101E-6</v>
      </c>
      <c r="E6416" s="3" t="s">
        <v>9211</v>
      </c>
      <c r="F6416" s="3" t="s">
        <v>9212</v>
      </c>
      <c r="G6416" s="3">
        <v>232933</v>
      </c>
      <c r="H6416" s="7" t="str">
        <f>HYPERLINK("http://www.ensembl.org/Mus_musculus/Gene/Summary?db=core;g=ENSMUSG00000074358","ENSMUSG00000074358")</f>
        <v>ENSMUSG00000074358</v>
      </c>
      <c r="I6416" s="7" t="str">
        <f>HYPERLINK("http://www.informatics.jax.org/marker/MGI:2685005","MGI:2685005")</f>
        <v>MGI:2685005</v>
      </c>
      <c r="J6416" s="4" t="s">
        <v>12</v>
      </c>
    </row>
    <row r="6417" spans="1:10" x14ac:dyDescent="0.25">
      <c r="A6417" s="2">
        <v>408.36039289975201</v>
      </c>
      <c r="B6417" s="3">
        <v>-0.60006558538357302</v>
      </c>
      <c r="C6417" s="5">
        <v>1.3918305718355399E-13</v>
      </c>
      <c r="D6417" s="6">
        <v>9.8446552642025698E-13</v>
      </c>
      <c r="E6417" s="3" t="s">
        <v>5593</v>
      </c>
      <c r="F6417" s="3" t="s">
        <v>5594</v>
      </c>
      <c r="G6417" s="3">
        <v>18768</v>
      </c>
      <c r="H6417" s="7" t="str">
        <f>HYPERLINK("http://www.ensembl.org/Mus_musculus/Gene/Summary?db=core;g=ENSMUSG00000019876","ENSMUSG00000019876")</f>
        <v>ENSMUSG00000019876</v>
      </c>
      <c r="I6417" s="7" t="str">
        <f>HYPERLINK("http://www.informatics.jax.org/marker/MGI:101937","MGI:101937")</f>
        <v>MGI:101937</v>
      </c>
      <c r="J6417" s="4" t="s">
        <v>12</v>
      </c>
    </row>
    <row r="6418" spans="1:10" x14ac:dyDescent="0.25">
      <c r="A6418" s="2">
        <v>689.06471038521602</v>
      </c>
      <c r="B6418" s="3">
        <v>-0.60026157512020495</v>
      </c>
      <c r="C6418" s="5">
        <v>4.35847585086309E-18</v>
      </c>
      <c r="D6418" s="6">
        <v>3.9462416794775102E-17</v>
      </c>
      <c r="E6418" s="3" t="s">
        <v>4373</v>
      </c>
      <c r="F6418" s="3" t="s">
        <v>4374</v>
      </c>
      <c r="G6418" s="3">
        <v>98766</v>
      </c>
      <c r="H6418" s="7" t="str">
        <f>HYPERLINK("http://www.ensembl.org/Mus_musculus/Gene/Summary?db=core;g=ENSMUSG00000036352","ENSMUSG00000036352")</f>
        <v>ENSMUSG00000036352</v>
      </c>
      <c r="I6418" s="7" t="str">
        <f>HYPERLINK("http://www.informatics.jax.org/marker/MGI:1920995","MGI:1920995")</f>
        <v>MGI:1920995</v>
      </c>
      <c r="J6418" s="4" t="s">
        <v>12</v>
      </c>
    </row>
    <row r="6419" spans="1:10" x14ac:dyDescent="0.25">
      <c r="A6419" s="2">
        <v>543.624385548703</v>
      </c>
      <c r="B6419" s="3">
        <v>-0.60056817187046696</v>
      </c>
      <c r="C6419" s="3">
        <v>4.37790799758901E-4</v>
      </c>
      <c r="D6419" s="4">
        <v>1.35700008979024E-3</v>
      </c>
      <c r="E6419" s="3" t="s">
        <v>12735</v>
      </c>
      <c r="F6419" s="3" t="s">
        <v>12736</v>
      </c>
      <c r="G6419" s="3">
        <v>50708</v>
      </c>
      <c r="H6419" s="7" t="str">
        <f>HYPERLINK("http://www.ensembl.org/Mus_musculus/Gene/Summary?db=core;g=ENSMUSG00000036181","ENSMUSG00000036181")</f>
        <v>ENSMUSG00000036181</v>
      </c>
      <c r="I6419" s="7" t="str">
        <f>HYPERLINK("http://www.informatics.jax.org/marker/MGI:1931526","MGI:1931526")</f>
        <v>MGI:1931526</v>
      </c>
      <c r="J6419" s="4" t="s">
        <v>12</v>
      </c>
    </row>
    <row r="6420" spans="1:10" x14ac:dyDescent="0.25">
      <c r="A6420" s="2">
        <v>144.26621771402901</v>
      </c>
      <c r="B6420" s="3">
        <v>-0.60229536803031203</v>
      </c>
      <c r="C6420" s="5">
        <v>5.5384201784997302E-8</v>
      </c>
      <c r="D6420" s="6">
        <v>2.5637945051646599E-7</v>
      </c>
      <c r="E6420" s="3" t="s">
        <v>8537</v>
      </c>
      <c r="F6420" s="3" t="s">
        <v>8538</v>
      </c>
      <c r="G6420" s="3">
        <v>72650</v>
      </c>
      <c r="H6420" s="7" t="str">
        <f>HYPERLINK("http://www.ensembl.org/Mus_musculus/Gene/Summary?db=core;g=ENSMUSG00000047635","ENSMUSG00000047635")</f>
        <v>ENSMUSG00000047635</v>
      </c>
      <c r="I6420" s="7" t="str">
        <f>HYPERLINK("http://www.informatics.jax.org/marker/MGI:1919900","MGI:1919900")</f>
        <v>MGI:1919900</v>
      </c>
      <c r="J6420" s="4" t="s">
        <v>12</v>
      </c>
    </row>
    <row r="6421" spans="1:10" x14ac:dyDescent="0.25">
      <c r="A6421" s="2">
        <v>86.119582636762502</v>
      </c>
      <c r="B6421" s="3">
        <v>-0.60232599765147998</v>
      </c>
      <c r="C6421" s="5">
        <v>1.4346131347875199E-5</v>
      </c>
      <c r="D6421" s="6">
        <v>5.2978597412003703E-5</v>
      </c>
      <c r="E6421" s="3" t="s">
        <v>10692</v>
      </c>
      <c r="F6421" s="3" t="s">
        <v>10693</v>
      </c>
      <c r="G6421" s="3" t="s">
        <v>83</v>
      </c>
      <c r="H6421" s="7" t="str">
        <f>HYPERLINK("http://www.ensembl.org/Mus_musculus/Gene/Summary?db=core;g=ENSMUSG00000031736","ENSMUSG00000031736")</f>
        <v>ENSMUSG00000031736</v>
      </c>
      <c r="I6421" s="7" t="str">
        <f>HYPERLINK("http://www.informatics.jax.org/marker/MGI:1918546","MGI:1918546")</f>
        <v>MGI:1918546</v>
      </c>
      <c r="J6421" s="4" t="s">
        <v>331</v>
      </c>
    </row>
    <row r="6422" spans="1:10" x14ac:dyDescent="0.25">
      <c r="A6422" s="2">
        <v>347.57943355164502</v>
      </c>
      <c r="B6422" s="3">
        <v>-0.60266041968697304</v>
      </c>
      <c r="C6422" s="5">
        <v>2.3403333361279399E-12</v>
      </c>
      <c r="D6422" s="6">
        <v>1.53735421014134E-11</v>
      </c>
      <c r="E6422" s="3" t="s">
        <v>6021</v>
      </c>
      <c r="F6422" s="3" t="s">
        <v>6022</v>
      </c>
      <c r="G6422" s="3">
        <v>381629</v>
      </c>
      <c r="H6422" s="7" t="str">
        <f>HYPERLINK("http://www.ensembl.org/Mus_musculus/Gene/Summary?db=core;g=ENSMUSG00000013622","ENSMUSG00000013622")</f>
        <v>ENSMUSG00000013622</v>
      </c>
      <c r="I6422" s="7" t="str">
        <f>HYPERLINK("http://www.informatics.jax.org/marker/MGI:1918918","MGI:1918918")</f>
        <v>MGI:1918918</v>
      </c>
      <c r="J6422" s="4" t="s">
        <v>12</v>
      </c>
    </row>
    <row r="6423" spans="1:10" x14ac:dyDescent="0.25">
      <c r="A6423" s="2">
        <v>90.288122187496199</v>
      </c>
      <c r="B6423" s="3">
        <v>-0.60288387030621104</v>
      </c>
      <c r="C6423" s="5">
        <v>7.7272126868072605E-6</v>
      </c>
      <c r="D6423" s="6">
        <v>2.9337819442402599E-5</v>
      </c>
      <c r="E6423" s="3" t="s">
        <v>10402</v>
      </c>
      <c r="F6423" s="3" t="s">
        <v>10403</v>
      </c>
      <c r="G6423" s="3">
        <v>72479</v>
      </c>
      <c r="H6423" s="7" t="str">
        <f>HYPERLINK("http://www.ensembl.org/Mus_musculus/Gene/Summary?db=core;g=ENSMUSG00000028383","ENSMUSG00000028383")</f>
        <v>ENSMUSG00000028383</v>
      </c>
      <c r="I6423" s="7" t="str">
        <f>HYPERLINK("http://www.informatics.jax.org/marker/MGI:1919729","MGI:1919729")</f>
        <v>MGI:1919729</v>
      </c>
      <c r="J6423" s="4" t="s">
        <v>12</v>
      </c>
    </row>
    <row r="6424" spans="1:10" x14ac:dyDescent="0.25">
      <c r="A6424" s="2">
        <v>251.46085184965401</v>
      </c>
      <c r="B6424" s="3">
        <v>-0.60309184297879903</v>
      </c>
      <c r="C6424" s="5">
        <v>1.3208347526187701E-12</v>
      </c>
      <c r="D6424" s="6">
        <v>8.8085428886175897E-12</v>
      </c>
      <c r="E6424" s="3" t="s">
        <v>5931</v>
      </c>
      <c r="F6424" s="3" t="s">
        <v>5932</v>
      </c>
      <c r="G6424" s="3">
        <v>101185</v>
      </c>
      <c r="H6424" s="7" t="str">
        <f>HYPERLINK("http://www.ensembl.org/Mus_musculus/Gene/Summary?db=core;g=ENSMUSG00000029676","ENSMUSG00000029676")</f>
        <v>ENSMUSG00000029676</v>
      </c>
      <c r="I6424" s="7" t="str">
        <f>HYPERLINK("http://www.informatics.jax.org/marker/MGI:2141503","MGI:2141503")</f>
        <v>MGI:2141503</v>
      </c>
      <c r="J6424" s="4" t="s">
        <v>12</v>
      </c>
    </row>
    <row r="6425" spans="1:10" x14ac:dyDescent="0.25">
      <c r="A6425" s="2">
        <v>114.130333876671</v>
      </c>
      <c r="B6425" s="3">
        <v>-0.60365122504195901</v>
      </c>
      <c r="C6425" s="5">
        <v>5.3545009702597196E-7</v>
      </c>
      <c r="D6425" s="6">
        <v>2.27910121160202E-6</v>
      </c>
      <c r="E6425" s="3" t="s">
        <v>9281</v>
      </c>
      <c r="F6425" s="3" t="s">
        <v>9282</v>
      </c>
      <c r="G6425" s="3" t="s">
        <v>83</v>
      </c>
      <c r="H6425" s="7" t="str">
        <f>HYPERLINK("http://www.ensembl.org/Mus_musculus/Gene/Summary?db=core;g=ENSMUSG00000092412","ENSMUSG00000092412")</f>
        <v>ENSMUSG00000092412</v>
      </c>
      <c r="I6425" s="7" t="str">
        <f>HYPERLINK("http://www.informatics.jax.org/marker/MGI:5141972","MGI:5141972")</f>
        <v>MGI:5141972</v>
      </c>
      <c r="J6425" s="4" t="s">
        <v>331</v>
      </c>
    </row>
    <row r="6426" spans="1:10" x14ac:dyDescent="0.25">
      <c r="A6426" s="2">
        <v>287.62707219079601</v>
      </c>
      <c r="B6426" s="3">
        <v>-0.60365475594261797</v>
      </c>
      <c r="C6426" s="5">
        <v>2.54892321838115E-16</v>
      </c>
      <c r="D6426" s="6">
        <v>2.0891423884653498E-15</v>
      </c>
      <c r="E6426" s="3" t="s">
        <v>4829</v>
      </c>
      <c r="F6426" s="3" t="s">
        <v>4830</v>
      </c>
      <c r="G6426" s="3">
        <v>231014</v>
      </c>
      <c r="H6426" s="7" t="str">
        <f>HYPERLINK("http://www.ensembl.org/Mus_musculus/Gene/Summary?db=core;g=ENSMUSG00000056004","ENSMUSG00000056004")</f>
        <v>ENSMUSG00000056004</v>
      </c>
      <c r="I6426" s="7" t="str">
        <f>HYPERLINK("http://www.informatics.jax.org/marker/MGI:2443264","MGI:2443264")</f>
        <v>MGI:2443264</v>
      </c>
      <c r="J6426" s="4" t="s">
        <v>12</v>
      </c>
    </row>
    <row r="6427" spans="1:10" x14ac:dyDescent="0.25">
      <c r="A6427" s="2">
        <v>128.39268864115499</v>
      </c>
      <c r="B6427" s="3">
        <v>-0.60395999707457904</v>
      </c>
      <c r="C6427" s="3">
        <v>1.2863814268933901E-4</v>
      </c>
      <c r="D6427" s="4">
        <v>4.2778147956724401E-4</v>
      </c>
      <c r="E6427" s="3" t="s">
        <v>11871</v>
      </c>
      <c r="F6427" s="3" t="s">
        <v>11872</v>
      </c>
      <c r="G6427" s="3">
        <v>14924</v>
      </c>
      <c r="H6427" s="7" t="str">
        <f>HYPERLINK("http://www.ensembl.org/Mus_musculus/Gene/Summary?db=core;g=ENSMUSG00000045095","ENSMUSG00000045095")</f>
        <v>ENSMUSG00000045095</v>
      </c>
      <c r="I6427" s="7" t="str">
        <f>HYPERLINK("http://www.informatics.jax.org/marker/MGI:1203522","MGI:1203522")</f>
        <v>MGI:1203522</v>
      </c>
      <c r="J6427" s="4" t="s">
        <v>12</v>
      </c>
    </row>
    <row r="6428" spans="1:10" x14ac:dyDescent="0.25">
      <c r="A6428" s="2">
        <v>48.493002453914002</v>
      </c>
      <c r="B6428" s="3">
        <v>-0.60436231962794396</v>
      </c>
      <c r="C6428" s="3">
        <v>2.6558898745925199E-4</v>
      </c>
      <c r="D6428" s="4">
        <v>8.4889548425744405E-4</v>
      </c>
      <c r="E6428" s="3" t="s">
        <v>12350</v>
      </c>
      <c r="F6428" s="3" t="s">
        <v>12351</v>
      </c>
      <c r="G6428" s="3">
        <v>320226</v>
      </c>
      <c r="H6428" s="7" t="str">
        <f>HYPERLINK("http://www.ensembl.org/Mus_musculus/Gene/Summary?db=core;g=ENSMUSG00000052407","ENSMUSG00000052407")</f>
        <v>ENSMUSG00000052407</v>
      </c>
      <c r="I6428" s="7" t="str">
        <f>HYPERLINK("http://www.informatics.jax.org/marker/MGI:1922152","MGI:1922152")</f>
        <v>MGI:1922152</v>
      </c>
      <c r="J6428" s="4" t="s">
        <v>12</v>
      </c>
    </row>
    <row r="6429" spans="1:10" x14ac:dyDescent="0.25">
      <c r="A6429" s="2">
        <v>113.56960807721001</v>
      </c>
      <c r="B6429" s="3">
        <v>-0.60444677039235595</v>
      </c>
      <c r="C6429" s="5">
        <v>7.2652886599380596E-8</v>
      </c>
      <c r="D6429" s="6">
        <v>3.3280253745407298E-7</v>
      </c>
      <c r="E6429" s="3" t="s">
        <v>8627</v>
      </c>
      <c r="F6429" s="3" t="s">
        <v>8628</v>
      </c>
      <c r="G6429" s="3">
        <v>56873</v>
      </c>
      <c r="H6429" s="7" t="str">
        <f>HYPERLINK("http://www.ensembl.org/Mus_musculus/Gene/Summary?db=core;g=ENSMUSG00000010721","ENSMUSG00000010721")</f>
        <v>ENSMUSG00000010721</v>
      </c>
      <c r="I6429" s="7" t="str">
        <f>HYPERLINK("http://www.informatics.jax.org/marker/MGI:1861746","MGI:1861746")</f>
        <v>MGI:1861746</v>
      </c>
      <c r="J6429" s="4" t="s">
        <v>12</v>
      </c>
    </row>
    <row r="6430" spans="1:10" x14ac:dyDescent="0.25">
      <c r="A6430" s="2">
        <v>39.0996206310815</v>
      </c>
      <c r="B6430" s="3">
        <v>-0.60455564508706106</v>
      </c>
      <c r="C6430" s="3">
        <v>2.9542127459138302E-3</v>
      </c>
      <c r="D6430" s="4">
        <v>8.1013871991963294E-3</v>
      </c>
      <c r="E6430" s="3" t="s">
        <v>14387</v>
      </c>
      <c r="F6430" s="3" t="s">
        <v>14388</v>
      </c>
      <c r="G6430" s="3" t="s">
        <v>83</v>
      </c>
      <c r="H6430" s="7" t="str">
        <f>HYPERLINK("http://www.ensembl.org/Mus_musculus/Gene/Summary?db=core;g=ENSMUSG00000091133","ENSMUSG00000091133")</f>
        <v>ENSMUSG00000091133</v>
      </c>
      <c r="I6430" s="7" t="str">
        <f>HYPERLINK("http://www.informatics.jax.org/marker/MGI:4937935","MGI:4937935")</f>
        <v>MGI:4937935</v>
      </c>
      <c r="J6430" s="4" t="s">
        <v>7950</v>
      </c>
    </row>
    <row r="6431" spans="1:10" x14ac:dyDescent="0.25">
      <c r="A6431" s="2">
        <v>762.06332871744598</v>
      </c>
      <c r="B6431" s="3">
        <v>-0.60459679508203501</v>
      </c>
      <c r="C6431" s="5">
        <v>5.1632951320817503E-10</v>
      </c>
      <c r="D6431" s="6">
        <v>2.8244155341096299E-9</v>
      </c>
      <c r="E6431" s="3" t="s">
        <v>7228</v>
      </c>
      <c r="F6431" s="3" t="s">
        <v>7229</v>
      </c>
      <c r="G6431" s="3">
        <v>56150</v>
      </c>
      <c r="H6431" s="7" t="str">
        <f>HYPERLINK("http://www.ensembl.org/Mus_musculus/Gene/Summary?db=core;g=ENSMUSG00000029910","ENSMUSG00000029910")</f>
        <v>ENSMUSG00000029910</v>
      </c>
      <c r="I6431" s="7" t="str">
        <f>HYPERLINK("http://www.informatics.jax.org/marker/MGI:1860374","MGI:1860374")</f>
        <v>MGI:1860374</v>
      </c>
      <c r="J6431" s="4" t="s">
        <v>12</v>
      </c>
    </row>
    <row r="6432" spans="1:10" x14ac:dyDescent="0.25">
      <c r="A6432" s="2">
        <v>88.5798693883157</v>
      </c>
      <c r="B6432" s="3">
        <v>-0.60495209352445201</v>
      </c>
      <c r="C6432" s="5">
        <v>1.55791359907704E-5</v>
      </c>
      <c r="D6432" s="6">
        <v>5.7327964496732998E-5</v>
      </c>
      <c r="E6432" s="3" t="s">
        <v>10730</v>
      </c>
      <c r="F6432" s="3" t="s">
        <v>10731</v>
      </c>
      <c r="G6432" s="3" t="s">
        <v>83</v>
      </c>
      <c r="H6432" s="7" t="str">
        <f>HYPERLINK("http://www.ensembl.org/Mus_musculus/Gene/Summary?db=core;g=ENSMUSG00000100679","ENSMUSG00000100679")</f>
        <v>ENSMUSG00000100679</v>
      </c>
      <c r="I6432" s="7" t="str">
        <f>HYPERLINK("http://www.informatics.jax.org/marker/MGI:5579484","MGI:5579484")</f>
        <v>MGI:5579484</v>
      </c>
      <c r="J6432" s="4" t="s">
        <v>12</v>
      </c>
    </row>
    <row r="6433" spans="1:10" x14ac:dyDescent="0.25">
      <c r="A6433" s="2">
        <v>1384.7001283167001</v>
      </c>
      <c r="B6433" s="3">
        <v>-0.60559299309916703</v>
      </c>
      <c r="C6433" s="5">
        <v>1.0142495338098E-27</v>
      </c>
      <c r="D6433" s="6">
        <v>1.37087051451195E-26</v>
      </c>
      <c r="E6433" s="3" t="s">
        <v>2936</v>
      </c>
      <c r="F6433" s="3" t="s">
        <v>2937</v>
      </c>
      <c r="G6433" s="3">
        <v>67938</v>
      </c>
      <c r="H6433" s="7" t="str">
        <f>HYPERLINK("http://www.ensembl.org/Mus_musculus/Gene/Summary?db=core;g=ENSMUSG00000034868","ENSMUSG00000034868")</f>
        <v>ENSMUSG00000034868</v>
      </c>
      <c r="I6433" s="7" t="str">
        <f>HYPERLINK("http://www.informatics.jax.org/marker/MGI:107494","MGI:107494")</f>
        <v>MGI:107494</v>
      </c>
      <c r="J6433" s="4" t="s">
        <v>12</v>
      </c>
    </row>
    <row r="6434" spans="1:10" x14ac:dyDescent="0.25">
      <c r="A6434" s="2">
        <v>225.565377492773</v>
      </c>
      <c r="B6434" s="3">
        <v>-0.60569383832420198</v>
      </c>
      <c r="C6434" s="5">
        <v>2.0480126447556499E-8</v>
      </c>
      <c r="D6434" s="6">
        <v>9.8672878950846305E-8</v>
      </c>
      <c r="E6434" s="3" t="s">
        <v>8203</v>
      </c>
      <c r="F6434" s="3" t="s">
        <v>8204</v>
      </c>
      <c r="G6434" s="3">
        <v>70209</v>
      </c>
      <c r="H6434" s="7" t="str">
        <f>HYPERLINK("http://www.ensembl.org/Mus_musculus/Gene/Summary?db=core;g=ENSMUSG00000002781","ENSMUSG00000002781")</f>
        <v>ENSMUSG00000002781</v>
      </c>
      <c r="I6434" s="7" t="str">
        <f>HYPERLINK("http://www.informatics.jax.org/marker/MGI:1917459","MGI:1917459")</f>
        <v>MGI:1917459</v>
      </c>
      <c r="J6434" s="4" t="s">
        <v>12</v>
      </c>
    </row>
    <row r="6435" spans="1:10" x14ac:dyDescent="0.25">
      <c r="A6435" s="2">
        <v>158.073357926532</v>
      </c>
      <c r="B6435" s="3">
        <v>-0.60571762885167701</v>
      </c>
      <c r="C6435" s="5">
        <v>2.93738556266056E-7</v>
      </c>
      <c r="D6435" s="6">
        <v>1.28323534106483E-6</v>
      </c>
      <c r="E6435" s="3" t="s">
        <v>9043</v>
      </c>
      <c r="F6435" s="3" t="s">
        <v>9044</v>
      </c>
      <c r="G6435" s="3">
        <v>100900</v>
      </c>
      <c r="H6435" s="7" t="str">
        <f>HYPERLINK("http://www.ensembl.org/Mus_musculus/Gene/Summary?db=core;g=ENSMUSG00000043510","ENSMUSG00000043510")</f>
        <v>ENSMUSG00000043510</v>
      </c>
      <c r="I6435" s="7" t="str">
        <f>HYPERLINK("http://www.informatics.jax.org/marker/MGI:2141135","MGI:2141135")</f>
        <v>MGI:2141135</v>
      </c>
      <c r="J6435" s="4" t="s">
        <v>12</v>
      </c>
    </row>
    <row r="6436" spans="1:10" x14ac:dyDescent="0.25">
      <c r="A6436" s="2">
        <v>690.28323564110099</v>
      </c>
      <c r="B6436" s="3">
        <v>-0.60610057118157701</v>
      </c>
      <c r="C6436" s="5">
        <v>4.7202633482532201E-17</v>
      </c>
      <c r="D6436" s="6">
        <v>4.03308462857684E-16</v>
      </c>
      <c r="E6436" s="3" t="s">
        <v>4633</v>
      </c>
      <c r="F6436" s="3" t="s">
        <v>4634</v>
      </c>
      <c r="G6436" s="3">
        <v>56218</v>
      </c>
      <c r="H6436" s="7" t="str">
        <f>HYPERLINK("http://www.ensembl.org/Mus_musculus/Gene/Summary?db=core;g=ENSMUSG00000020453","ENSMUSG00000020453")</f>
        <v>ENSMUSG00000020453</v>
      </c>
      <c r="I6436" s="7" t="str">
        <f>HYPERLINK("http://www.informatics.jax.org/marker/MGI:1891832","MGI:1891832")</f>
        <v>MGI:1891832</v>
      </c>
      <c r="J6436" s="4" t="s">
        <v>12</v>
      </c>
    </row>
    <row r="6437" spans="1:10" x14ac:dyDescent="0.25">
      <c r="A6437" s="2">
        <v>1040.56845814177</v>
      </c>
      <c r="B6437" s="3">
        <v>-0.60642420004526598</v>
      </c>
      <c r="C6437" s="5">
        <v>4.5234539491918296E-28</v>
      </c>
      <c r="D6437" s="6">
        <v>6.1946188804210301E-27</v>
      </c>
      <c r="E6437" s="3" t="s">
        <v>2898</v>
      </c>
      <c r="F6437" s="3" t="s">
        <v>2899</v>
      </c>
      <c r="G6437" s="3">
        <v>17692</v>
      </c>
      <c r="H6437" s="7" t="str">
        <f>HYPERLINK("http://www.ensembl.org/Mus_musculus/Gene/Summary?db=core;g=ENSMUSG00000031358","ENSMUSG00000031358")</f>
        <v>ENSMUSG00000031358</v>
      </c>
      <c r="I6437" s="7" t="str">
        <f>HYPERLINK("http://www.informatics.jax.org/marker/MGI:1341851","MGI:1341851")</f>
        <v>MGI:1341851</v>
      </c>
      <c r="J6437" s="4" t="s">
        <v>12</v>
      </c>
    </row>
    <row r="6438" spans="1:10" x14ac:dyDescent="0.25">
      <c r="A6438" s="2">
        <v>49.619378796811397</v>
      </c>
      <c r="B6438" s="3">
        <v>-0.607345161684402</v>
      </c>
      <c r="C6438" s="3">
        <v>2.4529014839531102E-3</v>
      </c>
      <c r="D6438" s="4">
        <v>6.8291991054010197E-3</v>
      </c>
      <c r="E6438" s="3" t="s">
        <v>14173</v>
      </c>
      <c r="F6438" s="3" t="s">
        <v>14174</v>
      </c>
      <c r="G6438" s="3" t="s">
        <v>83</v>
      </c>
      <c r="H6438" s="7" t="str">
        <f>HYPERLINK("http://www.ensembl.org/Mus_musculus/Gene/Summary?db=core;g=ENSMUSG00000087213","ENSMUSG00000087213")</f>
        <v>ENSMUSG00000087213</v>
      </c>
      <c r="I6438" s="7" t="str">
        <f>HYPERLINK("http://www.informatics.jax.org/marker/MGI:1917191","MGI:1917191")</f>
        <v>MGI:1917191</v>
      </c>
      <c r="J6438" s="4" t="s">
        <v>331</v>
      </c>
    </row>
    <row r="6439" spans="1:10" x14ac:dyDescent="0.25">
      <c r="A6439" s="2">
        <v>234.66054095611699</v>
      </c>
      <c r="B6439" s="3">
        <v>-0.607774917980753</v>
      </c>
      <c r="C6439" s="5">
        <v>7.6181090963177298E-11</v>
      </c>
      <c r="D6439" s="6">
        <v>4.4574555383609302E-10</v>
      </c>
      <c r="E6439" s="3" t="s">
        <v>6760</v>
      </c>
      <c r="F6439" s="3" t="s">
        <v>6761</v>
      </c>
      <c r="G6439" s="3">
        <v>79043</v>
      </c>
      <c r="H6439" s="7" t="str">
        <f>HYPERLINK("http://www.ensembl.org/Mus_musculus/Gene/Summary?db=core;g=ENSMUSG00000024160","ENSMUSG00000024160")</f>
        <v>ENSMUSG00000024160</v>
      </c>
      <c r="I6439" s="7" t="str">
        <f>HYPERLINK("http://www.informatics.jax.org/marker/MGI:1891471","MGI:1891471")</f>
        <v>MGI:1891471</v>
      </c>
      <c r="J6439" s="4" t="s">
        <v>12</v>
      </c>
    </row>
    <row r="6440" spans="1:10" x14ac:dyDescent="0.25">
      <c r="A6440" s="2">
        <v>1328.1107718666501</v>
      </c>
      <c r="B6440" s="3">
        <v>-0.60808707250340799</v>
      </c>
      <c r="C6440" s="5">
        <v>6.9947732165428403E-6</v>
      </c>
      <c r="D6440" s="6">
        <v>2.6644181539545099E-5</v>
      </c>
      <c r="E6440" s="3" t="s">
        <v>10368</v>
      </c>
      <c r="F6440" s="3" t="s">
        <v>10369</v>
      </c>
      <c r="G6440" s="3">
        <v>12449</v>
      </c>
      <c r="H6440" s="7" t="str">
        <f>HYPERLINK("http://www.ensembl.org/Mus_musculus/Gene/Summary?db=core;g=ENSMUSG00000072082","ENSMUSG00000072082")</f>
        <v>ENSMUSG00000072082</v>
      </c>
      <c r="I6440" s="7" t="str">
        <f>HYPERLINK("http://www.informatics.jax.org/marker/MGI:102551","MGI:102551")</f>
        <v>MGI:102551</v>
      </c>
      <c r="J6440" s="4" t="s">
        <v>12</v>
      </c>
    </row>
    <row r="6441" spans="1:10" x14ac:dyDescent="0.25">
      <c r="A6441" s="2">
        <v>1298.20030727067</v>
      </c>
      <c r="B6441" s="3">
        <v>-0.60820277054220595</v>
      </c>
      <c r="C6441" s="5">
        <v>2.3345124304412099E-13</v>
      </c>
      <c r="D6441" s="6">
        <v>1.63019069151206E-12</v>
      </c>
      <c r="E6441" s="3" t="s">
        <v>5665</v>
      </c>
      <c r="F6441" s="3" t="s">
        <v>5666</v>
      </c>
      <c r="G6441" s="3">
        <v>99003</v>
      </c>
      <c r="H6441" s="7" t="str">
        <f>HYPERLINK("http://www.ensembl.org/Mus_musculus/Gene/Summary?db=core;g=ENSMUSG00000074994","ENSMUSG00000074994")</f>
        <v>ENSMUSG00000074994</v>
      </c>
      <c r="I6441" s="7" t="str">
        <f>HYPERLINK("http://www.informatics.jax.org/marker/MGI:2138986","MGI:2138986")</f>
        <v>MGI:2138986</v>
      </c>
      <c r="J6441" s="4" t="s">
        <v>12</v>
      </c>
    </row>
    <row r="6442" spans="1:10" x14ac:dyDescent="0.25">
      <c r="A6442" s="2">
        <v>127.844280570115</v>
      </c>
      <c r="B6442" s="3">
        <v>-0.60866275883527898</v>
      </c>
      <c r="C6442" s="3">
        <v>6.5937293093992697E-3</v>
      </c>
      <c r="D6442" s="4">
        <v>1.69993910290696E-2</v>
      </c>
      <c r="E6442" s="3" t="s">
        <v>15303</v>
      </c>
      <c r="F6442" s="3" t="s">
        <v>15304</v>
      </c>
      <c r="G6442" s="3">
        <v>105886299</v>
      </c>
      <c r="H6442" s="7" t="str">
        <f>HYPERLINK("http://www.ensembl.org/Mus_musculus/Gene/Summary?db=core;g=ENSMUSG00000109350","ENSMUSG00000109350")</f>
        <v>ENSMUSG00000109350</v>
      </c>
      <c r="I6442" s="7" t="str">
        <f>HYPERLINK("http://www.informatics.jax.org/marker/MGI:5753381","MGI:5753381")</f>
        <v>MGI:5753381</v>
      </c>
      <c r="J6442" s="4" t="s">
        <v>12</v>
      </c>
    </row>
    <row r="6443" spans="1:10" x14ac:dyDescent="0.25">
      <c r="A6443" s="2">
        <v>643.48091017339402</v>
      </c>
      <c r="B6443" s="3">
        <v>-0.60866406216467395</v>
      </c>
      <c r="C6443" s="5">
        <v>3.8841787441914401E-17</v>
      </c>
      <c r="D6443" s="6">
        <v>3.3389714400808801E-16</v>
      </c>
      <c r="E6443" s="3" t="s">
        <v>4605</v>
      </c>
      <c r="F6443" s="3" t="s">
        <v>4606</v>
      </c>
      <c r="G6443" s="3">
        <v>19777</v>
      </c>
      <c r="H6443" s="7" t="str">
        <f>HYPERLINK("http://www.ensembl.org/Mus_musculus/Gene/Summary?db=core;g=ENSMUSG00000030421","ENSMUSG00000030421")</f>
        <v>ENSMUSG00000030421</v>
      </c>
      <c r="I6443" s="7" t="str">
        <f>HYPERLINK("http://www.informatics.jax.org/marker/MGI:1342294","MGI:1342294")</f>
        <v>MGI:1342294</v>
      </c>
      <c r="J6443" s="4" t="s">
        <v>12</v>
      </c>
    </row>
    <row r="6444" spans="1:10" x14ac:dyDescent="0.25">
      <c r="A6444" s="2">
        <v>667.19451743593595</v>
      </c>
      <c r="B6444" s="3">
        <v>-0.60880016591712605</v>
      </c>
      <c r="C6444" s="5">
        <v>1.4288344994428999E-16</v>
      </c>
      <c r="D6444" s="6">
        <v>1.1893886166742999E-15</v>
      </c>
      <c r="E6444" s="3" t="s">
        <v>4755</v>
      </c>
      <c r="F6444" s="3" t="s">
        <v>4756</v>
      </c>
      <c r="G6444" s="3">
        <v>94065</v>
      </c>
      <c r="H6444" s="7" t="str">
        <f>HYPERLINK("http://www.ensembl.org/Mus_musculus/Gene/Summary?db=core;g=ENSMUSG00000034880","ENSMUSG00000034880")</f>
        <v>ENSMUSG00000034880</v>
      </c>
      <c r="I6444" s="7" t="str">
        <f>HYPERLINK("http://www.informatics.jax.org/marker/MGI:2137227","MGI:2137227")</f>
        <v>MGI:2137227</v>
      </c>
      <c r="J6444" s="4" t="s">
        <v>12</v>
      </c>
    </row>
    <row r="6445" spans="1:10" x14ac:dyDescent="0.25">
      <c r="A6445" s="2">
        <v>196.69712632515501</v>
      </c>
      <c r="B6445" s="3">
        <v>-0.60908691727314201</v>
      </c>
      <c r="C6445" s="5">
        <v>3.61059506154387E-9</v>
      </c>
      <c r="D6445" s="6">
        <v>1.8537082690352798E-8</v>
      </c>
      <c r="E6445" s="3" t="s">
        <v>7698</v>
      </c>
      <c r="F6445" s="3" t="s">
        <v>7699</v>
      </c>
      <c r="G6445" s="3">
        <v>102632</v>
      </c>
      <c r="H6445" s="7" t="str">
        <f>HYPERLINK("http://www.ensembl.org/Mus_musculus/Gene/Summary?db=core;g=ENSMUSG00000090150","ENSMUSG00000090150")</f>
        <v>ENSMUSG00000090150</v>
      </c>
      <c r="I6445" s="7" t="str">
        <f>HYPERLINK("http://www.informatics.jax.org/marker/MGI:2143169","MGI:2143169")</f>
        <v>MGI:2143169</v>
      </c>
      <c r="J6445" s="4" t="s">
        <v>12</v>
      </c>
    </row>
    <row r="6446" spans="1:10" x14ac:dyDescent="0.25">
      <c r="A6446" s="2">
        <v>235.95817332709601</v>
      </c>
      <c r="B6446" s="3">
        <v>-0.60942531463142802</v>
      </c>
      <c r="C6446" s="5">
        <v>1.9308394829740799E-8</v>
      </c>
      <c r="D6446" s="6">
        <v>9.3278183743872697E-8</v>
      </c>
      <c r="E6446" s="3" t="s">
        <v>8181</v>
      </c>
      <c r="F6446" s="3" t="s">
        <v>8182</v>
      </c>
      <c r="G6446" s="3">
        <v>67629</v>
      </c>
      <c r="H6446" s="7" t="str">
        <f>HYPERLINK("http://www.ensembl.org/Mus_musculus/Gene/Summary?db=core;g=ENSMUSG00000074476","ENSMUSG00000074476")</f>
        <v>ENSMUSG00000074476</v>
      </c>
      <c r="I6446" s="7" t="str">
        <f>HYPERLINK("http://www.informatics.jax.org/marker/MGI:1914879","MGI:1914879")</f>
        <v>MGI:1914879</v>
      </c>
      <c r="J6446" s="4" t="s">
        <v>12</v>
      </c>
    </row>
    <row r="6447" spans="1:10" x14ac:dyDescent="0.25">
      <c r="A6447" s="2">
        <v>322.61171100162801</v>
      </c>
      <c r="B6447" s="3">
        <v>-0.60991939254746597</v>
      </c>
      <c r="C6447" s="5">
        <v>7.6197173528472105E-11</v>
      </c>
      <c r="D6447" s="6">
        <v>4.4574555383609302E-10</v>
      </c>
      <c r="E6447" s="3" t="s">
        <v>6758</v>
      </c>
      <c r="F6447" s="3" t="s">
        <v>6759</v>
      </c>
      <c r="G6447" s="3">
        <v>16579</v>
      </c>
      <c r="H6447" s="7" t="str">
        <f>HYPERLINK("http://www.ensembl.org/Mus_musculus/Gene/Summary?db=core;g=ENSMUSG00000026585","ENSMUSG00000026585")</f>
        <v>ENSMUSG00000026585</v>
      </c>
      <c r="I6447" s="7" t="str">
        <f>HYPERLINK("http://www.informatics.jax.org/marker/MGI:107566","MGI:107566")</f>
        <v>MGI:107566</v>
      </c>
      <c r="J6447" s="4" t="s">
        <v>12</v>
      </c>
    </row>
    <row r="6448" spans="1:10" x14ac:dyDescent="0.25">
      <c r="A6448" s="2">
        <v>640.87212098523298</v>
      </c>
      <c r="B6448" s="3">
        <v>-0.61090014413414995</v>
      </c>
      <c r="C6448" s="5">
        <v>5.2332483195304502E-14</v>
      </c>
      <c r="D6448" s="6">
        <v>3.7885336586321698E-13</v>
      </c>
      <c r="E6448" s="3" t="s">
        <v>5465</v>
      </c>
      <c r="F6448" s="3" t="s">
        <v>5466</v>
      </c>
      <c r="G6448" s="3">
        <v>11666</v>
      </c>
      <c r="H6448" s="7" t="str">
        <f>HYPERLINK("http://www.ensembl.org/Mus_musculus/Gene/Summary?db=core;g=ENSMUSG00000031378","ENSMUSG00000031378")</f>
        <v>ENSMUSG00000031378</v>
      </c>
      <c r="I6448" s="7" t="str">
        <f>HYPERLINK("http://www.informatics.jax.org/marker/MGI:1349215","MGI:1349215")</f>
        <v>MGI:1349215</v>
      </c>
      <c r="J6448" s="4" t="s">
        <v>12</v>
      </c>
    </row>
    <row r="6449" spans="1:10" x14ac:dyDescent="0.25">
      <c r="A6449" s="2">
        <v>51.360727844246703</v>
      </c>
      <c r="B6449" s="3">
        <v>-0.61118011916393999</v>
      </c>
      <c r="C6449" s="3">
        <v>6.8127383133428302E-4</v>
      </c>
      <c r="D6449" s="4">
        <v>2.05833000672776E-3</v>
      </c>
      <c r="E6449" s="3" t="s">
        <v>13059</v>
      </c>
      <c r="F6449" s="3" t="s">
        <v>13060</v>
      </c>
      <c r="G6449" s="3" t="s">
        <v>83</v>
      </c>
      <c r="H6449" s="7" t="str">
        <f>HYPERLINK("http://www.ensembl.org/Mus_musculus/Gene/Summary?db=core;g=ENSMUSG00000097254","ENSMUSG00000097254")</f>
        <v>ENSMUSG00000097254</v>
      </c>
      <c r="I6449" s="7" t="str">
        <f>HYPERLINK("http://www.informatics.jax.org/marker/MGI:2443186","MGI:2443186")</f>
        <v>MGI:2443186</v>
      </c>
      <c r="J6449" s="4" t="s">
        <v>939</v>
      </c>
    </row>
    <row r="6450" spans="1:10" x14ac:dyDescent="0.25">
      <c r="A6450" s="2">
        <v>693.49377709401597</v>
      </c>
      <c r="B6450" s="3">
        <v>-0.61177309404098501</v>
      </c>
      <c r="C6450" s="5">
        <v>2.18497234934367E-25</v>
      </c>
      <c r="D6450" s="6">
        <v>2.7048119729477199E-24</v>
      </c>
      <c r="E6450" s="3" t="s">
        <v>3206</v>
      </c>
      <c r="F6450" s="3" t="s">
        <v>3207</v>
      </c>
      <c r="G6450" s="3">
        <v>244879</v>
      </c>
      <c r="H6450" s="7" t="str">
        <f>HYPERLINK("http://www.ensembl.org/Mus_musculus/Gene/Summary?db=core;g=ENSMUSG00000033054","ENSMUSG00000033054")</f>
        <v>ENSMUSG00000033054</v>
      </c>
      <c r="I6450" s="7" t="str">
        <f>HYPERLINK("http://www.informatics.jax.org/marker/MGI:107605","MGI:107605")</f>
        <v>MGI:107605</v>
      </c>
      <c r="J6450" s="4" t="s">
        <v>12</v>
      </c>
    </row>
    <row r="6451" spans="1:10" x14ac:dyDescent="0.25">
      <c r="A6451" s="2">
        <v>469.51617494298102</v>
      </c>
      <c r="B6451" s="3">
        <v>-0.61202391799607303</v>
      </c>
      <c r="C6451" s="5">
        <v>1.17122169300237E-21</v>
      </c>
      <c r="D6451" s="6">
        <v>1.24913422314801E-20</v>
      </c>
      <c r="E6451" s="3" t="s">
        <v>3716</v>
      </c>
      <c r="F6451" s="3" t="s">
        <v>3717</v>
      </c>
      <c r="G6451" s="3">
        <v>231123</v>
      </c>
      <c r="H6451" s="7" t="str">
        <f>HYPERLINK("http://www.ensembl.org/Mus_musculus/Gene/Summary?db=core;g=ENSMUSG00000079555","ENSMUSG00000079555")</f>
        <v>ENSMUSG00000079555</v>
      </c>
      <c r="I6451" s="7" t="str">
        <f>HYPERLINK("http://www.informatics.jax.org/marker/MGI:2387633","MGI:2387633")</f>
        <v>MGI:2387633</v>
      </c>
      <c r="J6451" s="4" t="s">
        <v>12</v>
      </c>
    </row>
    <row r="6452" spans="1:10" x14ac:dyDescent="0.25">
      <c r="A6452" s="2">
        <v>254.34886580308799</v>
      </c>
      <c r="B6452" s="3">
        <v>-0.61205254710447099</v>
      </c>
      <c r="C6452" s="5">
        <v>2.1768664189598701E-7</v>
      </c>
      <c r="D6452" s="6">
        <v>9.6185424863421095E-7</v>
      </c>
      <c r="E6452" s="3" t="s">
        <v>8943</v>
      </c>
      <c r="F6452" s="3" t="s">
        <v>8944</v>
      </c>
      <c r="G6452" s="3">
        <v>69534</v>
      </c>
      <c r="H6452" s="7" t="str">
        <f>HYPERLINK("http://www.ensembl.org/Mus_musculus/Gene/Summary?db=core;g=ENSMUSG00000018821","ENSMUSG00000018821")</f>
        <v>ENSMUSG00000018821</v>
      </c>
      <c r="I6452" s="7" t="str">
        <f>HYPERLINK("http://www.informatics.jax.org/marker/MGI:1916784","MGI:1916784")</f>
        <v>MGI:1916784</v>
      </c>
      <c r="J6452" s="4" t="s">
        <v>12</v>
      </c>
    </row>
    <row r="6453" spans="1:10" x14ac:dyDescent="0.25">
      <c r="A6453" s="2">
        <v>689.13100690313104</v>
      </c>
      <c r="B6453" s="3">
        <v>-0.61207917990851701</v>
      </c>
      <c r="C6453" s="5">
        <v>4.0823734223591702E-19</v>
      </c>
      <c r="D6453" s="6">
        <v>3.8947461968516096E-18</v>
      </c>
      <c r="E6453" s="3" t="s">
        <v>4151</v>
      </c>
      <c r="F6453" s="3" t="s">
        <v>4152</v>
      </c>
      <c r="G6453" s="3">
        <v>216169</v>
      </c>
      <c r="H6453" s="7" t="str">
        <f>HYPERLINK("http://www.ensembl.org/Mus_musculus/Gene/Summary?db=core;g=ENSMUSG00000003346","ENSMUSG00000003346")</f>
        <v>ENSMUSG00000003346</v>
      </c>
      <c r="I6453" s="7" t="str">
        <f>HYPERLINK("http://www.informatics.jax.org/marker/MGI:106388","MGI:106388")</f>
        <v>MGI:106388</v>
      </c>
      <c r="J6453" s="4" t="s">
        <v>12</v>
      </c>
    </row>
    <row r="6454" spans="1:10" x14ac:dyDescent="0.25">
      <c r="A6454" s="2">
        <v>927.89783996307199</v>
      </c>
      <c r="B6454" s="3">
        <v>-0.61222427648954802</v>
      </c>
      <c r="C6454" s="5">
        <v>6.3462925968726702E-10</v>
      </c>
      <c r="D6454" s="6">
        <v>3.44952839058239E-9</v>
      </c>
      <c r="E6454" s="3" t="s">
        <v>7274</v>
      </c>
      <c r="F6454" s="3" t="s">
        <v>7275</v>
      </c>
      <c r="G6454" s="3">
        <v>14159</v>
      </c>
      <c r="H6454" s="7" t="str">
        <f>HYPERLINK("http://www.ensembl.org/Mus_musculus/Gene/Summary?db=core;g=ENSMUSG00000053158","ENSMUSG00000053158")</f>
        <v>ENSMUSG00000053158</v>
      </c>
      <c r="I6454" s="7" t="str">
        <f>HYPERLINK("http://www.informatics.jax.org/marker/MGI:95514","MGI:95514")</f>
        <v>MGI:95514</v>
      </c>
      <c r="J6454" s="4" t="s">
        <v>12</v>
      </c>
    </row>
    <row r="6455" spans="1:10" x14ac:dyDescent="0.25">
      <c r="A6455" s="2">
        <v>937.61482926679298</v>
      </c>
      <c r="B6455" s="3">
        <v>-0.61226053905104205</v>
      </c>
      <c r="C6455" s="3">
        <v>8.7344755004818296E-4</v>
      </c>
      <c r="D6455" s="4">
        <v>2.5983384653718799E-3</v>
      </c>
      <c r="E6455" s="3" t="s">
        <v>13267</v>
      </c>
      <c r="F6455" s="3" t="s">
        <v>13268</v>
      </c>
      <c r="G6455" s="3">
        <v>11565</v>
      </c>
      <c r="H6455" s="7" t="str">
        <f>HYPERLINK("http://www.ensembl.org/Mus_musculus/Gene/Summary?db=core;g=ENSMUSG00000011148","ENSMUSG00000011148")</f>
        <v>ENSMUSG00000011148</v>
      </c>
      <c r="I6455" s="7" t="str">
        <f>HYPERLINK("http://www.informatics.jax.org/marker/MGI:87947","MGI:87947")</f>
        <v>MGI:87947</v>
      </c>
      <c r="J6455" s="4" t="s">
        <v>12</v>
      </c>
    </row>
    <row r="6456" spans="1:10" x14ac:dyDescent="0.25">
      <c r="A6456" s="2">
        <v>309.71119939021401</v>
      </c>
      <c r="B6456" s="3">
        <v>-0.61249786510153303</v>
      </c>
      <c r="C6456" s="5">
        <v>1.4036548843213501E-17</v>
      </c>
      <c r="D6456" s="6">
        <v>1.2390364511556399E-16</v>
      </c>
      <c r="E6456" s="3" t="s">
        <v>4485</v>
      </c>
      <c r="F6456" s="3" t="s">
        <v>4486</v>
      </c>
      <c r="G6456" s="3">
        <v>72320</v>
      </c>
      <c r="H6456" s="7" t="str">
        <f>HYPERLINK("http://www.ensembl.org/Mus_musculus/Gene/Summary?db=core;g=ENSMUSG00000036955","ENSMUSG00000036955")</f>
        <v>ENSMUSG00000036955</v>
      </c>
      <c r="I6456" s="7" t="str">
        <f>HYPERLINK("http://www.informatics.jax.org/marker/MGI:1919570","MGI:1919570")</f>
        <v>MGI:1919570</v>
      </c>
      <c r="J6456" s="4" t="s">
        <v>12</v>
      </c>
    </row>
    <row r="6457" spans="1:10" x14ac:dyDescent="0.25">
      <c r="A6457" s="2">
        <v>630.16798704618202</v>
      </c>
      <c r="B6457" s="3">
        <v>-0.61251559582753001</v>
      </c>
      <c r="C6457" s="5">
        <v>2.7281776820236399E-13</v>
      </c>
      <c r="D6457" s="6">
        <v>1.8943543623065601E-12</v>
      </c>
      <c r="E6457" s="3" t="s">
        <v>5697</v>
      </c>
      <c r="F6457" s="3" t="s">
        <v>5698</v>
      </c>
      <c r="G6457" s="3">
        <v>217351</v>
      </c>
      <c r="H6457" s="7" t="str">
        <f>HYPERLINK("http://www.ensembl.org/Mus_musculus/Gene/Summary?db=core;g=ENSMUSG00000025571","ENSMUSG00000025571")</f>
        <v>ENSMUSG00000025571</v>
      </c>
      <c r="I6457" s="7" t="str">
        <f>HYPERLINK("http://www.informatics.jax.org/marker/MGI:2443265","MGI:2443265")</f>
        <v>MGI:2443265</v>
      </c>
      <c r="J6457" s="4" t="s">
        <v>12</v>
      </c>
    </row>
    <row r="6458" spans="1:10" x14ac:dyDescent="0.25">
      <c r="A6458" s="2">
        <v>916.81885477394701</v>
      </c>
      <c r="B6458" s="3">
        <v>-0.613330091346036</v>
      </c>
      <c r="C6458" s="5">
        <v>1.56996181025513E-11</v>
      </c>
      <c r="D6458" s="6">
        <v>9.6748896556972499E-11</v>
      </c>
      <c r="E6458" s="3" t="s">
        <v>6417</v>
      </c>
      <c r="F6458" s="3" t="s">
        <v>6418</v>
      </c>
      <c r="G6458" s="3">
        <v>225898</v>
      </c>
      <c r="H6458" s="7" t="str">
        <f>HYPERLINK("http://www.ensembl.org/Mus_musculus/Gene/Summary?db=core;g=ENSMUSG00000071647","ENSMUSG00000071647")</f>
        <v>ENSMUSG00000071647</v>
      </c>
      <c r="I6458" s="7" t="str">
        <f>HYPERLINK("http://www.informatics.jax.org/marker/MGI:2387612","MGI:2387612")</f>
        <v>MGI:2387612</v>
      </c>
      <c r="J6458" s="4" t="s">
        <v>12</v>
      </c>
    </row>
    <row r="6459" spans="1:10" x14ac:dyDescent="0.25">
      <c r="A6459" s="2">
        <v>176.05432256160699</v>
      </c>
      <c r="B6459" s="3">
        <v>-0.61355519345064102</v>
      </c>
      <c r="C6459" s="5">
        <v>2.2179167147245799E-8</v>
      </c>
      <c r="D6459" s="6">
        <v>1.0652050076563301E-7</v>
      </c>
      <c r="E6459" s="3" t="s">
        <v>8229</v>
      </c>
      <c r="F6459" s="3" t="s">
        <v>8230</v>
      </c>
      <c r="G6459" s="3">
        <v>27015</v>
      </c>
      <c r="H6459" s="7" t="str">
        <f>HYPERLINK("http://www.ensembl.org/Mus_musculus/Gene/Summary?db=core;g=ENSMUSG00000021668","ENSMUSG00000021668")</f>
        <v>ENSMUSG00000021668</v>
      </c>
      <c r="I6459" s="7" t="str">
        <f>HYPERLINK("http://www.informatics.jax.org/marker/MGI:1349767","MGI:1349767")</f>
        <v>MGI:1349767</v>
      </c>
      <c r="J6459" s="4" t="s">
        <v>12</v>
      </c>
    </row>
    <row r="6460" spans="1:10" x14ac:dyDescent="0.25">
      <c r="A6460" s="2">
        <v>583.25293152553297</v>
      </c>
      <c r="B6460" s="3">
        <v>-0.61383620991829202</v>
      </c>
      <c r="C6460" s="5">
        <v>2.17674153709818E-11</v>
      </c>
      <c r="D6460" s="6">
        <v>1.3318443410355599E-10</v>
      </c>
      <c r="E6460" s="3" t="s">
        <v>6463</v>
      </c>
      <c r="F6460" s="3" t="s">
        <v>6464</v>
      </c>
      <c r="G6460" s="3">
        <v>219114</v>
      </c>
      <c r="H6460" s="7" t="str">
        <f>HYPERLINK("http://www.ensembl.org/Mus_musculus/Gene/Summary?db=core;g=ENSMUSG00000021965","ENSMUSG00000021965")</f>
        <v>ENSMUSG00000021965</v>
      </c>
      <c r="I6460" s="7" t="str">
        <f>HYPERLINK("http://www.informatics.jax.org/marker/MGI:3041235","MGI:3041235")</f>
        <v>MGI:3041235</v>
      </c>
      <c r="J6460" s="4" t="s">
        <v>12</v>
      </c>
    </row>
    <row r="6461" spans="1:10" x14ac:dyDescent="0.25">
      <c r="A6461" s="2">
        <v>110.21865283414201</v>
      </c>
      <c r="B6461" s="3">
        <v>-0.61444732175860495</v>
      </c>
      <c r="C6461" s="5">
        <v>7.1400375356075701E-7</v>
      </c>
      <c r="D6461" s="6">
        <v>2.9989678424319801E-6</v>
      </c>
      <c r="E6461" s="3" t="s">
        <v>9405</v>
      </c>
      <c r="F6461" s="3" t="s">
        <v>9406</v>
      </c>
      <c r="G6461" s="3">
        <v>214580</v>
      </c>
      <c r="H6461" s="7" t="str">
        <f>HYPERLINK("http://www.ensembl.org/Mus_musculus/Gene/Summary?db=core;g=ENSMUSG00000063179","ENSMUSG00000063179")</f>
        <v>ENSMUSG00000063179</v>
      </c>
      <c r="I6461" s="7" t="str">
        <f>HYPERLINK("http://www.informatics.jax.org/marker/MGI:2685945","MGI:2685945")</f>
        <v>MGI:2685945</v>
      </c>
      <c r="J6461" s="4" t="s">
        <v>12</v>
      </c>
    </row>
    <row r="6462" spans="1:10" x14ac:dyDescent="0.25">
      <c r="A6462" s="2">
        <v>3188.0108468997901</v>
      </c>
      <c r="B6462" s="3">
        <v>-0.61490886794003496</v>
      </c>
      <c r="C6462" s="5">
        <v>1.00499183709745E-8</v>
      </c>
      <c r="D6462" s="6">
        <v>4.9857708245438399E-8</v>
      </c>
      <c r="E6462" s="3" t="s">
        <v>7967</v>
      </c>
      <c r="F6462" s="3" t="s">
        <v>7968</v>
      </c>
      <c r="G6462" s="3">
        <v>76192</v>
      </c>
      <c r="H6462" s="7" t="str">
        <f>HYPERLINK("http://www.ensembl.org/Mus_musculus/Gene/Summary?db=core;g=ENSMUSG00000032046","ENSMUSG00000032046")</f>
        <v>ENSMUSG00000032046</v>
      </c>
      <c r="I6462" s="7" t="str">
        <f>HYPERLINK("http://www.informatics.jax.org/marker/MGI:1923442","MGI:1923442")</f>
        <v>MGI:1923442</v>
      </c>
      <c r="J6462" s="4" t="s">
        <v>12</v>
      </c>
    </row>
    <row r="6463" spans="1:10" x14ac:dyDescent="0.25">
      <c r="A6463" s="2">
        <v>31.3306584988913</v>
      </c>
      <c r="B6463" s="3">
        <v>-0.61505571926417602</v>
      </c>
      <c r="C6463" s="3">
        <v>2.5050886862842299E-3</v>
      </c>
      <c r="D6463" s="4">
        <v>6.96466218715987E-3</v>
      </c>
      <c r="E6463" s="3" t="s">
        <v>14193</v>
      </c>
      <c r="F6463" s="3" t="s">
        <v>14194</v>
      </c>
      <c r="G6463" s="3" t="s">
        <v>83</v>
      </c>
      <c r="H6463" s="7" t="str">
        <f>HYPERLINK("http://www.ensembl.org/Mus_musculus/Gene/Summary?db=core;g=ENSMUSG00000099655","ENSMUSG00000099655")</f>
        <v>ENSMUSG00000099655</v>
      </c>
      <c r="I6463" s="7" t="str">
        <f>HYPERLINK("http://www.informatics.jax.org/marker/MGI:1922829","MGI:1922829")</f>
        <v>MGI:1922829</v>
      </c>
      <c r="J6463" s="4" t="s">
        <v>12</v>
      </c>
    </row>
    <row r="6464" spans="1:10" x14ac:dyDescent="0.25">
      <c r="A6464" s="2">
        <v>97.093724329775199</v>
      </c>
      <c r="B6464" s="3">
        <v>-0.61524028485180504</v>
      </c>
      <c r="C6464" s="5">
        <v>4.7768762371236497E-7</v>
      </c>
      <c r="D6464" s="6">
        <v>2.0416124706562301E-6</v>
      </c>
      <c r="E6464" s="3" t="s">
        <v>9243</v>
      </c>
      <c r="F6464" s="3" t="s">
        <v>9244</v>
      </c>
      <c r="G6464" s="3">
        <v>68554</v>
      </c>
      <c r="H6464" s="7" t="str">
        <f>HYPERLINK("http://www.ensembl.org/Mus_musculus/Gene/Summary?db=core;g=ENSMUSG00000062691","ENSMUSG00000062691")</f>
        <v>ENSMUSG00000062691</v>
      </c>
      <c r="I6464" s="7" t="str">
        <f>HYPERLINK("http://www.informatics.jax.org/marker/MGI:1915804","MGI:1915804")</f>
        <v>MGI:1915804</v>
      </c>
      <c r="J6464" s="4" t="s">
        <v>12</v>
      </c>
    </row>
    <row r="6465" spans="1:10" x14ac:dyDescent="0.25">
      <c r="A6465" s="2">
        <v>137.048201537148</v>
      </c>
      <c r="B6465" s="3">
        <v>-0.61526457356120301</v>
      </c>
      <c r="C6465" s="5">
        <v>4.3446918735368402E-7</v>
      </c>
      <c r="D6465" s="6">
        <v>1.8645772306016601E-6</v>
      </c>
      <c r="E6465" s="3" t="s">
        <v>9205</v>
      </c>
      <c r="F6465" s="3" t="s">
        <v>9206</v>
      </c>
      <c r="G6465" s="3">
        <v>26386</v>
      </c>
      <c r="H6465" s="7" t="str">
        <f>HYPERLINK("http://www.ensembl.org/Mus_musculus/Gene/Summary?db=core;g=ENSMUSG00000033249","ENSMUSG00000033249")</f>
        <v>ENSMUSG00000033249</v>
      </c>
      <c r="I6465" s="7" t="str">
        <f>HYPERLINK("http://www.informatics.jax.org/marker/MGI:1347058","MGI:1347058")</f>
        <v>MGI:1347058</v>
      </c>
      <c r="J6465" s="4" t="s">
        <v>12</v>
      </c>
    </row>
    <row r="6466" spans="1:10" x14ac:dyDescent="0.25">
      <c r="A6466" s="2">
        <v>1037.65055731281</v>
      </c>
      <c r="B6466" s="3">
        <v>-0.61585716145421499</v>
      </c>
      <c r="C6466" s="5">
        <v>5.19356037570285E-17</v>
      </c>
      <c r="D6466" s="6">
        <v>4.41833522902761E-16</v>
      </c>
      <c r="E6466" s="3" t="s">
        <v>4653</v>
      </c>
      <c r="F6466" s="3" t="s">
        <v>4654</v>
      </c>
      <c r="G6466" s="3">
        <v>23908</v>
      </c>
      <c r="H6466" s="7" t="str">
        <f>HYPERLINK("http://www.ensembl.org/Mus_musculus/Gene/Summary?db=core;g=ENSMUSG00000040151","ENSMUSG00000040151")</f>
        <v>ENSMUSG00000040151</v>
      </c>
      <c r="I6466" s="7" t="str">
        <f>HYPERLINK("http://www.informatics.jax.org/marker/MGI:1346049","MGI:1346049")</f>
        <v>MGI:1346049</v>
      </c>
      <c r="J6466" s="4" t="s">
        <v>12</v>
      </c>
    </row>
    <row r="6467" spans="1:10" x14ac:dyDescent="0.25">
      <c r="A6467" s="2">
        <v>357.96411426472503</v>
      </c>
      <c r="B6467" s="3">
        <v>-0.61594287230504996</v>
      </c>
      <c r="C6467" s="5">
        <v>1.331658914618E-7</v>
      </c>
      <c r="D6467" s="6">
        <v>5.9723251754075598E-7</v>
      </c>
      <c r="E6467" s="3" t="s">
        <v>8811</v>
      </c>
      <c r="F6467" s="3" t="s">
        <v>8812</v>
      </c>
      <c r="G6467" s="3">
        <v>19729</v>
      </c>
      <c r="H6467" s="7" t="str">
        <f>HYPERLINK("http://www.ensembl.org/Mus_musculus/Gene/Summary?db=core;g=ENSMUSG00000027953","ENSMUSG00000027953")</f>
        <v>ENSMUSG00000027953</v>
      </c>
      <c r="I6467" s="7" t="str">
        <f>HYPERLINK("http://www.informatics.jax.org/marker/MGI:107417","MGI:107417")</f>
        <v>MGI:107417</v>
      </c>
      <c r="J6467" s="4" t="s">
        <v>12</v>
      </c>
    </row>
    <row r="6468" spans="1:10" x14ac:dyDescent="0.25">
      <c r="A6468" s="2">
        <v>34.154850221300499</v>
      </c>
      <c r="B6468" s="3">
        <v>-0.61632270992750804</v>
      </c>
      <c r="C6468" s="3">
        <v>5.7469888101269601E-3</v>
      </c>
      <c r="D6468" s="4">
        <v>1.5014655449881301E-2</v>
      </c>
      <c r="E6468" s="3" t="s">
        <v>15100</v>
      </c>
      <c r="F6468" s="3" t="s">
        <v>15101</v>
      </c>
      <c r="G6468" s="3" t="s">
        <v>83</v>
      </c>
      <c r="H6468" s="7" t="str">
        <f>HYPERLINK("http://www.ensembl.org/Mus_musculus/Gene/Summary?db=core;g=ENSMUSG00000085433","ENSMUSG00000085433")</f>
        <v>ENSMUSG00000085433</v>
      </c>
      <c r="I6468" s="7" t="str">
        <f>HYPERLINK("http://www.informatics.jax.org/marker/MGI:3802119","MGI:3802119")</f>
        <v>MGI:3802119</v>
      </c>
      <c r="J6468" s="4" t="s">
        <v>939</v>
      </c>
    </row>
    <row r="6469" spans="1:10" x14ac:dyDescent="0.25">
      <c r="A6469" s="2">
        <v>135.78164122936101</v>
      </c>
      <c r="B6469" s="3">
        <v>-0.61650288089113403</v>
      </c>
      <c r="C6469" s="5">
        <v>9.3998284392195695E-7</v>
      </c>
      <c r="D6469" s="6">
        <v>3.8983095020275501E-6</v>
      </c>
      <c r="E6469" s="3" t="s">
        <v>9525</v>
      </c>
      <c r="F6469" s="3" t="s">
        <v>9526</v>
      </c>
      <c r="G6469" s="3">
        <v>380718</v>
      </c>
      <c r="H6469" s="7" t="str">
        <f>HYPERLINK("http://www.ensembl.org/Mus_musculus/Gene/Summary?db=core;g=ENSMUSG00000034121","ENSMUSG00000034121")</f>
        <v>ENSMUSG00000034121</v>
      </c>
      <c r="I6469" s="7" t="str">
        <f>HYPERLINK("http://www.informatics.jax.org/marker/MGI:3584243","MGI:3584243")</f>
        <v>MGI:3584243</v>
      </c>
      <c r="J6469" s="4" t="s">
        <v>12</v>
      </c>
    </row>
    <row r="6470" spans="1:10" x14ac:dyDescent="0.25">
      <c r="A6470" s="2">
        <v>335.96071368816803</v>
      </c>
      <c r="B6470" s="3">
        <v>-0.61704687288992999</v>
      </c>
      <c r="C6470" s="5">
        <v>3.4023689299537299E-11</v>
      </c>
      <c r="D6470" s="6">
        <v>2.04994547200389E-10</v>
      </c>
      <c r="E6470" s="3" t="s">
        <v>6563</v>
      </c>
      <c r="F6470" s="3" t="s">
        <v>6564</v>
      </c>
      <c r="G6470" s="3">
        <v>211896</v>
      </c>
      <c r="H6470" s="7" t="str">
        <f>HYPERLINK("http://www.ensembl.org/Mus_musculus/Gene/Summary?db=core;g=ENSMUSG00000027173","ENSMUSG00000027173")</f>
        <v>ENSMUSG00000027173</v>
      </c>
      <c r="I6470" s="7" t="str">
        <f>HYPERLINK("http://www.informatics.jax.org/marker/MGI:2139258","MGI:2139258")</f>
        <v>MGI:2139258</v>
      </c>
      <c r="J6470" s="4" t="s">
        <v>12</v>
      </c>
    </row>
    <row r="6471" spans="1:10" x14ac:dyDescent="0.25">
      <c r="A6471" s="2">
        <v>1533.817877687</v>
      </c>
      <c r="B6471" s="3">
        <v>-0.61809812737956304</v>
      </c>
      <c r="C6471" s="5">
        <v>1.83925236854606E-6</v>
      </c>
      <c r="D6471" s="6">
        <v>7.4126418777290397E-6</v>
      </c>
      <c r="E6471" s="3" t="s">
        <v>9801</v>
      </c>
      <c r="F6471" s="3" t="s">
        <v>9802</v>
      </c>
      <c r="G6471" s="3">
        <v>279572</v>
      </c>
      <c r="H6471" s="7" t="str">
        <f>HYPERLINK("http://www.ensembl.org/Mus_musculus/Gene/Summary?db=core;g=ENSMUSG00000033777","ENSMUSG00000033777")</f>
        <v>ENSMUSG00000033777</v>
      </c>
      <c r="I6471" s="7" t="str">
        <f>HYPERLINK("http://www.informatics.jax.org/marker/MGI:3045213","MGI:3045213")</f>
        <v>MGI:3045213</v>
      </c>
      <c r="J6471" s="4" t="s">
        <v>12</v>
      </c>
    </row>
    <row r="6472" spans="1:10" x14ac:dyDescent="0.25">
      <c r="A6472" s="2">
        <v>148.19168557521499</v>
      </c>
      <c r="B6472" s="3">
        <v>-0.61953787230720303</v>
      </c>
      <c r="C6472" s="3">
        <v>2.74708494511123E-4</v>
      </c>
      <c r="D6472" s="4">
        <v>8.7502043478587495E-4</v>
      </c>
      <c r="E6472" s="3" t="s">
        <v>12394</v>
      </c>
      <c r="F6472" s="3" t="s">
        <v>12395</v>
      </c>
      <c r="G6472" s="3">
        <v>227721</v>
      </c>
      <c r="H6472" s="7" t="str">
        <f>HYPERLINK("http://www.ensembl.org/Mus_musculus/Gene/Summary?db=core;g=ENSMUSG00000051373","ENSMUSG00000051373")</f>
        <v>ENSMUSG00000051373</v>
      </c>
      <c r="I6472" s="7" t="str">
        <f>HYPERLINK("http://www.informatics.jax.org/marker/MGI:2445183","MGI:2445183")</f>
        <v>MGI:2445183</v>
      </c>
      <c r="J6472" s="4" t="s">
        <v>12</v>
      </c>
    </row>
    <row r="6473" spans="1:10" x14ac:dyDescent="0.25">
      <c r="A6473" s="2">
        <v>1795.9028056760001</v>
      </c>
      <c r="B6473" s="3">
        <v>-0.62021896263354803</v>
      </c>
      <c r="C6473" s="5">
        <v>1.6602991827040898E-5</v>
      </c>
      <c r="D6473" s="6">
        <v>6.0845753359830402E-5</v>
      </c>
      <c r="E6473" s="3" t="s">
        <v>10774</v>
      </c>
      <c r="F6473" s="3" t="s">
        <v>10775</v>
      </c>
      <c r="G6473" s="3">
        <v>12262</v>
      </c>
      <c r="H6473" s="7" t="str">
        <f>HYPERLINK("http://www.ensembl.org/Mus_musculus/Gene/Summary?db=core;g=ENSMUSG00000036896","ENSMUSG00000036896")</f>
        <v>ENSMUSG00000036896</v>
      </c>
      <c r="I6473" s="7" t="str">
        <f>HYPERLINK("http://www.informatics.jax.org/marker/MGI:88225","MGI:88225")</f>
        <v>MGI:88225</v>
      </c>
      <c r="J6473" s="4" t="s">
        <v>12</v>
      </c>
    </row>
    <row r="6474" spans="1:10" x14ac:dyDescent="0.25">
      <c r="A6474" s="2">
        <v>1720.7572198728001</v>
      </c>
      <c r="B6474" s="3">
        <v>-0.62041508770714904</v>
      </c>
      <c r="C6474" s="5">
        <v>1.7166769121684499E-17</v>
      </c>
      <c r="D6474" s="6">
        <v>1.5065807168652399E-16</v>
      </c>
      <c r="E6474" s="3" t="s">
        <v>4511</v>
      </c>
      <c r="F6474" s="3" t="s">
        <v>4512</v>
      </c>
      <c r="G6474" s="3">
        <v>16765</v>
      </c>
      <c r="H6474" s="7" t="str">
        <f>HYPERLINK("http://www.ensembl.org/Mus_musculus/Gene/Summary?db=core;g=ENSMUSG00000028832","ENSMUSG00000028832")</f>
        <v>ENSMUSG00000028832</v>
      </c>
      <c r="I6474" s="7" t="str">
        <f>HYPERLINK("http://www.informatics.jax.org/marker/MGI:96739","MGI:96739")</f>
        <v>MGI:96739</v>
      </c>
      <c r="J6474" s="4" t="s">
        <v>12</v>
      </c>
    </row>
    <row r="6475" spans="1:10" x14ac:dyDescent="0.25">
      <c r="A6475" s="2">
        <v>804.59984394151195</v>
      </c>
      <c r="B6475" s="3">
        <v>-0.62050933908390604</v>
      </c>
      <c r="C6475" s="5">
        <v>3.0820589648745601E-5</v>
      </c>
      <c r="D6475" s="4">
        <v>1.0991293974435501E-4</v>
      </c>
      <c r="E6475" s="3" t="s">
        <v>11070</v>
      </c>
      <c r="F6475" s="3" t="s">
        <v>11071</v>
      </c>
      <c r="G6475" s="3">
        <v>13808</v>
      </c>
      <c r="H6475" s="7" t="str">
        <f>HYPERLINK("http://www.ensembl.org/Mus_musculus/Gene/Summary?db=core;g=ENSMUSG00000060600","ENSMUSG00000060600")</f>
        <v>ENSMUSG00000060600</v>
      </c>
      <c r="I6475" s="7" t="str">
        <f>HYPERLINK("http://www.informatics.jax.org/marker/MGI:95395","MGI:95395")</f>
        <v>MGI:95395</v>
      </c>
      <c r="J6475" s="4" t="s">
        <v>12</v>
      </c>
    </row>
    <row r="6476" spans="1:10" x14ac:dyDescent="0.25">
      <c r="A6476" s="2">
        <v>412.89828675998302</v>
      </c>
      <c r="B6476" s="3">
        <v>-0.62101301162753397</v>
      </c>
      <c r="C6476" s="5">
        <v>2.56069998363365E-14</v>
      </c>
      <c r="D6476" s="6">
        <v>1.89767018704456E-13</v>
      </c>
      <c r="E6476" s="3" t="s">
        <v>5339</v>
      </c>
      <c r="F6476" s="3" t="s">
        <v>5340</v>
      </c>
      <c r="G6476" s="3">
        <v>212111</v>
      </c>
      <c r="H6476" s="7" t="str">
        <f>HYPERLINK("http://www.ensembl.org/Mus_musculus/Gene/Summary?db=core;g=ENSMUSG00000025477","ENSMUSG00000025477")</f>
        <v>ENSMUSG00000025477</v>
      </c>
      <c r="I6476" s="7" t="str">
        <f>HYPERLINK("http://www.informatics.jax.org/marker/MGI:2686961","MGI:2686961")</f>
        <v>MGI:2686961</v>
      </c>
      <c r="J6476" s="4" t="s">
        <v>12</v>
      </c>
    </row>
    <row r="6477" spans="1:10" x14ac:dyDescent="0.25">
      <c r="A6477" s="2">
        <v>225.82963335725299</v>
      </c>
      <c r="B6477" s="3">
        <v>-0.62146648566520402</v>
      </c>
      <c r="C6477" s="5">
        <v>2.2256597400227301E-9</v>
      </c>
      <c r="D6477" s="6">
        <v>1.1614186312053E-8</v>
      </c>
      <c r="E6477" s="3" t="s">
        <v>7576</v>
      </c>
      <c r="F6477" s="3" t="s">
        <v>7577</v>
      </c>
      <c r="G6477" s="3">
        <v>26412</v>
      </c>
      <c r="H6477" s="7" t="str">
        <f>HYPERLINK("http://www.ensembl.org/Mus_musculus/Gene/Summary?db=core;g=ENSMUSG00000024948","ENSMUSG00000024948")</f>
        <v>ENSMUSG00000024948</v>
      </c>
      <c r="I6477" s="7" t="str">
        <f>HYPERLINK("http://www.informatics.jax.org/marker/MGI:1346883","MGI:1346883")</f>
        <v>MGI:1346883</v>
      </c>
      <c r="J6477" s="4" t="s">
        <v>12</v>
      </c>
    </row>
    <row r="6478" spans="1:10" x14ac:dyDescent="0.25">
      <c r="A6478" s="2">
        <v>627.04743161884301</v>
      </c>
      <c r="B6478" s="3">
        <v>-0.62150789809064899</v>
      </c>
      <c r="C6478" s="5">
        <v>7.1190568241329398E-17</v>
      </c>
      <c r="D6478" s="6">
        <v>6.0071801699572795E-16</v>
      </c>
      <c r="E6478" s="3" t="s">
        <v>4691</v>
      </c>
      <c r="F6478" s="3" t="s">
        <v>4692</v>
      </c>
      <c r="G6478" s="3">
        <v>268417</v>
      </c>
      <c r="H6478" s="7" t="str">
        <f>HYPERLINK("http://www.ensembl.org/Mus_musculus/Gene/Summary?db=core;g=ENSMUSG00000020472","ENSMUSG00000020472")</f>
        <v>ENSMUSG00000020472</v>
      </c>
      <c r="I6478" s="7" t="str">
        <f>HYPERLINK("http://www.informatics.jax.org/marker/MGI:2679270","MGI:2679270")</f>
        <v>MGI:2679270</v>
      </c>
      <c r="J6478" s="4" t="s">
        <v>12</v>
      </c>
    </row>
    <row r="6479" spans="1:10" x14ac:dyDescent="0.25">
      <c r="A6479" s="2">
        <v>314.98778084360902</v>
      </c>
      <c r="B6479" s="3">
        <v>-0.62168583555828305</v>
      </c>
      <c r="C6479" s="5">
        <v>4.9195057985664499E-10</v>
      </c>
      <c r="D6479" s="6">
        <v>2.6962938951564898E-9</v>
      </c>
      <c r="E6479" s="3" t="s">
        <v>7214</v>
      </c>
      <c r="F6479" s="3" t="s">
        <v>7215</v>
      </c>
      <c r="G6479" s="3">
        <v>64707</v>
      </c>
      <c r="H6479" s="7" t="str">
        <f>HYPERLINK("http://www.ensembl.org/Mus_musculus/Gene/Summary?db=core;g=ENSMUSG00000026646","ENSMUSG00000026646")</f>
        <v>ENSMUSG00000026646</v>
      </c>
      <c r="I6479" s="7" t="str">
        <f>HYPERLINK("http://www.informatics.jax.org/marker/MGI:1890396","MGI:1890396")</f>
        <v>MGI:1890396</v>
      </c>
      <c r="J6479" s="4" t="s">
        <v>12</v>
      </c>
    </row>
    <row r="6480" spans="1:10" x14ac:dyDescent="0.25">
      <c r="A6480" s="2">
        <v>2988.79637511292</v>
      </c>
      <c r="B6480" s="3">
        <v>-0.621808951655211</v>
      </c>
      <c r="C6480" s="5">
        <v>5.3209025275863497E-42</v>
      </c>
      <c r="D6480" s="6">
        <v>1.1455043432751401E-40</v>
      </c>
      <c r="E6480" s="3" t="s">
        <v>1849</v>
      </c>
      <c r="F6480" s="3" t="s">
        <v>1850</v>
      </c>
      <c r="G6480" s="3">
        <v>228880</v>
      </c>
      <c r="H6480" s="7" t="str">
        <f>HYPERLINK("http://www.ensembl.org/Mus_musculus/Gene/Summary?db=core;g=ENSMUSG00000039671","ENSMUSG00000039671")</f>
        <v>ENSMUSG00000039671</v>
      </c>
      <c r="I6480" s="7" t="str">
        <f>HYPERLINK("http://www.informatics.jax.org/marker/MGI:1918025","MGI:1918025")</f>
        <v>MGI:1918025</v>
      </c>
      <c r="J6480" s="4" t="s">
        <v>12</v>
      </c>
    </row>
    <row r="6481" spans="1:10" x14ac:dyDescent="0.25">
      <c r="A6481" s="2">
        <v>37.2282259104784</v>
      </c>
      <c r="B6481" s="3">
        <v>-0.62225750762380305</v>
      </c>
      <c r="C6481" s="3">
        <v>1.2886735898820199E-3</v>
      </c>
      <c r="D6481" s="4">
        <v>3.7443116535249002E-3</v>
      </c>
      <c r="E6481" s="3" t="s">
        <v>13583</v>
      </c>
      <c r="F6481" s="3" t="s">
        <v>13584</v>
      </c>
      <c r="G6481" s="3">
        <v>69234</v>
      </c>
      <c r="H6481" s="7" t="str">
        <f>HYPERLINK("http://www.ensembl.org/Mus_musculus/Gene/Summary?db=core;g=ENSMUSG00000045251","ENSMUSG00000045251")</f>
        <v>ENSMUSG00000045251</v>
      </c>
      <c r="I6481" s="7" t="str">
        <f>HYPERLINK("http://www.informatics.jax.org/marker/MGI:1916484","MGI:1916484")</f>
        <v>MGI:1916484</v>
      </c>
      <c r="J6481" s="4" t="s">
        <v>12</v>
      </c>
    </row>
    <row r="6482" spans="1:10" x14ac:dyDescent="0.25">
      <c r="A6482" s="2">
        <v>643.02718318595896</v>
      </c>
      <c r="B6482" s="3">
        <v>-0.62248652955296502</v>
      </c>
      <c r="C6482" s="5">
        <v>4.6892599272424601E-24</v>
      </c>
      <c r="D6482" s="6">
        <v>5.5207287024012705E-23</v>
      </c>
      <c r="E6482" s="3" t="s">
        <v>3370</v>
      </c>
      <c r="F6482" s="3" t="s">
        <v>3371</v>
      </c>
      <c r="G6482" s="3">
        <v>108934</v>
      </c>
      <c r="H6482" s="7" t="str">
        <f>HYPERLINK("http://www.ensembl.org/Mus_musculus/Gene/Summary?db=core;g=ENSMUSG00000091264","ENSMUSG00000091264")</f>
        <v>ENSMUSG00000091264</v>
      </c>
      <c r="I6482" s="7" t="str">
        <f>HYPERLINK("http://www.informatics.jax.org/marker/MGI:2652854","MGI:2652854")</f>
        <v>MGI:2652854</v>
      </c>
      <c r="J6482" s="4" t="s">
        <v>12</v>
      </c>
    </row>
    <row r="6483" spans="1:10" x14ac:dyDescent="0.25">
      <c r="A6483" s="2">
        <v>427.26829661291799</v>
      </c>
      <c r="B6483" s="3">
        <v>-0.62292816210053203</v>
      </c>
      <c r="C6483" s="5">
        <v>7.4890469984630505E-11</v>
      </c>
      <c r="D6483" s="6">
        <v>4.38361551824551E-10</v>
      </c>
      <c r="E6483" s="3" t="s">
        <v>6756</v>
      </c>
      <c r="F6483" s="3" t="s">
        <v>6757</v>
      </c>
      <c r="G6483" s="3">
        <v>209334</v>
      </c>
      <c r="H6483" s="7" t="str">
        <f>HYPERLINK("http://www.ensembl.org/Mus_musculus/Gene/Summary?db=core;g=ENSMUSG00000051235","ENSMUSG00000051235")</f>
        <v>ENSMUSG00000051235</v>
      </c>
      <c r="I6483" s="7" t="str">
        <f>HYPERLINK("http://www.informatics.jax.org/marker/MGI:2443149","MGI:2443149")</f>
        <v>MGI:2443149</v>
      </c>
      <c r="J6483" s="4" t="s">
        <v>12</v>
      </c>
    </row>
    <row r="6484" spans="1:10" x14ac:dyDescent="0.25">
      <c r="A6484" s="2">
        <v>13916.6494938345</v>
      </c>
      <c r="B6484" s="3">
        <v>-0.62401424575834996</v>
      </c>
      <c r="C6484" s="5">
        <v>6.0232113391245299E-54</v>
      </c>
      <c r="D6484" s="6">
        <v>1.7861312422185801E-52</v>
      </c>
      <c r="E6484" s="3" t="s">
        <v>1346</v>
      </c>
      <c r="F6484" s="3" t="s">
        <v>1347</v>
      </c>
      <c r="G6484" s="3">
        <v>16792</v>
      </c>
      <c r="H6484" s="7" t="str">
        <f>HYPERLINK("http://www.ensembl.org/Mus_musculus/Gene/Summary?db=core;g=ENSMUSG00000028581","ENSMUSG00000028581")</f>
        <v>ENSMUSG00000028581</v>
      </c>
      <c r="I6484" s="7" t="str">
        <f>HYPERLINK("http://www.informatics.jax.org/marker/MGI:108046","MGI:108046")</f>
        <v>MGI:108046</v>
      </c>
      <c r="J6484" s="4" t="s">
        <v>12</v>
      </c>
    </row>
    <row r="6485" spans="1:10" x14ac:dyDescent="0.25">
      <c r="A6485" s="2">
        <v>64.711878900859006</v>
      </c>
      <c r="B6485" s="3">
        <v>-0.62405040953425495</v>
      </c>
      <c r="C6485" s="3">
        <v>1.19357249464593E-4</v>
      </c>
      <c r="D6485" s="4">
        <v>3.9853114789058198E-4</v>
      </c>
      <c r="E6485" s="3" t="s">
        <v>11823</v>
      </c>
      <c r="F6485" s="3" t="s">
        <v>11824</v>
      </c>
      <c r="G6485" s="3">
        <v>216459</v>
      </c>
      <c r="H6485" s="7" t="str">
        <f>HYPERLINK("http://www.ensembl.org/Mus_musculus/Gene/Summary?db=core;g=ENSMUSG00000039824","ENSMUSG00000039824")</f>
        <v>ENSMUSG00000039824</v>
      </c>
      <c r="I6485" s="7" t="str">
        <f>HYPERLINK("http://www.informatics.jax.org/marker/MGI:1917789","MGI:1917789")</f>
        <v>MGI:1917789</v>
      </c>
      <c r="J6485" s="4" t="s">
        <v>12</v>
      </c>
    </row>
    <row r="6486" spans="1:10" x14ac:dyDescent="0.25">
      <c r="A6486" s="2">
        <v>536.643763508711</v>
      </c>
      <c r="B6486" s="3">
        <v>-0.62443147767279705</v>
      </c>
      <c r="C6486" s="5">
        <v>1.09508329717823E-11</v>
      </c>
      <c r="D6486" s="6">
        <v>6.8166169887483398E-11</v>
      </c>
      <c r="E6486" s="3" t="s">
        <v>6353</v>
      </c>
      <c r="F6486" s="3" t="s">
        <v>6354</v>
      </c>
      <c r="G6486" s="3">
        <v>70549</v>
      </c>
      <c r="H6486" s="7" t="str">
        <f>HYPERLINK("http://www.ensembl.org/Mus_musculus/Gene/Summary?db=core;g=ENSMUSG00000052698","ENSMUSG00000052698")</f>
        <v>ENSMUSG00000052698</v>
      </c>
      <c r="I6486" s="7" t="str">
        <f>HYPERLINK("http://www.informatics.jax.org/marker/MGI:1917799","MGI:1917799")</f>
        <v>MGI:1917799</v>
      </c>
      <c r="J6486" s="4" t="s">
        <v>12</v>
      </c>
    </row>
    <row r="6487" spans="1:10" x14ac:dyDescent="0.25">
      <c r="A6487" s="2">
        <v>757.45549206473595</v>
      </c>
      <c r="B6487" s="3">
        <v>-0.62472226302676404</v>
      </c>
      <c r="C6487" s="5">
        <v>5.6195339689566896E-17</v>
      </c>
      <c r="D6487" s="6">
        <v>4.7704352073967298E-16</v>
      </c>
      <c r="E6487" s="3" t="s">
        <v>4663</v>
      </c>
      <c r="F6487" s="3" t="s">
        <v>4664</v>
      </c>
      <c r="G6487" s="3">
        <v>67005</v>
      </c>
      <c r="H6487" s="7" t="str">
        <f>HYPERLINK("http://www.ensembl.org/Mus_musculus/Gene/Summary?db=core;g=ENSMUSG00000038628","ENSMUSG00000038628")</f>
        <v>ENSMUSG00000038628</v>
      </c>
      <c r="I6487" s="7" t="str">
        <f>HYPERLINK("http://www.informatics.jax.org/marker/MGI:1914255","MGI:1914255")</f>
        <v>MGI:1914255</v>
      </c>
      <c r="J6487" s="4" t="s">
        <v>12</v>
      </c>
    </row>
    <row r="6488" spans="1:10" x14ac:dyDescent="0.25">
      <c r="A6488" s="2">
        <v>137.60782917429501</v>
      </c>
      <c r="B6488" s="3">
        <v>-0.62498518615757404</v>
      </c>
      <c r="C6488" s="5">
        <v>1.89285576383492E-6</v>
      </c>
      <c r="D6488" s="6">
        <v>7.6224455100724401E-6</v>
      </c>
      <c r="E6488" s="3" t="s">
        <v>9807</v>
      </c>
      <c r="F6488" s="3" t="s">
        <v>9808</v>
      </c>
      <c r="G6488" s="3">
        <v>26447</v>
      </c>
      <c r="H6488" s="7" t="str">
        <f>HYPERLINK("http://www.ensembl.org/Mus_musculus/Gene/Summary?db=core;g=ENSMUSG00000038425","ENSMUSG00000038425")</f>
        <v>ENSMUSG00000038425</v>
      </c>
      <c r="I6488" s="7" t="str">
        <f>HYPERLINK("http://www.informatics.jax.org/marker/MGI:1347081","MGI:1347081")</f>
        <v>MGI:1347081</v>
      </c>
      <c r="J6488" s="4" t="s">
        <v>12</v>
      </c>
    </row>
    <row r="6489" spans="1:10" x14ac:dyDescent="0.25">
      <c r="A6489" s="2">
        <v>261.97862253219802</v>
      </c>
      <c r="B6489" s="3">
        <v>-0.62525744711945597</v>
      </c>
      <c r="C6489" s="5">
        <v>8.2956806237527302E-10</v>
      </c>
      <c r="D6489" s="6">
        <v>4.4733612770140503E-9</v>
      </c>
      <c r="E6489" s="3" t="s">
        <v>7332</v>
      </c>
      <c r="F6489" s="3" t="s">
        <v>7333</v>
      </c>
      <c r="G6489" s="3">
        <v>320100</v>
      </c>
      <c r="H6489" s="7" t="str">
        <f>HYPERLINK("http://www.ensembl.org/Mus_musculus/Gene/Summary?db=core;g=ENSMUSG00000008318","ENSMUSG00000008318")</f>
        <v>ENSMUSG00000008318</v>
      </c>
      <c r="I6489" s="7" t="str">
        <f>HYPERLINK("http://www.informatics.jax.org/marker/MGI:2443373","MGI:2443373")</f>
        <v>MGI:2443373</v>
      </c>
      <c r="J6489" s="4" t="s">
        <v>12</v>
      </c>
    </row>
    <row r="6490" spans="1:10" x14ac:dyDescent="0.25">
      <c r="A6490" s="2">
        <v>471.60660401963099</v>
      </c>
      <c r="B6490" s="3">
        <v>-0.625616410578412</v>
      </c>
      <c r="C6490" s="5">
        <v>1.2923747902462E-17</v>
      </c>
      <c r="D6490" s="6">
        <v>1.14285340195762E-16</v>
      </c>
      <c r="E6490" s="3" t="s">
        <v>4477</v>
      </c>
      <c r="F6490" s="3" t="s">
        <v>4478</v>
      </c>
      <c r="G6490" s="3">
        <v>70974</v>
      </c>
      <c r="H6490" s="7" t="str">
        <f>HYPERLINK("http://www.ensembl.org/Mus_musculus/Gene/Summary?db=core;g=ENSMUSG00000030729","ENSMUSG00000030729")</f>
        <v>ENSMUSG00000030729</v>
      </c>
      <c r="I6490" s="7" t="str">
        <f>HYPERLINK("http://www.informatics.jax.org/marker/MGI:1918224","MGI:1918224")</f>
        <v>MGI:1918224</v>
      </c>
      <c r="J6490" s="4" t="s">
        <v>12</v>
      </c>
    </row>
    <row r="6491" spans="1:10" x14ac:dyDescent="0.25">
      <c r="A6491" s="2">
        <v>1186.5887491322301</v>
      </c>
      <c r="B6491" s="3">
        <v>-0.62623021294306203</v>
      </c>
      <c r="C6491" s="5">
        <v>2.7426397467445E-17</v>
      </c>
      <c r="D6491" s="6">
        <v>2.37631176651149E-16</v>
      </c>
      <c r="E6491" s="3" t="s">
        <v>4569</v>
      </c>
      <c r="F6491" s="3" t="s">
        <v>4570</v>
      </c>
      <c r="G6491" s="3">
        <v>226154</v>
      </c>
      <c r="H6491" s="7" t="str">
        <f>HYPERLINK("http://www.ensembl.org/Mus_musculus/Gene/Summary?db=core;g=ENSMUSG00000035342","ENSMUSG00000035342")</f>
        <v>ENSMUSG00000035342</v>
      </c>
      <c r="I6491" s="7" t="str">
        <f>HYPERLINK("http://www.informatics.jax.org/marker/MGI:2385095","MGI:2385095")</f>
        <v>MGI:2385095</v>
      </c>
      <c r="J6491" s="4" t="s">
        <v>12</v>
      </c>
    </row>
    <row r="6492" spans="1:10" x14ac:dyDescent="0.25">
      <c r="A6492" s="2">
        <v>1513.78237681719</v>
      </c>
      <c r="B6492" s="3">
        <v>-0.62641694552689198</v>
      </c>
      <c r="C6492" s="5">
        <v>4.8338066779586299E-63</v>
      </c>
      <c r="D6492" s="6">
        <v>1.91027390159006E-61</v>
      </c>
      <c r="E6492" s="3" t="s">
        <v>1013</v>
      </c>
      <c r="F6492" s="3" t="s">
        <v>1014</v>
      </c>
      <c r="G6492" s="3">
        <v>11350</v>
      </c>
      <c r="H6492" s="7" t="str">
        <f>HYPERLINK("http://www.ensembl.org/Mus_musculus/Gene/Summary?db=core;g=ENSMUSG00000026842","ENSMUSG00000026842")</f>
        <v>ENSMUSG00000026842</v>
      </c>
      <c r="I6492" s="7" t="str">
        <f>HYPERLINK("http://www.informatics.jax.org/marker/MGI:87859","MGI:87859")</f>
        <v>MGI:87859</v>
      </c>
      <c r="J6492" s="4" t="s">
        <v>12</v>
      </c>
    </row>
    <row r="6493" spans="1:10" x14ac:dyDescent="0.25">
      <c r="A6493" s="2">
        <v>1588.12800646858</v>
      </c>
      <c r="B6493" s="3">
        <v>-0.62642893958650503</v>
      </c>
      <c r="C6493" s="5">
        <v>1.23800594511742E-24</v>
      </c>
      <c r="D6493" s="6">
        <v>1.49135474879142E-23</v>
      </c>
      <c r="E6493" s="3" t="s">
        <v>3294</v>
      </c>
      <c r="F6493" s="3" t="s">
        <v>3295</v>
      </c>
      <c r="G6493" s="3">
        <v>13006</v>
      </c>
      <c r="H6493" s="7" t="str">
        <f>HYPERLINK("http://www.ensembl.org/Mus_musculus/Gene/Summary?db=core;g=ENSMUSG00000024974","ENSMUSG00000024974")</f>
        <v>ENSMUSG00000024974</v>
      </c>
      <c r="I6493" s="7" t="str">
        <f>HYPERLINK("http://www.informatics.jax.org/marker/MGI:1339795","MGI:1339795")</f>
        <v>MGI:1339795</v>
      </c>
      <c r="J6493" s="4" t="s">
        <v>12</v>
      </c>
    </row>
    <row r="6494" spans="1:10" x14ac:dyDescent="0.25">
      <c r="A6494" s="2">
        <v>656.93309423061305</v>
      </c>
      <c r="B6494" s="3">
        <v>-0.62650977506323502</v>
      </c>
      <c r="C6494" s="5">
        <v>1.69245789180063E-9</v>
      </c>
      <c r="D6494" s="6">
        <v>8.9048211382893603E-9</v>
      </c>
      <c r="E6494" s="3" t="s">
        <v>7514</v>
      </c>
      <c r="F6494" s="3" t="s">
        <v>7515</v>
      </c>
      <c r="G6494" s="3">
        <v>72415</v>
      </c>
      <c r="H6494" s="7" t="str">
        <f>HYPERLINK("http://www.ensembl.org/Mus_musculus/Gene/Summary?db=core;g=ENSMUSG00000023940","ENSMUSG00000023940")</f>
        <v>ENSMUSG00000023940</v>
      </c>
      <c r="I6494" s="7" t="str">
        <f>HYPERLINK("http://www.informatics.jax.org/marker/MGI:1919665","MGI:1919665")</f>
        <v>MGI:1919665</v>
      </c>
      <c r="J6494" s="4" t="s">
        <v>12</v>
      </c>
    </row>
    <row r="6495" spans="1:10" x14ac:dyDescent="0.25">
      <c r="A6495" s="2">
        <v>211.02095708203001</v>
      </c>
      <c r="B6495" s="3">
        <v>-0.62659133521458699</v>
      </c>
      <c r="C6495" s="5">
        <v>1.4783050846482399E-10</v>
      </c>
      <c r="D6495" s="6">
        <v>8.4917495686755702E-10</v>
      </c>
      <c r="E6495" s="3" t="s">
        <v>6884</v>
      </c>
      <c r="F6495" s="3" t="s">
        <v>6885</v>
      </c>
      <c r="G6495" s="3">
        <v>110542</v>
      </c>
      <c r="H6495" s="7" t="str">
        <f>HYPERLINK("http://www.ensembl.org/Mus_musculus/Gene/Summary?db=core;g=ENSMUSG00000023047","ENSMUSG00000023047")</f>
        <v>ENSMUSG00000023047</v>
      </c>
      <c r="I6495" s="7" t="str">
        <f>HYPERLINK("http://www.informatics.jax.org/marker/MGI:105062","MGI:105062")</f>
        <v>MGI:105062</v>
      </c>
      <c r="J6495" s="4" t="s">
        <v>12</v>
      </c>
    </row>
    <row r="6496" spans="1:10" x14ac:dyDescent="0.25">
      <c r="A6496" s="2">
        <v>905.85138420429996</v>
      </c>
      <c r="B6496" s="3">
        <v>-0.626668259689656</v>
      </c>
      <c r="C6496" s="5">
        <v>4.7480517983933899E-27</v>
      </c>
      <c r="D6496" s="6">
        <v>6.2587955524276503E-26</v>
      </c>
      <c r="E6496" s="3" t="s">
        <v>3010</v>
      </c>
      <c r="F6496" s="3" t="s">
        <v>3011</v>
      </c>
      <c r="G6496" s="3">
        <v>66616</v>
      </c>
      <c r="H6496" s="7" t="str">
        <f>HYPERLINK("http://www.ensembl.org/Mus_musculus/Gene/Summary?db=core;g=ENSMUSG00000002365","ENSMUSG00000002365")</f>
        <v>ENSMUSG00000002365</v>
      </c>
      <c r="I6496" s="7" t="str">
        <f>HYPERLINK("http://www.informatics.jax.org/marker/MGI:1913866","MGI:1913866")</f>
        <v>MGI:1913866</v>
      </c>
      <c r="J6496" s="4" t="s">
        <v>12</v>
      </c>
    </row>
    <row r="6497" spans="1:10" x14ac:dyDescent="0.25">
      <c r="A6497" s="2">
        <v>912.40180169881705</v>
      </c>
      <c r="B6497" s="3">
        <v>-0.62696251233978395</v>
      </c>
      <c r="C6497" s="5">
        <v>7.6925038719878999E-23</v>
      </c>
      <c r="D6497" s="6">
        <v>8.6485847409122794E-22</v>
      </c>
      <c r="E6497" s="3" t="s">
        <v>3526</v>
      </c>
      <c r="F6497" s="3" t="s">
        <v>3527</v>
      </c>
      <c r="G6497" s="3">
        <v>76478</v>
      </c>
      <c r="H6497" s="7" t="str">
        <f>HYPERLINK("http://www.ensembl.org/Mus_musculus/Gene/Summary?db=core;g=ENSMUSG00000035439","ENSMUSG00000035439")</f>
        <v>ENSMUSG00000035439</v>
      </c>
      <c r="I6497" s="7" t="str">
        <f>HYPERLINK("http://www.informatics.jax.org/marker/MGI:1923728","MGI:1923728")</f>
        <v>MGI:1923728</v>
      </c>
      <c r="J6497" s="4" t="s">
        <v>12</v>
      </c>
    </row>
    <row r="6498" spans="1:10" x14ac:dyDescent="0.25">
      <c r="A6498" s="2">
        <v>237.09138276500599</v>
      </c>
      <c r="B6498" s="3">
        <v>-0.627143727151662</v>
      </c>
      <c r="C6498" s="5">
        <v>3.1781928026116499E-13</v>
      </c>
      <c r="D6498" s="6">
        <v>2.1960042770673299E-12</v>
      </c>
      <c r="E6498" s="3" t="s">
        <v>5725</v>
      </c>
      <c r="F6498" s="3" t="s">
        <v>5726</v>
      </c>
      <c r="G6498" s="3">
        <v>217340</v>
      </c>
      <c r="H6498" s="7" t="str">
        <f>HYPERLINK("http://www.ensembl.org/Mus_musculus/Gene/Summary?db=core;g=ENSMUSG00000052949","ENSMUSG00000052949")</f>
        <v>ENSMUSG00000052949</v>
      </c>
      <c r="I6498" s="7" t="str">
        <f>HYPERLINK("http://www.informatics.jax.org/marker/MGI:2442484","MGI:2442484")</f>
        <v>MGI:2442484</v>
      </c>
      <c r="J6498" s="4" t="s">
        <v>12</v>
      </c>
    </row>
    <row r="6499" spans="1:10" x14ac:dyDescent="0.25">
      <c r="A6499" s="2">
        <v>1801.1907970167799</v>
      </c>
      <c r="B6499" s="3">
        <v>-0.62725539029119404</v>
      </c>
      <c r="C6499" s="3">
        <v>4.4833474252489796E-3</v>
      </c>
      <c r="D6499" s="4">
        <v>1.19491297777956E-2</v>
      </c>
      <c r="E6499" s="3" t="s">
        <v>14802</v>
      </c>
      <c r="F6499" s="3" t="s">
        <v>14803</v>
      </c>
      <c r="G6499" s="3">
        <v>208715</v>
      </c>
      <c r="H6499" s="7" t="str">
        <f>HYPERLINK("http://www.ensembl.org/Mus_musculus/Gene/Summary?db=core;g=ENSMUSG00000093930","ENSMUSG00000093930")</f>
        <v>ENSMUSG00000093930</v>
      </c>
      <c r="I6499" s="7" t="str">
        <f>HYPERLINK("http://www.informatics.jax.org/marker/MGI:107592","MGI:107592")</f>
        <v>MGI:107592</v>
      </c>
      <c r="J6499" s="4" t="s">
        <v>12</v>
      </c>
    </row>
    <row r="6500" spans="1:10" x14ac:dyDescent="0.25">
      <c r="A6500" s="2">
        <v>133.54986295303499</v>
      </c>
      <c r="B6500" s="3">
        <v>-0.62760806800736002</v>
      </c>
      <c r="C6500" s="5">
        <v>1.7388915170338799E-8</v>
      </c>
      <c r="D6500" s="6">
        <v>8.4356557726711401E-8</v>
      </c>
      <c r="E6500" s="3" t="s">
        <v>8147</v>
      </c>
      <c r="F6500" s="3" t="s">
        <v>8148</v>
      </c>
      <c r="G6500" s="3">
        <v>14708</v>
      </c>
      <c r="H6500" s="7" t="str">
        <f>HYPERLINK("http://www.ensembl.org/Mus_musculus/Gene/Summary?db=core;g=ENSMUSG00000048240","ENSMUSG00000048240")</f>
        <v>ENSMUSG00000048240</v>
      </c>
      <c r="I6500" s="7" t="str">
        <f>HYPERLINK("http://www.informatics.jax.org/marker/MGI:95787","MGI:95787")</f>
        <v>MGI:95787</v>
      </c>
      <c r="J6500" s="4" t="s">
        <v>12</v>
      </c>
    </row>
    <row r="6501" spans="1:10" x14ac:dyDescent="0.25">
      <c r="A6501" s="2">
        <v>981.88583700263905</v>
      </c>
      <c r="B6501" s="3">
        <v>-0.628669278077993</v>
      </c>
      <c r="C6501" s="5">
        <v>3.39513591086395E-24</v>
      </c>
      <c r="D6501" s="6">
        <v>4.0308296304778501E-23</v>
      </c>
      <c r="E6501" s="3" t="s">
        <v>3342</v>
      </c>
      <c r="F6501" s="3" t="s">
        <v>3343</v>
      </c>
      <c r="G6501" s="3">
        <v>108735</v>
      </c>
      <c r="H6501" s="7" t="str">
        <f>HYPERLINK("http://www.ensembl.org/Mus_musculus/Gene/Summary?db=core;g=ENSMUSG00000040848","ENSMUSG00000040848")</f>
        <v>ENSMUSG00000040848</v>
      </c>
      <c r="I6501" s="7" t="str">
        <f>HYPERLINK("http://www.informatics.jax.org/marker/MGI:1917362","MGI:1917362")</f>
        <v>MGI:1917362</v>
      </c>
      <c r="J6501" s="4" t="s">
        <v>12</v>
      </c>
    </row>
    <row r="6502" spans="1:10" x14ac:dyDescent="0.25">
      <c r="A6502" s="2">
        <v>490.652427632637</v>
      </c>
      <c r="B6502" s="3">
        <v>-0.62900179013873403</v>
      </c>
      <c r="C6502" s="5">
        <v>5.0092898772060003E-13</v>
      </c>
      <c r="D6502" s="6">
        <v>3.4240276041075298E-12</v>
      </c>
      <c r="E6502" s="3" t="s">
        <v>5787</v>
      </c>
      <c r="F6502" s="3" t="s">
        <v>5788</v>
      </c>
      <c r="G6502" s="3">
        <v>16554</v>
      </c>
      <c r="H6502" s="7" t="str">
        <f>HYPERLINK("http://www.ensembl.org/Mus_musculus/Gene/Summary?db=core;g=ENSMUSG00000060012","ENSMUSG00000060012")</f>
        <v>ENSMUSG00000060012</v>
      </c>
      <c r="I6502" s="7" t="str">
        <f>HYPERLINK("http://www.informatics.jax.org/marker/MGI:1098265","MGI:1098265")</f>
        <v>MGI:1098265</v>
      </c>
      <c r="J6502" s="4" t="s">
        <v>12</v>
      </c>
    </row>
    <row r="6503" spans="1:10" x14ac:dyDescent="0.25">
      <c r="A6503" s="2">
        <v>4373.9888365044399</v>
      </c>
      <c r="B6503" s="3">
        <v>-0.62907011368958599</v>
      </c>
      <c r="C6503" s="5">
        <v>2.71850541067385E-14</v>
      </c>
      <c r="D6503" s="6">
        <v>2.01008349075697E-13</v>
      </c>
      <c r="E6503" s="3" t="s">
        <v>5351</v>
      </c>
      <c r="F6503" s="3" t="s">
        <v>5352</v>
      </c>
      <c r="G6503" s="3">
        <v>18538</v>
      </c>
      <c r="H6503" s="7" t="str">
        <f>HYPERLINK("http://www.ensembl.org/Mus_musculus/Gene/Summary?db=core;g=ENSMUSG00000027342","ENSMUSG00000027342")</f>
        <v>ENSMUSG00000027342</v>
      </c>
      <c r="I6503" s="7" t="str">
        <f>HYPERLINK("http://www.informatics.jax.org/marker/MGI:97503","MGI:97503")</f>
        <v>MGI:97503</v>
      </c>
      <c r="J6503" s="4" t="s">
        <v>12</v>
      </c>
    </row>
    <row r="6504" spans="1:10" x14ac:dyDescent="0.25">
      <c r="A6504" s="2">
        <v>271.08887605153399</v>
      </c>
      <c r="B6504" s="3">
        <v>-0.629325991192768</v>
      </c>
      <c r="C6504" s="5">
        <v>8.6193195752245105E-15</v>
      </c>
      <c r="D6504" s="6">
        <v>6.5575996151013598E-14</v>
      </c>
      <c r="E6504" s="3" t="s">
        <v>5201</v>
      </c>
      <c r="F6504" s="3" t="s">
        <v>5202</v>
      </c>
      <c r="G6504" s="3">
        <v>232879</v>
      </c>
      <c r="H6504" s="7" t="str">
        <f>HYPERLINK("http://www.ensembl.org/Mus_musculus/Gene/Summary?db=core;g=ENSMUSG00000049600","ENSMUSG00000049600")</f>
        <v>ENSMUSG00000049600</v>
      </c>
      <c r="I6504" s="7" t="str">
        <f>HYPERLINK("http://www.informatics.jax.org/marker/MGI:2685003","MGI:2685003")</f>
        <v>MGI:2685003</v>
      </c>
      <c r="J6504" s="4" t="s">
        <v>12</v>
      </c>
    </row>
    <row r="6505" spans="1:10" x14ac:dyDescent="0.25">
      <c r="A6505" s="2">
        <v>25.957212694153998</v>
      </c>
      <c r="B6505" s="3">
        <v>-0.62940415149215401</v>
      </c>
      <c r="C6505" s="3">
        <v>4.0983366330341704E-3</v>
      </c>
      <c r="D6505" s="4">
        <v>1.10197979824698E-2</v>
      </c>
      <c r="E6505" s="3" t="s">
        <v>14671</v>
      </c>
      <c r="F6505" s="3" t="s">
        <v>14672</v>
      </c>
      <c r="G6505" s="3">
        <v>75475</v>
      </c>
      <c r="H6505" s="7" t="str">
        <f>HYPERLINK("http://www.ensembl.org/Mus_musculus/Gene/Summary?db=core;g=ENSMUSG00000022562","ENSMUSG00000022562")</f>
        <v>ENSMUSG00000022562</v>
      </c>
      <c r="I6505" s="7" t="str">
        <f>HYPERLINK("http://www.informatics.jax.org/marker/MGI:1922725","MGI:1922725")</f>
        <v>MGI:1922725</v>
      </c>
      <c r="J6505" s="4" t="s">
        <v>12</v>
      </c>
    </row>
    <row r="6506" spans="1:10" x14ac:dyDescent="0.25">
      <c r="A6506" s="2">
        <v>1100.5448036877699</v>
      </c>
      <c r="B6506" s="3">
        <v>-0.62944800248389798</v>
      </c>
      <c r="C6506" s="5">
        <v>2.7133591073508101E-7</v>
      </c>
      <c r="D6506" s="6">
        <v>1.18852602392177E-6</v>
      </c>
      <c r="E6506" s="3" t="s">
        <v>9019</v>
      </c>
      <c r="F6506" s="3" t="s">
        <v>9020</v>
      </c>
      <c r="G6506" s="3">
        <v>27361</v>
      </c>
      <c r="H6506" s="7" t="str">
        <f>HYPERLINK("http://www.ensembl.org/Mus_musculus/Gene/Summary?db=core;g=ENSMUSG00000075705","ENSMUSG00000075705")</f>
        <v>ENSMUSG00000075705</v>
      </c>
      <c r="I6506" s="7" t="str">
        <f>HYPERLINK("http://www.informatics.jax.org/marker/MGI:1351642","MGI:1351642")</f>
        <v>MGI:1351642</v>
      </c>
      <c r="J6506" s="4" t="s">
        <v>12</v>
      </c>
    </row>
    <row r="6507" spans="1:10" x14ac:dyDescent="0.25">
      <c r="A6507" s="2">
        <v>185.132746569517</v>
      </c>
      <c r="B6507" s="3">
        <v>-0.62980885011373899</v>
      </c>
      <c r="C6507" s="5">
        <v>3.6377164620592298E-12</v>
      </c>
      <c r="D6507" s="6">
        <v>2.3643958019712602E-11</v>
      </c>
      <c r="E6507" s="3" t="s">
        <v>6085</v>
      </c>
      <c r="F6507" s="3" t="s">
        <v>6086</v>
      </c>
      <c r="G6507" s="3">
        <v>67042</v>
      </c>
      <c r="H6507" s="7" t="str">
        <f>HYPERLINK("http://www.ensembl.org/Mus_musculus/Gene/Summary?db=core;g=ENSMUSG00000016637","ENSMUSG00000016637")</f>
        <v>ENSMUSG00000016637</v>
      </c>
      <c r="I6507" s="7" t="str">
        <f>HYPERLINK("http://www.informatics.jax.org/marker/MGI:1914292","MGI:1914292")</f>
        <v>MGI:1914292</v>
      </c>
      <c r="J6507" s="4" t="s">
        <v>12</v>
      </c>
    </row>
    <row r="6508" spans="1:10" x14ac:dyDescent="0.25">
      <c r="A6508" s="2">
        <v>125.011619875184</v>
      </c>
      <c r="B6508" s="3">
        <v>-0.63024759691496102</v>
      </c>
      <c r="C6508" s="3">
        <v>5.7632515193247096E-3</v>
      </c>
      <c r="D6508" s="4">
        <v>1.50511614304176E-2</v>
      </c>
      <c r="E6508" s="3" t="s">
        <v>15106</v>
      </c>
      <c r="F6508" s="3" t="s">
        <v>15107</v>
      </c>
      <c r="G6508" s="3">
        <v>11813</v>
      </c>
      <c r="H6508" s="7" t="str">
        <f>HYPERLINK("http://www.ensembl.org/Mus_musculus/Gene/Summary?db=core;g=ENSMUSG00000002992","ENSMUSG00000002992")</f>
        <v>ENSMUSG00000002992</v>
      </c>
      <c r="I6508" s="7" t="str">
        <f>HYPERLINK("http://www.informatics.jax.org/marker/MGI:88054","MGI:88054")</f>
        <v>MGI:88054</v>
      </c>
      <c r="J6508" s="4" t="s">
        <v>12</v>
      </c>
    </row>
    <row r="6509" spans="1:10" x14ac:dyDescent="0.25">
      <c r="A6509" s="2">
        <v>899.61199346231001</v>
      </c>
      <c r="B6509" s="3">
        <v>-0.63066867978553598</v>
      </c>
      <c r="C6509" s="5">
        <v>9.8711333000793392E-25</v>
      </c>
      <c r="D6509" s="6">
        <v>1.19057338640712E-23</v>
      </c>
      <c r="E6509" s="3" t="s">
        <v>3290</v>
      </c>
      <c r="F6509" s="3" t="s">
        <v>3291</v>
      </c>
      <c r="G6509" s="3">
        <v>83796</v>
      </c>
      <c r="H6509" s="7" t="str">
        <f>HYPERLINK("http://www.ensembl.org/Mus_musculus/Gene/Summary?db=core;g=ENSMUSG00000078619","ENSMUSG00000078619")</f>
        <v>ENSMUSG00000078619</v>
      </c>
      <c r="I6509" s="7" t="str">
        <f>HYPERLINK("http://www.informatics.jax.org/marker/MGI:1933621","MGI:1933621")</f>
        <v>MGI:1933621</v>
      </c>
      <c r="J6509" s="4" t="s">
        <v>12</v>
      </c>
    </row>
    <row r="6510" spans="1:10" x14ac:dyDescent="0.25">
      <c r="A6510" s="2">
        <v>104.734225043777</v>
      </c>
      <c r="B6510" s="3">
        <v>-0.63069748983767204</v>
      </c>
      <c r="C6510" s="5">
        <v>9.9353212940273206E-7</v>
      </c>
      <c r="D6510" s="6">
        <v>4.1108798975706801E-6</v>
      </c>
      <c r="E6510" s="3" t="s">
        <v>9547</v>
      </c>
      <c r="F6510" s="3" t="s">
        <v>9548</v>
      </c>
      <c r="G6510" s="3">
        <v>76816</v>
      </c>
      <c r="H6510" s="7" t="str">
        <f>HYPERLINK("http://www.ensembl.org/Mus_musculus/Gene/Summary?db=core;g=ENSMUSG00000026504","ENSMUSG00000026504")</f>
        <v>ENSMUSG00000026504</v>
      </c>
      <c r="I6510" s="7" t="str">
        <f>HYPERLINK("http://www.informatics.jax.org/marker/MGI:1924066","MGI:1924066")</f>
        <v>MGI:1924066</v>
      </c>
      <c r="J6510" s="4" t="s">
        <v>12</v>
      </c>
    </row>
    <row r="6511" spans="1:10" x14ac:dyDescent="0.25">
      <c r="A6511" s="2">
        <v>50.651476768805203</v>
      </c>
      <c r="B6511" s="3">
        <v>-0.63099458230221595</v>
      </c>
      <c r="C6511" s="3">
        <v>4.3750438147508499E-4</v>
      </c>
      <c r="D6511" s="4">
        <v>1.35632548383724E-3</v>
      </c>
      <c r="E6511" s="3" t="s">
        <v>12733</v>
      </c>
      <c r="F6511" s="3" t="s">
        <v>12734</v>
      </c>
      <c r="G6511" s="3">
        <v>140859</v>
      </c>
      <c r="H6511" s="7" t="str">
        <f>HYPERLINK("http://www.ensembl.org/Mus_musculus/Gene/Summary?db=core;g=ENSMUSG00000017405","ENSMUSG00000017405")</f>
        <v>ENSMUSG00000017405</v>
      </c>
      <c r="I6511" s="7" t="str">
        <f>HYPERLINK("http://www.informatics.jax.org/marker/MGI:1890646","MGI:1890646")</f>
        <v>MGI:1890646</v>
      </c>
      <c r="J6511" s="4" t="s">
        <v>12</v>
      </c>
    </row>
    <row r="6512" spans="1:10" x14ac:dyDescent="0.25">
      <c r="A6512" s="2">
        <v>1555.3187440351901</v>
      </c>
      <c r="B6512" s="3">
        <v>-0.63139802052608396</v>
      </c>
      <c r="C6512" s="5">
        <v>5.8988776534393702E-15</v>
      </c>
      <c r="D6512" s="6">
        <v>4.5245378189741099E-14</v>
      </c>
      <c r="E6512" s="3" t="s">
        <v>5159</v>
      </c>
      <c r="F6512" s="3" t="s">
        <v>5160</v>
      </c>
      <c r="G6512" s="3">
        <v>546071</v>
      </c>
      <c r="H6512" s="7" t="str">
        <f>HYPERLINK("http://www.ensembl.org/Mus_musculus/Gene/Summary?db=core;g=ENSMUSG00000031833","ENSMUSG00000031833")</f>
        <v>ENSMUSG00000031833</v>
      </c>
      <c r="I6512" s="7" t="str">
        <f>HYPERLINK("http://www.informatics.jax.org/marker/MGI:2683541","MGI:2683541")</f>
        <v>MGI:2683541</v>
      </c>
      <c r="J6512" s="4" t="s">
        <v>12</v>
      </c>
    </row>
    <row r="6513" spans="1:10" x14ac:dyDescent="0.25">
      <c r="A6513" s="2">
        <v>410.08159526915898</v>
      </c>
      <c r="B6513" s="3">
        <v>-0.631424512259391</v>
      </c>
      <c r="C6513" s="5">
        <v>3.0558009452404298E-14</v>
      </c>
      <c r="D6513" s="6">
        <v>2.24768350019176E-13</v>
      </c>
      <c r="E6513" s="3" t="s">
        <v>5379</v>
      </c>
      <c r="F6513" s="3" t="s">
        <v>5380</v>
      </c>
      <c r="G6513" s="3">
        <v>93686</v>
      </c>
      <c r="H6513" s="7" t="str">
        <f>HYPERLINK("http://www.ensembl.org/Mus_musculus/Gene/Summary?db=core;g=ENSMUSG00000033565","ENSMUSG00000033565")</f>
        <v>ENSMUSG00000033565</v>
      </c>
      <c r="I6513" s="7" t="str">
        <f>HYPERLINK("http://www.informatics.jax.org/marker/MGI:1933973","MGI:1933973")</f>
        <v>MGI:1933973</v>
      </c>
      <c r="J6513" s="4" t="s">
        <v>12</v>
      </c>
    </row>
    <row r="6514" spans="1:10" x14ac:dyDescent="0.25">
      <c r="A6514" s="2">
        <v>320.34488648208702</v>
      </c>
      <c r="B6514" s="3">
        <v>-0.63206368259909296</v>
      </c>
      <c r="C6514" s="5">
        <v>1.5143989881918801E-17</v>
      </c>
      <c r="D6514" s="6">
        <v>1.3326170480653199E-16</v>
      </c>
      <c r="E6514" s="3" t="s">
        <v>4499</v>
      </c>
      <c r="F6514" s="3" t="s">
        <v>4500</v>
      </c>
      <c r="G6514" s="3">
        <v>68366</v>
      </c>
      <c r="H6514" s="7" t="str">
        <f>HYPERLINK("http://www.ensembl.org/Mus_musculus/Gene/Summary?db=core;g=ENSMUSG00000019295","ENSMUSG00000019295")</f>
        <v>ENSMUSG00000019295</v>
      </c>
      <c r="I6514" s="7" t="str">
        <f>HYPERLINK("http://www.informatics.jax.org/marker/MGI:1915616","MGI:1915616")</f>
        <v>MGI:1915616</v>
      </c>
      <c r="J6514" s="4" t="s">
        <v>12</v>
      </c>
    </row>
    <row r="6515" spans="1:10" x14ac:dyDescent="0.25">
      <c r="A6515" s="2">
        <v>518.82637025203599</v>
      </c>
      <c r="B6515" s="3">
        <v>-0.63233246196086901</v>
      </c>
      <c r="C6515" s="5">
        <v>1.3085670759044301E-22</v>
      </c>
      <c r="D6515" s="6">
        <v>1.45955558466263E-21</v>
      </c>
      <c r="E6515" s="3" t="s">
        <v>3554</v>
      </c>
      <c r="F6515" s="3" t="s">
        <v>3555</v>
      </c>
      <c r="G6515" s="3">
        <v>217666</v>
      </c>
      <c r="H6515" s="7" t="str">
        <f>HYPERLINK("http://www.ensembl.org/Mus_musculus/Gene/Summary?db=core;g=ENSMUSG00000020988","ENSMUSG00000020988")</f>
        <v>ENSMUSG00000020988</v>
      </c>
      <c r="I6515" s="7" t="str">
        <f>HYPERLINK("http://www.informatics.jax.org/marker/MGI:2384968","MGI:2384968")</f>
        <v>MGI:2384968</v>
      </c>
      <c r="J6515" s="4" t="s">
        <v>12</v>
      </c>
    </row>
    <row r="6516" spans="1:10" x14ac:dyDescent="0.25">
      <c r="A6516" s="2">
        <v>116.322292926535</v>
      </c>
      <c r="B6516" s="3">
        <v>-0.63308586749195195</v>
      </c>
      <c r="C6516" s="5">
        <v>4.8791593227152196E-6</v>
      </c>
      <c r="D6516" s="6">
        <v>1.8854991543003E-5</v>
      </c>
      <c r="E6516" s="3" t="s">
        <v>10220</v>
      </c>
      <c r="F6516" s="3" t="s">
        <v>10221</v>
      </c>
      <c r="G6516" s="3">
        <v>224814</v>
      </c>
      <c r="H6516" s="7" t="str">
        <f>HYPERLINK("http://www.ensembl.org/Mus_musculus/Gene/Summary?db=core;g=ENSMUSG00000032842","ENSMUSG00000032842")</f>
        <v>ENSMUSG00000032842</v>
      </c>
      <c r="I6516" s="7" t="str">
        <f>HYPERLINK("http://www.informatics.jax.org/marker/MGI:2386976","MGI:2386976")</f>
        <v>MGI:2386976</v>
      </c>
      <c r="J6516" s="4" t="s">
        <v>12</v>
      </c>
    </row>
    <row r="6517" spans="1:10" x14ac:dyDescent="0.25">
      <c r="A6517" s="2">
        <v>1078.43589334593</v>
      </c>
      <c r="B6517" s="3">
        <v>-0.63311066669311999</v>
      </c>
      <c r="C6517" s="5">
        <v>1.7765452955116599E-25</v>
      </c>
      <c r="D6517" s="6">
        <v>2.2117091684021398E-24</v>
      </c>
      <c r="E6517" s="3" t="s">
        <v>3188</v>
      </c>
      <c r="F6517" s="3" t="s">
        <v>3189</v>
      </c>
      <c r="G6517" s="3">
        <v>228607</v>
      </c>
      <c r="H6517" s="7" t="str">
        <f>HYPERLINK("http://www.ensembl.org/Mus_musculus/Gene/Summary?db=core;g=ENSMUSG00000037523","ENSMUSG00000037523")</f>
        <v>ENSMUSG00000037523</v>
      </c>
      <c r="I6517" s="7" t="str">
        <f>HYPERLINK("http://www.informatics.jax.org/marker/MGI:2444773","MGI:2444773")</f>
        <v>MGI:2444773</v>
      </c>
      <c r="J6517" s="4" t="s">
        <v>12</v>
      </c>
    </row>
    <row r="6518" spans="1:10" x14ac:dyDescent="0.25">
      <c r="A6518" s="2">
        <v>25.5205028708029</v>
      </c>
      <c r="B6518" s="3">
        <v>-0.63401282080678201</v>
      </c>
      <c r="C6518" s="3">
        <v>5.1866220300108403E-3</v>
      </c>
      <c r="D6518" s="4">
        <v>1.36847988268415E-2</v>
      </c>
      <c r="E6518" s="3" t="s">
        <v>14952</v>
      </c>
      <c r="F6518" s="3" t="s">
        <v>14953</v>
      </c>
      <c r="G6518" s="3" t="s">
        <v>83</v>
      </c>
      <c r="H6518" s="7" t="str">
        <f>HYPERLINK("http://www.ensembl.org/Mus_musculus/Gene/Summary?db=core;g=ENSMUSG00000107758","ENSMUSG00000107758")</f>
        <v>ENSMUSG00000107758</v>
      </c>
      <c r="I6518" s="7" t="str">
        <f>HYPERLINK("http://www.informatics.jax.org/marker/MGI:5011438","MGI:5011438")</f>
        <v>MGI:5011438</v>
      </c>
      <c r="J6518" s="4" t="s">
        <v>1043</v>
      </c>
    </row>
    <row r="6519" spans="1:10" x14ac:dyDescent="0.25">
      <c r="A6519" s="2">
        <v>369.219403734911</v>
      </c>
      <c r="B6519" s="3">
        <v>-0.63440582143796198</v>
      </c>
      <c r="C6519" s="5">
        <v>2.1898854479683201E-15</v>
      </c>
      <c r="D6519" s="6">
        <v>1.7157147808476499E-14</v>
      </c>
      <c r="E6519" s="3" t="s">
        <v>5051</v>
      </c>
      <c r="F6519" s="3" t="s">
        <v>5052</v>
      </c>
      <c r="G6519" s="3">
        <v>244962</v>
      </c>
      <c r="H6519" s="7" t="str">
        <f>HYPERLINK("http://www.ensembl.org/Mus_musculus/Gene/Summary?db=core;g=ENSMUSG00000032422","ENSMUSG00000032422")</f>
        <v>ENSMUSG00000032422</v>
      </c>
      <c r="I6519" s="7" t="str">
        <f>HYPERLINK("http://www.informatics.jax.org/marker/MGI:2155664","MGI:2155664")</f>
        <v>MGI:2155664</v>
      </c>
      <c r="J6519" s="4" t="s">
        <v>12</v>
      </c>
    </row>
    <row r="6520" spans="1:10" x14ac:dyDescent="0.25">
      <c r="A6520" s="2">
        <v>288.111488897973</v>
      </c>
      <c r="B6520" s="3">
        <v>-0.63469374737290396</v>
      </c>
      <c r="C6520" s="5">
        <v>1.1741713196082399E-16</v>
      </c>
      <c r="D6520" s="6">
        <v>9.8196176516855508E-16</v>
      </c>
      <c r="E6520" s="3" t="s">
        <v>4733</v>
      </c>
      <c r="F6520" s="3" t="s">
        <v>4734</v>
      </c>
      <c r="G6520" s="3">
        <v>236794</v>
      </c>
      <c r="H6520" s="7" t="str">
        <f>HYPERLINK("http://www.ensembl.org/Mus_musculus/Gene/Summary?db=core;g=ENSMUSG00000060681","ENSMUSG00000060681")</f>
        <v>ENSMUSG00000060681</v>
      </c>
      <c r="I6520" s="7" t="str">
        <f>HYPERLINK("http://www.informatics.jax.org/marker/MGI:2443511","MGI:2443511")</f>
        <v>MGI:2443511</v>
      </c>
      <c r="J6520" s="4" t="s">
        <v>12</v>
      </c>
    </row>
    <row r="6521" spans="1:10" x14ac:dyDescent="0.25">
      <c r="A6521" s="2">
        <v>962.86690734546198</v>
      </c>
      <c r="B6521" s="3">
        <v>-0.63485768746943705</v>
      </c>
      <c r="C6521" s="5">
        <v>8.9618366552889805E-6</v>
      </c>
      <c r="D6521" s="6">
        <v>3.3745926836413698E-5</v>
      </c>
      <c r="E6521" s="3" t="s">
        <v>10486</v>
      </c>
      <c r="F6521" s="3" t="s">
        <v>10487</v>
      </c>
      <c r="G6521" s="3">
        <v>73804</v>
      </c>
      <c r="H6521" s="7" t="str">
        <f>HYPERLINK("http://www.ensembl.org/Mus_musculus/Gene/Summary?db=core;g=ENSMUSG00000028678","ENSMUSG00000028678")</f>
        <v>ENSMUSG00000028678</v>
      </c>
      <c r="I6521" s="7" t="str">
        <f>HYPERLINK("http://www.informatics.jax.org/marker/MGI:1921054","MGI:1921054")</f>
        <v>MGI:1921054</v>
      </c>
      <c r="J6521" s="4" t="s">
        <v>12</v>
      </c>
    </row>
    <row r="6522" spans="1:10" x14ac:dyDescent="0.25">
      <c r="A6522" s="2">
        <v>351.02701643970801</v>
      </c>
      <c r="B6522" s="3">
        <v>-0.63517513400872605</v>
      </c>
      <c r="C6522" s="5">
        <v>6.2136512917279006E-11</v>
      </c>
      <c r="D6522" s="6">
        <v>3.6686587866129999E-10</v>
      </c>
      <c r="E6522" s="3" t="s">
        <v>6697</v>
      </c>
      <c r="F6522" s="3" t="s">
        <v>6698</v>
      </c>
      <c r="G6522" s="3">
        <v>94219</v>
      </c>
      <c r="H6522" s="7" t="str">
        <f>HYPERLINK("http://www.ensembl.org/Mus_musculus/Gene/Summary?db=core;g=ENSMUSG00000064105","ENSMUSG00000064105")</f>
        <v>ENSMUSG00000064105</v>
      </c>
      <c r="I6522" s="7" t="str">
        <f>HYPERLINK("http://www.informatics.jax.org/marker/MGI:2151054","MGI:2151054")</f>
        <v>MGI:2151054</v>
      </c>
      <c r="J6522" s="4" t="s">
        <v>12</v>
      </c>
    </row>
    <row r="6523" spans="1:10" x14ac:dyDescent="0.25">
      <c r="A6523" s="2">
        <v>30.553711415621098</v>
      </c>
      <c r="B6523" s="3">
        <v>-0.63548534668547396</v>
      </c>
      <c r="C6523" s="3">
        <v>3.29727515380557E-3</v>
      </c>
      <c r="D6523" s="4">
        <v>8.9809759714151605E-3</v>
      </c>
      <c r="E6523" s="3" t="s">
        <v>14483</v>
      </c>
      <c r="F6523" s="3" t="s">
        <v>14484</v>
      </c>
      <c r="G6523" s="3">
        <v>100043387</v>
      </c>
      <c r="H6523" s="7" t="str">
        <f>HYPERLINK("http://www.ensembl.org/Mus_musculus/Gene/Summary?db=core;g=ENSMUSG00000078878","ENSMUSG00000078878")</f>
        <v>ENSMUSG00000078878</v>
      </c>
      <c r="I6523" s="7" t="str">
        <f>HYPERLINK("http://www.informatics.jax.org/marker/MGI:3709632","MGI:3709632")</f>
        <v>MGI:3709632</v>
      </c>
      <c r="J6523" s="4" t="s">
        <v>12</v>
      </c>
    </row>
    <row r="6524" spans="1:10" x14ac:dyDescent="0.25">
      <c r="A6524" s="2">
        <v>481.15588225237599</v>
      </c>
      <c r="B6524" s="3">
        <v>-0.63556929741123402</v>
      </c>
      <c r="C6524" s="5">
        <v>5.7184210482980704E-25</v>
      </c>
      <c r="D6524" s="6">
        <v>6.9480753587454004E-24</v>
      </c>
      <c r="E6524" s="3" t="s">
        <v>3266</v>
      </c>
      <c r="F6524" s="3" t="s">
        <v>3267</v>
      </c>
      <c r="G6524" s="3">
        <v>20866</v>
      </c>
      <c r="H6524" s="7" t="str">
        <f>HYPERLINK("http://www.ensembl.org/Mus_musculus/Gene/Summary?db=core;g=ENSMUSG00000030987","ENSMUSG00000030987")</f>
        <v>ENSMUSG00000030987</v>
      </c>
      <c r="I6524" s="7" t="str">
        <f>HYPERLINK("http://www.informatics.jax.org/marker/MGI:107476","MGI:107476")</f>
        <v>MGI:107476</v>
      </c>
      <c r="J6524" s="4" t="s">
        <v>12</v>
      </c>
    </row>
    <row r="6525" spans="1:10" x14ac:dyDescent="0.25">
      <c r="A6525" s="2">
        <v>2015.4215327975401</v>
      </c>
      <c r="B6525" s="3">
        <v>-0.63560292952561703</v>
      </c>
      <c r="C6525" s="5">
        <v>6.39826837416662E-18</v>
      </c>
      <c r="D6525" s="6">
        <v>5.7534816387854901E-17</v>
      </c>
      <c r="E6525" s="3" t="s">
        <v>4403</v>
      </c>
      <c r="F6525" s="3" t="s">
        <v>4404</v>
      </c>
      <c r="G6525" s="3">
        <v>104923</v>
      </c>
      <c r="H6525" s="7" t="str">
        <f>HYPERLINK("http://www.ensembl.org/Mus_musculus/Gene/Summary?db=core;g=ENSMUSG00000020629","ENSMUSG00000020629")</f>
        <v>ENSMUSG00000020629</v>
      </c>
      <c r="I6525" s="7" t="str">
        <f>HYPERLINK("http://www.informatics.jax.org/marker/MGI:2144929","MGI:2144929")</f>
        <v>MGI:2144929</v>
      </c>
      <c r="J6525" s="4" t="s">
        <v>12</v>
      </c>
    </row>
    <row r="6526" spans="1:10" x14ac:dyDescent="0.25">
      <c r="A6526" s="2">
        <v>44.823966067525603</v>
      </c>
      <c r="B6526" s="3">
        <v>-0.63597231292275502</v>
      </c>
      <c r="C6526" s="3">
        <v>3.7840299861337701E-4</v>
      </c>
      <c r="D6526" s="4">
        <v>1.1831468420256501E-3</v>
      </c>
      <c r="E6526" s="3" t="s">
        <v>12627</v>
      </c>
      <c r="F6526" s="3" t="s">
        <v>12628</v>
      </c>
      <c r="G6526" s="3">
        <v>101835</v>
      </c>
      <c r="H6526" s="7" t="str">
        <f>HYPERLINK("http://www.ensembl.org/Mus_musculus/Gene/Summary?db=core;g=ENSMUSG00000074166","ENSMUSG00000074166")</f>
        <v>ENSMUSG00000074166</v>
      </c>
      <c r="I6526" s="7" t="str">
        <f>HYPERLINK("http://www.informatics.jax.org/marker/MGI:2142212","MGI:2142212")</f>
        <v>MGI:2142212</v>
      </c>
      <c r="J6526" s="4" t="s">
        <v>12</v>
      </c>
    </row>
    <row r="6527" spans="1:10" x14ac:dyDescent="0.25">
      <c r="A6527" s="2">
        <v>183.12294330882099</v>
      </c>
      <c r="B6527" s="3">
        <v>-0.63604348721680803</v>
      </c>
      <c r="C6527" s="5">
        <v>1.3774544258343799E-8</v>
      </c>
      <c r="D6527" s="6">
        <v>6.74197102940034E-8</v>
      </c>
      <c r="E6527" s="3" t="s">
        <v>8075</v>
      </c>
      <c r="F6527" s="3" t="s">
        <v>8076</v>
      </c>
      <c r="G6527" s="3">
        <v>22644</v>
      </c>
      <c r="H6527" s="7" t="str">
        <f>HYPERLINK("http://www.ensembl.org/Mus_musculus/Gene/Summary?db=core;g=ENSMUSG00000052656","ENSMUSG00000052656")</f>
        <v>ENSMUSG00000052656</v>
      </c>
      <c r="I6527" s="7" t="str">
        <f>HYPERLINK("http://www.informatics.jax.org/marker/MGI:109483","MGI:109483")</f>
        <v>MGI:109483</v>
      </c>
      <c r="J6527" s="4" t="s">
        <v>12</v>
      </c>
    </row>
    <row r="6528" spans="1:10" x14ac:dyDescent="0.25">
      <c r="A6528" s="2">
        <v>19.093305770822798</v>
      </c>
      <c r="B6528" s="3">
        <v>-0.63609338515889502</v>
      </c>
      <c r="C6528" s="3">
        <v>1.43765714004152E-2</v>
      </c>
      <c r="D6528" s="4">
        <v>3.46203429009877E-2</v>
      </c>
      <c r="E6528" s="3" t="s">
        <v>16383</v>
      </c>
      <c r="F6528" s="3" t="s">
        <v>16384</v>
      </c>
      <c r="G6528" s="3">
        <v>14070</v>
      </c>
      <c r="H6528" s="7" t="str">
        <f>HYPERLINK("http://www.ensembl.org/Mus_musculus/Gene/Summary?db=core;g=ENSMUSG00000078317","ENSMUSG00000078317")</f>
        <v>ENSMUSG00000078317</v>
      </c>
      <c r="I6528" s="7" t="str">
        <f>HYPERLINK("http://www.informatics.jax.org/marker/MGI:95474","MGI:95474")</f>
        <v>MGI:95474</v>
      </c>
      <c r="J6528" s="4" t="s">
        <v>12</v>
      </c>
    </row>
    <row r="6529" spans="1:10" x14ac:dyDescent="0.25">
      <c r="A6529" s="2">
        <v>1004.9913593472201</v>
      </c>
      <c r="B6529" s="3">
        <v>-0.63667311514996605</v>
      </c>
      <c r="C6529" s="5">
        <v>1.4066194085425701E-28</v>
      </c>
      <c r="D6529" s="6">
        <v>1.9658777276016598E-27</v>
      </c>
      <c r="E6529" s="3" t="s">
        <v>2840</v>
      </c>
      <c r="F6529" s="3" t="s">
        <v>2841</v>
      </c>
      <c r="G6529" s="3">
        <v>50497</v>
      </c>
      <c r="H6529" s="7" t="str">
        <f>HYPERLINK("http://www.ensembl.org/Mus_musculus/Gene/Summary?db=core;g=ENSMUSG00000109865","ENSMUSG00000109865")</f>
        <v>ENSMUSG00000109865</v>
      </c>
      <c r="I6529" s="7" t="str">
        <f>HYPERLINK("http://www.informatics.jax.org/marker/MGI:1354164","MGI:1354164")</f>
        <v>MGI:1354164</v>
      </c>
      <c r="J6529" s="4" t="s">
        <v>12</v>
      </c>
    </row>
    <row r="6530" spans="1:10" x14ac:dyDescent="0.25">
      <c r="A6530" s="2">
        <v>820.32393536956704</v>
      </c>
      <c r="B6530" s="3">
        <v>-0.636757892712566</v>
      </c>
      <c r="C6530" s="5">
        <v>1.36704943959395E-7</v>
      </c>
      <c r="D6530" s="6">
        <v>6.1213022136223298E-7</v>
      </c>
      <c r="E6530" s="3" t="s">
        <v>8825</v>
      </c>
      <c r="F6530" s="3" t="s">
        <v>8826</v>
      </c>
      <c r="G6530" s="3">
        <v>18986</v>
      </c>
      <c r="H6530" s="7" t="str">
        <f>HYPERLINK("http://www.ensembl.org/Mus_musculus/Gene/Summary?db=core;g=ENSMUSG00000026565","ENSMUSG00000026565")</f>
        <v>ENSMUSG00000026565</v>
      </c>
      <c r="I6530" s="7" t="str">
        <f>HYPERLINK("http://www.informatics.jax.org/marker/MGI:101898","MGI:101898")</f>
        <v>MGI:101898</v>
      </c>
      <c r="J6530" s="4" t="s">
        <v>12</v>
      </c>
    </row>
    <row r="6531" spans="1:10" x14ac:dyDescent="0.25">
      <c r="A6531" s="2">
        <v>965.037558120536</v>
      </c>
      <c r="B6531" s="3">
        <v>-0.637744388888834</v>
      </c>
      <c r="C6531" s="5">
        <v>9.0012837739667706E-12</v>
      </c>
      <c r="D6531" s="6">
        <v>5.6476397080058801E-11</v>
      </c>
      <c r="E6531" s="3" t="s">
        <v>6299</v>
      </c>
      <c r="F6531" s="3" t="s">
        <v>6300</v>
      </c>
      <c r="G6531" s="3">
        <v>20933</v>
      </c>
      <c r="H6531" s="7" t="str">
        <f>HYPERLINK("http://www.ensembl.org/Mus_musculus/Gene/Summary?db=core;g=ENSMUSG00000015776","ENSMUSG00000015776")</f>
        <v>ENSMUSG00000015776</v>
      </c>
      <c r="I6531" s="7" t="str">
        <f>HYPERLINK("http://www.informatics.jax.org/marker/MGI:98446","MGI:98446")</f>
        <v>MGI:98446</v>
      </c>
      <c r="J6531" s="4" t="s">
        <v>12</v>
      </c>
    </row>
    <row r="6532" spans="1:10" x14ac:dyDescent="0.25">
      <c r="A6532" s="2">
        <v>17.423840460026799</v>
      </c>
      <c r="B6532" s="3">
        <v>-0.63846623953144499</v>
      </c>
      <c r="C6532" s="3">
        <v>2.1020162159287599E-2</v>
      </c>
      <c r="D6532" s="4">
        <v>4.8812717590809199E-2</v>
      </c>
      <c r="E6532" s="3" t="s">
        <v>16988</v>
      </c>
      <c r="F6532" s="3" t="s">
        <v>16989</v>
      </c>
      <c r="G6532" s="3">
        <v>78688</v>
      </c>
      <c r="H6532" s="7" t="str">
        <f>HYPERLINK("http://www.ensembl.org/Mus_musculus/Gene/Summary?db=core;g=ENSMUSG00000014776","ENSMUSG00000014776")</f>
        <v>ENSMUSG00000014776</v>
      </c>
      <c r="I6532" s="7" t="str">
        <f>HYPERLINK("http://www.informatics.jax.org/marker/MGI:1925938","MGI:1925938")</f>
        <v>MGI:1925938</v>
      </c>
      <c r="J6532" s="4" t="s">
        <v>12</v>
      </c>
    </row>
    <row r="6533" spans="1:10" x14ac:dyDescent="0.25">
      <c r="A6533" s="2">
        <v>118.699579873274</v>
      </c>
      <c r="B6533" s="3">
        <v>-0.64046833848935603</v>
      </c>
      <c r="C6533" s="5">
        <v>1.26747427017431E-8</v>
      </c>
      <c r="D6533" s="6">
        <v>6.2346202563824794E-8</v>
      </c>
      <c r="E6533" s="3" t="s">
        <v>8035</v>
      </c>
      <c r="F6533" s="3" t="s">
        <v>8036</v>
      </c>
      <c r="G6533" s="3">
        <v>232337</v>
      </c>
      <c r="H6533" s="7" t="str">
        <f>HYPERLINK("http://www.ensembl.org/Mus_musculus/Gene/Summary?db=core;g=ENSMUSG00000059689","ENSMUSG00000059689")</f>
        <v>ENSMUSG00000059689</v>
      </c>
      <c r="I6533" s="7" t="str">
        <f>HYPERLINK("http://www.informatics.jax.org/marker/MGI:2448537","MGI:2448537")</f>
        <v>MGI:2448537</v>
      </c>
      <c r="J6533" s="4" t="s">
        <v>12</v>
      </c>
    </row>
    <row r="6534" spans="1:10" x14ac:dyDescent="0.25">
      <c r="A6534" s="2">
        <v>656.79912828064505</v>
      </c>
      <c r="B6534" s="3">
        <v>-0.64130824034892797</v>
      </c>
      <c r="C6534" s="5">
        <v>2.5964974758241098E-19</v>
      </c>
      <c r="D6534" s="6">
        <v>2.4989229001098798E-18</v>
      </c>
      <c r="E6534" s="3" t="s">
        <v>4115</v>
      </c>
      <c r="F6534" s="3" t="s">
        <v>4116</v>
      </c>
      <c r="G6534" s="3">
        <v>224014</v>
      </c>
      <c r="H6534" s="7" t="str">
        <f>HYPERLINK("http://www.ensembl.org/Mus_musculus/Gene/Summary?db=core;g=ENSMUSG00000022788","ENSMUSG00000022788")</f>
        <v>ENSMUSG00000022788</v>
      </c>
      <c r="I6534" s="7" t="str">
        <f>HYPERLINK("http://www.informatics.jax.org/marker/MGI:2183747","MGI:2183747")</f>
        <v>MGI:2183747</v>
      </c>
      <c r="J6534" s="4" t="s">
        <v>12</v>
      </c>
    </row>
    <row r="6535" spans="1:10" x14ac:dyDescent="0.25">
      <c r="A6535" s="2">
        <v>86.793805769554794</v>
      </c>
      <c r="B6535" s="3">
        <v>-0.64157109908447796</v>
      </c>
      <c r="C6535" s="5">
        <v>1.33566544184929E-5</v>
      </c>
      <c r="D6535" s="6">
        <v>4.9444945585259998E-5</v>
      </c>
      <c r="E6535" s="3" t="s">
        <v>10666</v>
      </c>
      <c r="F6535" s="3" t="s">
        <v>10667</v>
      </c>
      <c r="G6535" s="3">
        <v>226861</v>
      </c>
      <c r="H6535" s="7" t="str">
        <f>HYPERLINK("http://www.ensembl.org/Mus_musculus/Gene/Summary?db=core;g=ENSMUSG00000037375","ENSMUSG00000037375")</f>
        <v>ENSMUSG00000037375</v>
      </c>
      <c r="I6535" s="7" t="str">
        <f>HYPERLINK("http://www.informatics.jax.org/marker/MGI:2444681","MGI:2444681")</f>
        <v>MGI:2444681</v>
      </c>
      <c r="J6535" s="4" t="s">
        <v>12</v>
      </c>
    </row>
    <row r="6536" spans="1:10" x14ac:dyDescent="0.25">
      <c r="A6536" s="2">
        <v>108.030765636796</v>
      </c>
      <c r="B6536" s="3">
        <v>-0.64164303060777805</v>
      </c>
      <c r="C6536" s="5">
        <v>1.16452033355916E-7</v>
      </c>
      <c r="D6536" s="6">
        <v>5.2513928602302104E-7</v>
      </c>
      <c r="E6536" s="3" t="s">
        <v>8763</v>
      </c>
      <c r="F6536" s="3" t="s">
        <v>8764</v>
      </c>
      <c r="G6536" s="3">
        <v>66361</v>
      </c>
      <c r="H6536" s="7" t="str">
        <f>HYPERLINK("http://www.ensembl.org/Mus_musculus/Gene/Summary?db=core;g=ENSMUSG00000039795","ENSMUSG00000039795")</f>
        <v>ENSMUSG00000039795</v>
      </c>
      <c r="I6536" s="7" t="str">
        <f>HYPERLINK("http://www.informatics.jax.org/marker/MGI:1913611","MGI:1913611")</f>
        <v>MGI:1913611</v>
      </c>
      <c r="J6536" s="4" t="s">
        <v>12</v>
      </c>
    </row>
    <row r="6537" spans="1:10" x14ac:dyDescent="0.25">
      <c r="A6537" s="2">
        <v>135.121494976478</v>
      </c>
      <c r="B6537" s="3">
        <v>-0.641680488425449</v>
      </c>
      <c r="C6537" s="5">
        <v>4.03694199210207E-8</v>
      </c>
      <c r="D6537" s="6">
        <v>1.88824706082194E-7</v>
      </c>
      <c r="E6537" s="3" t="s">
        <v>8449</v>
      </c>
      <c r="F6537" s="3" t="s">
        <v>8450</v>
      </c>
      <c r="G6537" s="3" t="s">
        <v>83</v>
      </c>
      <c r="H6537" s="7" t="str">
        <f>HYPERLINK("http://www.ensembl.org/Mus_musculus/Gene/Summary?db=core;g=ENSMUSG00000072847","ENSMUSG00000072847")</f>
        <v>ENSMUSG00000072847</v>
      </c>
      <c r="I6537" s="7" t="str">
        <f>HYPERLINK("http://www.informatics.jax.org/marker/MGI:2144320","MGI:2144320")</f>
        <v>MGI:2144320</v>
      </c>
      <c r="J6537" s="4" t="s">
        <v>939</v>
      </c>
    </row>
    <row r="6538" spans="1:10" x14ac:dyDescent="0.25">
      <c r="A6538" s="2">
        <v>29.1085759201078</v>
      </c>
      <c r="B6538" s="3">
        <v>-0.64168476786288098</v>
      </c>
      <c r="C6538" s="3">
        <v>5.1729216657611004E-3</v>
      </c>
      <c r="D6538" s="4">
        <v>1.36525523100159E-2</v>
      </c>
      <c r="E6538" s="3" t="s">
        <v>14948</v>
      </c>
      <c r="F6538" s="3" t="s">
        <v>14949</v>
      </c>
      <c r="G6538" s="3" t="s">
        <v>83</v>
      </c>
      <c r="H6538" s="7" t="str">
        <f>HYPERLINK("http://www.ensembl.org/Mus_musculus/Gene/Summary?db=core;g=ENSMUSG00000097519","ENSMUSG00000097519")</f>
        <v>ENSMUSG00000097519</v>
      </c>
      <c r="I6538" s="7" t="str">
        <f>HYPERLINK("http://www.informatics.jax.org/marker/MGI:1922573","MGI:1922573")</f>
        <v>MGI:1922573</v>
      </c>
      <c r="J6538" s="4" t="s">
        <v>939</v>
      </c>
    </row>
    <row r="6539" spans="1:10" x14ac:dyDescent="0.25">
      <c r="A6539" s="2">
        <v>97.907254383882602</v>
      </c>
      <c r="B6539" s="3">
        <v>-0.64228731417003704</v>
      </c>
      <c r="C6539" s="5">
        <v>1.3413158861576E-6</v>
      </c>
      <c r="D6539" s="6">
        <v>5.4763456055958298E-6</v>
      </c>
      <c r="E6539" s="3" t="s">
        <v>9675</v>
      </c>
      <c r="F6539" s="3" t="s">
        <v>9676</v>
      </c>
      <c r="G6539" s="3">
        <v>22592</v>
      </c>
      <c r="H6539" s="7" t="str">
        <f>HYPERLINK("http://www.ensembl.org/Mus_musculus/Gene/Summary?db=core;g=ENSMUSG00000026048","ENSMUSG00000026048")</f>
        <v>ENSMUSG00000026048</v>
      </c>
      <c r="I6539" s="7" t="str">
        <f>HYPERLINK("http://www.informatics.jax.org/marker/MGI:103582","MGI:103582")</f>
        <v>MGI:103582</v>
      </c>
      <c r="J6539" s="4" t="s">
        <v>12</v>
      </c>
    </row>
    <row r="6540" spans="1:10" x14ac:dyDescent="0.25">
      <c r="A6540" s="2">
        <v>573.00679165581596</v>
      </c>
      <c r="B6540" s="3">
        <v>-0.642421667189084</v>
      </c>
      <c r="C6540" s="5">
        <v>1.2429252273775801E-20</v>
      </c>
      <c r="D6540" s="6">
        <v>1.2693156646238099E-19</v>
      </c>
      <c r="E6540" s="3" t="s">
        <v>3880</v>
      </c>
      <c r="F6540" s="3" t="s">
        <v>3881</v>
      </c>
      <c r="G6540" s="3">
        <v>208884</v>
      </c>
      <c r="H6540" s="7" t="str">
        <f>HYPERLINK("http://www.ensembl.org/Mus_musculus/Gene/Summary?db=core;g=ENSMUSG00000036985","ENSMUSG00000036985")</f>
        <v>ENSMUSG00000036985</v>
      </c>
      <c r="I6540" s="7" t="str">
        <f>HYPERLINK("http://www.informatics.jax.org/marker/MGI:2444393","MGI:2444393")</f>
        <v>MGI:2444393</v>
      </c>
      <c r="J6540" s="4" t="s">
        <v>12</v>
      </c>
    </row>
    <row r="6541" spans="1:10" x14ac:dyDescent="0.25">
      <c r="A6541" s="2">
        <v>612.283756491124</v>
      </c>
      <c r="B6541" s="3">
        <v>-0.64244124230720201</v>
      </c>
      <c r="C6541" s="5">
        <v>1.8874378493481499E-18</v>
      </c>
      <c r="D6541" s="6">
        <v>1.7449730140246398E-17</v>
      </c>
      <c r="E6541" s="3" t="s">
        <v>4283</v>
      </c>
      <c r="F6541" s="3" t="s">
        <v>4284</v>
      </c>
      <c r="G6541" s="3">
        <v>84113</v>
      </c>
      <c r="H6541" s="7" t="str">
        <f>HYPERLINK("http://www.ensembl.org/Mus_musculus/Gene/Summary?db=core;g=ENSMUSG00000038502","ENSMUSG00000038502")</f>
        <v>ENSMUSG00000038502</v>
      </c>
      <c r="I6541" s="7" t="str">
        <f>HYPERLINK("http://www.informatics.jax.org/marker/MGI:1933946","MGI:1933946")</f>
        <v>MGI:1933946</v>
      </c>
      <c r="J6541" s="4" t="s">
        <v>12</v>
      </c>
    </row>
    <row r="6542" spans="1:10" x14ac:dyDescent="0.25">
      <c r="A6542" s="2">
        <v>113.525363010021</v>
      </c>
      <c r="B6542" s="3">
        <v>-0.64306139922850303</v>
      </c>
      <c r="C6542" s="5">
        <v>1.20621003413567E-7</v>
      </c>
      <c r="D6542" s="6">
        <v>5.4294594551827101E-7</v>
      </c>
      <c r="E6542" s="3" t="s">
        <v>8777</v>
      </c>
      <c r="F6542" s="3" t="s">
        <v>8778</v>
      </c>
      <c r="G6542" s="3">
        <v>17117</v>
      </c>
      <c r="H6542" s="7" t="str">
        <f>HYPERLINK("http://www.ensembl.org/Mus_musculus/Gene/Summary?db=core;g=ENSMUSG00000022244","ENSMUSG00000022244")</f>
        <v>ENSMUSG00000022244</v>
      </c>
      <c r="I6542" s="7" t="str">
        <f>HYPERLINK("http://www.informatics.jax.org/marker/MGI:1098273","MGI:1098273")</f>
        <v>MGI:1098273</v>
      </c>
      <c r="J6542" s="4" t="s">
        <v>12</v>
      </c>
    </row>
    <row r="6543" spans="1:10" x14ac:dyDescent="0.25">
      <c r="A6543" s="2">
        <v>315.24922231677903</v>
      </c>
      <c r="B6543" s="3">
        <v>-0.64310133351959797</v>
      </c>
      <c r="C6543" s="5">
        <v>2.8278330435278601E-11</v>
      </c>
      <c r="D6543" s="6">
        <v>1.71373287087798E-10</v>
      </c>
      <c r="E6543" s="3" t="s">
        <v>6525</v>
      </c>
      <c r="F6543" s="3" t="s">
        <v>6526</v>
      </c>
      <c r="G6543" s="3">
        <v>271842</v>
      </c>
      <c r="H6543" s="7" t="str">
        <f>HYPERLINK("http://www.ensembl.org/Mus_musculus/Gene/Summary?db=core;g=ENSMUSG00000027324","ENSMUSG00000027324")</f>
        <v>ENSMUSG00000027324</v>
      </c>
      <c r="I6543" s="7" t="str">
        <f>HYPERLINK("http://www.informatics.jax.org/marker/MGI:1918066","MGI:1918066")</f>
        <v>MGI:1918066</v>
      </c>
      <c r="J6543" s="4" t="s">
        <v>12</v>
      </c>
    </row>
    <row r="6544" spans="1:10" x14ac:dyDescent="0.25">
      <c r="A6544" s="2">
        <v>736.09947574438297</v>
      </c>
      <c r="B6544" s="3">
        <v>-0.64317831546270798</v>
      </c>
      <c r="C6544" s="5">
        <v>2.45956181456447E-15</v>
      </c>
      <c r="D6544" s="6">
        <v>1.92089342507768E-14</v>
      </c>
      <c r="E6544" s="3" t="s">
        <v>5067</v>
      </c>
      <c r="F6544" s="3" t="s">
        <v>5068</v>
      </c>
      <c r="G6544" s="3">
        <v>99010</v>
      </c>
      <c r="H6544" s="7" t="str">
        <f>HYPERLINK("http://www.ensembl.org/Mus_musculus/Gene/Summary?db=core;g=ENSMUSG00000027134","ENSMUSG00000027134")</f>
        <v>ENSMUSG00000027134</v>
      </c>
      <c r="I6544" s="7" t="str">
        <f>HYPERLINK("http://www.informatics.jax.org/marker/MGI:2138993","MGI:2138993")</f>
        <v>MGI:2138993</v>
      </c>
      <c r="J6544" s="4" t="s">
        <v>12</v>
      </c>
    </row>
    <row r="6545" spans="1:10" x14ac:dyDescent="0.25">
      <c r="A6545" s="2">
        <v>255.457330407527</v>
      </c>
      <c r="B6545" s="3">
        <v>-0.64394090322801201</v>
      </c>
      <c r="C6545" s="5">
        <v>2.86912633312334E-14</v>
      </c>
      <c r="D6545" s="6">
        <v>2.11669178036634E-13</v>
      </c>
      <c r="E6545" s="3" t="s">
        <v>5363</v>
      </c>
      <c r="F6545" s="3" t="s">
        <v>5364</v>
      </c>
      <c r="G6545" s="3">
        <v>234730</v>
      </c>
      <c r="H6545" s="7" t="str">
        <f>HYPERLINK("http://www.ensembl.org/Mus_musculus/Gene/Summary?db=core;g=ENSMUSG00000033703","ENSMUSG00000033703")</f>
        <v>ENSMUSG00000033703</v>
      </c>
      <c r="I6545" s="7" t="str">
        <f>HYPERLINK("http://www.informatics.jax.org/marker/MGI:1916071","MGI:1916071")</f>
        <v>MGI:1916071</v>
      </c>
      <c r="J6545" s="4" t="s">
        <v>12</v>
      </c>
    </row>
    <row r="6546" spans="1:10" x14ac:dyDescent="0.25">
      <c r="A6546" s="2">
        <v>921.52286998903003</v>
      </c>
      <c r="B6546" s="3">
        <v>-0.644012586516584</v>
      </c>
      <c r="C6546" s="5">
        <v>3.4966116932700101E-19</v>
      </c>
      <c r="D6546" s="6">
        <v>3.34561778705893E-18</v>
      </c>
      <c r="E6546" s="3" t="s">
        <v>4139</v>
      </c>
      <c r="F6546" s="3" t="s">
        <v>4140</v>
      </c>
      <c r="G6546" s="3">
        <v>229473</v>
      </c>
      <c r="H6546" s="7" t="str">
        <f>HYPERLINK("http://www.ensembl.org/Mus_musculus/Gene/Summary?db=core;g=ENSMUSG00000033767","ENSMUSG00000033767")</f>
        <v>ENSMUSG00000033767</v>
      </c>
      <c r="I6546" s="7" t="str">
        <f>HYPERLINK("http://www.informatics.jax.org/marker/MGI:2443399","MGI:2443399")</f>
        <v>MGI:2443399</v>
      </c>
      <c r="J6546" s="4" t="s">
        <v>12</v>
      </c>
    </row>
    <row r="6547" spans="1:10" x14ac:dyDescent="0.25">
      <c r="A6547" s="2">
        <v>1042.84446191957</v>
      </c>
      <c r="B6547" s="3">
        <v>-0.64403794719240903</v>
      </c>
      <c r="C6547" s="5">
        <v>4.5427172162862001E-31</v>
      </c>
      <c r="D6547" s="6">
        <v>6.9122209494725106E-30</v>
      </c>
      <c r="E6547" s="3" t="s">
        <v>2609</v>
      </c>
      <c r="F6547" s="3" t="s">
        <v>2610</v>
      </c>
      <c r="G6547" s="3">
        <v>70652</v>
      </c>
      <c r="H6547" s="7" t="str">
        <f>HYPERLINK("http://www.ensembl.org/Mus_musculus/Gene/Summary?db=core;g=ENSMUSG00000027956","ENSMUSG00000027956")</f>
        <v>ENSMUSG00000027956</v>
      </c>
      <c r="I6547" s="7" t="str">
        <f>HYPERLINK("http://www.informatics.jax.org/marker/MGI:1917902","MGI:1917902")</f>
        <v>MGI:1917902</v>
      </c>
      <c r="J6547" s="4" t="s">
        <v>12</v>
      </c>
    </row>
    <row r="6548" spans="1:10" x14ac:dyDescent="0.25">
      <c r="A6548" s="2">
        <v>101.870850977245</v>
      </c>
      <c r="B6548" s="3">
        <v>-0.64407567588299597</v>
      </c>
      <c r="C6548" s="5">
        <v>1.24653842763207E-5</v>
      </c>
      <c r="D6548" s="6">
        <v>4.63020112881983E-5</v>
      </c>
      <c r="E6548" s="3" t="s">
        <v>10630</v>
      </c>
      <c r="F6548" s="3" t="s">
        <v>10631</v>
      </c>
      <c r="G6548" s="3">
        <v>15394</v>
      </c>
      <c r="H6548" s="7" t="str">
        <f>HYPERLINK("http://www.ensembl.org/Mus_musculus/Gene/Summary?db=core;g=ENSMUSG00000029844","ENSMUSG00000029844")</f>
        <v>ENSMUSG00000029844</v>
      </c>
      <c r="I6548" s="7" t="str">
        <f>HYPERLINK("http://www.informatics.jax.org/marker/MGI:96170","MGI:96170")</f>
        <v>MGI:96170</v>
      </c>
      <c r="J6548" s="4" t="s">
        <v>12</v>
      </c>
    </row>
    <row r="6549" spans="1:10" x14ac:dyDescent="0.25">
      <c r="A6549" s="2">
        <v>55.6094416613142</v>
      </c>
      <c r="B6549" s="3">
        <v>-0.644103378533044</v>
      </c>
      <c r="C6549" s="3">
        <v>1.4815758173215E-4</v>
      </c>
      <c r="D6549" s="4">
        <v>4.8873661956473603E-4</v>
      </c>
      <c r="E6549" s="3" t="s">
        <v>11967</v>
      </c>
      <c r="F6549" s="3" t="s">
        <v>11968</v>
      </c>
      <c r="G6549" s="3">
        <v>328232</v>
      </c>
      <c r="H6549" s="7" t="str">
        <f>HYPERLINK("http://www.ensembl.org/Mus_musculus/Gene/Summary?db=core;g=ENSMUSG00000051335","ENSMUSG00000051335")</f>
        <v>ENSMUSG00000051335</v>
      </c>
      <c r="I6549" s="7" t="str">
        <f>HYPERLINK("http://www.informatics.jax.org/marker/MGI:2145304","MGI:2145304")</f>
        <v>MGI:2145304</v>
      </c>
      <c r="J6549" s="4" t="s">
        <v>12</v>
      </c>
    </row>
    <row r="6550" spans="1:10" x14ac:dyDescent="0.25">
      <c r="A6550" s="2">
        <v>339.97501656672102</v>
      </c>
      <c r="B6550" s="3">
        <v>-0.64517768761324301</v>
      </c>
      <c r="C6550" s="5">
        <v>5.10856484917748E-11</v>
      </c>
      <c r="D6550" s="6">
        <v>3.0389411410491701E-10</v>
      </c>
      <c r="E6550" s="3" t="s">
        <v>6647</v>
      </c>
      <c r="F6550" s="3" t="s">
        <v>6648</v>
      </c>
      <c r="G6550" s="3">
        <v>53892</v>
      </c>
      <c r="H6550" s="7" t="str">
        <f>HYPERLINK("http://www.ensembl.org/Mus_musculus/Gene/Summary?db=core;g=ENSMUSG00000020525","ENSMUSG00000020525")</f>
        <v>ENSMUSG00000020525</v>
      </c>
      <c r="I6550" s="7" t="str">
        <f>HYPERLINK("http://www.informatics.jax.org/marker/MGI:1858214","MGI:1858214")</f>
        <v>MGI:1858214</v>
      </c>
      <c r="J6550" s="4" t="s">
        <v>12</v>
      </c>
    </row>
    <row r="6551" spans="1:10" x14ac:dyDescent="0.25">
      <c r="A6551" s="2">
        <v>1155.57556755833</v>
      </c>
      <c r="B6551" s="3">
        <v>-0.64602310456467504</v>
      </c>
      <c r="C6551" s="5">
        <v>3.3318451892251601E-12</v>
      </c>
      <c r="D6551" s="6">
        <v>2.16916431599604E-11</v>
      </c>
      <c r="E6551" s="3" t="s">
        <v>6075</v>
      </c>
      <c r="F6551" s="3" t="s">
        <v>6076</v>
      </c>
      <c r="G6551" s="3">
        <v>27368</v>
      </c>
      <c r="H6551" s="7" t="str">
        <f>HYPERLINK("http://www.ensembl.org/Mus_musculus/Gene/Summary?db=core;g=ENSMUSG00000005374","ENSMUSG00000005374")</f>
        <v>ENSMUSG00000005374</v>
      </c>
      <c r="I6551" s="7" t="str">
        <f>HYPERLINK("http://www.informatics.jax.org/marker/MGI:1351652","MGI:1351652")</f>
        <v>MGI:1351652</v>
      </c>
      <c r="J6551" s="4" t="s">
        <v>12</v>
      </c>
    </row>
    <row r="6552" spans="1:10" x14ac:dyDescent="0.25">
      <c r="A6552" s="2">
        <v>1322.4407395348801</v>
      </c>
      <c r="B6552" s="3">
        <v>-0.64619846300056905</v>
      </c>
      <c r="C6552" s="5">
        <v>2.3850034567480699E-20</v>
      </c>
      <c r="D6552" s="6">
        <v>2.4045126874781102E-19</v>
      </c>
      <c r="E6552" s="3" t="s">
        <v>3930</v>
      </c>
      <c r="F6552" s="3" t="s">
        <v>3931</v>
      </c>
      <c r="G6552" s="3">
        <v>16194</v>
      </c>
      <c r="H6552" s="7" t="str">
        <f>HYPERLINK("http://www.ensembl.org/Mus_musculus/Gene/Summary?db=core;g=ENSMUSG00000027947","ENSMUSG00000027947")</f>
        <v>ENSMUSG00000027947</v>
      </c>
      <c r="I6552" s="7" t="str">
        <f>HYPERLINK("http://www.informatics.jax.org/marker/MGI:105304","MGI:105304")</f>
        <v>MGI:105304</v>
      </c>
      <c r="J6552" s="4" t="s">
        <v>12</v>
      </c>
    </row>
    <row r="6553" spans="1:10" x14ac:dyDescent="0.25">
      <c r="A6553" s="2">
        <v>443.65098300691199</v>
      </c>
      <c r="B6553" s="3">
        <v>-0.64671612016653202</v>
      </c>
      <c r="C6553" s="5">
        <v>1.0200033778695399E-21</v>
      </c>
      <c r="D6553" s="6">
        <v>1.08903446733012E-20</v>
      </c>
      <c r="E6553" s="3" t="s">
        <v>3712</v>
      </c>
      <c r="F6553" s="3" t="s">
        <v>3713</v>
      </c>
      <c r="G6553" s="3">
        <v>107375</v>
      </c>
      <c r="H6553" s="7" t="str">
        <f>HYPERLINK("http://www.ensembl.org/Mus_musculus/Gene/Summary?db=core;g=ENSMUSG00000024818","ENSMUSG00000024818")</f>
        <v>ENSMUSG00000024818</v>
      </c>
      <c r="I6553" s="7" t="str">
        <f>HYPERLINK("http://www.informatics.jax.org/marker/MGI:2147731","MGI:2147731")</f>
        <v>MGI:2147731</v>
      </c>
      <c r="J6553" s="4" t="s">
        <v>12</v>
      </c>
    </row>
    <row r="6554" spans="1:10" x14ac:dyDescent="0.25">
      <c r="A6554" s="2">
        <v>268.26387971125303</v>
      </c>
      <c r="B6554" s="3">
        <v>-0.64674206244884103</v>
      </c>
      <c r="C6554" s="5">
        <v>1.36324148656225E-11</v>
      </c>
      <c r="D6554" s="6">
        <v>8.4405406954497596E-11</v>
      </c>
      <c r="E6554" s="3" t="s">
        <v>6387</v>
      </c>
      <c r="F6554" s="3" t="s">
        <v>6388</v>
      </c>
      <c r="G6554" s="3">
        <v>399568</v>
      </c>
      <c r="H6554" s="7" t="str">
        <f>HYPERLINK("http://www.ensembl.org/Mus_musculus/Gene/Summary?db=core;g=ENSMUSG00000040282","ENSMUSG00000040282")</f>
        <v>ENSMUSG00000040282</v>
      </c>
      <c r="I6554" s="7" t="str">
        <f>HYPERLINK("http://www.informatics.jax.org/marker/MGI:3026886","MGI:3026886")</f>
        <v>MGI:3026886</v>
      </c>
      <c r="J6554" s="4" t="s">
        <v>12</v>
      </c>
    </row>
    <row r="6555" spans="1:10" x14ac:dyDescent="0.25">
      <c r="A6555" s="2">
        <v>665.56637727050997</v>
      </c>
      <c r="B6555" s="3">
        <v>-0.64684136797241099</v>
      </c>
      <c r="C6555" s="5">
        <v>5.6022837155844497E-19</v>
      </c>
      <c r="D6555" s="6">
        <v>5.3216298107574799E-18</v>
      </c>
      <c r="E6555" s="3" t="s">
        <v>4169</v>
      </c>
      <c r="F6555" s="3" t="s">
        <v>4170</v>
      </c>
      <c r="G6555" s="3">
        <v>21813</v>
      </c>
      <c r="H6555" s="7" t="str">
        <f>HYPERLINK("http://www.ensembl.org/Mus_musculus/Gene/Summary?db=core;g=ENSMUSG00000032440","ENSMUSG00000032440")</f>
        <v>ENSMUSG00000032440</v>
      </c>
      <c r="I6555" s="7" t="str">
        <f>HYPERLINK("http://www.informatics.jax.org/marker/MGI:98729","MGI:98729")</f>
        <v>MGI:98729</v>
      </c>
      <c r="J6555" s="4" t="s">
        <v>12</v>
      </c>
    </row>
    <row r="6556" spans="1:10" x14ac:dyDescent="0.25">
      <c r="A6556" s="2">
        <v>290.50305398717398</v>
      </c>
      <c r="B6556" s="3">
        <v>-0.64704821672019097</v>
      </c>
      <c r="C6556" s="5">
        <v>6.9197591029428905E-11</v>
      </c>
      <c r="D6556" s="6">
        <v>4.0612395687509998E-10</v>
      </c>
      <c r="E6556" s="3" t="s">
        <v>6738</v>
      </c>
      <c r="F6556" s="3" t="s">
        <v>6739</v>
      </c>
      <c r="G6556" s="3">
        <v>71909</v>
      </c>
      <c r="H6556" s="7" t="str">
        <f>HYPERLINK("http://www.ensembl.org/Mus_musculus/Gene/Summary?db=core;g=ENSMUSG00000078762","ENSMUSG00000078762")</f>
        <v>ENSMUSG00000078762</v>
      </c>
      <c r="I6556" s="7" t="str">
        <f>HYPERLINK("http://www.informatics.jax.org/marker/MGI:1919159","MGI:1919159")</f>
        <v>MGI:1919159</v>
      </c>
      <c r="J6556" s="4" t="s">
        <v>12</v>
      </c>
    </row>
    <row r="6557" spans="1:10" x14ac:dyDescent="0.25">
      <c r="A6557" s="2">
        <v>5193.5857134778398</v>
      </c>
      <c r="B6557" s="3">
        <v>-0.64720560674437699</v>
      </c>
      <c r="C6557" s="5">
        <v>6.4975711627901499E-14</v>
      </c>
      <c r="D6557" s="6">
        <v>4.6831909111923097E-13</v>
      </c>
      <c r="E6557" s="3" t="s">
        <v>5489</v>
      </c>
      <c r="F6557" s="3" t="s">
        <v>5490</v>
      </c>
      <c r="G6557" s="3">
        <v>22228</v>
      </c>
      <c r="H6557" s="7" t="str">
        <f>HYPERLINK("http://www.ensembl.org/Mus_musculus/Gene/Summary?db=core;g=ENSMUSG00000033685","ENSMUSG00000033685")</f>
        <v>ENSMUSG00000033685</v>
      </c>
      <c r="I6557" s="7" t="str">
        <f>HYPERLINK("http://www.informatics.jax.org/marker/MGI:109354","MGI:109354")</f>
        <v>MGI:109354</v>
      </c>
      <c r="J6557" s="4" t="s">
        <v>12</v>
      </c>
    </row>
    <row r="6558" spans="1:10" x14ac:dyDescent="0.25">
      <c r="A6558" s="2">
        <v>3493.2476478684298</v>
      </c>
      <c r="B6558" s="3">
        <v>-0.64756628684972095</v>
      </c>
      <c r="C6558" s="5">
        <v>4.3618152273984902E-11</v>
      </c>
      <c r="D6558" s="6">
        <v>2.6080957029805401E-10</v>
      </c>
      <c r="E6558" s="3" t="s">
        <v>6613</v>
      </c>
      <c r="F6558" s="3" t="s">
        <v>6614</v>
      </c>
      <c r="G6558" s="3">
        <v>73341</v>
      </c>
      <c r="H6558" s="7" t="str">
        <f>HYPERLINK("http://www.ensembl.org/Mus_musculus/Gene/Summary?db=core;g=ENSMUSG00000031133","ENSMUSG00000031133")</f>
        <v>ENSMUSG00000031133</v>
      </c>
      <c r="I6558" s="7" t="str">
        <f>HYPERLINK("http://www.informatics.jax.org/marker/MGI:1920591","MGI:1920591")</f>
        <v>MGI:1920591</v>
      </c>
      <c r="J6558" s="4" t="s">
        <v>12</v>
      </c>
    </row>
    <row r="6559" spans="1:10" x14ac:dyDescent="0.25">
      <c r="A6559" s="2">
        <v>886.64442508392801</v>
      </c>
      <c r="B6559" s="3">
        <v>-0.64766663848816097</v>
      </c>
      <c r="C6559" s="5">
        <v>1.0105885282018199E-31</v>
      </c>
      <c r="D6559" s="6">
        <v>1.56059559719184E-30</v>
      </c>
      <c r="E6559" s="3" t="s">
        <v>2571</v>
      </c>
      <c r="F6559" s="3" t="s">
        <v>2572</v>
      </c>
      <c r="G6559" s="3">
        <v>100855</v>
      </c>
      <c r="H6559" s="7" t="str">
        <f>HYPERLINK("http://www.ensembl.org/Mus_musculus/Gene/Summary?db=core;g=ENSMUSG00000029192","ENSMUSG00000029192")</f>
        <v>ENSMUSG00000029192</v>
      </c>
      <c r="I6559" s="7" t="str">
        <f>HYPERLINK("http://www.informatics.jax.org/marker/MGI:1098708","MGI:1098708")</f>
        <v>MGI:1098708</v>
      </c>
      <c r="J6559" s="4" t="s">
        <v>12</v>
      </c>
    </row>
    <row r="6560" spans="1:10" x14ac:dyDescent="0.25">
      <c r="A6560" s="2">
        <v>275.31511540619101</v>
      </c>
      <c r="B6560" s="3">
        <v>-0.64826622792577904</v>
      </c>
      <c r="C6560" s="5">
        <v>3.17119493896632E-6</v>
      </c>
      <c r="D6560" s="6">
        <v>1.24797374169658E-5</v>
      </c>
      <c r="E6560" s="3" t="s">
        <v>10038</v>
      </c>
      <c r="F6560" s="3" t="s">
        <v>10039</v>
      </c>
      <c r="G6560" s="3">
        <v>68948</v>
      </c>
      <c r="H6560" s="7" t="str">
        <f>HYPERLINK("http://www.ensembl.org/Mus_musculus/Gene/Summary?db=core;g=ENSMUSG00000029463","ENSMUSG00000029463")</f>
        <v>ENSMUSG00000029463</v>
      </c>
      <c r="I6560" s="7" t="str">
        <f>HYPERLINK("http://www.informatics.jax.org/marker/MGI:1916198","MGI:1916198")</f>
        <v>MGI:1916198</v>
      </c>
      <c r="J6560" s="4" t="s">
        <v>12</v>
      </c>
    </row>
    <row r="6561" spans="1:10" x14ac:dyDescent="0.25">
      <c r="A6561" s="2">
        <v>164.696982079072</v>
      </c>
      <c r="B6561" s="3">
        <v>-0.64865659390113395</v>
      </c>
      <c r="C6561" s="5">
        <v>1.1351450941909299E-8</v>
      </c>
      <c r="D6561" s="6">
        <v>5.6032694011126901E-8</v>
      </c>
      <c r="E6561" s="3" t="s">
        <v>8007</v>
      </c>
      <c r="F6561" s="3" t="s">
        <v>8008</v>
      </c>
      <c r="G6561" s="3">
        <v>69596</v>
      </c>
      <c r="H6561" s="7" t="str">
        <f>HYPERLINK("http://www.ensembl.org/Mus_musculus/Gene/Summary?db=core;g=ENSMUSG00000068264","ENSMUSG00000068264")</f>
        <v>ENSMUSG00000068264</v>
      </c>
      <c r="I6561" s="7" t="str">
        <f>HYPERLINK("http://www.informatics.jax.org/marker/MGI:1916846","MGI:1916846")</f>
        <v>MGI:1916846</v>
      </c>
      <c r="J6561" s="4" t="s">
        <v>12</v>
      </c>
    </row>
    <row r="6562" spans="1:10" x14ac:dyDescent="0.25">
      <c r="A6562" s="2">
        <v>1024.32509069498</v>
      </c>
      <c r="B6562" s="3">
        <v>-0.64878600667734698</v>
      </c>
      <c r="C6562" s="5">
        <v>1.7092750714859999E-21</v>
      </c>
      <c r="D6562" s="6">
        <v>1.8034726810970499E-20</v>
      </c>
      <c r="E6562" s="3" t="s">
        <v>3756</v>
      </c>
      <c r="F6562" s="3" t="s">
        <v>3757</v>
      </c>
      <c r="G6562" s="3">
        <v>73218</v>
      </c>
      <c r="H6562" s="7" t="str">
        <f>HYPERLINK("http://www.ensembl.org/Mus_musculus/Gene/Summary?db=core;g=ENSMUSG00000035206","ENSMUSG00000035206")</f>
        <v>ENSMUSG00000035206</v>
      </c>
      <c r="I6562" s="7" t="str">
        <f>HYPERLINK("http://www.informatics.jax.org/marker/MGI:1920468","MGI:1920468")</f>
        <v>MGI:1920468</v>
      </c>
      <c r="J6562" s="4" t="s">
        <v>12</v>
      </c>
    </row>
    <row r="6563" spans="1:10" x14ac:dyDescent="0.25">
      <c r="A6563" s="2">
        <v>431.84800080175</v>
      </c>
      <c r="B6563" s="3">
        <v>-0.64933429401134501</v>
      </c>
      <c r="C6563" s="5">
        <v>2.05894251346142E-14</v>
      </c>
      <c r="D6563" s="6">
        <v>1.5339005049285699E-13</v>
      </c>
      <c r="E6563" s="3" t="s">
        <v>5311</v>
      </c>
      <c r="F6563" s="3" t="s">
        <v>5312</v>
      </c>
      <c r="G6563" s="3">
        <v>107733</v>
      </c>
      <c r="H6563" s="7" t="str">
        <f>HYPERLINK("http://www.ensembl.org/Mus_musculus/Gene/Summary?db=core;g=ENSMUSG00000036850","ENSMUSG00000036850")</f>
        <v>ENSMUSG00000036850</v>
      </c>
      <c r="I6563" s="7" t="str">
        <f>HYPERLINK("http://www.informatics.jax.org/marker/MGI:1333816","MGI:1333816")</f>
        <v>MGI:1333816</v>
      </c>
      <c r="J6563" s="4" t="s">
        <v>12</v>
      </c>
    </row>
    <row r="6564" spans="1:10" x14ac:dyDescent="0.25">
      <c r="A6564" s="2">
        <v>34.132746311625603</v>
      </c>
      <c r="B6564" s="3">
        <v>-0.64946913188979105</v>
      </c>
      <c r="C6564" s="3">
        <v>1.9935747606304199E-3</v>
      </c>
      <c r="D6564" s="4">
        <v>5.63147031652081E-3</v>
      </c>
      <c r="E6564" s="3" t="s">
        <v>13967</v>
      </c>
      <c r="F6564" s="3" t="s">
        <v>13968</v>
      </c>
      <c r="G6564" s="3" t="s">
        <v>83</v>
      </c>
      <c r="H6564" s="7" t="str">
        <f>HYPERLINK("http://www.ensembl.org/Mus_musculus/Gene/Summary?db=core;g=ENSMUSG00000097397","ENSMUSG00000097397")</f>
        <v>ENSMUSG00000097397</v>
      </c>
      <c r="I6564" s="7" t="str">
        <f>HYPERLINK("http://www.informatics.jax.org/marker/MGI:4439785","MGI:4439785")</f>
        <v>MGI:4439785</v>
      </c>
      <c r="J6564" s="4" t="s">
        <v>932</v>
      </c>
    </row>
    <row r="6565" spans="1:10" x14ac:dyDescent="0.25">
      <c r="A6565" s="2">
        <v>29.273857510834301</v>
      </c>
      <c r="B6565" s="3">
        <v>-0.64968532089229902</v>
      </c>
      <c r="C6565" s="3">
        <v>2.21121792533814E-3</v>
      </c>
      <c r="D6565" s="4">
        <v>6.2044987887974103E-3</v>
      </c>
      <c r="E6565" s="3" t="s">
        <v>14063</v>
      </c>
      <c r="F6565" s="3" t="s">
        <v>14064</v>
      </c>
      <c r="G6565" s="3">
        <v>230162</v>
      </c>
      <c r="H6565" s="7" t="str">
        <f>HYPERLINK("http://www.ensembl.org/Mus_musculus/Gene/Summary?db=core;g=ENSMUSG00000039634","ENSMUSG00000039634")</f>
        <v>ENSMUSG00000039634</v>
      </c>
      <c r="I6565" s="7" t="str">
        <f>HYPERLINK("http://www.informatics.jax.org/marker/MGI:2444707","MGI:2444707")</f>
        <v>MGI:2444707</v>
      </c>
      <c r="J6565" s="4" t="s">
        <v>12</v>
      </c>
    </row>
    <row r="6566" spans="1:10" x14ac:dyDescent="0.25">
      <c r="A6566" s="2">
        <v>874.42269651300103</v>
      </c>
      <c r="B6566" s="3">
        <v>-0.65169784039108403</v>
      </c>
      <c r="C6566" s="5">
        <v>6.3865664222093897E-10</v>
      </c>
      <c r="D6566" s="6">
        <v>3.4704626576458902E-9</v>
      </c>
      <c r="E6566" s="3" t="s">
        <v>7276</v>
      </c>
      <c r="F6566" s="3" t="s">
        <v>7277</v>
      </c>
      <c r="G6566" s="3">
        <v>215335</v>
      </c>
      <c r="H6566" s="7" t="str">
        <f>HYPERLINK("http://www.ensembl.org/Mus_musculus/Gene/Summary?db=core;g=ENSMUSG00000020261","ENSMUSG00000020261")</f>
        <v>ENSMUSG00000020261</v>
      </c>
      <c r="I6566" s="7" t="str">
        <f>HYPERLINK("http://www.informatics.jax.org/marker/MGI:2445299","MGI:2445299")</f>
        <v>MGI:2445299</v>
      </c>
      <c r="J6566" s="4" t="s">
        <v>12</v>
      </c>
    </row>
    <row r="6567" spans="1:10" x14ac:dyDescent="0.25">
      <c r="A6567" s="2">
        <v>134.83397807757399</v>
      </c>
      <c r="B6567" s="3">
        <v>-0.65320769839151305</v>
      </c>
      <c r="C6567" s="5">
        <v>1.23413432388746E-5</v>
      </c>
      <c r="D6567" s="6">
        <v>4.5849903668162802E-5</v>
      </c>
      <c r="E6567" s="3" t="s">
        <v>10628</v>
      </c>
      <c r="F6567" s="3" t="s">
        <v>10629</v>
      </c>
      <c r="G6567" s="3">
        <v>15354</v>
      </c>
      <c r="H6567" s="7" t="str">
        <f>HYPERLINK("http://www.ensembl.org/Mus_musculus/Gene/Summary?db=core;g=ENSMUSG00000015217","ENSMUSG00000015217")</f>
        <v>ENSMUSG00000015217</v>
      </c>
      <c r="I6567" s="7" t="str">
        <f>HYPERLINK("http://www.informatics.jax.org/marker/MGI:1098219","MGI:1098219")</f>
        <v>MGI:1098219</v>
      </c>
      <c r="J6567" s="4" t="s">
        <v>12</v>
      </c>
    </row>
    <row r="6568" spans="1:10" x14ac:dyDescent="0.25">
      <c r="A6568" s="2">
        <v>679.09161194830199</v>
      </c>
      <c r="B6568" s="3">
        <v>-0.65329736752461898</v>
      </c>
      <c r="C6568" s="5">
        <v>1.2872459149888501E-26</v>
      </c>
      <c r="D6568" s="6">
        <v>1.6788683494431401E-25</v>
      </c>
      <c r="E6568" s="3" t="s">
        <v>3042</v>
      </c>
      <c r="F6568" s="3" t="s">
        <v>3043</v>
      </c>
      <c r="G6568" s="3">
        <v>21349</v>
      </c>
      <c r="H6568" s="7" t="str">
        <f>HYPERLINK("http://www.ensembl.org/Mus_musculus/Gene/Summary?db=core;g=ENSMUSG00000028717","ENSMUSG00000028717")</f>
        <v>ENSMUSG00000028717</v>
      </c>
      <c r="I6568" s="7" t="str">
        <f>HYPERLINK("http://www.informatics.jax.org/marker/MGI:98480","MGI:98480")</f>
        <v>MGI:98480</v>
      </c>
      <c r="J6568" s="4" t="s">
        <v>12</v>
      </c>
    </row>
    <row r="6569" spans="1:10" x14ac:dyDescent="0.25">
      <c r="A6569" s="2">
        <v>270.46088805107598</v>
      </c>
      <c r="B6569" s="3">
        <v>-0.65376502678826998</v>
      </c>
      <c r="C6569" s="5">
        <v>1.3695744100844E-9</v>
      </c>
      <c r="D6569" s="6">
        <v>7.2660767734367399E-9</v>
      </c>
      <c r="E6569" s="3" t="s">
        <v>7452</v>
      </c>
      <c r="F6569" s="3" t="s">
        <v>7453</v>
      </c>
      <c r="G6569" s="3">
        <v>331487</v>
      </c>
      <c r="H6569" s="7" t="str">
        <f>HYPERLINK("http://www.ensembl.org/Mus_musculus/Gene/Summary?db=core;g=ENSMUSG00000073016","ENSMUSG00000073016")</f>
        <v>ENSMUSG00000073016</v>
      </c>
      <c r="I6569" s="7" t="str">
        <f>HYPERLINK("http://www.informatics.jax.org/marker/MGI:2685620","MGI:2685620")</f>
        <v>MGI:2685620</v>
      </c>
      <c r="J6569" s="4" t="s">
        <v>12</v>
      </c>
    </row>
    <row r="6570" spans="1:10" x14ac:dyDescent="0.25">
      <c r="A6570" s="2">
        <v>20.056594528115099</v>
      </c>
      <c r="B6570" s="3">
        <v>-0.65446207110888399</v>
      </c>
      <c r="C6570" s="3">
        <v>1.10865579852771E-2</v>
      </c>
      <c r="D6570" s="4">
        <v>2.7304474018941399E-2</v>
      </c>
      <c r="E6570" s="3" t="s">
        <v>16019</v>
      </c>
      <c r="F6570" s="3" t="s">
        <v>16020</v>
      </c>
      <c r="G6570" s="3">
        <v>108167848</v>
      </c>
      <c r="H6570" s="7" t="str">
        <f>HYPERLINK("http://www.ensembl.org/Mus_musculus/Gene/Summary?db=core;g=ENSMUSG00000072915","ENSMUSG00000072915")</f>
        <v>ENSMUSG00000072915</v>
      </c>
      <c r="I6570" s="7" t="str">
        <f>HYPERLINK("http://www.informatics.jax.org/marker/MGI:3651534","MGI:3651534")</f>
        <v>MGI:3651534</v>
      </c>
      <c r="J6570" s="4" t="s">
        <v>12</v>
      </c>
    </row>
    <row r="6571" spans="1:10" x14ac:dyDescent="0.25">
      <c r="A6571" s="2">
        <v>1647.98511479285</v>
      </c>
      <c r="B6571" s="3">
        <v>-0.65467606875229001</v>
      </c>
      <c r="C6571" s="5">
        <v>1.4849724128231799E-17</v>
      </c>
      <c r="D6571" s="6">
        <v>1.3078899500166601E-16</v>
      </c>
      <c r="E6571" s="3" t="s">
        <v>4495</v>
      </c>
      <c r="F6571" s="3" t="s">
        <v>4496</v>
      </c>
      <c r="G6571" s="3">
        <v>14797</v>
      </c>
      <c r="H6571" s="7" t="str">
        <f>HYPERLINK("http://www.ensembl.org/Mus_musculus/Gene/Summary?db=core;g=ENSMUSG00000054452","ENSMUSG00000054452")</f>
        <v>ENSMUSG00000054452</v>
      </c>
      <c r="I6571" s="7" t="str">
        <f>HYPERLINK("http://www.informatics.jax.org/marker/MGI:95806","MGI:95806")</f>
        <v>MGI:95806</v>
      </c>
      <c r="J6571" s="4" t="s">
        <v>12</v>
      </c>
    </row>
    <row r="6572" spans="1:10" x14ac:dyDescent="0.25">
      <c r="A6572" s="2">
        <v>475.19938704884498</v>
      </c>
      <c r="B6572" s="3">
        <v>-0.65488916654636797</v>
      </c>
      <c r="C6572" s="5">
        <v>1.22086828454039E-20</v>
      </c>
      <c r="D6572" s="6">
        <v>1.2480830778194201E-19</v>
      </c>
      <c r="E6572" s="3" t="s">
        <v>3876</v>
      </c>
      <c r="F6572" s="3" t="s">
        <v>3877</v>
      </c>
      <c r="G6572" s="3">
        <v>414872</v>
      </c>
      <c r="H6572" s="7" t="str">
        <f>HYPERLINK("http://www.ensembl.org/Mus_musculus/Gene/Summary?db=core;g=ENSMUSG00000034636","ENSMUSG00000034636")</f>
        <v>ENSMUSG00000034636</v>
      </c>
      <c r="I6572" s="7" t="str">
        <f>HYPERLINK("http://www.informatics.jax.org/marker/MGI:2685277","MGI:2685277")</f>
        <v>MGI:2685277</v>
      </c>
      <c r="J6572" s="4" t="s">
        <v>12</v>
      </c>
    </row>
    <row r="6573" spans="1:10" x14ac:dyDescent="0.25">
      <c r="A6573" s="2">
        <v>76.6429725540101</v>
      </c>
      <c r="B6573" s="3">
        <v>-0.65525190103124298</v>
      </c>
      <c r="C6573" s="3">
        <v>1.06007631420012E-3</v>
      </c>
      <c r="D6573" s="4">
        <v>3.1135991832032298E-3</v>
      </c>
      <c r="E6573" s="3" t="s">
        <v>13437</v>
      </c>
      <c r="F6573" s="3" t="s">
        <v>13438</v>
      </c>
      <c r="G6573" s="3">
        <v>215772</v>
      </c>
      <c r="H6573" s="7" t="str">
        <f>HYPERLINK("http://www.ensembl.org/Mus_musculus/Gene/Summary?db=core;g=ENSMUSG00000050994","ENSMUSG00000050994")</f>
        <v>ENSMUSG00000050994</v>
      </c>
      <c r="I6573" s="7" t="str">
        <f>HYPERLINK("http://www.informatics.jax.org/marker/MGI:3605549","MGI:3605549")</f>
        <v>MGI:3605549</v>
      </c>
      <c r="J6573" s="4" t="s">
        <v>12</v>
      </c>
    </row>
    <row r="6574" spans="1:10" x14ac:dyDescent="0.25">
      <c r="A6574" s="2">
        <v>292.43772923974302</v>
      </c>
      <c r="B6574" s="3">
        <v>-0.65644149796986495</v>
      </c>
      <c r="C6574" s="5">
        <v>3.03350151808307E-14</v>
      </c>
      <c r="D6574" s="6">
        <v>2.23294699278082E-13</v>
      </c>
      <c r="E6574" s="3" t="s">
        <v>5375</v>
      </c>
      <c r="F6574" s="3" t="s">
        <v>5376</v>
      </c>
      <c r="G6574" s="3">
        <v>56541</v>
      </c>
      <c r="H6574" s="7" t="str">
        <f>HYPERLINK("http://www.ensembl.org/Mus_musculus/Gene/Summary?db=core;g=ENSMUSG00000021476","ENSMUSG00000021476")</f>
        <v>ENSMUSG00000021476</v>
      </c>
      <c r="I6574" s="7" t="str">
        <f>HYPERLINK("http://www.informatics.jax.org/marker/MGI:1891713","MGI:1891713")</f>
        <v>MGI:1891713</v>
      </c>
      <c r="J6574" s="4" t="s">
        <v>12</v>
      </c>
    </row>
    <row r="6575" spans="1:10" x14ac:dyDescent="0.25">
      <c r="A6575" s="2">
        <v>108.59952544568399</v>
      </c>
      <c r="B6575" s="3">
        <v>-0.656484634906084</v>
      </c>
      <c r="C6575" s="3">
        <v>6.3295819421284498E-3</v>
      </c>
      <c r="D6575" s="4">
        <v>1.63804929001015E-2</v>
      </c>
      <c r="E6575" s="3" t="s">
        <v>15245</v>
      </c>
      <c r="F6575" s="3" t="s">
        <v>15246</v>
      </c>
      <c r="G6575" s="3">
        <v>74145</v>
      </c>
      <c r="H6575" s="7" t="str">
        <f>HYPERLINK("http://www.ensembl.org/Mus_musculus/Gene/Summary?db=core;g=ENSMUSG00000039109","ENSMUSG00000039109")</f>
        <v>ENSMUSG00000039109</v>
      </c>
      <c r="I6575" s="7" t="str">
        <f>HYPERLINK("http://www.informatics.jax.org/marker/MGI:1921395","MGI:1921395")</f>
        <v>MGI:1921395</v>
      </c>
      <c r="J6575" s="4" t="s">
        <v>12</v>
      </c>
    </row>
    <row r="6576" spans="1:10" x14ac:dyDescent="0.25">
      <c r="A6576" s="2">
        <v>367.23568442702998</v>
      </c>
      <c r="B6576" s="3">
        <v>-0.65768238924216804</v>
      </c>
      <c r="C6576" s="5">
        <v>4.4394882953528802E-8</v>
      </c>
      <c r="D6576" s="6">
        <v>2.0701515531889E-7</v>
      </c>
      <c r="E6576" s="3" t="s">
        <v>8475</v>
      </c>
      <c r="F6576" s="3" t="s">
        <v>8476</v>
      </c>
      <c r="G6576" s="3">
        <v>19895</v>
      </c>
      <c r="H6576" s="7" t="str">
        <f>HYPERLINK("http://www.ensembl.org/Mus_musculus/Gene/Summary?db=core;g=ENSMUSG00000053604","ENSMUSG00000053604")</f>
        <v>ENSMUSG00000053604</v>
      </c>
      <c r="I6576" s="7" t="str">
        <f>HYPERLINK("http://www.informatics.jax.org/marker/MGI:103254","MGI:103254")</f>
        <v>MGI:103254</v>
      </c>
      <c r="J6576" s="4" t="s">
        <v>12</v>
      </c>
    </row>
    <row r="6577" spans="1:10" x14ac:dyDescent="0.25">
      <c r="A6577" s="2">
        <v>99.030145413187995</v>
      </c>
      <c r="B6577" s="3">
        <v>-0.65769138336459498</v>
      </c>
      <c r="C6577" s="5">
        <v>3.9512381214032496E-6</v>
      </c>
      <c r="D6577" s="6">
        <v>1.5404985321089799E-5</v>
      </c>
      <c r="E6577" s="3" t="s">
        <v>10132</v>
      </c>
      <c r="F6577" s="3" t="s">
        <v>10133</v>
      </c>
      <c r="G6577" s="3">
        <v>72774</v>
      </c>
      <c r="H6577" s="7" t="str">
        <f>HYPERLINK("http://www.ensembl.org/Mus_musculus/Gene/Summary?db=core;g=ENSMUSG00000032298","ENSMUSG00000032298")</f>
        <v>ENSMUSG00000032298</v>
      </c>
      <c r="I6577" s="7" t="str">
        <f>HYPERLINK("http://www.informatics.jax.org/marker/MGI:1920024","MGI:1920024")</f>
        <v>MGI:1920024</v>
      </c>
      <c r="J6577" s="4" t="s">
        <v>12</v>
      </c>
    </row>
    <row r="6578" spans="1:10" x14ac:dyDescent="0.25">
      <c r="A6578" s="2">
        <v>501.98203816370699</v>
      </c>
      <c r="B6578" s="3">
        <v>-0.65788417382346598</v>
      </c>
      <c r="C6578" s="5">
        <v>1.1844537517340199E-10</v>
      </c>
      <c r="D6578" s="6">
        <v>6.8516949205617002E-10</v>
      </c>
      <c r="E6578" s="3" t="s">
        <v>6836</v>
      </c>
      <c r="F6578" s="3" t="s">
        <v>6837</v>
      </c>
      <c r="G6578" s="3">
        <v>105835</v>
      </c>
      <c r="H6578" s="7" t="str">
        <f>HYPERLINK("http://www.ensembl.org/Mus_musculus/Gene/Summary?db=core;g=ENSMUSG00000042303","ENSMUSG00000042303")</f>
        <v>ENSMUSG00000042303</v>
      </c>
      <c r="I6578" s="7" t="str">
        <f>HYPERLINK("http://www.informatics.jax.org/marker/MGI:1916329","MGI:1916329")</f>
        <v>MGI:1916329</v>
      </c>
      <c r="J6578" s="4" t="s">
        <v>12</v>
      </c>
    </row>
    <row r="6579" spans="1:10" x14ac:dyDescent="0.25">
      <c r="A6579" s="2">
        <v>242.31673936708299</v>
      </c>
      <c r="B6579" s="3">
        <v>-0.65811953316366401</v>
      </c>
      <c r="C6579" s="5">
        <v>1.8776023017536101E-15</v>
      </c>
      <c r="D6579" s="6">
        <v>1.4763284446005201E-14</v>
      </c>
      <c r="E6579" s="3" t="s">
        <v>5033</v>
      </c>
      <c r="F6579" s="3" t="s">
        <v>5034</v>
      </c>
      <c r="G6579" s="3">
        <v>50758</v>
      </c>
      <c r="H6579" s="7" t="str">
        <f>HYPERLINK("http://www.ensembl.org/Mus_musculus/Gene/Summary?db=core;g=ENSMUSG00000023965","ENSMUSG00000023965")</f>
        <v>ENSMUSG00000023965</v>
      </c>
      <c r="I6579" s="7" t="str">
        <f>HYPERLINK("http://www.informatics.jax.org/marker/MGI:1354704","MGI:1354704")</f>
        <v>MGI:1354704</v>
      </c>
      <c r="J6579" s="4" t="s">
        <v>12</v>
      </c>
    </row>
    <row r="6580" spans="1:10" x14ac:dyDescent="0.25">
      <c r="A6580" s="2">
        <v>469.43644495821599</v>
      </c>
      <c r="B6580" s="3">
        <v>-0.658160010200598</v>
      </c>
      <c r="C6580" s="5">
        <v>2.2591373719774901E-10</v>
      </c>
      <c r="D6580" s="6">
        <v>1.27765105233589E-9</v>
      </c>
      <c r="E6580" s="3" t="s">
        <v>6990</v>
      </c>
      <c r="F6580" s="3" t="s">
        <v>6991</v>
      </c>
      <c r="G6580" s="3">
        <v>52538</v>
      </c>
      <c r="H6580" s="7" t="str">
        <f>HYPERLINK("http://www.ensembl.org/Mus_musculus/Gene/Summary?db=core;g=ENSMUSG00000036880","ENSMUSG00000036880")</f>
        <v>ENSMUSG00000036880</v>
      </c>
      <c r="I6580" s="7" t="str">
        <f>HYPERLINK("http://www.informatics.jax.org/marker/MGI:1098623","MGI:1098623")</f>
        <v>MGI:1098623</v>
      </c>
      <c r="J6580" s="4" t="s">
        <v>12</v>
      </c>
    </row>
    <row r="6581" spans="1:10" x14ac:dyDescent="0.25">
      <c r="A6581" s="2">
        <v>594.26477552127403</v>
      </c>
      <c r="B6581" s="3">
        <v>-0.65821525404470105</v>
      </c>
      <c r="C6581" s="5">
        <v>1.06585466879387E-13</v>
      </c>
      <c r="D6581" s="6">
        <v>7.5961886767673205E-13</v>
      </c>
      <c r="E6581" s="3" t="s">
        <v>5551</v>
      </c>
      <c r="F6581" s="3" t="s">
        <v>5552</v>
      </c>
      <c r="G6581" s="3">
        <v>70511</v>
      </c>
      <c r="H6581" s="7" t="str">
        <f>HYPERLINK("http://www.ensembl.org/Mus_musculus/Gene/Summary?db=core;g=ENSMUSG00000022544","ENSMUSG00000022544")</f>
        <v>ENSMUSG00000022544</v>
      </c>
      <c r="I6581" s="7" t="str">
        <f>HYPERLINK("http://www.informatics.jax.org/marker/MGI:1917761","MGI:1917761")</f>
        <v>MGI:1917761</v>
      </c>
      <c r="J6581" s="4" t="s">
        <v>12</v>
      </c>
    </row>
    <row r="6582" spans="1:10" x14ac:dyDescent="0.25">
      <c r="A6582" s="2">
        <v>34.134271358512798</v>
      </c>
      <c r="B6582" s="3">
        <v>-0.65964804307818603</v>
      </c>
      <c r="C6582" s="3">
        <v>1.5430441609718701E-3</v>
      </c>
      <c r="D6582" s="4">
        <v>4.42987783583713E-3</v>
      </c>
      <c r="E6582" s="3" t="s">
        <v>13745</v>
      </c>
      <c r="F6582" s="3" t="s">
        <v>13746</v>
      </c>
      <c r="G6582" s="3">
        <v>381148</v>
      </c>
      <c r="H6582" s="7" t="str">
        <f>HYPERLINK("http://www.ensembl.org/Mus_musculus/Gene/Summary?db=core;g=ENSMUSG00000073600","ENSMUSG00000073600")</f>
        <v>ENSMUSG00000073600</v>
      </c>
      <c r="I6582" s="7" t="str">
        <f>HYPERLINK("http://www.informatics.jax.org/marker/MGI:2686460","MGI:2686460")</f>
        <v>MGI:2686460</v>
      </c>
      <c r="J6582" s="4" t="s">
        <v>12</v>
      </c>
    </row>
    <row r="6583" spans="1:10" x14ac:dyDescent="0.25">
      <c r="A6583" s="2">
        <v>174.73847208195201</v>
      </c>
      <c r="B6583" s="3">
        <v>-0.66007802448767305</v>
      </c>
      <c r="C6583" s="5">
        <v>2.4770755462468401E-11</v>
      </c>
      <c r="D6583" s="6">
        <v>1.50811762185822E-10</v>
      </c>
      <c r="E6583" s="3" t="s">
        <v>6495</v>
      </c>
      <c r="F6583" s="3" t="s">
        <v>6496</v>
      </c>
      <c r="G6583" s="3">
        <v>72016</v>
      </c>
      <c r="H6583" s="7" t="str">
        <f>HYPERLINK("http://www.ensembl.org/Mus_musculus/Gene/Summary?db=core;g=ENSMUSG00000024118","ENSMUSG00000024118")</f>
        <v>ENSMUSG00000024118</v>
      </c>
      <c r="I6583" s="7" t="str">
        <f>HYPERLINK("http://www.informatics.jax.org/marker/MGI:1919266","MGI:1919266")</f>
        <v>MGI:1919266</v>
      </c>
      <c r="J6583" s="4" t="s">
        <v>12</v>
      </c>
    </row>
    <row r="6584" spans="1:10" x14ac:dyDescent="0.25">
      <c r="A6584" s="2">
        <v>1324.3950300398999</v>
      </c>
      <c r="B6584" s="3">
        <v>-0.66045854625775602</v>
      </c>
      <c r="C6584" s="5">
        <v>8.4537499313567408E-31</v>
      </c>
      <c r="D6584" s="6">
        <v>1.2774555451827999E-29</v>
      </c>
      <c r="E6584" s="3" t="s">
        <v>2627</v>
      </c>
      <c r="F6584" s="3" t="s">
        <v>2628</v>
      </c>
      <c r="G6584" s="3">
        <v>269593</v>
      </c>
      <c r="H6584" s="7" t="str">
        <f>HYPERLINK("http://www.ensembl.org/Mus_musculus/Gene/Summary?db=core;g=ENSMUSG00000001089","ENSMUSG00000001089")</f>
        <v>ENSMUSG00000001089</v>
      </c>
      <c r="I6584" s="7" t="str">
        <f>HYPERLINK("http://www.informatics.jax.org/marker/MGI:107629","MGI:107629")</f>
        <v>MGI:107629</v>
      </c>
      <c r="J6584" s="4" t="s">
        <v>12</v>
      </c>
    </row>
    <row r="6585" spans="1:10" x14ac:dyDescent="0.25">
      <c r="A6585" s="2">
        <v>84.574258963328802</v>
      </c>
      <c r="B6585" s="3">
        <v>-0.66053023267716304</v>
      </c>
      <c r="C6585" s="5">
        <v>2.10647784368924E-5</v>
      </c>
      <c r="D6585" s="6">
        <v>7.6416010076438295E-5</v>
      </c>
      <c r="E6585" s="3" t="s">
        <v>10884</v>
      </c>
      <c r="F6585" s="3" t="s">
        <v>10885</v>
      </c>
      <c r="G6585" s="3">
        <v>69288</v>
      </c>
      <c r="H6585" s="7" t="str">
        <f>HYPERLINK("http://www.ensembl.org/Mus_musculus/Gene/Summary?db=core;g=ENSMUSG00000019944","ENSMUSG00000019944")</f>
        <v>ENSMUSG00000019944</v>
      </c>
      <c r="I6585" s="7" t="str">
        <f>HYPERLINK("http://www.informatics.jax.org/marker/MGI:1916538","MGI:1916538")</f>
        <v>MGI:1916538</v>
      </c>
      <c r="J6585" s="4" t="s">
        <v>12</v>
      </c>
    </row>
    <row r="6586" spans="1:10" x14ac:dyDescent="0.25">
      <c r="A6586" s="2">
        <v>574.83017543257404</v>
      </c>
      <c r="B6586" s="3">
        <v>-0.66061855253186796</v>
      </c>
      <c r="C6586" s="5">
        <v>6.35663172708646E-12</v>
      </c>
      <c r="D6586" s="6">
        <v>4.0371264946262501E-11</v>
      </c>
      <c r="E6586" s="3" t="s">
        <v>6227</v>
      </c>
      <c r="F6586" s="3" t="s">
        <v>6228</v>
      </c>
      <c r="G6586" s="3">
        <v>73122</v>
      </c>
      <c r="H6586" s="7" t="str">
        <f>HYPERLINK("http://www.ensembl.org/Mus_musculus/Gene/Summary?db=core;g=ENSMUSG00000070939","ENSMUSG00000070939")</f>
        <v>ENSMUSG00000070939</v>
      </c>
      <c r="I6586" s="7" t="str">
        <f>HYPERLINK("http://www.informatics.jax.org/marker/MGI:2447427","MGI:2447427")</f>
        <v>MGI:2447427</v>
      </c>
      <c r="J6586" s="4" t="s">
        <v>12</v>
      </c>
    </row>
    <row r="6587" spans="1:10" x14ac:dyDescent="0.25">
      <c r="A6587" s="2">
        <v>439.48873754232699</v>
      </c>
      <c r="B6587" s="3">
        <v>-0.66080662421667902</v>
      </c>
      <c r="C6587" s="5">
        <v>1.71810587250958E-17</v>
      </c>
      <c r="D6587" s="6">
        <v>1.5071640483046599E-16</v>
      </c>
      <c r="E6587" s="3" t="s">
        <v>4513</v>
      </c>
      <c r="F6587" s="3" t="s">
        <v>4514</v>
      </c>
      <c r="G6587" s="3">
        <v>71885</v>
      </c>
      <c r="H6587" s="7" t="str">
        <f>HYPERLINK("http://www.ensembl.org/Mus_musculus/Gene/Summary?db=core;g=ENSMUSG00000025384","ENSMUSG00000025384")</f>
        <v>ENSMUSG00000025384</v>
      </c>
      <c r="I6587" s="7" t="str">
        <f>HYPERLINK("http://www.informatics.jax.org/marker/MGI:1919135","MGI:1919135")</f>
        <v>MGI:1919135</v>
      </c>
      <c r="J6587" s="4" t="s">
        <v>12</v>
      </c>
    </row>
    <row r="6588" spans="1:10" x14ac:dyDescent="0.25">
      <c r="A6588" s="2">
        <v>357.73538366039799</v>
      </c>
      <c r="B6588" s="3">
        <v>-0.66083898270864005</v>
      </c>
      <c r="C6588" s="5">
        <v>3.23772494357835E-15</v>
      </c>
      <c r="D6588" s="6">
        <v>2.5156791129773501E-14</v>
      </c>
      <c r="E6588" s="3" t="s">
        <v>5093</v>
      </c>
      <c r="F6588" s="3" t="s">
        <v>5094</v>
      </c>
      <c r="G6588" s="3">
        <v>71710</v>
      </c>
      <c r="H6588" s="7" t="str">
        <f>HYPERLINK("http://www.ensembl.org/Mus_musculus/Gene/Summary?db=core;g=ENSMUSG00000027550","ENSMUSG00000027550")</f>
        <v>ENSMUSG00000027550</v>
      </c>
      <c r="I6588" s="7" t="str">
        <f>HYPERLINK("http://www.informatics.jax.org/marker/MGI:1918960","MGI:1918960")</f>
        <v>MGI:1918960</v>
      </c>
      <c r="J6588" s="4" t="s">
        <v>12</v>
      </c>
    </row>
    <row r="6589" spans="1:10" x14ac:dyDescent="0.25">
      <c r="A6589" s="2">
        <v>48.6458895275656</v>
      </c>
      <c r="B6589" s="3">
        <v>-0.66127871500809798</v>
      </c>
      <c r="C6589" s="3">
        <v>1.5023770636036701E-4</v>
      </c>
      <c r="D6589" s="4">
        <v>4.95432703917464E-4</v>
      </c>
      <c r="E6589" s="3" t="s">
        <v>11971</v>
      </c>
      <c r="F6589" s="3" t="s">
        <v>11972</v>
      </c>
      <c r="G6589" s="3">
        <v>20523</v>
      </c>
      <c r="H6589" s="7" t="str">
        <f>HYPERLINK("http://www.ensembl.org/Mus_musculus/Gene/Summary?db=core;g=ENSMUSG00000031105","ENSMUSG00000031105")</f>
        <v>ENSMUSG00000031105</v>
      </c>
      <c r="I6589" s="7" t="str">
        <f>HYPERLINK("http://www.informatics.jax.org/marker/MGI:1330823","MGI:1330823")</f>
        <v>MGI:1330823</v>
      </c>
      <c r="J6589" s="4" t="s">
        <v>12</v>
      </c>
    </row>
    <row r="6590" spans="1:10" x14ac:dyDescent="0.25">
      <c r="A6590" s="2">
        <v>3501.5288274498898</v>
      </c>
      <c r="B6590" s="3">
        <v>-0.66171382526619904</v>
      </c>
      <c r="C6590" s="5">
        <v>6.2066710447031199E-13</v>
      </c>
      <c r="D6590" s="6">
        <v>4.2118221955108603E-12</v>
      </c>
      <c r="E6590" s="3" t="s">
        <v>5829</v>
      </c>
      <c r="F6590" s="3" t="s">
        <v>5830</v>
      </c>
      <c r="G6590" s="3">
        <v>16909</v>
      </c>
      <c r="H6590" s="7" t="str">
        <f>HYPERLINK("http://www.ensembl.org/Mus_musculus/Gene/Summary?db=core;g=ENSMUSG00000032698","ENSMUSG00000032698")</f>
        <v>ENSMUSG00000032698</v>
      </c>
      <c r="I6590" s="7" t="str">
        <f>HYPERLINK("http://www.informatics.jax.org/marker/MGI:102811","MGI:102811")</f>
        <v>MGI:102811</v>
      </c>
      <c r="J6590" s="4" t="s">
        <v>12</v>
      </c>
    </row>
    <row r="6591" spans="1:10" x14ac:dyDescent="0.25">
      <c r="A6591" s="2">
        <v>251.98838575154599</v>
      </c>
      <c r="B6591" s="3">
        <v>-0.66190275010146904</v>
      </c>
      <c r="C6591" s="5">
        <v>3.6233455227965699E-13</v>
      </c>
      <c r="D6591" s="6">
        <v>2.4983347450891E-12</v>
      </c>
      <c r="E6591" s="3" t="s">
        <v>5737</v>
      </c>
      <c r="F6591" s="3" t="s">
        <v>5738</v>
      </c>
      <c r="G6591" s="3">
        <v>67384</v>
      </c>
      <c r="H6591" s="7" t="str">
        <f>HYPERLINK("http://www.ensembl.org/Mus_musculus/Gene/Summary?db=core;g=ENSMUSG00000037316","ENSMUSG00000037316")</f>
        <v>ENSMUSG00000037316</v>
      </c>
      <c r="I6591" s="7" t="str">
        <f>HYPERLINK("http://www.informatics.jax.org/marker/MGI:1914634","MGI:1914634")</f>
        <v>MGI:1914634</v>
      </c>
      <c r="J6591" s="4" t="s">
        <v>12</v>
      </c>
    </row>
    <row r="6592" spans="1:10" x14ac:dyDescent="0.25">
      <c r="A6592" s="2">
        <v>17.217175573498299</v>
      </c>
      <c r="B6592" s="3">
        <v>-0.66202276579670605</v>
      </c>
      <c r="C6592" s="3">
        <v>1.3103571251297399E-2</v>
      </c>
      <c r="D6592" s="4">
        <v>3.1819040152146802E-2</v>
      </c>
      <c r="E6592" s="3" t="s">
        <v>16245</v>
      </c>
      <c r="F6592" s="3" t="s">
        <v>16246</v>
      </c>
      <c r="G6592" s="3" t="s">
        <v>83</v>
      </c>
      <c r="H6592" s="7" t="str">
        <f>HYPERLINK("http://www.ensembl.org/Mus_musculus/Gene/Summary?db=core;g=ENSMUSG00000086877","ENSMUSG00000086877")</f>
        <v>ENSMUSG00000086877</v>
      </c>
      <c r="I6592" s="7" t="str">
        <f>HYPERLINK("http://www.informatics.jax.org/marker/MGI:2444644","MGI:2444644")</f>
        <v>MGI:2444644</v>
      </c>
      <c r="J6592" s="4" t="s">
        <v>331</v>
      </c>
    </row>
    <row r="6593" spans="1:10" x14ac:dyDescent="0.25">
      <c r="A6593" s="2">
        <v>846.00741218963003</v>
      </c>
      <c r="B6593" s="3">
        <v>-0.66212301651823402</v>
      </c>
      <c r="C6593" s="5">
        <v>9.0296378235593998E-10</v>
      </c>
      <c r="D6593" s="6">
        <v>4.85586195474752E-9</v>
      </c>
      <c r="E6593" s="3" t="s">
        <v>7352</v>
      </c>
      <c r="F6593" s="3" t="s">
        <v>7353</v>
      </c>
      <c r="G6593" s="3">
        <v>19650</v>
      </c>
      <c r="H6593" s="7" t="str">
        <f>HYPERLINK("http://www.ensembl.org/Mus_musculus/Gene/Summary?db=core;g=ENSMUSG00000027641","ENSMUSG00000027641")</f>
        <v>ENSMUSG00000027641</v>
      </c>
      <c r="I6593" s="7" t="str">
        <f>HYPERLINK("http://www.informatics.jax.org/marker/MGI:103300","MGI:103300")</f>
        <v>MGI:103300</v>
      </c>
      <c r="J6593" s="4" t="s">
        <v>12</v>
      </c>
    </row>
    <row r="6594" spans="1:10" x14ac:dyDescent="0.25">
      <c r="A6594" s="2">
        <v>57.187985011162901</v>
      </c>
      <c r="B6594" s="3">
        <v>-0.66224823238661801</v>
      </c>
      <c r="C6594" s="5">
        <v>4.7210750507343003E-5</v>
      </c>
      <c r="D6594" s="4">
        <v>1.6480722251811E-4</v>
      </c>
      <c r="E6594" s="3" t="s">
        <v>11309</v>
      </c>
      <c r="F6594" s="3" t="s">
        <v>11310</v>
      </c>
      <c r="G6594" s="3">
        <v>105734</v>
      </c>
      <c r="H6594" s="7" t="str">
        <f>HYPERLINK("http://www.ensembl.org/Mus_musculus/Gene/Summary?db=core;g=ENSMUSG00000103906","ENSMUSG00000103906")</f>
        <v>ENSMUSG00000103906</v>
      </c>
      <c r="I6594" s="7" t="str">
        <f>HYPERLINK("http://www.informatics.jax.org/marker/MGI:2145902","MGI:2145902")</f>
        <v>MGI:2145902</v>
      </c>
      <c r="J6594" s="4" t="s">
        <v>12</v>
      </c>
    </row>
    <row r="6595" spans="1:10" x14ac:dyDescent="0.25">
      <c r="A6595" s="2">
        <v>362.347720434606</v>
      </c>
      <c r="B6595" s="3">
        <v>-0.66229736932136996</v>
      </c>
      <c r="C6595" s="5">
        <v>5.1473043352075903E-13</v>
      </c>
      <c r="D6595" s="6">
        <v>3.5122782522592999E-12</v>
      </c>
      <c r="E6595" s="3" t="s">
        <v>5797</v>
      </c>
      <c r="F6595" s="3" t="s">
        <v>5798</v>
      </c>
      <c r="G6595" s="3">
        <v>223690</v>
      </c>
      <c r="H6595" s="7" t="str">
        <f>HYPERLINK("http://www.ensembl.org/Mus_musculus/Gene/Summary?db=core;g=ENSMUSG00000033055","ENSMUSG00000033055")</f>
        <v>ENSMUSG00000033055</v>
      </c>
      <c r="I6595" s="7" t="str">
        <f>HYPERLINK("http://www.informatics.jax.org/marker/MGI:2444209","MGI:2444209")</f>
        <v>MGI:2444209</v>
      </c>
      <c r="J6595" s="4" t="s">
        <v>12</v>
      </c>
    </row>
    <row r="6596" spans="1:10" x14ac:dyDescent="0.25">
      <c r="A6596" s="2">
        <v>278.21485231251</v>
      </c>
      <c r="B6596" s="3">
        <v>-0.66288849112522397</v>
      </c>
      <c r="C6596" s="5">
        <v>1.2149004986081501E-9</v>
      </c>
      <c r="D6596" s="6">
        <v>6.4750913060953304E-9</v>
      </c>
      <c r="E6596" s="3" t="s">
        <v>7418</v>
      </c>
      <c r="F6596" s="3" t="s">
        <v>7419</v>
      </c>
      <c r="G6596" s="3">
        <v>83815</v>
      </c>
      <c r="H6596" s="7" t="str">
        <f>HYPERLINK("http://www.ensembl.org/Mus_musculus/Gene/Summary?db=core;g=ENSMUSG00000023919","ENSMUSG00000023919")</f>
        <v>ENSMUSG00000023919</v>
      </c>
      <c r="I6596" s="7" t="str">
        <f>HYPERLINK("http://www.informatics.jax.org/marker/MGI:1933744","MGI:1933744")</f>
        <v>MGI:1933744</v>
      </c>
      <c r="J6596" s="4" t="s">
        <v>12</v>
      </c>
    </row>
    <row r="6597" spans="1:10" x14ac:dyDescent="0.25">
      <c r="A6597" s="2">
        <v>117.237222397106</v>
      </c>
      <c r="B6597" s="3">
        <v>-0.66290162452851797</v>
      </c>
      <c r="C6597" s="5">
        <v>1.74810998055356E-6</v>
      </c>
      <c r="D6597" s="6">
        <v>7.05685339130321E-6</v>
      </c>
      <c r="E6597" s="3" t="s">
        <v>9785</v>
      </c>
      <c r="F6597" s="3" t="s">
        <v>9786</v>
      </c>
      <c r="G6597" s="3">
        <v>237339</v>
      </c>
      <c r="H6597" s="7" t="str">
        <f>HYPERLINK("http://www.ensembl.org/Mus_musculus/Gene/Summary?db=core;g=ENSMUSG00000039089","ENSMUSG00000039089")</f>
        <v>ENSMUSG00000039089</v>
      </c>
      <c r="I6597" s="7" t="str">
        <f>HYPERLINK("http://www.informatics.jax.org/marker/MGI:2143628","MGI:2143628")</f>
        <v>MGI:2143628</v>
      </c>
      <c r="J6597" s="4" t="s">
        <v>12</v>
      </c>
    </row>
    <row r="6598" spans="1:10" x14ac:dyDescent="0.25">
      <c r="A6598" s="2">
        <v>22.409429518867402</v>
      </c>
      <c r="B6598" s="3">
        <v>-0.66301028414643803</v>
      </c>
      <c r="C6598" s="3">
        <v>5.8585039789291896E-3</v>
      </c>
      <c r="D6598" s="4">
        <v>1.5269587425916401E-2</v>
      </c>
      <c r="E6598" s="3" t="s">
        <v>15136</v>
      </c>
      <c r="F6598" s="3" t="s">
        <v>15137</v>
      </c>
      <c r="G6598" s="3">
        <v>15512</v>
      </c>
      <c r="H6598" s="7" t="str">
        <f>HYPERLINK("http://www.ensembl.org/Mus_musculus/Gene/Summary?db=core;g=ENSMUSG00000059970","ENSMUSG00000059970")</f>
        <v>ENSMUSG00000059970</v>
      </c>
      <c r="I6598" s="7" t="str">
        <f>HYPERLINK("http://www.informatics.jax.org/marker/MGI:96243","MGI:96243")</f>
        <v>MGI:96243</v>
      </c>
      <c r="J6598" s="4" t="s">
        <v>12</v>
      </c>
    </row>
    <row r="6599" spans="1:10" x14ac:dyDescent="0.25">
      <c r="A6599" s="2">
        <v>241.684384726974</v>
      </c>
      <c r="B6599" s="3">
        <v>-0.663572504090438</v>
      </c>
      <c r="C6599" s="5">
        <v>1.75795541632013E-11</v>
      </c>
      <c r="D6599" s="6">
        <v>1.08131256424931E-10</v>
      </c>
      <c r="E6599" s="3" t="s">
        <v>6429</v>
      </c>
      <c r="F6599" s="3" t="s">
        <v>6430</v>
      </c>
      <c r="G6599" s="3">
        <v>70088</v>
      </c>
      <c r="H6599" s="7" t="str">
        <f>HYPERLINK("http://www.ensembl.org/Mus_musculus/Gene/Summary?db=core;g=ENSMUSG00000028863","ENSMUSG00000028863")</f>
        <v>ENSMUSG00000028863</v>
      </c>
      <c r="I6599" s="7" t="str">
        <f>HYPERLINK("http://www.informatics.jax.org/marker/MGI:1917338","MGI:1917338")</f>
        <v>MGI:1917338</v>
      </c>
      <c r="J6599" s="4" t="s">
        <v>12</v>
      </c>
    </row>
    <row r="6600" spans="1:10" x14ac:dyDescent="0.25">
      <c r="A6600" s="2">
        <v>1245.2734517638701</v>
      </c>
      <c r="B6600" s="3">
        <v>-0.66377842722951597</v>
      </c>
      <c r="C6600" s="5">
        <v>2.47555448977256E-48</v>
      </c>
      <c r="D6600" s="6">
        <v>6.4318754332430599E-47</v>
      </c>
      <c r="E6600" s="3" t="s">
        <v>1534</v>
      </c>
      <c r="F6600" s="3" t="s">
        <v>1535</v>
      </c>
      <c r="G6600" s="3">
        <v>13138</v>
      </c>
      <c r="H6600" s="7" t="str">
        <f>HYPERLINK("http://www.ensembl.org/Mus_musculus/Gene/Summary?db=core;g=ENSMUSG00000039952","ENSMUSG00000039952")</f>
        <v>ENSMUSG00000039952</v>
      </c>
      <c r="I6600" s="7" t="str">
        <f>HYPERLINK("http://www.informatics.jax.org/marker/MGI:101864","MGI:101864")</f>
        <v>MGI:101864</v>
      </c>
      <c r="J6600" s="4" t="s">
        <v>12</v>
      </c>
    </row>
    <row r="6601" spans="1:10" x14ac:dyDescent="0.25">
      <c r="A6601" s="2">
        <v>461.84385132804499</v>
      </c>
      <c r="B6601" s="3">
        <v>-0.66381504912582401</v>
      </c>
      <c r="C6601" s="5">
        <v>1.8084332496275298E-8</v>
      </c>
      <c r="D6601" s="6">
        <v>8.7622367770650901E-8</v>
      </c>
      <c r="E6601" s="3" t="s">
        <v>8157</v>
      </c>
      <c r="F6601" s="3" t="s">
        <v>8158</v>
      </c>
      <c r="G6601" s="3">
        <v>244631</v>
      </c>
      <c r="H6601" s="7" t="str">
        <f>HYPERLINK("http://www.ensembl.org/Mus_musculus/Gene/Summary?db=core;g=ENSMUSG00000048310","ENSMUSG00000048310")</f>
        <v>ENSMUSG00000048310</v>
      </c>
      <c r="I6601" s="7" t="str">
        <f>HYPERLINK("http://www.informatics.jax.org/marker/MGI:3528383","MGI:3528383")</f>
        <v>MGI:3528383</v>
      </c>
      <c r="J6601" s="4" t="s">
        <v>12</v>
      </c>
    </row>
    <row r="6602" spans="1:10" x14ac:dyDescent="0.25">
      <c r="A6602" s="2">
        <v>362.903007316669</v>
      </c>
      <c r="B6602" s="3">
        <v>-0.66385195636356498</v>
      </c>
      <c r="C6602" s="5">
        <v>1.72948009956646E-18</v>
      </c>
      <c r="D6602" s="6">
        <v>1.6011900264530801E-17</v>
      </c>
      <c r="E6602" s="3" t="s">
        <v>4277</v>
      </c>
      <c r="F6602" s="3" t="s">
        <v>4278</v>
      </c>
      <c r="G6602" s="3">
        <v>68201</v>
      </c>
      <c r="H6602" s="7" t="str">
        <f>HYPERLINK("http://www.ensembl.org/Mus_musculus/Gene/Summary?db=core;g=ENSMUSG00000027160","ENSMUSG00000027160")</f>
        <v>ENSMUSG00000027160</v>
      </c>
      <c r="I6602" s="7" t="str">
        <f>HYPERLINK("http://www.informatics.jax.org/marker/MGI:1915451","MGI:1915451")</f>
        <v>MGI:1915451</v>
      </c>
      <c r="J6602" s="4" t="s">
        <v>12</v>
      </c>
    </row>
    <row r="6603" spans="1:10" x14ac:dyDescent="0.25">
      <c r="A6603" s="2">
        <v>465.324913259406</v>
      </c>
      <c r="B6603" s="3">
        <v>-0.66408792851643195</v>
      </c>
      <c r="C6603" s="5">
        <v>2.49569689157607E-20</v>
      </c>
      <c r="D6603" s="6">
        <v>2.5135415067354501E-19</v>
      </c>
      <c r="E6603" s="3" t="s">
        <v>3934</v>
      </c>
      <c r="F6603" s="3" t="s">
        <v>3935</v>
      </c>
      <c r="G6603" s="3">
        <v>76608</v>
      </c>
      <c r="H6603" s="7" t="str">
        <f>HYPERLINK("http://www.ensembl.org/Mus_musculus/Gene/Summary?db=core;g=ENSMUSG00000046861","ENSMUSG00000046861")</f>
        <v>ENSMUSG00000046861</v>
      </c>
      <c r="I6603" s="7" t="str">
        <f>HYPERLINK("http://www.informatics.jax.org/marker/MGI:1923858","MGI:1923858")</f>
        <v>MGI:1923858</v>
      </c>
      <c r="J6603" s="4" t="s">
        <v>12</v>
      </c>
    </row>
    <row r="6604" spans="1:10" x14ac:dyDescent="0.25">
      <c r="A6604" s="2">
        <v>187.21837876114299</v>
      </c>
      <c r="B6604" s="3">
        <v>-0.66423572710839696</v>
      </c>
      <c r="C6604" s="5">
        <v>8.3441141426936106E-9</v>
      </c>
      <c r="D6604" s="6">
        <v>4.1678300631691497E-8</v>
      </c>
      <c r="E6604" s="3" t="s">
        <v>7912</v>
      </c>
      <c r="F6604" s="3" t="s">
        <v>7913</v>
      </c>
      <c r="G6604" s="3">
        <v>18516</v>
      </c>
      <c r="H6604" s="7" t="str">
        <f>HYPERLINK("http://www.ensembl.org/Mus_musculus/Gene/Summary?db=core;g=ENSMUSG00000038718","ENSMUSG00000038718")</f>
        <v>ENSMUSG00000038718</v>
      </c>
      <c r="I6604" s="7" t="str">
        <f>HYPERLINK("http://www.informatics.jax.org/marker/MGI:97496","MGI:97496")</f>
        <v>MGI:97496</v>
      </c>
      <c r="J6604" s="4" t="s">
        <v>12</v>
      </c>
    </row>
    <row r="6605" spans="1:10" x14ac:dyDescent="0.25">
      <c r="A6605" s="2">
        <v>190.62425938830901</v>
      </c>
      <c r="B6605" s="3">
        <v>-0.66432946349849198</v>
      </c>
      <c r="C6605" s="3">
        <v>1.19536374839072E-4</v>
      </c>
      <c r="D6605" s="4">
        <v>3.9906167459395598E-4</v>
      </c>
      <c r="E6605" s="3" t="s">
        <v>11825</v>
      </c>
      <c r="F6605" s="3" t="s">
        <v>11826</v>
      </c>
      <c r="G6605" s="3">
        <v>53885</v>
      </c>
      <c r="H6605" s="7" t="str">
        <f>HYPERLINK("http://www.ensembl.org/Mus_musculus/Gene/Summary?db=core;g=ENSMUSG00000027378","ENSMUSG00000027378")</f>
        <v>ENSMUSG00000027378</v>
      </c>
      <c r="I6605" s="7" t="str">
        <f>HYPERLINK("http://www.informatics.jax.org/marker/MGI:1858233","MGI:1858233")</f>
        <v>MGI:1858233</v>
      </c>
      <c r="J6605" s="4" t="s">
        <v>12</v>
      </c>
    </row>
    <row r="6606" spans="1:10" x14ac:dyDescent="0.25">
      <c r="A6606" s="2">
        <v>53.163004342927501</v>
      </c>
      <c r="B6606" s="3">
        <v>-0.66447946935493796</v>
      </c>
      <c r="C6606" s="3">
        <v>1.8120964902523001E-4</v>
      </c>
      <c r="D6606" s="4">
        <v>5.9075124463176204E-4</v>
      </c>
      <c r="E6606" s="3" t="s">
        <v>12109</v>
      </c>
      <c r="F6606" s="3" t="s">
        <v>12110</v>
      </c>
      <c r="G6606" s="3">
        <v>66431</v>
      </c>
      <c r="H6606" s="7" t="str">
        <f>HYPERLINK("http://www.ensembl.org/Mus_musculus/Gene/Summary?db=core;g=ENSMUSG00000039670","ENSMUSG00000039670")</f>
        <v>ENSMUSG00000039670</v>
      </c>
      <c r="I6606" s="7" t="str">
        <f>HYPERLINK("http://www.informatics.jax.org/marker/MGI:1913681","MGI:1913681")</f>
        <v>MGI:1913681</v>
      </c>
      <c r="J6606" s="4" t="s">
        <v>12</v>
      </c>
    </row>
    <row r="6607" spans="1:10" x14ac:dyDescent="0.25">
      <c r="A6607" s="2">
        <v>65.734992047400596</v>
      </c>
      <c r="B6607" s="3">
        <v>-0.66449787394447601</v>
      </c>
      <c r="C6607" s="5">
        <v>1.90480247447352E-5</v>
      </c>
      <c r="D6607" s="6">
        <v>6.9380688578902301E-5</v>
      </c>
      <c r="E6607" s="3" t="s">
        <v>10840</v>
      </c>
      <c r="F6607" s="3" t="s">
        <v>10841</v>
      </c>
      <c r="G6607" s="3">
        <v>245902</v>
      </c>
      <c r="H6607" s="7" t="str">
        <f>HYPERLINK("http://www.ensembl.org/Mus_musculus/Gene/Summary?db=core;g=ENSMUSG00000034303","ENSMUSG00000034303")</f>
        <v>ENSMUSG00000034303</v>
      </c>
      <c r="I6607" s="7" t="str">
        <f>HYPERLINK("http://www.informatics.jax.org/marker/MGI:2444488","MGI:2444488")</f>
        <v>MGI:2444488</v>
      </c>
      <c r="J6607" s="4" t="s">
        <v>12</v>
      </c>
    </row>
    <row r="6608" spans="1:10" x14ac:dyDescent="0.25">
      <c r="A6608" s="2">
        <v>44.423048542629701</v>
      </c>
      <c r="B6608" s="3">
        <v>-0.66483286978510403</v>
      </c>
      <c r="C6608" s="3">
        <v>3.2699067592787101E-4</v>
      </c>
      <c r="D6608" s="4">
        <v>1.0312259922113599E-3</v>
      </c>
      <c r="E6608" s="3" t="s">
        <v>12519</v>
      </c>
      <c r="F6608" s="3" t="s">
        <v>12520</v>
      </c>
      <c r="G6608" s="3">
        <v>73068</v>
      </c>
      <c r="H6608" s="7" t="str">
        <f>HYPERLINK("http://www.ensembl.org/Mus_musculus/Gene/Summary?db=core;g=ENSMUSG00000039357","ENSMUSG00000039357")</f>
        <v>ENSMUSG00000039357</v>
      </c>
      <c r="I6608" s="7" t="str">
        <f>HYPERLINK("http://www.informatics.jax.org/marker/MGI:1920318","MGI:1920318")</f>
        <v>MGI:1920318</v>
      </c>
      <c r="J6608" s="4" t="s">
        <v>12</v>
      </c>
    </row>
    <row r="6609" spans="1:10" x14ac:dyDescent="0.25">
      <c r="A6609" s="2">
        <v>26.273213713751701</v>
      </c>
      <c r="B6609" s="3">
        <v>-0.66498928202616703</v>
      </c>
      <c r="C6609" s="3">
        <v>8.5495148876587497E-3</v>
      </c>
      <c r="D6609" s="4">
        <v>2.1532111568918301E-2</v>
      </c>
      <c r="E6609" s="3" t="s">
        <v>15665</v>
      </c>
      <c r="F6609" s="3" t="s">
        <v>15666</v>
      </c>
      <c r="G6609" s="3" t="s">
        <v>83</v>
      </c>
      <c r="H6609" s="7" t="str">
        <f>HYPERLINK("http://www.ensembl.org/Mus_musculus/Gene/Summary?db=core;g=ENSMUSG00000101599","ENSMUSG00000101599")</f>
        <v>ENSMUSG00000101599</v>
      </c>
      <c r="I6609" s="7" t="str">
        <f>HYPERLINK("http://www.informatics.jax.org/marker/MGI:5012527","MGI:5012527")</f>
        <v>MGI:5012527</v>
      </c>
      <c r="J6609" s="4" t="s">
        <v>939</v>
      </c>
    </row>
    <row r="6610" spans="1:10" x14ac:dyDescent="0.25">
      <c r="A6610" s="2">
        <v>769.94886929696997</v>
      </c>
      <c r="B6610" s="3">
        <v>-0.66503588549125403</v>
      </c>
      <c r="C6610" s="5">
        <v>5.8466612274992898E-21</v>
      </c>
      <c r="D6610" s="6">
        <v>6.0238327798477495E-20</v>
      </c>
      <c r="E6610" s="3" t="s">
        <v>3846</v>
      </c>
      <c r="F6610" s="3" t="s">
        <v>3847</v>
      </c>
      <c r="G6610" s="3">
        <v>230594</v>
      </c>
      <c r="H6610" s="7" t="str">
        <f>HYPERLINK("http://www.ensembl.org/Mus_musculus/Gene/Summary?db=core;g=ENSMUSG00000034610","ENSMUSG00000034610")</f>
        <v>ENSMUSG00000034610</v>
      </c>
      <c r="I6610" s="7" t="str">
        <f>HYPERLINK("http://www.informatics.jax.org/marker/MGI:2445126","MGI:2445126")</f>
        <v>MGI:2445126</v>
      </c>
      <c r="J6610" s="4" t="s">
        <v>12</v>
      </c>
    </row>
    <row r="6611" spans="1:10" x14ac:dyDescent="0.25">
      <c r="A6611" s="2">
        <v>675.147812948872</v>
      </c>
      <c r="B6611" s="3">
        <v>-0.66548364187984799</v>
      </c>
      <c r="C6611" s="5">
        <v>2.04482281557846E-7</v>
      </c>
      <c r="D6611" s="6">
        <v>9.0493505213660905E-7</v>
      </c>
      <c r="E6611" s="3" t="s">
        <v>8929</v>
      </c>
      <c r="F6611" s="3" t="s">
        <v>8930</v>
      </c>
      <c r="G6611" s="3">
        <v>20972</v>
      </c>
      <c r="H6611" s="7" t="str">
        <f>HYPERLINK("http://www.ensembl.org/Mus_musculus/Gene/Summary?db=core;g=ENSMUSG00000022415","ENSMUSG00000022415")</f>
        <v>ENSMUSG00000022415</v>
      </c>
      <c r="I6611" s="7" t="str">
        <f>HYPERLINK("http://www.informatics.jax.org/marker/MGI:1328323","MGI:1328323")</f>
        <v>MGI:1328323</v>
      </c>
      <c r="J6611" s="4" t="s">
        <v>12</v>
      </c>
    </row>
    <row r="6612" spans="1:10" x14ac:dyDescent="0.25">
      <c r="A6612" s="2">
        <v>41.4486011466824</v>
      </c>
      <c r="B6612" s="3">
        <v>-0.66575874990259398</v>
      </c>
      <c r="C6612" s="3">
        <v>9.9825522444289892E-4</v>
      </c>
      <c r="D6612" s="4">
        <v>2.94166064345696E-3</v>
      </c>
      <c r="E6612" s="3" t="s">
        <v>13393</v>
      </c>
      <c r="F6612" s="3" t="s">
        <v>13394</v>
      </c>
      <c r="G6612" s="3">
        <v>75659</v>
      </c>
      <c r="H6612" s="7" t="str">
        <f>HYPERLINK("http://www.ensembl.org/Mus_musculus/Gene/Summary?db=core;g=ENSMUSG00000030032","ENSMUSG00000030032")</f>
        <v>ENSMUSG00000030032</v>
      </c>
      <c r="I6612" s="7" t="str">
        <f>HYPERLINK("http://www.informatics.jax.org/marker/MGI:1922909","MGI:1922909")</f>
        <v>MGI:1922909</v>
      </c>
      <c r="J6612" s="4" t="s">
        <v>12</v>
      </c>
    </row>
    <row r="6613" spans="1:10" x14ac:dyDescent="0.25">
      <c r="A6613" s="2">
        <v>73.383291221515805</v>
      </c>
      <c r="B6613" s="3">
        <v>-0.66618823820411799</v>
      </c>
      <c r="C6613" s="5">
        <v>1.1981171314092601E-5</v>
      </c>
      <c r="D6613" s="6">
        <v>4.4570590136560403E-5</v>
      </c>
      <c r="E6613" s="3" t="s">
        <v>10615</v>
      </c>
      <c r="F6613" s="3" t="s">
        <v>10616</v>
      </c>
      <c r="G6613" s="3" t="s">
        <v>83</v>
      </c>
      <c r="H6613" s="7" t="str">
        <f>HYPERLINK("http://www.ensembl.org/Mus_musculus/Gene/Summary?db=core;g=ENSMUSG00000105835","ENSMUSG00000105835")</f>
        <v>ENSMUSG00000105835</v>
      </c>
      <c r="I6613" s="7" t="str">
        <f>HYPERLINK("http://www.informatics.jax.org/marker/MGI:5663689","MGI:5663689")</f>
        <v>MGI:5663689</v>
      </c>
      <c r="J6613" s="4" t="s">
        <v>12</v>
      </c>
    </row>
    <row r="6614" spans="1:10" x14ac:dyDescent="0.25">
      <c r="A6614" s="2">
        <v>1414.3959488267101</v>
      </c>
      <c r="B6614" s="3">
        <v>-0.66618909975822405</v>
      </c>
      <c r="C6614" s="5">
        <v>1.12092362825821E-25</v>
      </c>
      <c r="D6614" s="6">
        <v>1.40883454106131E-24</v>
      </c>
      <c r="E6614" s="3" t="s">
        <v>3157</v>
      </c>
      <c r="F6614" s="3" t="s">
        <v>3158</v>
      </c>
      <c r="G6614" s="3">
        <v>11364</v>
      </c>
      <c r="H6614" s="7" t="str">
        <f>HYPERLINK("http://www.ensembl.org/Mus_musculus/Gene/Summary?db=core;g=ENSMUSG00000062908","ENSMUSG00000062908")</f>
        <v>ENSMUSG00000062908</v>
      </c>
      <c r="I6614" s="7" t="str">
        <f>HYPERLINK("http://www.informatics.jax.org/marker/MGI:87867","MGI:87867")</f>
        <v>MGI:87867</v>
      </c>
      <c r="J6614" s="4" t="s">
        <v>12</v>
      </c>
    </row>
    <row r="6615" spans="1:10" x14ac:dyDescent="0.25">
      <c r="A6615" s="2">
        <v>1502.6332114213301</v>
      </c>
      <c r="B6615" s="3">
        <v>-0.66661806568583104</v>
      </c>
      <c r="C6615" s="5">
        <v>3.6585155828943501E-9</v>
      </c>
      <c r="D6615" s="6">
        <v>1.8763570167666199E-8</v>
      </c>
      <c r="E6615" s="3" t="s">
        <v>7706</v>
      </c>
      <c r="F6615" s="3" t="s">
        <v>7707</v>
      </c>
      <c r="G6615" s="3">
        <v>14629</v>
      </c>
      <c r="H6615" s="7" t="str">
        <f>HYPERLINK("http://www.ensembl.org/Mus_musculus/Gene/Summary?db=core;g=ENSMUSG00000032350","ENSMUSG00000032350")</f>
        <v>ENSMUSG00000032350</v>
      </c>
      <c r="I6615" s="7" t="str">
        <f>HYPERLINK("http://www.informatics.jax.org/marker/MGI:104990","MGI:104990")</f>
        <v>MGI:104990</v>
      </c>
      <c r="J6615" s="4" t="s">
        <v>12</v>
      </c>
    </row>
    <row r="6616" spans="1:10" x14ac:dyDescent="0.25">
      <c r="A6616" s="2">
        <v>414.06991089730099</v>
      </c>
      <c r="B6616" s="3">
        <v>-0.66669305804285806</v>
      </c>
      <c r="C6616" s="5">
        <v>3.7196124931647299E-20</v>
      </c>
      <c r="D6616" s="6">
        <v>3.7120829132190501E-19</v>
      </c>
      <c r="E6616" s="3" t="s">
        <v>3970</v>
      </c>
      <c r="F6616" s="3" t="s">
        <v>3971</v>
      </c>
      <c r="G6616" s="3">
        <v>107652</v>
      </c>
      <c r="H6616" s="7" t="str">
        <f>HYPERLINK("http://www.ensembl.org/Mus_musculus/Gene/Summary?db=core;g=ENSMUSG00000026670","ENSMUSG00000026670")</f>
        <v>ENSMUSG00000026670</v>
      </c>
      <c r="I6616" s="7" t="str">
        <f>HYPERLINK("http://www.informatics.jax.org/marker/MGI:1334459","MGI:1334459")</f>
        <v>MGI:1334459</v>
      </c>
      <c r="J6616" s="4" t="s">
        <v>12</v>
      </c>
    </row>
    <row r="6617" spans="1:10" x14ac:dyDescent="0.25">
      <c r="A6617" s="2">
        <v>820.98357188095702</v>
      </c>
      <c r="B6617" s="3">
        <v>-0.667366180565508</v>
      </c>
      <c r="C6617" s="5">
        <v>5.8623821516786799E-17</v>
      </c>
      <c r="D6617" s="6">
        <v>4.97230864649908E-16</v>
      </c>
      <c r="E6617" s="3" t="s">
        <v>4667</v>
      </c>
      <c r="F6617" s="3" t="s">
        <v>4668</v>
      </c>
      <c r="G6617" s="3">
        <v>241576</v>
      </c>
      <c r="H6617" s="7" t="str">
        <f>HYPERLINK("http://www.ensembl.org/Mus_musculus/Gene/Summary?db=core;g=ENSMUSG00000048058","ENSMUSG00000048058")</f>
        <v>ENSMUSG00000048058</v>
      </c>
      <c r="I6617" s="7" t="str">
        <f>HYPERLINK("http://www.informatics.jax.org/marker/MGI:2138856","MGI:2138856")</f>
        <v>MGI:2138856</v>
      </c>
      <c r="J6617" s="4" t="s">
        <v>12</v>
      </c>
    </row>
    <row r="6618" spans="1:10" x14ac:dyDescent="0.25">
      <c r="A6618" s="2">
        <v>122.028706368088</v>
      </c>
      <c r="B6618" s="3">
        <v>-0.66747123429574196</v>
      </c>
      <c r="C6618" s="5">
        <v>8.1496326462035597E-6</v>
      </c>
      <c r="D6618" s="6">
        <v>3.0858440050524999E-5</v>
      </c>
      <c r="E6618" s="3" t="s">
        <v>10430</v>
      </c>
      <c r="F6618" s="3" t="s">
        <v>10431</v>
      </c>
      <c r="G6618" s="3">
        <v>17864</v>
      </c>
      <c r="H6618" s="7" t="str">
        <f>HYPERLINK("http://www.ensembl.org/Mus_musculus/Gene/Summary?db=core;g=ENSMUSG00000025912","ENSMUSG00000025912")</f>
        <v>ENSMUSG00000025912</v>
      </c>
      <c r="I6618" s="7" t="str">
        <f>HYPERLINK("http://www.informatics.jax.org/marker/MGI:99925","MGI:99925")</f>
        <v>MGI:99925</v>
      </c>
      <c r="J6618" s="4" t="s">
        <v>12</v>
      </c>
    </row>
    <row r="6619" spans="1:10" x14ac:dyDescent="0.25">
      <c r="A6619" s="2">
        <v>378.31221056338097</v>
      </c>
      <c r="B6619" s="3">
        <v>-0.66758280388995805</v>
      </c>
      <c r="C6619" s="5">
        <v>1.7621209497789501E-16</v>
      </c>
      <c r="D6619" s="6">
        <v>1.45576142143448E-15</v>
      </c>
      <c r="E6619" s="3" t="s">
        <v>4791</v>
      </c>
      <c r="F6619" s="3" t="s">
        <v>4792</v>
      </c>
      <c r="G6619" s="3">
        <v>80280</v>
      </c>
      <c r="H6619" s="7" t="str">
        <f>HYPERLINK("http://www.ensembl.org/Mus_musculus/Gene/Summary?db=core;g=ENSMUSG00000018669","ENSMUSG00000018669")</f>
        <v>ENSMUSG00000018669</v>
      </c>
      <c r="I6619" s="7" t="str">
        <f>HYPERLINK("http://www.informatics.jax.org/marker/MGI:1933126","MGI:1933126")</f>
        <v>MGI:1933126</v>
      </c>
      <c r="J6619" s="4" t="s">
        <v>12</v>
      </c>
    </row>
    <row r="6620" spans="1:10" x14ac:dyDescent="0.25">
      <c r="A6620" s="2">
        <v>136.136298082454</v>
      </c>
      <c r="B6620" s="3">
        <v>-0.66825426292416601</v>
      </c>
      <c r="C6620" s="5">
        <v>4.51521594693683E-8</v>
      </c>
      <c r="D6620" s="6">
        <v>2.1029772903541399E-7</v>
      </c>
      <c r="E6620" s="3" t="s">
        <v>8485</v>
      </c>
      <c r="F6620" s="3" t="s">
        <v>8486</v>
      </c>
      <c r="G6620" s="3">
        <v>11515</v>
      </c>
      <c r="H6620" s="7" t="str">
        <f>HYPERLINK("http://www.ensembl.org/Mus_musculus/Gene/Summary?db=core;g=ENSMUSG00000005580","ENSMUSG00000005580")</f>
        <v>ENSMUSG00000005580</v>
      </c>
      <c r="I6620" s="7" t="str">
        <f>HYPERLINK("http://www.informatics.jax.org/marker/MGI:108450","MGI:108450")</f>
        <v>MGI:108450</v>
      </c>
      <c r="J6620" s="4" t="s">
        <v>12</v>
      </c>
    </row>
    <row r="6621" spans="1:10" x14ac:dyDescent="0.25">
      <c r="A6621" s="2">
        <v>314.57741219244502</v>
      </c>
      <c r="B6621" s="3">
        <v>-0.66877086111590001</v>
      </c>
      <c r="C6621" s="5">
        <v>1.26575772907424E-17</v>
      </c>
      <c r="D6621" s="6">
        <v>1.11981796399031E-16</v>
      </c>
      <c r="E6621" s="3" t="s">
        <v>4475</v>
      </c>
      <c r="F6621" s="3" t="s">
        <v>4476</v>
      </c>
      <c r="G6621" s="3">
        <v>15979</v>
      </c>
      <c r="H6621" s="7" t="str">
        <f>HYPERLINK("http://www.ensembl.org/Mus_musculus/Gene/Summary?db=core;g=ENSMUSG00000020009","ENSMUSG00000020009")</f>
        <v>ENSMUSG00000020009</v>
      </c>
      <c r="I6621" s="7" t="str">
        <f>HYPERLINK("http://www.informatics.jax.org/marker/MGI:107655","MGI:107655")</f>
        <v>MGI:107655</v>
      </c>
      <c r="J6621" s="4" t="s">
        <v>12</v>
      </c>
    </row>
    <row r="6622" spans="1:10" x14ac:dyDescent="0.25">
      <c r="A6622" s="2">
        <v>373.38119496888697</v>
      </c>
      <c r="B6622" s="3">
        <v>-0.66926089489809804</v>
      </c>
      <c r="C6622" s="5">
        <v>9.5263802001323094E-17</v>
      </c>
      <c r="D6622" s="6">
        <v>7.9906515332458198E-16</v>
      </c>
      <c r="E6622" s="3" t="s">
        <v>4719</v>
      </c>
      <c r="F6622" s="3" t="s">
        <v>4720</v>
      </c>
      <c r="G6622" s="3">
        <v>56844</v>
      </c>
      <c r="H6622" s="7" t="str">
        <f>HYPERLINK("http://www.ensembl.org/Mus_musculus/Gene/Summary?db=core;g=ENSMUSG00000045752","ENSMUSG00000045752")</f>
        <v>ENSMUSG00000045752</v>
      </c>
      <c r="I6622" s="7" t="str">
        <f>HYPERLINK("http://www.informatics.jax.org/marker/MGI:1861712","MGI:1861712")</f>
        <v>MGI:1861712</v>
      </c>
      <c r="J6622" s="4" t="s">
        <v>12</v>
      </c>
    </row>
    <row r="6623" spans="1:10" x14ac:dyDescent="0.25">
      <c r="A6623" s="2">
        <v>533.742679332948</v>
      </c>
      <c r="B6623" s="3">
        <v>-0.66926809377615604</v>
      </c>
      <c r="C6623" s="5">
        <v>5.9145491293024599E-7</v>
      </c>
      <c r="D6623" s="6">
        <v>2.5066604089801099E-6</v>
      </c>
      <c r="E6623" s="3" t="s">
        <v>9321</v>
      </c>
      <c r="F6623" s="3" t="s">
        <v>9322</v>
      </c>
      <c r="G6623" s="3">
        <v>67865</v>
      </c>
      <c r="H6623" s="7" t="str">
        <f>HYPERLINK("http://www.ensembl.org/Mus_musculus/Gene/Summary?db=core;g=ENSMUSG00000030844","ENSMUSG00000030844")</f>
        <v>ENSMUSG00000030844</v>
      </c>
      <c r="I6623" s="7" t="str">
        <f>HYPERLINK("http://www.informatics.jax.org/marker/MGI:1915115","MGI:1915115")</f>
        <v>MGI:1915115</v>
      </c>
      <c r="J6623" s="4" t="s">
        <v>12</v>
      </c>
    </row>
    <row r="6624" spans="1:10" x14ac:dyDescent="0.25">
      <c r="A6624" s="2">
        <v>55.342810122952599</v>
      </c>
      <c r="B6624" s="3">
        <v>-0.66962318332187798</v>
      </c>
      <c r="C6624" s="5">
        <v>6.9791681225299894E-5</v>
      </c>
      <c r="D6624" s="4">
        <v>2.39230306581421E-4</v>
      </c>
      <c r="E6624" s="3" t="s">
        <v>11517</v>
      </c>
      <c r="F6624" s="3" t="s">
        <v>11518</v>
      </c>
      <c r="G6624" s="3">
        <v>67733</v>
      </c>
      <c r="H6624" s="7" t="str">
        <f>HYPERLINK("http://www.ensembl.org/Mus_musculus/Gene/Summary?db=core;g=ENSMUSG00000028549","ENSMUSG00000028549")</f>
        <v>ENSMUSG00000028549</v>
      </c>
      <c r="I6624" s="7" t="str">
        <f>HYPERLINK("http://www.informatics.jax.org/marker/MGI:1914983","MGI:1914983")</f>
        <v>MGI:1914983</v>
      </c>
      <c r="J6624" s="4" t="s">
        <v>12</v>
      </c>
    </row>
    <row r="6625" spans="1:10" x14ac:dyDescent="0.25">
      <c r="A6625" s="2">
        <v>1252.9809718809099</v>
      </c>
      <c r="B6625" s="3">
        <v>-0.67025549535016005</v>
      </c>
      <c r="C6625" s="5">
        <v>4.7500479306746098E-17</v>
      </c>
      <c r="D6625" s="6">
        <v>4.0515114702812902E-16</v>
      </c>
      <c r="E6625" s="3" t="s">
        <v>4641</v>
      </c>
      <c r="F6625" s="3" t="s">
        <v>4642</v>
      </c>
      <c r="G6625" s="3">
        <v>67241</v>
      </c>
      <c r="H6625" s="7" t="str">
        <f>HYPERLINK("http://www.ensembl.org/Mus_musculus/Gene/Summary?db=core;g=ENSMUSG00000020608","ENSMUSG00000020608")</f>
        <v>ENSMUSG00000020608</v>
      </c>
      <c r="I6625" s="7" t="str">
        <f>HYPERLINK("http://www.informatics.jax.org/marker/MGI:1914491","MGI:1914491")</f>
        <v>MGI:1914491</v>
      </c>
      <c r="J6625" s="4" t="s">
        <v>12</v>
      </c>
    </row>
    <row r="6626" spans="1:10" x14ac:dyDescent="0.25">
      <c r="A6626" s="2">
        <v>622.66237778914603</v>
      </c>
      <c r="B6626" s="3">
        <v>-0.67031870825150297</v>
      </c>
      <c r="C6626" s="5">
        <v>1.0496055169749401E-9</v>
      </c>
      <c r="D6626" s="6">
        <v>5.6245165203113501E-9</v>
      </c>
      <c r="E6626" s="3" t="s">
        <v>7378</v>
      </c>
      <c r="F6626" s="3" t="s">
        <v>7379</v>
      </c>
      <c r="G6626" s="3">
        <v>22026</v>
      </c>
      <c r="H6626" s="7" t="str">
        <f>HYPERLINK("http://www.ensembl.org/Mus_musculus/Gene/Summary?db=core;g=ENSMUSG00000005893","ENSMUSG00000005893")</f>
        <v>ENSMUSG00000005893</v>
      </c>
      <c r="I6626" s="7" t="str">
        <f>HYPERLINK("http://www.informatics.jax.org/marker/MGI:1352466","MGI:1352466")</f>
        <v>MGI:1352466</v>
      </c>
      <c r="J6626" s="4" t="s">
        <v>12</v>
      </c>
    </row>
    <row r="6627" spans="1:10" x14ac:dyDescent="0.25">
      <c r="A6627" s="2">
        <v>293.87434481661899</v>
      </c>
      <c r="B6627" s="3">
        <v>-0.67087402588745904</v>
      </c>
      <c r="C6627" s="5">
        <v>8.4580693758465796E-10</v>
      </c>
      <c r="D6627" s="6">
        <v>4.5584347661026098E-9</v>
      </c>
      <c r="E6627" s="3" t="s">
        <v>7336</v>
      </c>
      <c r="F6627" s="3" t="s">
        <v>7337</v>
      </c>
      <c r="G6627" s="3">
        <v>67661</v>
      </c>
      <c r="H6627" s="7" t="str">
        <f>HYPERLINK("http://www.ensembl.org/Mus_musculus/Gene/Summary?db=core;g=ENSMUSG00000038564","ENSMUSG00000038564")</f>
        <v>ENSMUSG00000038564</v>
      </c>
      <c r="I6627" s="7" t="str">
        <f>HYPERLINK("http://www.informatics.jax.org/marker/MGI:2682064","MGI:2682064")</f>
        <v>MGI:2682064</v>
      </c>
      <c r="J6627" s="4" t="s">
        <v>12</v>
      </c>
    </row>
    <row r="6628" spans="1:10" x14ac:dyDescent="0.25">
      <c r="A6628" s="2">
        <v>194.05535374198899</v>
      </c>
      <c r="B6628" s="3">
        <v>-0.67100882569150899</v>
      </c>
      <c r="C6628" s="5">
        <v>1.2050245718129101E-7</v>
      </c>
      <c r="D6628" s="6">
        <v>5.4278402366721302E-7</v>
      </c>
      <c r="E6628" s="3" t="s">
        <v>8773</v>
      </c>
      <c r="F6628" s="3" t="s">
        <v>8774</v>
      </c>
      <c r="G6628" s="3">
        <v>68347</v>
      </c>
      <c r="H6628" s="7" t="str">
        <f>HYPERLINK("http://www.ensembl.org/Mus_musculus/Gene/Summary?db=core;g=ENSMUSG00000025731","ENSMUSG00000025731")</f>
        <v>ENSMUSG00000025731</v>
      </c>
      <c r="I6628" s="7" t="str">
        <f>HYPERLINK("http://www.informatics.jax.org/marker/MGI:1915597","MGI:1915597")</f>
        <v>MGI:1915597</v>
      </c>
      <c r="J6628" s="4" t="s">
        <v>12</v>
      </c>
    </row>
    <row r="6629" spans="1:10" x14ac:dyDescent="0.25">
      <c r="A6629" s="2">
        <v>2383.99053569528</v>
      </c>
      <c r="B6629" s="3">
        <v>-0.67105984333269497</v>
      </c>
      <c r="C6629" s="5">
        <v>6.7675866275904498E-16</v>
      </c>
      <c r="D6629" s="6">
        <v>5.4339091325766999E-15</v>
      </c>
      <c r="E6629" s="3" t="s">
        <v>4929</v>
      </c>
      <c r="F6629" s="3" t="s">
        <v>4930</v>
      </c>
      <c r="G6629" s="3">
        <v>215113</v>
      </c>
      <c r="H6629" s="7" t="str">
        <f>HYPERLINK("http://www.ensembl.org/Mus_musculus/Gene/Summary?db=core;g=ENSMUSG00000038178","ENSMUSG00000038178")</f>
        <v>ENSMUSG00000038178</v>
      </c>
      <c r="I6629" s="7" t="str">
        <f>HYPERLINK("http://www.informatics.jax.org/marker/MGI:2442746","MGI:2442746")</f>
        <v>MGI:2442746</v>
      </c>
      <c r="J6629" s="4" t="s">
        <v>12</v>
      </c>
    </row>
    <row r="6630" spans="1:10" x14ac:dyDescent="0.25">
      <c r="A6630" s="2">
        <v>17.747229685875901</v>
      </c>
      <c r="B6630" s="3">
        <v>-0.67122149006055398</v>
      </c>
      <c r="C6630" s="3">
        <v>1.36781728694157E-2</v>
      </c>
      <c r="D6630" s="4">
        <v>3.3100204808550401E-2</v>
      </c>
      <c r="E6630" s="3" t="s">
        <v>16303</v>
      </c>
      <c r="F6630" s="3" t="s">
        <v>16304</v>
      </c>
      <c r="G6630" s="3">
        <v>77613</v>
      </c>
      <c r="H6630" s="7" t="str">
        <f>HYPERLINK("http://www.ensembl.org/Mus_musculus/Gene/Summary?db=core;g=ENSMUSG00000070371","ENSMUSG00000070371")</f>
        <v>ENSMUSG00000070371</v>
      </c>
      <c r="I6630" s="7" t="str">
        <f>HYPERLINK("http://www.informatics.jax.org/marker/MGI:1924863","MGI:1924863")</f>
        <v>MGI:1924863</v>
      </c>
      <c r="J6630" s="4" t="s">
        <v>12</v>
      </c>
    </row>
    <row r="6631" spans="1:10" x14ac:dyDescent="0.25">
      <c r="A6631" s="2">
        <v>114.79832646230901</v>
      </c>
      <c r="B6631" s="3">
        <v>-0.67140187196845902</v>
      </c>
      <c r="C6631" s="5">
        <v>4.1736371899591103E-8</v>
      </c>
      <c r="D6631" s="6">
        <v>1.9507969989569501E-7</v>
      </c>
      <c r="E6631" s="3" t="s">
        <v>8455</v>
      </c>
      <c r="F6631" s="3" t="s">
        <v>8456</v>
      </c>
      <c r="G6631" s="3">
        <v>76260</v>
      </c>
      <c r="H6631" s="7" t="str">
        <f>HYPERLINK("http://www.ensembl.org/Mus_musculus/Gene/Summary?db=core;g=ENSMUSG00000021013","ENSMUSG00000021013")</f>
        <v>ENSMUSG00000021013</v>
      </c>
      <c r="I6631" s="7" t="str">
        <f>HYPERLINK("http://www.informatics.jax.org/marker/MGI:1923510","MGI:1923510")</f>
        <v>MGI:1923510</v>
      </c>
      <c r="J6631" s="4" t="s">
        <v>12</v>
      </c>
    </row>
    <row r="6632" spans="1:10" x14ac:dyDescent="0.25">
      <c r="A6632" s="2">
        <v>1452.7841104143299</v>
      </c>
      <c r="B6632" s="3">
        <v>-0.67141973086676898</v>
      </c>
      <c r="C6632" s="5">
        <v>3.7030736750034E-23</v>
      </c>
      <c r="D6632" s="6">
        <v>4.20648691653612E-22</v>
      </c>
      <c r="E6632" s="3" t="s">
        <v>3490</v>
      </c>
      <c r="F6632" s="3" t="s">
        <v>3491</v>
      </c>
      <c r="G6632" s="3">
        <v>70021</v>
      </c>
      <c r="H6632" s="7" t="str">
        <f>HYPERLINK("http://www.ensembl.org/Mus_musculus/Gene/Summary?db=core;g=ENSMUSG00000071547","ENSMUSG00000071547")</f>
        <v>ENSMUSG00000071547</v>
      </c>
      <c r="I6632" s="7" t="str">
        <f>HYPERLINK("http://www.informatics.jax.org/marker/MGI:1917271","MGI:1917271")</f>
        <v>MGI:1917271</v>
      </c>
      <c r="J6632" s="4" t="s">
        <v>12</v>
      </c>
    </row>
    <row r="6633" spans="1:10" x14ac:dyDescent="0.25">
      <c r="A6633" s="2">
        <v>66.902792340110906</v>
      </c>
      <c r="B6633" s="3">
        <v>-0.67165961045257205</v>
      </c>
      <c r="C6633" s="5">
        <v>3.1665378487847E-6</v>
      </c>
      <c r="D6633" s="6">
        <v>1.24638974806456E-5</v>
      </c>
      <c r="E6633" s="3" t="s">
        <v>10036</v>
      </c>
      <c r="F6633" s="3" t="s">
        <v>10037</v>
      </c>
      <c r="G6633" s="3">
        <v>74626</v>
      </c>
      <c r="H6633" s="7" t="str">
        <f>HYPERLINK("http://www.ensembl.org/Mus_musculus/Gene/Summary?db=core;g=ENSMUSG00000048174","ENSMUSG00000048174")</f>
        <v>ENSMUSG00000048174</v>
      </c>
      <c r="I6633" s="7" t="str">
        <f>HYPERLINK("http://www.informatics.jax.org/marker/MGI:1921876","MGI:1921876")</f>
        <v>MGI:1921876</v>
      </c>
      <c r="J6633" s="4" t="s">
        <v>12</v>
      </c>
    </row>
    <row r="6634" spans="1:10" x14ac:dyDescent="0.25">
      <c r="A6634" s="2">
        <v>469.46203669129602</v>
      </c>
      <c r="B6634" s="3">
        <v>-0.67207058667281805</v>
      </c>
      <c r="C6634" s="5">
        <v>1.75266150557539E-16</v>
      </c>
      <c r="D6634" s="6">
        <v>1.4485534321017101E-15</v>
      </c>
      <c r="E6634" s="3" t="s">
        <v>4789</v>
      </c>
      <c r="F6634" s="3" t="s">
        <v>4790</v>
      </c>
      <c r="G6634" s="3">
        <v>320244</v>
      </c>
      <c r="H6634" s="7" t="str">
        <f>HYPERLINK("http://www.ensembl.org/Mus_musculus/Gene/Summary?db=core;g=ENSMUSG00000012609","ENSMUSG00000012609")</f>
        <v>ENSMUSG00000012609</v>
      </c>
      <c r="I6634" s="7" t="str">
        <f>HYPERLINK("http://www.informatics.jax.org/marker/MGI:2443657","MGI:2443657")</f>
        <v>MGI:2443657</v>
      </c>
      <c r="J6634" s="4" t="s">
        <v>12</v>
      </c>
    </row>
    <row r="6635" spans="1:10" x14ac:dyDescent="0.25">
      <c r="A6635" s="2">
        <v>45.328335105935302</v>
      </c>
      <c r="B6635" s="3">
        <v>-0.67214224044042903</v>
      </c>
      <c r="C6635" s="3">
        <v>2.1138654374130899E-4</v>
      </c>
      <c r="D6635" s="4">
        <v>6.8437738344748103E-4</v>
      </c>
      <c r="E6635" s="3" t="s">
        <v>12193</v>
      </c>
      <c r="F6635" s="3" t="s">
        <v>12194</v>
      </c>
      <c r="G6635" s="3">
        <v>14168</v>
      </c>
      <c r="H6635" s="7" t="str">
        <f>HYPERLINK("http://www.ensembl.org/Mus_musculus/Gene/Summary?db=core;g=ENSMUSG00000031137","ENSMUSG00000031137")</f>
        <v>ENSMUSG00000031137</v>
      </c>
      <c r="I6635" s="7" t="str">
        <f>HYPERLINK("http://www.informatics.jax.org/marker/MGI:109178","MGI:109178")</f>
        <v>MGI:109178</v>
      </c>
      <c r="J6635" s="4" t="s">
        <v>12</v>
      </c>
    </row>
    <row r="6636" spans="1:10" x14ac:dyDescent="0.25">
      <c r="A6636" s="2">
        <v>167.51900533806401</v>
      </c>
      <c r="B6636" s="3">
        <v>-0.67251279647585405</v>
      </c>
      <c r="C6636" s="5">
        <v>2.4017986047489399E-7</v>
      </c>
      <c r="D6636" s="6">
        <v>1.0565127924525801E-6</v>
      </c>
      <c r="E6636" s="3" t="s">
        <v>8983</v>
      </c>
      <c r="F6636" s="3" t="s">
        <v>8984</v>
      </c>
      <c r="G6636" s="3">
        <v>240084</v>
      </c>
      <c r="H6636" s="7" t="str">
        <f>HYPERLINK("http://www.ensembl.org/Mus_musculus/Gene/Summary?db=core;g=ENSMUSG00000040312","ENSMUSG00000040312")</f>
        <v>ENSMUSG00000040312</v>
      </c>
      <c r="I6636" s="7" t="str">
        <f>HYPERLINK("http://www.informatics.jax.org/marker/MGI:2385321","MGI:2385321")</f>
        <v>MGI:2385321</v>
      </c>
      <c r="J6636" s="4" t="s">
        <v>12</v>
      </c>
    </row>
    <row r="6637" spans="1:10" x14ac:dyDescent="0.25">
      <c r="A6637" s="2">
        <v>220.78896023360599</v>
      </c>
      <c r="B6637" s="3">
        <v>-0.67308284574772004</v>
      </c>
      <c r="C6637" s="5">
        <v>5.9085167023251398E-7</v>
      </c>
      <c r="D6637" s="6">
        <v>2.5046420758781601E-6</v>
      </c>
      <c r="E6637" s="3" t="s">
        <v>9319</v>
      </c>
      <c r="F6637" s="3" t="s">
        <v>9320</v>
      </c>
      <c r="G6637" s="3">
        <v>218639</v>
      </c>
      <c r="H6637" s="7" t="str">
        <f>HYPERLINK("http://www.ensembl.org/Mus_musculus/Gene/Summary?db=core;g=ENSMUSG00000042348","ENSMUSG00000042348")</f>
        <v>ENSMUSG00000042348</v>
      </c>
      <c r="I6637" s="7" t="str">
        <f>HYPERLINK("http://www.informatics.jax.org/marker/MGI:2442308","MGI:2442308")</f>
        <v>MGI:2442308</v>
      </c>
      <c r="J6637" s="4" t="s">
        <v>12</v>
      </c>
    </row>
    <row r="6638" spans="1:10" x14ac:dyDescent="0.25">
      <c r="A6638" s="2">
        <v>1362.3060378062601</v>
      </c>
      <c r="B6638" s="3">
        <v>-0.67351108790182102</v>
      </c>
      <c r="C6638" s="5">
        <v>3.7236110648464102E-31</v>
      </c>
      <c r="D6638" s="6">
        <v>5.6790108429057303E-30</v>
      </c>
      <c r="E6638" s="3" t="s">
        <v>2603</v>
      </c>
      <c r="F6638" s="3" t="s">
        <v>2604</v>
      </c>
      <c r="G6638" s="3">
        <v>59125</v>
      </c>
      <c r="H6638" s="7" t="str">
        <f>HYPERLINK("http://www.ensembl.org/Mus_musculus/Gene/Summary?db=core;g=ENSMUSG00000026393","ENSMUSG00000026393")</f>
        <v>ENSMUSG00000026393</v>
      </c>
      <c r="I6638" s="7" t="str">
        <f>HYPERLINK("http://www.informatics.jax.org/marker/MGI:1890645","MGI:1890645")</f>
        <v>MGI:1890645</v>
      </c>
      <c r="J6638" s="4" t="s">
        <v>12</v>
      </c>
    </row>
    <row r="6639" spans="1:10" x14ac:dyDescent="0.25">
      <c r="A6639" s="2">
        <v>517.995293769407</v>
      </c>
      <c r="B6639" s="3">
        <v>-0.67572908025949596</v>
      </c>
      <c r="C6639" s="5">
        <v>4.5007500192564903E-15</v>
      </c>
      <c r="D6639" s="6">
        <v>3.4751288324094698E-14</v>
      </c>
      <c r="E6639" s="3" t="s">
        <v>5125</v>
      </c>
      <c r="F6639" s="3" t="s">
        <v>5126</v>
      </c>
      <c r="G6639" s="3">
        <v>216445</v>
      </c>
      <c r="H6639" s="7" t="str">
        <f>HYPERLINK("http://www.ensembl.org/Mus_musculus/Gene/Summary?db=core;g=ENSMUSG00000040345","ENSMUSG00000040345")</f>
        <v>ENSMUSG00000040345</v>
      </c>
      <c r="I6639" s="7" t="str">
        <f>HYPERLINK("http://www.informatics.jax.org/marker/MGI:2143764","MGI:2143764")</f>
        <v>MGI:2143764</v>
      </c>
      <c r="J6639" s="4" t="s">
        <v>12</v>
      </c>
    </row>
    <row r="6640" spans="1:10" x14ac:dyDescent="0.25">
      <c r="A6640" s="2">
        <v>82.879672104621406</v>
      </c>
      <c r="B6640" s="3">
        <v>-0.67606926038848403</v>
      </c>
      <c r="C6640" s="5">
        <v>2.8973540663567301E-6</v>
      </c>
      <c r="D6640" s="6">
        <v>1.1459250338659201E-5</v>
      </c>
      <c r="E6640" s="3" t="s">
        <v>9986</v>
      </c>
      <c r="F6640" s="3" t="s">
        <v>9987</v>
      </c>
      <c r="G6640" s="3" t="s">
        <v>83</v>
      </c>
      <c r="H6640" s="7" t="str">
        <f>HYPERLINK("http://www.ensembl.org/Mus_musculus/Gene/Summary?db=core;g=ENSMUSG00000085882","ENSMUSG00000085882")</f>
        <v>ENSMUSG00000085882</v>
      </c>
      <c r="I6640" s="7" t="str">
        <f>HYPERLINK("http://www.informatics.jax.org/marker/MGI:1919453","MGI:1919453")</f>
        <v>MGI:1919453</v>
      </c>
      <c r="J6640" s="4" t="s">
        <v>331</v>
      </c>
    </row>
    <row r="6641" spans="1:10" x14ac:dyDescent="0.25">
      <c r="A6641" s="2">
        <v>488.96501388772202</v>
      </c>
      <c r="B6641" s="3">
        <v>-0.67607452151185599</v>
      </c>
      <c r="C6641" s="5">
        <v>6.4338724300600795E-7</v>
      </c>
      <c r="D6641" s="6">
        <v>2.7179940942756E-6</v>
      </c>
      <c r="E6641" s="3" t="s">
        <v>9351</v>
      </c>
      <c r="F6641" s="3" t="s">
        <v>9352</v>
      </c>
      <c r="G6641" s="3">
        <v>244237</v>
      </c>
      <c r="H6641" s="7" t="str">
        <f>HYPERLINK("http://www.ensembl.org/Mus_musculus/Gene/Summary?db=core;g=ENSMUSG00000045362","ENSMUSG00000045362")</f>
        <v>ENSMUSG00000045362</v>
      </c>
      <c r="I6641" s="7" t="str">
        <f>HYPERLINK("http://www.informatics.jax.org/marker/MGI:2651928","MGI:2651928")</f>
        <v>MGI:2651928</v>
      </c>
      <c r="J6641" s="4" t="s">
        <v>12</v>
      </c>
    </row>
    <row r="6642" spans="1:10" x14ac:dyDescent="0.25">
      <c r="A6642" s="2">
        <v>4276.1805478427405</v>
      </c>
      <c r="B6642" s="3">
        <v>-0.67613808722762203</v>
      </c>
      <c r="C6642" s="5">
        <v>3.2697687973346298E-20</v>
      </c>
      <c r="D6642" s="6">
        <v>3.2780803601138202E-19</v>
      </c>
      <c r="E6642" s="3" t="s">
        <v>3952</v>
      </c>
      <c r="F6642" s="3" t="s">
        <v>3953</v>
      </c>
      <c r="G6642" s="3">
        <v>20133</v>
      </c>
      <c r="H6642" s="7" t="str">
        <f>HYPERLINK("http://www.ensembl.org/Mus_musculus/Gene/Summary?db=core;g=ENSMUSG00000030978","ENSMUSG00000030978")</f>
        <v>ENSMUSG00000030978</v>
      </c>
      <c r="I6642" s="7" t="str">
        <f>HYPERLINK("http://www.informatics.jax.org/marker/MGI:98180","MGI:98180")</f>
        <v>MGI:98180</v>
      </c>
      <c r="J6642" s="4" t="s">
        <v>12</v>
      </c>
    </row>
    <row r="6643" spans="1:10" x14ac:dyDescent="0.25">
      <c r="A6643" s="2">
        <v>119.331099526485</v>
      </c>
      <c r="B6643" s="3">
        <v>-0.67638096453771901</v>
      </c>
      <c r="C6643" s="5">
        <v>6.7395508532314703E-7</v>
      </c>
      <c r="D6643" s="6">
        <v>2.8374027076371601E-6</v>
      </c>
      <c r="E6643" s="3" t="s">
        <v>9383</v>
      </c>
      <c r="F6643" s="3" t="s">
        <v>9384</v>
      </c>
      <c r="G6643" s="3">
        <v>329977</v>
      </c>
      <c r="H6643" s="7" t="str">
        <f>HYPERLINK("http://www.ensembl.org/Mus_musculus/Gene/Summary?db=core;g=ENSMUSG00000051435","ENSMUSG00000051435")</f>
        <v>ENSMUSG00000051435</v>
      </c>
      <c r="I6643" s="7" t="str">
        <f>HYPERLINK("http://www.informatics.jax.org/marker/MGI:1920323","MGI:1920323")</f>
        <v>MGI:1920323</v>
      </c>
      <c r="J6643" s="4" t="s">
        <v>12</v>
      </c>
    </row>
    <row r="6644" spans="1:10" x14ac:dyDescent="0.25">
      <c r="A6644" s="2">
        <v>183.05640294871</v>
      </c>
      <c r="B6644" s="3">
        <v>-0.67760927097863899</v>
      </c>
      <c r="C6644" s="5">
        <v>1.95247395136223E-10</v>
      </c>
      <c r="D6644" s="6">
        <v>1.10863191249246E-9</v>
      </c>
      <c r="E6644" s="3" t="s">
        <v>6964</v>
      </c>
      <c r="F6644" s="3" t="s">
        <v>6965</v>
      </c>
      <c r="G6644" s="3">
        <v>269180</v>
      </c>
      <c r="H6644" s="7" t="str">
        <f>HYPERLINK("http://www.ensembl.org/Mus_musculus/Gene/Summary?db=core;g=ENSMUSG00000026113","ENSMUSG00000026113")</f>
        <v>ENSMUSG00000026113</v>
      </c>
      <c r="I6644" s="7" t="str">
        <f>HYPERLINK("http://www.informatics.jax.org/marker/MGI:1931123","MGI:1931123")</f>
        <v>MGI:1931123</v>
      </c>
      <c r="J6644" s="4" t="s">
        <v>12</v>
      </c>
    </row>
    <row r="6645" spans="1:10" x14ac:dyDescent="0.25">
      <c r="A6645" s="2">
        <v>77.007050614347406</v>
      </c>
      <c r="B6645" s="3">
        <v>-0.67783305588198794</v>
      </c>
      <c r="C6645" s="5">
        <v>5.3770263707452197E-6</v>
      </c>
      <c r="D6645" s="6">
        <v>2.0701866464485702E-5</v>
      </c>
      <c r="E6645" s="3" t="s">
        <v>10258</v>
      </c>
      <c r="F6645" s="3" t="s">
        <v>10259</v>
      </c>
      <c r="G6645" s="3">
        <v>101497</v>
      </c>
      <c r="H6645" s="7" t="str">
        <f>HYPERLINK("http://www.ensembl.org/Mus_musculus/Gene/Summary?db=core;g=ENSMUSG00000037552","ENSMUSG00000037552")</f>
        <v>ENSMUSG00000037552</v>
      </c>
      <c r="I6645" s="7" t="str">
        <f>HYPERLINK("http://www.informatics.jax.org/marker/MGI:2141874","MGI:2141874")</f>
        <v>MGI:2141874</v>
      </c>
      <c r="J6645" s="4" t="s">
        <v>12</v>
      </c>
    </row>
    <row r="6646" spans="1:10" x14ac:dyDescent="0.25">
      <c r="A6646" s="2">
        <v>334.67490905343999</v>
      </c>
      <c r="B6646" s="3">
        <v>-0.67786295200080604</v>
      </c>
      <c r="C6646" s="5">
        <v>1.7471134230057E-10</v>
      </c>
      <c r="D6646" s="6">
        <v>9.9748340190134102E-10</v>
      </c>
      <c r="E6646" s="3" t="s">
        <v>6926</v>
      </c>
      <c r="F6646" s="3" t="s">
        <v>6927</v>
      </c>
      <c r="G6646" s="3">
        <v>70461</v>
      </c>
      <c r="H6646" s="7" t="str">
        <f>HYPERLINK("http://www.ensembl.org/Mus_musculus/Gene/Summary?db=core;g=ENSMUSG00000030527","ENSMUSG00000030527")</f>
        <v>ENSMUSG00000030527</v>
      </c>
      <c r="I6646" s="7" t="str">
        <f>HYPERLINK("http://www.informatics.jax.org/marker/MGI:1917711","MGI:1917711")</f>
        <v>MGI:1917711</v>
      </c>
      <c r="J6646" s="4" t="s">
        <v>12</v>
      </c>
    </row>
    <row r="6647" spans="1:10" x14ac:dyDescent="0.25">
      <c r="A6647" s="2">
        <v>50.869329814625402</v>
      </c>
      <c r="B6647" s="3">
        <v>-0.67892147846755901</v>
      </c>
      <c r="C6647" s="3">
        <v>3.2067736341740202E-3</v>
      </c>
      <c r="D6647" s="4">
        <v>8.7526056838632092E-3</v>
      </c>
      <c r="E6647" s="3" t="s">
        <v>14453</v>
      </c>
      <c r="F6647" s="3" t="s">
        <v>14454</v>
      </c>
      <c r="G6647" s="3">
        <v>14226</v>
      </c>
      <c r="H6647" s="7" t="str">
        <f>HYPERLINK("http://www.ensembl.org/Mus_musculus/Gene/Summary?db=core;g=ENSMUSG00000020635","ENSMUSG00000020635")</f>
        <v>ENSMUSG00000020635</v>
      </c>
      <c r="I6647" s="7" t="str">
        <f>HYPERLINK("http://www.informatics.jax.org/marker/MGI:1336205","MGI:1336205")</f>
        <v>MGI:1336205</v>
      </c>
      <c r="J6647" s="4" t="s">
        <v>12</v>
      </c>
    </row>
    <row r="6648" spans="1:10" x14ac:dyDescent="0.25">
      <c r="A6648" s="2">
        <v>7506.69375921555</v>
      </c>
      <c r="B6648" s="3">
        <v>-0.67900183633100997</v>
      </c>
      <c r="C6648" s="5">
        <v>1.35159492539793E-6</v>
      </c>
      <c r="D6648" s="6">
        <v>5.5126063968660102E-6</v>
      </c>
      <c r="E6648" s="3" t="s">
        <v>9685</v>
      </c>
      <c r="F6648" s="3" t="s">
        <v>9686</v>
      </c>
      <c r="G6648" s="3">
        <v>17345</v>
      </c>
      <c r="H6648" s="7" t="str">
        <f>HYPERLINK("http://www.ensembl.org/Mus_musculus/Gene/Summary?db=core;g=ENSMUSG00000031004","ENSMUSG00000031004")</f>
        <v>ENSMUSG00000031004</v>
      </c>
      <c r="I6648" s="7" t="str">
        <f>HYPERLINK("http://www.informatics.jax.org/marker/MGI:106035","MGI:106035")</f>
        <v>MGI:106035</v>
      </c>
      <c r="J6648" s="4" t="s">
        <v>12</v>
      </c>
    </row>
    <row r="6649" spans="1:10" x14ac:dyDescent="0.25">
      <c r="A6649" s="2">
        <v>25.519981673695501</v>
      </c>
      <c r="B6649" s="3">
        <v>-0.67905426049539397</v>
      </c>
      <c r="C6649" s="3">
        <v>9.7968299377777599E-3</v>
      </c>
      <c r="D6649" s="4">
        <v>2.4420867952594801E-2</v>
      </c>
      <c r="E6649" s="3" t="s">
        <v>15827</v>
      </c>
      <c r="F6649" s="3" t="s">
        <v>15828</v>
      </c>
      <c r="G6649" s="3" t="s">
        <v>83</v>
      </c>
      <c r="H6649" s="7" t="str">
        <f>HYPERLINK("http://www.ensembl.org/Mus_musculus/Gene/Summary?db=core;g=ENSMUSG00000087177","ENSMUSG00000087177")</f>
        <v>ENSMUSG00000087177</v>
      </c>
      <c r="I6649" s="7" t="str">
        <f>HYPERLINK("http://www.informatics.jax.org/marker/MGI:3036287","MGI:3036287")</f>
        <v>MGI:3036287</v>
      </c>
      <c r="J6649" s="4" t="s">
        <v>932</v>
      </c>
    </row>
    <row r="6650" spans="1:10" x14ac:dyDescent="0.25">
      <c r="A6650" s="2">
        <v>359.444226590634</v>
      </c>
      <c r="B6650" s="3">
        <v>-0.67941632665820395</v>
      </c>
      <c r="C6650" s="5">
        <v>3.0271223626007801E-8</v>
      </c>
      <c r="D6650" s="6">
        <v>1.4356626500838699E-7</v>
      </c>
      <c r="E6650" s="3" t="s">
        <v>8333</v>
      </c>
      <c r="F6650" s="3" t="s">
        <v>8334</v>
      </c>
      <c r="G6650" s="3">
        <v>217335</v>
      </c>
      <c r="H6650" s="7" t="str">
        <f>HYPERLINK("http://www.ensembl.org/Mus_musculus/Gene/Summary?db=core;g=ENSMUSG00000020776","ENSMUSG00000020776")</f>
        <v>ENSMUSG00000020776</v>
      </c>
      <c r="I6650" s="7" t="str">
        <f>HYPERLINK("http://www.informatics.jax.org/marker/MGI:1922033","MGI:1922033")</f>
        <v>MGI:1922033</v>
      </c>
      <c r="J6650" s="4" t="s">
        <v>12</v>
      </c>
    </row>
    <row r="6651" spans="1:10" x14ac:dyDescent="0.25">
      <c r="A6651" s="2">
        <v>914.70658104464201</v>
      </c>
      <c r="B6651" s="3">
        <v>-0.68025323557621298</v>
      </c>
      <c r="C6651" s="5">
        <v>2.8404001711732399E-8</v>
      </c>
      <c r="D6651" s="6">
        <v>1.3519654292393001E-7</v>
      </c>
      <c r="E6651" s="3" t="s">
        <v>8303</v>
      </c>
      <c r="F6651" s="3" t="s">
        <v>8304</v>
      </c>
      <c r="G6651" s="3">
        <v>21853</v>
      </c>
      <c r="H6651" s="7" t="str">
        <f>HYPERLINK("http://www.ensembl.org/Mus_musculus/Gene/Summary?db=core;g=ENSMUSG00000039994","ENSMUSG00000039994")</f>
        <v>ENSMUSG00000039994</v>
      </c>
      <c r="I6651" s="7" t="str">
        <f>HYPERLINK("http://www.informatics.jax.org/marker/MGI:1321393","MGI:1321393")</f>
        <v>MGI:1321393</v>
      </c>
      <c r="J6651" s="4" t="s">
        <v>12</v>
      </c>
    </row>
    <row r="6652" spans="1:10" x14ac:dyDescent="0.25">
      <c r="A6652" s="2">
        <v>1004.7900813506</v>
      </c>
      <c r="B6652" s="3">
        <v>-0.680308557225209</v>
      </c>
      <c r="C6652" s="5">
        <v>4.9362578477410195E-16</v>
      </c>
      <c r="D6652" s="6">
        <v>3.9894674080923302E-15</v>
      </c>
      <c r="E6652" s="3" t="s">
        <v>4897</v>
      </c>
      <c r="F6652" s="3" t="s">
        <v>4898</v>
      </c>
      <c r="G6652" s="3">
        <v>14056</v>
      </c>
      <c r="H6652" s="7" t="str">
        <f>HYPERLINK("http://www.ensembl.org/Mus_musculus/Gene/Summary?db=core;g=ENSMUSG00000029687","ENSMUSG00000029687")</f>
        <v>ENSMUSG00000029687</v>
      </c>
      <c r="I6652" s="7" t="str">
        <f>HYPERLINK("http://www.informatics.jax.org/marker/MGI:107940","MGI:107940")</f>
        <v>MGI:107940</v>
      </c>
      <c r="J6652" s="4" t="s">
        <v>12</v>
      </c>
    </row>
    <row r="6653" spans="1:10" x14ac:dyDescent="0.25">
      <c r="A6653" s="2">
        <v>169.517176289471</v>
      </c>
      <c r="B6653" s="3">
        <v>-0.68053232296141597</v>
      </c>
      <c r="C6653" s="5">
        <v>5.6466568139102098E-9</v>
      </c>
      <c r="D6653" s="6">
        <v>2.8551813428284399E-8</v>
      </c>
      <c r="E6653" s="3" t="s">
        <v>7816</v>
      </c>
      <c r="F6653" s="3" t="s">
        <v>7817</v>
      </c>
      <c r="G6653" s="3">
        <v>71891</v>
      </c>
      <c r="H6653" s="7" t="str">
        <f>HYPERLINK("http://www.ensembl.org/Mus_musculus/Gene/Summary?db=core;g=ENSMUSG00000021982","ENSMUSG00000021982")</f>
        <v>ENSMUSG00000021982</v>
      </c>
      <c r="I6653" s="7" t="str">
        <f>HYPERLINK("http://www.informatics.jax.org/marker/MGI:1919141","MGI:1919141")</f>
        <v>MGI:1919141</v>
      </c>
      <c r="J6653" s="4" t="s">
        <v>12</v>
      </c>
    </row>
    <row r="6654" spans="1:10" x14ac:dyDescent="0.25">
      <c r="A6654" s="2">
        <v>436.50561162036303</v>
      </c>
      <c r="B6654" s="3">
        <v>-0.68080121759291201</v>
      </c>
      <c r="C6654" s="5">
        <v>9.1249684858327191E-19</v>
      </c>
      <c r="D6654" s="6">
        <v>8.5606269524558197E-18</v>
      </c>
      <c r="E6654" s="3" t="s">
        <v>4221</v>
      </c>
      <c r="F6654" s="3" t="s">
        <v>4222</v>
      </c>
      <c r="G6654" s="3">
        <v>23971</v>
      </c>
      <c r="H6654" s="7" t="str">
        <f>HYPERLINK("http://www.ensembl.org/Mus_musculus/Gene/Summary?db=core;g=ENSMUSG00000028032","ENSMUSG00000028032")</f>
        <v>ENSMUSG00000028032</v>
      </c>
      <c r="I6654" s="7" t="str">
        <f>HYPERLINK("http://www.informatics.jax.org/marker/MGI:1330587","MGI:1330587")</f>
        <v>MGI:1330587</v>
      </c>
      <c r="J6654" s="4" t="s">
        <v>12</v>
      </c>
    </row>
    <row r="6655" spans="1:10" x14ac:dyDescent="0.25">
      <c r="A6655" s="2">
        <v>1087.74476933096</v>
      </c>
      <c r="B6655" s="3">
        <v>-0.68085150354781498</v>
      </c>
      <c r="C6655" s="5">
        <v>9.39764602895633E-20</v>
      </c>
      <c r="D6655" s="6">
        <v>9.2108140999512401E-19</v>
      </c>
      <c r="E6655" s="3" t="s">
        <v>3778</v>
      </c>
      <c r="F6655" s="3" t="s">
        <v>3779</v>
      </c>
      <c r="G6655" s="3" t="s">
        <v>83</v>
      </c>
      <c r="H6655" s="7" t="str">
        <f>HYPERLINK("http://www.ensembl.org/Mus_musculus/Gene/Summary?db=core;g=ENSMUSG00000116207","ENSMUSG00000116207")</f>
        <v>ENSMUSG00000116207</v>
      </c>
      <c r="I6655" s="7" t="str">
        <f>HYPERLINK("http://www.informatics.jax.org/marker/MGI:109279","MGI:109279")</f>
        <v>MGI:109279</v>
      </c>
      <c r="J6655" s="4" t="s">
        <v>12</v>
      </c>
    </row>
    <row r="6656" spans="1:10" x14ac:dyDescent="0.25">
      <c r="A6656" s="2">
        <v>1005.29558204518</v>
      </c>
      <c r="B6656" s="3">
        <v>-0.68138146560857504</v>
      </c>
      <c r="C6656" s="5">
        <v>8.0028993580587603E-33</v>
      </c>
      <c r="D6656" s="6">
        <v>1.2747752450801201E-31</v>
      </c>
      <c r="E6656" s="3" t="s">
        <v>2493</v>
      </c>
      <c r="F6656" s="3" t="s">
        <v>2494</v>
      </c>
      <c r="G6656" s="3">
        <v>330662</v>
      </c>
      <c r="H6656" s="7" t="str">
        <f>HYPERLINK("http://www.ensembl.org/Mus_musculus/Gene/Summary?db=core;g=ENSMUSG00000058325","ENSMUSG00000058325")</f>
        <v>ENSMUSG00000058325</v>
      </c>
      <c r="I6656" s="7" t="str">
        <f>HYPERLINK("http://www.informatics.jax.org/marker/MGI:2429765","MGI:2429765")</f>
        <v>MGI:2429765</v>
      </c>
      <c r="J6656" s="4" t="s">
        <v>12</v>
      </c>
    </row>
    <row r="6657" spans="1:10" x14ac:dyDescent="0.25">
      <c r="A6657" s="2">
        <v>108.05737721979099</v>
      </c>
      <c r="B6657" s="3">
        <v>-0.68217190777384296</v>
      </c>
      <c r="C6657" s="5">
        <v>6.0066557974775602E-7</v>
      </c>
      <c r="D6657" s="6">
        <v>2.5435098201901999E-6</v>
      </c>
      <c r="E6657" s="3" t="s">
        <v>9329</v>
      </c>
      <c r="F6657" s="3" t="s">
        <v>9330</v>
      </c>
      <c r="G6657" s="3">
        <v>98711</v>
      </c>
      <c r="H6657" s="7" t="str">
        <f>HYPERLINK("http://www.ensembl.org/Mus_musculus/Gene/Summary?db=core;g=ENSMUSG00000025921","ENSMUSG00000025921")</f>
        <v>ENSMUSG00000025921</v>
      </c>
      <c r="I6657" s="7" t="str">
        <f>HYPERLINK("http://www.informatics.jax.org/marker/MGI:1924238","MGI:1924238")</f>
        <v>MGI:1924238</v>
      </c>
      <c r="J6657" s="4" t="s">
        <v>12</v>
      </c>
    </row>
    <row r="6658" spans="1:10" x14ac:dyDescent="0.25">
      <c r="A6658" s="2">
        <v>96.557291937798297</v>
      </c>
      <c r="B6658" s="3">
        <v>-0.68230572755941199</v>
      </c>
      <c r="C6658" s="5">
        <v>6.2915857119221505E-8</v>
      </c>
      <c r="D6658" s="6">
        <v>2.9001886451403598E-7</v>
      </c>
      <c r="E6658" s="3" t="s">
        <v>8573</v>
      </c>
      <c r="F6658" s="3" t="s">
        <v>8574</v>
      </c>
      <c r="G6658" s="3">
        <v>208967</v>
      </c>
      <c r="H6658" s="7" t="str">
        <f>HYPERLINK("http://www.ensembl.org/Mus_musculus/Gene/Summary?db=core;g=ENSMUSG00000048550","ENSMUSG00000048550")</f>
        <v>ENSMUSG00000048550</v>
      </c>
      <c r="I6658" s="7" t="str">
        <f>HYPERLINK("http://www.informatics.jax.org/marker/MGI:2139347","MGI:2139347")</f>
        <v>MGI:2139347</v>
      </c>
      <c r="J6658" s="4" t="s">
        <v>12</v>
      </c>
    </row>
    <row r="6659" spans="1:10" x14ac:dyDescent="0.25">
      <c r="A6659" s="2">
        <v>3068.7427307110202</v>
      </c>
      <c r="B6659" s="3">
        <v>-0.683596880124546</v>
      </c>
      <c r="C6659" s="5">
        <v>1.57088407499429E-27</v>
      </c>
      <c r="D6659" s="6">
        <v>2.1059030563485701E-26</v>
      </c>
      <c r="E6659" s="3" t="s">
        <v>2960</v>
      </c>
      <c r="F6659" s="3" t="s">
        <v>2961</v>
      </c>
      <c r="G6659" s="3">
        <v>21917</v>
      </c>
      <c r="H6659" s="7" t="str">
        <f>HYPERLINK("http://www.ensembl.org/Mus_musculus/Gene/Summary?db=core;g=ENSMUSG00000019961","ENSMUSG00000019961")</f>
        <v>ENSMUSG00000019961</v>
      </c>
      <c r="I6659" s="7" t="str">
        <f>HYPERLINK("http://www.informatics.jax.org/marker/MGI:106920","MGI:106920")</f>
        <v>MGI:106920</v>
      </c>
      <c r="J6659" s="4" t="s">
        <v>12</v>
      </c>
    </row>
    <row r="6660" spans="1:10" x14ac:dyDescent="0.25">
      <c r="A6660" s="2">
        <v>45.2754999913424</v>
      </c>
      <c r="B6660" s="3">
        <v>-0.68371505895482398</v>
      </c>
      <c r="C6660" s="3">
        <v>3.9732810609580099E-3</v>
      </c>
      <c r="D6660" s="4">
        <v>1.07054382459478E-2</v>
      </c>
      <c r="E6660" s="3" t="s">
        <v>14641</v>
      </c>
      <c r="F6660" s="3" t="s">
        <v>14642</v>
      </c>
      <c r="G6660" s="3">
        <v>13603</v>
      </c>
      <c r="H6660" s="7" t="str">
        <f>HYPERLINK("http://www.ensembl.org/Mus_musculus/Gene/Summary?db=core;g=ENSMUSG00000026525","ENSMUSG00000026525")</f>
        <v>ENSMUSG00000026525</v>
      </c>
      <c r="I6660" s="7" t="str">
        <f>HYPERLINK("http://www.informatics.jax.org/marker/MGI:1338022","MGI:1338022")</f>
        <v>MGI:1338022</v>
      </c>
      <c r="J6660" s="4" t="s">
        <v>12</v>
      </c>
    </row>
    <row r="6661" spans="1:10" x14ac:dyDescent="0.25">
      <c r="A6661" s="2">
        <v>962.03615442056298</v>
      </c>
      <c r="B6661" s="3">
        <v>-0.68399327886837102</v>
      </c>
      <c r="C6661" s="5">
        <v>2.6835697798248601E-20</v>
      </c>
      <c r="D6661" s="6">
        <v>2.6999997988850102E-19</v>
      </c>
      <c r="E6661" s="3" t="s">
        <v>3938</v>
      </c>
      <c r="F6661" s="3" t="s">
        <v>3939</v>
      </c>
      <c r="G6661" s="3">
        <v>11810</v>
      </c>
      <c r="H6661" s="7" t="str">
        <f>HYPERLINK("http://www.ensembl.org/Mus_musculus/Gene/Summary?db=core;g=ENSMUSG00000040613","ENSMUSG00000040613")</f>
        <v>ENSMUSG00000040613</v>
      </c>
      <c r="I6661" s="7" t="str">
        <f>HYPERLINK("http://www.informatics.jax.org/marker/MGI:103298","MGI:103298")</f>
        <v>MGI:103298</v>
      </c>
      <c r="J6661" s="4" t="s">
        <v>12</v>
      </c>
    </row>
    <row r="6662" spans="1:10" x14ac:dyDescent="0.25">
      <c r="A6662" s="2">
        <v>215.18249587323501</v>
      </c>
      <c r="B6662" s="3">
        <v>-0.68401226863763298</v>
      </c>
      <c r="C6662" s="5">
        <v>5.4351015411205703E-14</v>
      </c>
      <c r="D6662" s="6">
        <v>3.9303337877116899E-13</v>
      </c>
      <c r="E6662" s="3" t="s">
        <v>5471</v>
      </c>
      <c r="F6662" s="3" t="s">
        <v>5472</v>
      </c>
      <c r="G6662" s="3">
        <v>210582</v>
      </c>
      <c r="H6662" s="7" t="str">
        <f>HYPERLINK("http://www.ensembl.org/Mus_musculus/Gene/Summary?db=core;g=ENSMUSG00000039914","ENSMUSG00000039914")</f>
        <v>ENSMUSG00000039914</v>
      </c>
      <c r="I6662" s="7" t="str">
        <f>HYPERLINK("http://www.informatics.jax.org/marker/MGI:2684847","MGI:2684847")</f>
        <v>MGI:2684847</v>
      </c>
      <c r="J6662" s="4" t="s">
        <v>12</v>
      </c>
    </row>
    <row r="6663" spans="1:10" x14ac:dyDescent="0.25">
      <c r="A6663" s="2">
        <v>3890.2256047176202</v>
      </c>
      <c r="B6663" s="3">
        <v>-0.68416499934955499</v>
      </c>
      <c r="C6663" s="5">
        <v>5.21998150920596E-11</v>
      </c>
      <c r="D6663" s="6">
        <v>3.1033474634169899E-10</v>
      </c>
      <c r="E6663" s="3" t="s">
        <v>6651</v>
      </c>
      <c r="F6663" s="3" t="s">
        <v>6652</v>
      </c>
      <c r="G6663" s="3">
        <v>12428</v>
      </c>
      <c r="H6663" s="7" t="str">
        <f>HYPERLINK("http://www.ensembl.org/Mus_musculus/Gene/Summary?db=core;g=ENSMUSG00000027715","ENSMUSG00000027715")</f>
        <v>ENSMUSG00000027715</v>
      </c>
      <c r="I6663" s="7" t="str">
        <f>HYPERLINK("http://www.informatics.jax.org/marker/MGI:108069","MGI:108069")</f>
        <v>MGI:108069</v>
      </c>
      <c r="J6663" s="4" t="s">
        <v>12</v>
      </c>
    </row>
    <row r="6664" spans="1:10" x14ac:dyDescent="0.25">
      <c r="A6664" s="2">
        <v>512.03356218614704</v>
      </c>
      <c r="B6664" s="3">
        <v>-0.68451061132875402</v>
      </c>
      <c r="C6664" s="5">
        <v>2.47391850785848E-18</v>
      </c>
      <c r="D6664" s="6">
        <v>2.2726161065417E-17</v>
      </c>
      <c r="E6664" s="3" t="s">
        <v>4311</v>
      </c>
      <c r="F6664" s="3" t="s">
        <v>4312</v>
      </c>
      <c r="G6664" s="3">
        <v>14732</v>
      </c>
      <c r="H6664" s="7" t="str">
        <f>HYPERLINK("http://www.ensembl.org/Mus_musculus/Gene/Summary?db=core;g=ENSMUSG00000024978","ENSMUSG00000024978")</f>
        <v>ENSMUSG00000024978</v>
      </c>
      <c r="I6664" s="7" t="str">
        <f>HYPERLINK("http://www.informatics.jax.org/marker/MGI:109162","MGI:109162")</f>
        <v>MGI:109162</v>
      </c>
      <c r="J6664" s="4" t="s">
        <v>12</v>
      </c>
    </row>
    <row r="6665" spans="1:10" x14ac:dyDescent="0.25">
      <c r="A6665" s="2">
        <v>687.292958326698</v>
      </c>
      <c r="B6665" s="3">
        <v>-0.68458286882603803</v>
      </c>
      <c r="C6665" s="5">
        <v>3.0718202884160498E-11</v>
      </c>
      <c r="D6665" s="6">
        <v>1.8564601926927501E-10</v>
      </c>
      <c r="E6665" s="3" t="s">
        <v>6543</v>
      </c>
      <c r="F6665" s="3" t="s">
        <v>6544</v>
      </c>
      <c r="G6665" s="3">
        <v>66131</v>
      </c>
      <c r="H6665" s="7" t="str">
        <f>HYPERLINK("http://www.ensembl.org/Mus_musculus/Gene/Summary?db=core;g=ENSMUSG00000032397","ENSMUSG00000032397")</f>
        <v>ENSMUSG00000032397</v>
      </c>
      <c r="I6665" s="7" t="str">
        <f>HYPERLINK("http://www.informatics.jax.org/marker/MGI:1921571","MGI:1921571")</f>
        <v>MGI:1921571</v>
      </c>
      <c r="J6665" s="4" t="s">
        <v>12</v>
      </c>
    </row>
    <row r="6666" spans="1:10" x14ac:dyDescent="0.25">
      <c r="A6666" s="2">
        <v>277.43653262117402</v>
      </c>
      <c r="B6666" s="3">
        <v>-0.68462343892122801</v>
      </c>
      <c r="C6666" s="5">
        <v>2.75968730413273E-9</v>
      </c>
      <c r="D6666" s="6">
        <v>1.4279075374300599E-8</v>
      </c>
      <c r="E6666" s="3" t="s">
        <v>7640</v>
      </c>
      <c r="F6666" s="3" t="s">
        <v>7641</v>
      </c>
      <c r="G6666" s="3">
        <v>67789</v>
      </c>
      <c r="H6666" s="7" t="str">
        <f>HYPERLINK("http://www.ensembl.org/Mus_musculus/Gene/Summary?db=core;g=ENSMUSG00000019039","ENSMUSG00000019039")</f>
        <v>ENSMUSG00000019039</v>
      </c>
      <c r="I6666" s="7" t="str">
        <f>HYPERLINK("http://www.informatics.jax.org/marker/MGI:1915039","MGI:1915039")</f>
        <v>MGI:1915039</v>
      </c>
      <c r="J6666" s="4" t="s">
        <v>12</v>
      </c>
    </row>
    <row r="6667" spans="1:10" x14ac:dyDescent="0.25">
      <c r="A6667" s="2">
        <v>178.180683079331</v>
      </c>
      <c r="B6667" s="3">
        <v>-0.68465158096479095</v>
      </c>
      <c r="C6667" s="5">
        <v>1.71744662926123E-10</v>
      </c>
      <c r="D6667" s="6">
        <v>9.8111377546441197E-10</v>
      </c>
      <c r="E6667" s="3" t="s">
        <v>6922</v>
      </c>
      <c r="F6667" s="3" t="s">
        <v>6923</v>
      </c>
      <c r="G6667" s="3">
        <v>106707</v>
      </c>
      <c r="H6667" s="7" t="str">
        <f>HYPERLINK("http://www.ensembl.org/Mus_musculus/Gene/Summary?db=core;g=ENSMUSG00000041199","ENSMUSG00000041199")</f>
        <v>ENSMUSG00000041199</v>
      </c>
      <c r="I6667" s="7" t="str">
        <f>HYPERLINK("http://www.informatics.jax.org/marker/MGI:1919186","MGI:1919186")</f>
        <v>MGI:1919186</v>
      </c>
      <c r="J6667" s="4" t="s">
        <v>12</v>
      </c>
    </row>
    <row r="6668" spans="1:10" x14ac:dyDescent="0.25">
      <c r="A6668" s="2">
        <v>13.755136127382301</v>
      </c>
      <c r="B6668" s="3">
        <v>-0.68528471948448999</v>
      </c>
      <c r="C6668" s="3">
        <v>1.9153199076418499E-2</v>
      </c>
      <c r="D6668" s="4">
        <v>4.4889598976345799E-2</v>
      </c>
      <c r="E6668" s="3" t="s">
        <v>16832</v>
      </c>
      <c r="F6668" s="3" t="s">
        <v>16833</v>
      </c>
      <c r="G6668" s="3">
        <v>243833</v>
      </c>
      <c r="H6668" s="7" t="str">
        <f>HYPERLINK("http://www.ensembl.org/Mus_musculus/Gene/Summary?db=core;g=ENSMUSG00000060397","ENSMUSG00000060397")</f>
        <v>ENSMUSG00000060397</v>
      </c>
      <c r="I6668" s="7" t="str">
        <f>HYPERLINK("http://www.informatics.jax.org/marker/MGI:2389445","MGI:2389445")</f>
        <v>MGI:2389445</v>
      </c>
      <c r="J6668" s="4" t="s">
        <v>12</v>
      </c>
    </row>
    <row r="6669" spans="1:10" x14ac:dyDescent="0.25">
      <c r="A6669" s="2">
        <v>3445.3542984573</v>
      </c>
      <c r="B6669" s="3">
        <v>-0.68647498723094202</v>
      </c>
      <c r="C6669" s="5">
        <v>7.28737287458966E-5</v>
      </c>
      <c r="D6669" s="4">
        <v>2.4927492296081201E-4</v>
      </c>
      <c r="E6669" s="3" t="s">
        <v>11541</v>
      </c>
      <c r="F6669" s="3" t="s">
        <v>11542</v>
      </c>
      <c r="G6669" s="3">
        <v>83433</v>
      </c>
      <c r="H6669" s="7" t="str">
        <f>HYPERLINK("http://www.ensembl.org/Mus_musculus/Gene/Summary?db=core;g=ENSMUSG00000023992","ENSMUSG00000023992")</f>
        <v>ENSMUSG00000023992</v>
      </c>
      <c r="I6669" s="7" t="str">
        <f>HYPERLINK("http://www.informatics.jax.org/marker/MGI:1913150","MGI:1913150")</f>
        <v>MGI:1913150</v>
      </c>
      <c r="J6669" s="4" t="s">
        <v>12</v>
      </c>
    </row>
    <row r="6670" spans="1:10" x14ac:dyDescent="0.25">
      <c r="A6670" s="2">
        <v>13.974198127018999</v>
      </c>
      <c r="B6670" s="3">
        <v>-0.68655129224303801</v>
      </c>
      <c r="C6670" s="3">
        <v>1.96454303689769E-2</v>
      </c>
      <c r="D6670" s="4">
        <v>4.5966763986263003E-2</v>
      </c>
      <c r="E6670" s="3" t="s">
        <v>16860</v>
      </c>
      <c r="F6670" s="3" t="s">
        <v>16861</v>
      </c>
      <c r="G6670" s="3" t="s">
        <v>83</v>
      </c>
      <c r="H6670" s="7" t="str">
        <f>HYPERLINK("http://www.ensembl.org/Mus_musculus/Gene/Summary?db=core;g=ENSMUSG00000071793","ENSMUSG00000071793")</f>
        <v>ENSMUSG00000071793</v>
      </c>
      <c r="I6670" s="7" t="str">
        <f>HYPERLINK("http://www.informatics.jax.org/marker/MGI:1914283","MGI:1914283")</f>
        <v>MGI:1914283</v>
      </c>
      <c r="J6670" s="4" t="s">
        <v>320</v>
      </c>
    </row>
    <row r="6671" spans="1:10" x14ac:dyDescent="0.25">
      <c r="A6671" s="2">
        <v>28.203820373181799</v>
      </c>
      <c r="B6671" s="3">
        <v>-0.68658096739736296</v>
      </c>
      <c r="C6671" s="3">
        <v>4.0420856670267003E-3</v>
      </c>
      <c r="D6671" s="4">
        <v>1.08804162372054E-2</v>
      </c>
      <c r="E6671" s="3" t="s">
        <v>14655</v>
      </c>
      <c r="F6671" s="3" t="s">
        <v>14656</v>
      </c>
      <c r="G6671" s="3" t="s">
        <v>83</v>
      </c>
      <c r="H6671" s="7" t="str">
        <f>HYPERLINK("http://www.ensembl.org/Mus_musculus/Gene/Summary?db=core;g=ENSMUSG00000117814","ENSMUSG00000117814")</f>
        <v>ENSMUSG00000117814</v>
      </c>
      <c r="I6671" s="7" t="str">
        <f>HYPERLINK("http://www.informatics.jax.org/marker/MGI:6303362","MGI:6303362")</f>
        <v>MGI:6303362</v>
      </c>
      <c r="J6671" s="4" t="s">
        <v>939</v>
      </c>
    </row>
    <row r="6672" spans="1:10" x14ac:dyDescent="0.25">
      <c r="A6672" s="2">
        <v>1103.22801098474</v>
      </c>
      <c r="B6672" s="3">
        <v>-0.68677648580357098</v>
      </c>
      <c r="C6672" s="5">
        <v>2.6178599724676801E-21</v>
      </c>
      <c r="D6672" s="6">
        <v>2.7459680136735403E-20</v>
      </c>
      <c r="E6672" s="3" t="s">
        <v>3778</v>
      </c>
      <c r="F6672" s="3" t="s">
        <v>3779</v>
      </c>
      <c r="G6672" s="3">
        <v>18115</v>
      </c>
      <c r="H6672" s="7" t="str">
        <f>HYPERLINK("http://www.ensembl.org/Mus_musculus/Gene/Summary?db=core;g=ENSMUSG00000025453","ENSMUSG00000025453")</f>
        <v>ENSMUSG00000025453</v>
      </c>
      <c r="I6672" s="7" t="str">
        <f>HYPERLINK("http://www.informatics.jax.org/marker/MGI:109279","MGI:109279")</f>
        <v>MGI:109279</v>
      </c>
      <c r="J6672" s="4" t="s">
        <v>12</v>
      </c>
    </row>
    <row r="6673" spans="1:10" x14ac:dyDescent="0.25">
      <c r="A6673" s="2">
        <v>16.445783384902899</v>
      </c>
      <c r="B6673" s="3">
        <v>-0.68720215153283004</v>
      </c>
      <c r="C6673" s="3">
        <v>1.50238749790923E-2</v>
      </c>
      <c r="D6673" s="4">
        <v>3.6025147688193003E-2</v>
      </c>
      <c r="E6673" s="3" t="s">
        <v>16453</v>
      </c>
      <c r="F6673" s="3" t="s">
        <v>16454</v>
      </c>
      <c r="G6673" s="3">
        <v>68870</v>
      </c>
      <c r="H6673" s="7" t="str">
        <f>HYPERLINK("http://www.ensembl.org/Mus_musculus/Gene/Summary?db=core;g=ENSMUSG00000026807","ENSMUSG00000026807")</f>
        <v>ENSMUSG00000026807</v>
      </c>
      <c r="I6673" s="7" t="str">
        <f>HYPERLINK("http://www.informatics.jax.org/marker/MGI:1916120","MGI:1916120")</f>
        <v>MGI:1916120</v>
      </c>
      <c r="J6673" s="4" t="s">
        <v>12</v>
      </c>
    </row>
    <row r="6674" spans="1:10" x14ac:dyDescent="0.25">
      <c r="A6674" s="2">
        <v>96.520278628769006</v>
      </c>
      <c r="B6674" s="3">
        <v>-0.688282991355887</v>
      </c>
      <c r="C6674" s="5">
        <v>3.3516288386266399E-8</v>
      </c>
      <c r="D6674" s="6">
        <v>1.5811990597540001E-7</v>
      </c>
      <c r="E6674" s="3" t="s">
        <v>8377</v>
      </c>
      <c r="F6674" s="3" t="s">
        <v>8378</v>
      </c>
      <c r="G6674" s="3">
        <v>67528</v>
      </c>
      <c r="H6674" s="7" t="str">
        <f>HYPERLINK("http://www.ensembl.org/Mus_musculus/Gene/Summary?db=core;g=ENSMUSG00000031767","ENSMUSG00000031767")</f>
        <v>ENSMUSG00000031767</v>
      </c>
      <c r="I6674" s="7" t="str">
        <f>HYPERLINK("http://www.informatics.jax.org/marker/MGI:1914778","MGI:1914778")</f>
        <v>MGI:1914778</v>
      </c>
      <c r="J6674" s="4" t="s">
        <v>12</v>
      </c>
    </row>
    <row r="6675" spans="1:10" x14ac:dyDescent="0.25">
      <c r="A6675" s="2">
        <v>662.92964111438005</v>
      </c>
      <c r="B6675" s="3">
        <v>-0.68843744977408605</v>
      </c>
      <c r="C6675" s="5">
        <v>5.4020997654032698E-22</v>
      </c>
      <c r="D6675" s="6">
        <v>5.85326414141497E-21</v>
      </c>
      <c r="E6675" s="3" t="s">
        <v>3658</v>
      </c>
      <c r="F6675" s="3" t="s">
        <v>3659</v>
      </c>
      <c r="G6675" s="3">
        <v>19253</v>
      </c>
      <c r="H6675" s="7" t="str">
        <f>HYPERLINK("http://www.ensembl.org/Mus_musculus/Gene/Summary?db=core;g=ENSMUSG00000026126","ENSMUSG00000026126")</f>
        <v>ENSMUSG00000026126</v>
      </c>
      <c r="I6675" s="7" t="str">
        <f>HYPERLINK("http://www.informatics.jax.org/marker/MGI:108410","MGI:108410")</f>
        <v>MGI:108410</v>
      </c>
      <c r="J6675" s="4" t="s">
        <v>12</v>
      </c>
    </row>
    <row r="6676" spans="1:10" x14ac:dyDescent="0.25">
      <c r="A6676" s="2">
        <v>46.991773031983698</v>
      </c>
      <c r="B6676" s="3">
        <v>-0.68883482171326305</v>
      </c>
      <c r="C6676" s="5">
        <v>7.7548459975125301E-5</v>
      </c>
      <c r="D6676" s="4">
        <v>2.6471449380465102E-4</v>
      </c>
      <c r="E6676" s="3" t="s">
        <v>11565</v>
      </c>
      <c r="F6676" s="3" t="s">
        <v>11566</v>
      </c>
      <c r="G6676" s="3" t="s">
        <v>83</v>
      </c>
      <c r="H6676" s="7" t="str">
        <f>HYPERLINK("http://www.ensembl.org/Mus_musculus/Gene/Summary?db=core;g=ENSMUSG00000109967","ENSMUSG00000109967")</f>
        <v>ENSMUSG00000109967</v>
      </c>
      <c r="I6676" s="7" t="str">
        <f>HYPERLINK("http://www.informatics.jax.org/marker/MGI:5804998","MGI:5804998")</f>
        <v>MGI:5804998</v>
      </c>
      <c r="J6676" s="4" t="s">
        <v>331</v>
      </c>
    </row>
    <row r="6677" spans="1:10" x14ac:dyDescent="0.25">
      <c r="A6677" s="2">
        <v>214.76474080266499</v>
      </c>
      <c r="B6677" s="3">
        <v>-0.68893541180056295</v>
      </c>
      <c r="C6677" s="5">
        <v>1.2905399886769599E-11</v>
      </c>
      <c r="D6677" s="6">
        <v>8.0004553840646395E-11</v>
      </c>
      <c r="E6677" s="3" t="s">
        <v>6379</v>
      </c>
      <c r="F6677" s="3" t="s">
        <v>6380</v>
      </c>
      <c r="G6677" s="3">
        <v>73683</v>
      </c>
      <c r="H6677" s="7" t="str">
        <f>HYPERLINK("http://www.ensembl.org/Mus_musculus/Gene/Summary?db=core;g=ENSMUSG00000047767","ENSMUSG00000047767")</f>
        <v>ENSMUSG00000047767</v>
      </c>
      <c r="I6677" s="7" t="str">
        <f>HYPERLINK("http://www.informatics.jax.org/marker/MGI:1920933","MGI:1920933")</f>
        <v>MGI:1920933</v>
      </c>
      <c r="J6677" s="4" t="s">
        <v>12</v>
      </c>
    </row>
    <row r="6678" spans="1:10" x14ac:dyDescent="0.25">
      <c r="A6678" s="2">
        <v>338.42533594281099</v>
      </c>
      <c r="B6678" s="3">
        <v>-0.69045578275710495</v>
      </c>
      <c r="C6678" s="5">
        <v>5.0976266518886101E-13</v>
      </c>
      <c r="D6678" s="6">
        <v>3.48078938972449E-12</v>
      </c>
      <c r="E6678" s="3" t="s">
        <v>5793</v>
      </c>
      <c r="F6678" s="3" t="s">
        <v>5794</v>
      </c>
      <c r="G6678" s="3">
        <v>217366</v>
      </c>
      <c r="H6678" s="7" t="str">
        <f>HYPERLINK("http://www.ensembl.org/Mus_musculus/Gene/Summary?db=core;g=ENSMUSG00000025145","ENSMUSG00000025145")</f>
        <v>ENSMUSG00000025145</v>
      </c>
      <c r="I6678" s="7" t="str">
        <f>HYPERLINK("http://www.informatics.jax.org/marker/MGI:2387183","MGI:2387183")</f>
        <v>MGI:2387183</v>
      </c>
      <c r="J6678" s="4" t="s">
        <v>12</v>
      </c>
    </row>
    <row r="6679" spans="1:10" x14ac:dyDescent="0.25">
      <c r="A6679" s="2">
        <v>2102.4739541164799</v>
      </c>
      <c r="B6679" s="3">
        <v>-0.69064933190942102</v>
      </c>
      <c r="C6679" s="5">
        <v>7.2358383305181796E-23</v>
      </c>
      <c r="D6679" s="6">
        <v>8.1490994790301804E-22</v>
      </c>
      <c r="E6679" s="3" t="s">
        <v>3520</v>
      </c>
      <c r="F6679" s="3" t="s">
        <v>3521</v>
      </c>
      <c r="G6679" s="3">
        <v>50927</v>
      </c>
      <c r="H6679" s="7" t="str">
        <f>HYPERLINK("http://www.ensembl.org/Mus_musculus/Gene/Summary?db=core;g=ENSMUSG00000028693","ENSMUSG00000028693")</f>
        <v>ENSMUSG00000028693</v>
      </c>
      <c r="I6679" s="7" t="str">
        <f>HYPERLINK("http://www.informatics.jax.org/marker/MGI:1355328","MGI:1355328")</f>
        <v>MGI:1355328</v>
      </c>
      <c r="J6679" s="4" t="s">
        <v>12</v>
      </c>
    </row>
    <row r="6680" spans="1:10" x14ac:dyDescent="0.25">
      <c r="A6680" s="2">
        <v>208.90139492226501</v>
      </c>
      <c r="B6680" s="3">
        <v>-0.69122098006328803</v>
      </c>
      <c r="C6680" s="5">
        <v>3.1368881249412602E-12</v>
      </c>
      <c r="D6680" s="6">
        <v>2.0473250901617801E-11</v>
      </c>
      <c r="E6680" s="3" t="s">
        <v>6061</v>
      </c>
      <c r="F6680" s="3" t="s">
        <v>6062</v>
      </c>
      <c r="G6680" s="3">
        <v>170767</v>
      </c>
      <c r="H6680" s="7" t="str">
        <f>HYPERLINK("http://www.ensembl.org/Mus_musculus/Gene/Summary?db=core;g=ENSMUSG00000036615","ENSMUSG00000036615")</f>
        <v>ENSMUSG00000036615</v>
      </c>
      <c r="I6680" s="7" t="str">
        <f>HYPERLINK("http://www.informatics.jax.org/marker/MGI:2180854","MGI:2180854")</f>
        <v>MGI:2180854</v>
      </c>
      <c r="J6680" s="4" t="s">
        <v>12</v>
      </c>
    </row>
    <row r="6681" spans="1:10" x14ac:dyDescent="0.25">
      <c r="A6681" s="2">
        <v>100.99950685693599</v>
      </c>
      <c r="B6681" s="3">
        <v>-0.69146009847943002</v>
      </c>
      <c r="C6681" s="5">
        <v>7.3491354179424495E-5</v>
      </c>
      <c r="D6681" s="4">
        <v>2.51344000072537E-4</v>
      </c>
      <c r="E6681" s="3" t="s">
        <v>11543</v>
      </c>
      <c r="F6681" s="3" t="s">
        <v>11544</v>
      </c>
      <c r="G6681" s="3">
        <v>238875</v>
      </c>
      <c r="H6681" s="7" t="str">
        <f>HYPERLINK("http://www.ensembl.org/Mus_musculus/Gene/Summary?db=core;g=ENSMUSG00000046006","ENSMUSG00000046006")</f>
        <v>ENSMUSG00000046006</v>
      </c>
      <c r="I6681" s="7" t="str">
        <f>HYPERLINK("http://www.informatics.jax.org/marker/MGI:3608341","MGI:3608341")</f>
        <v>MGI:3608341</v>
      </c>
      <c r="J6681" s="4" t="s">
        <v>12</v>
      </c>
    </row>
    <row r="6682" spans="1:10" x14ac:dyDescent="0.25">
      <c r="A6682" s="2">
        <v>995.26076170199701</v>
      </c>
      <c r="B6682" s="3">
        <v>-0.69156299589260195</v>
      </c>
      <c r="C6682" s="5">
        <v>2.9397865814319001E-27</v>
      </c>
      <c r="D6682" s="6">
        <v>3.9065088534930601E-26</v>
      </c>
      <c r="E6682" s="3" t="s">
        <v>2986</v>
      </c>
      <c r="F6682" s="3" t="s">
        <v>2987</v>
      </c>
      <c r="G6682" s="3">
        <v>94275</v>
      </c>
      <c r="H6682" s="7" t="str">
        <f>HYPERLINK("http://www.ensembl.org/Mus_musculus/Gene/Summary?db=core;g=ENSMUSG00000025151","ENSMUSG00000025151")</f>
        <v>ENSMUSG00000025151</v>
      </c>
      <c r="I6682" s="7" t="str">
        <f>HYPERLINK("http://www.informatics.jax.org/marker/MGI:1930187","MGI:1930187")</f>
        <v>MGI:1930187</v>
      </c>
      <c r="J6682" s="4" t="s">
        <v>12</v>
      </c>
    </row>
    <row r="6683" spans="1:10" x14ac:dyDescent="0.25">
      <c r="A6683" s="2">
        <v>438.93413968787098</v>
      </c>
      <c r="B6683" s="3">
        <v>-0.69160696695780899</v>
      </c>
      <c r="C6683" s="5">
        <v>1.61993202789219E-15</v>
      </c>
      <c r="D6683" s="6">
        <v>1.2788254439565201E-14</v>
      </c>
      <c r="E6683" s="3" t="s">
        <v>5013</v>
      </c>
      <c r="F6683" s="3" t="s">
        <v>5014</v>
      </c>
      <c r="G6683" s="3">
        <v>74741</v>
      </c>
      <c r="H6683" s="7" t="str">
        <f>HYPERLINK("http://www.ensembl.org/Mus_musculus/Gene/Summary?db=core;g=ENSMUSG00000030279","ENSMUSG00000030279")</f>
        <v>ENSMUSG00000030279</v>
      </c>
      <c r="I6683" s="7" t="str">
        <f>HYPERLINK("http://www.informatics.jax.org/marker/MGI:1921991","MGI:1921991")</f>
        <v>MGI:1921991</v>
      </c>
      <c r="J6683" s="4" t="s">
        <v>12</v>
      </c>
    </row>
    <row r="6684" spans="1:10" x14ac:dyDescent="0.25">
      <c r="A6684" s="2">
        <v>583.70731253740905</v>
      </c>
      <c r="B6684" s="3">
        <v>-0.69171255650195396</v>
      </c>
      <c r="C6684" s="5">
        <v>1.80475632808708E-9</v>
      </c>
      <c r="D6684" s="6">
        <v>9.4855529823766502E-9</v>
      </c>
      <c r="E6684" s="3" t="s">
        <v>7522</v>
      </c>
      <c r="F6684" s="3" t="s">
        <v>7523</v>
      </c>
      <c r="G6684" s="3">
        <v>102920</v>
      </c>
      <c r="H6684" s="7" t="str">
        <f>HYPERLINK("http://www.ensembl.org/Mus_musculus/Gene/Summary?db=core;g=ENSMUSG00000031262","ENSMUSG00000031262")</f>
        <v>ENSMUSG00000031262</v>
      </c>
      <c r="I6684" s="7" t="str">
        <f>HYPERLINK("http://www.informatics.jax.org/marker/MGI:2147897","MGI:2147897")</f>
        <v>MGI:2147897</v>
      </c>
      <c r="J6684" s="4" t="s">
        <v>12</v>
      </c>
    </row>
    <row r="6685" spans="1:10" x14ac:dyDescent="0.25">
      <c r="A6685" s="2">
        <v>127.80830702655599</v>
      </c>
      <c r="B6685" s="3">
        <v>-0.69210847549038301</v>
      </c>
      <c r="C6685" s="5">
        <v>1.21638598515277E-7</v>
      </c>
      <c r="D6685" s="6">
        <v>5.4740145201306995E-7</v>
      </c>
      <c r="E6685" s="3" t="s">
        <v>8781</v>
      </c>
      <c r="F6685" s="3" t="s">
        <v>8782</v>
      </c>
      <c r="G6685" s="3">
        <v>22643</v>
      </c>
      <c r="H6685" s="7" t="str">
        <f>HYPERLINK("http://www.ensembl.org/Mus_musculus/Gene/Summary?db=core;g=ENSMUSG00000055240","ENSMUSG00000055240")</f>
        <v>ENSMUSG00000055240</v>
      </c>
      <c r="I6685" s="7" t="str">
        <f>HYPERLINK("http://www.informatics.jax.org/marker/MGI:107547","MGI:107547")</f>
        <v>MGI:107547</v>
      </c>
      <c r="J6685" s="4" t="s">
        <v>12</v>
      </c>
    </row>
    <row r="6686" spans="1:10" x14ac:dyDescent="0.25">
      <c r="A6686" s="2">
        <v>61.105247185516198</v>
      </c>
      <c r="B6686" s="3">
        <v>-0.69236286901298205</v>
      </c>
      <c r="C6686" s="5">
        <v>7.9914005676878097E-5</v>
      </c>
      <c r="D6686" s="4">
        <v>2.7241213343959101E-4</v>
      </c>
      <c r="E6686" s="3" t="s">
        <v>11581</v>
      </c>
      <c r="F6686" s="3" t="s">
        <v>11582</v>
      </c>
      <c r="G6686" s="3">
        <v>230500</v>
      </c>
      <c r="H6686" s="7" t="str">
        <f>HYPERLINK("http://www.ensembl.org/Mus_musculus/Gene/Summary?db=core;g=ENSMUSG00000073791","ENSMUSG00000073791")</f>
        <v>ENSMUSG00000073791</v>
      </c>
      <c r="I6686" s="7" t="str">
        <f>HYPERLINK("http://www.informatics.jax.org/marker/MGI:2385199","MGI:2385199")</f>
        <v>MGI:2385199</v>
      </c>
      <c r="J6686" s="4" t="s">
        <v>12</v>
      </c>
    </row>
    <row r="6687" spans="1:10" x14ac:dyDescent="0.25">
      <c r="A6687" s="2">
        <v>577.70565386987903</v>
      </c>
      <c r="B6687" s="3">
        <v>-0.69265145649820103</v>
      </c>
      <c r="C6687" s="5">
        <v>2.0769513510111902E-28</v>
      </c>
      <c r="D6687" s="6">
        <v>2.8945216001371502E-27</v>
      </c>
      <c r="E6687" s="3" t="s">
        <v>2848</v>
      </c>
      <c r="F6687" s="3" t="s">
        <v>2849</v>
      </c>
      <c r="G6687" s="3">
        <v>74237</v>
      </c>
      <c r="H6687" s="7" t="str">
        <f>HYPERLINK("http://www.ensembl.org/Mus_musculus/Gene/Summary?db=core;g=ENSMUSG00000025474","ENSMUSG00000025474")</f>
        <v>ENSMUSG00000025474</v>
      </c>
      <c r="I6687" s="7" t="str">
        <f>HYPERLINK("http://www.informatics.jax.org/marker/MGI:1921487","MGI:1921487")</f>
        <v>MGI:1921487</v>
      </c>
      <c r="J6687" s="4" t="s">
        <v>12</v>
      </c>
    </row>
    <row r="6688" spans="1:10" x14ac:dyDescent="0.25">
      <c r="A6688" s="2">
        <v>165.91629955069399</v>
      </c>
      <c r="B6688" s="3">
        <v>-0.69350899342851402</v>
      </c>
      <c r="C6688" s="5">
        <v>3.0758627672593202E-9</v>
      </c>
      <c r="D6688" s="6">
        <v>1.58660773660355E-8</v>
      </c>
      <c r="E6688" s="3" t="s">
        <v>7662</v>
      </c>
      <c r="F6688" s="3" t="s">
        <v>7663</v>
      </c>
      <c r="G6688" s="3">
        <v>50798</v>
      </c>
      <c r="H6688" s="7" t="str">
        <f>HYPERLINK("http://www.ensembl.org/Mus_musculus/Gene/Summary?db=core;g=ENSMUSG00000028479","ENSMUSG00000028479")</f>
        <v>ENSMUSG00000028479</v>
      </c>
      <c r="I6688" s="7" t="str">
        <f>HYPERLINK("http://www.informatics.jax.org/marker/MGI:1354951","MGI:1354951")</f>
        <v>MGI:1354951</v>
      </c>
      <c r="J6688" s="4" t="s">
        <v>12</v>
      </c>
    </row>
    <row r="6689" spans="1:10" x14ac:dyDescent="0.25">
      <c r="A6689" s="2">
        <v>51.434787272021801</v>
      </c>
      <c r="B6689" s="3">
        <v>-0.69382260843219101</v>
      </c>
      <c r="C6689" s="5">
        <v>3.70586030804329E-5</v>
      </c>
      <c r="D6689" s="4">
        <v>1.30943496281336E-4</v>
      </c>
      <c r="E6689" s="3" t="s">
        <v>11173</v>
      </c>
      <c r="F6689" s="3" t="s">
        <v>11174</v>
      </c>
      <c r="G6689" s="3">
        <v>11486</v>
      </c>
      <c r="H6689" s="7" t="str">
        <f>HYPERLINK("http://www.ensembl.org/Mus_musculus/Gene/Summary?db=core;g=ENSMUSG00000017697","ENSMUSG00000017697")</f>
        <v>ENSMUSG00000017697</v>
      </c>
      <c r="I6689" s="7" t="str">
        <f>HYPERLINK("http://www.informatics.jax.org/marker/MGI:87916","MGI:87916")</f>
        <v>MGI:87916</v>
      </c>
      <c r="J6689" s="4" t="s">
        <v>12</v>
      </c>
    </row>
    <row r="6690" spans="1:10" x14ac:dyDescent="0.25">
      <c r="A6690" s="2">
        <v>161.08340399481401</v>
      </c>
      <c r="B6690" s="3">
        <v>-0.69404539853930503</v>
      </c>
      <c r="C6690" s="5">
        <v>2.6140427302363199E-8</v>
      </c>
      <c r="D6690" s="6">
        <v>1.24876266085902E-7</v>
      </c>
      <c r="E6690" s="3" t="s">
        <v>8273</v>
      </c>
      <c r="F6690" s="3" t="s">
        <v>8274</v>
      </c>
      <c r="G6690" s="3">
        <v>70681</v>
      </c>
      <c r="H6690" s="7" t="str">
        <f>HYPERLINK("http://www.ensembl.org/Mus_musculus/Gene/Summary?db=core;g=ENSMUSG00000035234","ENSMUSG00000035234")</f>
        <v>ENSMUSG00000035234</v>
      </c>
      <c r="I6690" s="7" t="str">
        <f>HYPERLINK("http://www.informatics.jax.org/marker/MGI:1917931","MGI:1917931")</f>
        <v>MGI:1917931</v>
      </c>
      <c r="J6690" s="4" t="s">
        <v>12</v>
      </c>
    </row>
    <row r="6691" spans="1:10" x14ac:dyDescent="0.25">
      <c r="A6691" s="2">
        <v>341.57998130926899</v>
      </c>
      <c r="B6691" s="3">
        <v>-0.69488620217202601</v>
      </c>
      <c r="C6691" s="5">
        <v>7.3219454888219004E-13</v>
      </c>
      <c r="D6691" s="6">
        <v>4.9533024027296004E-12</v>
      </c>
      <c r="E6691" s="3" t="s">
        <v>5847</v>
      </c>
      <c r="F6691" s="3" t="s">
        <v>5848</v>
      </c>
      <c r="G6691" s="3">
        <v>52055</v>
      </c>
      <c r="H6691" s="7" t="str">
        <f>HYPERLINK("http://www.ensembl.org/Mus_musculus/Gene/Summary?db=core;g=ENSMUSG00000051343","ENSMUSG00000051343")</f>
        <v>ENSMUSG00000051343</v>
      </c>
      <c r="I6691" s="7" t="str">
        <f>HYPERLINK("http://www.informatics.jax.org/marker/MGI:1098586","MGI:1098586")</f>
        <v>MGI:1098586</v>
      </c>
      <c r="J6691" s="4" t="s">
        <v>12</v>
      </c>
    </row>
    <row r="6692" spans="1:10" x14ac:dyDescent="0.25">
      <c r="A6692" s="2">
        <v>370.80568486137099</v>
      </c>
      <c r="B6692" s="3">
        <v>-0.695588439447545</v>
      </c>
      <c r="C6692" s="5">
        <v>4.8428009540307201E-17</v>
      </c>
      <c r="D6692" s="6">
        <v>4.1261220913867602E-16</v>
      </c>
      <c r="E6692" s="3" t="s">
        <v>4645</v>
      </c>
      <c r="F6692" s="3" t="s">
        <v>4646</v>
      </c>
      <c r="G6692" s="3">
        <v>216829</v>
      </c>
      <c r="H6692" s="7" t="str">
        <f>HYPERLINK("http://www.ensembl.org/Mus_musculus/Gene/Summary?db=core;g=ENSMUSG00000048497","ENSMUSG00000048497")</f>
        <v>ENSMUSG00000048497</v>
      </c>
      <c r="I6692" s="7" t="str">
        <f>HYPERLINK("http://www.informatics.jax.org/marker/MGI:2448491","MGI:2448491")</f>
        <v>MGI:2448491</v>
      </c>
      <c r="J6692" s="4" t="s">
        <v>12</v>
      </c>
    </row>
    <row r="6693" spans="1:10" x14ac:dyDescent="0.25">
      <c r="A6693" s="2">
        <v>1903.8902882154</v>
      </c>
      <c r="B6693" s="3">
        <v>-0.69600468008796001</v>
      </c>
      <c r="C6693" s="5">
        <v>4.2125082640075402E-47</v>
      </c>
      <c r="D6693" s="6">
        <v>1.05553574289998E-45</v>
      </c>
      <c r="E6693" s="3" t="s">
        <v>1590</v>
      </c>
      <c r="F6693" s="3" t="s">
        <v>1591</v>
      </c>
      <c r="G6693" s="3">
        <v>13047</v>
      </c>
      <c r="H6693" s="7" t="str">
        <f>HYPERLINK("http://www.ensembl.org/Mus_musculus/Gene/Summary?db=core;g=ENSMUSG00000029705","ENSMUSG00000029705")</f>
        <v>ENSMUSG00000029705</v>
      </c>
      <c r="I6693" s="7" t="str">
        <f>HYPERLINK("http://www.informatics.jax.org/marker/MGI:88568","MGI:88568")</f>
        <v>MGI:88568</v>
      </c>
      <c r="J6693" s="4" t="s">
        <v>12</v>
      </c>
    </row>
    <row r="6694" spans="1:10" x14ac:dyDescent="0.25">
      <c r="A6694" s="2">
        <v>335.041014682168</v>
      </c>
      <c r="B6694" s="3">
        <v>-0.69601709236077103</v>
      </c>
      <c r="C6694" s="5">
        <v>3.81819666260876E-16</v>
      </c>
      <c r="D6694" s="6">
        <v>3.099828661451E-15</v>
      </c>
      <c r="E6694" s="3" t="s">
        <v>4875</v>
      </c>
      <c r="F6694" s="3" t="s">
        <v>4876</v>
      </c>
      <c r="G6694" s="3">
        <v>100972</v>
      </c>
      <c r="H6694" s="7" t="str">
        <f>HYPERLINK("http://www.ensembl.org/Mus_musculus/Gene/Summary?db=core;g=ENSMUSG00000029128","ENSMUSG00000029128")</f>
        <v>ENSMUSG00000029128</v>
      </c>
      <c r="I6694" s="7" t="str">
        <f>HYPERLINK("http://www.informatics.jax.org/marker/MGI:1917285","MGI:1917285")</f>
        <v>MGI:1917285</v>
      </c>
      <c r="J6694" s="4" t="s">
        <v>12</v>
      </c>
    </row>
    <row r="6695" spans="1:10" x14ac:dyDescent="0.25">
      <c r="A6695" s="2">
        <v>222.12202633375</v>
      </c>
      <c r="B6695" s="3">
        <v>-0.69620601666501802</v>
      </c>
      <c r="C6695" s="5">
        <v>2.3955380594328799E-12</v>
      </c>
      <c r="D6695" s="6">
        <v>1.5720469395013799E-11</v>
      </c>
      <c r="E6695" s="3" t="s">
        <v>6027</v>
      </c>
      <c r="F6695" s="3" t="s">
        <v>6028</v>
      </c>
      <c r="G6695" s="3">
        <v>245007</v>
      </c>
      <c r="H6695" s="7" t="str">
        <f>HYPERLINK("http://www.ensembl.org/Mus_musculus/Gene/Summary?db=core;g=ENSMUSG00000040433","ENSMUSG00000040433")</f>
        <v>ENSMUSG00000040433</v>
      </c>
      <c r="I6695" s="7" t="str">
        <f>HYPERLINK("http://www.informatics.jax.org/marker/MGI:2442866","MGI:2442866")</f>
        <v>MGI:2442866</v>
      </c>
      <c r="J6695" s="4" t="s">
        <v>12</v>
      </c>
    </row>
    <row r="6696" spans="1:10" x14ac:dyDescent="0.25">
      <c r="A6696" s="2">
        <v>3001.6131749031501</v>
      </c>
      <c r="B6696" s="3">
        <v>-0.69622905850165995</v>
      </c>
      <c r="C6696" s="5">
        <v>4.5521942467481398E-54</v>
      </c>
      <c r="D6696" s="6">
        <v>1.3601404628162601E-52</v>
      </c>
      <c r="E6696" s="3" t="s">
        <v>1336</v>
      </c>
      <c r="F6696" s="3" t="s">
        <v>1337</v>
      </c>
      <c r="G6696" s="3">
        <v>99138</v>
      </c>
      <c r="H6696" s="7" t="str">
        <f>HYPERLINK("http://www.ensembl.org/Mus_musculus/Gene/Summary?db=core;g=ENSMUSG00000027367","ENSMUSG00000027367")</f>
        <v>ENSMUSG00000027367</v>
      </c>
      <c r="I6696" s="7" t="str">
        <f>HYPERLINK("http://www.informatics.jax.org/marker/MGI:2139090","MGI:2139090")</f>
        <v>MGI:2139090</v>
      </c>
      <c r="J6696" s="4" t="s">
        <v>12</v>
      </c>
    </row>
    <row r="6697" spans="1:10" x14ac:dyDescent="0.25">
      <c r="A6697" s="2">
        <v>162.770803727443</v>
      </c>
      <c r="B6697" s="3">
        <v>-0.69629984369583997</v>
      </c>
      <c r="C6697" s="5">
        <v>7.9018689296575697E-11</v>
      </c>
      <c r="D6697" s="6">
        <v>4.61429835039524E-10</v>
      </c>
      <c r="E6697" s="3" t="s">
        <v>6772</v>
      </c>
      <c r="F6697" s="3" t="s">
        <v>6773</v>
      </c>
      <c r="G6697" s="3">
        <v>171567</v>
      </c>
      <c r="H6697" s="7" t="str">
        <f>HYPERLINK("http://www.ensembl.org/Mus_musculus/Gene/Summary?db=core;g=ENSMUSG00000026575","ENSMUSG00000026575")</f>
        <v>ENSMUSG00000026575</v>
      </c>
      <c r="I6697" s="7" t="str">
        <f>HYPERLINK("http://www.informatics.jax.org/marker/MGI:2449121","MGI:2449121")</f>
        <v>MGI:2449121</v>
      </c>
      <c r="J6697" s="4" t="s">
        <v>12</v>
      </c>
    </row>
    <row r="6698" spans="1:10" x14ac:dyDescent="0.25">
      <c r="A6698" s="2">
        <v>1481.61614955656</v>
      </c>
      <c r="B6698" s="3">
        <v>-0.69664965744548402</v>
      </c>
      <c r="C6698" s="5">
        <v>1.20351432281091E-7</v>
      </c>
      <c r="D6698" s="6">
        <v>5.4222760899774304E-7</v>
      </c>
      <c r="E6698" s="3" t="s">
        <v>8771</v>
      </c>
      <c r="F6698" s="3" t="s">
        <v>8772</v>
      </c>
      <c r="G6698" s="3">
        <v>76464</v>
      </c>
      <c r="H6698" s="7" t="str">
        <f>HYPERLINK("http://www.ensembl.org/Mus_musculus/Gene/Summary?db=core;g=ENSMUSG00000027326","ENSMUSG00000027326")</f>
        <v>ENSMUSG00000027326</v>
      </c>
      <c r="I6698" s="7" t="str">
        <f>HYPERLINK("http://www.informatics.jax.org/marker/MGI:1923714","MGI:1923714")</f>
        <v>MGI:1923714</v>
      </c>
      <c r="J6698" s="4" t="s">
        <v>12</v>
      </c>
    </row>
    <row r="6699" spans="1:10" x14ac:dyDescent="0.25">
      <c r="A6699" s="2">
        <v>714.48023057774003</v>
      </c>
      <c r="B6699" s="3">
        <v>-0.69694703926825297</v>
      </c>
      <c r="C6699" s="5">
        <v>1.31694536216619E-15</v>
      </c>
      <c r="D6699" s="6">
        <v>1.04465657851639E-14</v>
      </c>
      <c r="E6699" s="3" t="s">
        <v>4989</v>
      </c>
      <c r="F6699" s="3" t="s">
        <v>4990</v>
      </c>
      <c r="G6699" s="3">
        <v>209586</v>
      </c>
      <c r="H6699" s="7" t="str">
        <f>HYPERLINK("http://www.ensembl.org/Mus_musculus/Gene/Summary?db=core;g=ENSMUSG00000053838","ENSMUSG00000053838")</f>
        <v>ENSMUSG00000053838</v>
      </c>
      <c r="I6699" s="7" t="str">
        <f>HYPERLINK("http://www.informatics.jax.org/marker/MGI:2144158","MGI:2144158")</f>
        <v>MGI:2144158</v>
      </c>
      <c r="J6699" s="4" t="s">
        <v>12</v>
      </c>
    </row>
    <row r="6700" spans="1:10" x14ac:dyDescent="0.25">
      <c r="A6700" s="2">
        <v>556.61723481645402</v>
      </c>
      <c r="B6700" s="3">
        <v>-0.69716352405286597</v>
      </c>
      <c r="C6700" s="5">
        <v>7.0053443284311902E-24</v>
      </c>
      <c r="D6700" s="6">
        <v>8.1888198077452902E-23</v>
      </c>
      <c r="E6700" s="3" t="s">
        <v>3392</v>
      </c>
      <c r="F6700" s="3" t="s">
        <v>3393</v>
      </c>
      <c r="G6700" s="3">
        <v>71767</v>
      </c>
      <c r="H6700" s="7" t="str">
        <f>HYPERLINK("http://www.ensembl.org/Mus_musculus/Gene/Summary?db=core;g=ENSMUSG00000020087","ENSMUSG00000020087")</f>
        <v>ENSMUSG00000020087</v>
      </c>
      <c r="I6700" s="7" t="str">
        <f>HYPERLINK("http://www.informatics.jax.org/marker/MGI:1919017","MGI:1919017")</f>
        <v>MGI:1919017</v>
      </c>
      <c r="J6700" s="4" t="s">
        <v>12</v>
      </c>
    </row>
    <row r="6701" spans="1:10" x14ac:dyDescent="0.25">
      <c r="A6701" s="2">
        <v>21.4183614594739</v>
      </c>
      <c r="B6701" s="3">
        <v>-0.69814895698342105</v>
      </c>
      <c r="C6701" s="3">
        <v>4.6797824611732701E-3</v>
      </c>
      <c r="D6701" s="4">
        <v>1.24273242841822E-2</v>
      </c>
      <c r="E6701" s="3" t="s">
        <v>14856</v>
      </c>
      <c r="F6701" s="3" t="s">
        <v>14857</v>
      </c>
      <c r="G6701" s="3" t="s">
        <v>83</v>
      </c>
      <c r="H6701" s="7" t="str">
        <f>HYPERLINK("http://www.ensembl.org/Mus_musculus/Gene/Summary?db=core;g=ENSMUSG00000082988","ENSMUSG00000082988")</f>
        <v>ENSMUSG00000082988</v>
      </c>
      <c r="I6701" s="7" t="str">
        <f>HYPERLINK("http://www.informatics.jax.org/marker/MGI:3644470","MGI:3644470")</f>
        <v>MGI:3644470</v>
      </c>
      <c r="J6701" s="4" t="s">
        <v>1043</v>
      </c>
    </row>
    <row r="6702" spans="1:10" x14ac:dyDescent="0.25">
      <c r="A6702" s="2">
        <v>153.17381788800299</v>
      </c>
      <c r="B6702" s="3">
        <v>-0.69829599539982401</v>
      </c>
      <c r="C6702" s="5">
        <v>2.5106429787058702E-10</v>
      </c>
      <c r="D6702" s="6">
        <v>1.41335653839794E-9</v>
      </c>
      <c r="E6702" s="3" t="s">
        <v>7024</v>
      </c>
      <c r="F6702" s="3" t="s">
        <v>7025</v>
      </c>
      <c r="G6702" s="3">
        <v>15199</v>
      </c>
      <c r="H6702" s="7" t="str">
        <f>HYPERLINK("http://www.ensembl.org/Mus_musculus/Gene/Summary?db=core;g=ENSMUSG00000042770","ENSMUSG00000042770")</f>
        <v>ENSMUSG00000042770</v>
      </c>
      <c r="I6702" s="7" t="str">
        <f>HYPERLINK("http://www.informatics.jax.org/marker/MGI:1333880","MGI:1333880")</f>
        <v>MGI:1333880</v>
      </c>
      <c r="J6702" s="4" t="s">
        <v>12</v>
      </c>
    </row>
    <row r="6703" spans="1:10" x14ac:dyDescent="0.25">
      <c r="A6703" s="2">
        <v>339.91540366995298</v>
      </c>
      <c r="B6703" s="3">
        <v>-0.69857798267251203</v>
      </c>
      <c r="C6703" s="5">
        <v>2.4726169470347099E-10</v>
      </c>
      <c r="D6703" s="6">
        <v>1.39393957105559E-9</v>
      </c>
      <c r="E6703" s="3" t="s">
        <v>7014</v>
      </c>
      <c r="F6703" s="3" t="s">
        <v>7015</v>
      </c>
      <c r="G6703" s="3">
        <v>193736</v>
      </c>
      <c r="H6703" s="7" t="str">
        <f>HYPERLINK("http://www.ensembl.org/Mus_musculus/Gene/Summary?db=core;g=ENSMUSG00000049823","ENSMUSG00000049823")</f>
        <v>ENSMUSG00000049823</v>
      </c>
      <c r="I6703" s="7" t="str">
        <f>HYPERLINK("http://www.informatics.jax.org/marker/MGI:88133","MGI:88133")</f>
        <v>MGI:88133</v>
      </c>
      <c r="J6703" s="4" t="s">
        <v>12</v>
      </c>
    </row>
    <row r="6704" spans="1:10" x14ac:dyDescent="0.25">
      <c r="A6704" s="2">
        <v>743.86200056534994</v>
      </c>
      <c r="B6704" s="3">
        <v>-0.69884026137910105</v>
      </c>
      <c r="C6704" s="5">
        <v>4.0342310603759004E-6</v>
      </c>
      <c r="D6704" s="6">
        <v>1.57130232096806E-5</v>
      </c>
      <c r="E6704" s="3" t="s">
        <v>10142</v>
      </c>
      <c r="F6704" s="3" t="s">
        <v>10143</v>
      </c>
      <c r="G6704" s="3">
        <v>17533</v>
      </c>
      <c r="H6704" s="7" t="str">
        <f>HYPERLINK("http://www.ensembl.org/Mus_musculus/Gene/Summary?db=core;g=ENSMUSG00000026712","ENSMUSG00000026712")</f>
        <v>ENSMUSG00000026712</v>
      </c>
      <c r="I6704" s="7" t="str">
        <f>HYPERLINK("http://www.informatics.jax.org/marker/MGI:97142","MGI:97142")</f>
        <v>MGI:97142</v>
      </c>
      <c r="J6704" s="4" t="s">
        <v>12</v>
      </c>
    </row>
    <row r="6705" spans="1:10" x14ac:dyDescent="0.25">
      <c r="A6705" s="2">
        <v>277.46822593593203</v>
      </c>
      <c r="B6705" s="3">
        <v>-0.69951329626171999</v>
      </c>
      <c r="C6705" s="5">
        <v>5.6926296879721601E-8</v>
      </c>
      <c r="D6705" s="6">
        <v>2.6320904442394101E-7</v>
      </c>
      <c r="E6705" s="3" t="s">
        <v>8545</v>
      </c>
      <c r="F6705" s="3" t="s">
        <v>8546</v>
      </c>
      <c r="G6705" s="3">
        <v>77832</v>
      </c>
      <c r="H6705" s="7" t="str">
        <f>HYPERLINK("http://www.ensembl.org/Mus_musculus/Gene/Summary?db=core;g=ENSMUSG00000002486","ENSMUSG00000002486")</f>
        <v>ENSMUSG00000002486</v>
      </c>
      <c r="I6705" s="7" t="str">
        <f>HYPERLINK("http://www.informatics.jax.org/marker/MGI:1925082","MGI:1925082")</f>
        <v>MGI:1925082</v>
      </c>
      <c r="J6705" s="4" t="s">
        <v>12</v>
      </c>
    </row>
    <row r="6706" spans="1:10" x14ac:dyDescent="0.25">
      <c r="A6706" s="2">
        <v>1565.8534900695499</v>
      </c>
      <c r="B6706" s="3">
        <v>-0.700091531074851</v>
      </c>
      <c r="C6706" s="5">
        <v>1.00628638105569E-26</v>
      </c>
      <c r="D6706" s="6">
        <v>1.3141700287694101E-25</v>
      </c>
      <c r="E6706" s="3" t="s">
        <v>3038</v>
      </c>
      <c r="F6706" s="3" t="s">
        <v>3039</v>
      </c>
      <c r="G6706" s="3">
        <v>238505</v>
      </c>
      <c r="H6706" s="7" t="str">
        <f>HYPERLINK("http://www.ensembl.org/Mus_musculus/Gene/Summary?db=core;g=ENSMUSG00000021311","ENSMUSG00000021311")</f>
        <v>ENSMUSG00000021311</v>
      </c>
      <c r="I6706" s="7" t="str">
        <f>HYPERLINK("http://www.informatics.jax.org/marker/MGI:894292","MGI:894292")</f>
        <v>MGI:894292</v>
      </c>
      <c r="J6706" s="4" t="s">
        <v>12</v>
      </c>
    </row>
    <row r="6707" spans="1:10" x14ac:dyDescent="0.25">
      <c r="A6707" s="2">
        <v>495.68159851358803</v>
      </c>
      <c r="B6707" s="3">
        <v>-0.70037450540870805</v>
      </c>
      <c r="C6707" s="5">
        <v>4.0224812987312402E-12</v>
      </c>
      <c r="D6707" s="6">
        <v>2.5979933677588799E-11</v>
      </c>
      <c r="E6707" s="3" t="s">
        <v>6123</v>
      </c>
      <c r="F6707" s="3" t="s">
        <v>6124</v>
      </c>
      <c r="G6707" s="3">
        <v>102334</v>
      </c>
      <c r="H6707" s="7" t="str">
        <f>HYPERLINK("http://www.ensembl.org/Mus_musculus/Gene/Summary?db=core;g=ENSMUSG00000031508","ENSMUSG00000031508")</f>
        <v>ENSMUSG00000031508</v>
      </c>
      <c r="I6707" s="7" t="str">
        <f>HYPERLINK("http://www.informatics.jax.org/marker/MGI:1921840","MGI:1921840")</f>
        <v>MGI:1921840</v>
      </c>
      <c r="J6707" s="4" t="s">
        <v>12</v>
      </c>
    </row>
    <row r="6708" spans="1:10" x14ac:dyDescent="0.25">
      <c r="A6708" s="2">
        <v>3235.98575585259</v>
      </c>
      <c r="B6708" s="3">
        <v>-0.70046017562829399</v>
      </c>
      <c r="C6708" s="5">
        <v>2.4425317945955999E-41</v>
      </c>
      <c r="D6708" s="6">
        <v>5.13504552126069E-40</v>
      </c>
      <c r="E6708" s="3" t="s">
        <v>1893</v>
      </c>
      <c r="F6708" s="3" t="s">
        <v>1894</v>
      </c>
      <c r="G6708" s="3">
        <v>14886</v>
      </c>
      <c r="H6708" s="7" t="str">
        <f>HYPERLINK("http://www.ensembl.org/Mus_musculus/Gene/Summary?db=core;g=ENSMUSG00000060261","ENSMUSG00000060261")</f>
        <v>ENSMUSG00000060261</v>
      </c>
      <c r="I6708" s="7" t="str">
        <f>HYPERLINK("http://www.informatics.jax.org/marker/MGI:1202722","MGI:1202722")</f>
        <v>MGI:1202722</v>
      </c>
      <c r="J6708" s="4" t="s">
        <v>12</v>
      </c>
    </row>
    <row r="6709" spans="1:10" x14ac:dyDescent="0.25">
      <c r="A6709" s="2">
        <v>220.89668783872801</v>
      </c>
      <c r="B6709" s="3">
        <v>-0.70047519898811506</v>
      </c>
      <c r="C6709" s="5">
        <v>1.6263284618152E-9</v>
      </c>
      <c r="D6709" s="6">
        <v>8.5728942173204402E-9</v>
      </c>
      <c r="E6709" s="3" t="s">
        <v>7500</v>
      </c>
      <c r="F6709" s="3" t="s">
        <v>7501</v>
      </c>
      <c r="G6709" s="3">
        <v>98170</v>
      </c>
      <c r="H6709" s="7" t="str">
        <f>HYPERLINK("http://www.ensembl.org/Mus_musculus/Gene/Summary?db=core;g=ENSMUSG00000024736","ENSMUSG00000024736")</f>
        <v>ENSMUSG00000024736</v>
      </c>
      <c r="I6709" s="7" t="str">
        <f>HYPERLINK("http://www.informatics.jax.org/marker/MGI:2147810","MGI:2147810")</f>
        <v>MGI:2147810</v>
      </c>
      <c r="J6709" s="4" t="s">
        <v>12</v>
      </c>
    </row>
    <row r="6710" spans="1:10" x14ac:dyDescent="0.25">
      <c r="A6710" s="2">
        <v>448.93321076429299</v>
      </c>
      <c r="B6710" s="3">
        <v>-0.70075928209258997</v>
      </c>
      <c r="C6710" s="5">
        <v>5.7188446599182797E-22</v>
      </c>
      <c r="D6710" s="6">
        <v>6.17948584622402E-21</v>
      </c>
      <c r="E6710" s="3" t="s">
        <v>3668</v>
      </c>
      <c r="F6710" s="3" t="s">
        <v>3669</v>
      </c>
      <c r="G6710" s="3">
        <v>67487</v>
      </c>
      <c r="H6710" s="7" t="str">
        <f>HYPERLINK("http://www.ensembl.org/Mus_musculus/Gene/Summary?db=core;g=ENSMUSG00000018425","ENSMUSG00000018425")</f>
        <v>ENSMUSG00000018425</v>
      </c>
      <c r="I6710" s="7" t="str">
        <f>HYPERLINK("http://www.informatics.jax.org/marker/MGI:1914737","MGI:1914737")</f>
        <v>MGI:1914737</v>
      </c>
      <c r="J6710" s="4" t="s">
        <v>12</v>
      </c>
    </row>
    <row r="6711" spans="1:10" x14ac:dyDescent="0.25">
      <c r="A6711" s="2">
        <v>17.427783011559502</v>
      </c>
      <c r="B6711" s="3">
        <v>-0.70118373476363605</v>
      </c>
      <c r="C6711" s="3">
        <v>1.90426687323802E-2</v>
      </c>
      <c r="D6711" s="4">
        <v>4.4641158749707401E-2</v>
      </c>
      <c r="E6711" s="3" t="s">
        <v>16828</v>
      </c>
      <c r="F6711" s="3" t="s">
        <v>16829</v>
      </c>
      <c r="G6711" s="3">
        <v>19881</v>
      </c>
      <c r="H6711" s="7" t="str">
        <f>HYPERLINK("http://www.ensembl.org/Mus_musculus/Gene/Summary?db=core;g=ENSMUSG00000071648","ENSMUSG00000071648")</f>
        <v>ENSMUSG00000071648</v>
      </c>
      <c r="I6711" s="7" t="str">
        <f>HYPERLINK("http://www.informatics.jax.org/marker/MGI:97998","MGI:97998")</f>
        <v>MGI:97998</v>
      </c>
      <c r="J6711" s="4" t="s">
        <v>12</v>
      </c>
    </row>
    <row r="6712" spans="1:10" x14ac:dyDescent="0.25">
      <c r="A6712" s="2">
        <v>188.67721656517401</v>
      </c>
      <c r="B6712" s="3">
        <v>-0.70143446464557302</v>
      </c>
      <c r="C6712" s="5">
        <v>4.2126887709521501E-12</v>
      </c>
      <c r="D6712" s="6">
        <v>2.7157313685248901E-11</v>
      </c>
      <c r="E6712" s="3" t="s">
        <v>6135</v>
      </c>
      <c r="F6712" s="3" t="s">
        <v>6136</v>
      </c>
      <c r="G6712" s="3">
        <v>70551</v>
      </c>
      <c r="H6712" s="7" t="str">
        <f>HYPERLINK("http://www.ensembl.org/Mus_musculus/Gene/Summary?db=core;g=ENSMUSG00000041594","ENSMUSG00000041594")</f>
        <v>ENSMUSG00000041594</v>
      </c>
      <c r="I6712" s="7" t="str">
        <f>HYPERLINK("http://www.informatics.jax.org/marker/MGI:1921050","MGI:1921050")</f>
        <v>MGI:1921050</v>
      </c>
      <c r="J6712" s="4" t="s">
        <v>12</v>
      </c>
    </row>
    <row r="6713" spans="1:10" x14ac:dyDescent="0.25">
      <c r="A6713" s="2">
        <v>600.27265487841703</v>
      </c>
      <c r="B6713" s="3">
        <v>-0.70155731153757905</v>
      </c>
      <c r="C6713" s="5">
        <v>1.4977013918327299E-25</v>
      </c>
      <c r="D6713" s="6">
        <v>1.8692830029709801E-24</v>
      </c>
      <c r="E6713" s="3" t="s">
        <v>3179</v>
      </c>
      <c r="F6713" s="3" t="s">
        <v>3180</v>
      </c>
      <c r="G6713" s="3">
        <v>68646</v>
      </c>
      <c r="H6713" s="7" t="str">
        <f>HYPERLINK("http://www.ensembl.org/Mus_musculus/Gene/Summary?db=core;g=ENSMUSG00000022253","ENSMUSG00000022253")</f>
        <v>ENSMUSG00000022253</v>
      </c>
      <c r="I6713" s="7" t="str">
        <f>HYPERLINK("http://www.informatics.jax.org/marker/MGI:1915896","MGI:1915896")</f>
        <v>MGI:1915896</v>
      </c>
      <c r="J6713" s="4" t="s">
        <v>12</v>
      </c>
    </row>
    <row r="6714" spans="1:10" x14ac:dyDescent="0.25">
      <c r="A6714" s="2">
        <v>160.37609996406201</v>
      </c>
      <c r="B6714" s="3">
        <v>-0.70178893703510703</v>
      </c>
      <c r="C6714" s="5">
        <v>3.5313158881788999E-10</v>
      </c>
      <c r="D6714" s="6">
        <v>1.9632802175045901E-9</v>
      </c>
      <c r="E6714" s="3" t="s">
        <v>7112</v>
      </c>
      <c r="F6714" s="3" t="s">
        <v>7113</v>
      </c>
      <c r="G6714" s="3">
        <v>71923</v>
      </c>
      <c r="H6714" s="7" t="str">
        <f>HYPERLINK("http://www.ensembl.org/Mus_musculus/Gene/Summary?db=core;g=ENSMUSG00000045176","ENSMUSG00000045176")</f>
        <v>ENSMUSG00000045176</v>
      </c>
      <c r="I6714" s="7" t="str">
        <f>HYPERLINK("http://www.informatics.jax.org/marker/MGI:1919173","MGI:1919173")</f>
        <v>MGI:1919173</v>
      </c>
      <c r="J6714" s="4" t="s">
        <v>12</v>
      </c>
    </row>
    <row r="6715" spans="1:10" x14ac:dyDescent="0.25">
      <c r="A6715" s="2">
        <v>702.13502371484606</v>
      </c>
      <c r="B6715" s="3">
        <v>-0.70204445541053295</v>
      </c>
      <c r="C6715" s="5">
        <v>1.3939265032222501E-28</v>
      </c>
      <c r="D6715" s="6">
        <v>1.9495199037973498E-27</v>
      </c>
      <c r="E6715" s="3" t="s">
        <v>2836</v>
      </c>
      <c r="F6715" s="3" t="s">
        <v>2837</v>
      </c>
      <c r="G6715" s="3">
        <v>234384</v>
      </c>
      <c r="H6715" s="7" t="str">
        <f>HYPERLINK("http://www.ensembl.org/Mus_musculus/Gene/Summary?db=core;g=ENSMUSG00000035559","ENSMUSG00000035559")</f>
        <v>ENSMUSG00000035559</v>
      </c>
      <c r="I6715" s="7" t="str">
        <f>HYPERLINK("http://www.informatics.jax.org/marker/MGI:2681846","MGI:2681846")</f>
        <v>MGI:2681846</v>
      </c>
      <c r="J6715" s="4" t="s">
        <v>12</v>
      </c>
    </row>
    <row r="6716" spans="1:10" x14ac:dyDescent="0.25">
      <c r="A6716" s="2">
        <v>991.82604977580002</v>
      </c>
      <c r="B6716" s="3">
        <v>-0.70259458255455898</v>
      </c>
      <c r="C6716" s="5">
        <v>3.1910244326387301E-40</v>
      </c>
      <c r="D6716" s="6">
        <v>6.54807511047198E-39</v>
      </c>
      <c r="E6716" s="3" t="s">
        <v>1939</v>
      </c>
      <c r="F6716" s="3" t="s">
        <v>1940</v>
      </c>
      <c r="G6716" s="3">
        <v>77219</v>
      </c>
      <c r="H6716" s="7" t="str">
        <f>HYPERLINK("http://www.ensembl.org/Mus_musculus/Gene/Summary?db=core;g=ENSMUSG00000072946","ENSMUSG00000072946")</f>
        <v>ENSMUSG00000072946</v>
      </c>
      <c r="I6716" s="7" t="str">
        <f>HYPERLINK("http://www.informatics.jax.org/marker/MGI:1916372","MGI:1916372")</f>
        <v>MGI:1916372</v>
      </c>
      <c r="J6716" s="4" t="s">
        <v>12</v>
      </c>
    </row>
    <row r="6717" spans="1:10" x14ac:dyDescent="0.25">
      <c r="A6717" s="2">
        <v>295.67716626871299</v>
      </c>
      <c r="B6717" s="3">
        <v>-0.70282458901158795</v>
      </c>
      <c r="C6717" s="5">
        <v>4.4806755521637897E-17</v>
      </c>
      <c r="D6717" s="6">
        <v>3.8333588671874099E-16</v>
      </c>
      <c r="E6717" s="3" t="s">
        <v>4627</v>
      </c>
      <c r="F6717" s="3" t="s">
        <v>4628</v>
      </c>
      <c r="G6717" s="3">
        <v>73694</v>
      </c>
      <c r="H6717" s="7" t="str">
        <f>HYPERLINK("http://www.ensembl.org/Mus_musculus/Gene/Summary?db=core;g=ENSMUSG00000024082","ENSMUSG00000024082")</f>
        <v>ENSMUSG00000024082</v>
      </c>
      <c r="I6717" s="7" t="str">
        <f>HYPERLINK("http://www.informatics.jax.org/marker/MGI:1920944","MGI:1920944")</f>
        <v>MGI:1920944</v>
      </c>
      <c r="J6717" s="4" t="s">
        <v>12</v>
      </c>
    </row>
    <row r="6718" spans="1:10" x14ac:dyDescent="0.25">
      <c r="A6718" s="2">
        <v>70.256966580401496</v>
      </c>
      <c r="B6718" s="3">
        <v>-0.70355931299552998</v>
      </c>
      <c r="C6718" s="5">
        <v>2.9541491585807601E-6</v>
      </c>
      <c r="D6718" s="6">
        <v>1.1669836019073E-5</v>
      </c>
      <c r="E6718" s="3" t="s">
        <v>10000</v>
      </c>
      <c r="F6718" s="3" t="s">
        <v>10001</v>
      </c>
      <c r="G6718" s="3">
        <v>66268</v>
      </c>
      <c r="H6718" s="7" t="str">
        <f>HYPERLINK("http://www.ensembl.org/Mus_musculus/Gene/Summary?db=core;g=ENSMUSG00000010607","ENSMUSG00000010607")</f>
        <v>ENSMUSG00000010607</v>
      </c>
      <c r="I6718" s="7" t="str">
        <f>HYPERLINK("http://www.informatics.jax.org/marker/MGI:1913518","MGI:1913518")</f>
        <v>MGI:1913518</v>
      </c>
      <c r="J6718" s="4" t="s">
        <v>12</v>
      </c>
    </row>
    <row r="6719" spans="1:10" x14ac:dyDescent="0.25">
      <c r="A6719" s="2">
        <v>46.616289884680697</v>
      </c>
      <c r="B6719" s="3">
        <v>-0.70391233164840294</v>
      </c>
      <c r="C6719" s="3">
        <v>6.3074222079313302E-3</v>
      </c>
      <c r="D6719" s="4">
        <v>1.6325287562725499E-2</v>
      </c>
      <c r="E6719" s="3" t="s">
        <v>15243</v>
      </c>
      <c r="F6719" s="3" t="s">
        <v>15244</v>
      </c>
      <c r="G6719" s="3" t="s">
        <v>83</v>
      </c>
      <c r="H6719" s="7" t="str">
        <f>HYPERLINK("http://www.ensembl.org/Mus_musculus/Gene/Summary?db=core;g=ENSMUSG00000102224","ENSMUSG00000102224")</f>
        <v>ENSMUSG00000102224</v>
      </c>
      <c r="I6719" s="7" t="str">
        <f>HYPERLINK("http://www.informatics.jax.org/marker/MGI:1924123","MGI:1924123")</f>
        <v>MGI:1924123</v>
      </c>
      <c r="J6719" s="4" t="s">
        <v>331</v>
      </c>
    </row>
    <row r="6720" spans="1:10" x14ac:dyDescent="0.25">
      <c r="A6720" s="2">
        <v>44.532141136208502</v>
      </c>
      <c r="B6720" s="3">
        <v>-0.70391929726821101</v>
      </c>
      <c r="C6720" s="3">
        <v>2.4581898067491201E-3</v>
      </c>
      <c r="D6720" s="4">
        <v>6.8429563790362398E-3</v>
      </c>
      <c r="E6720" s="3" t="s">
        <v>14175</v>
      </c>
      <c r="F6720" s="3" t="s">
        <v>14176</v>
      </c>
      <c r="G6720" s="3">
        <v>66264</v>
      </c>
      <c r="H6720" s="7" t="str">
        <f>HYPERLINK("http://www.ensembl.org/Mus_musculus/Gene/Summary?db=core;g=ENSMUSG00000028795","ENSMUSG00000028795")</f>
        <v>ENSMUSG00000028795</v>
      </c>
      <c r="I6720" s="7" t="str">
        <f>HYPERLINK("http://www.informatics.jax.org/marker/MGI:1913514","MGI:1913514")</f>
        <v>MGI:1913514</v>
      </c>
      <c r="J6720" s="4" t="s">
        <v>12</v>
      </c>
    </row>
    <row r="6721" spans="1:10" x14ac:dyDescent="0.25">
      <c r="A6721" s="2">
        <v>34.998717241567398</v>
      </c>
      <c r="B6721" s="3">
        <v>-0.70399392961113905</v>
      </c>
      <c r="C6721" s="3">
        <v>1.8964268913708001E-4</v>
      </c>
      <c r="D6721" s="4">
        <v>6.1681573969704997E-4</v>
      </c>
      <c r="E6721" s="3" t="s">
        <v>12137</v>
      </c>
      <c r="F6721" s="3" t="s">
        <v>12138</v>
      </c>
      <c r="G6721" s="3">
        <v>216858</v>
      </c>
      <c r="H6721" s="7" t="str">
        <f>HYPERLINK("http://www.ensembl.org/Mus_musculus/Gene/Summary?db=core;g=ENSMUSG00000046731","ENSMUSG00000046731")</f>
        <v>ENSMUSG00000046731</v>
      </c>
      <c r="I6721" s="7" t="str">
        <f>HYPERLINK("http://www.informatics.jax.org/marker/MGI:2448712","MGI:2448712")</f>
        <v>MGI:2448712</v>
      </c>
      <c r="J6721" s="4" t="s">
        <v>12</v>
      </c>
    </row>
    <row r="6722" spans="1:10" x14ac:dyDescent="0.25">
      <c r="A6722" s="2">
        <v>3534.8332291711699</v>
      </c>
      <c r="B6722" s="3">
        <v>-0.70461755373492296</v>
      </c>
      <c r="C6722" s="5">
        <v>1.0742920903967101E-75</v>
      </c>
      <c r="D6722" s="6">
        <v>5.5458219954511003E-74</v>
      </c>
      <c r="E6722" s="3" t="s">
        <v>776</v>
      </c>
      <c r="F6722" s="3" t="s">
        <v>777</v>
      </c>
      <c r="G6722" s="3">
        <v>117198</v>
      </c>
      <c r="H6722" s="7" t="str">
        <f>HYPERLINK("http://www.ensembl.org/Mus_musculus/Gene/Summary?db=core;g=ENSMUSG00000023150","ENSMUSG00000023150")</f>
        <v>ENSMUSG00000023150</v>
      </c>
      <c r="I6722" s="7" t="str">
        <f>HYPERLINK("http://www.informatics.jax.org/marker/MGI:2152389","MGI:2152389")</f>
        <v>MGI:2152389</v>
      </c>
      <c r="J6722" s="4" t="s">
        <v>12</v>
      </c>
    </row>
    <row r="6723" spans="1:10" x14ac:dyDescent="0.25">
      <c r="A6723" s="2">
        <v>89.731108701727393</v>
      </c>
      <c r="B6723" s="3">
        <v>-0.70576890436950501</v>
      </c>
      <c r="C6723" s="5">
        <v>4.5269680484380898E-8</v>
      </c>
      <c r="D6723" s="6">
        <v>2.1074553804343499E-7</v>
      </c>
      <c r="E6723" s="3" t="s">
        <v>8489</v>
      </c>
      <c r="F6723" s="3" t="s">
        <v>8490</v>
      </c>
      <c r="G6723" s="3">
        <v>12905</v>
      </c>
      <c r="H6723" s="7" t="str">
        <f>HYPERLINK("http://www.ensembl.org/Mus_musculus/Gene/Summary?db=core;g=ENSMUSG00000045867","ENSMUSG00000045867")</f>
        <v>ENSMUSG00000045867</v>
      </c>
      <c r="I6723" s="7" t="str">
        <f>HYPERLINK("http://www.informatics.jax.org/marker/MGI:1336168","MGI:1336168")</f>
        <v>MGI:1336168</v>
      </c>
      <c r="J6723" s="4" t="s">
        <v>12</v>
      </c>
    </row>
    <row r="6724" spans="1:10" x14ac:dyDescent="0.25">
      <c r="A6724" s="2">
        <v>67.489536670484497</v>
      </c>
      <c r="B6724" s="3">
        <v>-0.70608751761163502</v>
      </c>
      <c r="C6724" s="5">
        <v>3.8891447149483304E-6</v>
      </c>
      <c r="D6724" s="6">
        <v>1.5180905340217899E-5</v>
      </c>
      <c r="E6724" s="3" t="s">
        <v>10120</v>
      </c>
      <c r="F6724" s="3" t="s">
        <v>10121</v>
      </c>
      <c r="G6724" s="3">
        <v>217716</v>
      </c>
      <c r="H6724" s="7" t="str">
        <f>HYPERLINK("http://www.ensembl.org/Mus_musculus/Gene/Summary?db=core;g=ENSMUSG00000021245","ENSMUSG00000021245")</f>
        <v>ENSMUSG00000021245</v>
      </c>
      <c r="I6724" s="7" t="str">
        <f>HYPERLINK("http://www.informatics.jax.org/marker/MGI:1353455","MGI:1353455")</f>
        <v>MGI:1353455</v>
      </c>
      <c r="J6724" s="4" t="s">
        <v>12</v>
      </c>
    </row>
    <row r="6725" spans="1:10" x14ac:dyDescent="0.25">
      <c r="A6725" s="2">
        <v>374.21439928854397</v>
      </c>
      <c r="B6725" s="3">
        <v>-0.70681569260746202</v>
      </c>
      <c r="C6725" s="5">
        <v>3.7141752788656899E-9</v>
      </c>
      <c r="D6725" s="6">
        <v>1.90341830819209E-8</v>
      </c>
      <c r="E6725" s="3" t="s">
        <v>7712</v>
      </c>
      <c r="F6725" s="3" t="s">
        <v>7713</v>
      </c>
      <c r="G6725" s="3">
        <v>28010</v>
      </c>
      <c r="H6725" s="7" t="str">
        <f>HYPERLINK("http://www.ensembl.org/Mus_musculus/Gene/Summary?db=core;g=ENSMUSG00000029022","ENSMUSG00000029022")</f>
        <v>ENSMUSG00000029022</v>
      </c>
      <c r="I6725" s="7" t="str">
        <f>HYPERLINK("http://www.informatics.jax.org/marker/MGI:106506","MGI:106506")</f>
        <v>MGI:106506</v>
      </c>
      <c r="J6725" s="4" t="s">
        <v>12</v>
      </c>
    </row>
    <row r="6726" spans="1:10" x14ac:dyDescent="0.25">
      <c r="A6726" s="2">
        <v>193.06570742806201</v>
      </c>
      <c r="B6726" s="3">
        <v>-0.70716733272076004</v>
      </c>
      <c r="C6726" s="5">
        <v>1.1518646160873E-10</v>
      </c>
      <c r="D6726" s="6">
        <v>6.67100447261134E-10</v>
      </c>
      <c r="E6726" s="3" t="s">
        <v>6828</v>
      </c>
      <c r="F6726" s="3" t="s">
        <v>6829</v>
      </c>
      <c r="G6726" s="3">
        <v>71886</v>
      </c>
      <c r="H6726" s="7" t="str">
        <f>HYPERLINK("http://www.ensembl.org/Mus_musculus/Gene/Summary?db=core;g=ENSMUSG00000028396","ENSMUSG00000028396")</f>
        <v>ENSMUSG00000028396</v>
      </c>
      <c r="I6726" s="7" t="str">
        <f>HYPERLINK("http://www.informatics.jax.org/marker/MGI:1916780","MGI:1916780")</f>
        <v>MGI:1916780</v>
      </c>
      <c r="J6726" s="4" t="s">
        <v>12</v>
      </c>
    </row>
    <row r="6727" spans="1:10" x14ac:dyDescent="0.25">
      <c r="A6727" s="2">
        <v>81.964689301182901</v>
      </c>
      <c r="B6727" s="3">
        <v>-0.70720274219252499</v>
      </c>
      <c r="C6727" s="5">
        <v>9.0024295052234396E-7</v>
      </c>
      <c r="D6727" s="6">
        <v>3.7397916545819698E-6</v>
      </c>
      <c r="E6727" s="3" t="s">
        <v>9509</v>
      </c>
      <c r="F6727" s="3" t="s">
        <v>9510</v>
      </c>
      <c r="G6727" s="3">
        <v>29861</v>
      </c>
      <c r="H6727" s="7" t="str">
        <f>HYPERLINK("http://www.ensembl.org/Mus_musculus/Gene/Summary?db=core;g=ENSMUSG00000030584","ENSMUSG00000030584")</f>
        <v>ENSMUSG00000030584</v>
      </c>
      <c r="I6727" s="7" t="str">
        <f>HYPERLINK("http://www.informatics.jax.org/marker/MGI:1352748","MGI:1352748")</f>
        <v>MGI:1352748</v>
      </c>
      <c r="J6727" s="4" t="s">
        <v>12</v>
      </c>
    </row>
    <row r="6728" spans="1:10" x14ac:dyDescent="0.25">
      <c r="A6728" s="2">
        <v>23.008476573143099</v>
      </c>
      <c r="B6728" s="3">
        <v>-0.70722081872150899</v>
      </c>
      <c r="C6728" s="3">
        <v>2.0306835757661901E-3</v>
      </c>
      <c r="D6728" s="4">
        <v>5.7289098875692801E-3</v>
      </c>
      <c r="E6728" s="3" t="s">
        <v>13987</v>
      </c>
      <c r="F6728" s="3" t="s">
        <v>13988</v>
      </c>
      <c r="G6728" s="3">
        <v>96957</v>
      </c>
      <c r="H6728" s="7" t="str">
        <f>HYPERLINK("http://www.ensembl.org/Mus_musculus/Gene/Summary?db=core;g=ENSMUSG00000054484","ENSMUSG00000054484")</f>
        <v>ENSMUSG00000054484</v>
      </c>
      <c r="I6728" s="7" t="str">
        <f>HYPERLINK("http://www.informatics.jax.org/marker/MGI:2139461","MGI:2139461")</f>
        <v>MGI:2139461</v>
      </c>
      <c r="J6728" s="4" t="s">
        <v>12</v>
      </c>
    </row>
    <row r="6729" spans="1:10" x14ac:dyDescent="0.25">
      <c r="A6729" s="2">
        <v>755.33827832126701</v>
      </c>
      <c r="B6729" s="3">
        <v>-0.70744541057113697</v>
      </c>
      <c r="C6729" s="5">
        <v>3.4818856764155502E-7</v>
      </c>
      <c r="D6729" s="6">
        <v>1.5090722096464801E-6</v>
      </c>
      <c r="E6729" s="3" t="s">
        <v>9115</v>
      </c>
      <c r="F6729" s="3" t="s">
        <v>9116</v>
      </c>
      <c r="G6729" s="3">
        <v>99011</v>
      </c>
      <c r="H6729" s="7" t="str">
        <f>HYPERLINK("http://www.ensembl.org/Mus_musculus/Gene/Summary?db=core;g=ENSMUSG00000039254","ENSMUSG00000039254")</f>
        <v>ENSMUSG00000039254</v>
      </c>
      <c r="I6729" s="7" t="str">
        <f>HYPERLINK("http://www.informatics.jax.org/marker/MGI:2138994","MGI:2138994")</f>
        <v>MGI:2138994</v>
      </c>
      <c r="J6729" s="4" t="s">
        <v>12</v>
      </c>
    </row>
    <row r="6730" spans="1:10" x14ac:dyDescent="0.25">
      <c r="A6730" s="2">
        <v>2146.1531352597599</v>
      </c>
      <c r="B6730" s="3">
        <v>-0.707859121199095</v>
      </c>
      <c r="C6730" s="5">
        <v>1.6590114987849899E-17</v>
      </c>
      <c r="D6730" s="6">
        <v>1.4585691821685201E-16</v>
      </c>
      <c r="E6730" s="3" t="s">
        <v>4503</v>
      </c>
      <c r="F6730" s="3" t="s">
        <v>4504</v>
      </c>
      <c r="G6730" s="3">
        <v>17916</v>
      </c>
      <c r="H6730" s="7" t="str">
        <f>HYPERLINK("http://www.ensembl.org/Mus_musculus/Gene/Summary?db=core;g=ENSMUSG00000024300","ENSMUSG00000024300")</f>
        <v>ENSMUSG00000024300</v>
      </c>
      <c r="I6730" s="7" t="str">
        <f>HYPERLINK("http://www.informatics.jax.org/marker/MGI:107711","MGI:107711")</f>
        <v>MGI:107711</v>
      </c>
      <c r="J6730" s="4" t="s">
        <v>12</v>
      </c>
    </row>
    <row r="6731" spans="1:10" x14ac:dyDescent="0.25">
      <c r="A6731" s="2">
        <v>559.19670662362</v>
      </c>
      <c r="B6731" s="3">
        <v>-0.70820635438346502</v>
      </c>
      <c r="C6731" s="5">
        <v>2.2169987811084599E-8</v>
      </c>
      <c r="D6731" s="6">
        <v>1.06502353138755E-7</v>
      </c>
      <c r="E6731" s="3" t="s">
        <v>8227</v>
      </c>
      <c r="F6731" s="3" t="s">
        <v>8228</v>
      </c>
      <c r="G6731" s="3">
        <v>22137</v>
      </c>
      <c r="H6731" s="7" t="str">
        <f>HYPERLINK("http://www.ensembl.org/Mus_musculus/Gene/Summary?db=core;g=ENSMUSG00000038379","ENSMUSG00000038379")</f>
        <v>ENSMUSG00000038379</v>
      </c>
      <c r="I6731" s="7" t="str">
        <f>HYPERLINK("http://www.informatics.jax.org/marker/MGI:1194921","MGI:1194921")</f>
        <v>MGI:1194921</v>
      </c>
      <c r="J6731" s="4" t="s">
        <v>12</v>
      </c>
    </row>
    <row r="6732" spans="1:10" x14ac:dyDescent="0.25">
      <c r="A6732" s="2">
        <v>83.9997528007585</v>
      </c>
      <c r="B6732" s="3">
        <v>-0.70868859055357203</v>
      </c>
      <c r="C6732" s="5">
        <v>3.10231690849281E-6</v>
      </c>
      <c r="D6732" s="6">
        <v>1.22257572812706E-5</v>
      </c>
      <c r="E6732" s="3" t="s">
        <v>10024</v>
      </c>
      <c r="F6732" s="3" t="s">
        <v>10025</v>
      </c>
      <c r="G6732" s="3">
        <v>217140</v>
      </c>
      <c r="H6732" s="7" t="str">
        <f>HYPERLINK("http://www.ensembl.org/Mus_musculus/Gene/Summary?db=core;g=ENSMUSG00000020877","ENSMUSG00000020877")</f>
        <v>ENSMUSG00000020877</v>
      </c>
      <c r="I6732" s="7" t="str">
        <f>HYPERLINK("http://www.informatics.jax.org/marker/MGI:1343092","MGI:1343092")</f>
        <v>MGI:1343092</v>
      </c>
      <c r="J6732" s="4" t="s">
        <v>12</v>
      </c>
    </row>
    <row r="6733" spans="1:10" x14ac:dyDescent="0.25">
      <c r="A6733" s="2">
        <v>562.92324319226896</v>
      </c>
      <c r="B6733" s="3">
        <v>-0.70983771645590699</v>
      </c>
      <c r="C6733" s="5">
        <v>5.6119258808147197E-14</v>
      </c>
      <c r="D6733" s="6">
        <v>4.0552282290093901E-13</v>
      </c>
      <c r="E6733" s="3" t="s">
        <v>5475</v>
      </c>
      <c r="F6733" s="3" t="s">
        <v>5476</v>
      </c>
      <c r="G6733" s="3">
        <v>12499</v>
      </c>
      <c r="H6733" s="7" t="str">
        <f>HYPERLINK("http://www.ensembl.org/Mus_musculus/Gene/Summary?db=core;g=ENSMUSG00000021236","ENSMUSG00000021236")</f>
        <v>ENSMUSG00000021236</v>
      </c>
      <c r="I6733" s="7" t="str">
        <f>HYPERLINK("http://www.informatics.jax.org/marker/MGI:1321385","MGI:1321385")</f>
        <v>MGI:1321385</v>
      </c>
      <c r="J6733" s="4" t="s">
        <v>12</v>
      </c>
    </row>
    <row r="6734" spans="1:10" x14ac:dyDescent="0.25">
      <c r="A6734" s="2">
        <v>291.525431743024</v>
      </c>
      <c r="B6734" s="3">
        <v>-0.71024544675024304</v>
      </c>
      <c r="C6734" s="5">
        <v>2.9341844048570002E-13</v>
      </c>
      <c r="D6734" s="6">
        <v>2.0338178018903301E-12</v>
      </c>
      <c r="E6734" s="3" t="s">
        <v>5707</v>
      </c>
      <c r="F6734" s="3" t="s">
        <v>5708</v>
      </c>
      <c r="G6734" s="3">
        <v>101565</v>
      </c>
      <c r="H6734" s="7" t="str">
        <f>HYPERLINK("http://www.ensembl.org/Mus_musculus/Gene/Summary?db=core;g=ENSMUSG00000033904","ENSMUSG00000033904")</f>
        <v>ENSMUSG00000033904</v>
      </c>
      <c r="I6734" s="7" t="str">
        <f>HYPERLINK("http://www.informatics.jax.org/marker/MGI:2141942","MGI:2141942")</f>
        <v>MGI:2141942</v>
      </c>
      <c r="J6734" s="4" t="s">
        <v>12</v>
      </c>
    </row>
    <row r="6735" spans="1:10" x14ac:dyDescent="0.25">
      <c r="A6735" s="2">
        <v>1137.2212091874701</v>
      </c>
      <c r="B6735" s="3">
        <v>-0.71038905695987697</v>
      </c>
      <c r="C6735" s="5">
        <v>1.5592519978157999E-38</v>
      </c>
      <c r="D6735" s="6">
        <v>3.0145538624438901E-37</v>
      </c>
      <c r="E6735" s="3" t="s">
        <v>2057</v>
      </c>
      <c r="F6735" s="3" t="s">
        <v>2058</v>
      </c>
      <c r="G6735" s="3">
        <v>18747</v>
      </c>
      <c r="H6735" s="7" t="str">
        <f>HYPERLINK("http://www.ensembl.org/Mus_musculus/Gene/Summary?db=core;g=ENSMUSG00000005469","ENSMUSG00000005469")</f>
        <v>ENSMUSG00000005469</v>
      </c>
      <c r="I6735" s="7" t="str">
        <f>HYPERLINK("http://www.informatics.jax.org/marker/MGI:97592","MGI:97592")</f>
        <v>MGI:97592</v>
      </c>
      <c r="J6735" s="4" t="s">
        <v>12</v>
      </c>
    </row>
    <row r="6736" spans="1:10" x14ac:dyDescent="0.25">
      <c r="A6736" s="2">
        <v>877.82551768272401</v>
      </c>
      <c r="B6736" s="3">
        <v>-0.71072437548542</v>
      </c>
      <c r="C6736" s="5">
        <v>5.41766281937045E-16</v>
      </c>
      <c r="D6736" s="6">
        <v>4.3677968437442899E-15</v>
      </c>
      <c r="E6736" s="3" t="s">
        <v>4909</v>
      </c>
      <c r="F6736" s="3" t="s">
        <v>4910</v>
      </c>
      <c r="G6736" s="3">
        <v>11690</v>
      </c>
      <c r="H6736" s="7" t="str">
        <f>HYPERLINK("http://www.ensembl.org/Mus_musculus/Gene/Summary?db=core;g=ENSMUSG00000060063","ENSMUSG00000060063")</f>
        <v>ENSMUSG00000060063</v>
      </c>
      <c r="I6736" s="7" t="str">
        <f>HYPERLINK("http://www.informatics.jax.org/marker/MGI:107505","MGI:107505")</f>
        <v>MGI:107505</v>
      </c>
      <c r="J6736" s="4" t="s">
        <v>12</v>
      </c>
    </row>
    <row r="6737" spans="1:10" x14ac:dyDescent="0.25">
      <c r="A6737" s="2">
        <v>14.715415847029201</v>
      </c>
      <c r="B6737" s="3">
        <v>-0.71127023902937203</v>
      </c>
      <c r="C6737" s="3">
        <v>1.62121910171939E-2</v>
      </c>
      <c r="D6737" s="4">
        <v>3.8607195829640499E-2</v>
      </c>
      <c r="E6737" s="3" t="s">
        <v>16564</v>
      </c>
      <c r="F6737" s="3" t="s">
        <v>16565</v>
      </c>
      <c r="G6737" s="3" t="s">
        <v>83</v>
      </c>
      <c r="H6737" s="7" t="str">
        <f>HYPERLINK("http://www.ensembl.org/Mus_musculus/Gene/Summary?db=core;g=ENSMUSG00000089998","ENSMUSG00000089998")</f>
        <v>ENSMUSG00000089998</v>
      </c>
      <c r="I6737" s="7" t="str">
        <f>HYPERLINK("http://www.informatics.jax.org/marker/MGI:3698050","MGI:3698050")</f>
        <v>MGI:3698050</v>
      </c>
      <c r="J6737" s="4" t="s">
        <v>932</v>
      </c>
    </row>
    <row r="6738" spans="1:10" x14ac:dyDescent="0.25">
      <c r="A6738" s="2">
        <v>58.942730403955402</v>
      </c>
      <c r="B6738" s="3">
        <v>-0.71181699859498304</v>
      </c>
      <c r="C6738" s="5">
        <v>2.6724580268955299E-5</v>
      </c>
      <c r="D6738" s="6">
        <v>9.5941875642417294E-5</v>
      </c>
      <c r="E6738" s="3" t="s">
        <v>10998</v>
      </c>
      <c r="F6738" s="3" t="s">
        <v>10999</v>
      </c>
      <c r="G6738" s="3">
        <v>69962</v>
      </c>
      <c r="H6738" s="7" t="str">
        <f>HYPERLINK("http://www.ensembl.org/Mus_musculus/Gene/Summary?db=core;g=ENSMUSG00000041396","ENSMUSG00000041396")</f>
        <v>ENSMUSG00000041396</v>
      </c>
      <c r="I6738" s="7" t="str">
        <f>HYPERLINK("http://www.informatics.jax.org/marker/MGI:1917212","MGI:1917212")</f>
        <v>MGI:1917212</v>
      </c>
      <c r="J6738" s="4" t="s">
        <v>12</v>
      </c>
    </row>
    <row r="6739" spans="1:10" x14ac:dyDescent="0.25">
      <c r="A6739" s="2">
        <v>134.83487323103799</v>
      </c>
      <c r="B6739" s="3">
        <v>-0.71228075729159801</v>
      </c>
      <c r="C6739" s="5">
        <v>1.2609554645820301E-9</v>
      </c>
      <c r="D6739" s="6">
        <v>6.7151071459783003E-9</v>
      </c>
      <c r="E6739" s="3" t="s">
        <v>7424</v>
      </c>
      <c r="F6739" s="3" t="s">
        <v>7425</v>
      </c>
      <c r="G6739" s="3">
        <v>54122</v>
      </c>
      <c r="H6739" s="7" t="str">
        <f>HYPERLINK("http://www.ensembl.org/Mus_musculus/Gene/Summary?db=core;g=ENSMUSG00000043262","ENSMUSG00000043262")</f>
        <v>ENSMUSG00000043262</v>
      </c>
      <c r="I6739" s="7" t="str">
        <f>HYPERLINK("http://www.informatics.jax.org/marker/MGI:1860490","MGI:1860490")</f>
        <v>MGI:1860490</v>
      </c>
      <c r="J6739" s="4" t="s">
        <v>12</v>
      </c>
    </row>
    <row r="6740" spans="1:10" x14ac:dyDescent="0.25">
      <c r="A6740" s="2">
        <v>631.85200267486903</v>
      </c>
      <c r="B6740" s="3">
        <v>-0.71228934287094903</v>
      </c>
      <c r="C6740" s="5">
        <v>9.2310516222054495E-13</v>
      </c>
      <c r="D6740" s="6">
        <v>6.2107245987680496E-12</v>
      </c>
      <c r="E6740" s="3" t="s">
        <v>5879</v>
      </c>
      <c r="F6740" s="3" t="s">
        <v>5880</v>
      </c>
      <c r="G6740" s="3">
        <v>12628</v>
      </c>
      <c r="H6740" s="7" t="str">
        <f>HYPERLINK("http://www.ensembl.org/Mus_musculus/Gene/Summary?db=core;g=ENSMUSG00000026365","ENSMUSG00000026365")</f>
        <v>ENSMUSG00000026365</v>
      </c>
      <c r="I6740" s="7" t="str">
        <f>HYPERLINK("http://www.informatics.jax.org/marker/MGI:88385","MGI:88385")</f>
        <v>MGI:88385</v>
      </c>
      <c r="J6740" s="4" t="s">
        <v>12</v>
      </c>
    </row>
    <row r="6741" spans="1:10" x14ac:dyDescent="0.25">
      <c r="A6741" s="2">
        <v>126.994746985728</v>
      </c>
      <c r="B6741" s="3">
        <v>-0.71301713681800705</v>
      </c>
      <c r="C6741" s="5">
        <v>4.0726276549861404E-9</v>
      </c>
      <c r="D6741" s="6">
        <v>2.0838665634750101E-8</v>
      </c>
      <c r="E6741" s="3" t="s">
        <v>7724</v>
      </c>
      <c r="F6741" s="3" t="s">
        <v>7725</v>
      </c>
      <c r="G6741" s="3">
        <v>22718</v>
      </c>
      <c r="H6741" s="7" t="str">
        <f>HYPERLINK("http://www.ensembl.org/Mus_musculus/Gene/Summary?db=core;g=ENSMUSG00000037640","ENSMUSG00000037640")</f>
        <v>ENSMUSG00000037640</v>
      </c>
      <c r="I6741" s="7" t="str">
        <f>HYPERLINK("http://www.informatics.jax.org/marker/MGI:99207","MGI:99207")</f>
        <v>MGI:99207</v>
      </c>
      <c r="J6741" s="4" t="s">
        <v>12</v>
      </c>
    </row>
    <row r="6742" spans="1:10" x14ac:dyDescent="0.25">
      <c r="A6742" s="2">
        <v>267.298502454301</v>
      </c>
      <c r="B6742" s="3">
        <v>-0.71324505833902596</v>
      </c>
      <c r="C6742" s="5">
        <v>5.6364979535125398E-12</v>
      </c>
      <c r="D6742" s="6">
        <v>3.5913324602024998E-11</v>
      </c>
      <c r="E6742" s="3" t="s">
        <v>6207</v>
      </c>
      <c r="F6742" s="3" t="s">
        <v>6208</v>
      </c>
      <c r="G6742" s="3">
        <v>50724</v>
      </c>
      <c r="H6742" s="7" t="str">
        <f>HYPERLINK("http://www.ensembl.org/Mus_musculus/Gene/Summary?db=core;g=ENSMUSG00000020519","ENSMUSG00000020519")</f>
        <v>ENSMUSG00000020519</v>
      </c>
      <c r="I6742" s="7" t="str">
        <f>HYPERLINK("http://www.informatics.jax.org/marker/MGI:1354709","MGI:1354709")</f>
        <v>MGI:1354709</v>
      </c>
      <c r="J6742" s="4" t="s">
        <v>12</v>
      </c>
    </row>
    <row r="6743" spans="1:10" x14ac:dyDescent="0.25">
      <c r="A6743" s="2">
        <v>726.63335946173504</v>
      </c>
      <c r="B6743" s="3">
        <v>-0.71333567954906496</v>
      </c>
      <c r="C6743" s="5">
        <v>4.5525960393234702E-26</v>
      </c>
      <c r="D6743" s="6">
        <v>5.7958162618114202E-25</v>
      </c>
      <c r="E6743" s="3" t="s">
        <v>3116</v>
      </c>
      <c r="F6743" s="3" t="s">
        <v>3117</v>
      </c>
      <c r="G6743" s="3">
        <v>22594</v>
      </c>
      <c r="H6743" s="7" t="str">
        <f>HYPERLINK("http://www.ensembl.org/Mus_musculus/Gene/Summary?db=core;g=ENSMUSG00000051768","ENSMUSG00000051768")</f>
        <v>ENSMUSG00000051768</v>
      </c>
      <c r="I6743" s="7" t="str">
        <f>HYPERLINK("http://www.informatics.jax.org/marker/MGI:99137","MGI:99137")</f>
        <v>MGI:99137</v>
      </c>
      <c r="J6743" s="4" t="s">
        <v>12</v>
      </c>
    </row>
    <row r="6744" spans="1:10" x14ac:dyDescent="0.25">
      <c r="A6744" s="2">
        <v>85.071196288179806</v>
      </c>
      <c r="B6744" s="3">
        <v>-0.71363770230609003</v>
      </c>
      <c r="C6744" s="3">
        <v>1.57416754204351E-4</v>
      </c>
      <c r="D6744" s="4">
        <v>5.1754891512334304E-4</v>
      </c>
      <c r="E6744" s="3" t="s">
        <v>12007</v>
      </c>
      <c r="F6744" s="3" t="s">
        <v>12008</v>
      </c>
      <c r="G6744" s="3">
        <v>24001</v>
      </c>
      <c r="H6744" s="7" t="str">
        <f>HYPERLINK("http://www.ensembl.org/Mus_musculus/Gene/Summary?db=core;g=ENSMUSG00000023800","ENSMUSG00000023800")</f>
        <v>ENSMUSG00000023800</v>
      </c>
      <c r="I6744" s="7" t="str">
        <f>HYPERLINK("http://www.informatics.jax.org/marker/MGI:1344338","MGI:1344338")</f>
        <v>MGI:1344338</v>
      </c>
      <c r="J6744" s="4" t="s">
        <v>12</v>
      </c>
    </row>
    <row r="6745" spans="1:10" x14ac:dyDescent="0.25">
      <c r="A6745" s="2">
        <v>981.49882480096005</v>
      </c>
      <c r="B6745" s="3">
        <v>-0.71379617949137397</v>
      </c>
      <c r="C6745" s="5">
        <v>8.7566170156710897E-50</v>
      </c>
      <c r="D6745" s="6">
        <v>2.3493943884222299E-48</v>
      </c>
      <c r="E6745" s="3" t="s">
        <v>1486</v>
      </c>
      <c r="F6745" s="3" t="s">
        <v>1487</v>
      </c>
      <c r="G6745" s="3">
        <v>218503</v>
      </c>
      <c r="H6745" s="7" t="str">
        <f>HYPERLINK("http://www.ensembl.org/Mus_musculus/Gene/Summary?db=core;g=ENSMUSG00000041685","ENSMUSG00000041685")</f>
        <v>ENSMUSG00000041685</v>
      </c>
      <c r="I6745" s="7" t="str">
        <f>HYPERLINK("http://www.informatics.jax.org/marker/MGI:3505790","MGI:3505790")</f>
        <v>MGI:3505790</v>
      </c>
      <c r="J6745" s="4" t="s">
        <v>12</v>
      </c>
    </row>
    <row r="6746" spans="1:10" x14ac:dyDescent="0.25">
      <c r="A6746" s="2">
        <v>998.63260172391904</v>
      </c>
      <c r="B6746" s="3">
        <v>-0.71381407439345101</v>
      </c>
      <c r="C6746" s="5">
        <v>3.7627939669364102E-22</v>
      </c>
      <c r="D6746" s="6">
        <v>4.1109305832679204E-21</v>
      </c>
      <c r="E6746" s="3" t="s">
        <v>3628</v>
      </c>
      <c r="F6746" s="3" t="s">
        <v>3629</v>
      </c>
      <c r="G6746" s="3">
        <v>14229</v>
      </c>
      <c r="H6746" s="7" t="str">
        <f>HYPERLINK("http://www.ensembl.org/Mus_musculus/Gene/Summary?db=core;g=ENSMUSG00000024222","ENSMUSG00000024222")</f>
        <v>ENSMUSG00000024222</v>
      </c>
      <c r="I6746" s="7" t="str">
        <f>HYPERLINK("http://www.informatics.jax.org/marker/MGI:104670","MGI:104670")</f>
        <v>MGI:104670</v>
      </c>
      <c r="J6746" s="4" t="s">
        <v>12</v>
      </c>
    </row>
    <row r="6747" spans="1:10" x14ac:dyDescent="0.25">
      <c r="A6747" s="2">
        <v>2110.41242328416</v>
      </c>
      <c r="B6747" s="3">
        <v>-0.71402547674994898</v>
      </c>
      <c r="C6747" s="5">
        <v>2.5657528801681398E-38</v>
      </c>
      <c r="D6747" s="6">
        <v>4.9266452577327903E-37</v>
      </c>
      <c r="E6747" s="3" t="s">
        <v>2071</v>
      </c>
      <c r="F6747" s="3" t="s">
        <v>2072</v>
      </c>
      <c r="G6747" s="3">
        <v>59126</v>
      </c>
      <c r="H6747" s="7" t="str">
        <f>HYPERLINK("http://www.ensembl.org/Mus_musculus/Gene/Summary?db=core;g=ENSMUSG00000026749","ENSMUSG00000026749")</f>
        <v>ENSMUSG00000026749</v>
      </c>
      <c r="I6747" s="7" t="str">
        <f>HYPERLINK("http://www.informatics.jax.org/marker/MGI:1891638","MGI:1891638")</f>
        <v>MGI:1891638</v>
      </c>
      <c r="J6747" s="4" t="s">
        <v>12</v>
      </c>
    </row>
    <row r="6748" spans="1:10" x14ac:dyDescent="0.25">
      <c r="A6748" s="2">
        <v>1403.4071649268201</v>
      </c>
      <c r="B6748" s="3">
        <v>-0.71428888470474905</v>
      </c>
      <c r="C6748" s="5">
        <v>3.9891173871060402E-26</v>
      </c>
      <c r="D6748" s="6">
        <v>5.1048277010857296E-25</v>
      </c>
      <c r="E6748" s="3" t="s">
        <v>3100</v>
      </c>
      <c r="F6748" s="3" t="s">
        <v>3101</v>
      </c>
      <c r="G6748" s="3">
        <v>67974</v>
      </c>
      <c r="H6748" s="7" t="str">
        <f>HYPERLINK("http://www.ensembl.org/Mus_musculus/Gene/Summary?db=core;g=ENSMUSG00000024286","ENSMUSG00000024286")</f>
        <v>ENSMUSG00000024286</v>
      </c>
      <c r="I6748" s="7" t="str">
        <f>HYPERLINK("http://www.informatics.jax.org/marker/MGI:1915224","MGI:1915224")</f>
        <v>MGI:1915224</v>
      </c>
      <c r="J6748" s="4" t="s">
        <v>12</v>
      </c>
    </row>
    <row r="6749" spans="1:10" x14ac:dyDescent="0.25">
      <c r="A6749" s="2">
        <v>524.584709299932</v>
      </c>
      <c r="B6749" s="3">
        <v>-0.71450404403668599</v>
      </c>
      <c r="C6749" s="5">
        <v>6.6429133731692801E-24</v>
      </c>
      <c r="D6749" s="6">
        <v>7.7743769566111705E-23</v>
      </c>
      <c r="E6749" s="3" t="s">
        <v>3388</v>
      </c>
      <c r="F6749" s="3" t="s">
        <v>3389</v>
      </c>
      <c r="G6749" s="3">
        <v>19714</v>
      </c>
      <c r="H6749" s="7" t="str">
        <f>HYPERLINK("http://www.ensembl.org/Mus_musculus/Gene/Summary?db=core;g=ENSMUSG00000019841","ENSMUSG00000019841")</f>
        <v>ENSMUSG00000019841</v>
      </c>
      <c r="I6749" s="7" t="str">
        <f>HYPERLINK("http://www.informatics.jax.org/marker/MGI:1337131","MGI:1337131")</f>
        <v>MGI:1337131</v>
      </c>
      <c r="J6749" s="4" t="s">
        <v>12</v>
      </c>
    </row>
    <row r="6750" spans="1:10" x14ac:dyDescent="0.25">
      <c r="A6750" s="2">
        <v>755.45669441183998</v>
      </c>
      <c r="B6750" s="3">
        <v>-0.71461600402862202</v>
      </c>
      <c r="C6750" s="5">
        <v>5.9392744012745905E-11</v>
      </c>
      <c r="D6750" s="6">
        <v>3.5119187764058399E-10</v>
      </c>
      <c r="E6750" s="3" t="s">
        <v>6687</v>
      </c>
      <c r="F6750" s="3" t="s">
        <v>6688</v>
      </c>
      <c r="G6750" s="3">
        <v>66972</v>
      </c>
      <c r="H6750" s="7" t="str">
        <f>HYPERLINK("http://www.ensembl.org/Mus_musculus/Gene/Summary?db=core;g=ENSMUSG00000046329","ENSMUSG00000046329")</f>
        <v>ENSMUSG00000046329</v>
      </c>
      <c r="I6750" s="7" t="str">
        <f>HYPERLINK("http://www.informatics.jax.org/marker/MGI:1914222","MGI:1914222")</f>
        <v>MGI:1914222</v>
      </c>
      <c r="J6750" s="4" t="s">
        <v>12</v>
      </c>
    </row>
    <row r="6751" spans="1:10" x14ac:dyDescent="0.25">
      <c r="A6751" s="2">
        <v>13.7715668980721</v>
      </c>
      <c r="B6751" s="3">
        <v>-0.71477257377405401</v>
      </c>
      <c r="C6751" s="3">
        <v>2.0501450972571899E-2</v>
      </c>
      <c r="D6751" s="4">
        <v>4.7709300587575797E-2</v>
      </c>
      <c r="E6751" s="3" t="s">
        <v>16952</v>
      </c>
      <c r="F6751" s="3" t="s">
        <v>16953</v>
      </c>
      <c r="G6751" s="3" t="s">
        <v>83</v>
      </c>
      <c r="H6751" s="7" t="str">
        <f>HYPERLINK("http://www.ensembl.org/Mus_musculus/Gene/Summary?db=core;g=ENSMUSG00000097643","ENSMUSG00000097643")</f>
        <v>ENSMUSG00000097643</v>
      </c>
      <c r="I6751" s="7" t="str">
        <f>HYPERLINK("http://www.informatics.jax.org/marker/MGI:3642574","MGI:3642574")</f>
        <v>MGI:3642574</v>
      </c>
      <c r="J6751" s="4" t="s">
        <v>932</v>
      </c>
    </row>
    <row r="6752" spans="1:10" x14ac:dyDescent="0.25">
      <c r="A6752" s="2">
        <v>297.66779141944102</v>
      </c>
      <c r="B6752" s="3">
        <v>-0.714778183299562</v>
      </c>
      <c r="C6752" s="5">
        <v>7.6382330998652094E-15</v>
      </c>
      <c r="D6752" s="6">
        <v>5.8269228908836401E-14</v>
      </c>
      <c r="E6752" s="3" t="s">
        <v>5187</v>
      </c>
      <c r="F6752" s="3" t="s">
        <v>5188</v>
      </c>
      <c r="G6752" s="3">
        <v>235344</v>
      </c>
      <c r="H6752" s="7" t="str">
        <f>HYPERLINK("http://www.ensembl.org/Mus_musculus/Gene/Summary?db=core;g=ENSMUSG00000037112","ENSMUSG00000037112")</f>
        <v>ENSMUSG00000037112</v>
      </c>
      <c r="I6752" s="7" t="str">
        <f>HYPERLINK("http://www.informatics.jax.org/marker/MGI:2445031","MGI:2445031")</f>
        <v>MGI:2445031</v>
      </c>
      <c r="J6752" s="4" t="s">
        <v>12</v>
      </c>
    </row>
    <row r="6753" spans="1:10" x14ac:dyDescent="0.25">
      <c r="A6753" s="2">
        <v>311.88145195064197</v>
      </c>
      <c r="B6753" s="3">
        <v>-0.71509752257255998</v>
      </c>
      <c r="C6753" s="5">
        <v>7.4988017687500896E-17</v>
      </c>
      <c r="D6753" s="6">
        <v>6.3222048259833995E-16</v>
      </c>
      <c r="E6753" s="3" t="s">
        <v>4695</v>
      </c>
      <c r="F6753" s="3" t="s">
        <v>4696</v>
      </c>
      <c r="G6753" s="3">
        <v>72775</v>
      </c>
      <c r="H6753" s="7" t="str">
        <f>HYPERLINK("http://www.ensembl.org/Mus_musculus/Gene/Summary?db=core;g=ENSMUSG00000007570","ENSMUSG00000007570")</f>
        <v>ENSMUSG00000007570</v>
      </c>
      <c r="I6753" s="7" t="str">
        <f>HYPERLINK("http://www.informatics.jax.org/marker/MGI:1920025","MGI:1920025")</f>
        <v>MGI:1920025</v>
      </c>
      <c r="J6753" s="4" t="s">
        <v>12</v>
      </c>
    </row>
    <row r="6754" spans="1:10" x14ac:dyDescent="0.25">
      <c r="A6754" s="2">
        <v>12.7699856564714</v>
      </c>
      <c r="B6754" s="3">
        <v>-0.71511940836630505</v>
      </c>
      <c r="C6754" s="3">
        <v>1.4975356118298601E-2</v>
      </c>
      <c r="D6754" s="4">
        <v>3.5921910066031897E-2</v>
      </c>
      <c r="E6754" s="3" t="s">
        <v>16447</v>
      </c>
      <c r="F6754" s="3" t="s">
        <v>16448</v>
      </c>
      <c r="G6754" s="3" t="s">
        <v>83</v>
      </c>
      <c r="H6754" s="7" t="str">
        <f>HYPERLINK("http://www.ensembl.org/Mus_musculus/Gene/Summary?db=core;g=ENSMUSG00000110644","ENSMUSG00000110644")</f>
        <v>ENSMUSG00000110644</v>
      </c>
      <c r="I6754" s="7" t="str">
        <f>HYPERLINK("http://www.informatics.jax.org/marker/MGI:3645154","MGI:3645154")</f>
        <v>MGI:3645154</v>
      </c>
      <c r="J6754" s="4" t="s">
        <v>1043</v>
      </c>
    </row>
    <row r="6755" spans="1:10" x14ac:dyDescent="0.25">
      <c r="A6755" s="2">
        <v>1324.3933508586499</v>
      </c>
      <c r="B6755" s="3">
        <v>-0.71598865444448201</v>
      </c>
      <c r="C6755" s="5">
        <v>1.4984356823723801E-17</v>
      </c>
      <c r="D6755" s="6">
        <v>1.3191585560885499E-16</v>
      </c>
      <c r="E6755" s="3" t="s">
        <v>4497</v>
      </c>
      <c r="F6755" s="3" t="s">
        <v>4498</v>
      </c>
      <c r="G6755" s="3">
        <v>215387</v>
      </c>
      <c r="H6755" s="7" t="str">
        <f>HYPERLINK("http://www.ensembl.org/Mus_musculus/Gene/Summary?db=core;g=ENSMUSG00000034906","ENSMUSG00000034906")</f>
        <v>ENSMUSG00000034906</v>
      </c>
      <c r="I6755" s="7" t="str">
        <f>HYPERLINK("http://www.informatics.jax.org/marker/MGI:2444777","MGI:2444777")</f>
        <v>MGI:2444777</v>
      </c>
      <c r="J6755" s="4" t="s">
        <v>12</v>
      </c>
    </row>
    <row r="6756" spans="1:10" x14ac:dyDescent="0.25">
      <c r="A6756" s="2">
        <v>72.733517718033497</v>
      </c>
      <c r="B6756" s="3">
        <v>-0.71637344554625804</v>
      </c>
      <c r="C6756" s="5">
        <v>8.1195618064905799E-5</v>
      </c>
      <c r="D6756" s="4">
        <v>2.7639868604176497E-4</v>
      </c>
      <c r="E6756" s="3" t="s">
        <v>11597</v>
      </c>
      <c r="F6756" s="3" t="s">
        <v>11598</v>
      </c>
      <c r="G6756" s="3">
        <v>14453</v>
      </c>
      <c r="H6756" s="7" t="str">
        <f>HYPERLINK("http://www.ensembl.org/Mus_musculus/Gene/Summary?db=core;g=ENSMUSG00000030498","ENSMUSG00000030498")</f>
        <v>ENSMUSG00000030498</v>
      </c>
      <c r="I6756" s="7" t="str">
        <f>HYPERLINK("http://www.informatics.jax.org/marker/MGI:95657","MGI:95657")</f>
        <v>MGI:95657</v>
      </c>
      <c r="J6756" s="4" t="s">
        <v>12</v>
      </c>
    </row>
    <row r="6757" spans="1:10" x14ac:dyDescent="0.25">
      <c r="A6757" s="2">
        <v>29.601621685430299</v>
      </c>
      <c r="B6757" s="3">
        <v>-0.71726395658752595</v>
      </c>
      <c r="C6757" s="3">
        <v>1.37637123872808E-3</v>
      </c>
      <c r="D6757" s="4">
        <v>3.9774385738156103E-3</v>
      </c>
      <c r="E6757" s="3" t="s">
        <v>13657</v>
      </c>
      <c r="F6757" s="3" t="s">
        <v>13658</v>
      </c>
      <c r="G6757" s="3" t="s">
        <v>83</v>
      </c>
      <c r="H6757" s="7" t="str">
        <f>HYPERLINK("http://www.ensembl.org/Mus_musculus/Gene/Summary?db=core;g=ENSMUSG00000087523","ENSMUSG00000087523")</f>
        <v>ENSMUSG00000087523</v>
      </c>
      <c r="I6757" s="7" t="str">
        <f>HYPERLINK("http://www.informatics.jax.org/marker/MGI:3649749","MGI:3649749")</f>
        <v>MGI:3649749</v>
      </c>
      <c r="J6757" s="4" t="s">
        <v>939</v>
      </c>
    </row>
    <row r="6758" spans="1:10" x14ac:dyDescent="0.25">
      <c r="A6758" s="2">
        <v>294.485070439661</v>
      </c>
      <c r="B6758" s="3">
        <v>-0.71790714904308905</v>
      </c>
      <c r="C6758" s="5">
        <v>1.21952898229139E-13</v>
      </c>
      <c r="D6758" s="6">
        <v>8.6663464975805802E-13</v>
      </c>
      <c r="E6758" s="3" t="s">
        <v>5567</v>
      </c>
      <c r="F6758" s="3" t="s">
        <v>5568</v>
      </c>
      <c r="G6758" s="3">
        <v>68241</v>
      </c>
      <c r="H6758" s="7" t="str">
        <f>HYPERLINK("http://www.ensembl.org/Mus_musculus/Gene/Summary?db=core;g=ENSMUSG00000025732","ENSMUSG00000025732")</f>
        <v>ENSMUSG00000025732</v>
      </c>
      <c r="I6758" s="7" t="str">
        <f>HYPERLINK("http://www.informatics.jax.org/marker/MGI:1915491","MGI:1915491")</f>
        <v>MGI:1915491</v>
      </c>
      <c r="J6758" s="4" t="s">
        <v>12</v>
      </c>
    </row>
    <row r="6759" spans="1:10" x14ac:dyDescent="0.25">
      <c r="A6759" s="2">
        <v>100.95130651801099</v>
      </c>
      <c r="B6759" s="3">
        <v>-0.71834365632736896</v>
      </c>
      <c r="C6759" s="5">
        <v>5.7921296012410602E-9</v>
      </c>
      <c r="D6759" s="6">
        <v>2.92573759570885E-8</v>
      </c>
      <c r="E6759" s="3" t="s">
        <v>7824</v>
      </c>
      <c r="F6759" s="3" t="s">
        <v>7825</v>
      </c>
      <c r="G6759" s="3">
        <v>72723</v>
      </c>
      <c r="H6759" s="7" t="str">
        <f>HYPERLINK("http://www.ensembl.org/Mus_musculus/Gene/Summary?db=core;g=ENSMUSG00000059975","ENSMUSG00000059975")</f>
        <v>ENSMUSG00000059975</v>
      </c>
      <c r="I6759" s="7" t="str">
        <f>HYPERLINK("http://www.informatics.jax.org/marker/MGI:107784","MGI:107784")</f>
        <v>MGI:107784</v>
      </c>
      <c r="J6759" s="4" t="s">
        <v>12</v>
      </c>
    </row>
    <row r="6760" spans="1:10" x14ac:dyDescent="0.25">
      <c r="A6760" s="2">
        <v>3504.0292796353301</v>
      </c>
      <c r="B6760" s="3">
        <v>-0.71843766028417899</v>
      </c>
      <c r="C6760" s="5">
        <v>4.5787535083360499E-11</v>
      </c>
      <c r="D6760" s="6">
        <v>2.7344948269045099E-10</v>
      </c>
      <c r="E6760" s="3" t="s">
        <v>6621</v>
      </c>
      <c r="F6760" s="3" t="s">
        <v>6622</v>
      </c>
      <c r="G6760" s="3">
        <v>12236</v>
      </c>
      <c r="H6760" s="7" t="str">
        <f>HYPERLINK("http://www.ensembl.org/Mus_musculus/Gene/Summary?db=core;g=ENSMUSG00000040084","ENSMUSG00000040084")</f>
        <v>ENSMUSG00000040084</v>
      </c>
      <c r="I6760" s="7" t="str">
        <f>HYPERLINK("http://www.informatics.jax.org/marker/MGI:1333889","MGI:1333889")</f>
        <v>MGI:1333889</v>
      </c>
      <c r="J6760" s="4" t="s">
        <v>12</v>
      </c>
    </row>
    <row r="6761" spans="1:10" x14ac:dyDescent="0.25">
      <c r="A6761" s="2">
        <v>1438.6415181336999</v>
      </c>
      <c r="B6761" s="3">
        <v>-0.71875957913903799</v>
      </c>
      <c r="C6761" s="5">
        <v>2.8068985429418699E-18</v>
      </c>
      <c r="D6761" s="6">
        <v>2.5745134542703999E-17</v>
      </c>
      <c r="E6761" s="3" t="s">
        <v>4317</v>
      </c>
      <c r="F6761" s="3" t="s">
        <v>4318</v>
      </c>
      <c r="G6761" s="3">
        <v>18755</v>
      </c>
      <c r="H6761" s="7" t="str">
        <f>HYPERLINK("http://www.ensembl.org/Mus_musculus/Gene/Summary?db=core;g=ENSMUSG00000021108","ENSMUSG00000021108")</f>
        <v>ENSMUSG00000021108</v>
      </c>
      <c r="I6761" s="7" t="str">
        <f>HYPERLINK("http://www.informatics.jax.org/marker/MGI:97600","MGI:97600")</f>
        <v>MGI:97600</v>
      </c>
      <c r="J6761" s="4" t="s">
        <v>12</v>
      </c>
    </row>
    <row r="6762" spans="1:10" x14ac:dyDescent="0.25">
      <c r="A6762" s="2">
        <v>477.70063687183699</v>
      </c>
      <c r="B6762" s="3">
        <v>-0.71989787016218498</v>
      </c>
      <c r="C6762" s="5">
        <v>3.7197562724044003E-12</v>
      </c>
      <c r="D6762" s="6">
        <v>2.4137411547158499E-11</v>
      </c>
      <c r="E6762" s="3" t="s">
        <v>6095</v>
      </c>
      <c r="F6762" s="3" t="s">
        <v>6096</v>
      </c>
      <c r="G6762" s="3">
        <v>100532</v>
      </c>
      <c r="H6762" s="7" t="str">
        <f>HYPERLINK("http://www.ensembl.org/Mus_musculus/Gene/Summary?db=core;g=ENSMUSG00000047881","ENSMUSG00000047881")</f>
        <v>ENSMUSG00000047881</v>
      </c>
      <c r="I6762" s="7" t="str">
        <f>HYPERLINK("http://www.informatics.jax.org/marker/MGI:2140767","MGI:2140767")</f>
        <v>MGI:2140767</v>
      </c>
      <c r="J6762" s="4" t="s">
        <v>12</v>
      </c>
    </row>
    <row r="6763" spans="1:10" x14ac:dyDescent="0.25">
      <c r="A6763" s="2">
        <v>267.50147029510401</v>
      </c>
      <c r="B6763" s="3">
        <v>-0.72007504382439502</v>
      </c>
      <c r="C6763" s="3">
        <v>1.8182310592503099E-4</v>
      </c>
      <c r="D6763" s="4">
        <v>5.92555222085871E-4</v>
      </c>
      <c r="E6763" s="3" t="s">
        <v>12113</v>
      </c>
      <c r="F6763" s="3" t="s">
        <v>12114</v>
      </c>
      <c r="G6763" s="3">
        <v>74580</v>
      </c>
      <c r="H6763" s="7" t="str">
        <f>HYPERLINK("http://www.ensembl.org/Mus_musculus/Gene/Summary?db=core;g=ENSMUSG00000060224","ENSMUSG00000060224")</f>
        <v>ENSMUSG00000060224</v>
      </c>
      <c r="I6763" s="7" t="str">
        <f>HYPERLINK("http://www.informatics.jax.org/marker/MGI:1921830","MGI:1921830")</f>
        <v>MGI:1921830</v>
      </c>
      <c r="J6763" s="4" t="s">
        <v>12</v>
      </c>
    </row>
    <row r="6764" spans="1:10" x14ac:dyDescent="0.25">
      <c r="A6764" s="2">
        <v>408.35213816337802</v>
      </c>
      <c r="B6764" s="3">
        <v>-0.72091008115062705</v>
      </c>
      <c r="C6764" s="5">
        <v>1.5006212700257801E-8</v>
      </c>
      <c r="D6764" s="6">
        <v>7.3211903624216602E-8</v>
      </c>
      <c r="E6764" s="3" t="s">
        <v>8101</v>
      </c>
      <c r="F6764" s="3" t="s">
        <v>8102</v>
      </c>
      <c r="G6764" s="3">
        <v>103836</v>
      </c>
      <c r="H6764" s="7" t="str">
        <f>HYPERLINK("http://www.ensembl.org/Mus_musculus/Gene/Summary?db=core;g=ENSMUSG00000037243","ENSMUSG00000037243")</f>
        <v>ENSMUSG00000037243</v>
      </c>
      <c r="I6764" s="7" t="str">
        <f>HYPERLINK("http://www.informatics.jax.org/marker/MGI:2144276","MGI:2144276")</f>
        <v>MGI:2144276</v>
      </c>
      <c r="J6764" s="4" t="s">
        <v>12</v>
      </c>
    </row>
    <row r="6765" spans="1:10" x14ac:dyDescent="0.25">
      <c r="A6765" s="2">
        <v>587.05969946083803</v>
      </c>
      <c r="B6765" s="3">
        <v>-0.72137937561208898</v>
      </c>
      <c r="C6765" s="5">
        <v>2.5915626748968002E-13</v>
      </c>
      <c r="D6765" s="6">
        <v>1.80266722924039E-12</v>
      </c>
      <c r="E6765" s="3" t="s">
        <v>5687</v>
      </c>
      <c r="F6765" s="3" t="s">
        <v>5688</v>
      </c>
      <c r="G6765" s="3">
        <v>16534</v>
      </c>
      <c r="H6765" s="7" t="str">
        <f>HYPERLINK("http://www.ensembl.org/Mus_musculus/Gene/Summary?db=core;g=ENSMUSG00000054342","ENSMUSG00000054342")</f>
        <v>ENSMUSG00000054342</v>
      </c>
      <c r="I6765" s="7" t="str">
        <f>HYPERLINK("http://www.informatics.jax.org/marker/MGI:1277957","MGI:1277957")</f>
        <v>MGI:1277957</v>
      </c>
      <c r="J6765" s="4" t="s">
        <v>12</v>
      </c>
    </row>
    <row r="6766" spans="1:10" x14ac:dyDescent="0.25">
      <c r="A6766" s="2">
        <v>125.97429881926401</v>
      </c>
      <c r="B6766" s="3">
        <v>-0.72217319411311798</v>
      </c>
      <c r="C6766" s="5">
        <v>8.5632582902937698E-10</v>
      </c>
      <c r="D6766" s="6">
        <v>4.61386484930582E-9</v>
      </c>
      <c r="E6766" s="3" t="s">
        <v>7338</v>
      </c>
      <c r="F6766" s="3" t="s">
        <v>7339</v>
      </c>
      <c r="G6766" s="3" t="s">
        <v>83</v>
      </c>
      <c r="H6766" s="7" t="str">
        <f>HYPERLINK("http://www.ensembl.org/Mus_musculus/Gene/Summary?db=core;g=ENSMUSG00000079671","ENSMUSG00000079671")</f>
        <v>ENSMUSG00000079671</v>
      </c>
      <c r="I6766" s="7" t="str">
        <f>HYPERLINK("http://www.informatics.jax.org/marker/MGI:1919731","MGI:1919731")</f>
        <v>MGI:1919731</v>
      </c>
      <c r="J6766" s="4" t="s">
        <v>331</v>
      </c>
    </row>
    <row r="6767" spans="1:10" x14ac:dyDescent="0.25">
      <c r="A6767" s="2">
        <v>53.695790696771901</v>
      </c>
      <c r="B6767" s="3">
        <v>-0.72267462138914496</v>
      </c>
      <c r="C6767" s="5">
        <v>7.5847687777639102E-5</v>
      </c>
      <c r="D6767" s="4">
        <v>2.5904336733201299E-4</v>
      </c>
      <c r="E6767" s="3" t="s">
        <v>11559</v>
      </c>
      <c r="F6767" s="3" t="s">
        <v>11560</v>
      </c>
      <c r="G6767" s="3">
        <v>79059</v>
      </c>
      <c r="H6767" s="7" t="str">
        <f>HYPERLINK("http://www.ensembl.org/Mus_musculus/Gene/Summary?db=core;g=ENSMUSG00000073435","ENSMUSG00000073435")</f>
        <v>ENSMUSG00000073435</v>
      </c>
      <c r="I6767" s="7" t="str">
        <f>HYPERLINK("http://www.informatics.jax.org/marker/MGI:1930182","MGI:1930182")</f>
        <v>MGI:1930182</v>
      </c>
      <c r="J6767" s="4" t="s">
        <v>12</v>
      </c>
    </row>
    <row r="6768" spans="1:10" x14ac:dyDescent="0.25">
      <c r="A6768" s="2">
        <v>629.57949928630705</v>
      </c>
      <c r="B6768" s="3">
        <v>-0.72286323008880904</v>
      </c>
      <c r="C6768" s="5">
        <v>7.3593469771141103E-20</v>
      </c>
      <c r="D6768" s="6">
        <v>7.2526897745472397E-19</v>
      </c>
      <c r="E6768" s="3" t="s">
        <v>4020</v>
      </c>
      <c r="F6768" s="3" t="s">
        <v>4021</v>
      </c>
      <c r="G6768" s="3">
        <v>236930</v>
      </c>
      <c r="H6768" s="7" t="str">
        <f>HYPERLINK("http://www.ensembl.org/Mus_musculus/Gene/Summary?db=core;g=ENSMUSG00000051220","ENSMUSG00000051220")</f>
        <v>ENSMUSG00000051220</v>
      </c>
      <c r="I6768" s="7" t="str">
        <f>HYPERLINK("http://www.informatics.jax.org/marker/MGI:2654144","MGI:2654144")</f>
        <v>MGI:2654144</v>
      </c>
      <c r="J6768" s="4" t="s">
        <v>12</v>
      </c>
    </row>
    <row r="6769" spans="1:10" x14ac:dyDescent="0.25">
      <c r="A6769" s="2">
        <v>845.97664020010996</v>
      </c>
      <c r="B6769" s="3">
        <v>-0.72560368430738698</v>
      </c>
      <c r="C6769" s="5">
        <v>1.24319259732068E-27</v>
      </c>
      <c r="D6769" s="6">
        <v>1.6730557380826401E-26</v>
      </c>
      <c r="E6769" s="3" t="s">
        <v>2948</v>
      </c>
      <c r="F6769" s="3" t="s">
        <v>2949</v>
      </c>
      <c r="G6769" s="3">
        <v>330064</v>
      </c>
      <c r="H6769" s="7" t="str">
        <f>HYPERLINK("http://www.ensembl.org/Mus_musculus/Gene/Summary?db=core;g=ENSMUSG00000006641","ENSMUSG00000006641")</f>
        <v>ENSMUSG00000006641</v>
      </c>
      <c r="I6769" s="7" t="str">
        <f>HYPERLINK("http://www.informatics.jax.org/marker/MGI:2660847","MGI:2660847")</f>
        <v>MGI:2660847</v>
      </c>
      <c r="J6769" s="4" t="s">
        <v>12</v>
      </c>
    </row>
    <row r="6770" spans="1:10" x14ac:dyDescent="0.25">
      <c r="A6770" s="2">
        <v>162.464578620548</v>
      </c>
      <c r="B6770" s="3">
        <v>-0.72584234825878002</v>
      </c>
      <c r="C6770" s="5">
        <v>1.0684665270225499E-12</v>
      </c>
      <c r="D6770" s="6">
        <v>7.1569836660613996E-12</v>
      </c>
      <c r="E6770" s="3" t="s">
        <v>5905</v>
      </c>
      <c r="F6770" s="3" t="s">
        <v>5906</v>
      </c>
      <c r="G6770" s="3">
        <v>78755</v>
      </c>
      <c r="H6770" s="7" t="str">
        <f>HYPERLINK("http://www.ensembl.org/Mus_musculus/Gene/Summary?db=core;g=ENSMUSG00000036022","ENSMUSG00000036022")</f>
        <v>ENSMUSG00000036022</v>
      </c>
      <c r="I6770" s="7" t="str">
        <f>HYPERLINK("http://www.informatics.jax.org/marker/MGI:1926005","MGI:1926005")</f>
        <v>MGI:1926005</v>
      </c>
      <c r="J6770" s="4" t="s">
        <v>12</v>
      </c>
    </row>
    <row r="6771" spans="1:10" x14ac:dyDescent="0.25">
      <c r="A6771" s="2">
        <v>287.17701044380101</v>
      </c>
      <c r="B6771" s="3">
        <v>-0.72633669224618702</v>
      </c>
      <c r="C6771" s="5">
        <v>2.02488548122509E-13</v>
      </c>
      <c r="D6771" s="6">
        <v>1.4215287180405399E-12</v>
      </c>
      <c r="E6771" s="3" t="s">
        <v>5635</v>
      </c>
      <c r="F6771" s="3" t="s">
        <v>5636</v>
      </c>
      <c r="G6771" s="3">
        <v>94220</v>
      </c>
      <c r="H6771" s="7" t="str">
        <f>HYPERLINK("http://www.ensembl.org/Mus_musculus/Gene/Summary?db=core;g=ENSMUSG00000037408","ENSMUSG00000037408")</f>
        <v>ENSMUSG00000037408</v>
      </c>
      <c r="I6771" s="7" t="str">
        <f>HYPERLINK("http://www.informatics.jax.org/marker/MGI:2151060","MGI:2151060")</f>
        <v>MGI:2151060</v>
      </c>
      <c r="J6771" s="4" t="s">
        <v>12</v>
      </c>
    </row>
    <row r="6772" spans="1:10" x14ac:dyDescent="0.25">
      <c r="A6772" s="2">
        <v>441.38751302383002</v>
      </c>
      <c r="B6772" s="3">
        <v>-0.72652415649400204</v>
      </c>
      <c r="C6772" s="5">
        <v>9.8990559299567805E-14</v>
      </c>
      <c r="D6772" s="6">
        <v>7.0728037296647704E-13</v>
      </c>
      <c r="E6772" s="3" t="s">
        <v>5537</v>
      </c>
      <c r="F6772" s="3" t="s">
        <v>5538</v>
      </c>
      <c r="G6772" s="3">
        <v>230996</v>
      </c>
      <c r="H6772" s="7" t="str">
        <f>HYPERLINK("http://www.ensembl.org/Mus_musculus/Gene/Summary?db=core;g=ENSMUSG00000059939","ENSMUSG00000059939")</f>
        <v>ENSMUSG00000059939</v>
      </c>
      <c r="I6772" s="7" t="str">
        <f>HYPERLINK("http://www.informatics.jax.org/marker/MGI:2444364","MGI:2444364")</f>
        <v>MGI:2444364</v>
      </c>
      <c r="J6772" s="4" t="s">
        <v>12</v>
      </c>
    </row>
    <row r="6773" spans="1:10" x14ac:dyDescent="0.25">
      <c r="A6773" s="2">
        <v>346.66015910988301</v>
      </c>
      <c r="B6773" s="3">
        <v>-0.72679551778821805</v>
      </c>
      <c r="C6773" s="5">
        <v>2.8664808194728398E-8</v>
      </c>
      <c r="D6773" s="6">
        <v>1.3630817882807901E-7</v>
      </c>
      <c r="E6773" s="3" t="s">
        <v>8311</v>
      </c>
      <c r="F6773" s="3" t="s">
        <v>8312</v>
      </c>
      <c r="G6773" s="3">
        <v>140500</v>
      </c>
      <c r="H6773" s="7" t="str">
        <f>HYPERLINK("http://www.ensembl.org/Mus_musculus/Gene/Summary?db=core;g=ENSMUSG00000029033","ENSMUSG00000029033")</f>
        <v>ENSMUSG00000029033</v>
      </c>
      <c r="I6773" s="7" t="str">
        <f>HYPERLINK("http://www.informatics.jax.org/marker/MGI:2153589","MGI:2153589")</f>
        <v>MGI:2153589</v>
      </c>
      <c r="J6773" s="4" t="s">
        <v>12</v>
      </c>
    </row>
    <row r="6774" spans="1:10" x14ac:dyDescent="0.25">
      <c r="A6774" s="2">
        <v>1354.2614850395701</v>
      </c>
      <c r="B6774" s="3">
        <v>-0.72767592771772305</v>
      </c>
      <c r="C6774" s="5">
        <v>1.49224820894591E-33</v>
      </c>
      <c r="D6774" s="6">
        <v>2.4563551486154799E-32</v>
      </c>
      <c r="E6774" s="3" t="s">
        <v>2413</v>
      </c>
      <c r="F6774" s="3" t="s">
        <v>2414</v>
      </c>
      <c r="G6774" s="3">
        <v>100710</v>
      </c>
      <c r="H6774" s="7" t="str">
        <f>HYPERLINK("http://www.ensembl.org/Mus_musculus/Gene/Summary?db=core;g=ENSMUSG00000034021","ENSMUSG00000034021")</f>
        <v>ENSMUSG00000034021</v>
      </c>
      <c r="I6774" s="7" t="str">
        <f>HYPERLINK("http://www.informatics.jax.org/marker/MGI:2140945","MGI:2140945")</f>
        <v>MGI:2140945</v>
      </c>
      <c r="J6774" s="4" t="s">
        <v>12</v>
      </c>
    </row>
    <row r="6775" spans="1:10" x14ac:dyDescent="0.25">
      <c r="A6775" s="2">
        <v>508.74583265952401</v>
      </c>
      <c r="B6775" s="3">
        <v>-0.72826812768566496</v>
      </c>
      <c r="C6775" s="5">
        <v>2.70796854064364E-10</v>
      </c>
      <c r="D6775" s="6">
        <v>1.5205335883112901E-9</v>
      </c>
      <c r="E6775" s="3" t="s">
        <v>7042</v>
      </c>
      <c r="F6775" s="3" t="s">
        <v>7043</v>
      </c>
      <c r="G6775" s="3">
        <v>66634</v>
      </c>
      <c r="H6775" s="7" t="str">
        <f>HYPERLINK("http://www.ensembl.org/Mus_musculus/Gene/Summary?db=core;g=ENSMUSG00000027353","ENSMUSG00000027353")</f>
        <v>ENSMUSG00000027353</v>
      </c>
      <c r="I6775" s="7" t="str">
        <f>HYPERLINK("http://www.informatics.jax.org/marker/MGI:1913884","MGI:1913884")</f>
        <v>MGI:1913884</v>
      </c>
      <c r="J6775" s="4" t="s">
        <v>12</v>
      </c>
    </row>
    <row r="6776" spans="1:10" x14ac:dyDescent="0.25">
      <c r="A6776" s="2">
        <v>320.31552428637201</v>
      </c>
      <c r="B6776" s="3">
        <v>-0.728680976025325</v>
      </c>
      <c r="C6776" s="5">
        <v>2.72409190870683E-17</v>
      </c>
      <c r="D6776" s="6">
        <v>2.3623171697316899E-16</v>
      </c>
      <c r="E6776" s="3" t="s">
        <v>4565</v>
      </c>
      <c r="F6776" s="3" t="s">
        <v>4566</v>
      </c>
      <c r="G6776" s="3">
        <v>72826</v>
      </c>
      <c r="H6776" s="7" t="str">
        <f>HYPERLINK("http://www.ensembl.org/Mus_musculus/Gene/Summary?db=core;g=ENSMUSG00000037808","ENSMUSG00000037808")</f>
        <v>ENSMUSG00000037808</v>
      </c>
      <c r="I6776" s="7" t="str">
        <f>HYPERLINK("http://www.informatics.jax.org/marker/MGI:1920076","MGI:1920076")</f>
        <v>MGI:1920076</v>
      </c>
      <c r="J6776" s="4" t="s">
        <v>12</v>
      </c>
    </row>
    <row r="6777" spans="1:10" x14ac:dyDescent="0.25">
      <c r="A6777" s="2">
        <v>83.761625568218193</v>
      </c>
      <c r="B6777" s="3">
        <v>-0.72869398261568896</v>
      </c>
      <c r="C6777" s="5">
        <v>6.1078567419073398E-5</v>
      </c>
      <c r="D6777" s="4">
        <v>2.10829572817106E-4</v>
      </c>
      <c r="E6777" s="3" t="s">
        <v>11437</v>
      </c>
      <c r="F6777" s="3" t="s">
        <v>11438</v>
      </c>
      <c r="G6777" s="3">
        <v>73254</v>
      </c>
      <c r="H6777" s="7" t="str">
        <f>HYPERLINK("http://www.ensembl.org/Mus_musculus/Gene/Summary?db=core;g=ENSMUSG00000056531","ENSMUSG00000056531")</f>
        <v>ENSMUSG00000056531</v>
      </c>
      <c r="I6777" s="7" t="str">
        <f>HYPERLINK("http://www.informatics.jax.org/marker/MGI:1922974","MGI:1922974")</f>
        <v>MGI:1922974</v>
      </c>
      <c r="J6777" s="4" t="s">
        <v>12</v>
      </c>
    </row>
    <row r="6778" spans="1:10" x14ac:dyDescent="0.25">
      <c r="A6778" s="2">
        <v>28.285961872446801</v>
      </c>
      <c r="B6778" s="3">
        <v>-0.72879775579935602</v>
      </c>
      <c r="C6778" s="3">
        <v>6.9510531495941402E-4</v>
      </c>
      <c r="D6778" s="4">
        <v>2.0940233441796002E-3</v>
      </c>
      <c r="E6778" s="3" t="s">
        <v>13101</v>
      </c>
      <c r="F6778" s="3" t="s">
        <v>13102</v>
      </c>
      <c r="G6778" s="3">
        <v>668923</v>
      </c>
      <c r="H6778" s="7" t="str">
        <f>HYPERLINK("http://www.ensembl.org/Mus_musculus/Gene/Summary?db=core;g=ENSMUSG00000068130","ENSMUSG00000068130")</f>
        <v>ENSMUSG00000068130</v>
      </c>
      <c r="I6778" s="7" t="str">
        <f>HYPERLINK("http://www.informatics.jax.org/marker/MGI:3651999","MGI:3651999")</f>
        <v>MGI:3651999</v>
      </c>
      <c r="J6778" s="4" t="s">
        <v>12</v>
      </c>
    </row>
    <row r="6779" spans="1:10" x14ac:dyDescent="0.25">
      <c r="A6779" s="2">
        <v>239.35548233789899</v>
      </c>
      <c r="B6779" s="3">
        <v>-0.72886225694280904</v>
      </c>
      <c r="C6779" s="5">
        <v>2.8908920985830601E-11</v>
      </c>
      <c r="D6779" s="6">
        <v>1.75087199582487E-10</v>
      </c>
      <c r="E6779" s="3" t="s">
        <v>6529</v>
      </c>
      <c r="F6779" s="3" t="s">
        <v>6530</v>
      </c>
      <c r="G6779" s="3">
        <v>76568</v>
      </c>
      <c r="H6779" s="7" t="str">
        <f>HYPERLINK("http://www.ensembl.org/Mus_musculus/Gene/Summary?db=core;g=ENSMUSG00000002031","ENSMUSG00000002031")</f>
        <v>ENSMUSG00000002031</v>
      </c>
      <c r="I6779" s="7" t="str">
        <f>HYPERLINK("http://www.informatics.jax.org/marker/MGI:1923818","MGI:1923818")</f>
        <v>MGI:1923818</v>
      </c>
      <c r="J6779" s="4" t="s">
        <v>12</v>
      </c>
    </row>
    <row r="6780" spans="1:10" x14ac:dyDescent="0.25">
      <c r="A6780" s="2">
        <v>823.96966712604001</v>
      </c>
      <c r="B6780" s="3">
        <v>-0.72945004863153995</v>
      </c>
      <c r="C6780" s="5">
        <v>9.0296229150318705E-29</v>
      </c>
      <c r="D6780" s="6">
        <v>1.27644561924321E-27</v>
      </c>
      <c r="E6780" s="3" t="s">
        <v>2808</v>
      </c>
      <c r="F6780" s="3" t="s">
        <v>2809</v>
      </c>
      <c r="G6780" s="3">
        <v>233210</v>
      </c>
      <c r="H6780" s="7" t="str">
        <f>HYPERLINK("http://www.ensembl.org/Mus_musculus/Gene/Summary?db=core;g=ENSMUSG00000046574","ENSMUSG00000046574")</f>
        <v>ENSMUSG00000046574</v>
      </c>
      <c r="I6780" s="7" t="str">
        <f>HYPERLINK("http://www.informatics.jax.org/marker/MGI:2679002","MGI:2679002")</f>
        <v>MGI:2679002</v>
      </c>
      <c r="J6780" s="4" t="s">
        <v>12</v>
      </c>
    </row>
    <row r="6781" spans="1:10" x14ac:dyDescent="0.25">
      <c r="A6781" s="2">
        <v>386.48631930218198</v>
      </c>
      <c r="B6781" s="3">
        <v>-0.72959010025787696</v>
      </c>
      <c r="C6781" s="5">
        <v>7.0638359437738001E-21</v>
      </c>
      <c r="D6781" s="6">
        <v>7.26271349380706E-20</v>
      </c>
      <c r="E6781" s="3" t="s">
        <v>3854</v>
      </c>
      <c r="F6781" s="3" t="s">
        <v>3855</v>
      </c>
      <c r="G6781" s="3">
        <v>320438</v>
      </c>
      <c r="H6781" s="7" t="str">
        <f>HYPERLINK("http://www.ensembl.org/Mus_musculus/Gene/Summary?db=core;g=ENSMUSG00000073792","ENSMUSG00000073792")</f>
        <v>ENSMUSG00000073792</v>
      </c>
      <c r="I6781" s="7" t="str">
        <f>HYPERLINK("http://www.informatics.jax.org/marker/MGI:2444031","MGI:2444031")</f>
        <v>MGI:2444031</v>
      </c>
      <c r="J6781" s="4" t="s">
        <v>12</v>
      </c>
    </row>
    <row r="6782" spans="1:10" x14ac:dyDescent="0.25">
      <c r="A6782" s="2">
        <v>51.2995460382609</v>
      </c>
      <c r="B6782" s="3">
        <v>-0.72966125033312801</v>
      </c>
      <c r="C6782" s="5">
        <v>6.6133717064312996E-5</v>
      </c>
      <c r="D6782" s="4">
        <v>2.27363476378705E-4</v>
      </c>
      <c r="E6782" s="3" t="s">
        <v>11483</v>
      </c>
      <c r="F6782" s="3" t="s">
        <v>11484</v>
      </c>
      <c r="G6782" s="3">
        <v>12589</v>
      </c>
      <c r="H6782" s="7" t="str">
        <f>HYPERLINK("http://www.ensembl.org/Mus_musculus/Gene/Summary?db=core;g=ENSMUSG00000029469","ENSMUSG00000029469")</f>
        <v>ENSMUSG00000029469</v>
      </c>
      <c r="I6782" s="7" t="str">
        <f>HYPERLINK("http://www.informatics.jax.org/marker/MGI:1098597","MGI:1098597")</f>
        <v>MGI:1098597</v>
      </c>
      <c r="J6782" s="4" t="s">
        <v>12</v>
      </c>
    </row>
    <row r="6783" spans="1:10" x14ac:dyDescent="0.25">
      <c r="A6783" s="2">
        <v>174.05237634472101</v>
      </c>
      <c r="B6783" s="3">
        <v>-0.72997106849875004</v>
      </c>
      <c r="C6783" s="5">
        <v>1.9462544189010201E-14</v>
      </c>
      <c r="D6783" s="6">
        <v>1.4515936891349499E-13</v>
      </c>
      <c r="E6783" s="3" t="s">
        <v>5305</v>
      </c>
      <c r="F6783" s="3" t="s">
        <v>5306</v>
      </c>
      <c r="G6783" s="3">
        <v>107197</v>
      </c>
      <c r="H6783" s="7" t="str">
        <f>HYPERLINK("http://www.ensembl.org/Mus_musculus/Gene/Summary?db=core;g=ENSMUSG00000071654","ENSMUSG00000071654")</f>
        <v>ENSMUSG00000071654</v>
      </c>
      <c r="I6783" s="7" t="str">
        <f>HYPERLINK("http://www.informatics.jax.org/marker/MGI:2147553","MGI:2147553")</f>
        <v>MGI:2147553</v>
      </c>
      <c r="J6783" s="4" t="s">
        <v>12</v>
      </c>
    </row>
    <row r="6784" spans="1:10" x14ac:dyDescent="0.25">
      <c r="A6784" s="2">
        <v>36.741904760619001</v>
      </c>
      <c r="B6784" s="3">
        <v>-0.73005245947944297</v>
      </c>
      <c r="C6784" s="3">
        <v>1.57213872414349E-2</v>
      </c>
      <c r="D6784" s="4">
        <v>3.7551569331528201E-2</v>
      </c>
      <c r="E6784" s="3" t="s">
        <v>16515</v>
      </c>
      <c r="F6784" s="3" t="s">
        <v>16516</v>
      </c>
      <c r="G6784" s="3">
        <v>97908</v>
      </c>
      <c r="H6784" s="7" t="str">
        <f>HYPERLINK("http://www.ensembl.org/Mus_musculus/Gene/Summary?db=core;g=ENSMUSG00000099517","ENSMUSG00000099517")</f>
        <v>ENSMUSG00000099517</v>
      </c>
      <c r="I6784" s="7" t="str">
        <f>HYPERLINK("http://www.informatics.jax.org/marker/MGI:2145541","MGI:2145541")</f>
        <v>MGI:2145541</v>
      </c>
      <c r="J6784" s="4" t="s">
        <v>12</v>
      </c>
    </row>
    <row r="6785" spans="1:10" x14ac:dyDescent="0.25">
      <c r="A6785" s="2">
        <v>100.318154172695</v>
      </c>
      <c r="B6785" s="3">
        <v>-0.73062139602693199</v>
      </c>
      <c r="C6785" s="5">
        <v>7.8217297771017499E-10</v>
      </c>
      <c r="D6785" s="6">
        <v>4.2270351111111698E-9</v>
      </c>
      <c r="E6785" s="3" t="s">
        <v>7316</v>
      </c>
      <c r="F6785" s="3" t="s">
        <v>7317</v>
      </c>
      <c r="G6785" s="3">
        <v>54636</v>
      </c>
      <c r="H6785" s="7" t="str">
        <f>HYPERLINK("http://www.ensembl.org/Mus_musculus/Gene/Summary?db=core;g=ENSMUSG00000039382","ENSMUSG00000039382")</f>
        <v>ENSMUSG00000039382</v>
      </c>
      <c r="I6785" s="7" t="str">
        <f>HYPERLINK("http://www.informatics.jax.org/marker/MGI:1859606","MGI:1859606")</f>
        <v>MGI:1859606</v>
      </c>
      <c r="J6785" s="4" t="s">
        <v>12</v>
      </c>
    </row>
    <row r="6786" spans="1:10" x14ac:dyDescent="0.25">
      <c r="A6786" s="2">
        <v>14.9693374707795</v>
      </c>
      <c r="B6786" s="3">
        <v>-0.73099891116424298</v>
      </c>
      <c r="C6786" s="3">
        <v>5.9841111929322E-3</v>
      </c>
      <c r="D6786" s="4">
        <v>1.5564056017491799E-2</v>
      </c>
      <c r="E6786" s="3" t="s">
        <v>15169</v>
      </c>
      <c r="F6786" s="3" t="s">
        <v>15170</v>
      </c>
      <c r="G6786" s="3" t="s">
        <v>83</v>
      </c>
      <c r="H6786" s="7" t="str">
        <f>HYPERLINK("http://www.ensembl.org/Mus_musculus/Gene/Summary?db=core;g=ENSMUSG00000075514","ENSMUSG00000075514")</f>
        <v>ENSMUSG00000075514</v>
      </c>
      <c r="I6786" s="7" t="str">
        <f>HYPERLINK("http://www.informatics.jax.org/marker/MGI:3649913","MGI:3649913")</f>
        <v>MGI:3649913</v>
      </c>
      <c r="J6786" s="4" t="s">
        <v>932</v>
      </c>
    </row>
    <row r="6787" spans="1:10" x14ac:dyDescent="0.25">
      <c r="A6787" s="2">
        <v>12705.2044759086</v>
      </c>
      <c r="B6787" s="3">
        <v>-0.73126245206646701</v>
      </c>
      <c r="C6787" s="5">
        <v>4.8927117021541498E-11</v>
      </c>
      <c r="D6787" s="6">
        <v>2.9140523940344202E-10</v>
      </c>
      <c r="E6787" s="3" t="s">
        <v>6639</v>
      </c>
      <c r="F6787" s="3" t="s">
        <v>6640</v>
      </c>
      <c r="G6787" s="3">
        <v>19141</v>
      </c>
      <c r="H6787" s="7" t="str">
        <f>HYPERLINK("http://www.ensembl.org/Mus_musculus/Gene/Summary?db=core;g=ENSMUSG00000021190","ENSMUSG00000021190")</f>
        <v>ENSMUSG00000021190</v>
      </c>
      <c r="I6787" s="7" t="str">
        <f>HYPERLINK("http://www.informatics.jax.org/marker/MGI:1330838","MGI:1330838")</f>
        <v>MGI:1330838</v>
      </c>
      <c r="J6787" s="4" t="s">
        <v>12</v>
      </c>
    </row>
    <row r="6788" spans="1:10" x14ac:dyDescent="0.25">
      <c r="A6788" s="2">
        <v>132.43627070863801</v>
      </c>
      <c r="B6788" s="3">
        <v>-0.73148666151585695</v>
      </c>
      <c r="C6788" s="5">
        <v>1.30647419879735E-11</v>
      </c>
      <c r="D6788" s="6">
        <v>8.0941474081946798E-11</v>
      </c>
      <c r="E6788" s="3" t="s">
        <v>6383</v>
      </c>
      <c r="F6788" s="3" t="s">
        <v>6384</v>
      </c>
      <c r="G6788" s="3">
        <v>60534</v>
      </c>
      <c r="H6788" s="7" t="str">
        <f>HYPERLINK("http://www.ensembl.org/Mus_musculus/Gene/Summary?db=core;g=ENSMUSG00000028453","ENSMUSG00000028453")</f>
        <v>ENSMUSG00000028453</v>
      </c>
      <c r="I6788" s="7" t="str">
        <f>HYPERLINK("http://www.informatics.jax.org/marker/MGI:1926471","MGI:1926471")</f>
        <v>MGI:1926471</v>
      </c>
      <c r="J6788" s="4" t="s">
        <v>12</v>
      </c>
    </row>
    <row r="6789" spans="1:10" x14ac:dyDescent="0.25">
      <c r="A6789" s="2">
        <v>23.996560342256199</v>
      </c>
      <c r="B6789" s="3">
        <v>-0.73174481042906903</v>
      </c>
      <c r="C6789" s="3">
        <v>2.2498579737262299E-3</v>
      </c>
      <c r="D6789" s="4">
        <v>6.3021589832217796E-3</v>
      </c>
      <c r="E6789" s="3" t="s">
        <v>14087</v>
      </c>
      <c r="F6789" s="3" t="s">
        <v>14088</v>
      </c>
      <c r="G6789" s="3">
        <v>14773</v>
      </c>
      <c r="H6789" s="7" t="str">
        <f>HYPERLINK("http://www.ensembl.org/Mus_musculus/Gene/Summary?db=core;g=ENSMUSG00000003228","ENSMUSG00000003228")</f>
        <v>ENSMUSG00000003228</v>
      </c>
      <c r="I6789" s="7" t="str">
        <f>HYPERLINK("http://www.informatics.jax.org/marker/MGI:109161","MGI:109161")</f>
        <v>MGI:109161</v>
      </c>
      <c r="J6789" s="4" t="s">
        <v>12</v>
      </c>
    </row>
    <row r="6790" spans="1:10" x14ac:dyDescent="0.25">
      <c r="A6790" s="2">
        <v>182.919201868915</v>
      </c>
      <c r="B6790" s="3">
        <v>-0.73174714678369202</v>
      </c>
      <c r="C6790" s="5">
        <v>1.9336520703659701E-10</v>
      </c>
      <c r="D6790" s="6">
        <v>1.09889391434055E-9</v>
      </c>
      <c r="E6790" s="3" t="s">
        <v>6958</v>
      </c>
      <c r="F6790" s="3" t="s">
        <v>6959</v>
      </c>
      <c r="G6790" s="3">
        <v>72355</v>
      </c>
      <c r="H6790" s="7" t="str">
        <f>HYPERLINK("http://www.ensembl.org/Mus_musculus/Gene/Summary?db=core;g=ENSMUSG00000064284","ENSMUSG00000064284")</f>
        <v>ENSMUSG00000064284</v>
      </c>
      <c r="I6790" s="7" t="str">
        <f>HYPERLINK("http://www.informatics.jax.org/marker/MGI:1919605","MGI:1919605")</f>
        <v>MGI:1919605</v>
      </c>
      <c r="J6790" s="4" t="s">
        <v>12</v>
      </c>
    </row>
    <row r="6791" spans="1:10" x14ac:dyDescent="0.25">
      <c r="A6791" s="2">
        <v>74.653801573034897</v>
      </c>
      <c r="B6791" s="3">
        <v>-0.73222081092177704</v>
      </c>
      <c r="C6791" s="5">
        <v>7.1261187206147303E-7</v>
      </c>
      <c r="D6791" s="6">
        <v>2.9937592920861201E-6</v>
      </c>
      <c r="E6791" s="3" t="s">
        <v>9403</v>
      </c>
      <c r="F6791" s="3" t="s">
        <v>9404</v>
      </c>
      <c r="G6791" s="3">
        <v>117591</v>
      </c>
      <c r="H6791" s="7" t="str">
        <f>HYPERLINK("http://www.ensembl.org/Mus_musculus/Gene/Summary?db=core;g=ENSMUSG00000005107","ENSMUSG00000005107")</f>
        <v>ENSMUSG00000005107</v>
      </c>
      <c r="I6791" s="7" t="str">
        <f>HYPERLINK("http://www.informatics.jax.org/marker/MGI:2152844","MGI:2152844")</f>
        <v>MGI:2152844</v>
      </c>
      <c r="J6791" s="4" t="s">
        <v>12</v>
      </c>
    </row>
    <row r="6792" spans="1:10" x14ac:dyDescent="0.25">
      <c r="A6792" s="2">
        <v>106.219617327615</v>
      </c>
      <c r="B6792" s="3">
        <v>-0.73257673447508698</v>
      </c>
      <c r="C6792" s="5">
        <v>3.9042533942750999E-7</v>
      </c>
      <c r="D6792" s="6">
        <v>1.68325047956067E-6</v>
      </c>
      <c r="E6792" s="3" t="s">
        <v>9163</v>
      </c>
      <c r="F6792" s="3" t="s">
        <v>9164</v>
      </c>
      <c r="G6792" s="3">
        <v>14357</v>
      </c>
      <c r="H6792" s="7" t="str">
        <f>HYPERLINK("http://www.ensembl.org/Mus_musculus/Gene/Summary?db=core;g=ENSMUSG00000029603","ENSMUSG00000029603")</f>
        <v>ENSMUSG00000029603</v>
      </c>
      <c r="I6792" s="7" t="str">
        <f>HYPERLINK("http://www.informatics.jax.org/marker/MGI:1352744","MGI:1352744")</f>
        <v>MGI:1352744</v>
      </c>
      <c r="J6792" s="4" t="s">
        <v>12</v>
      </c>
    </row>
    <row r="6793" spans="1:10" x14ac:dyDescent="0.25">
      <c r="A6793" s="2">
        <v>133.974867114311</v>
      </c>
      <c r="B6793" s="3">
        <v>-0.73257700159957395</v>
      </c>
      <c r="C6793" s="5">
        <v>4.52597793494128E-10</v>
      </c>
      <c r="D6793" s="6">
        <v>2.4875218750569099E-9</v>
      </c>
      <c r="E6793" s="3" t="s">
        <v>7194</v>
      </c>
      <c r="F6793" s="3" t="s">
        <v>7195</v>
      </c>
      <c r="G6793" s="3">
        <v>68021</v>
      </c>
      <c r="H6793" s="7" t="str">
        <f>HYPERLINK("http://www.ensembl.org/Mus_musculus/Gene/Summary?db=core;g=ENSMUSG00000038286","ENSMUSG00000038286")</f>
        <v>ENSMUSG00000038286</v>
      </c>
      <c r="I6793" s="7" t="str">
        <f>HYPERLINK("http://www.informatics.jax.org/marker/MGI:1915271","MGI:1915271")</f>
        <v>MGI:1915271</v>
      </c>
      <c r="J6793" s="4" t="s">
        <v>12</v>
      </c>
    </row>
    <row r="6794" spans="1:10" x14ac:dyDescent="0.25">
      <c r="A6794" s="2">
        <v>222.86102419405901</v>
      </c>
      <c r="B6794" s="3">
        <v>-0.73258984173419806</v>
      </c>
      <c r="C6794" s="5">
        <v>2.9541092761426498E-10</v>
      </c>
      <c r="D6794" s="6">
        <v>1.6540327917527901E-9</v>
      </c>
      <c r="E6794" s="3" t="s">
        <v>7062</v>
      </c>
      <c r="F6794" s="3" t="s">
        <v>7063</v>
      </c>
      <c r="G6794" s="3">
        <v>170787</v>
      </c>
      <c r="H6794" s="7" t="str">
        <f>HYPERLINK("http://www.ensembl.org/Mus_musculus/Gene/Summary?db=core;g=ENSMUSG00000062906","ENSMUSG00000062906")</f>
        <v>ENSMUSG00000062906</v>
      </c>
      <c r="I6794" s="7" t="str">
        <f>HYPERLINK("http://www.informatics.jax.org/marker/MGI:2158340","MGI:2158340")</f>
        <v>MGI:2158340</v>
      </c>
      <c r="J6794" s="4" t="s">
        <v>12</v>
      </c>
    </row>
    <row r="6795" spans="1:10" x14ac:dyDescent="0.25">
      <c r="A6795" s="2">
        <v>143.13501068572401</v>
      </c>
      <c r="B6795" s="3">
        <v>-0.73279759072371597</v>
      </c>
      <c r="C6795" s="5">
        <v>5.7435347317912996E-10</v>
      </c>
      <c r="D6795" s="6">
        <v>3.1331260003022E-9</v>
      </c>
      <c r="E6795" s="3" t="s">
        <v>7248</v>
      </c>
      <c r="F6795" s="3" t="s">
        <v>7249</v>
      </c>
      <c r="G6795" s="3">
        <v>245867</v>
      </c>
      <c r="H6795" s="7" t="str">
        <f>HYPERLINK("http://www.ensembl.org/Mus_musculus/Gene/Summary?db=core;g=ENSMUSG00000027589","ENSMUSG00000027589")</f>
        <v>ENSMUSG00000027589</v>
      </c>
      <c r="I6795" s="7" t="str">
        <f>HYPERLINK("http://www.informatics.jax.org/marker/MGI:1923927","MGI:1923927")</f>
        <v>MGI:1923927</v>
      </c>
      <c r="J6795" s="4" t="s">
        <v>12</v>
      </c>
    </row>
    <row r="6796" spans="1:10" x14ac:dyDescent="0.25">
      <c r="A6796" s="2">
        <v>221.63908181728999</v>
      </c>
      <c r="B6796" s="3">
        <v>-0.73298190899013205</v>
      </c>
      <c r="C6796" s="5">
        <v>1.6337076510467899E-15</v>
      </c>
      <c r="D6796" s="6">
        <v>1.28918426885325E-14</v>
      </c>
      <c r="E6796" s="3" t="s">
        <v>5015</v>
      </c>
      <c r="F6796" s="3" t="s">
        <v>5016</v>
      </c>
      <c r="G6796" s="3">
        <v>19062</v>
      </c>
      <c r="H6796" s="7" t="str">
        <f>HYPERLINK("http://www.ensembl.org/Mus_musculus/Gene/Summary?db=core;g=ENSMUSG00000006127","ENSMUSG00000006127")</f>
        <v>ENSMUSG00000006127</v>
      </c>
      <c r="I6796" s="7" t="str">
        <f>HYPERLINK("http://www.informatics.jax.org/marker/MGI:1194899","MGI:1194899")</f>
        <v>MGI:1194899</v>
      </c>
      <c r="J6796" s="4" t="s">
        <v>12</v>
      </c>
    </row>
    <row r="6797" spans="1:10" x14ac:dyDescent="0.25">
      <c r="A6797" s="2">
        <v>13.0818473625429</v>
      </c>
      <c r="B6797" s="3">
        <v>-0.73372607670954504</v>
      </c>
      <c r="C6797" s="3">
        <v>1.7157173712910801E-2</v>
      </c>
      <c r="D6797" s="4">
        <v>4.0636495990703903E-2</v>
      </c>
      <c r="E6797" s="3" t="s">
        <v>16656</v>
      </c>
      <c r="F6797" s="3" t="s">
        <v>16657</v>
      </c>
      <c r="G6797" s="3" t="s">
        <v>83</v>
      </c>
      <c r="H6797" s="7" t="str">
        <f>HYPERLINK("http://www.ensembl.org/Mus_musculus/Gene/Summary?db=core;g=ENSMUSG00000084941","ENSMUSG00000084941")</f>
        <v>ENSMUSG00000084941</v>
      </c>
      <c r="I6797" s="7" t="str">
        <f>HYPERLINK("http://www.informatics.jax.org/marker/MGI:3702312","MGI:3702312")</f>
        <v>MGI:3702312</v>
      </c>
      <c r="J6797" s="4" t="s">
        <v>331</v>
      </c>
    </row>
    <row r="6798" spans="1:10" x14ac:dyDescent="0.25">
      <c r="A6798" s="2">
        <v>99.330337362572394</v>
      </c>
      <c r="B6798" s="3">
        <v>-0.73420696646267403</v>
      </c>
      <c r="C6798" s="5">
        <v>9.2104574109014798E-6</v>
      </c>
      <c r="D6798" s="6">
        <v>3.46094169479758E-5</v>
      </c>
      <c r="E6798" s="3" t="s">
        <v>10510</v>
      </c>
      <c r="F6798" s="3" t="s">
        <v>10511</v>
      </c>
      <c r="G6798" s="3">
        <v>22685</v>
      </c>
      <c r="H6798" s="7" t="str">
        <f>HYPERLINK("http://www.ensembl.org/Mus_musculus/Gene/Summary?db=core;g=ENSMUSG00000042097","ENSMUSG00000042097")</f>
        <v>ENSMUSG00000042097</v>
      </c>
      <c r="I6798" s="7" t="str">
        <f>HYPERLINK("http://www.informatics.jax.org/marker/MGI:1306812","MGI:1306812")</f>
        <v>MGI:1306812</v>
      </c>
      <c r="J6798" s="4" t="s">
        <v>12</v>
      </c>
    </row>
    <row r="6799" spans="1:10" x14ac:dyDescent="0.25">
      <c r="A6799" s="2">
        <v>94.493631146002798</v>
      </c>
      <c r="B6799" s="3">
        <v>-0.73502904416056203</v>
      </c>
      <c r="C6799" s="5">
        <v>2.0680260038468899E-8</v>
      </c>
      <c r="D6799" s="6">
        <v>9.9539840849061901E-8</v>
      </c>
      <c r="E6799" s="3" t="s">
        <v>8211</v>
      </c>
      <c r="F6799" s="3" t="s">
        <v>8212</v>
      </c>
      <c r="G6799" s="3">
        <v>70382</v>
      </c>
      <c r="H6799" s="7" t="str">
        <f>HYPERLINK("http://www.ensembl.org/Mus_musculus/Gene/Summary?db=core;g=ENSMUSG00000016940","ENSMUSG00000016940")</f>
        <v>ENSMUSG00000016940</v>
      </c>
      <c r="I6799" s="7" t="str">
        <f>HYPERLINK("http://www.informatics.jax.org/marker/MGI:1917632","MGI:1917632")</f>
        <v>MGI:1917632</v>
      </c>
      <c r="J6799" s="4" t="s">
        <v>12</v>
      </c>
    </row>
    <row r="6800" spans="1:10" x14ac:dyDescent="0.25">
      <c r="A6800" s="2">
        <v>1819.98644357442</v>
      </c>
      <c r="B6800" s="3">
        <v>-0.73562750867511195</v>
      </c>
      <c r="C6800" s="5">
        <v>3.0965397628609601E-10</v>
      </c>
      <c r="D6800" s="6">
        <v>1.73034185671913E-9</v>
      </c>
      <c r="E6800" s="3" t="s">
        <v>7076</v>
      </c>
      <c r="F6800" s="3" t="s">
        <v>7077</v>
      </c>
      <c r="G6800" s="3">
        <v>240641</v>
      </c>
      <c r="H6800" s="7" t="str">
        <f>HYPERLINK("http://www.ensembl.org/Mus_musculus/Gene/Summary?db=core;g=ENSMUSG00000024795","ENSMUSG00000024795")</f>
        <v>ENSMUSG00000024795</v>
      </c>
      <c r="I6800" s="7" t="str">
        <f>HYPERLINK("http://www.informatics.jax.org/marker/MGI:2444576","MGI:2444576")</f>
        <v>MGI:2444576</v>
      </c>
      <c r="J6800" s="4" t="s">
        <v>12</v>
      </c>
    </row>
    <row r="6801" spans="1:10" x14ac:dyDescent="0.25">
      <c r="A6801" s="2">
        <v>749.54300438883104</v>
      </c>
      <c r="B6801" s="3">
        <v>-0.73592283873088205</v>
      </c>
      <c r="C6801" s="5">
        <v>7.5333328266023204E-31</v>
      </c>
      <c r="D6801" s="6">
        <v>1.1392432771518199E-29</v>
      </c>
      <c r="E6801" s="3" t="s">
        <v>2625</v>
      </c>
      <c r="F6801" s="3" t="s">
        <v>2626</v>
      </c>
      <c r="G6801" s="3">
        <v>329165</v>
      </c>
      <c r="H6801" s="7" t="str">
        <f>HYPERLINK("http://www.ensembl.org/Mus_musculus/Gene/Summary?db=core;g=ENSMUSG00000026782","ENSMUSG00000026782")</f>
        <v>ENSMUSG00000026782</v>
      </c>
      <c r="I6801" s="7" t="str">
        <f>HYPERLINK("http://www.informatics.jax.org/marker/MGI:106913","MGI:106913")</f>
        <v>MGI:106913</v>
      </c>
      <c r="J6801" s="4" t="s">
        <v>12</v>
      </c>
    </row>
    <row r="6802" spans="1:10" x14ac:dyDescent="0.25">
      <c r="A6802" s="2">
        <v>291.241017155603</v>
      </c>
      <c r="B6802" s="3">
        <v>-0.73628152268959202</v>
      </c>
      <c r="C6802" s="5">
        <v>3.7112057155969798E-15</v>
      </c>
      <c r="D6802" s="6">
        <v>2.8745081190719701E-14</v>
      </c>
      <c r="E6802" s="3" t="s">
        <v>5109</v>
      </c>
      <c r="F6802" s="3" t="s">
        <v>5110</v>
      </c>
      <c r="G6802" s="3">
        <v>74187</v>
      </c>
      <c r="H6802" s="7" t="str">
        <f>HYPERLINK("http://www.ensembl.org/Mus_musculus/Gene/Summary?db=core;g=ENSMUSG00000031787","ENSMUSG00000031787")</f>
        <v>ENSMUSG00000031787</v>
      </c>
      <c r="I6802" s="7" t="str">
        <f>HYPERLINK("http://www.informatics.jax.org/marker/MGI:1921437","MGI:1921437")</f>
        <v>MGI:1921437</v>
      </c>
      <c r="J6802" s="4" t="s">
        <v>12</v>
      </c>
    </row>
    <row r="6803" spans="1:10" x14ac:dyDescent="0.25">
      <c r="A6803" s="2">
        <v>123.20627497792501</v>
      </c>
      <c r="B6803" s="3">
        <v>-0.73694670602221701</v>
      </c>
      <c r="C6803" s="5">
        <v>5.5885040051750797E-11</v>
      </c>
      <c r="D6803" s="6">
        <v>3.3114573011433998E-10</v>
      </c>
      <c r="E6803" s="3" t="s">
        <v>6673</v>
      </c>
      <c r="F6803" s="3" t="s">
        <v>6674</v>
      </c>
      <c r="G6803" s="3">
        <v>230577</v>
      </c>
      <c r="H6803" s="7" t="str">
        <f>HYPERLINK("http://www.ensembl.org/Mus_musculus/Gene/Summary?db=core;g=ENSMUSG00000043572","ENSMUSG00000043572")</f>
        <v>ENSMUSG00000043572</v>
      </c>
      <c r="I6803" s="7" t="str">
        <f>HYPERLINK("http://www.informatics.jax.org/marker/MGI:2386296","MGI:2386296")</f>
        <v>MGI:2386296</v>
      </c>
      <c r="J6803" s="4" t="s">
        <v>12</v>
      </c>
    </row>
    <row r="6804" spans="1:10" x14ac:dyDescent="0.25">
      <c r="A6804" s="2">
        <v>45.2709940733465</v>
      </c>
      <c r="B6804" s="3">
        <v>-0.73784958891673902</v>
      </c>
      <c r="C6804" s="5">
        <v>4.4107163764457903E-5</v>
      </c>
      <c r="D6804" s="4">
        <v>1.54492587821512E-4</v>
      </c>
      <c r="E6804" s="3" t="s">
        <v>11271</v>
      </c>
      <c r="F6804" s="3" t="s">
        <v>11272</v>
      </c>
      <c r="G6804" s="3">
        <v>72873</v>
      </c>
      <c r="H6804" s="7" t="str">
        <f>HYPERLINK("http://www.ensembl.org/Mus_musculus/Gene/Summary?db=core;g=ENSMUSG00000057265","ENSMUSG00000057265")</f>
        <v>ENSMUSG00000057265</v>
      </c>
      <c r="I6804" s="7" t="str">
        <f>HYPERLINK("http://www.informatics.jax.org/marker/MGI:1920123","MGI:1920123")</f>
        <v>MGI:1920123</v>
      </c>
      <c r="J6804" s="4" t="s">
        <v>12</v>
      </c>
    </row>
    <row r="6805" spans="1:10" x14ac:dyDescent="0.25">
      <c r="A6805" s="2">
        <v>670.97599983458804</v>
      </c>
      <c r="B6805" s="3">
        <v>-0.73832364947281104</v>
      </c>
      <c r="C6805" s="5">
        <v>2.4742934993636101E-18</v>
      </c>
      <c r="D6805" s="6">
        <v>2.2726161065417E-17</v>
      </c>
      <c r="E6805" s="3" t="s">
        <v>4309</v>
      </c>
      <c r="F6805" s="3" t="s">
        <v>4310</v>
      </c>
      <c r="G6805" s="3">
        <v>12367</v>
      </c>
      <c r="H6805" s="7" t="str">
        <f>HYPERLINK("http://www.ensembl.org/Mus_musculus/Gene/Summary?db=core;g=ENSMUSG00000031628","ENSMUSG00000031628")</f>
        <v>ENSMUSG00000031628</v>
      </c>
      <c r="I6805" s="7" t="str">
        <f>HYPERLINK("http://www.informatics.jax.org/marker/MGI:107739","MGI:107739")</f>
        <v>MGI:107739</v>
      </c>
      <c r="J6805" s="4" t="s">
        <v>12</v>
      </c>
    </row>
    <row r="6806" spans="1:10" x14ac:dyDescent="0.25">
      <c r="A6806" s="2">
        <v>316.63066494655101</v>
      </c>
      <c r="B6806" s="3">
        <v>-0.738541851395636</v>
      </c>
      <c r="C6806" s="5">
        <v>1.2984906808145901E-17</v>
      </c>
      <c r="D6806" s="6">
        <v>1.1477470293887799E-16</v>
      </c>
      <c r="E6806" s="3" t="s">
        <v>4479</v>
      </c>
      <c r="F6806" s="3" t="s">
        <v>4480</v>
      </c>
      <c r="G6806" s="3">
        <v>18764</v>
      </c>
      <c r="H6806" s="7" t="str">
        <f>HYPERLINK("http://www.ensembl.org/Mus_musculus/Gene/Summary?db=core;g=ENSMUSG00000034462","ENSMUSG00000034462")</f>
        <v>ENSMUSG00000034462</v>
      </c>
      <c r="I6806" s="7" t="str">
        <f>HYPERLINK("http://www.informatics.jax.org/marker/MGI:1099818","MGI:1099818")</f>
        <v>MGI:1099818</v>
      </c>
      <c r="J6806" s="4" t="s">
        <v>12</v>
      </c>
    </row>
    <row r="6807" spans="1:10" x14ac:dyDescent="0.25">
      <c r="A6807" s="2">
        <v>252.38475362408701</v>
      </c>
      <c r="B6807" s="3">
        <v>-0.73878794913185397</v>
      </c>
      <c r="C6807" s="5">
        <v>2.7791692135569699E-14</v>
      </c>
      <c r="D6807" s="6">
        <v>2.0541685491508001E-13</v>
      </c>
      <c r="E6807" s="3" t="s">
        <v>5353</v>
      </c>
      <c r="F6807" s="3" t="s">
        <v>5354</v>
      </c>
      <c r="G6807" s="3">
        <v>71683</v>
      </c>
      <c r="H6807" s="7" t="str">
        <f>HYPERLINK("http://www.ensembl.org/Mus_musculus/Gene/Summary?db=core;g=ENSMUSG00000090523","ENSMUSG00000090523")</f>
        <v>ENSMUSG00000090523</v>
      </c>
      <c r="I6807" s="7" t="str">
        <f>HYPERLINK("http://www.informatics.jax.org/marker/MGI:1098566","MGI:1098566")</f>
        <v>MGI:1098566</v>
      </c>
      <c r="J6807" s="4" t="s">
        <v>12</v>
      </c>
    </row>
    <row r="6808" spans="1:10" x14ac:dyDescent="0.25">
      <c r="A6808" s="2">
        <v>535.08391657313905</v>
      </c>
      <c r="B6808" s="3">
        <v>-0.73968661045870998</v>
      </c>
      <c r="C6808" s="5">
        <v>6.8220162763582503E-12</v>
      </c>
      <c r="D6808" s="6">
        <v>4.3215599412073502E-11</v>
      </c>
      <c r="E6808" s="3" t="s">
        <v>6243</v>
      </c>
      <c r="F6808" s="3" t="s">
        <v>6244</v>
      </c>
      <c r="G6808" s="3">
        <v>51789</v>
      </c>
      <c r="H6808" s="7" t="str">
        <f>HYPERLINK("http://www.ensembl.org/Mus_musculus/Gene/Summary?db=core;g=ENSMUSG00000022791","ENSMUSG00000022791")</f>
        <v>ENSMUSG00000022791</v>
      </c>
      <c r="I6808" s="7" t="str">
        <f>HYPERLINK("http://www.informatics.jax.org/marker/MGI:1858308","MGI:1858308")</f>
        <v>MGI:1858308</v>
      </c>
      <c r="J6808" s="4" t="s">
        <v>12</v>
      </c>
    </row>
    <row r="6809" spans="1:10" x14ac:dyDescent="0.25">
      <c r="A6809" s="2">
        <v>434.14717514634498</v>
      </c>
      <c r="B6809" s="3">
        <v>-0.73978064640994901</v>
      </c>
      <c r="C6809" s="5">
        <v>6.3626169597819797E-16</v>
      </c>
      <c r="D6809" s="6">
        <v>5.1149941478557104E-15</v>
      </c>
      <c r="E6809" s="3" t="s">
        <v>4923</v>
      </c>
      <c r="F6809" s="3" t="s">
        <v>4924</v>
      </c>
      <c r="G6809" s="3">
        <v>72114</v>
      </c>
      <c r="H6809" s="7" t="str">
        <f>HYPERLINK("http://www.ensembl.org/Mus_musculus/Gene/Summary?db=core;g=ENSMUSG00000041995","ENSMUSG00000041995")</f>
        <v>ENSMUSG00000041995</v>
      </c>
      <c r="I6809" s="7" t="str">
        <f>HYPERLINK("http://www.informatics.jax.org/marker/MGI:1919364","MGI:1919364")</f>
        <v>MGI:1919364</v>
      </c>
      <c r="J6809" s="4" t="s">
        <v>12</v>
      </c>
    </row>
    <row r="6810" spans="1:10" x14ac:dyDescent="0.25">
      <c r="A6810" s="2">
        <v>261.96669198431499</v>
      </c>
      <c r="B6810" s="3">
        <v>-0.73978916272710904</v>
      </c>
      <c r="C6810" s="5">
        <v>7.0629558436261196E-10</v>
      </c>
      <c r="D6810" s="6">
        <v>3.8264145394589798E-9</v>
      </c>
      <c r="E6810" s="3" t="s">
        <v>7298</v>
      </c>
      <c r="F6810" s="3" t="s">
        <v>7299</v>
      </c>
      <c r="G6810" s="3">
        <v>66570</v>
      </c>
      <c r="H6810" s="7" t="str">
        <f>HYPERLINK("http://www.ensembl.org/Mus_musculus/Gene/Summary?db=core;g=ENSMUSG00000068101","ENSMUSG00000068101")</f>
        <v>ENSMUSG00000068101</v>
      </c>
      <c r="I6810" s="7" t="str">
        <f>HYPERLINK("http://www.informatics.jax.org/marker/MGI:1913820","MGI:1913820")</f>
        <v>MGI:1913820</v>
      </c>
      <c r="J6810" s="4" t="s">
        <v>12</v>
      </c>
    </row>
    <row r="6811" spans="1:10" x14ac:dyDescent="0.25">
      <c r="A6811" s="2">
        <v>42.0595799733685</v>
      </c>
      <c r="B6811" s="3">
        <v>-0.74060400510435498</v>
      </c>
      <c r="C6811" s="3">
        <v>1.11716795488727E-4</v>
      </c>
      <c r="D6811" s="4">
        <v>3.7447819259522203E-4</v>
      </c>
      <c r="E6811" s="3" t="s">
        <v>11777</v>
      </c>
      <c r="F6811" s="3" t="s">
        <v>11778</v>
      </c>
      <c r="G6811" s="3" t="s">
        <v>83</v>
      </c>
      <c r="H6811" s="7" t="str">
        <f>HYPERLINK("http://www.ensembl.org/Mus_musculus/Gene/Summary?db=core;g=ENSMUSG00000108449","ENSMUSG00000108449")</f>
        <v>ENSMUSG00000108449</v>
      </c>
      <c r="I6811" s="7" t="str">
        <f>HYPERLINK("http://www.informatics.jax.org/marker/MGI:5753083","MGI:5753083")</f>
        <v>MGI:5753083</v>
      </c>
      <c r="J6811" s="4" t="s">
        <v>939</v>
      </c>
    </row>
    <row r="6812" spans="1:10" x14ac:dyDescent="0.25">
      <c r="A6812" s="2">
        <v>45.076866161879302</v>
      </c>
      <c r="B6812" s="3">
        <v>-0.74078308153694095</v>
      </c>
      <c r="C6812" s="3">
        <v>1.9582830988463902E-3</v>
      </c>
      <c r="D6812" s="4">
        <v>5.5422592287821702E-3</v>
      </c>
      <c r="E6812" s="3" t="s">
        <v>13941</v>
      </c>
      <c r="F6812" s="3" t="s">
        <v>13942</v>
      </c>
      <c r="G6812" s="3" t="s">
        <v>83</v>
      </c>
      <c r="H6812" s="7" t="str">
        <f>HYPERLINK("http://www.ensembl.org/Mus_musculus/Gene/Summary?db=core;g=ENSMUSG00000086389","ENSMUSG00000086389")</f>
        <v>ENSMUSG00000086389</v>
      </c>
      <c r="I6812" s="7" t="str">
        <f>HYPERLINK("http://www.informatics.jax.org/marker/MGI:3802094","MGI:3802094")</f>
        <v>MGI:3802094</v>
      </c>
      <c r="J6812" s="4" t="s">
        <v>932</v>
      </c>
    </row>
    <row r="6813" spans="1:10" x14ac:dyDescent="0.25">
      <c r="A6813" s="2">
        <v>452.599692588425</v>
      </c>
      <c r="B6813" s="3">
        <v>-0.74086540153736702</v>
      </c>
      <c r="C6813" s="5">
        <v>4.39091472607046E-20</v>
      </c>
      <c r="D6813" s="6">
        <v>4.3731736564701702E-19</v>
      </c>
      <c r="E6813" s="3" t="s">
        <v>3978</v>
      </c>
      <c r="F6813" s="3" t="s">
        <v>3979</v>
      </c>
      <c r="G6813" s="3">
        <v>12892</v>
      </c>
      <c r="H6813" s="7" t="str">
        <f>HYPERLINK("http://www.ensembl.org/Mus_musculus/Gene/Summary?db=core;g=ENSMUSG00000022742","ENSMUSG00000022742")</f>
        <v>ENSMUSG00000022742</v>
      </c>
      <c r="I6813" s="7" t="str">
        <f>HYPERLINK("http://www.informatics.jax.org/marker/MGI:104841","MGI:104841")</f>
        <v>MGI:104841</v>
      </c>
      <c r="J6813" s="4" t="s">
        <v>12</v>
      </c>
    </row>
    <row r="6814" spans="1:10" x14ac:dyDescent="0.25">
      <c r="A6814" s="2">
        <v>217.78269335355</v>
      </c>
      <c r="B6814" s="3">
        <v>-0.74144948182886194</v>
      </c>
      <c r="C6814" s="5">
        <v>2.15784884673519E-10</v>
      </c>
      <c r="D6814" s="6">
        <v>1.22172779952965E-9</v>
      </c>
      <c r="E6814" s="3" t="s">
        <v>6984</v>
      </c>
      <c r="F6814" s="3" t="s">
        <v>6985</v>
      </c>
      <c r="G6814" s="3">
        <v>212986</v>
      </c>
      <c r="H6814" s="7" t="str">
        <f>HYPERLINK("http://www.ensembl.org/Mus_musculus/Gene/Summary?db=core;g=ENSMUSG00000062110","ENSMUSG00000062110")</f>
        <v>ENSMUSG00000062110</v>
      </c>
      <c r="I6814" s="7" t="str">
        <f>HYPERLINK("http://www.informatics.jax.org/marker/MGI:2443446","MGI:2443446")</f>
        <v>MGI:2443446</v>
      </c>
      <c r="J6814" s="4" t="s">
        <v>12</v>
      </c>
    </row>
    <row r="6815" spans="1:10" x14ac:dyDescent="0.25">
      <c r="A6815" s="2">
        <v>1442.1328176648899</v>
      </c>
      <c r="B6815" s="3">
        <v>-0.74187207744100603</v>
      </c>
      <c r="C6815" s="5">
        <v>2.4311430135738401E-53</v>
      </c>
      <c r="D6815" s="6">
        <v>7.0815569021678093E-52</v>
      </c>
      <c r="E6815" s="3" t="s">
        <v>1370</v>
      </c>
      <c r="F6815" s="3" t="s">
        <v>1371</v>
      </c>
      <c r="G6815" s="3">
        <v>18749</v>
      </c>
      <c r="H6815" s="7" t="str">
        <f>HYPERLINK("http://www.ensembl.org/Mus_musculus/Gene/Summary?db=core;g=ENSMUSG00000005034","ENSMUSG00000005034")</f>
        <v>ENSMUSG00000005034</v>
      </c>
      <c r="I6815" s="7" t="str">
        <f>HYPERLINK("http://www.informatics.jax.org/marker/MGI:97594","MGI:97594")</f>
        <v>MGI:97594</v>
      </c>
      <c r="J6815" s="4" t="s">
        <v>12</v>
      </c>
    </row>
    <row r="6816" spans="1:10" x14ac:dyDescent="0.25">
      <c r="A6816" s="2">
        <v>2461.3328032474501</v>
      </c>
      <c r="B6816" s="3">
        <v>-0.74208074688172099</v>
      </c>
      <c r="C6816" s="5">
        <v>4.21908008289548E-11</v>
      </c>
      <c r="D6816" s="6">
        <v>2.5250458037844903E-10</v>
      </c>
      <c r="E6816" s="3" t="s">
        <v>6607</v>
      </c>
      <c r="F6816" s="3" t="s">
        <v>6608</v>
      </c>
      <c r="G6816" s="3">
        <v>16551</v>
      </c>
      <c r="H6816" s="7" t="str">
        <f>HYPERLINK("http://www.ensembl.org/Mus_musculus/Gene/Summary?db=core;g=ENSMUSG00000012443","ENSMUSG00000012443")</f>
        <v>ENSMUSG00000012443</v>
      </c>
      <c r="I6816" s="7" t="str">
        <f>HYPERLINK("http://www.informatics.jax.org/marker/MGI:1098231","MGI:1098231")</f>
        <v>MGI:1098231</v>
      </c>
      <c r="J6816" s="4" t="s">
        <v>12</v>
      </c>
    </row>
    <row r="6817" spans="1:10" x14ac:dyDescent="0.25">
      <c r="A6817" s="2">
        <v>3124.2357803845598</v>
      </c>
      <c r="B6817" s="3">
        <v>-0.74212005439622497</v>
      </c>
      <c r="C6817" s="5">
        <v>5.6338250988801901E-59</v>
      </c>
      <c r="D6817" s="6">
        <v>1.9491058061389E-57</v>
      </c>
      <c r="E6817" s="3" t="s">
        <v>1156</v>
      </c>
      <c r="F6817" s="3" t="s">
        <v>1157</v>
      </c>
      <c r="G6817" s="3">
        <v>68275</v>
      </c>
      <c r="H6817" s="7" t="str">
        <f>HYPERLINK("http://www.ensembl.org/Mus_musculus/Gene/Summary?db=core;g=ENSMUSG00000000751","ENSMUSG00000000751")</f>
        <v>ENSMUSG00000000751</v>
      </c>
      <c r="I6817" s="7" t="str">
        <f>HYPERLINK("http://www.informatics.jax.org/marker/MGI:1915525","MGI:1915525")</f>
        <v>MGI:1915525</v>
      </c>
      <c r="J6817" s="4" t="s">
        <v>12</v>
      </c>
    </row>
    <row r="6818" spans="1:10" x14ac:dyDescent="0.25">
      <c r="A6818" s="2">
        <v>150.57374580950699</v>
      </c>
      <c r="B6818" s="3">
        <v>-0.74250831649983295</v>
      </c>
      <c r="C6818" s="5">
        <v>9.5941986032197293E-15</v>
      </c>
      <c r="D6818" s="6">
        <v>7.2796304907846499E-14</v>
      </c>
      <c r="E6818" s="3" t="s">
        <v>5215</v>
      </c>
      <c r="F6818" s="3" t="s">
        <v>5216</v>
      </c>
      <c r="G6818" s="3">
        <v>29871</v>
      </c>
      <c r="H6818" s="7" t="str">
        <f>HYPERLINK("http://www.ensembl.org/Mus_musculus/Gene/Summary?db=core;g=ENSMUSG00000000085","ENSMUSG00000000085")</f>
        <v>ENSMUSG00000000085</v>
      </c>
      <c r="I6818" s="7" t="str">
        <f>HYPERLINK("http://www.informatics.jax.org/marker/MGI:1352762","MGI:1352762")</f>
        <v>MGI:1352762</v>
      </c>
      <c r="J6818" s="4" t="s">
        <v>12</v>
      </c>
    </row>
    <row r="6819" spans="1:10" x14ac:dyDescent="0.25">
      <c r="A6819" s="2">
        <v>501.213777016405</v>
      </c>
      <c r="B6819" s="3">
        <v>-0.74292605881832097</v>
      </c>
      <c r="C6819" s="5">
        <v>8.1582923337120402E-20</v>
      </c>
      <c r="D6819" s="6">
        <v>8.02001619246269E-19</v>
      </c>
      <c r="E6819" s="3" t="s">
        <v>4031</v>
      </c>
      <c r="F6819" s="3" t="s">
        <v>4032</v>
      </c>
      <c r="G6819" s="3">
        <v>83383</v>
      </c>
      <c r="H6819" s="7" t="str">
        <f>HYPERLINK("http://www.ensembl.org/Mus_musculus/Gene/Summary?db=core;g=ENSMUSG00000005718","ENSMUSG00000005718")</f>
        <v>ENSMUSG00000005718</v>
      </c>
      <c r="I6819" s="7" t="str">
        <f>HYPERLINK("http://www.informatics.jax.org/marker/MGI:103239","MGI:103239")</f>
        <v>MGI:103239</v>
      </c>
      <c r="J6819" s="4" t="s">
        <v>12</v>
      </c>
    </row>
    <row r="6820" spans="1:10" x14ac:dyDescent="0.25">
      <c r="A6820" s="2">
        <v>148.98495094369699</v>
      </c>
      <c r="B6820" s="3">
        <v>-0.74355240147871604</v>
      </c>
      <c r="C6820" s="5">
        <v>5.8932029736887103E-9</v>
      </c>
      <c r="D6820" s="6">
        <v>2.97526786075631E-8</v>
      </c>
      <c r="E6820" s="3" t="s">
        <v>7828</v>
      </c>
      <c r="F6820" s="3" t="s">
        <v>7829</v>
      </c>
      <c r="G6820" s="3">
        <v>244585</v>
      </c>
      <c r="H6820" s="7" t="str">
        <f>HYPERLINK("http://www.ensembl.org/Mus_musculus/Gene/Summary?db=core;g=ENSMUSG00000033282","ENSMUSG00000033282")</f>
        <v>ENSMUSG00000033282</v>
      </c>
      <c r="I6820" s="7" t="str">
        <f>HYPERLINK("http://www.informatics.jax.org/marker/MGI:1920563","MGI:1920563")</f>
        <v>MGI:1920563</v>
      </c>
      <c r="J6820" s="4" t="s">
        <v>12</v>
      </c>
    </row>
    <row r="6821" spans="1:10" x14ac:dyDescent="0.25">
      <c r="A6821" s="2">
        <v>231.88118856237301</v>
      </c>
      <c r="B6821" s="3">
        <v>-0.74431070738400096</v>
      </c>
      <c r="C6821" s="5">
        <v>7.13028031840655E-18</v>
      </c>
      <c r="D6821" s="6">
        <v>6.3942304628911795E-17</v>
      </c>
      <c r="E6821" s="3" t="s">
        <v>4415</v>
      </c>
      <c r="F6821" s="3" t="s">
        <v>4416</v>
      </c>
      <c r="G6821" s="3">
        <v>57434</v>
      </c>
      <c r="H6821" s="7" t="str">
        <f>HYPERLINK("http://www.ensembl.org/Mus_musculus/Gene/Summary?db=core;g=ENSMUSG00000028933","ENSMUSG00000028933")</f>
        <v>ENSMUSG00000028933</v>
      </c>
      <c r="I6821" s="7" t="str">
        <f>HYPERLINK("http://www.informatics.jax.org/marker/MGI:1927345","MGI:1927345")</f>
        <v>MGI:1927345</v>
      </c>
      <c r="J6821" s="4" t="s">
        <v>12</v>
      </c>
    </row>
    <row r="6822" spans="1:10" x14ac:dyDescent="0.25">
      <c r="A6822" s="2">
        <v>46.482595263853803</v>
      </c>
      <c r="B6822" s="3">
        <v>-0.74451969341115298</v>
      </c>
      <c r="C6822" s="5">
        <v>2.6711617308723299E-5</v>
      </c>
      <c r="D6822" s="6">
        <v>9.5912799222145603E-5</v>
      </c>
      <c r="E6822" s="3" t="s">
        <v>10996</v>
      </c>
      <c r="F6822" s="3" t="s">
        <v>10997</v>
      </c>
      <c r="G6822" s="3">
        <v>230259</v>
      </c>
      <c r="H6822" s="7" t="str">
        <f>HYPERLINK("http://www.ensembl.org/Mus_musculus/Gene/Summary?db=core;g=ENSMUSG00000045071","ENSMUSG00000045071")</f>
        <v>ENSMUSG00000045071</v>
      </c>
      <c r="I6822" s="7" t="str">
        <f>HYPERLINK("http://www.informatics.jax.org/marker/MGI:2442164","MGI:2442164")</f>
        <v>MGI:2442164</v>
      </c>
      <c r="J6822" s="4" t="s">
        <v>12</v>
      </c>
    </row>
    <row r="6823" spans="1:10" x14ac:dyDescent="0.25">
      <c r="A6823" s="2">
        <v>39.184698088927703</v>
      </c>
      <c r="B6823" s="3">
        <v>-0.74487642754203098</v>
      </c>
      <c r="C6823" s="3">
        <v>1.3600798388337299E-4</v>
      </c>
      <c r="D6823" s="4">
        <v>4.5092088805987097E-4</v>
      </c>
      <c r="E6823" s="3" t="s">
        <v>11907</v>
      </c>
      <c r="F6823" s="3" t="s">
        <v>11908</v>
      </c>
      <c r="G6823" s="3">
        <v>52666</v>
      </c>
      <c r="H6823" s="7" t="str">
        <f>HYPERLINK("http://www.ensembl.org/Mus_musculus/Gene/Summary?db=core;g=ENSMUSG00000019467","ENSMUSG00000019467")</f>
        <v>ENSMUSG00000019467</v>
      </c>
      <c r="I6823" s="7" t="str">
        <f>HYPERLINK("http://www.informatics.jax.org/marker/MGI:1277173","MGI:1277173")</f>
        <v>MGI:1277173</v>
      </c>
      <c r="J6823" s="4" t="s">
        <v>12</v>
      </c>
    </row>
    <row r="6824" spans="1:10" x14ac:dyDescent="0.25">
      <c r="A6824" s="2">
        <v>628.74806665020299</v>
      </c>
      <c r="B6824" s="3">
        <v>-0.74528870192966601</v>
      </c>
      <c r="C6824" s="5">
        <v>4.6743456567123697E-20</v>
      </c>
      <c r="D6824" s="6">
        <v>4.6413945795754199E-19</v>
      </c>
      <c r="E6824" s="3" t="s">
        <v>3990</v>
      </c>
      <c r="F6824" s="3" t="s">
        <v>3991</v>
      </c>
      <c r="G6824" s="3">
        <v>70297</v>
      </c>
      <c r="H6824" s="7" t="str">
        <f>HYPERLINK("http://www.ensembl.org/Mus_musculus/Gene/Summary?db=core;g=ENSMUSG00000038039","ENSMUSG00000038039")</f>
        <v>ENSMUSG00000038039</v>
      </c>
      <c r="I6824" s="7" t="str">
        <f>HYPERLINK("http://www.informatics.jax.org/marker/MGI:1917547","MGI:1917547")</f>
        <v>MGI:1917547</v>
      </c>
      <c r="J6824" s="4" t="s">
        <v>12</v>
      </c>
    </row>
    <row r="6825" spans="1:10" x14ac:dyDescent="0.25">
      <c r="A6825" s="2">
        <v>442.14422419733899</v>
      </c>
      <c r="B6825" s="3">
        <v>-0.74561617242003397</v>
      </c>
      <c r="C6825" s="5">
        <v>3.2942592995723599E-12</v>
      </c>
      <c r="D6825" s="6">
        <v>2.14540268783246E-11</v>
      </c>
      <c r="E6825" s="3" t="s">
        <v>6073</v>
      </c>
      <c r="F6825" s="3" t="s">
        <v>6074</v>
      </c>
      <c r="G6825" s="3">
        <v>226594</v>
      </c>
      <c r="H6825" s="7" t="str">
        <f>HYPERLINK("http://www.ensembl.org/Mus_musculus/Gene/Summary?db=core;g=ENSMUSG00000040723","ENSMUSG00000040723")</f>
        <v>ENSMUSG00000040723</v>
      </c>
      <c r="I6825" s="7" t="str">
        <f>HYPERLINK("http://www.informatics.jax.org/marker/MGI:2676394","MGI:2676394")</f>
        <v>MGI:2676394</v>
      </c>
      <c r="J6825" s="4" t="s">
        <v>12</v>
      </c>
    </row>
    <row r="6826" spans="1:10" x14ac:dyDescent="0.25">
      <c r="A6826" s="2">
        <v>237.144797057473</v>
      </c>
      <c r="B6826" s="3">
        <v>-0.74569149434187498</v>
      </c>
      <c r="C6826" s="5">
        <v>2.2602481246316601E-11</v>
      </c>
      <c r="D6826" s="6">
        <v>1.3803683189141001E-10</v>
      </c>
      <c r="E6826" s="3" t="s">
        <v>6475</v>
      </c>
      <c r="F6826" s="3" t="s">
        <v>6476</v>
      </c>
      <c r="G6826" s="3">
        <v>382062</v>
      </c>
      <c r="H6826" s="7" t="str">
        <f>HYPERLINK("http://www.ensembl.org/Mus_musculus/Gene/Summary?db=core;g=ENSMUSG00000057191","ENSMUSG00000057191")</f>
        <v>ENSMUSG00000057191</v>
      </c>
      <c r="I6826" s="7" t="str">
        <f>HYPERLINK("http://www.informatics.jax.org/marker/MGI:3043001","MGI:3043001")</f>
        <v>MGI:3043001</v>
      </c>
      <c r="J6826" s="4" t="s">
        <v>12</v>
      </c>
    </row>
    <row r="6827" spans="1:10" x14ac:dyDescent="0.25">
      <c r="A6827" s="2">
        <v>539.16161631956504</v>
      </c>
      <c r="B6827" s="3">
        <v>-0.74582286324352698</v>
      </c>
      <c r="C6827" s="5">
        <v>3.3955137775541498E-17</v>
      </c>
      <c r="D6827" s="6">
        <v>2.9329624044401099E-16</v>
      </c>
      <c r="E6827" s="3" t="s">
        <v>4583</v>
      </c>
      <c r="F6827" s="3" t="s">
        <v>4584</v>
      </c>
      <c r="G6827" s="3">
        <v>19075</v>
      </c>
      <c r="H6827" s="7" t="str">
        <f>HYPERLINK("http://www.ensembl.org/Mus_musculus/Gene/Summary?db=core;g=ENSMUSG00000025395","ENSMUSG00000025395")</f>
        <v>ENSMUSG00000025395</v>
      </c>
      <c r="I6827" s="7" t="str">
        <f>HYPERLINK("http://www.informatics.jax.org/marker/MGI:97757","MGI:97757")</f>
        <v>MGI:97757</v>
      </c>
      <c r="J6827" s="4" t="s">
        <v>12</v>
      </c>
    </row>
    <row r="6828" spans="1:10" x14ac:dyDescent="0.25">
      <c r="A6828" s="2">
        <v>23.1932334084369</v>
      </c>
      <c r="B6828" s="3">
        <v>-0.74593268109299005</v>
      </c>
      <c r="C6828" s="3">
        <v>2.63151305501609E-3</v>
      </c>
      <c r="D6828" s="4">
        <v>7.2853344721209197E-3</v>
      </c>
      <c r="E6828" s="3" t="s">
        <v>14253</v>
      </c>
      <c r="F6828" s="3" t="s">
        <v>14254</v>
      </c>
      <c r="G6828" s="3" t="s">
        <v>83</v>
      </c>
      <c r="H6828" s="7" t="str">
        <f>HYPERLINK("http://www.ensembl.org/Mus_musculus/Gene/Summary?db=core;g=ENSMUSG00000086013","ENSMUSG00000086013")</f>
        <v>ENSMUSG00000086013</v>
      </c>
      <c r="I6828" s="7" t="str">
        <f>HYPERLINK("http://www.informatics.jax.org/marker/MGI:3783146","MGI:3783146")</f>
        <v>MGI:3783146</v>
      </c>
      <c r="J6828" s="4" t="s">
        <v>939</v>
      </c>
    </row>
    <row r="6829" spans="1:10" x14ac:dyDescent="0.25">
      <c r="A6829" s="2">
        <v>666.46248507082305</v>
      </c>
      <c r="B6829" s="3">
        <v>-0.74600698473997396</v>
      </c>
      <c r="C6829" s="5">
        <v>1.2491269145116401E-13</v>
      </c>
      <c r="D6829" s="6">
        <v>8.8607132209242898E-13</v>
      </c>
      <c r="E6829" s="3" t="s">
        <v>5577</v>
      </c>
      <c r="F6829" s="3" t="s">
        <v>5578</v>
      </c>
      <c r="G6829" s="3">
        <v>18763</v>
      </c>
      <c r="H6829" s="7" t="str">
        <f>HYPERLINK("http://www.ensembl.org/Mus_musculus/Gene/Summary?db=core;g=ENSMUSG00000032855","ENSMUSG00000032855")</f>
        <v>ENSMUSG00000032855</v>
      </c>
      <c r="I6829" s="7" t="str">
        <f>HYPERLINK("http://www.informatics.jax.org/marker/MGI:97603","MGI:97603")</f>
        <v>MGI:97603</v>
      </c>
      <c r="J6829" s="4" t="s">
        <v>12</v>
      </c>
    </row>
    <row r="6830" spans="1:10" x14ac:dyDescent="0.25">
      <c r="A6830" s="2">
        <v>1067.2495953493899</v>
      </c>
      <c r="B6830" s="3">
        <v>-0.74707438913278401</v>
      </c>
      <c r="C6830" s="5">
        <v>5.1425870561147702E-17</v>
      </c>
      <c r="D6830" s="6">
        <v>4.3768587288123998E-16</v>
      </c>
      <c r="E6830" s="3" t="s">
        <v>4651</v>
      </c>
      <c r="F6830" s="3" t="s">
        <v>4652</v>
      </c>
      <c r="G6830" s="3">
        <v>215821</v>
      </c>
      <c r="H6830" s="7" t="str">
        <f>HYPERLINK("http://www.ensembl.org/Mus_musculus/Gene/Summary?db=core;g=ENSMUSG00000019852","ENSMUSG00000019852")</f>
        <v>ENSMUSG00000019852</v>
      </c>
      <c r="I6830" s="7" t="str">
        <f>HYPERLINK("http://www.informatics.jax.org/marker/MGI:106387","MGI:106387")</f>
        <v>MGI:106387</v>
      </c>
      <c r="J6830" s="4" t="s">
        <v>12</v>
      </c>
    </row>
    <row r="6831" spans="1:10" x14ac:dyDescent="0.25">
      <c r="A6831" s="2">
        <v>579.95394921438697</v>
      </c>
      <c r="B6831" s="3">
        <v>-0.74712760701415903</v>
      </c>
      <c r="C6831" s="5">
        <v>7.5818169426773104E-19</v>
      </c>
      <c r="D6831" s="6">
        <v>7.1332743372899208E-18</v>
      </c>
      <c r="E6831" s="3" t="s">
        <v>4209</v>
      </c>
      <c r="F6831" s="3" t="s">
        <v>4210</v>
      </c>
      <c r="G6831" s="3">
        <v>83429</v>
      </c>
      <c r="H6831" s="7" t="str">
        <f>HYPERLINK("http://www.ensembl.org/Mus_musculus/Gene/Summary?db=core;g=ENSMUSG00000005949","ENSMUSG00000005949")</f>
        <v>ENSMUSG00000005949</v>
      </c>
      <c r="I6831" s="7" t="str">
        <f>HYPERLINK("http://www.informatics.jax.org/marker/MGI:1932872","MGI:1932872")</f>
        <v>MGI:1932872</v>
      </c>
      <c r="J6831" s="4" t="s">
        <v>12</v>
      </c>
    </row>
    <row r="6832" spans="1:10" x14ac:dyDescent="0.25">
      <c r="A6832" s="2">
        <v>175.825004750067</v>
      </c>
      <c r="B6832" s="3">
        <v>-0.74748054492886895</v>
      </c>
      <c r="C6832" s="5">
        <v>1.40604547093818E-14</v>
      </c>
      <c r="D6832" s="6">
        <v>1.0570803159321699E-13</v>
      </c>
      <c r="E6832" s="3" t="s">
        <v>5263</v>
      </c>
      <c r="F6832" s="3" t="s">
        <v>5264</v>
      </c>
      <c r="G6832" s="3">
        <v>70561</v>
      </c>
      <c r="H6832" s="7" t="str">
        <f>HYPERLINK("http://www.ensembl.org/Mus_musculus/Gene/Summary?db=core;g=ENSMUSG00000021830","ENSMUSG00000021830")</f>
        <v>ENSMUSG00000021830</v>
      </c>
      <c r="I6832" s="7" t="str">
        <f>HYPERLINK("http://www.informatics.jax.org/marker/MGI:1917811","MGI:1917811")</f>
        <v>MGI:1917811</v>
      </c>
      <c r="J6832" s="4" t="s">
        <v>12</v>
      </c>
    </row>
    <row r="6833" spans="1:10" x14ac:dyDescent="0.25">
      <c r="A6833" s="2">
        <v>2978.4562485502302</v>
      </c>
      <c r="B6833" s="3">
        <v>-0.74754393123016805</v>
      </c>
      <c r="C6833" s="5">
        <v>3.87502035081235E-68</v>
      </c>
      <c r="D6833" s="6">
        <v>1.71720002961841E-66</v>
      </c>
      <c r="E6833" s="3" t="s">
        <v>900</v>
      </c>
      <c r="F6833" s="3" t="s">
        <v>901</v>
      </c>
      <c r="G6833" s="3">
        <v>56758</v>
      </c>
      <c r="H6833" s="7" t="str">
        <f>HYPERLINK("http://www.ensembl.org/Mus_musculus/Gene/Summary?db=core;g=ENSMUSG00000027763","ENSMUSG00000027763")</f>
        <v>ENSMUSG00000027763</v>
      </c>
      <c r="I6833" s="7" t="str">
        <f>HYPERLINK("http://www.informatics.jax.org/marker/MGI:1928482","MGI:1928482")</f>
        <v>MGI:1928482</v>
      </c>
      <c r="J6833" s="4" t="s">
        <v>12</v>
      </c>
    </row>
    <row r="6834" spans="1:10" x14ac:dyDescent="0.25">
      <c r="A6834" s="2">
        <v>544.93674542447195</v>
      </c>
      <c r="B6834" s="3">
        <v>-0.74771505378208902</v>
      </c>
      <c r="C6834" s="5">
        <v>2.5691861675529601E-30</v>
      </c>
      <c r="D6834" s="6">
        <v>3.8353028935764097E-29</v>
      </c>
      <c r="E6834" s="3" t="s">
        <v>2659</v>
      </c>
      <c r="F6834" s="3" t="s">
        <v>2660</v>
      </c>
      <c r="G6834" s="3">
        <v>233328</v>
      </c>
      <c r="H6834" s="7" t="str">
        <f>HYPERLINK("http://www.ensembl.org/Mus_musculus/Gene/Summary?db=core;g=ENSMUSG00000015133","ENSMUSG00000015133")</f>
        <v>ENSMUSG00000015133</v>
      </c>
      <c r="I6834" s="7" t="str">
        <f>HYPERLINK("http://www.informatics.jax.org/marker/MGI:2142227","MGI:2142227")</f>
        <v>MGI:2142227</v>
      </c>
      <c r="J6834" s="4" t="s">
        <v>12</v>
      </c>
    </row>
    <row r="6835" spans="1:10" x14ac:dyDescent="0.25">
      <c r="A6835" s="2">
        <v>38.151646838319401</v>
      </c>
      <c r="B6835" s="3">
        <v>-0.74831226210068102</v>
      </c>
      <c r="C6835" s="3">
        <v>5.7978209838283295E-4</v>
      </c>
      <c r="D6835" s="4">
        <v>1.7715065045103E-3</v>
      </c>
      <c r="E6835" s="3" t="s">
        <v>12917</v>
      </c>
      <c r="F6835" s="3" t="s">
        <v>12918</v>
      </c>
      <c r="G6835" s="3" t="s">
        <v>83</v>
      </c>
      <c r="H6835" s="7" t="str">
        <f>HYPERLINK("http://www.ensembl.org/Mus_musculus/Gene/Summary?db=core;g=ENSMUSG00000099722","ENSMUSG00000099722")</f>
        <v>ENSMUSG00000099722</v>
      </c>
      <c r="I6835" s="7" t="str">
        <f>HYPERLINK("http://www.informatics.jax.org/marker/MGI:5579860","MGI:5579860")</f>
        <v>MGI:5579860</v>
      </c>
      <c r="J6835" s="4" t="s">
        <v>939</v>
      </c>
    </row>
    <row r="6836" spans="1:10" x14ac:dyDescent="0.25">
      <c r="A6836" s="2">
        <v>13.087439438443401</v>
      </c>
      <c r="B6836" s="3">
        <v>-0.74837345982472203</v>
      </c>
      <c r="C6836" s="3">
        <v>1.7895591610148601E-2</v>
      </c>
      <c r="D6836" s="4">
        <v>4.2213046238293202E-2</v>
      </c>
      <c r="E6836" s="3" t="s">
        <v>16724</v>
      </c>
      <c r="F6836" s="3" t="s">
        <v>16725</v>
      </c>
      <c r="G6836" s="3">
        <v>12865</v>
      </c>
      <c r="H6836" s="7" t="str">
        <f>HYPERLINK("http://www.ensembl.org/Mus_musculus/Gene/Summary?db=core;g=ENSMUSG00000074218","ENSMUSG00000074218")</f>
        <v>ENSMUSG00000074218</v>
      </c>
      <c r="I6836" s="7" t="str">
        <f>HYPERLINK("http://www.informatics.jax.org/marker/MGI:1316714","MGI:1316714")</f>
        <v>MGI:1316714</v>
      </c>
      <c r="J6836" s="4" t="s">
        <v>12</v>
      </c>
    </row>
    <row r="6837" spans="1:10" x14ac:dyDescent="0.25">
      <c r="A6837" s="2">
        <v>3112.8562646926798</v>
      </c>
      <c r="B6837" s="3">
        <v>-0.748777766467703</v>
      </c>
      <c r="C6837" s="5">
        <v>3.5337528267074999E-59</v>
      </c>
      <c r="D6837" s="6">
        <v>1.23119444775039E-57</v>
      </c>
      <c r="E6837" s="3" t="s">
        <v>1148</v>
      </c>
      <c r="F6837" s="3" t="s">
        <v>1149</v>
      </c>
      <c r="G6837" s="3">
        <v>20778</v>
      </c>
      <c r="H6837" s="7" t="str">
        <f>HYPERLINK("http://www.ensembl.org/Mus_musculus/Gene/Summary?db=core;g=ENSMUSG00000037936","ENSMUSG00000037936")</f>
        <v>ENSMUSG00000037936</v>
      </c>
      <c r="I6837" s="7" t="str">
        <f>HYPERLINK("http://www.informatics.jax.org/marker/MGI:893578","MGI:893578")</f>
        <v>MGI:893578</v>
      </c>
      <c r="J6837" s="4" t="s">
        <v>12</v>
      </c>
    </row>
    <row r="6838" spans="1:10" x14ac:dyDescent="0.25">
      <c r="A6838" s="2">
        <v>387.18190328378103</v>
      </c>
      <c r="B6838" s="3">
        <v>-0.74879751005048301</v>
      </c>
      <c r="C6838" s="5">
        <v>5.9416795495574004E-17</v>
      </c>
      <c r="D6838" s="6">
        <v>5.0373998588680901E-16</v>
      </c>
      <c r="E6838" s="3" t="s">
        <v>4669</v>
      </c>
      <c r="F6838" s="3" t="s">
        <v>4670</v>
      </c>
      <c r="G6838" s="3">
        <v>75216</v>
      </c>
      <c r="H6838" s="7" t="str">
        <f>HYPERLINK("http://www.ensembl.org/Mus_musculus/Gene/Summary?db=core;g=ENSMUSG00000061533","ENSMUSG00000061533")</f>
        <v>ENSMUSG00000061533</v>
      </c>
      <c r="I6838" s="7" t="str">
        <f>HYPERLINK("http://www.informatics.jax.org/marker/MGI:1922466","MGI:1922466")</f>
        <v>MGI:1922466</v>
      </c>
      <c r="J6838" s="4" t="s">
        <v>12</v>
      </c>
    </row>
    <row r="6839" spans="1:10" x14ac:dyDescent="0.25">
      <c r="A6839" s="2">
        <v>101.276764173266</v>
      </c>
      <c r="B6839" s="3">
        <v>-0.74884299105883301</v>
      </c>
      <c r="C6839" s="5">
        <v>5.4205532757880299E-5</v>
      </c>
      <c r="D6839" s="4">
        <v>1.8822558654435601E-4</v>
      </c>
      <c r="E6839" s="3" t="s">
        <v>11369</v>
      </c>
      <c r="F6839" s="3" t="s">
        <v>11370</v>
      </c>
      <c r="G6839" s="3">
        <v>11302</v>
      </c>
      <c r="H6839" s="7" t="str">
        <f>HYPERLINK("http://www.ensembl.org/Mus_musculus/Gene/Summary?db=core;g=ENSMUSG00000025375","ENSMUSG00000025375")</f>
        <v>ENSMUSG00000025375</v>
      </c>
      <c r="I6839" s="7" t="str">
        <f>HYPERLINK("http://www.informatics.jax.org/marker/MGI:1197518","MGI:1197518")</f>
        <v>MGI:1197518</v>
      </c>
      <c r="J6839" s="4" t="s">
        <v>12</v>
      </c>
    </row>
    <row r="6840" spans="1:10" x14ac:dyDescent="0.25">
      <c r="A6840" s="2">
        <v>368.74123843148999</v>
      </c>
      <c r="B6840" s="3">
        <v>-0.75047787733367799</v>
      </c>
      <c r="C6840" s="5">
        <v>1.10559222779647E-13</v>
      </c>
      <c r="D6840" s="6">
        <v>7.8708587480672799E-13</v>
      </c>
      <c r="E6840" s="3" t="s">
        <v>5557</v>
      </c>
      <c r="F6840" s="3" t="s">
        <v>5558</v>
      </c>
      <c r="G6840" s="3">
        <v>230793</v>
      </c>
      <c r="H6840" s="7" t="str">
        <f>HYPERLINK("http://www.ensembl.org/Mus_musculus/Gene/Summary?db=core;g=ENSMUSG00000037692","ENSMUSG00000037692")</f>
        <v>ENSMUSG00000037692</v>
      </c>
      <c r="I6840" s="7" t="str">
        <f>HYPERLINK("http://www.informatics.jax.org/marker/MGI:2444218","MGI:2444218")</f>
        <v>MGI:2444218</v>
      </c>
      <c r="J6840" s="4" t="s">
        <v>12</v>
      </c>
    </row>
    <row r="6841" spans="1:10" x14ac:dyDescent="0.25">
      <c r="A6841" s="2">
        <v>30.694025514488398</v>
      </c>
      <c r="B6841" s="3">
        <v>-0.75080978173069601</v>
      </c>
      <c r="C6841" s="3">
        <v>2.7789352976645198E-4</v>
      </c>
      <c r="D6841" s="4">
        <v>8.8416592562027001E-4</v>
      </c>
      <c r="E6841" s="3" t="s">
        <v>12408</v>
      </c>
      <c r="F6841" s="3" t="s">
        <v>12409</v>
      </c>
      <c r="G6841" s="3">
        <v>54648</v>
      </c>
      <c r="H6841" s="7" t="str">
        <f>HYPERLINK("http://www.ensembl.org/Mus_musculus/Gene/Summary?db=core;g=ENSMUSG00000031150","ENSMUSG00000031150")</f>
        <v>ENSMUSG00000031150</v>
      </c>
      <c r="I6841" s="7" t="str">
        <f>HYPERLINK("http://www.informatics.jax.org/marker/MGI:1859619","MGI:1859619")</f>
        <v>MGI:1859619</v>
      </c>
      <c r="J6841" s="4" t="s">
        <v>12</v>
      </c>
    </row>
    <row r="6842" spans="1:10" x14ac:dyDescent="0.25">
      <c r="A6842" s="2">
        <v>183.340961522665</v>
      </c>
      <c r="B6842" s="3">
        <v>-0.75168477576834802</v>
      </c>
      <c r="C6842" s="5">
        <v>1.82755171180539E-10</v>
      </c>
      <c r="D6842" s="6">
        <v>1.04129788375621E-9</v>
      </c>
      <c r="E6842" s="3" t="s">
        <v>6940</v>
      </c>
      <c r="F6842" s="3" t="s">
        <v>6941</v>
      </c>
      <c r="G6842" s="3">
        <v>212514</v>
      </c>
      <c r="H6842" s="7" t="str">
        <f>HYPERLINK("http://www.ensembl.org/Mus_musculus/Gene/Summary?db=core;g=ENSMUSG00000043065","ENSMUSG00000043065")</f>
        <v>ENSMUSG00000043065</v>
      </c>
      <c r="I6842" s="7" t="str">
        <f>HYPERLINK("http://www.informatics.jax.org/marker/MGI:1196252","MGI:1196252")</f>
        <v>MGI:1196252</v>
      </c>
      <c r="J6842" s="4" t="s">
        <v>12</v>
      </c>
    </row>
    <row r="6843" spans="1:10" x14ac:dyDescent="0.25">
      <c r="A6843" s="2">
        <v>389.25383759470799</v>
      </c>
      <c r="B6843" s="3">
        <v>-0.75170554714734095</v>
      </c>
      <c r="C6843" s="5">
        <v>3.6881382778288796E-12</v>
      </c>
      <c r="D6843" s="6">
        <v>2.3955891580627599E-11</v>
      </c>
      <c r="E6843" s="3" t="s">
        <v>6089</v>
      </c>
      <c r="F6843" s="3" t="s">
        <v>6090</v>
      </c>
      <c r="G6843" s="3">
        <v>66566</v>
      </c>
      <c r="H6843" s="7" t="str">
        <f>HYPERLINK("http://www.ensembl.org/Mus_musculus/Gene/Summary?db=core;g=ENSMUSG00000031851","ENSMUSG00000031851")</f>
        <v>ENSMUSG00000031851</v>
      </c>
      <c r="I6843" s="7" t="str">
        <f>HYPERLINK("http://www.informatics.jax.org/marker/MGI:1913816","MGI:1913816")</f>
        <v>MGI:1913816</v>
      </c>
      <c r="J6843" s="4" t="s">
        <v>12</v>
      </c>
    </row>
    <row r="6844" spans="1:10" x14ac:dyDescent="0.25">
      <c r="A6844" s="2">
        <v>499.76014437193697</v>
      </c>
      <c r="B6844" s="3">
        <v>-0.75190448402003196</v>
      </c>
      <c r="C6844" s="5">
        <v>1.7693427919503799E-24</v>
      </c>
      <c r="D6844" s="6">
        <v>2.1197715587643699E-23</v>
      </c>
      <c r="E6844" s="3" t="s">
        <v>3312</v>
      </c>
      <c r="F6844" s="3" t="s">
        <v>3313</v>
      </c>
      <c r="G6844" s="3">
        <v>235132</v>
      </c>
      <c r="H6844" s="7" t="str">
        <f>HYPERLINK("http://www.ensembl.org/Mus_musculus/Gene/Summary?db=core;g=ENSMUSG00000047412","ENSMUSG00000047412")</f>
        <v>ENSMUSG00000047412</v>
      </c>
      <c r="I6844" s="7" t="str">
        <f>HYPERLINK("http://www.informatics.jax.org/marker/MGI:1925123","MGI:1925123")</f>
        <v>MGI:1925123</v>
      </c>
      <c r="J6844" s="4" t="s">
        <v>12</v>
      </c>
    </row>
    <row r="6845" spans="1:10" x14ac:dyDescent="0.25">
      <c r="A6845" s="2">
        <v>62.515894440968196</v>
      </c>
      <c r="B6845" s="3">
        <v>-0.75204724685208801</v>
      </c>
      <c r="C6845" s="3">
        <v>2.0623325409726101E-3</v>
      </c>
      <c r="D6845" s="4">
        <v>5.8140382713337902E-3</v>
      </c>
      <c r="E6845" s="3" t="s">
        <v>13997</v>
      </c>
      <c r="F6845" s="3" t="s">
        <v>13998</v>
      </c>
      <c r="G6845" s="3">
        <v>67608</v>
      </c>
      <c r="H6845" s="7" t="str">
        <f>HYPERLINK("http://www.ensembl.org/Mus_musculus/Gene/Summary?db=core;g=ENSMUSG00000000056","ENSMUSG00000000056")</f>
        <v>ENSMUSG00000000056</v>
      </c>
      <c r="I6845" s="7" t="str">
        <f>HYPERLINK("http://www.informatics.jax.org/marker/MGI:1914858","MGI:1914858")</f>
        <v>MGI:1914858</v>
      </c>
      <c r="J6845" s="4" t="s">
        <v>12</v>
      </c>
    </row>
    <row r="6846" spans="1:10" x14ac:dyDescent="0.25">
      <c r="A6846" s="2">
        <v>563.50813338356295</v>
      </c>
      <c r="B6846" s="3">
        <v>-0.75240594187551701</v>
      </c>
      <c r="C6846" s="5">
        <v>2.2182149899342599E-28</v>
      </c>
      <c r="D6846" s="6">
        <v>3.0870289062458401E-27</v>
      </c>
      <c r="E6846" s="3" t="s">
        <v>2852</v>
      </c>
      <c r="F6846" s="3" t="s">
        <v>2853</v>
      </c>
      <c r="G6846" s="3">
        <v>22390</v>
      </c>
      <c r="H6846" s="7" t="str">
        <f>HYPERLINK("http://www.ensembl.org/Mus_musculus/Gene/Summary?db=core;g=ENSMUSG00000031016","ENSMUSG00000031016")</f>
        <v>ENSMUSG00000031016</v>
      </c>
      <c r="I6846" s="7" t="str">
        <f>HYPERLINK("http://www.informatics.jax.org/marker/MGI:103075","MGI:103075")</f>
        <v>MGI:103075</v>
      </c>
      <c r="J6846" s="4" t="s">
        <v>12</v>
      </c>
    </row>
    <row r="6847" spans="1:10" x14ac:dyDescent="0.25">
      <c r="A6847" s="2">
        <v>13.347358194370299</v>
      </c>
      <c r="B6847" s="3">
        <v>-0.75307255370819204</v>
      </c>
      <c r="C6847" s="3">
        <v>1.8626252224126699E-2</v>
      </c>
      <c r="D6847" s="4">
        <v>4.3753388190563298E-2</v>
      </c>
      <c r="E6847" s="3" t="s">
        <v>16794</v>
      </c>
      <c r="F6847" s="3" t="s">
        <v>16795</v>
      </c>
      <c r="G6847" s="3" t="s">
        <v>83</v>
      </c>
      <c r="H6847" s="7" t="str">
        <f>HYPERLINK("http://www.ensembl.org/Mus_musculus/Gene/Summary?db=core;g=ENSMUSG00000054057","ENSMUSG00000054057")</f>
        <v>ENSMUSG00000054057</v>
      </c>
      <c r="I6847" s="7" t="str">
        <f>HYPERLINK("http://www.informatics.jax.org/marker/MGI:1925190","MGI:1925190")</f>
        <v>MGI:1925190</v>
      </c>
      <c r="J6847" s="4" t="s">
        <v>12</v>
      </c>
    </row>
    <row r="6848" spans="1:10" x14ac:dyDescent="0.25">
      <c r="A6848" s="2">
        <v>105.95861246486101</v>
      </c>
      <c r="B6848" s="3">
        <v>-0.75313482980811597</v>
      </c>
      <c r="C6848" s="5">
        <v>6.6786839756166801E-9</v>
      </c>
      <c r="D6848" s="6">
        <v>3.3589300688385801E-8</v>
      </c>
      <c r="E6848" s="3" t="s">
        <v>7858</v>
      </c>
      <c r="F6848" s="3" t="s">
        <v>7859</v>
      </c>
      <c r="G6848" s="3">
        <v>94190</v>
      </c>
      <c r="H6848" s="7" t="str">
        <f>HYPERLINK("http://www.ensembl.org/Mus_musculus/Gene/Summary?db=core;g=ENSMUSG00000031214","ENSMUSG00000031214")</f>
        <v>ENSMUSG00000031214</v>
      </c>
      <c r="I6848" s="7" t="str">
        <f>HYPERLINK("http://www.informatics.jax.org/marker/MGI:2151070","MGI:2151070")</f>
        <v>MGI:2151070</v>
      </c>
      <c r="J6848" s="4" t="s">
        <v>12</v>
      </c>
    </row>
    <row r="6849" spans="1:10" x14ac:dyDescent="0.25">
      <c r="A6849" s="2">
        <v>338.46328356976198</v>
      </c>
      <c r="B6849" s="3">
        <v>-0.75376873440323899</v>
      </c>
      <c r="C6849" s="5">
        <v>1.2627759416989599E-12</v>
      </c>
      <c r="D6849" s="6">
        <v>8.4299057448556401E-12</v>
      </c>
      <c r="E6849" s="3" t="s">
        <v>5925</v>
      </c>
      <c r="F6849" s="3" t="s">
        <v>5926</v>
      </c>
      <c r="G6849" s="3">
        <v>59052</v>
      </c>
      <c r="H6849" s="7" t="str">
        <f>HYPERLINK("http://www.ensembl.org/Mus_musculus/Gene/Summary?db=core;g=ENSMUSG00000030876","ENSMUSG00000030876")</f>
        <v>ENSMUSG00000030876</v>
      </c>
      <c r="I6849" s="7" t="str">
        <f>HYPERLINK("http://www.informatics.jax.org/marker/MGI:1914862","MGI:1914862")</f>
        <v>MGI:1914862</v>
      </c>
      <c r="J6849" s="4" t="s">
        <v>12</v>
      </c>
    </row>
    <row r="6850" spans="1:10" x14ac:dyDescent="0.25">
      <c r="A6850" s="2">
        <v>51.156755481326201</v>
      </c>
      <c r="B6850" s="3">
        <v>-0.75442607006446705</v>
      </c>
      <c r="C6850" s="5">
        <v>7.9921711622589495E-6</v>
      </c>
      <c r="D6850" s="6">
        <v>3.0285475657138099E-5</v>
      </c>
      <c r="E6850" s="3" t="s">
        <v>10422</v>
      </c>
      <c r="F6850" s="3" t="s">
        <v>10423</v>
      </c>
      <c r="G6850" s="3">
        <v>67993</v>
      </c>
      <c r="H6850" s="7" t="str">
        <f>HYPERLINK("http://www.ensembl.org/Mus_musculus/Gene/Summary?db=core;g=ENSMUSG00000024228","ENSMUSG00000024228")</f>
        <v>ENSMUSG00000024228</v>
      </c>
      <c r="I6850" s="7" t="str">
        <f>HYPERLINK("http://www.informatics.jax.org/marker/MGI:1915243","MGI:1915243")</f>
        <v>MGI:1915243</v>
      </c>
      <c r="J6850" s="4" t="s">
        <v>12</v>
      </c>
    </row>
    <row r="6851" spans="1:10" x14ac:dyDescent="0.25">
      <c r="A6851" s="2">
        <v>53.877708120905197</v>
      </c>
      <c r="B6851" s="3">
        <v>-0.75468504828202099</v>
      </c>
      <c r="C6851" s="5">
        <v>4.8942136218995996E-6</v>
      </c>
      <c r="D6851" s="6">
        <v>1.8909461720975701E-5</v>
      </c>
      <c r="E6851" s="3" t="s">
        <v>10222</v>
      </c>
      <c r="F6851" s="3" t="s">
        <v>10223</v>
      </c>
      <c r="G6851" s="3">
        <v>238024</v>
      </c>
      <c r="H6851" s="7" t="str">
        <f>HYPERLINK("http://www.ensembl.org/Mus_musculus/Gene/Summary?db=core;g=ENSMUSG00000039253","ENSMUSG00000039253")</f>
        <v>ENSMUSG00000039253</v>
      </c>
      <c r="I6851" s="7" t="str">
        <f>HYPERLINK("http://www.informatics.jax.org/marker/MGI:2679256","MGI:2679256")</f>
        <v>MGI:2679256</v>
      </c>
      <c r="J6851" s="4" t="s">
        <v>12</v>
      </c>
    </row>
    <row r="6852" spans="1:10" x14ac:dyDescent="0.25">
      <c r="A6852" s="2">
        <v>551.89999473464502</v>
      </c>
      <c r="B6852" s="3">
        <v>-0.75505070884578995</v>
      </c>
      <c r="C6852" s="5">
        <v>1.51305101175256E-23</v>
      </c>
      <c r="D6852" s="6">
        <v>1.74794176635972E-22</v>
      </c>
      <c r="E6852" s="3" t="s">
        <v>3432</v>
      </c>
      <c r="F6852" s="3" t="s">
        <v>3433</v>
      </c>
      <c r="G6852" s="3">
        <v>104479</v>
      </c>
      <c r="H6852" s="7" t="str">
        <f>HYPERLINK("http://www.ensembl.org/Mus_musculus/Gene/Summary?db=core;g=ENSMUSG00000020482","ENSMUSG00000020482")</f>
        <v>ENSMUSG00000020482</v>
      </c>
      <c r="I6852" s="7" t="str">
        <f>HYPERLINK("http://www.informatics.jax.org/marker/MGI:2144383","MGI:2144383")</f>
        <v>MGI:2144383</v>
      </c>
      <c r="J6852" s="4" t="s">
        <v>12</v>
      </c>
    </row>
    <row r="6853" spans="1:10" x14ac:dyDescent="0.25">
      <c r="A6853" s="2">
        <v>1326.9214522738</v>
      </c>
      <c r="B6853" s="3">
        <v>-0.75530860689827295</v>
      </c>
      <c r="C6853" s="5">
        <v>3.6429831651783598E-41</v>
      </c>
      <c r="D6853" s="6">
        <v>7.6425136188635401E-40</v>
      </c>
      <c r="E6853" s="3" t="s">
        <v>1897</v>
      </c>
      <c r="F6853" s="3" t="s">
        <v>1898</v>
      </c>
      <c r="G6853" s="3">
        <v>20182</v>
      </c>
      <c r="H6853" s="7" t="str">
        <f>HYPERLINK("http://www.ensembl.org/Mus_musculus/Gene/Summary?db=core;g=ENSMUSG00000039656","ENSMUSG00000039656")</f>
        <v>ENSMUSG00000039656</v>
      </c>
      <c r="I6853" s="7" t="str">
        <f>HYPERLINK("http://www.informatics.jax.org/marker/MGI:98215","MGI:98215")</f>
        <v>MGI:98215</v>
      </c>
      <c r="J6853" s="4" t="s">
        <v>12</v>
      </c>
    </row>
    <row r="6854" spans="1:10" x14ac:dyDescent="0.25">
      <c r="A6854" s="2">
        <v>20.1491321389001</v>
      </c>
      <c r="B6854" s="3">
        <v>-0.75545372029482405</v>
      </c>
      <c r="C6854" s="3">
        <v>3.6097786529662602E-3</v>
      </c>
      <c r="D6854" s="4">
        <v>9.7821677939390599E-3</v>
      </c>
      <c r="E6854" s="3" t="s">
        <v>14557</v>
      </c>
      <c r="F6854" s="3" t="s">
        <v>14558</v>
      </c>
      <c r="G6854" s="3">
        <v>434179</v>
      </c>
      <c r="H6854" s="7" t="str">
        <f>HYPERLINK("http://www.ensembl.org/Mus_musculus/Gene/Summary?db=core;g=ENSMUSG00000069727","ENSMUSG00000069727")</f>
        <v>ENSMUSG00000069727</v>
      </c>
      <c r="I6854" s="7" t="str">
        <f>HYPERLINK("http://www.informatics.jax.org/marker/MGI:3648690","MGI:3648690")</f>
        <v>MGI:3648690</v>
      </c>
      <c r="J6854" s="4" t="s">
        <v>12</v>
      </c>
    </row>
    <row r="6855" spans="1:10" x14ac:dyDescent="0.25">
      <c r="A6855" s="2">
        <v>984.66476850727202</v>
      </c>
      <c r="B6855" s="3">
        <v>-0.755687373709645</v>
      </c>
      <c r="C6855" s="5">
        <v>4.1563264000692599E-26</v>
      </c>
      <c r="D6855" s="6">
        <v>5.3084686923164399E-25</v>
      </c>
      <c r="E6855" s="3" t="s">
        <v>3106</v>
      </c>
      <c r="F6855" s="3" t="s">
        <v>3107</v>
      </c>
      <c r="G6855" s="3">
        <v>13361</v>
      </c>
      <c r="H6855" s="7" t="str">
        <f>HYPERLINK("http://www.ensembl.org/Mus_musculus/Gene/Summary?db=core;g=ENSMUSG00000021707","ENSMUSG00000021707")</f>
        <v>ENSMUSG00000021707</v>
      </c>
      <c r="I6855" s="7" t="str">
        <f>HYPERLINK("http://www.informatics.jax.org/marker/MGI:94890","MGI:94890")</f>
        <v>MGI:94890</v>
      </c>
      <c r="J6855" s="4" t="s">
        <v>12</v>
      </c>
    </row>
    <row r="6856" spans="1:10" x14ac:dyDescent="0.25">
      <c r="A6856" s="2">
        <v>315.076099744506</v>
      </c>
      <c r="B6856" s="3">
        <v>-0.75632281773437504</v>
      </c>
      <c r="C6856" s="5">
        <v>4.6814045649755201E-14</v>
      </c>
      <c r="D6856" s="6">
        <v>3.4027754523154201E-13</v>
      </c>
      <c r="E6856" s="3" t="s">
        <v>5443</v>
      </c>
      <c r="F6856" s="3" t="s">
        <v>5444</v>
      </c>
      <c r="G6856" s="3">
        <v>104348</v>
      </c>
      <c r="H6856" s="7" t="str">
        <f>HYPERLINK("http://www.ensembl.org/Mus_musculus/Gene/Summary?db=core;g=ENSMUSG00000068134","ENSMUSG00000068134")</f>
        <v>ENSMUSG00000068134</v>
      </c>
      <c r="I6856" s="7" t="str">
        <f>HYPERLINK("http://www.informatics.jax.org/marker/MGI:1345179","MGI:1345179")</f>
        <v>MGI:1345179</v>
      </c>
      <c r="J6856" s="4" t="s">
        <v>12</v>
      </c>
    </row>
    <row r="6857" spans="1:10" x14ac:dyDescent="0.25">
      <c r="A6857" s="2">
        <v>187.17448313877301</v>
      </c>
      <c r="B6857" s="3">
        <v>-0.75646379939376596</v>
      </c>
      <c r="C6857" s="5">
        <v>1.3347412820000199E-12</v>
      </c>
      <c r="D6857" s="6">
        <v>8.8922628652163302E-12</v>
      </c>
      <c r="E6857" s="3" t="s">
        <v>5937</v>
      </c>
      <c r="F6857" s="3" t="s">
        <v>5938</v>
      </c>
      <c r="G6857" s="3">
        <v>227099</v>
      </c>
      <c r="H6857" s="7" t="str">
        <f>HYPERLINK("http://www.ensembl.org/Mus_musculus/Gene/Summary?db=core;g=ENSMUSG00000026098","ENSMUSG00000026098")</f>
        <v>ENSMUSG00000026098</v>
      </c>
      <c r="I6857" s="7" t="str">
        <f>HYPERLINK("http://www.informatics.jax.org/marker/MGI:1202302","MGI:1202302")</f>
        <v>MGI:1202302</v>
      </c>
      <c r="J6857" s="4" t="s">
        <v>12</v>
      </c>
    </row>
    <row r="6858" spans="1:10" x14ac:dyDescent="0.25">
      <c r="A6858" s="2">
        <v>112.075065832948</v>
      </c>
      <c r="B6858" s="3">
        <v>-0.75679991881439601</v>
      </c>
      <c r="C6858" s="5">
        <v>2.8410470277726501E-8</v>
      </c>
      <c r="D6858" s="6">
        <v>1.3519654292393001E-7</v>
      </c>
      <c r="E6858" s="3" t="s">
        <v>8301</v>
      </c>
      <c r="F6858" s="3" t="s">
        <v>8302</v>
      </c>
      <c r="G6858" s="3">
        <v>68017</v>
      </c>
      <c r="H6858" s="7" t="str">
        <f>HYPERLINK("http://www.ensembl.org/Mus_musculus/Gene/Summary?db=core;g=ENSMUSG00000029557","ENSMUSG00000029557")</f>
        <v>ENSMUSG00000029557</v>
      </c>
      <c r="I6858" s="7" t="str">
        <f>HYPERLINK("http://www.informatics.jax.org/marker/MGI:1915267","MGI:1915267")</f>
        <v>MGI:1915267</v>
      </c>
      <c r="J6858" s="4" t="s">
        <v>12</v>
      </c>
    </row>
    <row r="6859" spans="1:10" x14ac:dyDescent="0.25">
      <c r="A6859" s="2">
        <v>1820.59880698037</v>
      </c>
      <c r="B6859" s="3">
        <v>-0.75706685105012606</v>
      </c>
      <c r="C6859" s="5">
        <v>4.5818026067409802E-32</v>
      </c>
      <c r="D6859" s="6">
        <v>7.1312665670822596E-31</v>
      </c>
      <c r="E6859" s="3" t="s">
        <v>2551</v>
      </c>
      <c r="F6859" s="3" t="s">
        <v>2552</v>
      </c>
      <c r="G6859" s="3">
        <v>14156</v>
      </c>
      <c r="H6859" s="7" t="str">
        <f>HYPERLINK("http://www.ensembl.org/Mus_musculus/Gene/Summary?db=core;g=ENSMUSG00000024742","ENSMUSG00000024742")</f>
        <v>ENSMUSG00000024742</v>
      </c>
      <c r="I6859" s="7" t="str">
        <f>HYPERLINK("http://www.informatics.jax.org/marker/MGI:102779","MGI:102779")</f>
        <v>MGI:102779</v>
      </c>
      <c r="J6859" s="4" t="s">
        <v>12</v>
      </c>
    </row>
    <row r="6860" spans="1:10" x14ac:dyDescent="0.25">
      <c r="A6860" s="2">
        <v>112.822373766697</v>
      </c>
      <c r="B6860" s="3">
        <v>-0.75712715053381996</v>
      </c>
      <c r="C6860" s="5">
        <v>6.0709677744191604E-6</v>
      </c>
      <c r="D6860" s="6">
        <v>2.3246501846902099E-5</v>
      </c>
      <c r="E6860" s="3" t="s">
        <v>10314</v>
      </c>
      <c r="F6860" s="3" t="s">
        <v>10315</v>
      </c>
      <c r="G6860" s="3">
        <v>14073</v>
      </c>
      <c r="H6860" s="7" t="str">
        <f>HYPERLINK("http://www.ensembl.org/Mus_musculus/Gene/Summary?db=core;g=ENSMUSG00000034171","ENSMUSG00000034171")</f>
        <v>ENSMUSG00000034171</v>
      </c>
      <c r="I6860" s="7" t="str">
        <f>HYPERLINK("http://www.informatics.jax.org/marker/MGI:109609","MGI:109609")</f>
        <v>MGI:109609</v>
      </c>
      <c r="J6860" s="4" t="s">
        <v>12</v>
      </c>
    </row>
    <row r="6861" spans="1:10" x14ac:dyDescent="0.25">
      <c r="A6861" s="2">
        <v>91.085614582697701</v>
      </c>
      <c r="B6861" s="3">
        <v>-0.75775854308579405</v>
      </c>
      <c r="C6861" s="5">
        <v>3.6801889633761998E-8</v>
      </c>
      <c r="D6861" s="6">
        <v>1.7304083537858501E-7</v>
      </c>
      <c r="E6861" s="3" t="s">
        <v>8405</v>
      </c>
      <c r="F6861" s="3" t="s">
        <v>8406</v>
      </c>
      <c r="G6861" s="3">
        <v>110351</v>
      </c>
      <c r="H6861" s="7" t="str">
        <f>HYPERLINK("http://www.ensembl.org/Mus_musculus/Gene/Summary?db=core;g=ENSMUSG00000041351","ENSMUSG00000041351")</f>
        <v>ENSMUSG00000041351</v>
      </c>
      <c r="I6861" s="7" t="str">
        <f>HYPERLINK("http://www.informatics.jax.org/marker/MGI:109338","MGI:109338")</f>
        <v>MGI:109338</v>
      </c>
      <c r="J6861" s="4" t="s">
        <v>12</v>
      </c>
    </row>
    <row r="6862" spans="1:10" x14ac:dyDescent="0.25">
      <c r="A6862" s="2">
        <v>199.28419364765199</v>
      </c>
      <c r="B6862" s="3">
        <v>-0.75804107695411505</v>
      </c>
      <c r="C6862" s="5">
        <v>4.2982401401811802E-10</v>
      </c>
      <c r="D6862" s="6">
        <v>2.3711674000915099E-9</v>
      </c>
      <c r="E6862" s="3" t="s">
        <v>7168</v>
      </c>
      <c r="F6862" s="3" t="s">
        <v>7169</v>
      </c>
      <c r="G6862" s="3">
        <v>216551</v>
      </c>
      <c r="H6862" s="7" t="str">
        <f>HYPERLINK("http://www.ensembl.org/Mus_musculus/Gene/Summary?db=core;g=ENSMUSG00000042363","ENSMUSG00000042363")</f>
        <v>ENSMUSG00000042363</v>
      </c>
      <c r="I6862" s="7" t="str">
        <f>HYPERLINK("http://www.informatics.jax.org/marker/MGI:1916114","MGI:1916114")</f>
        <v>MGI:1916114</v>
      </c>
      <c r="J6862" s="4" t="s">
        <v>12</v>
      </c>
    </row>
    <row r="6863" spans="1:10" x14ac:dyDescent="0.25">
      <c r="A6863" s="2">
        <v>778.162408338776</v>
      </c>
      <c r="B6863" s="3">
        <v>-0.75829041687499898</v>
      </c>
      <c r="C6863" s="5">
        <v>1.91934364420617E-20</v>
      </c>
      <c r="D6863" s="6">
        <v>1.9439885292113899E-19</v>
      </c>
      <c r="E6863" s="3" t="s">
        <v>3912</v>
      </c>
      <c r="F6863" s="3" t="s">
        <v>3913</v>
      </c>
      <c r="G6863" s="3">
        <v>67092</v>
      </c>
      <c r="H6863" s="7" t="str">
        <f>HYPERLINK("http://www.ensembl.org/Mus_musculus/Gene/Summary?db=core;g=ENSMUSG00000027199","ENSMUSG00000027199")</f>
        <v>ENSMUSG00000027199</v>
      </c>
      <c r="I6863" s="7" t="str">
        <f>HYPERLINK("http://www.informatics.jax.org/marker/MGI:1914342","MGI:1914342")</f>
        <v>MGI:1914342</v>
      </c>
      <c r="J6863" s="4" t="s">
        <v>12</v>
      </c>
    </row>
    <row r="6864" spans="1:10" x14ac:dyDescent="0.25">
      <c r="A6864" s="2">
        <v>475.972550805997</v>
      </c>
      <c r="B6864" s="3">
        <v>-0.75833657227207496</v>
      </c>
      <c r="C6864" s="5">
        <v>3.56501867973432E-24</v>
      </c>
      <c r="D6864" s="6">
        <v>4.2299740291432399E-23</v>
      </c>
      <c r="E6864" s="3" t="s">
        <v>3344</v>
      </c>
      <c r="F6864" s="3" t="s">
        <v>3345</v>
      </c>
      <c r="G6864" s="3">
        <v>19076</v>
      </c>
      <c r="H6864" s="7" t="str">
        <f>HYPERLINK("http://www.ensembl.org/Mus_musculus/Gene/Summary?db=core;g=ENSMUSG00000026134","ENSMUSG00000026134")</f>
        <v>ENSMUSG00000026134</v>
      </c>
      <c r="I6864" s="7" t="str">
        <f>HYPERLINK("http://www.informatics.jax.org/marker/MGI:97758","MGI:97758")</f>
        <v>MGI:97758</v>
      </c>
      <c r="J6864" s="4" t="s">
        <v>12</v>
      </c>
    </row>
    <row r="6865" spans="1:10" x14ac:dyDescent="0.25">
      <c r="A6865" s="2">
        <v>182.15542011194199</v>
      </c>
      <c r="B6865" s="3">
        <v>-0.75892581962822103</v>
      </c>
      <c r="C6865" s="5">
        <v>9.5000571490443796E-9</v>
      </c>
      <c r="D6865" s="6">
        <v>4.7189200750416899E-8</v>
      </c>
      <c r="E6865" s="3" t="s">
        <v>7957</v>
      </c>
      <c r="F6865" s="3" t="s">
        <v>7958</v>
      </c>
      <c r="G6865" s="3">
        <v>22666</v>
      </c>
      <c r="H6865" s="7" t="str">
        <f>HYPERLINK("http://www.ensembl.org/Mus_musculus/Gene/Summary?db=core;g=ENSMUSG00000049672","ENSMUSG00000049672")</f>
        <v>ENSMUSG00000049672</v>
      </c>
      <c r="I6865" s="7" t="str">
        <f>HYPERLINK("http://www.informatics.jax.org/marker/MGI:1195345","MGI:1195345")</f>
        <v>MGI:1195345</v>
      </c>
      <c r="J6865" s="4" t="s">
        <v>12</v>
      </c>
    </row>
    <row r="6866" spans="1:10" x14ac:dyDescent="0.25">
      <c r="A6866" s="2">
        <v>2502.7902623129098</v>
      </c>
      <c r="B6866" s="3">
        <v>-0.75932130625496996</v>
      </c>
      <c r="C6866" s="5">
        <v>4.3268561399460598E-16</v>
      </c>
      <c r="D6866" s="6">
        <v>3.5070120460228601E-15</v>
      </c>
      <c r="E6866" s="3" t="s">
        <v>4883</v>
      </c>
      <c r="F6866" s="3" t="s">
        <v>4884</v>
      </c>
      <c r="G6866" s="3">
        <v>240087</v>
      </c>
      <c r="H6866" s="7" t="str">
        <f>HYPERLINK("http://www.ensembl.org/Mus_musculus/Gene/Summary?db=core;g=ENSMUSG00000061607","ENSMUSG00000061607")</f>
        <v>ENSMUSG00000061607</v>
      </c>
      <c r="I6866" s="7" t="str">
        <f>HYPERLINK("http://www.informatics.jax.org/marker/MGI:3525201","MGI:3525201")</f>
        <v>MGI:3525201</v>
      </c>
      <c r="J6866" s="4" t="s">
        <v>12</v>
      </c>
    </row>
    <row r="6867" spans="1:10" x14ac:dyDescent="0.25">
      <c r="A6867" s="2">
        <v>28.552944821272899</v>
      </c>
      <c r="B6867" s="3">
        <v>-0.759394769759827</v>
      </c>
      <c r="C6867" s="3">
        <v>5.0137057822657101E-4</v>
      </c>
      <c r="D6867" s="4">
        <v>1.5425882967537901E-3</v>
      </c>
      <c r="E6867" s="3" t="s">
        <v>12829</v>
      </c>
      <c r="F6867" s="3" t="s">
        <v>12830</v>
      </c>
      <c r="G6867" s="3">
        <v>115488122</v>
      </c>
      <c r="H6867" s="7" t="str">
        <f>HYPERLINK("http://www.ensembl.org/Mus_musculus/Gene/Summary?db=core;g=ENSMUSG00000110393","ENSMUSG00000110393")</f>
        <v>ENSMUSG00000110393</v>
      </c>
      <c r="I6867" s="7" t="str">
        <f>HYPERLINK("http://www.informatics.jax.org/marker/MGI:5595604","MGI:5595604")</f>
        <v>MGI:5595604</v>
      </c>
      <c r="J6867" s="4" t="s">
        <v>939</v>
      </c>
    </row>
    <row r="6868" spans="1:10" x14ac:dyDescent="0.25">
      <c r="A6868" s="2">
        <v>14.551248017478899</v>
      </c>
      <c r="B6868" s="3">
        <v>-0.75959368705611396</v>
      </c>
      <c r="C6868" s="3">
        <v>7.9185032948543496E-3</v>
      </c>
      <c r="D6868" s="4">
        <v>2.0086555823839398E-2</v>
      </c>
      <c r="E6868" s="3" t="s">
        <v>15553</v>
      </c>
      <c r="F6868" s="3" t="s">
        <v>15554</v>
      </c>
      <c r="G6868" s="3" t="s">
        <v>83</v>
      </c>
      <c r="H6868" s="7" t="str">
        <f>HYPERLINK("http://www.ensembl.org/Mus_musculus/Gene/Summary?db=core;g=ENSMUSG00000103400","ENSMUSG00000103400")</f>
        <v>ENSMUSG00000103400</v>
      </c>
      <c r="I6868" s="7" t="str">
        <f>HYPERLINK("http://www.informatics.jax.org/marker/MGI:3801970","MGI:3801970")</f>
        <v>MGI:3801970</v>
      </c>
      <c r="J6868" s="4" t="s">
        <v>932</v>
      </c>
    </row>
    <row r="6869" spans="1:10" x14ac:dyDescent="0.25">
      <c r="A6869" s="2">
        <v>717.99246048505404</v>
      </c>
      <c r="B6869" s="3">
        <v>-0.76020501092502901</v>
      </c>
      <c r="C6869" s="5">
        <v>3.30211489944753E-14</v>
      </c>
      <c r="D6869" s="6">
        <v>2.4261440319338799E-13</v>
      </c>
      <c r="E6869" s="3" t="s">
        <v>5385</v>
      </c>
      <c r="F6869" s="3" t="s">
        <v>5386</v>
      </c>
      <c r="G6869" s="3">
        <v>105670</v>
      </c>
      <c r="H6869" s="7" t="str">
        <f>HYPERLINK("http://www.ensembl.org/Mus_musculus/Gene/Summary?db=core;g=ENSMUSG00000022106","ENSMUSG00000022106")</f>
        <v>ENSMUSG00000022106</v>
      </c>
      <c r="I6869" s="7" t="str">
        <f>HYPERLINK("http://www.informatics.jax.org/marker/MGI:1917200","MGI:1917200")</f>
        <v>MGI:1917200</v>
      </c>
      <c r="J6869" s="4" t="s">
        <v>12</v>
      </c>
    </row>
    <row r="6870" spans="1:10" x14ac:dyDescent="0.25">
      <c r="A6870" s="2">
        <v>102.481228848302</v>
      </c>
      <c r="B6870" s="3">
        <v>-0.76036901850231797</v>
      </c>
      <c r="C6870" s="3">
        <v>1.2442689020211199E-4</v>
      </c>
      <c r="D6870" s="4">
        <v>4.1454608460646101E-4</v>
      </c>
      <c r="E6870" s="3" t="s">
        <v>11849</v>
      </c>
      <c r="F6870" s="3" t="s">
        <v>11850</v>
      </c>
      <c r="G6870" s="3">
        <v>232174</v>
      </c>
      <c r="H6870" s="7" t="str">
        <f>HYPERLINK("http://www.ensembl.org/Mus_musculus/Gene/Summary?db=core;g=ENSMUSG00000063415","ENSMUSG00000063415")</f>
        <v>ENSMUSG00000063415</v>
      </c>
      <c r="I6870" s="7" t="str">
        <f>HYPERLINK("http://www.informatics.jax.org/marker/MGI:2176159","MGI:2176159")</f>
        <v>MGI:2176159</v>
      </c>
      <c r="J6870" s="4" t="s">
        <v>12</v>
      </c>
    </row>
    <row r="6871" spans="1:10" x14ac:dyDescent="0.25">
      <c r="A6871" s="2">
        <v>433.38021676862297</v>
      </c>
      <c r="B6871" s="3">
        <v>-0.76063175480402201</v>
      </c>
      <c r="C6871" s="5">
        <v>1.62118725240548E-21</v>
      </c>
      <c r="D6871" s="6">
        <v>1.71236275401372E-20</v>
      </c>
      <c r="E6871" s="3" t="s">
        <v>3752</v>
      </c>
      <c r="F6871" s="3" t="s">
        <v>3753</v>
      </c>
      <c r="G6871" s="3">
        <v>27878</v>
      </c>
      <c r="H6871" s="7" t="str">
        <f>HYPERLINK("http://www.ensembl.org/Mus_musculus/Gene/Summary?db=core;g=ENSMUSG00000026563","ENSMUSG00000026563")</f>
        <v>ENSMUSG00000026563</v>
      </c>
      <c r="I6871" s="7" t="str">
        <f>HYPERLINK("http://www.informatics.jax.org/marker/MGI:1196415","MGI:1196415")</f>
        <v>MGI:1196415</v>
      </c>
      <c r="J6871" s="4" t="s">
        <v>12</v>
      </c>
    </row>
    <row r="6872" spans="1:10" x14ac:dyDescent="0.25">
      <c r="A6872" s="2">
        <v>242.910099627524</v>
      </c>
      <c r="B6872" s="3">
        <v>-0.76064486914350005</v>
      </c>
      <c r="C6872" s="5">
        <v>2.59292448229943E-13</v>
      </c>
      <c r="D6872" s="6">
        <v>1.8029785187216099E-12</v>
      </c>
      <c r="E6872" s="3" t="s">
        <v>5689</v>
      </c>
      <c r="F6872" s="3" t="s">
        <v>5690</v>
      </c>
      <c r="G6872" s="3">
        <v>327655</v>
      </c>
      <c r="H6872" s="7" t="str">
        <f>HYPERLINK("http://www.ensembl.org/Mus_musculus/Gene/Summary?db=core;g=ENSMUSG00000033526","ENSMUSG00000033526")</f>
        <v>ENSMUSG00000033526</v>
      </c>
      <c r="I6872" s="7" t="str">
        <f>HYPERLINK("http://www.informatics.jax.org/marker/MGI:2443281","MGI:2443281")</f>
        <v>MGI:2443281</v>
      </c>
      <c r="J6872" s="4" t="s">
        <v>12</v>
      </c>
    </row>
    <row r="6873" spans="1:10" x14ac:dyDescent="0.25">
      <c r="A6873" s="2">
        <v>721.57160598115195</v>
      </c>
      <c r="B6873" s="3">
        <v>-0.76146572330791795</v>
      </c>
      <c r="C6873" s="5">
        <v>6.7441874248300499E-25</v>
      </c>
      <c r="D6873" s="6">
        <v>8.1742701916194599E-24</v>
      </c>
      <c r="E6873" s="3" t="s">
        <v>3274</v>
      </c>
      <c r="F6873" s="3" t="s">
        <v>3275</v>
      </c>
      <c r="G6873" s="3">
        <v>223978</v>
      </c>
      <c r="H6873" s="7" t="str">
        <f>HYPERLINK("http://www.ensembl.org/Mus_musculus/Gene/Summary?db=core;g=ENSMUSG00000065979","ENSMUSG00000065979")</f>
        <v>ENSMUSG00000065979</v>
      </c>
      <c r="I6873" s="7" t="str">
        <f>HYPERLINK("http://www.informatics.jax.org/marker/MGI:2443300","MGI:2443300")</f>
        <v>MGI:2443300</v>
      </c>
      <c r="J6873" s="4" t="s">
        <v>12</v>
      </c>
    </row>
    <row r="6874" spans="1:10" x14ac:dyDescent="0.25">
      <c r="A6874" s="2">
        <v>3931.13417314548</v>
      </c>
      <c r="B6874" s="3">
        <v>-0.76181933467379703</v>
      </c>
      <c r="C6874" s="5">
        <v>3.6703081232152299E-19</v>
      </c>
      <c r="D6874" s="6">
        <v>3.5101103874783802E-18</v>
      </c>
      <c r="E6874" s="3" t="s">
        <v>4141</v>
      </c>
      <c r="F6874" s="3" t="s">
        <v>4142</v>
      </c>
      <c r="G6874" s="3">
        <v>110052</v>
      </c>
      <c r="H6874" s="7" t="str">
        <f>HYPERLINK("http://www.ensembl.org/Mus_musculus/Gene/Summary?db=core;g=ENSMUSG00000021377","ENSMUSG00000021377")</f>
        <v>ENSMUSG00000021377</v>
      </c>
      <c r="I6874" s="7" t="str">
        <f>HYPERLINK("http://www.informatics.jax.org/marker/MGI:1926209","MGI:1926209")</f>
        <v>MGI:1926209</v>
      </c>
      <c r="J6874" s="4" t="s">
        <v>12</v>
      </c>
    </row>
    <row r="6875" spans="1:10" x14ac:dyDescent="0.25">
      <c r="A6875" s="2">
        <v>1918.0967696272801</v>
      </c>
      <c r="B6875" s="3">
        <v>-0.76218686243317302</v>
      </c>
      <c r="C6875" s="5">
        <v>1.30920611135928E-23</v>
      </c>
      <c r="D6875" s="6">
        <v>1.5151141147890199E-22</v>
      </c>
      <c r="E6875" s="3" t="s">
        <v>3426</v>
      </c>
      <c r="F6875" s="3" t="s">
        <v>3427</v>
      </c>
      <c r="G6875" s="3">
        <v>668158</v>
      </c>
      <c r="H6875" s="7" t="str">
        <f>HYPERLINK("http://www.ensembl.org/Mus_musculus/Gene/Summary?db=core;g=ENSMUSG00000084883","ENSMUSG00000084883")</f>
        <v>ENSMUSG00000084883</v>
      </c>
      <c r="I6875" s="7" t="str">
        <f>HYPERLINK("http://www.informatics.jax.org/marker/MGI:3644008","MGI:3644008")</f>
        <v>MGI:3644008</v>
      </c>
      <c r="J6875" s="4" t="s">
        <v>12</v>
      </c>
    </row>
    <row r="6876" spans="1:10" x14ac:dyDescent="0.25">
      <c r="A6876" s="2">
        <v>799.05929655712805</v>
      </c>
      <c r="B6876" s="3">
        <v>-0.76287477019195105</v>
      </c>
      <c r="C6876" s="5">
        <v>1.8665725579572901E-24</v>
      </c>
      <c r="D6876" s="6">
        <v>2.2349004761941601E-23</v>
      </c>
      <c r="E6876" s="3" t="s">
        <v>3314</v>
      </c>
      <c r="F6876" s="3" t="s">
        <v>3315</v>
      </c>
      <c r="G6876" s="3">
        <v>12908</v>
      </c>
      <c r="H6876" s="7" t="str">
        <f>HYPERLINK("http://www.ensembl.org/Mus_musculus/Gene/Summary?db=core;g=ENSMUSG00000026853","ENSMUSG00000026853")</f>
        <v>ENSMUSG00000026853</v>
      </c>
      <c r="I6876" s="7" t="str">
        <f>HYPERLINK("http://www.informatics.jax.org/marker/MGI:109501","MGI:109501")</f>
        <v>MGI:109501</v>
      </c>
      <c r="J6876" s="4" t="s">
        <v>12</v>
      </c>
    </row>
    <row r="6877" spans="1:10" x14ac:dyDescent="0.25">
      <c r="A6877" s="2">
        <v>122.562616144</v>
      </c>
      <c r="B6877" s="3">
        <v>-0.76335682530216298</v>
      </c>
      <c r="C6877" s="5">
        <v>6.4428683618113997E-8</v>
      </c>
      <c r="D6877" s="6">
        <v>2.9643808701568098E-7</v>
      </c>
      <c r="E6877" s="3" t="s">
        <v>8589</v>
      </c>
      <c r="F6877" s="3" t="s">
        <v>8590</v>
      </c>
      <c r="G6877" s="3">
        <v>72640</v>
      </c>
      <c r="H6877" s="7" t="str">
        <f>HYPERLINK("http://www.ensembl.org/Mus_musculus/Gene/Summary?db=core;g=ENSMUSG00000074480","ENSMUSG00000074480")</f>
        <v>ENSMUSG00000074480</v>
      </c>
      <c r="I6877" s="7" t="str">
        <f>HYPERLINK("http://www.informatics.jax.org/marker/MGI:1919890","MGI:1919890")</f>
        <v>MGI:1919890</v>
      </c>
      <c r="J6877" s="4" t="s">
        <v>12</v>
      </c>
    </row>
    <row r="6878" spans="1:10" x14ac:dyDescent="0.25">
      <c r="A6878" s="2">
        <v>466.07267386089501</v>
      </c>
      <c r="B6878" s="3">
        <v>-0.76375416459519296</v>
      </c>
      <c r="C6878" s="5">
        <v>1.7562775617826901E-26</v>
      </c>
      <c r="D6878" s="6">
        <v>2.2785390472601798E-25</v>
      </c>
      <c r="E6878" s="3" t="s">
        <v>3058</v>
      </c>
      <c r="F6878" s="3" t="s">
        <v>3059</v>
      </c>
      <c r="G6878" s="3">
        <v>329506</v>
      </c>
      <c r="H6878" s="7" t="str">
        <f>HYPERLINK("http://www.ensembl.org/Mus_musculus/Gene/Summary?db=core;g=ENSMUSG00000033411","ENSMUSG00000033411")</f>
        <v>ENSMUSG00000033411</v>
      </c>
      <c r="I6878" s="7" t="str">
        <f>HYPERLINK("http://www.informatics.jax.org/marker/MGI:1196405","MGI:1196405")</f>
        <v>MGI:1196405</v>
      </c>
      <c r="J6878" s="4" t="s">
        <v>12</v>
      </c>
    </row>
    <row r="6879" spans="1:10" x14ac:dyDescent="0.25">
      <c r="A6879" s="2">
        <v>13.6200053383844</v>
      </c>
      <c r="B6879" s="3">
        <v>-0.76539649049682001</v>
      </c>
      <c r="C6879" s="3">
        <v>7.1840137332479497E-3</v>
      </c>
      <c r="D6879" s="4">
        <v>1.8404108954057599E-2</v>
      </c>
      <c r="E6879" s="3" t="s">
        <v>15399</v>
      </c>
      <c r="F6879" s="3" t="s">
        <v>15400</v>
      </c>
      <c r="G6879" s="3" t="s">
        <v>83</v>
      </c>
      <c r="H6879" s="7" t="str">
        <f>HYPERLINK("http://www.ensembl.org/Mus_musculus/Gene/Summary?db=core;g=ENSMUSG00000098120","ENSMUSG00000098120")</f>
        <v>ENSMUSG00000098120</v>
      </c>
      <c r="I6879" s="7" t="str">
        <f>HYPERLINK("http://www.informatics.jax.org/marker/MGI:3779534","MGI:3779534")</f>
        <v>MGI:3779534</v>
      </c>
      <c r="J6879" s="4" t="s">
        <v>939</v>
      </c>
    </row>
    <row r="6880" spans="1:10" x14ac:dyDescent="0.25">
      <c r="A6880" s="2">
        <v>69.982932582392905</v>
      </c>
      <c r="B6880" s="3">
        <v>-0.76569301707480697</v>
      </c>
      <c r="C6880" s="3">
        <v>1.3482669780809299E-4</v>
      </c>
      <c r="D6880" s="4">
        <v>4.4745581971988998E-4</v>
      </c>
      <c r="E6880" s="3" t="s">
        <v>11895</v>
      </c>
      <c r="F6880" s="3" t="s">
        <v>11896</v>
      </c>
      <c r="G6880" s="3">
        <v>381217</v>
      </c>
      <c r="H6880" s="7" t="str">
        <f>HYPERLINK("http://www.ensembl.org/Mus_musculus/Gene/Summary?db=core;g=ENSMUSG00000071604","ENSMUSG00000071604")</f>
        <v>ENSMUSG00000071604</v>
      </c>
      <c r="I6880" s="7" t="str">
        <f>HYPERLINK("http://www.informatics.jax.org/marker/MGI:2685813","MGI:2685813")</f>
        <v>MGI:2685813</v>
      </c>
      <c r="J6880" s="4" t="s">
        <v>12</v>
      </c>
    </row>
    <row r="6881" spans="1:10" x14ac:dyDescent="0.25">
      <c r="A6881" s="2">
        <v>93.197520906674001</v>
      </c>
      <c r="B6881" s="3">
        <v>-0.76578805203599898</v>
      </c>
      <c r="C6881" s="5">
        <v>9.20899320625181E-10</v>
      </c>
      <c r="D6881" s="6">
        <v>4.9496142280535798E-9</v>
      </c>
      <c r="E6881" s="3" t="s">
        <v>7356</v>
      </c>
      <c r="F6881" s="3" t="s">
        <v>7357</v>
      </c>
      <c r="G6881" s="3">
        <v>51791</v>
      </c>
      <c r="H6881" s="7" t="str">
        <f>HYPERLINK("http://www.ensembl.org/Mus_musculus/Gene/Summary?db=core;g=ENSMUSG00000052087","ENSMUSG00000052087")</f>
        <v>ENSMUSG00000052087</v>
      </c>
      <c r="I6881" s="7" t="str">
        <f>HYPERLINK("http://www.informatics.jax.org/marker/MGI:1859709","MGI:1859709")</f>
        <v>MGI:1859709</v>
      </c>
      <c r="J6881" s="4" t="s">
        <v>12</v>
      </c>
    </row>
    <row r="6882" spans="1:10" x14ac:dyDescent="0.25">
      <c r="A6882" s="2">
        <v>2957.4752007237298</v>
      </c>
      <c r="B6882" s="3">
        <v>-0.76621159291298502</v>
      </c>
      <c r="C6882" s="5">
        <v>6.8399810106035703E-15</v>
      </c>
      <c r="D6882" s="6">
        <v>5.2301056816247601E-14</v>
      </c>
      <c r="E6882" s="3" t="s">
        <v>5175</v>
      </c>
      <c r="F6882" s="3" t="s">
        <v>5176</v>
      </c>
      <c r="G6882" s="3">
        <v>216848</v>
      </c>
      <c r="H6882" s="7" t="str">
        <f>HYPERLINK("http://www.ensembl.org/Mus_musculus/Gene/Summary?db=core;g=ENSMUSG00000018474","ENSMUSG00000018474")</f>
        <v>ENSMUSG00000018474</v>
      </c>
      <c r="I6882" s="7" t="str">
        <f>HYPERLINK("http://www.informatics.jax.org/marker/MGI:1344395","MGI:1344395")</f>
        <v>MGI:1344395</v>
      </c>
      <c r="J6882" s="4" t="s">
        <v>12</v>
      </c>
    </row>
    <row r="6883" spans="1:10" x14ac:dyDescent="0.25">
      <c r="A6883" s="2">
        <v>1101.79656553164</v>
      </c>
      <c r="B6883" s="3">
        <v>-0.76628060105894302</v>
      </c>
      <c r="C6883" s="5">
        <v>8.2141925898876698E-16</v>
      </c>
      <c r="D6883" s="6">
        <v>6.56070789277379E-15</v>
      </c>
      <c r="E6883" s="3" t="s">
        <v>4955</v>
      </c>
      <c r="F6883" s="3" t="s">
        <v>4956</v>
      </c>
      <c r="G6883" s="3">
        <v>16553</v>
      </c>
      <c r="H6883" s="7" t="str">
        <f>HYPERLINK("http://www.ensembl.org/Mus_musculus/Gene/Summary?db=core;g=ENSMUSG00000021375","ENSMUSG00000021375")</f>
        <v>ENSMUSG00000021375</v>
      </c>
      <c r="I6883" s="7" t="str">
        <f>HYPERLINK("http://www.informatics.jax.org/marker/MGI:1098264","MGI:1098264")</f>
        <v>MGI:1098264</v>
      </c>
      <c r="J6883" s="4" t="s">
        <v>12</v>
      </c>
    </row>
    <row r="6884" spans="1:10" x14ac:dyDescent="0.25">
      <c r="A6884" s="2">
        <v>73.693807408267006</v>
      </c>
      <c r="B6884" s="3">
        <v>-0.76649473040636695</v>
      </c>
      <c r="C6884" s="5">
        <v>8.6611601129289797E-7</v>
      </c>
      <c r="D6884" s="6">
        <v>3.6025749299084501E-6</v>
      </c>
      <c r="E6884" s="3" t="s">
        <v>9497</v>
      </c>
      <c r="F6884" s="3" t="s">
        <v>9498</v>
      </c>
      <c r="G6884" s="3">
        <v>23957</v>
      </c>
      <c r="H6884" s="7" t="str">
        <f>HYPERLINK("http://www.ensembl.org/Mus_musculus/Gene/Summary?db=core;g=ENSMUSG00000037583","ENSMUSG00000037583")</f>
        <v>ENSMUSG00000037583</v>
      </c>
      <c r="I6884" s="7" t="str">
        <f>HYPERLINK("http://www.informatics.jax.org/marker/MGI:1346344","MGI:1346344")</f>
        <v>MGI:1346344</v>
      </c>
      <c r="J6884" s="4" t="s">
        <v>12</v>
      </c>
    </row>
    <row r="6885" spans="1:10" x14ac:dyDescent="0.25">
      <c r="A6885" s="2">
        <v>164.59433416249101</v>
      </c>
      <c r="B6885" s="3">
        <v>-0.766656406666263</v>
      </c>
      <c r="C6885" s="5">
        <v>3.8498542313476801E-8</v>
      </c>
      <c r="D6885" s="6">
        <v>1.8058783406797401E-7</v>
      </c>
      <c r="E6885" s="3" t="s">
        <v>8425</v>
      </c>
      <c r="F6885" s="3" t="s">
        <v>8426</v>
      </c>
      <c r="G6885" s="3">
        <v>23992</v>
      </c>
      <c r="H6885" s="7" t="str">
        <f>HYPERLINK("http://www.ensembl.org/Mus_musculus/Gene/Summary?db=core;g=ENSMUSG00000002731","ENSMUSG00000002731")</f>
        <v>ENSMUSG00000002731</v>
      </c>
      <c r="I6885" s="7" t="str">
        <f>HYPERLINK("http://www.informatics.jax.org/marker/MGI:1344375","MGI:1344375")</f>
        <v>MGI:1344375</v>
      </c>
      <c r="J6885" s="4" t="s">
        <v>12</v>
      </c>
    </row>
    <row r="6886" spans="1:10" x14ac:dyDescent="0.25">
      <c r="A6886" s="2">
        <v>574.78411432816199</v>
      </c>
      <c r="B6886" s="3">
        <v>-0.76741294819158301</v>
      </c>
      <c r="C6886" s="5">
        <v>2.0625682664251501E-18</v>
      </c>
      <c r="D6886" s="6">
        <v>1.9015355873727899E-17</v>
      </c>
      <c r="E6886" s="3" t="s">
        <v>4295</v>
      </c>
      <c r="F6886" s="3" t="s">
        <v>4296</v>
      </c>
      <c r="G6886" s="3">
        <v>268880</v>
      </c>
      <c r="H6886" s="7" t="str">
        <f>HYPERLINK("http://www.ensembl.org/Mus_musculus/Gene/Summary?db=core;g=ENSMUSG00000047434","ENSMUSG00000047434")</f>
        <v>ENSMUSG00000047434</v>
      </c>
      <c r="I6886" s="7" t="str">
        <f>HYPERLINK("http://www.informatics.jax.org/marker/MGI:2146443","MGI:2146443")</f>
        <v>MGI:2146443</v>
      </c>
      <c r="J6886" s="4" t="s">
        <v>12</v>
      </c>
    </row>
    <row r="6887" spans="1:10" x14ac:dyDescent="0.25">
      <c r="A6887" s="2">
        <v>41.3395831760539</v>
      </c>
      <c r="B6887" s="3">
        <v>-0.76885567472683403</v>
      </c>
      <c r="C6887" s="3">
        <v>3.3042935209307901E-4</v>
      </c>
      <c r="D6887" s="4">
        <v>1.0412379072028599E-3</v>
      </c>
      <c r="E6887" s="3" t="s">
        <v>12529</v>
      </c>
      <c r="F6887" s="3" t="s">
        <v>12530</v>
      </c>
      <c r="G6887" s="3" t="s">
        <v>83</v>
      </c>
      <c r="H6887" s="7" t="str">
        <f>HYPERLINK("http://www.ensembl.org/Mus_musculus/Gene/Summary?db=core;g=ENSMUSG00000067608","ENSMUSG00000067608")</f>
        <v>ENSMUSG00000067608</v>
      </c>
      <c r="I6887" s="7" t="str">
        <f>HYPERLINK("http://www.informatics.jax.org/marker/MGI:97505","MGI:97505")</f>
        <v>MGI:97505</v>
      </c>
      <c r="J6887" s="4" t="s">
        <v>1043</v>
      </c>
    </row>
    <row r="6888" spans="1:10" x14ac:dyDescent="0.25">
      <c r="A6888" s="2">
        <v>41.229968877472601</v>
      </c>
      <c r="B6888" s="3">
        <v>-0.76901218269445704</v>
      </c>
      <c r="C6888" s="3">
        <v>1.4413760030449699E-4</v>
      </c>
      <c r="D6888" s="4">
        <v>4.7659179711681603E-4</v>
      </c>
      <c r="E6888" s="3" t="s">
        <v>11939</v>
      </c>
      <c r="F6888" s="3" t="s">
        <v>11940</v>
      </c>
      <c r="G6888" s="3" t="s">
        <v>83</v>
      </c>
      <c r="H6888" s="7" t="str">
        <f>HYPERLINK("http://www.ensembl.org/Mus_musculus/Gene/Summary?db=core;g=ENSMUSG00000073437","ENSMUSG00000073437")</f>
        <v>ENSMUSG00000073437</v>
      </c>
      <c r="I6888" s="7" t="str">
        <f>HYPERLINK("http://www.informatics.jax.org/marker/MGI:3603827","MGI:3603827")</f>
        <v>MGI:3603827</v>
      </c>
      <c r="J6888" s="4" t="s">
        <v>331</v>
      </c>
    </row>
    <row r="6889" spans="1:10" x14ac:dyDescent="0.25">
      <c r="A6889" s="2">
        <v>129.48340112627599</v>
      </c>
      <c r="B6889" s="3">
        <v>-0.76909291202948904</v>
      </c>
      <c r="C6889" s="5">
        <v>1.3763403071830099E-7</v>
      </c>
      <c r="D6889" s="6">
        <v>6.1601068673738095E-7</v>
      </c>
      <c r="E6889" s="3" t="s">
        <v>8829</v>
      </c>
      <c r="F6889" s="3" t="s">
        <v>8830</v>
      </c>
      <c r="G6889" s="3">
        <v>22772</v>
      </c>
      <c r="H6889" s="7" t="str">
        <f>HYPERLINK("http://www.ensembl.org/Mus_musculus/Gene/Summary?db=core;g=ENSMUSG00000061524","ENSMUSG00000061524")</f>
        <v>ENSMUSG00000061524</v>
      </c>
      <c r="I6889" s="7" t="str">
        <f>HYPERLINK("http://www.informatics.jax.org/marker/MGI:106679","MGI:106679")</f>
        <v>MGI:106679</v>
      </c>
      <c r="J6889" s="4" t="s">
        <v>12</v>
      </c>
    </row>
    <row r="6890" spans="1:10" x14ac:dyDescent="0.25">
      <c r="A6890" s="2">
        <v>278.758401435211</v>
      </c>
      <c r="B6890" s="3">
        <v>-0.76950613896737197</v>
      </c>
      <c r="C6890" s="5">
        <v>1.33250100924939E-18</v>
      </c>
      <c r="D6890" s="6">
        <v>1.2400622889286499E-17</v>
      </c>
      <c r="E6890" s="3" t="s">
        <v>4255</v>
      </c>
      <c r="F6890" s="3" t="s">
        <v>4256</v>
      </c>
      <c r="G6890" s="3">
        <v>52535</v>
      </c>
      <c r="H6890" s="7" t="str">
        <f>HYPERLINK("http://www.ensembl.org/Mus_musculus/Gene/Summary?db=core;g=ENSMUSG00000004561","ENSMUSG00000004561")</f>
        <v>ENSMUSG00000004561</v>
      </c>
      <c r="I6890" s="7" t="str">
        <f>HYPERLINK("http://www.informatics.jax.org/marker/MGI:1098577","MGI:1098577")</f>
        <v>MGI:1098577</v>
      </c>
      <c r="J6890" s="4" t="s">
        <v>12</v>
      </c>
    </row>
    <row r="6891" spans="1:10" x14ac:dyDescent="0.25">
      <c r="A6891" s="2">
        <v>136.03655252430801</v>
      </c>
      <c r="B6891" s="3">
        <v>-0.77015812335167</v>
      </c>
      <c r="C6891" s="5">
        <v>1.65251786575028E-9</v>
      </c>
      <c r="D6891" s="6">
        <v>8.6969982152643405E-9</v>
      </c>
      <c r="E6891" s="3" t="s">
        <v>7512</v>
      </c>
      <c r="F6891" s="3" t="s">
        <v>7513</v>
      </c>
      <c r="G6891" s="3">
        <v>98314</v>
      </c>
      <c r="H6891" s="7" t="str">
        <f>HYPERLINK("http://www.ensembl.org/Mus_musculus/Gene/Summary?db=core;g=ENSMUSG00000073609","ENSMUSG00000073609")</f>
        <v>ENSMUSG00000073609</v>
      </c>
      <c r="I6891" s="7" t="str">
        <f>HYPERLINK("http://www.informatics.jax.org/marker/MGI:2138209","MGI:2138209")</f>
        <v>MGI:2138209</v>
      </c>
      <c r="J6891" s="4" t="s">
        <v>12</v>
      </c>
    </row>
    <row r="6892" spans="1:10" x14ac:dyDescent="0.25">
      <c r="A6892" s="2">
        <v>477.17699038547403</v>
      </c>
      <c r="B6892" s="3">
        <v>-0.77050665328548695</v>
      </c>
      <c r="C6892" s="5">
        <v>3.49643916669879E-34</v>
      </c>
      <c r="D6892" s="6">
        <v>5.8830870620563303E-33</v>
      </c>
      <c r="E6892" s="3" t="s">
        <v>2361</v>
      </c>
      <c r="F6892" s="3" t="s">
        <v>2362</v>
      </c>
      <c r="G6892" s="3">
        <v>12396</v>
      </c>
      <c r="H6892" s="7" t="str">
        <f>HYPERLINK("http://www.ensembl.org/Mus_musculus/Gene/Summary?db=core;g=ENSMUSG00000038533","ENSMUSG00000038533")</f>
        <v>ENSMUSG00000038533</v>
      </c>
      <c r="I6892" s="7" t="str">
        <f>HYPERLINK("http://www.informatics.jax.org/marker/MGI:1333833","MGI:1333833")</f>
        <v>MGI:1333833</v>
      </c>
      <c r="J6892" s="4" t="s">
        <v>12</v>
      </c>
    </row>
    <row r="6893" spans="1:10" x14ac:dyDescent="0.25">
      <c r="A6893" s="2">
        <v>1188.39204051709</v>
      </c>
      <c r="B6893" s="3">
        <v>-0.77116392114167498</v>
      </c>
      <c r="C6893" s="5">
        <v>1.0956769586801901E-24</v>
      </c>
      <c r="D6893" s="6">
        <v>1.32070596730888E-23</v>
      </c>
      <c r="E6893" s="3" t="s">
        <v>3292</v>
      </c>
      <c r="F6893" s="3" t="s">
        <v>3293</v>
      </c>
      <c r="G6893" s="3">
        <v>18541</v>
      </c>
      <c r="H6893" s="7" t="str">
        <f>HYPERLINK("http://www.ensembl.org/Mus_musculus/Gene/Summary?db=core;g=ENSMUSG00000001151","ENSMUSG00000001151")</f>
        <v>ENSMUSG00000001151</v>
      </c>
      <c r="I6893" s="7" t="str">
        <f>HYPERLINK("http://www.informatics.jax.org/marker/MGI:102722","MGI:102722")</f>
        <v>MGI:102722</v>
      </c>
      <c r="J6893" s="4" t="s">
        <v>12</v>
      </c>
    </row>
    <row r="6894" spans="1:10" x14ac:dyDescent="0.25">
      <c r="A6894" s="2">
        <v>342.35665004912897</v>
      </c>
      <c r="B6894" s="3">
        <v>-0.77334182648768501</v>
      </c>
      <c r="C6894" s="5">
        <v>4.5080211850681798E-21</v>
      </c>
      <c r="D6894" s="6">
        <v>4.6714754476902E-20</v>
      </c>
      <c r="E6894" s="3" t="s">
        <v>3824</v>
      </c>
      <c r="F6894" s="3" t="s">
        <v>3825</v>
      </c>
      <c r="G6894" s="3">
        <v>19364</v>
      </c>
      <c r="H6894" s="7" t="str">
        <f>HYPERLINK("http://www.ensembl.org/Mus_musculus/Gene/Summary?db=core;g=ENSMUSG00000018841","ENSMUSG00000018841")</f>
        <v>ENSMUSG00000018841</v>
      </c>
      <c r="I6894" s="7" t="str">
        <f>HYPERLINK("http://www.informatics.jax.org/marker/MGI:1261809","MGI:1261809")</f>
        <v>MGI:1261809</v>
      </c>
      <c r="J6894" s="4" t="s">
        <v>12</v>
      </c>
    </row>
    <row r="6895" spans="1:10" x14ac:dyDescent="0.25">
      <c r="A6895" s="2">
        <v>584.46095722106895</v>
      </c>
      <c r="B6895" s="3">
        <v>-0.77388614903464104</v>
      </c>
      <c r="C6895" s="5">
        <v>2.1646021068042701E-13</v>
      </c>
      <c r="D6895" s="6">
        <v>1.5158364185433299E-12</v>
      </c>
      <c r="E6895" s="3" t="s">
        <v>5649</v>
      </c>
      <c r="F6895" s="3" t="s">
        <v>5650</v>
      </c>
      <c r="G6895" s="3">
        <v>69718</v>
      </c>
      <c r="H6895" s="7" t="str">
        <f>HYPERLINK("http://www.ensembl.org/Mus_musculus/Gene/Summary?db=core;g=ENSMUSG00000060733","ENSMUSG00000060733")</f>
        <v>ENSMUSG00000060733</v>
      </c>
      <c r="I6895" s="7" t="str">
        <f>HYPERLINK("http://www.informatics.jax.org/marker/MGI:1916968","MGI:1916968")</f>
        <v>MGI:1916968</v>
      </c>
      <c r="J6895" s="4" t="s">
        <v>12</v>
      </c>
    </row>
    <row r="6896" spans="1:10" x14ac:dyDescent="0.25">
      <c r="A6896" s="2">
        <v>544.09495549687097</v>
      </c>
      <c r="B6896" s="3">
        <v>-0.77407463529964904</v>
      </c>
      <c r="C6896" s="5">
        <v>7.1170041996751398E-12</v>
      </c>
      <c r="D6896" s="6">
        <v>4.50119701146869E-11</v>
      </c>
      <c r="E6896" s="3" t="s">
        <v>6253</v>
      </c>
      <c r="F6896" s="3" t="s">
        <v>6254</v>
      </c>
      <c r="G6896" s="3">
        <v>12704</v>
      </c>
      <c r="H6896" s="7" t="str">
        <f>HYPERLINK("http://www.ensembl.org/Mus_musculus/Gene/Summary?db=core;g=ENSMUSG00000029516","ENSMUSG00000029516")</f>
        <v>ENSMUSG00000029516</v>
      </c>
      <c r="I6896" s="7" t="str">
        <f>HYPERLINK("http://www.informatics.jax.org/marker/MGI:105313","MGI:105313")</f>
        <v>MGI:105313</v>
      </c>
      <c r="J6896" s="4" t="s">
        <v>12</v>
      </c>
    </row>
    <row r="6897" spans="1:10" x14ac:dyDescent="0.25">
      <c r="A6897" s="2">
        <v>104.209614771329</v>
      </c>
      <c r="B6897" s="3">
        <v>-0.77446021431179601</v>
      </c>
      <c r="C6897" s="5">
        <v>1.0903624980235601E-6</v>
      </c>
      <c r="D6897" s="6">
        <v>4.4926762350657303E-6</v>
      </c>
      <c r="E6897" s="3" t="s">
        <v>9587</v>
      </c>
      <c r="F6897" s="3" t="s">
        <v>9588</v>
      </c>
      <c r="G6897" s="3">
        <v>71276</v>
      </c>
      <c r="H6897" s="7" t="str">
        <f>HYPERLINK("http://www.ensembl.org/Mus_musculus/Gene/Summary?db=core;g=ENSMUSG00000048445","ENSMUSG00000048445")</f>
        <v>ENSMUSG00000048445</v>
      </c>
      <c r="I6897" s="7" t="str">
        <f>HYPERLINK("http://www.informatics.jax.org/marker/MGI:1918526","MGI:1918526")</f>
        <v>MGI:1918526</v>
      </c>
      <c r="J6897" s="4" t="s">
        <v>12</v>
      </c>
    </row>
    <row r="6898" spans="1:10" x14ac:dyDescent="0.25">
      <c r="A6898" s="2">
        <v>1029.4078928532799</v>
      </c>
      <c r="B6898" s="3">
        <v>-0.77501244918333401</v>
      </c>
      <c r="C6898" s="5">
        <v>2.9865269165163998E-28</v>
      </c>
      <c r="D6898" s="6">
        <v>4.1213653459554497E-27</v>
      </c>
      <c r="E6898" s="3" t="s">
        <v>2876</v>
      </c>
      <c r="F6898" s="3" t="s">
        <v>2877</v>
      </c>
      <c r="G6898" s="3">
        <v>16974</v>
      </c>
      <c r="H6898" s="7" t="str">
        <f>HYPERLINK("http://www.ensembl.org/Mus_musculus/Gene/Summary?db=core;g=ENSMUSG00000030201","ENSMUSG00000030201")</f>
        <v>ENSMUSG00000030201</v>
      </c>
      <c r="I6898" s="7" t="str">
        <f>HYPERLINK("http://www.informatics.jax.org/marker/MGI:1298218","MGI:1298218")</f>
        <v>MGI:1298218</v>
      </c>
      <c r="J6898" s="4" t="s">
        <v>12</v>
      </c>
    </row>
    <row r="6899" spans="1:10" x14ac:dyDescent="0.25">
      <c r="A6899" s="2">
        <v>164.055957962798</v>
      </c>
      <c r="B6899" s="3">
        <v>-0.77538785080444905</v>
      </c>
      <c r="C6899" s="5">
        <v>3.3967151311690701E-16</v>
      </c>
      <c r="D6899" s="6">
        <v>2.7610561577351198E-15</v>
      </c>
      <c r="E6899" s="3" t="s">
        <v>4869</v>
      </c>
      <c r="F6899" s="3" t="s">
        <v>4870</v>
      </c>
      <c r="G6899" s="3">
        <v>74025</v>
      </c>
      <c r="H6899" s="7" t="str">
        <f>HYPERLINK("http://www.ensembl.org/Mus_musculus/Gene/Summary?db=core;g=ENSMUSG00000032558","ENSMUSG00000032558")</f>
        <v>ENSMUSG00000032558</v>
      </c>
      <c r="I6899" s="7" t="str">
        <f>HYPERLINK("http://www.informatics.jax.org/marker/MGI:1921275","MGI:1921275")</f>
        <v>MGI:1921275</v>
      </c>
      <c r="J6899" s="4" t="s">
        <v>12</v>
      </c>
    </row>
    <row r="6900" spans="1:10" x14ac:dyDescent="0.25">
      <c r="A6900" s="2">
        <v>1825.6987746218499</v>
      </c>
      <c r="B6900" s="3">
        <v>-0.77542081171801103</v>
      </c>
      <c r="C6900" s="5">
        <v>2.6772271675075501E-46</v>
      </c>
      <c r="D6900" s="6">
        <v>6.5340247206991206E-45</v>
      </c>
      <c r="E6900" s="3" t="s">
        <v>1632</v>
      </c>
      <c r="F6900" s="3" t="s">
        <v>1633</v>
      </c>
      <c r="G6900" s="3">
        <v>13822</v>
      </c>
      <c r="H6900" s="7" t="str">
        <f>HYPERLINK("http://www.ensembl.org/Mus_musculus/Gene/Summary?db=core;g=ENSMUSG00000019978","ENSMUSG00000019978")</f>
        <v>ENSMUSG00000019978</v>
      </c>
      <c r="I6900" s="7" t="str">
        <f>HYPERLINK("http://www.informatics.jax.org/marker/MGI:103009","MGI:103009")</f>
        <v>MGI:103009</v>
      </c>
      <c r="J6900" s="4" t="s">
        <v>12</v>
      </c>
    </row>
    <row r="6901" spans="1:10" x14ac:dyDescent="0.25">
      <c r="A6901" s="2">
        <v>700.38358965958002</v>
      </c>
      <c r="B6901" s="3">
        <v>-0.77578769277010395</v>
      </c>
      <c r="C6901" s="5">
        <v>5.3044603790798401E-21</v>
      </c>
      <c r="D6901" s="6">
        <v>5.4709183407664505E-20</v>
      </c>
      <c r="E6901" s="3" t="s">
        <v>3842</v>
      </c>
      <c r="F6901" s="3" t="s">
        <v>3843</v>
      </c>
      <c r="G6901" s="3">
        <v>66958</v>
      </c>
      <c r="H6901" s="7" t="str">
        <f>HYPERLINK("http://www.ensembl.org/Mus_musculus/Gene/Summary?db=core;g=ENSMUSG00000050043","ENSMUSG00000050043")</f>
        <v>ENSMUSG00000050043</v>
      </c>
      <c r="I6901" s="7" t="str">
        <f>HYPERLINK("http://www.informatics.jax.org/marker/MGI:1914208","MGI:1914208")</f>
        <v>MGI:1914208</v>
      </c>
      <c r="J6901" s="4" t="s">
        <v>12</v>
      </c>
    </row>
    <row r="6902" spans="1:10" x14ac:dyDescent="0.25">
      <c r="A6902" s="2">
        <v>916.76663329945904</v>
      </c>
      <c r="B6902" s="3">
        <v>-0.77585924760468505</v>
      </c>
      <c r="C6902" s="5">
        <v>3.8963366934209602E-32</v>
      </c>
      <c r="D6902" s="6">
        <v>6.0835914168061296E-31</v>
      </c>
      <c r="E6902" s="3" t="s">
        <v>2543</v>
      </c>
      <c r="F6902" s="3" t="s">
        <v>2544</v>
      </c>
      <c r="G6902" s="3">
        <v>14247</v>
      </c>
      <c r="H6902" s="7" t="str">
        <f>HYPERLINK("http://www.ensembl.org/Mus_musculus/Gene/Summary?db=core;g=ENSMUSG00000016087","ENSMUSG00000016087")</f>
        <v>ENSMUSG00000016087</v>
      </c>
      <c r="I6902" s="7" t="str">
        <f>HYPERLINK("http://www.informatics.jax.org/marker/MGI:95554","MGI:95554")</f>
        <v>MGI:95554</v>
      </c>
      <c r="J6902" s="4" t="s">
        <v>12</v>
      </c>
    </row>
    <row r="6903" spans="1:10" x14ac:dyDescent="0.25">
      <c r="A6903" s="2">
        <v>447.395826542669</v>
      </c>
      <c r="B6903" s="3">
        <v>-0.77586350897420298</v>
      </c>
      <c r="C6903" s="5">
        <v>5.3176025743028498E-30</v>
      </c>
      <c r="D6903" s="6">
        <v>7.83145054258792E-29</v>
      </c>
      <c r="E6903" s="3" t="s">
        <v>2696</v>
      </c>
      <c r="F6903" s="3" t="s">
        <v>2697</v>
      </c>
      <c r="G6903" s="3">
        <v>66664</v>
      </c>
      <c r="H6903" s="7" t="str">
        <f>HYPERLINK("http://www.ensembl.org/Mus_musculus/Gene/Summary?db=core;g=ENSMUSG00000022856","ENSMUSG00000022856")</f>
        <v>ENSMUSG00000022856</v>
      </c>
      <c r="I6903" s="7" t="str">
        <f>HYPERLINK("http://www.informatics.jax.org/marker/MGI:1913914","MGI:1913914")</f>
        <v>MGI:1913914</v>
      </c>
      <c r="J6903" s="4" t="s">
        <v>12</v>
      </c>
    </row>
    <row r="6904" spans="1:10" x14ac:dyDescent="0.25">
      <c r="A6904" s="2">
        <v>386.34004867649401</v>
      </c>
      <c r="B6904" s="3">
        <v>-0.77614332636484595</v>
      </c>
      <c r="C6904" s="5">
        <v>7.0086566971699603E-17</v>
      </c>
      <c r="D6904" s="6">
        <v>5.9165543693575202E-16</v>
      </c>
      <c r="E6904" s="3" t="s">
        <v>4689</v>
      </c>
      <c r="F6904" s="3" t="s">
        <v>4690</v>
      </c>
      <c r="G6904" s="3">
        <v>20460</v>
      </c>
      <c r="H6904" s="7" t="str">
        <f>HYPERLINK("http://www.ensembl.org/Mus_musculus/Gene/Summary?db=core;g=ENSMUSG00000028718","ENSMUSG00000028718")</f>
        <v>ENSMUSG00000028718</v>
      </c>
      <c r="I6904" s="7" t="str">
        <f>HYPERLINK("http://www.informatics.jax.org/marker/MGI:107477","MGI:107477")</f>
        <v>MGI:107477</v>
      </c>
      <c r="J6904" s="4" t="s">
        <v>12</v>
      </c>
    </row>
    <row r="6905" spans="1:10" x14ac:dyDescent="0.25">
      <c r="A6905" s="2">
        <v>22.400481095183601</v>
      </c>
      <c r="B6905" s="3">
        <v>-0.77685120909455996</v>
      </c>
      <c r="C6905" s="3">
        <v>2.62851659387757E-3</v>
      </c>
      <c r="D6905" s="4">
        <v>7.2790826051489501E-3</v>
      </c>
      <c r="E6905" s="3" t="s">
        <v>14249</v>
      </c>
      <c r="F6905" s="3" t="s">
        <v>14250</v>
      </c>
      <c r="G6905" s="3">
        <v>97440</v>
      </c>
      <c r="H6905" s="7" t="str">
        <f>HYPERLINK("http://www.ensembl.org/Mus_musculus/Gene/Summary?db=core;g=ENSMUSG00000069920","ENSMUSG00000069920")</f>
        <v>ENSMUSG00000069920</v>
      </c>
      <c r="I6905" s="7" t="str">
        <f>HYPERLINK("http://www.informatics.jax.org/marker/MGI:2142841","MGI:2142841")</f>
        <v>MGI:2142841</v>
      </c>
      <c r="J6905" s="4" t="s">
        <v>12</v>
      </c>
    </row>
    <row r="6906" spans="1:10" x14ac:dyDescent="0.25">
      <c r="A6906" s="2">
        <v>787.26827846623598</v>
      </c>
      <c r="B6906" s="3">
        <v>-0.77685390888926298</v>
      </c>
      <c r="C6906" s="5">
        <v>8.9971696394765007E-12</v>
      </c>
      <c r="D6906" s="6">
        <v>5.6476397080058801E-11</v>
      </c>
      <c r="E6906" s="3" t="s">
        <v>6303</v>
      </c>
      <c r="F6906" s="3" t="s">
        <v>6304</v>
      </c>
      <c r="G6906" s="3">
        <v>226539</v>
      </c>
      <c r="H6906" s="7" t="str">
        <f>HYPERLINK("http://www.ensembl.org/Mus_musculus/Gene/Summary?db=core;g=ENSMUSG00000026709","ENSMUSG00000026709")</f>
        <v>ENSMUSG00000026709</v>
      </c>
      <c r="I6906" s="7" t="str">
        <f>HYPERLINK("http://www.informatics.jax.org/marker/MGI:2442510","MGI:2442510")</f>
        <v>MGI:2442510</v>
      </c>
      <c r="J6906" s="4" t="s">
        <v>12</v>
      </c>
    </row>
    <row r="6907" spans="1:10" x14ac:dyDescent="0.25">
      <c r="A6907" s="2">
        <v>550.16541683069102</v>
      </c>
      <c r="B6907" s="3">
        <v>-0.77708027140494296</v>
      </c>
      <c r="C6907" s="5">
        <v>5.4180922950853398E-18</v>
      </c>
      <c r="D6907" s="6">
        <v>4.88768435768906E-17</v>
      </c>
      <c r="E6907" s="3" t="s">
        <v>4389</v>
      </c>
      <c r="F6907" s="3" t="s">
        <v>4390</v>
      </c>
      <c r="G6907" s="3">
        <v>74504</v>
      </c>
      <c r="H6907" s="7" t="str">
        <f>HYPERLINK("http://www.ensembl.org/Mus_musculus/Gene/Summary?db=core;g=ENSMUSG00000037339","ENSMUSG00000037339")</f>
        <v>ENSMUSG00000037339</v>
      </c>
      <c r="I6907" s="7" t="str">
        <f>HYPERLINK("http://www.informatics.jax.org/marker/MGI:1919225","MGI:1919225")</f>
        <v>MGI:1919225</v>
      </c>
      <c r="J6907" s="4" t="s">
        <v>12</v>
      </c>
    </row>
    <row r="6908" spans="1:10" x14ac:dyDescent="0.25">
      <c r="A6908" s="2">
        <v>34.781741731930303</v>
      </c>
      <c r="B6908" s="3">
        <v>-0.777782551985152</v>
      </c>
      <c r="C6908" s="5">
        <v>9.0640261702653701E-5</v>
      </c>
      <c r="D6908" s="4">
        <v>3.0707055515674398E-4</v>
      </c>
      <c r="E6908" s="3" t="s">
        <v>11651</v>
      </c>
      <c r="F6908" s="3" t="s">
        <v>11652</v>
      </c>
      <c r="G6908" s="3" t="s">
        <v>83</v>
      </c>
      <c r="H6908" s="7" t="str">
        <f>HYPERLINK("http://www.ensembl.org/Mus_musculus/Gene/Summary?db=core;g=ENSMUSG00000097729","ENSMUSG00000097729")</f>
        <v>ENSMUSG00000097729</v>
      </c>
      <c r="I6908" s="7" t="str">
        <f>HYPERLINK("http://www.informatics.jax.org/marker/MGI:1916798","MGI:1916798")</f>
        <v>MGI:1916798</v>
      </c>
      <c r="J6908" s="4" t="s">
        <v>331</v>
      </c>
    </row>
    <row r="6909" spans="1:10" x14ac:dyDescent="0.25">
      <c r="A6909" s="2">
        <v>390.14401878281001</v>
      </c>
      <c r="B6909" s="3">
        <v>-0.77870205162344697</v>
      </c>
      <c r="C6909" s="5">
        <v>2.4779182432322299E-10</v>
      </c>
      <c r="D6909" s="6">
        <v>1.3965289441708901E-9</v>
      </c>
      <c r="E6909" s="3" t="s">
        <v>7016</v>
      </c>
      <c r="F6909" s="3" t="s">
        <v>7017</v>
      </c>
      <c r="G6909" s="3">
        <v>217216</v>
      </c>
      <c r="H6909" s="7" t="str">
        <f>HYPERLINK("http://www.ensembl.org/Mus_musculus/Gene/Summary?db=core;g=ENSMUSG00000034773","ENSMUSG00000034773")</f>
        <v>ENSMUSG00000034773</v>
      </c>
      <c r="I6909" s="7" t="str">
        <f>HYPERLINK("http://www.informatics.jax.org/marker/MGI:2387601","MGI:2387601")</f>
        <v>MGI:2387601</v>
      </c>
      <c r="J6909" s="4" t="s">
        <v>12</v>
      </c>
    </row>
    <row r="6910" spans="1:10" x14ac:dyDescent="0.25">
      <c r="A6910" s="2">
        <v>380.44484989384898</v>
      </c>
      <c r="B6910" s="3">
        <v>-0.77968694988772103</v>
      </c>
      <c r="C6910" s="5">
        <v>6.0302305978526703E-21</v>
      </c>
      <c r="D6910" s="6">
        <v>6.2097204903213895E-20</v>
      </c>
      <c r="E6910" s="3" t="s">
        <v>3848</v>
      </c>
      <c r="F6910" s="3" t="s">
        <v>3849</v>
      </c>
      <c r="G6910" s="3">
        <v>77975</v>
      </c>
      <c r="H6910" s="7" t="str">
        <f>HYPERLINK("http://www.ensembl.org/Mus_musculus/Gene/Summary?db=core;g=ENSMUSG00000022964","ENSMUSG00000022964")</f>
        <v>ENSMUSG00000022964</v>
      </c>
      <c r="I6910" s="7" t="str">
        <f>HYPERLINK("http://www.informatics.jax.org/marker/MGI:1925225","MGI:1925225")</f>
        <v>MGI:1925225</v>
      </c>
      <c r="J6910" s="4" t="s">
        <v>12</v>
      </c>
    </row>
    <row r="6911" spans="1:10" x14ac:dyDescent="0.25">
      <c r="A6911" s="2">
        <v>298.76092233376602</v>
      </c>
      <c r="B6911" s="3">
        <v>-0.77995434404088004</v>
      </c>
      <c r="C6911" s="5">
        <v>4.6839189360509999E-27</v>
      </c>
      <c r="D6911" s="6">
        <v>6.1783867169850001E-26</v>
      </c>
      <c r="E6911" s="3" t="s">
        <v>3008</v>
      </c>
      <c r="F6911" s="3" t="s">
        <v>3009</v>
      </c>
      <c r="G6911" s="3">
        <v>66531</v>
      </c>
      <c r="H6911" s="7" t="str">
        <f>HYPERLINK("http://www.ensembl.org/Mus_musculus/Gene/Summary?db=core;g=ENSMUSG00000014633","ENSMUSG00000014633")</f>
        <v>ENSMUSG00000014633</v>
      </c>
      <c r="I6911" s="7" t="str">
        <f>HYPERLINK("http://www.informatics.jax.org/marker/MGI:1913781","MGI:1913781")</f>
        <v>MGI:1913781</v>
      </c>
      <c r="J6911" s="4" t="s">
        <v>12</v>
      </c>
    </row>
    <row r="6912" spans="1:10" x14ac:dyDescent="0.25">
      <c r="A6912" s="2">
        <v>217.36904225398601</v>
      </c>
      <c r="B6912" s="3">
        <v>-0.78056947731189996</v>
      </c>
      <c r="C6912" s="5">
        <v>9.5703661768538696E-12</v>
      </c>
      <c r="D6912" s="6">
        <v>5.9875514279047699E-11</v>
      </c>
      <c r="E6912" s="3" t="s">
        <v>6321</v>
      </c>
      <c r="F6912" s="3" t="s">
        <v>6322</v>
      </c>
      <c r="G6912" s="3">
        <v>16548</v>
      </c>
      <c r="H6912" s="7" t="str">
        <f>HYPERLINK("http://www.ensembl.org/Mus_musculus/Gene/Summary?db=core;g=ENSMUSG00000029162","ENSMUSG00000029162")</f>
        <v>ENSMUSG00000029162</v>
      </c>
      <c r="I6912" s="7" t="str">
        <f>HYPERLINK("http://www.informatics.jax.org/marker/MGI:1096353","MGI:1096353")</f>
        <v>MGI:1096353</v>
      </c>
      <c r="J6912" s="4" t="s">
        <v>12</v>
      </c>
    </row>
    <row r="6913" spans="1:10" x14ac:dyDescent="0.25">
      <c r="A6913" s="2">
        <v>434.85749706880102</v>
      </c>
      <c r="B6913" s="3">
        <v>-0.78061992116118795</v>
      </c>
      <c r="C6913" s="5">
        <v>2.7345517346889899E-30</v>
      </c>
      <c r="D6913" s="6">
        <v>4.0759909454321202E-29</v>
      </c>
      <c r="E6913" s="3" t="s">
        <v>2663</v>
      </c>
      <c r="F6913" s="3" t="s">
        <v>2664</v>
      </c>
      <c r="G6913" s="3">
        <v>71743</v>
      </c>
      <c r="H6913" s="7" t="str">
        <f>HYPERLINK("http://www.ensembl.org/Mus_musculus/Gene/Summary?db=core;g=ENSMUSG00000001755","ENSMUSG00000001755")</f>
        <v>ENSMUSG00000001755</v>
      </c>
      <c r="I6913" s="7" t="str">
        <f>HYPERLINK("http://www.informatics.jax.org/marker/MGI:1918993","MGI:1918993")</f>
        <v>MGI:1918993</v>
      </c>
      <c r="J6913" s="4" t="s">
        <v>12</v>
      </c>
    </row>
    <row r="6914" spans="1:10" x14ac:dyDescent="0.25">
      <c r="A6914" s="2">
        <v>270.94311034062798</v>
      </c>
      <c r="B6914" s="3">
        <v>-0.78140681754162999</v>
      </c>
      <c r="C6914" s="5">
        <v>1.4026293342738E-12</v>
      </c>
      <c r="D6914" s="6">
        <v>9.325640752488E-12</v>
      </c>
      <c r="E6914" s="3" t="s">
        <v>5949</v>
      </c>
      <c r="F6914" s="3" t="s">
        <v>5950</v>
      </c>
      <c r="G6914" s="3">
        <v>80986</v>
      </c>
      <c r="H6914" s="7" t="str">
        <f>HYPERLINK("http://www.ensembl.org/Mus_musculus/Gene/Summary?db=core;g=ENSMUSG00000037725","ENSMUSG00000037725")</f>
        <v>ENSMUSG00000037725</v>
      </c>
      <c r="I6914" s="7" t="str">
        <f>HYPERLINK("http://www.informatics.jax.org/marker/MGI:1931797","MGI:1931797")</f>
        <v>MGI:1931797</v>
      </c>
      <c r="J6914" s="4" t="s">
        <v>12</v>
      </c>
    </row>
    <row r="6915" spans="1:10" x14ac:dyDescent="0.25">
      <c r="A6915" s="2">
        <v>273.84977364888499</v>
      </c>
      <c r="B6915" s="3">
        <v>-0.78141117544955996</v>
      </c>
      <c r="C6915" s="5">
        <v>1.9781671609208499E-18</v>
      </c>
      <c r="D6915" s="6">
        <v>1.8254308101712301E-17</v>
      </c>
      <c r="E6915" s="3" t="s">
        <v>4291</v>
      </c>
      <c r="F6915" s="3" t="s">
        <v>4292</v>
      </c>
      <c r="G6915" s="3">
        <v>22439</v>
      </c>
      <c r="H6915" s="7" t="str">
        <f>HYPERLINK("http://www.ensembl.org/Mus_musculus/Gene/Summary?db=core;g=ENSMUSG00000015342","ENSMUSG00000015342")</f>
        <v>ENSMUSG00000015342</v>
      </c>
      <c r="I6915" s="7" t="str">
        <f>HYPERLINK("http://www.informatics.jax.org/marker/MGI:103569","MGI:103569")</f>
        <v>MGI:103569</v>
      </c>
      <c r="J6915" s="4" t="s">
        <v>12</v>
      </c>
    </row>
    <row r="6916" spans="1:10" x14ac:dyDescent="0.25">
      <c r="A6916" s="2">
        <v>15.915306833753</v>
      </c>
      <c r="B6916" s="3">
        <v>-0.78146923438363103</v>
      </c>
      <c r="C6916" s="3">
        <v>2.52857766609162E-3</v>
      </c>
      <c r="D6916" s="4">
        <v>7.02600416729981E-3</v>
      </c>
      <c r="E6916" s="3" t="s">
        <v>14201</v>
      </c>
      <c r="F6916" s="3" t="s">
        <v>14202</v>
      </c>
      <c r="G6916" s="3">
        <v>101543</v>
      </c>
      <c r="H6916" s="7" t="str">
        <f>HYPERLINK("http://www.ensembl.org/Mus_musculus/Gene/Summary?db=core;g=ENSMUSG00000036459","ENSMUSG00000036459")</f>
        <v>ENSMUSG00000036459</v>
      </c>
      <c r="I6916" s="7" t="str">
        <f>HYPERLINK("http://www.informatics.jax.org/marker/MGI:2141920","MGI:2141920")</f>
        <v>MGI:2141920</v>
      </c>
      <c r="J6916" s="4" t="s">
        <v>12</v>
      </c>
    </row>
    <row r="6917" spans="1:10" x14ac:dyDescent="0.25">
      <c r="A6917" s="2">
        <v>292.46328588613699</v>
      </c>
      <c r="B6917" s="3">
        <v>-0.781499527613149</v>
      </c>
      <c r="C6917" s="5">
        <v>2.1354260881268701E-25</v>
      </c>
      <c r="D6917" s="6">
        <v>2.64513834534308E-24</v>
      </c>
      <c r="E6917" s="3" t="s">
        <v>3204</v>
      </c>
      <c r="F6917" s="3" t="s">
        <v>3205</v>
      </c>
      <c r="G6917" s="3">
        <v>219249</v>
      </c>
      <c r="H6917" s="7" t="str">
        <f>HYPERLINK("http://www.ensembl.org/Mus_musculus/Gene/Summary?db=core;g=ENSMUSG00000022019","ENSMUSG00000022019")</f>
        <v>ENSMUSG00000022019</v>
      </c>
      <c r="I6917" s="7" t="str">
        <f>HYPERLINK("http://www.informatics.jax.org/marker/MGI:2444023","MGI:2444023")</f>
        <v>MGI:2444023</v>
      </c>
      <c r="J6917" s="4" t="s">
        <v>12</v>
      </c>
    </row>
    <row r="6918" spans="1:10" x14ac:dyDescent="0.25">
      <c r="A6918" s="2">
        <v>112.488379122136</v>
      </c>
      <c r="B6918" s="3">
        <v>-0.78241433383660097</v>
      </c>
      <c r="C6918" s="5">
        <v>7.4159781606397604E-10</v>
      </c>
      <c r="D6918" s="6">
        <v>4.01325711657015E-9</v>
      </c>
      <c r="E6918" s="3" t="s">
        <v>7306</v>
      </c>
      <c r="F6918" s="3" t="s">
        <v>7307</v>
      </c>
      <c r="G6918" s="3">
        <v>78887</v>
      </c>
      <c r="H6918" s="7" t="str">
        <f>HYPERLINK("http://www.ensembl.org/Mus_musculus/Gene/Summary?db=core;g=ENSMUSG00000023764","ENSMUSG00000023764")</f>
        <v>ENSMUSG00000023764</v>
      </c>
      <c r="I6918" s="7" t="str">
        <f>HYPERLINK("http://www.informatics.jax.org/marker/MGI:1926137","MGI:1926137")</f>
        <v>MGI:1926137</v>
      </c>
      <c r="J6918" s="4" t="s">
        <v>12</v>
      </c>
    </row>
    <row r="6919" spans="1:10" x14ac:dyDescent="0.25">
      <c r="A6919" s="2">
        <v>94.773659887729593</v>
      </c>
      <c r="B6919" s="3">
        <v>-0.78283090141450395</v>
      </c>
      <c r="C6919" s="5">
        <v>1.03882358431462E-8</v>
      </c>
      <c r="D6919" s="6">
        <v>5.1471359504232099E-8</v>
      </c>
      <c r="E6919" s="3" t="s">
        <v>7977</v>
      </c>
      <c r="F6919" s="3" t="s">
        <v>7978</v>
      </c>
      <c r="G6919" s="3">
        <v>210004</v>
      </c>
      <c r="H6919" s="7" t="str">
        <f>HYPERLINK("http://www.ensembl.org/Mus_musculus/Gene/Summary?db=core;g=ENSMUSG00000046605","ENSMUSG00000046605")</f>
        <v>ENSMUSG00000046605</v>
      </c>
      <c r="I6919" s="7" t="str">
        <f>HYPERLINK("http://www.informatics.jax.org/marker/MGI:2441705","MGI:2441705")</f>
        <v>MGI:2441705</v>
      </c>
      <c r="J6919" s="4" t="s">
        <v>12</v>
      </c>
    </row>
    <row r="6920" spans="1:10" x14ac:dyDescent="0.25">
      <c r="A6920" s="2">
        <v>254.74171006666299</v>
      </c>
      <c r="B6920" s="3">
        <v>-0.78290307975669005</v>
      </c>
      <c r="C6920" s="5">
        <v>3.06973893720074E-11</v>
      </c>
      <c r="D6920" s="6">
        <v>1.8557710558430001E-10</v>
      </c>
      <c r="E6920" s="3" t="s">
        <v>6541</v>
      </c>
      <c r="F6920" s="3" t="s">
        <v>6542</v>
      </c>
      <c r="G6920" s="3">
        <v>56707</v>
      </c>
      <c r="H6920" s="7" t="str">
        <f>HYPERLINK("http://www.ensembl.org/Mus_musculus/Gene/Summary?db=core;g=ENSMUSG00000087598","ENSMUSG00000087598")</f>
        <v>ENSMUSG00000087598</v>
      </c>
      <c r="I6920" s="7" t="str">
        <f>HYPERLINK("http://www.informatics.jax.org/marker/MGI:1929114","MGI:1929114")</f>
        <v>MGI:1929114</v>
      </c>
      <c r="J6920" s="4" t="s">
        <v>12</v>
      </c>
    </row>
    <row r="6921" spans="1:10" x14ac:dyDescent="0.25">
      <c r="A6921" s="2">
        <v>98.340790826017596</v>
      </c>
      <c r="B6921" s="3">
        <v>-0.78312197142568396</v>
      </c>
      <c r="C6921" s="5">
        <v>2.4920986046892502E-9</v>
      </c>
      <c r="D6921" s="6">
        <v>1.29326801274926E-8</v>
      </c>
      <c r="E6921" s="3" t="s">
        <v>7616</v>
      </c>
      <c r="F6921" s="3" t="s">
        <v>7617</v>
      </c>
      <c r="G6921" s="3">
        <v>81896</v>
      </c>
      <c r="H6921" s="7" t="str">
        <f>HYPERLINK("http://www.ensembl.org/Mus_musculus/Gene/Summary?db=core;g=ENSMUSG00000030323","ENSMUSG00000030323")</f>
        <v>ENSMUSG00000030323</v>
      </c>
      <c r="I6921" s="7" t="str">
        <f>HYPERLINK("http://www.informatics.jax.org/marker/MGI:1932386","MGI:1932386")</f>
        <v>MGI:1932386</v>
      </c>
      <c r="J6921" s="4" t="s">
        <v>12</v>
      </c>
    </row>
    <row r="6922" spans="1:10" x14ac:dyDescent="0.25">
      <c r="A6922" s="2">
        <v>496.654520326024</v>
      </c>
      <c r="B6922" s="3">
        <v>-0.78319077797195802</v>
      </c>
      <c r="C6922" s="5">
        <v>1.42670494751295E-14</v>
      </c>
      <c r="D6922" s="6">
        <v>1.07138695982313E-13</v>
      </c>
      <c r="E6922" s="3" t="s">
        <v>5269</v>
      </c>
      <c r="F6922" s="3" t="s">
        <v>5270</v>
      </c>
      <c r="G6922" s="3">
        <v>208727</v>
      </c>
      <c r="H6922" s="7" t="str">
        <f>HYPERLINK("http://www.ensembl.org/Mus_musculus/Gene/Summary?db=core;g=ENSMUSG00000026313","ENSMUSG00000026313")</f>
        <v>ENSMUSG00000026313</v>
      </c>
      <c r="I6922" s="7" t="str">
        <f>HYPERLINK("http://www.informatics.jax.org/marker/MGI:3036234","MGI:3036234")</f>
        <v>MGI:3036234</v>
      </c>
      <c r="J6922" s="4" t="s">
        <v>12</v>
      </c>
    </row>
    <row r="6923" spans="1:10" x14ac:dyDescent="0.25">
      <c r="A6923" s="2">
        <v>400.97212804990698</v>
      </c>
      <c r="B6923" s="3">
        <v>-0.78405754663312399</v>
      </c>
      <c r="C6923" s="5">
        <v>6.1759706584878699E-27</v>
      </c>
      <c r="D6923" s="6">
        <v>8.1193427590253796E-26</v>
      </c>
      <c r="E6923" s="3" t="s">
        <v>3018</v>
      </c>
      <c r="F6923" s="3" t="s">
        <v>3019</v>
      </c>
      <c r="G6923" s="3">
        <v>56364</v>
      </c>
      <c r="H6923" s="7" t="str">
        <f>HYPERLINK("http://www.ensembl.org/Mus_musculus/Gene/Summary?db=core;g=ENSMUSG00000031310","ENSMUSG00000031310")</f>
        <v>ENSMUSG00000031310</v>
      </c>
      <c r="I6923" s="7" t="str">
        <f>HYPERLINK("http://www.informatics.jax.org/marker/MGI:1927231","MGI:1927231")</f>
        <v>MGI:1927231</v>
      </c>
      <c r="J6923" s="4" t="s">
        <v>12</v>
      </c>
    </row>
    <row r="6924" spans="1:10" x14ac:dyDescent="0.25">
      <c r="A6924" s="2">
        <v>171.409062379207</v>
      </c>
      <c r="B6924" s="3">
        <v>-0.78419000361534097</v>
      </c>
      <c r="C6924" s="5">
        <v>1.2473778802752E-5</v>
      </c>
      <c r="D6924" s="6">
        <v>4.6324466664834101E-5</v>
      </c>
      <c r="E6924" s="3" t="s">
        <v>10632</v>
      </c>
      <c r="F6924" s="3" t="s">
        <v>10633</v>
      </c>
      <c r="G6924" s="3">
        <v>211666</v>
      </c>
      <c r="H6924" s="7" t="str">
        <f>HYPERLINK("http://www.ensembl.org/Mus_musculus/Gene/Summary?db=core;g=ENSMUSG00000074604","ENSMUSG00000074604")</f>
        <v>ENSMUSG00000074604</v>
      </c>
      <c r="I6924" s="7" t="str">
        <f>HYPERLINK("http://www.informatics.jax.org/marker/MGI:2448481","MGI:2448481")</f>
        <v>MGI:2448481</v>
      </c>
      <c r="J6924" s="4" t="s">
        <v>12</v>
      </c>
    </row>
    <row r="6925" spans="1:10" x14ac:dyDescent="0.25">
      <c r="A6925" s="2">
        <v>372.21960328485102</v>
      </c>
      <c r="B6925" s="3">
        <v>-0.78579251459686905</v>
      </c>
      <c r="C6925" s="5">
        <v>1.6082661222221201E-16</v>
      </c>
      <c r="D6925" s="6">
        <v>1.33424518006817E-15</v>
      </c>
      <c r="E6925" s="3" t="s">
        <v>4771</v>
      </c>
      <c r="F6925" s="3" t="s">
        <v>4772</v>
      </c>
      <c r="G6925" s="3">
        <v>240514</v>
      </c>
      <c r="H6925" s="7" t="str">
        <f>HYPERLINK("http://www.ensembl.org/Mus_musculus/Gene/Summary?db=core;g=ENSMUSG00000095098","ENSMUSG00000095098")</f>
        <v>ENSMUSG00000095098</v>
      </c>
      <c r="I6925" s="7" t="str">
        <f>HYPERLINK("http://www.informatics.jax.org/marker/MGI:2147607","MGI:2147607")</f>
        <v>MGI:2147607</v>
      </c>
      <c r="J6925" s="4" t="s">
        <v>12</v>
      </c>
    </row>
    <row r="6926" spans="1:10" x14ac:dyDescent="0.25">
      <c r="A6926" s="2">
        <v>10.006636242149799</v>
      </c>
      <c r="B6926" s="3">
        <v>-0.78596235319639096</v>
      </c>
      <c r="C6926" s="3">
        <v>1.16483408342789E-2</v>
      </c>
      <c r="D6926" s="4">
        <v>2.85738625764375E-2</v>
      </c>
      <c r="E6926" s="3" t="s">
        <v>16083</v>
      </c>
      <c r="F6926" s="3" t="s">
        <v>16084</v>
      </c>
      <c r="G6926" s="3" t="s">
        <v>83</v>
      </c>
      <c r="H6926" s="7" t="str">
        <f>HYPERLINK("http://www.ensembl.org/Mus_musculus/Gene/Summary?db=core;g=ENSMUSG00000111189","ENSMUSG00000111189")</f>
        <v>ENSMUSG00000111189</v>
      </c>
      <c r="I6926" s="7" t="str">
        <f>HYPERLINK("http://www.informatics.jax.org/marker/MGI:6097731","MGI:6097731")</f>
        <v>MGI:6097731</v>
      </c>
      <c r="J6926" s="4" t="s">
        <v>932</v>
      </c>
    </row>
    <row r="6927" spans="1:10" x14ac:dyDescent="0.25">
      <c r="A6927" s="2">
        <v>1705.5757199854099</v>
      </c>
      <c r="B6927" s="3">
        <v>-0.78628162475448005</v>
      </c>
      <c r="C6927" s="5">
        <v>3.4501907565973698E-48</v>
      </c>
      <c r="D6927" s="6">
        <v>8.9054661937304007E-47</v>
      </c>
      <c r="E6927" s="3" t="s">
        <v>1544</v>
      </c>
      <c r="F6927" s="3" t="s">
        <v>1545</v>
      </c>
      <c r="G6927" s="3">
        <v>68729</v>
      </c>
      <c r="H6927" s="7" t="str">
        <f>HYPERLINK("http://www.ensembl.org/Mus_musculus/Gene/Summary?db=core;g=ENSMUSG00000018548","ENSMUSG00000018548")</f>
        <v>ENSMUSG00000018548</v>
      </c>
      <c r="I6927" s="7" t="str">
        <f>HYPERLINK("http://www.informatics.jax.org/marker/MGI:2153072","MGI:2153072")</f>
        <v>MGI:2153072</v>
      </c>
      <c r="J6927" s="4" t="s">
        <v>12</v>
      </c>
    </row>
    <row r="6928" spans="1:10" x14ac:dyDescent="0.25">
      <c r="A6928" s="2">
        <v>252.47515151487599</v>
      </c>
      <c r="B6928" s="3">
        <v>-0.78664831619657405</v>
      </c>
      <c r="C6928" s="5">
        <v>2.7094983177250801E-16</v>
      </c>
      <c r="D6928" s="6">
        <v>2.2179869998148E-15</v>
      </c>
      <c r="E6928" s="3" t="s">
        <v>4835</v>
      </c>
      <c r="F6928" s="3" t="s">
        <v>4836</v>
      </c>
      <c r="G6928" s="3">
        <v>74477</v>
      </c>
      <c r="H6928" s="7" t="str">
        <f>HYPERLINK("http://www.ensembl.org/Mus_musculus/Gene/Summary?db=core;g=ENSMUSG00000020807","ENSMUSG00000020807")</f>
        <v>ENSMUSG00000020807</v>
      </c>
      <c r="I6928" s="7" t="str">
        <f>HYPERLINK("http://www.informatics.jax.org/marker/MGI:1921727","MGI:1921727")</f>
        <v>MGI:1921727</v>
      </c>
      <c r="J6928" s="4" t="s">
        <v>12</v>
      </c>
    </row>
    <row r="6929" spans="1:10" x14ac:dyDescent="0.25">
      <c r="A6929" s="2">
        <v>398.59543263282899</v>
      </c>
      <c r="B6929" s="3">
        <v>-0.78676639549399596</v>
      </c>
      <c r="C6929" s="5">
        <v>1.27873459590457E-25</v>
      </c>
      <c r="D6929" s="6">
        <v>1.6000410045201801E-24</v>
      </c>
      <c r="E6929" s="3" t="s">
        <v>3171</v>
      </c>
      <c r="F6929" s="3" t="s">
        <v>3172</v>
      </c>
      <c r="G6929" s="3">
        <v>73338</v>
      </c>
      <c r="H6929" s="7" t="str">
        <f>HYPERLINK("http://www.ensembl.org/Mus_musculus/Gene/Summary?db=core;g=ENSMUSG00000074825","ENSMUSG00000074825")</f>
        <v>ENSMUSG00000074825</v>
      </c>
      <c r="I6929" s="7" t="str">
        <f>HYPERLINK("http://www.informatics.jax.org/marker/MGI:1920588","MGI:1920588")</f>
        <v>MGI:1920588</v>
      </c>
      <c r="J6929" s="4" t="s">
        <v>12</v>
      </c>
    </row>
    <row r="6930" spans="1:10" x14ac:dyDescent="0.25">
      <c r="A6930" s="2">
        <v>150.78859230125099</v>
      </c>
      <c r="B6930" s="3">
        <v>-0.78711486510866402</v>
      </c>
      <c r="C6930" s="5">
        <v>3.1132709926274498E-13</v>
      </c>
      <c r="D6930" s="6">
        <v>2.15492116443009E-12</v>
      </c>
      <c r="E6930" s="3" t="s">
        <v>5715</v>
      </c>
      <c r="F6930" s="3" t="s">
        <v>5716</v>
      </c>
      <c r="G6930" s="3">
        <v>58223</v>
      </c>
      <c r="H6930" s="7" t="str">
        <f>HYPERLINK("http://www.ensembl.org/Mus_musculus/Gene/Summary?db=core;g=ENSMUSG00000025355","ENSMUSG00000025355")</f>
        <v>ENSMUSG00000025355</v>
      </c>
      <c r="I6930" s="7" t="str">
        <f>HYPERLINK("http://www.informatics.jax.org/marker/MGI:1927899","MGI:1927899")</f>
        <v>MGI:1927899</v>
      </c>
      <c r="J6930" s="4" t="s">
        <v>12</v>
      </c>
    </row>
    <row r="6931" spans="1:10" x14ac:dyDescent="0.25">
      <c r="A6931" s="2">
        <v>141.04342729512999</v>
      </c>
      <c r="B6931" s="3">
        <v>-0.78736587225126797</v>
      </c>
      <c r="C6931" s="5">
        <v>4.9688298182123703E-14</v>
      </c>
      <c r="D6931" s="6">
        <v>3.6024016182039699E-13</v>
      </c>
      <c r="E6931" s="3" t="s">
        <v>5457</v>
      </c>
      <c r="F6931" s="3" t="s">
        <v>5458</v>
      </c>
      <c r="G6931" s="3">
        <v>212153</v>
      </c>
      <c r="H6931" s="7" t="str">
        <f>HYPERLINK("http://www.ensembl.org/Mus_musculus/Gene/Summary?db=core;g=ENSMUSG00000022701","ENSMUSG00000022701")</f>
        <v>ENSMUSG00000022701</v>
      </c>
      <c r="I6931" s="7" t="str">
        <f>HYPERLINK("http://www.informatics.jax.org/marker/MGI:1922661","MGI:1922661")</f>
        <v>MGI:1922661</v>
      </c>
      <c r="J6931" s="4" t="s">
        <v>12</v>
      </c>
    </row>
    <row r="6932" spans="1:10" x14ac:dyDescent="0.25">
      <c r="A6932" s="2">
        <v>2218.8013249607502</v>
      </c>
      <c r="B6932" s="3">
        <v>-0.787394534554406</v>
      </c>
      <c r="C6932" s="5">
        <v>6.5653808092271503E-40</v>
      </c>
      <c r="D6932" s="6">
        <v>1.3333605515752801E-38</v>
      </c>
      <c r="E6932" s="3" t="s">
        <v>1959</v>
      </c>
      <c r="F6932" s="3" t="s">
        <v>1960</v>
      </c>
      <c r="G6932" s="3">
        <v>76088</v>
      </c>
      <c r="H6932" s="7" t="str">
        <f>HYPERLINK("http://www.ensembl.org/Mus_musculus/Gene/Summary?db=core;g=ENSMUSG00000052085","ENSMUSG00000052085")</f>
        <v>ENSMUSG00000052085</v>
      </c>
      <c r="I6932" s="7" t="str">
        <f>HYPERLINK("http://www.informatics.jax.org/marker/MGI:1921396","MGI:1921396")</f>
        <v>MGI:1921396</v>
      </c>
      <c r="J6932" s="4" t="s">
        <v>12</v>
      </c>
    </row>
    <row r="6933" spans="1:10" x14ac:dyDescent="0.25">
      <c r="A6933" s="2">
        <v>148.36581922586601</v>
      </c>
      <c r="B6933" s="3">
        <v>-0.78750057884796498</v>
      </c>
      <c r="C6933" s="5">
        <v>4.1620582819749898E-13</v>
      </c>
      <c r="D6933" s="6">
        <v>2.8577921072613801E-12</v>
      </c>
      <c r="E6933" s="3" t="s">
        <v>5761</v>
      </c>
      <c r="F6933" s="3" t="s">
        <v>5762</v>
      </c>
      <c r="G6933" s="3">
        <v>230582</v>
      </c>
      <c r="H6933" s="7" t="str">
        <f>HYPERLINK("http://www.ensembl.org/Mus_musculus/Gene/Summary?db=core;g=ENSMUSG00000028621","ENSMUSG00000028621")</f>
        <v>ENSMUSG00000028621</v>
      </c>
      <c r="I6933" s="7" t="str">
        <f>HYPERLINK("http://www.informatics.jax.org/marker/MGI:1919657","MGI:1919657")</f>
        <v>MGI:1919657</v>
      </c>
      <c r="J6933" s="4" t="s">
        <v>12</v>
      </c>
    </row>
    <row r="6934" spans="1:10" x14ac:dyDescent="0.25">
      <c r="A6934" s="2">
        <v>352.22335854454798</v>
      </c>
      <c r="B6934" s="3">
        <v>-0.78832723196936305</v>
      </c>
      <c r="C6934" s="5">
        <v>2.95068098648915E-22</v>
      </c>
      <c r="D6934" s="6">
        <v>3.2470663534356099E-21</v>
      </c>
      <c r="E6934" s="3" t="s">
        <v>3602</v>
      </c>
      <c r="F6934" s="3" t="s">
        <v>3603</v>
      </c>
      <c r="G6934" s="3">
        <v>54607</v>
      </c>
      <c r="H6934" s="7" t="str">
        <f>HYPERLINK("http://www.ensembl.org/Mus_musculus/Gene/Summary?db=core;g=ENSMUSG00000056153","ENSMUSG00000056153")</f>
        <v>ENSMUSG00000056153</v>
      </c>
      <c r="I6934" s="7" t="str">
        <f>HYPERLINK("http://www.informatics.jax.org/marker/MGI:1924885","MGI:1924885")</f>
        <v>MGI:1924885</v>
      </c>
      <c r="J6934" s="4" t="s">
        <v>12</v>
      </c>
    </row>
    <row r="6935" spans="1:10" x14ac:dyDescent="0.25">
      <c r="A6935" s="2">
        <v>756.08989135210197</v>
      </c>
      <c r="B6935" s="3">
        <v>-0.78867231254547498</v>
      </c>
      <c r="C6935" s="5">
        <v>9.6739817676708899E-33</v>
      </c>
      <c r="D6935" s="6">
        <v>1.53971687214261E-31</v>
      </c>
      <c r="E6935" s="3" t="s">
        <v>2495</v>
      </c>
      <c r="F6935" s="3" t="s">
        <v>2496</v>
      </c>
      <c r="G6935" s="3">
        <v>329015</v>
      </c>
      <c r="H6935" s="7" t="str">
        <f>HYPERLINK("http://www.ensembl.org/Mus_musculus/Gene/Summary?db=core;g=ENSMUSG00000024773","ENSMUSG00000024773")</f>
        <v>ENSMUSG00000024773</v>
      </c>
      <c r="I6935" s="7" t="str">
        <f>HYPERLINK("http://www.informatics.jax.org/marker/MGI:1916291","MGI:1916291")</f>
        <v>MGI:1916291</v>
      </c>
      <c r="J6935" s="4" t="s">
        <v>12</v>
      </c>
    </row>
    <row r="6936" spans="1:10" x14ac:dyDescent="0.25">
      <c r="A6936" s="2">
        <v>78.758217842915002</v>
      </c>
      <c r="B6936" s="3">
        <v>-0.788770715654457</v>
      </c>
      <c r="C6936" s="5">
        <v>1.1199268775675401E-6</v>
      </c>
      <c r="D6936" s="6">
        <v>4.60871411219363E-6</v>
      </c>
      <c r="E6936" s="3" t="s">
        <v>9599</v>
      </c>
      <c r="F6936" s="3" t="s">
        <v>9600</v>
      </c>
      <c r="G6936" s="3">
        <v>140482</v>
      </c>
      <c r="H6936" s="7" t="str">
        <f>HYPERLINK("http://www.ensembl.org/Mus_musculus/Gene/Summary?db=core;g=ENSMUSG00000047264","ENSMUSG00000047264")</f>
        <v>ENSMUSG00000047264</v>
      </c>
      <c r="I6936" s="7" t="str">
        <f>HYPERLINK("http://www.informatics.jax.org/marker/MGI:2153740","MGI:2153740")</f>
        <v>MGI:2153740</v>
      </c>
      <c r="J6936" s="4" t="s">
        <v>12</v>
      </c>
    </row>
    <row r="6937" spans="1:10" x14ac:dyDescent="0.25">
      <c r="A6937" s="2">
        <v>378.08506340754502</v>
      </c>
      <c r="B6937" s="3">
        <v>-0.78920755512983798</v>
      </c>
      <c r="C6937" s="5">
        <v>3.8633122571292101E-18</v>
      </c>
      <c r="D6937" s="6">
        <v>3.50596031802062E-17</v>
      </c>
      <c r="E6937" s="3" t="s">
        <v>4363</v>
      </c>
      <c r="F6937" s="3" t="s">
        <v>4364</v>
      </c>
      <c r="G6937" s="3">
        <v>13436</v>
      </c>
      <c r="H6937" s="7" t="str">
        <f>HYPERLINK("http://www.ensembl.org/Mus_musculus/Gene/Summary?db=core;g=ENSMUSG00000027478","ENSMUSG00000027478")</f>
        <v>ENSMUSG00000027478</v>
      </c>
      <c r="I6937" s="7" t="str">
        <f>HYPERLINK("http://www.informatics.jax.org/marker/MGI:1261819","MGI:1261819")</f>
        <v>MGI:1261819</v>
      </c>
      <c r="J6937" s="4" t="s">
        <v>12</v>
      </c>
    </row>
    <row r="6938" spans="1:10" x14ac:dyDescent="0.25">
      <c r="A6938" s="2">
        <v>1369.16357521551</v>
      </c>
      <c r="B6938" s="3">
        <v>-0.79024134023382397</v>
      </c>
      <c r="C6938" s="5">
        <v>3.9511098539456998E-34</v>
      </c>
      <c r="D6938" s="6">
        <v>6.6367875911251502E-33</v>
      </c>
      <c r="E6938" s="3" t="s">
        <v>2365</v>
      </c>
      <c r="F6938" s="3" t="s">
        <v>2366</v>
      </c>
      <c r="G6938" s="3">
        <v>269254</v>
      </c>
      <c r="H6938" s="7" t="str">
        <f>HYPERLINK("http://www.ensembl.org/Mus_musculus/Gene/Summary?db=core;g=ENSMUSG00000043535","ENSMUSG00000043535")</f>
        <v>ENSMUSG00000043535</v>
      </c>
      <c r="I6938" s="7" t="str">
        <f>HYPERLINK("http://www.informatics.jax.org/marker/MGI:2443480","MGI:2443480")</f>
        <v>MGI:2443480</v>
      </c>
      <c r="J6938" s="4" t="s">
        <v>12</v>
      </c>
    </row>
    <row r="6939" spans="1:10" x14ac:dyDescent="0.25">
      <c r="A6939" s="2">
        <v>342.81345868578597</v>
      </c>
      <c r="B6939" s="3">
        <v>-0.79113608535221003</v>
      </c>
      <c r="C6939" s="5">
        <v>3.4183718861505597E-17</v>
      </c>
      <c r="D6939" s="6">
        <v>2.9514139052053001E-16</v>
      </c>
      <c r="E6939" s="3" t="s">
        <v>4585</v>
      </c>
      <c r="F6939" s="3" t="s">
        <v>4586</v>
      </c>
      <c r="G6939" s="3">
        <v>22619</v>
      </c>
      <c r="H6939" s="7" t="str">
        <f>HYPERLINK("http://www.ensembl.org/Mus_musculus/Gene/Summary?db=core;g=ENSMUSG00000001942","ENSMUSG00000001942")</f>
        <v>ENSMUSG00000001942</v>
      </c>
      <c r="I6939" s="7" t="str">
        <f>HYPERLINK("http://www.informatics.jax.org/marker/MGI:104803","MGI:104803")</f>
        <v>MGI:104803</v>
      </c>
      <c r="J6939" s="4" t="s">
        <v>12</v>
      </c>
    </row>
    <row r="6940" spans="1:10" x14ac:dyDescent="0.25">
      <c r="A6940" s="2">
        <v>9504.6640412745492</v>
      </c>
      <c r="B6940" s="3">
        <v>-0.79164698414261203</v>
      </c>
      <c r="C6940" s="5">
        <v>6.8640169361124195E-32</v>
      </c>
      <c r="D6940" s="6">
        <v>1.06330254501286E-30</v>
      </c>
      <c r="E6940" s="3" t="s">
        <v>2563</v>
      </c>
      <c r="F6940" s="3" t="s">
        <v>2564</v>
      </c>
      <c r="G6940" s="3">
        <v>26943</v>
      </c>
      <c r="H6940" s="7" t="str">
        <f>HYPERLINK("http://www.ensembl.org/Mus_musculus/Gene/Summary?db=core;g=ENSMUSG00000017707","ENSMUSG00000017707")</f>
        <v>ENSMUSG00000017707</v>
      </c>
      <c r="I6940" s="7" t="str">
        <f>HYPERLINK("http://www.informatics.jax.org/marker/MGI:1349457","MGI:1349457")</f>
        <v>MGI:1349457</v>
      </c>
      <c r="J6940" s="4" t="s">
        <v>12</v>
      </c>
    </row>
    <row r="6941" spans="1:10" x14ac:dyDescent="0.25">
      <c r="A6941" s="2">
        <v>623.70435578934303</v>
      </c>
      <c r="B6941" s="3">
        <v>-0.79169092961304999</v>
      </c>
      <c r="C6941" s="5">
        <v>1.2310019480432499E-25</v>
      </c>
      <c r="D6941" s="6">
        <v>1.5422718180059E-24</v>
      </c>
      <c r="E6941" s="3" t="s">
        <v>3167</v>
      </c>
      <c r="F6941" s="3" t="s">
        <v>3168</v>
      </c>
      <c r="G6941" s="3">
        <v>66939</v>
      </c>
      <c r="H6941" s="7" t="str">
        <f>HYPERLINK("http://www.ensembl.org/Mus_musculus/Gene/Summary?db=core;g=ENSMUSG00000037257","ENSMUSG00000037257")</f>
        <v>ENSMUSG00000037257</v>
      </c>
      <c r="I6941" s="7" t="str">
        <f>HYPERLINK("http://www.informatics.jax.org/marker/MGI:1914189","MGI:1914189")</f>
        <v>MGI:1914189</v>
      </c>
      <c r="J6941" s="4" t="s">
        <v>12</v>
      </c>
    </row>
    <row r="6942" spans="1:10" x14ac:dyDescent="0.25">
      <c r="A6942" s="2">
        <v>18.5751486900873</v>
      </c>
      <c r="B6942" s="3">
        <v>-0.79174962991280595</v>
      </c>
      <c r="C6942" s="3">
        <v>5.4840273120431698E-3</v>
      </c>
      <c r="D6942" s="4">
        <v>1.43905547030594E-2</v>
      </c>
      <c r="E6942" s="3" t="s">
        <v>15034</v>
      </c>
      <c r="F6942" s="3" t="s">
        <v>15035</v>
      </c>
      <c r="G6942" s="3">
        <v>244667</v>
      </c>
      <c r="H6942" s="7" t="str">
        <f>HYPERLINK("http://www.ensembl.org/Mus_musculus/Gene/Summary?db=core;g=ENSMUSG00000043051","ENSMUSG00000043051")</f>
        <v>ENSMUSG00000043051</v>
      </c>
      <c r="I6942" s="7" t="str">
        <f>HYPERLINK("http://www.informatics.jax.org/marker/MGI:2447658","MGI:2447658")</f>
        <v>MGI:2447658</v>
      </c>
      <c r="J6942" s="4" t="s">
        <v>12</v>
      </c>
    </row>
    <row r="6943" spans="1:10" x14ac:dyDescent="0.25">
      <c r="A6943" s="2">
        <v>11.868512182098801</v>
      </c>
      <c r="B6943" s="3">
        <v>-0.79216266671511104</v>
      </c>
      <c r="C6943" s="3">
        <v>1.0558888449310201E-2</v>
      </c>
      <c r="D6943" s="4">
        <v>2.6145280885404999E-2</v>
      </c>
      <c r="E6943" s="3" t="s">
        <v>15935</v>
      </c>
      <c r="F6943" s="3" t="s">
        <v>15936</v>
      </c>
      <c r="G6943" s="3" t="s">
        <v>83</v>
      </c>
      <c r="H6943" s="7" t="str">
        <f>HYPERLINK("http://www.ensembl.org/Mus_musculus/Gene/Summary?db=core;g=ENSMUSG00000082691","ENSMUSG00000082691")</f>
        <v>ENSMUSG00000082691</v>
      </c>
      <c r="I6943" s="7" t="str">
        <f>HYPERLINK("http://www.informatics.jax.org/marker/MGI:3642625","MGI:3642625")</f>
        <v>MGI:3642625</v>
      </c>
      <c r="J6943" s="4" t="s">
        <v>1043</v>
      </c>
    </row>
    <row r="6944" spans="1:10" x14ac:dyDescent="0.25">
      <c r="A6944" s="2">
        <v>467.20419597015098</v>
      </c>
      <c r="B6944" s="3">
        <v>-0.79230872380116502</v>
      </c>
      <c r="C6944" s="5">
        <v>3.3068709765045301E-26</v>
      </c>
      <c r="D6944" s="6">
        <v>4.2400192234505404E-25</v>
      </c>
      <c r="E6944" s="3" t="s">
        <v>3094</v>
      </c>
      <c r="F6944" s="3" t="s">
        <v>3095</v>
      </c>
      <c r="G6944" s="3">
        <v>12366</v>
      </c>
      <c r="H6944" s="7" t="str">
        <f>HYPERLINK("http://www.ensembl.org/Mus_musculus/Gene/Summary?db=core;g=ENSMUSG00000029863","ENSMUSG00000029863")</f>
        <v>ENSMUSG00000029863</v>
      </c>
      <c r="I6944" s="7" t="str">
        <f>HYPERLINK("http://www.informatics.jax.org/marker/MGI:97295","MGI:97295")</f>
        <v>MGI:97295</v>
      </c>
      <c r="J6944" s="4" t="s">
        <v>12</v>
      </c>
    </row>
    <row r="6945" spans="1:10" x14ac:dyDescent="0.25">
      <c r="A6945" s="2">
        <v>162.04387209711001</v>
      </c>
      <c r="B6945" s="3">
        <v>-0.79239005930531003</v>
      </c>
      <c r="C6945" s="5">
        <v>3.1122209733627501E-8</v>
      </c>
      <c r="D6945" s="6">
        <v>1.47318765229749E-7</v>
      </c>
      <c r="E6945" s="3" t="s">
        <v>8347</v>
      </c>
      <c r="F6945" s="3" t="s">
        <v>8348</v>
      </c>
      <c r="G6945" s="3">
        <v>18996</v>
      </c>
      <c r="H6945" s="7" t="str">
        <f>HYPERLINK("http://www.ensembl.org/Mus_musculus/Gene/Summary?db=core;g=ENSMUSG00000048349","ENSMUSG00000048349")</f>
        <v>ENSMUSG00000048349</v>
      </c>
      <c r="I6945" s="7" t="str">
        <f>HYPERLINK("http://www.informatics.jax.org/marker/MGI:102525","MGI:102525")</f>
        <v>MGI:102525</v>
      </c>
      <c r="J6945" s="4" t="s">
        <v>12</v>
      </c>
    </row>
    <row r="6946" spans="1:10" x14ac:dyDescent="0.25">
      <c r="A6946" s="2">
        <v>125.032647128367</v>
      </c>
      <c r="B6946" s="3">
        <v>-0.79254015190332805</v>
      </c>
      <c r="C6946" s="5">
        <v>2.7168496945693199E-8</v>
      </c>
      <c r="D6946" s="6">
        <v>1.2956777745322099E-7</v>
      </c>
      <c r="E6946" s="3" t="s">
        <v>8287</v>
      </c>
      <c r="F6946" s="3" t="s">
        <v>8288</v>
      </c>
      <c r="G6946" s="3">
        <v>231093</v>
      </c>
      <c r="H6946" s="7" t="str">
        <f>HYPERLINK("http://www.ensembl.org/Mus_musculus/Gene/Summary?db=core;g=ENSMUSG00000029165","ENSMUSG00000029165")</f>
        <v>ENSMUSG00000029165</v>
      </c>
      <c r="I6946" s="7" t="str">
        <f>HYPERLINK("http://www.informatics.jax.org/marker/MGI:2441745","MGI:2441745")</f>
        <v>MGI:2441745</v>
      </c>
      <c r="J6946" s="4" t="s">
        <v>12</v>
      </c>
    </row>
    <row r="6947" spans="1:10" x14ac:dyDescent="0.25">
      <c r="A6947" s="2">
        <v>38.286486768777102</v>
      </c>
      <c r="B6947" s="3">
        <v>-0.79283245492407595</v>
      </c>
      <c r="C6947" s="3">
        <v>6.2448552260119402E-4</v>
      </c>
      <c r="D6947" s="4">
        <v>1.8966355314485701E-3</v>
      </c>
      <c r="E6947" s="3" t="s">
        <v>12995</v>
      </c>
      <c r="F6947" s="3" t="s">
        <v>12996</v>
      </c>
      <c r="G6947" s="3">
        <v>329731</v>
      </c>
      <c r="H6947" s="7" t="str">
        <f>HYPERLINK("http://www.ensembl.org/Mus_musculus/Gene/Summary?db=core;g=ENSMUSG00000055865","ENSMUSG00000055865")</f>
        <v>ENSMUSG00000055865</v>
      </c>
      <c r="I6947" s="7" t="str">
        <f>HYPERLINK("http://www.informatics.jax.org/marker/MGI:3046463","MGI:3046463")</f>
        <v>MGI:3046463</v>
      </c>
      <c r="J6947" s="4" t="s">
        <v>12</v>
      </c>
    </row>
    <row r="6948" spans="1:10" x14ac:dyDescent="0.25">
      <c r="A6948" s="2">
        <v>71.095029886647595</v>
      </c>
      <c r="B6948" s="3">
        <v>-0.79318948627261099</v>
      </c>
      <c r="C6948" s="5">
        <v>1.12684723936676E-8</v>
      </c>
      <c r="D6948" s="6">
        <v>5.5664898698177597E-8</v>
      </c>
      <c r="E6948" s="3" t="s">
        <v>8001</v>
      </c>
      <c r="F6948" s="3" t="s">
        <v>8002</v>
      </c>
      <c r="G6948" s="3">
        <v>12183</v>
      </c>
      <c r="H6948" s="7" t="str">
        <f>HYPERLINK("http://www.ensembl.org/Mus_musculus/Gene/Summary?db=core;g=ENSMUSG00000038871","ENSMUSG00000038871")</f>
        <v>ENSMUSG00000038871</v>
      </c>
      <c r="I6948" s="7" t="str">
        <f>HYPERLINK("http://www.informatics.jax.org/marker/MGI:1098242","MGI:1098242")</f>
        <v>MGI:1098242</v>
      </c>
      <c r="J6948" s="4" t="s">
        <v>12</v>
      </c>
    </row>
    <row r="6949" spans="1:10" x14ac:dyDescent="0.25">
      <c r="A6949" s="2">
        <v>989.61513717347498</v>
      </c>
      <c r="B6949" s="3">
        <v>-0.79330549086437596</v>
      </c>
      <c r="C6949" s="5">
        <v>4.2737301755279998E-44</v>
      </c>
      <c r="D6949" s="6">
        <v>9.7543934098856697E-43</v>
      </c>
      <c r="E6949" s="3" t="s">
        <v>1744</v>
      </c>
      <c r="F6949" s="3" t="s">
        <v>1745</v>
      </c>
      <c r="G6949" s="3">
        <v>21423</v>
      </c>
      <c r="H6949" s="7" t="str">
        <f>HYPERLINK("http://www.ensembl.org/Mus_musculus/Gene/Summary?db=core;g=ENSMUSG00000020167","ENSMUSG00000020167")</f>
        <v>ENSMUSG00000020167</v>
      </c>
      <c r="I6949" s="7" t="str">
        <f>HYPERLINK("http://www.informatics.jax.org/marker/MGI:98510","MGI:98510")</f>
        <v>MGI:98510</v>
      </c>
      <c r="J6949" s="4" t="s">
        <v>12</v>
      </c>
    </row>
    <row r="6950" spans="1:10" x14ac:dyDescent="0.25">
      <c r="A6950" s="2">
        <v>243.15327386265901</v>
      </c>
      <c r="B6950" s="3">
        <v>-0.79340495251145604</v>
      </c>
      <c r="C6950" s="5">
        <v>4.3781862567775401E-12</v>
      </c>
      <c r="D6950" s="6">
        <v>2.8187343448792999E-11</v>
      </c>
      <c r="E6950" s="3" t="s">
        <v>6143</v>
      </c>
      <c r="F6950" s="3" t="s">
        <v>6144</v>
      </c>
      <c r="G6950" s="3">
        <v>105278</v>
      </c>
      <c r="H6950" s="7" t="str">
        <f>HYPERLINK("http://www.ensembl.org/Mus_musculus/Gene/Summary?db=core;g=ENSMUSG00000021483","ENSMUSG00000021483")</f>
        <v>ENSMUSG00000021483</v>
      </c>
      <c r="I6950" s="7" t="str">
        <f>HYPERLINK("http://www.informatics.jax.org/marker/MGI:2145349","MGI:2145349")</f>
        <v>MGI:2145349</v>
      </c>
      <c r="J6950" s="4" t="s">
        <v>12</v>
      </c>
    </row>
    <row r="6951" spans="1:10" x14ac:dyDescent="0.25">
      <c r="A6951" s="2">
        <v>511.676441957968</v>
      </c>
      <c r="B6951" s="3">
        <v>-0.79349729825510396</v>
      </c>
      <c r="C6951" s="5">
        <v>2.04790099416643E-23</v>
      </c>
      <c r="D6951" s="6">
        <v>2.3506756463889401E-22</v>
      </c>
      <c r="E6951" s="3" t="s">
        <v>3454</v>
      </c>
      <c r="F6951" s="3" t="s">
        <v>3455</v>
      </c>
      <c r="G6951" s="3">
        <v>69890</v>
      </c>
      <c r="H6951" s="7" t="str">
        <f>HYPERLINK("http://www.ensembl.org/Mus_musculus/Gene/Summary?db=core;g=ENSMUSG00000049295","ENSMUSG00000049295")</f>
        <v>ENSMUSG00000049295</v>
      </c>
      <c r="I6951" s="7" t="str">
        <f>HYPERLINK("http://www.informatics.jax.org/marker/MGI:1917140","MGI:1917140")</f>
        <v>MGI:1917140</v>
      </c>
      <c r="J6951" s="4" t="s">
        <v>12</v>
      </c>
    </row>
    <row r="6952" spans="1:10" x14ac:dyDescent="0.25">
      <c r="A6952" s="2">
        <v>5380.6681498073203</v>
      </c>
      <c r="B6952" s="3">
        <v>-0.79358183292745499</v>
      </c>
      <c r="C6952" s="5">
        <v>2.0231209512219501E-28</v>
      </c>
      <c r="D6952" s="6">
        <v>2.8214954142925599E-27</v>
      </c>
      <c r="E6952" s="3" t="s">
        <v>2846</v>
      </c>
      <c r="F6952" s="3" t="s">
        <v>2847</v>
      </c>
      <c r="G6952" s="3">
        <v>17219</v>
      </c>
      <c r="H6952" s="7" t="str">
        <f>HYPERLINK("http://www.ensembl.org/Mus_musculus/Gene/Summary?db=core;g=ENSMUSG00000026355","ENSMUSG00000026355")</f>
        <v>ENSMUSG00000026355</v>
      </c>
      <c r="I6952" s="7" t="str">
        <f>HYPERLINK("http://www.informatics.jax.org/marker/MGI:1298227","MGI:1298227")</f>
        <v>MGI:1298227</v>
      </c>
      <c r="J6952" s="4" t="s">
        <v>12</v>
      </c>
    </row>
    <row r="6953" spans="1:10" x14ac:dyDescent="0.25">
      <c r="A6953" s="2">
        <v>205.74933614536701</v>
      </c>
      <c r="B6953" s="3">
        <v>-0.79372520471025099</v>
      </c>
      <c r="C6953" s="5">
        <v>6.7985557679465901E-15</v>
      </c>
      <c r="D6953" s="6">
        <v>5.20246487170767E-14</v>
      </c>
      <c r="E6953" s="3" t="s">
        <v>5171</v>
      </c>
      <c r="F6953" s="3" t="s">
        <v>5172</v>
      </c>
      <c r="G6953" s="3">
        <v>26886</v>
      </c>
      <c r="H6953" s="7" t="str">
        <f>HYPERLINK("http://www.ensembl.org/Mus_musculus/Gene/Summary?db=core;g=ENSMUSG00000045273","ENSMUSG00000045273")</f>
        <v>ENSMUSG00000045273</v>
      </c>
      <c r="I6953" s="7" t="str">
        <f>HYPERLINK("http://www.informatics.jax.org/marker/MGI:1349448","MGI:1349448")</f>
        <v>MGI:1349448</v>
      </c>
      <c r="J6953" s="4" t="s">
        <v>12</v>
      </c>
    </row>
    <row r="6954" spans="1:10" x14ac:dyDescent="0.25">
      <c r="A6954" s="2">
        <v>198.51192081807599</v>
      </c>
      <c r="B6954" s="3">
        <v>-0.79383040213471601</v>
      </c>
      <c r="C6954" s="5">
        <v>5.16374898114105E-16</v>
      </c>
      <c r="D6954" s="6">
        <v>4.1682001599714E-15</v>
      </c>
      <c r="E6954" s="3" t="s">
        <v>4903</v>
      </c>
      <c r="F6954" s="3" t="s">
        <v>4904</v>
      </c>
      <c r="G6954" s="3">
        <v>20850</v>
      </c>
      <c r="H6954" s="7" t="str">
        <f>HYPERLINK("http://www.ensembl.org/Mus_musculus/Gene/Summary?db=core;g=ENSMUSG00000004043","ENSMUSG00000004043")</f>
        <v>ENSMUSG00000004043</v>
      </c>
      <c r="I6954" s="7" t="str">
        <f>HYPERLINK("http://www.informatics.jax.org/marker/MGI:103036","MGI:103036")</f>
        <v>MGI:103036</v>
      </c>
      <c r="J6954" s="4" t="s">
        <v>12</v>
      </c>
    </row>
    <row r="6955" spans="1:10" x14ac:dyDescent="0.25">
      <c r="A6955" s="2">
        <v>675.78877597775295</v>
      </c>
      <c r="B6955" s="3">
        <v>-0.79401416880039999</v>
      </c>
      <c r="C6955" s="5">
        <v>1.29482918125911E-24</v>
      </c>
      <c r="D6955" s="6">
        <v>1.5579030783666701E-23</v>
      </c>
      <c r="E6955" s="3" t="s">
        <v>3298</v>
      </c>
      <c r="F6955" s="3" t="s">
        <v>3299</v>
      </c>
      <c r="G6955" s="3">
        <v>68731</v>
      </c>
      <c r="H6955" s="7" t="str">
        <f>HYPERLINK("http://www.ensembl.org/Mus_musculus/Gene/Summary?db=core;g=ENSMUSG00000024570","ENSMUSG00000024570")</f>
        <v>ENSMUSG00000024570</v>
      </c>
      <c r="I6955" s="7" t="str">
        <f>HYPERLINK("http://www.informatics.jax.org/marker/MGI:1915981","MGI:1915981")</f>
        <v>MGI:1915981</v>
      </c>
      <c r="J6955" s="4" t="s">
        <v>12</v>
      </c>
    </row>
    <row r="6956" spans="1:10" x14ac:dyDescent="0.25">
      <c r="A6956" s="2">
        <v>890.63139036341101</v>
      </c>
      <c r="B6956" s="3">
        <v>-0.79421083093058398</v>
      </c>
      <c r="C6956" s="5">
        <v>1.6875740140876201E-35</v>
      </c>
      <c r="D6956" s="6">
        <v>2.9739910239327901E-34</v>
      </c>
      <c r="E6956" s="3" t="s">
        <v>2255</v>
      </c>
      <c r="F6956" s="3" t="s">
        <v>2256</v>
      </c>
      <c r="G6956" s="3">
        <v>110094</v>
      </c>
      <c r="H6956" s="7" t="str">
        <f>HYPERLINK("http://www.ensembl.org/Mus_musculus/Gene/Summary?db=core;g=ENSMUSG00000031295","ENSMUSG00000031295")</f>
        <v>ENSMUSG00000031295</v>
      </c>
      <c r="I6956" s="7" t="str">
        <f>HYPERLINK("http://www.informatics.jax.org/marker/MGI:97577","MGI:97577")</f>
        <v>MGI:97577</v>
      </c>
      <c r="J6956" s="4" t="s">
        <v>12</v>
      </c>
    </row>
    <row r="6957" spans="1:10" x14ac:dyDescent="0.25">
      <c r="A6957" s="2">
        <v>13.701518241034</v>
      </c>
      <c r="B6957" s="3">
        <v>-0.79438221527450303</v>
      </c>
      <c r="C6957" s="3">
        <v>3.8327342560239199E-3</v>
      </c>
      <c r="D6957" s="4">
        <v>1.03493796424472E-2</v>
      </c>
      <c r="E6957" s="3" t="s">
        <v>14609</v>
      </c>
      <c r="F6957" s="3" t="s">
        <v>14610</v>
      </c>
      <c r="G6957" s="3">
        <v>75604</v>
      </c>
      <c r="H6957" s="7" t="str">
        <f>HYPERLINK("http://www.ensembl.org/Mus_musculus/Gene/Summary?db=core;g=ENSMUSG00000018919","ENSMUSG00000018919")</f>
        <v>ENSMUSG00000018919</v>
      </c>
      <c r="I6957" s="7" t="str">
        <f>HYPERLINK("http://www.informatics.jax.org/marker/MGI:1922854","MGI:1922854")</f>
        <v>MGI:1922854</v>
      </c>
      <c r="J6957" s="4" t="s">
        <v>12</v>
      </c>
    </row>
    <row r="6958" spans="1:10" x14ac:dyDescent="0.25">
      <c r="A6958" s="2">
        <v>14.4648316752466</v>
      </c>
      <c r="B6958" s="3">
        <v>-0.79441790972347104</v>
      </c>
      <c r="C6958" s="3">
        <v>4.8273030278457004E-3</v>
      </c>
      <c r="D6958" s="4">
        <v>1.2793228827995801E-2</v>
      </c>
      <c r="E6958" s="3" t="s">
        <v>14886</v>
      </c>
      <c r="F6958" s="3" t="s">
        <v>14887</v>
      </c>
      <c r="G6958" s="3" t="s">
        <v>83</v>
      </c>
      <c r="H6958" s="7" t="str">
        <f>HYPERLINK("http://www.ensembl.org/Mus_musculus/Gene/Summary?db=core;g=ENSMUSG00000118487","ENSMUSG00000118487")</f>
        <v>ENSMUSG00000118487</v>
      </c>
      <c r="I6958" s="7" t="str">
        <f>HYPERLINK("http://www.informatics.jax.org/marker/MGI:6324731","MGI:6324731")</f>
        <v>MGI:6324731</v>
      </c>
      <c r="J6958" s="4" t="s">
        <v>12345</v>
      </c>
    </row>
    <row r="6959" spans="1:10" x14ac:dyDescent="0.25">
      <c r="A6959" s="2">
        <v>104.80588248011099</v>
      </c>
      <c r="B6959" s="3">
        <v>-0.79460014130423795</v>
      </c>
      <c r="C6959" s="5">
        <v>1.55203650332742E-10</v>
      </c>
      <c r="D6959" s="6">
        <v>8.8997266198362196E-10</v>
      </c>
      <c r="E6959" s="3" t="s">
        <v>6896</v>
      </c>
      <c r="F6959" s="3" t="s">
        <v>6897</v>
      </c>
      <c r="G6959" s="3" t="s">
        <v>83</v>
      </c>
      <c r="H6959" s="7" t="str">
        <f>HYPERLINK("http://www.ensembl.org/Mus_musculus/Gene/Summary?db=core;g=ENSMUSG00000116632","ENSMUSG00000116632")</f>
        <v>ENSMUSG00000116632</v>
      </c>
      <c r="I6959" s="7" t="str">
        <f>HYPERLINK("http://www.informatics.jax.org/marker/MGI:1923472","MGI:1923472")</f>
        <v>MGI:1923472</v>
      </c>
      <c r="J6959" s="4" t="s">
        <v>5705</v>
      </c>
    </row>
    <row r="6960" spans="1:10" x14ac:dyDescent="0.25">
      <c r="A6960" s="2">
        <v>438.75468130248402</v>
      </c>
      <c r="B6960" s="3">
        <v>-0.79468191741578498</v>
      </c>
      <c r="C6960" s="5">
        <v>2.4655195092714699E-13</v>
      </c>
      <c r="D6960" s="6">
        <v>1.71863007150348E-12</v>
      </c>
      <c r="E6960" s="3" t="s">
        <v>5675</v>
      </c>
      <c r="F6960" s="3" t="s">
        <v>5676</v>
      </c>
      <c r="G6960" s="3">
        <v>16172</v>
      </c>
      <c r="H6960" s="7" t="str">
        <f>HYPERLINK("http://www.ensembl.org/Mus_musculus/Gene/Summary?db=core;g=ENSMUSG00000002897","ENSMUSG00000002897")</f>
        <v>ENSMUSG00000002897</v>
      </c>
      <c r="I6960" s="7" t="str">
        <f>HYPERLINK("http://www.informatics.jax.org/marker/MGI:107399","MGI:107399")</f>
        <v>MGI:107399</v>
      </c>
      <c r="J6960" s="4" t="s">
        <v>12</v>
      </c>
    </row>
    <row r="6961" spans="1:10" x14ac:dyDescent="0.25">
      <c r="A6961" s="2">
        <v>274.19970040681699</v>
      </c>
      <c r="B6961" s="3">
        <v>-0.79485651041323202</v>
      </c>
      <c r="C6961" s="5">
        <v>1.2736864814994201E-21</v>
      </c>
      <c r="D6961" s="6">
        <v>1.35329188659313E-20</v>
      </c>
      <c r="E6961" s="3" t="s">
        <v>3730</v>
      </c>
      <c r="F6961" s="3" t="s">
        <v>3731</v>
      </c>
      <c r="G6961" s="3">
        <v>246229</v>
      </c>
      <c r="H6961" s="7" t="str">
        <f>HYPERLINK("http://www.ensembl.org/Mus_musculus/Gene/Summary?db=core;g=ENSMUSG00000041684","ENSMUSG00000041684")</f>
        <v>ENSMUSG00000041684</v>
      </c>
      <c r="I6961" s="7" t="str">
        <f>HYPERLINK("http://www.informatics.jax.org/marker/MGI:2179809","MGI:2179809")</f>
        <v>MGI:2179809</v>
      </c>
      <c r="J6961" s="4" t="s">
        <v>12</v>
      </c>
    </row>
    <row r="6962" spans="1:10" x14ac:dyDescent="0.25">
      <c r="A6962" s="2">
        <v>45.544741301600098</v>
      </c>
      <c r="B6962" s="3">
        <v>-0.79531389424040999</v>
      </c>
      <c r="C6962" s="5">
        <v>5.69247651078636E-5</v>
      </c>
      <c r="D6962" s="4">
        <v>1.97181866841221E-4</v>
      </c>
      <c r="E6962" s="3" t="s">
        <v>11397</v>
      </c>
      <c r="F6962" s="3" t="s">
        <v>11398</v>
      </c>
      <c r="G6962" s="3" t="s">
        <v>83</v>
      </c>
      <c r="H6962" s="7" t="str">
        <f>HYPERLINK("http://www.ensembl.org/Mus_musculus/Gene/Summary?db=core;g=ENSMUSG00000091462","ENSMUSG00000091462")</f>
        <v>ENSMUSG00000091462</v>
      </c>
      <c r="I6962" s="7" t="str">
        <f>HYPERLINK("http://www.informatics.jax.org/marker/MGI:4937911","MGI:4937911")</f>
        <v>MGI:4937911</v>
      </c>
      <c r="J6962" s="4" t="s">
        <v>1043</v>
      </c>
    </row>
    <row r="6963" spans="1:10" x14ac:dyDescent="0.25">
      <c r="A6963" s="2">
        <v>202.07559827978099</v>
      </c>
      <c r="B6963" s="3">
        <v>-0.79572704031464803</v>
      </c>
      <c r="C6963" s="5">
        <v>1.9942798509042901E-16</v>
      </c>
      <c r="D6963" s="6">
        <v>1.6441136563475101E-15</v>
      </c>
      <c r="E6963" s="3" t="s">
        <v>4801</v>
      </c>
      <c r="F6963" s="3" t="s">
        <v>4802</v>
      </c>
      <c r="G6963" s="3">
        <v>109135</v>
      </c>
      <c r="H6963" s="7" t="str">
        <f>HYPERLINK("http://www.ensembl.org/Mus_musculus/Gene/Summary?db=core;g=ENSMUSG00000030231","ENSMUSG00000030231")</f>
        <v>ENSMUSG00000030231</v>
      </c>
      <c r="I6963" s="7" t="str">
        <f>HYPERLINK("http://www.informatics.jax.org/marker/MGI:1923802","MGI:1923802")</f>
        <v>MGI:1923802</v>
      </c>
      <c r="J6963" s="4" t="s">
        <v>12</v>
      </c>
    </row>
    <row r="6964" spans="1:10" x14ac:dyDescent="0.25">
      <c r="A6964" s="2">
        <v>375.56722403797397</v>
      </c>
      <c r="B6964" s="3">
        <v>-0.79613871796278102</v>
      </c>
      <c r="C6964" s="5">
        <v>1.22689277236405E-25</v>
      </c>
      <c r="D6964" s="6">
        <v>1.5381007928174799E-24</v>
      </c>
      <c r="E6964" s="3" t="s">
        <v>3165</v>
      </c>
      <c r="F6964" s="3" t="s">
        <v>3166</v>
      </c>
      <c r="G6964" s="3">
        <v>69885</v>
      </c>
      <c r="H6964" s="7" t="str">
        <f>HYPERLINK("http://www.ensembl.org/Mus_musculus/Gene/Summary?db=core;g=ENSMUSG00000078521","ENSMUSG00000078521")</f>
        <v>ENSMUSG00000078521</v>
      </c>
      <c r="I6964" s="7" t="str">
        <f>HYPERLINK("http://www.informatics.jax.org/marker/MGI:1917135","MGI:1917135")</f>
        <v>MGI:1917135</v>
      </c>
      <c r="J6964" s="4" t="s">
        <v>12</v>
      </c>
    </row>
    <row r="6965" spans="1:10" x14ac:dyDescent="0.25">
      <c r="A6965" s="2">
        <v>483.73895354958398</v>
      </c>
      <c r="B6965" s="3">
        <v>-0.79638157492752704</v>
      </c>
      <c r="C6965" s="5">
        <v>2.24963998248853E-17</v>
      </c>
      <c r="D6965" s="6">
        <v>1.9594920695527301E-16</v>
      </c>
      <c r="E6965" s="3" t="s">
        <v>4545</v>
      </c>
      <c r="F6965" s="3" t="s">
        <v>4546</v>
      </c>
      <c r="G6965" s="3">
        <v>74616</v>
      </c>
      <c r="H6965" s="7" t="str">
        <f>HYPERLINK("http://www.ensembl.org/Mus_musculus/Gene/Summary?db=core;g=ENSMUSG00000008226","ENSMUSG00000008226")</f>
        <v>ENSMUSG00000008226</v>
      </c>
      <c r="I6965" s="7" t="str">
        <f>HYPERLINK("http://www.informatics.jax.org/marker/MGI:1921866","MGI:1921866")</f>
        <v>MGI:1921866</v>
      </c>
      <c r="J6965" s="4" t="s">
        <v>12</v>
      </c>
    </row>
    <row r="6966" spans="1:10" x14ac:dyDescent="0.25">
      <c r="A6966" s="2">
        <v>414.22632007908499</v>
      </c>
      <c r="B6966" s="3">
        <v>-0.7965399984539</v>
      </c>
      <c r="C6966" s="5">
        <v>2.15585202713146E-14</v>
      </c>
      <c r="D6966" s="6">
        <v>1.6048849367698101E-13</v>
      </c>
      <c r="E6966" s="3" t="s">
        <v>5315</v>
      </c>
      <c r="F6966" s="3" t="s">
        <v>5316</v>
      </c>
      <c r="G6966" s="3" t="s">
        <v>83</v>
      </c>
      <c r="H6966" s="7" t="str">
        <f>HYPERLINK("http://www.ensembl.org/Mus_musculus/Gene/Summary?db=core;g=ENSMUSG00000111409","ENSMUSG00000111409")</f>
        <v>ENSMUSG00000111409</v>
      </c>
      <c r="I6966" s="7" t="str">
        <f>HYPERLINK("http://www.informatics.jax.org/marker/MGI:6121601","MGI:6121601")</f>
        <v>MGI:6121601</v>
      </c>
      <c r="J6966" s="4" t="s">
        <v>12</v>
      </c>
    </row>
    <row r="6967" spans="1:10" x14ac:dyDescent="0.25">
      <c r="A6967" s="2">
        <v>88.013695733280002</v>
      </c>
      <c r="B6967" s="3">
        <v>-0.79688601313408902</v>
      </c>
      <c r="C6967" s="5">
        <v>1.87990993200486E-8</v>
      </c>
      <c r="D6967" s="6">
        <v>9.0884589014797296E-8</v>
      </c>
      <c r="E6967" s="3" t="s">
        <v>8175</v>
      </c>
      <c r="F6967" s="3" t="s">
        <v>8176</v>
      </c>
      <c r="G6967" s="3">
        <v>319262</v>
      </c>
      <c r="H6967" s="7" t="str">
        <f>HYPERLINK("http://www.ensembl.org/Mus_musculus/Gene/Summary?db=core;g=ENSMUSG00000038524","ENSMUSG00000038524")</f>
        <v>ENSMUSG00000038524</v>
      </c>
      <c r="I6967" s="7" t="str">
        <f>HYPERLINK("http://www.informatics.jax.org/marker/MGI:2441771","MGI:2441771")</f>
        <v>MGI:2441771</v>
      </c>
      <c r="J6967" s="4" t="s">
        <v>12</v>
      </c>
    </row>
    <row r="6968" spans="1:10" x14ac:dyDescent="0.25">
      <c r="A6968" s="2">
        <v>28.0925271713391</v>
      </c>
      <c r="B6968" s="3">
        <v>-0.79699736534705001</v>
      </c>
      <c r="C6968" s="3">
        <v>1.1402950744507001E-3</v>
      </c>
      <c r="D6968" s="4">
        <v>3.3362936006183599E-3</v>
      </c>
      <c r="E6968" s="3" t="s">
        <v>13489</v>
      </c>
      <c r="F6968" s="3" t="s">
        <v>13490</v>
      </c>
      <c r="G6968" s="3" t="s">
        <v>83</v>
      </c>
      <c r="H6968" s="7" t="str">
        <f>HYPERLINK("http://www.ensembl.org/Mus_musculus/Gene/Summary?db=core;g=ENSMUSG00000098404","ENSMUSG00000098404")</f>
        <v>ENSMUSG00000098404</v>
      </c>
      <c r="I6968" s="7" t="str">
        <f>HYPERLINK("http://www.informatics.jax.org/marker/MGI:3645947","MGI:3645947")</f>
        <v>MGI:3645947</v>
      </c>
      <c r="J6968" s="4" t="s">
        <v>2683</v>
      </c>
    </row>
    <row r="6969" spans="1:10" x14ac:dyDescent="0.25">
      <c r="A6969" s="2">
        <v>830.55448736576705</v>
      </c>
      <c r="B6969" s="3">
        <v>-0.79738686242303602</v>
      </c>
      <c r="C6969" s="5">
        <v>1.1200781864666201E-31</v>
      </c>
      <c r="D6969" s="6">
        <v>1.7269696510650299E-30</v>
      </c>
      <c r="E6969" s="3" t="s">
        <v>2575</v>
      </c>
      <c r="F6969" s="3" t="s">
        <v>2576</v>
      </c>
      <c r="G6969" s="3">
        <v>244745</v>
      </c>
      <c r="H6969" s="7" t="str">
        <f>HYPERLINK("http://www.ensembl.org/Mus_musculus/Gene/Summary?db=core;g=ENSMUSG00000043067","ENSMUSG00000043067")</f>
        <v>ENSMUSG00000043067</v>
      </c>
      <c r="I6969" s="7" t="str">
        <f>HYPERLINK("http://www.informatics.jax.org/marker/MGI:1915685","MGI:1915685")</f>
        <v>MGI:1915685</v>
      </c>
      <c r="J6969" s="4" t="s">
        <v>12</v>
      </c>
    </row>
    <row r="6970" spans="1:10" x14ac:dyDescent="0.25">
      <c r="A6970" s="2">
        <v>916.95320738901501</v>
      </c>
      <c r="B6970" s="3">
        <v>-0.79742563763623098</v>
      </c>
      <c r="C6970" s="5">
        <v>1.15183038297624E-35</v>
      </c>
      <c r="D6970" s="6">
        <v>2.0426344561413199E-34</v>
      </c>
      <c r="E6970" s="3" t="s">
        <v>2241</v>
      </c>
      <c r="F6970" s="3" t="s">
        <v>2242</v>
      </c>
      <c r="G6970" s="3">
        <v>67886</v>
      </c>
      <c r="H6970" s="7" t="str">
        <f>HYPERLINK("http://www.ensembl.org/Mus_musculus/Gene/Summary?db=core;g=ENSMUSG00000041570","ENSMUSG00000041570")</f>
        <v>ENSMUSG00000041570</v>
      </c>
      <c r="I6970" s="7" t="str">
        <f>HYPERLINK("http://www.informatics.jax.org/marker/MGI:1922434","MGI:1922434")</f>
        <v>MGI:1922434</v>
      </c>
      <c r="J6970" s="4" t="s">
        <v>12</v>
      </c>
    </row>
    <row r="6971" spans="1:10" x14ac:dyDescent="0.25">
      <c r="A6971" s="2">
        <v>34.857640085414303</v>
      </c>
      <c r="B6971" s="3">
        <v>-0.79764586560012996</v>
      </c>
      <c r="C6971" s="3">
        <v>5.24127172300546E-4</v>
      </c>
      <c r="D6971" s="4">
        <v>1.60918384520734E-3</v>
      </c>
      <c r="E6971" s="3" t="s">
        <v>12855</v>
      </c>
      <c r="F6971" s="3" t="s">
        <v>12856</v>
      </c>
      <c r="G6971" s="3">
        <v>72147</v>
      </c>
      <c r="H6971" s="7" t="str">
        <f>HYPERLINK("http://www.ensembl.org/Mus_musculus/Gene/Summary?db=core;g=ENSMUSG00000027583","ENSMUSG00000027583")</f>
        <v>ENSMUSG00000027583</v>
      </c>
      <c r="I6971" s="7" t="str">
        <f>HYPERLINK("http://www.informatics.jax.org/marker/MGI:1919397","MGI:1919397")</f>
        <v>MGI:1919397</v>
      </c>
      <c r="J6971" s="4" t="s">
        <v>12</v>
      </c>
    </row>
    <row r="6972" spans="1:10" x14ac:dyDescent="0.25">
      <c r="A6972" s="2">
        <v>34.9623024448507</v>
      </c>
      <c r="B6972" s="3">
        <v>-0.79785987618818499</v>
      </c>
      <c r="C6972" s="5">
        <v>5.39907474639625E-5</v>
      </c>
      <c r="D6972" s="4">
        <v>1.8757884777824901E-4</v>
      </c>
      <c r="E6972" s="3" t="s">
        <v>11363</v>
      </c>
      <c r="F6972" s="3" t="s">
        <v>11364</v>
      </c>
      <c r="G6972" s="3" t="s">
        <v>83</v>
      </c>
      <c r="H6972" s="7" t="str">
        <f>HYPERLINK("http://www.ensembl.org/Mus_musculus/Gene/Summary?db=core;g=ENSMUSG00000101655","ENSMUSG00000101655")</f>
        <v>ENSMUSG00000101655</v>
      </c>
      <c r="I6972" s="7" t="str">
        <f>HYPERLINK("http://www.informatics.jax.org/marker/MGI:1916897","MGI:1916897")</f>
        <v>MGI:1916897</v>
      </c>
      <c r="J6972" s="4" t="s">
        <v>939</v>
      </c>
    </row>
    <row r="6973" spans="1:10" x14ac:dyDescent="0.25">
      <c r="A6973" s="2">
        <v>1073.3043717221001</v>
      </c>
      <c r="B6973" s="3">
        <v>-0.798551122820366</v>
      </c>
      <c r="C6973" s="5">
        <v>6.3124986678621498E-52</v>
      </c>
      <c r="D6973" s="6">
        <v>1.77578421869104E-50</v>
      </c>
      <c r="E6973" s="3" t="s">
        <v>1418</v>
      </c>
      <c r="F6973" s="3" t="s">
        <v>1419</v>
      </c>
      <c r="G6973" s="3">
        <v>12445</v>
      </c>
      <c r="H6973" s="7" t="str">
        <f>HYPERLINK("http://www.ensembl.org/Mus_musculus/Gene/Summary?db=core;g=ENSMUSG00000034165","ENSMUSG00000034165")</f>
        <v>ENSMUSG00000034165</v>
      </c>
      <c r="I6973" s="7" t="str">
        <f>HYPERLINK("http://www.informatics.jax.org/marker/MGI:88315","MGI:88315")</f>
        <v>MGI:88315</v>
      </c>
      <c r="J6973" s="4" t="s">
        <v>12</v>
      </c>
    </row>
    <row r="6974" spans="1:10" x14ac:dyDescent="0.25">
      <c r="A6974" s="2">
        <v>1208.1131357806901</v>
      </c>
      <c r="B6974" s="3">
        <v>-0.79872251824014096</v>
      </c>
      <c r="C6974" s="5">
        <v>1.7074077147141199E-39</v>
      </c>
      <c r="D6974" s="6">
        <v>3.4148154294282397E-38</v>
      </c>
      <c r="E6974" s="3" t="s">
        <v>1989</v>
      </c>
      <c r="F6974" s="3" t="s">
        <v>1990</v>
      </c>
      <c r="G6974" s="3">
        <v>101739</v>
      </c>
      <c r="H6974" s="7" t="str">
        <f>HYPERLINK("http://www.ensembl.org/Mus_musculus/Gene/Summary?db=core;g=ENSMUSG00000028484","ENSMUSG00000028484")</f>
        <v>ENSMUSG00000028484</v>
      </c>
      <c r="I6974" s="7" t="str">
        <f>HYPERLINK("http://www.informatics.jax.org/marker/MGI:2142116","MGI:2142116")</f>
        <v>MGI:2142116</v>
      </c>
      <c r="J6974" s="4" t="s">
        <v>12</v>
      </c>
    </row>
    <row r="6975" spans="1:10" x14ac:dyDescent="0.25">
      <c r="A6975" s="2">
        <v>1413.92698199856</v>
      </c>
      <c r="B6975" s="3">
        <v>-0.79885655417249402</v>
      </c>
      <c r="C6975" s="5">
        <v>2.1221263003288199E-26</v>
      </c>
      <c r="D6975" s="6">
        <v>2.7405586537317899E-25</v>
      </c>
      <c r="E6975" s="3" t="s">
        <v>3072</v>
      </c>
      <c r="F6975" s="3" t="s">
        <v>3073</v>
      </c>
      <c r="G6975" s="3">
        <v>23854</v>
      </c>
      <c r="H6975" s="7" t="str">
        <f>HYPERLINK("http://www.ensembl.org/Mus_musculus/Gene/Summary?db=core;g=ENSMUSG00000001482","ENSMUSG00000001482")</f>
        <v>ENSMUSG00000001482</v>
      </c>
      <c r="I6975" s="7" t="str">
        <f>HYPERLINK("http://www.informatics.jax.org/marker/MGI:1346331","MGI:1346331")</f>
        <v>MGI:1346331</v>
      </c>
      <c r="J6975" s="4" t="s">
        <v>12</v>
      </c>
    </row>
    <row r="6976" spans="1:10" x14ac:dyDescent="0.25">
      <c r="A6976" s="2">
        <v>501.46942397851302</v>
      </c>
      <c r="B6976" s="3">
        <v>-0.79892779368981304</v>
      </c>
      <c r="C6976" s="5">
        <v>1.2982466383472799E-30</v>
      </c>
      <c r="D6976" s="6">
        <v>1.94984186658099E-29</v>
      </c>
      <c r="E6976" s="3" t="s">
        <v>2643</v>
      </c>
      <c r="F6976" s="3" t="s">
        <v>2644</v>
      </c>
      <c r="G6976" s="3">
        <v>228019</v>
      </c>
      <c r="H6976" s="7" t="str">
        <f>HYPERLINK("http://www.ensembl.org/Mus_musculus/Gene/Summary?db=core;g=ENSMUSG00000041975","ENSMUSG00000041975")</f>
        <v>ENSMUSG00000041975</v>
      </c>
      <c r="I6976" s="7" t="str">
        <f>HYPERLINK("http://www.informatics.jax.org/marker/MGI:2385142","MGI:2385142")</f>
        <v>MGI:2385142</v>
      </c>
      <c r="J6976" s="4" t="s">
        <v>12</v>
      </c>
    </row>
    <row r="6977" spans="1:10" x14ac:dyDescent="0.25">
      <c r="A6977" s="2">
        <v>10.5772753946805</v>
      </c>
      <c r="B6977" s="3">
        <v>-0.79934622072224104</v>
      </c>
      <c r="C6977" s="3">
        <v>9.0340384739575896E-3</v>
      </c>
      <c r="D6977" s="4">
        <v>2.2659786149382299E-2</v>
      </c>
      <c r="E6977" s="3" t="s">
        <v>15729</v>
      </c>
      <c r="F6977" s="3" t="s">
        <v>15730</v>
      </c>
      <c r="G6977" s="3" t="s">
        <v>83</v>
      </c>
      <c r="H6977" s="7" t="str">
        <f>HYPERLINK("http://www.ensembl.org/Mus_musculus/Gene/Summary?db=core;g=ENSMUSG00000103473","ENSMUSG00000103473")</f>
        <v>ENSMUSG00000103473</v>
      </c>
      <c r="I6977" s="7" t="str">
        <f>HYPERLINK("http://www.informatics.jax.org/marker/MGI:5610924","MGI:5610924")</f>
        <v>MGI:5610924</v>
      </c>
      <c r="J6977" s="4" t="s">
        <v>932</v>
      </c>
    </row>
    <row r="6978" spans="1:10" x14ac:dyDescent="0.25">
      <c r="A6978" s="2">
        <v>388.803175106879</v>
      </c>
      <c r="B6978" s="3">
        <v>-0.79943997279861601</v>
      </c>
      <c r="C6978" s="5">
        <v>9.2259295130420302E-29</v>
      </c>
      <c r="D6978" s="6">
        <v>1.30326167619763E-27</v>
      </c>
      <c r="E6978" s="3" t="s">
        <v>2810</v>
      </c>
      <c r="F6978" s="3" t="s">
        <v>2811</v>
      </c>
      <c r="G6978" s="3">
        <v>235323</v>
      </c>
      <c r="H6978" s="7" t="str">
        <f>HYPERLINK("http://www.ensembl.org/Mus_musculus/Gene/Summary?db=core;g=ENSMUSG00000032267","ENSMUSG00000032267")</f>
        <v>ENSMUSG00000032267</v>
      </c>
      <c r="I6978" s="7" t="str">
        <f>HYPERLINK("http://www.informatics.jax.org/marker/MGI:2442293","MGI:2442293")</f>
        <v>MGI:2442293</v>
      </c>
      <c r="J6978" s="4" t="s">
        <v>12</v>
      </c>
    </row>
    <row r="6979" spans="1:10" x14ac:dyDescent="0.25">
      <c r="A6979" s="2">
        <v>46.288566460873596</v>
      </c>
      <c r="B6979" s="3">
        <v>-0.79944488151012305</v>
      </c>
      <c r="C6979" s="5">
        <v>2.5109513377705299E-6</v>
      </c>
      <c r="D6979" s="6">
        <v>9.9890983217338795E-6</v>
      </c>
      <c r="E6979" s="3" t="s">
        <v>9929</v>
      </c>
      <c r="F6979" s="3" t="s">
        <v>9930</v>
      </c>
      <c r="G6979" s="3">
        <v>56525</v>
      </c>
      <c r="H6979" s="7" t="str">
        <f>HYPERLINK("http://www.ensembl.org/Mus_musculus/Gene/Summary?db=core;g=ENSMUSG00000047603","ENSMUSG00000047603")</f>
        <v>ENSMUSG00000047603</v>
      </c>
      <c r="I6979" s="7" t="str">
        <f>HYPERLINK("http://www.informatics.jax.org/marker/MGI:1929117","MGI:1929117")</f>
        <v>MGI:1929117</v>
      </c>
      <c r="J6979" s="4" t="s">
        <v>12</v>
      </c>
    </row>
    <row r="6980" spans="1:10" x14ac:dyDescent="0.25">
      <c r="A6980" s="2">
        <v>80.519120561458195</v>
      </c>
      <c r="B6980" s="3">
        <v>-0.79951687002552896</v>
      </c>
      <c r="C6980" s="5">
        <v>3.5368768400618399E-9</v>
      </c>
      <c r="D6980" s="6">
        <v>1.81728012730639E-8</v>
      </c>
      <c r="E6980" s="3" t="s">
        <v>7692</v>
      </c>
      <c r="F6980" s="3" t="s">
        <v>7693</v>
      </c>
      <c r="G6980" s="3">
        <v>330216</v>
      </c>
      <c r="H6980" s="7" t="str">
        <f>HYPERLINK("http://www.ensembl.org/Mus_musculus/Gene/Summary?db=core;g=ENSMUSG00000049285","ENSMUSG00000049285")</f>
        <v>ENSMUSG00000049285</v>
      </c>
      <c r="I6980" s="7" t="str">
        <f>HYPERLINK("http://www.informatics.jax.org/marker/MGI:2679717","MGI:2679717")</f>
        <v>MGI:2679717</v>
      </c>
      <c r="J6980" s="4" t="s">
        <v>12</v>
      </c>
    </row>
    <row r="6981" spans="1:10" x14ac:dyDescent="0.25">
      <c r="A6981" s="2">
        <v>149.20919873746101</v>
      </c>
      <c r="B6981" s="3">
        <v>-0.80020467328406197</v>
      </c>
      <c r="C6981" s="5">
        <v>3.8919175570852302E-7</v>
      </c>
      <c r="D6981" s="6">
        <v>1.6782990208992101E-6</v>
      </c>
      <c r="E6981" s="3" t="s">
        <v>9161</v>
      </c>
      <c r="F6981" s="3" t="s">
        <v>9162</v>
      </c>
      <c r="G6981" s="3">
        <v>271305</v>
      </c>
      <c r="H6981" s="7" t="str">
        <f>HYPERLINK("http://www.ensembl.org/Mus_musculus/Gene/Summary?db=core;g=ENSMUSG00000016624","ENSMUSG00000016624")</f>
        <v>ENSMUSG00000016624</v>
      </c>
      <c r="I6981" s="7" t="str">
        <f>HYPERLINK("http://www.informatics.jax.org/marker/MGI:2443812","MGI:2443812")</f>
        <v>MGI:2443812</v>
      </c>
      <c r="J6981" s="4" t="s">
        <v>12</v>
      </c>
    </row>
    <row r="6982" spans="1:10" x14ac:dyDescent="0.25">
      <c r="A6982" s="2">
        <v>132.34314112927399</v>
      </c>
      <c r="B6982" s="3">
        <v>-0.80058517522085404</v>
      </c>
      <c r="C6982" s="5">
        <v>6.7728532864161506E-11</v>
      </c>
      <c r="D6982" s="6">
        <v>3.9809438690946797E-10</v>
      </c>
      <c r="E6982" s="3" t="s">
        <v>6728</v>
      </c>
      <c r="F6982" s="3" t="s">
        <v>6729</v>
      </c>
      <c r="G6982" s="3">
        <v>71876</v>
      </c>
      <c r="H6982" s="7" t="str">
        <f>HYPERLINK("http://www.ensembl.org/Mus_musculus/Gene/Summary?db=core;g=ENSMUSG00000031629","ENSMUSG00000031629")</f>
        <v>ENSMUSG00000031629</v>
      </c>
      <c r="I6982" s="7" t="str">
        <f>HYPERLINK("http://www.informatics.jax.org/marker/MGI:1919126","MGI:1919126")</f>
        <v>MGI:1919126</v>
      </c>
      <c r="J6982" s="4" t="s">
        <v>12</v>
      </c>
    </row>
    <row r="6983" spans="1:10" x14ac:dyDescent="0.25">
      <c r="A6983" s="2">
        <v>291.83241310660799</v>
      </c>
      <c r="B6983" s="3">
        <v>-0.80148424972733801</v>
      </c>
      <c r="C6983" s="5">
        <v>1.1017623871794099E-19</v>
      </c>
      <c r="D6983" s="6">
        <v>1.07771598587192E-18</v>
      </c>
      <c r="E6983" s="3" t="s">
        <v>4049</v>
      </c>
      <c r="F6983" s="3" t="s">
        <v>4050</v>
      </c>
      <c r="G6983" s="3">
        <v>67824</v>
      </c>
      <c r="H6983" s="7" t="str">
        <f>HYPERLINK("http://www.ensembl.org/Mus_musculus/Gene/Summary?db=core;g=ENSMUSG00000063445","ENSMUSG00000063445")</f>
        <v>ENSMUSG00000063445</v>
      </c>
      <c r="I6983" s="7" t="str">
        <f>HYPERLINK("http://www.informatics.jax.org/marker/MGI:1915074","MGI:1915074")</f>
        <v>MGI:1915074</v>
      </c>
      <c r="J6983" s="4" t="s">
        <v>12</v>
      </c>
    </row>
    <row r="6984" spans="1:10" x14ac:dyDescent="0.25">
      <c r="A6984" s="2">
        <v>705.74440382038301</v>
      </c>
      <c r="B6984" s="3">
        <v>-0.80179457525632403</v>
      </c>
      <c r="C6984" s="5">
        <v>5.61325276518045E-39</v>
      </c>
      <c r="D6984" s="6">
        <v>1.10142631372496E-37</v>
      </c>
      <c r="E6984" s="3" t="s">
        <v>2027</v>
      </c>
      <c r="F6984" s="3" t="s">
        <v>2028</v>
      </c>
      <c r="G6984" s="3">
        <v>59016</v>
      </c>
      <c r="H6984" s="7" t="str">
        <f>HYPERLINK("http://www.ensembl.org/Mus_musculus/Gene/Summary?db=core;g=ENSMUSG00000036442","ENSMUSG00000036442")</f>
        <v>ENSMUSG00000036442</v>
      </c>
      <c r="I6984" s="7" t="str">
        <f>HYPERLINK("http://www.informatics.jax.org/marker/MGI:1930964","MGI:1930964")</f>
        <v>MGI:1930964</v>
      </c>
      <c r="J6984" s="4" t="s">
        <v>12</v>
      </c>
    </row>
    <row r="6985" spans="1:10" x14ac:dyDescent="0.25">
      <c r="A6985" s="2">
        <v>1934.8458156657</v>
      </c>
      <c r="B6985" s="3">
        <v>-0.80183812837819102</v>
      </c>
      <c r="C6985" s="5">
        <v>1.20076331100172E-17</v>
      </c>
      <c r="D6985" s="6">
        <v>1.06279409752935E-16</v>
      </c>
      <c r="E6985" s="3" t="s">
        <v>4473</v>
      </c>
      <c r="F6985" s="3" t="s">
        <v>4474</v>
      </c>
      <c r="G6985" s="3">
        <v>12492</v>
      </c>
      <c r="H6985" s="7" t="str">
        <f>HYPERLINK("http://www.ensembl.org/Mus_musculus/Gene/Summary?db=core;g=ENSMUSG00000029426","ENSMUSG00000029426")</f>
        <v>ENSMUSG00000029426</v>
      </c>
      <c r="I6985" s="7" t="str">
        <f>HYPERLINK("http://www.informatics.jax.org/marker/MGI:1196458","MGI:1196458")</f>
        <v>MGI:1196458</v>
      </c>
      <c r="J6985" s="4" t="s">
        <v>12</v>
      </c>
    </row>
    <row r="6986" spans="1:10" x14ac:dyDescent="0.25">
      <c r="A6986" s="2">
        <v>230.62187177357399</v>
      </c>
      <c r="B6986" s="3">
        <v>-0.803315502053494</v>
      </c>
      <c r="C6986" s="5">
        <v>1.7704990440379599E-13</v>
      </c>
      <c r="D6986" s="6">
        <v>1.2456026096478299E-12</v>
      </c>
      <c r="E6986" s="3" t="s">
        <v>5623</v>
      </c>
      <c r="F6986" s="3" t="s">
        <v>5624</v>
      </c>
      <c r="G6986" s="3">
        <v>60611</v>
      </c>
      <c r="H6986" s="7" t="str">
        <f>HYPERLINK("http://www.ensembl.org/Mus_musculus/Gene/Summary?db=core;g=ENSMUSG00000003154","ENSMUSG00000003154")</f>
        <v>ENSMUSG00000003154</v>
      </c>
      <c r="I6986" s="7" t="str">
        <f>HYPERLINK("http://www.informatics.jax.org/marker/MGI:1926805","MGI:1926805")</f>
        <v>MGI:1926805</v>
      </c>
      <c r="J6986" s="4" t="s">
        <v>12</v>
      </c>
    </row>
    <row r="6987" spans="1:10" x14ac:dyDescent="0.25">
      <c r="A6987" s="2">
        <v>12.4700213972071</v>
      </c>
      <c r="B6987" s="3">
        <v>-0.80332689845001504</v>
      </c>
      <c r="C6987" s="3">
        <v>7.2114769657708501E-3</v>
      </c>
      <c r="D6987" s="4">
        <v>1.8464783128070698E-2</v>
      </c>
      <c r="E6987" s="3" t="s">
        <v>15405</v>
      </c>
      <c r="F6987" s="3" t="s">
        <v>15406</v>
      </c>
      <c r="G6987" s="3">
        <v>269209</v>
      </c>
      <c r="H6987" s="7" t="str">
        <f>HYPERLINK("http://www.ensembl.org/Mus_musculus/Gene/Summary?db=core;g=ENSMUSG00000033276","ENSMUSG00000033276")</f>
        <v>ENSMUSG00000033276</v>
      </c>
      <c r="I6987" s="7" t="str">
        <f>HYPERLINK("http://www.informatics.jax.org/marker/MGI:1920831","MGI:1920831")</f>
        <v>MGI:1920831</v>
      </c>
      <c r="J6987" s="4" t="s">
        <v>12</v>
      </c>
    </row>
    <row r="6988" spans="1:10" x14ac:dyDescent="0.25">
      <c r="A6988" s="2">
        <v>60.576813648044102</v>
      </c>
      <c r="B6988" s="3">
        <v>-0.80419767737719605</v>
      </c>
      <c r="C6988" s="5">
        <v>2.11259477424734E-5</v>
      </c>
      <c r="D6988" s="6">
        <v>7.6623816347540105E-5</v>
      </c>
      <c r="E6988" s="3" t="s">
        <v>10886</v>
      </c>
      <c r="F6988" s="3" t="s">
        <v>10887</v>
      </c>
      <c r="G6988" s="3" t="s">
        <v>83</v>
      </c>
      <c r="H6988" s="7" t="str">
        <f>HYPERLINK("http://www.ensembl.org/Mus_musculus/Gene/Summary?db=core;g=ENSMUSG00000082286","ENSMUSG00000082286")</f>
        <v>ENSMUSG00000082286</v>
      </c>
      <c r="I6988" s="7" t="str">
        <f>HYPERLINK("http://www.informatics.jax.org/marker/MGI:3842428","MGI:3842428")</f>
        <v>MGI:3842428</v>
      </c>
      <c r="J6988" s="4" t="s">
        <v>320</v>
      </c>
    </row>
    <row r="6989" spans="1:10" x14ac:dyDescent="0.25">
      <c r="A6989" s="2">
        <v>1134.05460605234</v>
      </c>
      <c r="B6989" s="3">
        <v>-0.80494760253479203</v>
      </c>
      <c r="C6989" s="5">
        <v>5.6511521396058495E-22</v>
      </c>
      <c r="D6989" s="6">
        <v>6.1130400544721599E-21</v>
      </c>
      <c r="E6989" s="3" t="s">
        <v>3664</v>
      </c>
      <c r="F6989" s="3" t="s">
        <v>3665</v>
      </c>
      <c r="G6989" s="3">
        <v>16907</v>
      </c>
      <c r="H6989" s="7" t="str">
        <f>HYPERLINK("http://www.ensembl.org/Mus_musculus/Gene/Summary?db=core;g=ENSMUSG00000062075","ENSMUSG00000062075")</f>
        <v>ENSMUSG00000062075</v>
      </c>
      <c r="I6989" s="7" t="str">
        <f>HYPERLINK("http://www.informatics.jax.org/marker/MGI:96796","MGI:96796")</f>
        <v>MGI:96796</v>
      </c>
      <c r="J6989" s="4" t="s">
        <v>12</v>
      </c>
    </row>
    <row r="6990" spans="1:10" x14ac:dyDescent="0.25">
      <c r="A6990" s="2">
        <v>166.40983190482299</v>
      </c>
      <c r="B6990" s="3">
        <v>-0.80522025142526898</v>
      </c>
      <c r="C6990" s="5">
        <v>6.1873316400493399E-7</v>
      </c>
      <c r="D6990" s="6">
        <v>2.6177682888172698E-6</v>
      </c>
      <c r="E6990" s="3" t="s">
        <v>9337</v>
      </c>
      <c r="F6990" s="3" t="s">
        <v>9338</v>
      </c>
      <c r="G6990" s="3">
        <v>56526</v>
      </c>
      <c r="H6990" s="7" t="str">
        <f>HYPERLINK("http://www.ensembl.org/Mus_musculus/Gene/Summary?db=core;g=ENSMUSG00000050379","ENSMUSG00000050379")</f>
        <v>ENSMUSG00000050379</v>
      </c>
      <c r="I6990" s="7" t="str">
        <f>HYPERLINK("http://www.informatics.jax.org/marker/MGI:1888939","MGI:1888939")</f>
        <v>MGI:1888939</v>
      </c>
      <c r="J6990" s="4" t="s">
        <v>12</v>
      </c>
    </row>
    <row r="6991" spans="1:10" x14ac:dyDescent="0.25">
      <c r="A6991" s="2">
        <v>369.28513185407297</v>
      </c>
      <c r="B6991" s="3">
        <v>-0.80522795461684304</v>
      </c>
      <c r="C6991" s="5">
        <v>9.7262566231948106E-18</v>
      </c>
      <c r="D6991" s="6">
        <v>8.6631337221951905E-17</v>
      </c>
      <c r="E6991" s="3" t="s">
        <v>4445</v>
      </c>
      <c r="F6991" s="3" t="s">
        <v>4446</v>
      </c>
      <c r="G6991" s="3">
        <v>381510</v>
      </c>
      <c r="H6991" s="7" t="str">
        <f>HYPERLINK("http://www.ensembl.org/Mus_musculus/Gene/Summary?db=core;g=ENSMUSG00000045205","ENSMUSG00000045205")</f>
        <v>ENSMUSG00000045205</v>
      </c>
      <c r="I6991" s="7" t="str">
        <f>HYPERLINK("http://www.informatics.jax.org/marker/MGI:2685869","MGI:2685869")</f>
        <v>MGI:2685869</v>
      </c>
      <c r="J6991" s="4" t="s">
        <v>12</v>
      </c>
    </row>
    <row r="6992" spans="1:10" x14ac:dyDescent="0.25">
      <c r="A6992" s="2">
        <v>54.963187046790601</v>
      </c>
      <c r="B6992" s="3">
        <v>-0.80541484920184703</v>
      </c>
      <c r="C6992" s="5">
        <v>1.6802913280495399E-6</v>
      </c>
      <c r="D6992" s="6">
        <v>6.7983883851327196E-6</v>
      </c>
      <c r="E6992" s="3" t="s">
        <v>9763</v>
      </c>
      <c r="F6992" s="3" t="s">
        <v>9764</v>
      </c>
      <c r="G6992" s="3">
        <v>101122</v>
      </c>
      <c r="H6992" s="7" t="str">
        <f>HYPERLINK("http://www.ensembl.org/Mus_musculus/Gene/Summary?db=core;g=ENSMUSG00000051169","ENSMUSG00000051169")</f>
        <v>ENSMUSG00000051169</v>
      </c>
      <c r="I6992" s="7" t="str">
        <f>HYPERLINK("http://www.informatics.jax.org/marker/MGI:2141440","MGI:2141440")</f>
        <v>MGI:2141440</v>
      </c>
      <c r="J6992" s="4" t="s">
        <v>12</v>
      </c>
    </row>
    <row r="6993" spans="1:10" x14ac:dyDescent="0.25">
      <c r="A6993" s="2">
        <v>578.99677642532095</v>
      </c>
      <c r="B6993" s="3">
        <v>-0.80553365970840196</v>
      </c>
      <c r="C6993" s="5">
        <v>5.6424107149915402E-39</v>
      </c>
      <c r="D6993" s="6">
        <v>1.10604711033433E-37</v>
      </c>
      <c r="E6993" s="3" t="s">
        <v>2029</v>
      </c>
      <c r="F6993" s="3" t="s">
        <v>2030</v>
      </c>
      <c r="G6993" s="3">
        <v>103199</v>
      </c>
      <c r="H6993" s="7" t="str">
        <f>HYPERLINK("http://www.ensembl.org/Mus_musculus/Gene/Summary?db=core;g=ENSMUSG00000038417","ENSMUSG00000038417")</f>
        <v>ENSMUSG00000038417</v>
      </c>
      <c r="I6993" s="7" t="str">
        <f>HYPERLINK("http://www.informatics.jax.org/marker/MGI:2143585","MGI:2143585")</f>
        <v>MGI:2143585</v>
      </c>
      <c r="J6993" s="4" t="s">
        <v>12</v>
      </c>
    </row>
    <row r="6994" spans="1:10" x14ac:dyDescent="0.25">
      <c r="A6994" s="2">
        <v>16.685943456539199</v>
      </c>
      <c r="B6994" s="3">
        <v>-0.80563258973611995</v>
      </c>
      <c r="C6994" s="3">
        <v>4.4673158420096802E-3</v>
      </c>
      <c r="D6994" s="4">
        <v>1.1912842245359099E-2</v>
      </c>
      <c r="E6994" s="3" t="s">
        <v>14794</v>
      </c>
      <c r="F6994" s="3" t="s">
        <v>14795</v>
      </c>
      <c r="G6994" s="3">
        <v>217779</v>
      </c>
      <c r="H6994" s="7" t="str">
        <f>HYPERLINK("http://www.ensembl.org/Mus_musculus/Gene/Summary?db=core;g=ENSMUSG00000053769","ENSMUSG00000053769")</f>
        <v>ENSMUSG00000053769</v>
      </c>
      <c r="I6994" s="7" t="str">
        <f>HYPERLINK("http://www.informatics.jax.org/marker/MGI:1919409","MGI:1919409")</f>
        <v>MGI:1919409</v>
      </c>
      <c r="J6994" s="4" t="s">
        <v>12</v>
      </c>
    </row>
    <row r="6995" spans="1:10" x14ac:dyDescent="0.25">
      <c r="A6995" s="2">
        <v>475.06908266907601</v>
      </c>
      <c r="B6995" s="3">
        <v>-0.80569859612835204</v>
      </c>
      <c r="C6995" s="5">
        <v>3.0639569689999199E-33</v>
      </c>
      <c r="D6995" s="6">
        <v>4.9770371852288704E-32</v>
      </c>
      <c r="E6995" s="3" t="s">
        <v>2445</v>
      </c>
      <c r="F6995" s="3" t="s">
        <v>2446</v>
      </c>
      <c r="G6995" s="3">
        <v>56196</v>
      </c>
      <c r="H6995" s="7" t="str">
        <f>HYPERLINK("http://www.ensembl.org/Mus_musculus/Gene/Summary?db=core;g=ENSMUSG00000035958","ENSMUSG00000035958")</f>
        <v>ENSMUSG00000035958</v>
      </c>
      <c r="I6995" s="7" t="str">
        <f>HYPERLINK("http://www.informatics.jax.org/marker/MGI:1860486","MGI:1860486")</f>
        <v>MGI:1860486</v>
      </c>
      <c r="J6995" s="4" t="s">
        <v>12</v>
      </c>
    </row>
    <row r="6996" spans="1:10" x14ac:dyDescent="0.25">
      <c r="A6996" s="2">
        <v>289.34858220899901</v>
      </c>
      <c r="B6996" s="3">
        <v>-0.80651135763842696</v>
      </c>
      <c r="C6996" s="5">
        <v>8.9585771361784501E-13</v>
      </c>
      <c r="D6996" s="6">
        <v>6.0335772242294702E-12</v>
      </c>
      <c r="E6996" s="3" t="s">
        <v>5873</v>
      </c>
      <c r="F6996" s="3" t="s">
        <v>5874</v>
      </c>
      <c r="G6996" s="3">
        <v>50753</v>
      </c>
      <c r="H6996" s="7" t="str">
        <f>HYPERLINK("http://www.ensembl.org/Mus_musculus/Gene/Summary?db=core;g=ENSMUSG00000038206","ENSMUSG00000038206")</f>
        <v>ENSMUSG00000038206</v>
      </c>
      <c r="I6996" s="7" t="str">
        <f>HYPERLINK("http://www.informatics.jax.org/marker/MGI:1354696","MGI:1354696")</f>
        <v>MGI:1354696</v>
      </c>
      <c r="J6996" s="4" t="s">
        <v>12</v>
      </c>
    </row>
    <row r="6997" spans="1:10" x14ac:dyDescent="0.25">
      <c r="A6997" s="2">
        <v>242.85364547613699</v>
      </c>
      <c r="B6997" s="3">
        <v>-0.80674635674156403</v>
      </c>
      <c r="C6997" s="5">
        <v>7.4928616467206805E-17</v>
      </c>
      <c r="D6997" s="6">
        <v>6.3198987028798902E-16</v>
      </c>
      <c r="E6997" s="3" t="s">
        <v>4693</v>
      </c>
      <c r="F6997" s="3" t="s">
        <v>4694</v>
      </c>
      <c r="G6997" s="3">
        <v>219094</v>
      </c>
      <c r="H6997" s="7" t="str">
        <f>HYPERLINK("http://www.ensembl.org/Mus_musculus/Gene/Summary?db=core;g=ENSMUSG00000047153","ENSMUSG00000047153")</f>
        <v>ENSMUSG00000047153</v>
      </c>
      <c r="I6997" s="7" t="str">
        <f>HYPERLINK("http://www.informatics.jax.org/marker/MGI:2451333","MGI:2451333")</f>
        <v>MGI:2451333</v>
      </c>
      <c r="J6997" s="4" t="s">
        <v>12</v>
      </c>
    </row>
    <row r="6998" spans="1:10" x14ac:dyDescent="0.25">
      <c r="A6998" s="2">
        <v>131.380747796077</v>
      </c>
      <c r="B6998" s="3">
        <v>-0.806867879959413</v>
      </c>
      <c r="C6998" s="5">
        <v>2.1871384682802502E-6</v>
      </c>
      <c r="D6998" s="6">
        <v>8.7574356537028602E-6</v>
      </c>
      <c r="E6998" s="3" t="s">
        <v>9865</v>
      </c>
      <c r="F6998" s="3" t="s">
        <v>9866</v>
      </c>
      <c r="G6998" s="3">
        <v>78795</v>
      </c>
      <c r="H6998" s="7" t="str">
        <f>HYPERLINK("http://www.ensembl.org/Mus_musculus/Gene/Summary?db=core;g=ENSMUSG00000062590","ENSMUSG00000062590")</f>
        <v>ENSMUSG00000062590</v>
      </c>
      <c r="I6998" s="7" t="str">
        <f>HYPERLINK("http://www.informatics.jax.org/marker/MGI:1926045","MGI:1926045")</f>
        <v>MGI:1926045</v>
      </c>
      <c r="J6998" s="4" t="s">
        <v>12</v>
      </c>
    </row>
    <row r="6999" spans="1:10" x14ac:dyDescent="0.25">
      <c r="A6999" s="2">
        <v>118.23512709176001</v>
      </c>
      <c r="B6999" s="3">
        <v>-0.80692164372041197</v>
      </c>
      <c r="C6999" s="5">
        <v>6.6705321216760499E-7</v>
      </c>
      <c r="D6999" s="6">
        <v>2.8119472731819499E-6</v>
      </c>
      <c r="E6999" s="3" t="s">
        <v>9369</v>
      </c>
      <c r="F6999" s="3" t="s">
        <v>9370</v>
      </c>
      <c r="G6999" s="3">
        <v>14789</v>
      </c>
      <c r="H6999" s="7" t="str">
        <f>HYPERLINK("http://www.ensembl.org/Mus_musculus/Gene/Summary?db=core;g=ENSMUSG00000023191","ENSMUSG00000023191")</f>
        <v>ENSMUSG00000023191</v>
      </c>
      <c r="I6999" s="7" t="str">
        <f>HYPERLINK("http://www.informatics.jax.org/marker/MGI:1315208","MGI:1315208")</f>
        <v>MGI:1315208</v>
      </c>
      <c r="J6999" s="4" t="s">
        <v>12</v>
      </c>
    </row>
    <row r="7000" spans="1:10" x14ac:dyDescent="0.25">
      <c r="A7000" s="2">
        <v>1522.26806237815</v>
      </c>
      <c r="B7000" s="3">
        <v>-0.80693728565446099</v>
      </c>
      <c r="C7000" s="5">
        <v>1.43590682704134E-32</v>
      </c>
      <c r="D7000" s="6">
        <v>2.2743841469281299E-31</v>
      </c>
      <c r="E7000" s="3" t="s">
        <v>2507</v>
      </c>
      <c r="F7000" s="3" t="s">
        <v>2508</v>
      </c>
      <c r="G7000" s="3">
        <v>20469</v>
      </c>
      <c r="H7000" s="7" t="str">
        <f>HYPERLINK("http://www.ensembl.org/Mus_musculus/Gene/Summary?db=core;g=ENSMUSG00000056917","ENSMUSG00000056917")</f>
        <v>ENSMUSG00000056917</v>
      </c>
      <c r="I7000" s="7" t="str">
        <f>HYPERLINK("http://www.informatics.jax.org/marker/MGI:107576","MGI:107576")</f>
        <v>MGI:107576</v>
      </c>
      <c r="J7000" s="4" t="s">
        <v>12</v>
      </c>
    </row>
    <row r="7001" spans="1:10" x14ac:dyDescent="0.25">
      <c r="A7001" s="2">
        <v>1339.65056223234</v>
      </c>
      <c r="B7001" s="3">
        <v>-0.80699334707729897</v>
      </c>
      <c r="C7001" s="5">
        <v>3.7001361847143003E-18</v>
      </c>
      <c r="D7001" s="6">
        <v>3.3656220277936402E-17</v>
      </c>
      <c r="E7001" s="3" t="s">
        <v>4353</v>
      </c>
      <c r="F7001" s="3" t="s">
        <v>4354</v>
      </c>
      <c r="G7001" s="3">
        <v>52163</v>
      </c>
      <c r="H7001" s="7" t="str">
        <f>HYPERLINK("http://www.ensembl.org/Mus_musculus/Gene/Summary?db=core;g=ENSMUSG00000030272","ENSMUSG00000030272")</f>
        <v>ENSMUSG00000030272</v>
      </c>
      <c r="I7001" s="7" t="str">
        <f>HYPERLINK("http://www.informatics.jax.org/marker/MGI:1098535","MGI:1098535")</f>
        <v>MGI:1098535</v>
      </c>
      <c r="J7001" s="4" t="s">
        <v>12</v>
      </c>
    </row>
    <row r="7002" spans="1:10" x14ac:dyDescent="0.25">
      <c r="A7002" s="2">
        <v>375.43503501584797</v>
      </c>
      <c r="B7002" s="3">
        <v>-0.80707371462108701</v>
      </c>
      <c r="C7002" s="5">
        <v>1.2437625314549401E-27</v>
      </c>
      <c r="D7002" s="6">
        <v>1.6730557380826401E-26</v>
      </c>
      <c r="E7002" s="3" t="s">
        <v>2950</v>
      </c>
      <c r="F7002" s="3" t="s">
        <v>2951</v>
      </c>
      <c r="G7002" s="3">
        <v>26885</v>
      </c>
      <c r="H7002" s="7" t="str">
        <f>HYPERLINK("http://www.ensembl.org/Mus_musculus/Gene/Summary?db=core;g=ENSMUSG00000028282","ENSMUSG00000028282")</f>
        <v>ENSMUSG00000028282</v>
      </c>
      <c r="I7002" s="7" t="str">
        <f>HYPERLINK("http://www.informatics.jax.org/marker/MGI:1349399","MGI:1349399")</f>
        <v>MGI:1349399</v>
      </c>
      <c r="J7002" s="4" t="s">
        <v>12</v>
      </c>
    </row>
    <row r="7003" spans="1:10" x14ac:dyDescent="0.25">
      <c r="A7003" s="2">
        <v>16.4751793591957</v>
      </c>
      <c r="B7003" s="3">
        <v>-0.80725709700244097</v>
      </c>
      <c r="C7003" s="3">
        <v>3.36169472145057E-3</v>
      </c>
      <c r="D7003" s="4">
        <v>9.1438096423455493E-3</v>
      </c>
      <c r="E7003" s="3" t="s">
        <v>14503</v>
      </c>
      <c r="F7003" s="3" t="s">
        <v>14504</v>
      </c>
      <c r="G7003" s="3">
        <v>17394</v>
      </c>
      <c r="H7003" s="7" t="str">
        <f>HYPERLINK("http://www.ensembl.org/Mus_musculus/Gene/Summary?db=core;g=ENSMUSG00000005800","ENSMUSG00000005800")</f>
        <v>ENSMUSG00000005800</v>
      </c>
      <c r="I7003" s="7" t="str">
        <f>HYPERLINK("http://www.informatics.jax.org/marker/MGI:1202395","MGI:1202395")</f>
        <v>MGI:1202395</v>
      </c>
      <c r="J7003" s="4" t="s">
        <v>12</v>
      </c>
    </row>
    <row r="7004" spans="1:10" x14ac:dyDescent="0.25">
      <c r="A7004" s="2">
        <v>617.584648400432</v>
      </c>
      <c r="B7004" s="3">
        <v>-0.80810193101013394</v>
      </c>
      <c r="C7004" s="5">
        <v>8.1874753673143396E-11</v>
      </c>
      <c r="D7004" s="6">
        <v>4.7768347409301395E-10</v>
      </c>
      <c r="E7004" s="3" t="s">
        <v>6778</v>
      </c>
      <c r="F7004" s="3" t="s">
        <v>6779</v>
      </c>
      <c r="G7004" s="3">
        <v>68549</v>
      </c>
      <c r="H7004" s="7" t="str">
        <f>HYPERLINK("http://www.ensembl.org/Mus_musculus/Gene/Summary?db=core;g=ENSMUSG00000026039","ENSMUSG00000026039")</f>
        <v>ENSMUSG00000026039</v>
      </c>
      <c r="I7004" s="7" t="str">
        <f>HYPERLINK("http://www.informatics.jax.org/marker/MGI:1098767","MGI:1098767")</f>
        <v>MGI:1098767</v>
      </c>
      <c r="J7004" s="4" t="s">
        <v>12</v>
      </c>
    </row>
    <row r="7005" spans="1:10" x14ac:dyDescent="0.25">
      <c r="A7005" s="2">
        <v>333.30448321582099</v>
      </c>
      <c r="B7005" s="3">
        <v>-0.80896172933411503</v>
      </c>
      <c r="C7005" s="5">
        <v>1.1832377482661899E-15</v>
      </c>
      <c r="D7005" s="6">
        <v>9.38971766430956E-15</v>
      </c>
      <c r="E7005" s="3" t="s">
        <v>4987</v>
      </c>
      <c r="F7005" s="3" t="s">
        <v>4988</v>
      </c>
      <c r="G7005" s="3">
        <v>110198</v>
      </c>
      <c r="H7005" s="7" t="str">
        <f>HYPERLINK("http://www.ensembl.org/Mus_musculus/Gene/Summary?db=core;g=ENSMUSG00000028743","ENSMUSG00000028743")</f>
        <v>ENSMUSG00000028743</v>
      </c>
      <c r="I7005" s="7" t="str">
        <f>HYPERLINK("http://www.informatics.jax.org/marker/MGI:107796","MGI:107796")</f>
        <v>MGI:107796</v>
      </c>
      <c r="J7005" s="4" t="s">
        <v>12</v>
      </c>
    </row>
    <row r="7006" spans="1:10" x14ac:dyDescent="0.25">
      <c r="A7006" s="2">
        <v>363.951758245718</v>
      </c>
      <c r="B7006" s="3">
        <v>-0.80910507353059002</v>
      </c>
      <c r="C7006" s="5">
        <v>5.1605715181582003E-12</v>
      </c>
      <c r="D7006" s="6">
        <v>3.2987510644434299E-11</v>
      </c>
      <c r="E7006" s="3" t="s">
        <v>6187</v>
      </c>
      <c r="F7006" s="3" t="s">
        <v>6188</v>
      </c>
      <c r="G7006" s="3">
        <v>232339</v>
      </c>
      <c r="H7006" s="7" t="str">
        <f>HYPERLINK("http://www.ensembl.org/Mus_musculus/Gene/Summary?db=core;g=ENSMUSG00000007827","ENSMUSG00000007827")</f>
        <v>ENSMUSG00000007827</v>
      </c>
      <c r="I7006" s="7" t="str">
        <f>HYPERLINK("http://www.informatics.jax.org/marker/MGI:1917887","MGI:1917887")</f>
        <v>MGI:1917887</v>
      </c>
      <c r="J7006" s="4" t="s">
        <v>12</v>
      </c>
    </row>
    <row r="7007" spans="1:10" x14ac:dyDescent="0.25">
      <c r="A7007" s="2">
        <v>202.32004075656101</v>
      </c>
      <c r="B7007" s="3">
        <v>-0.81000655231769603</v>
      </c>
      <c r="C7007" s="5">
        <v>1.54160066671607E-15</v>
      </c>
      <c r="D7007" s="6">
        <v>1.21796334726125E-14</v>
      </c>
      <c r="E7007" s="3" t="s">
        <v>5009</v>
      </c>
      <c r="F7007" s="3" t="s">
        <v>5010</v>
      </c>
      <c r="G7007" s="3">
        <v>78412</v>
      </c>
      <c r="H7007" s="7" t="str">
        <f>HYPERLINK("http://www.ensembl.org/Mus_musculus/Gene/Summary?db=core;g=ENSMUSG00000046806","ENSMUSG00000046806")</f>
        <v>ENSMUSG00000046806</v>
      </c>
      <c r="I7007" s="7" t="str">
        <f>HYPERLINK("http://www.informatics.jax.org/marker/MGI:1925662","MGI:1925662")</f>
        <v>MGI:1925662</v>
      </c>
      <c r="J7007" s="4" t="s">
        <v>12</v>
      </c>
    </row>
    <row r="7008" spans="1:10" x14ac:dyDescent="0.25">
      <c r="A7008" s="2">
        <v>14.5660001012475</v>
      </c>
      <c r="B7008" s="3">
        <v>-0.81056620853851602</v>
      </c>
      <c r="C7008" s="3">
        <v>1.7505155357207699E-2</v>
      </c>
      <c r="D7008" s="4">
        <v>4.1391086767882002E-2</v>
      </c>
      <c r="E7008" s="3" t="s">
        <v>16684</v>
      </c>
      <c r="F7008" s="3" t="s">
        <v>16685</v>
      </c>
      <c r="G7008" s="3">
        <v>100042480</v>
      </c>
      <c r="H7008" s="7" t="str">
        <f>HYPERLINK("http://www.ensembl.org/Mus_musculus/Gene/Summary?db=core;g=ENSMUSG00000079481","ENSMUSG00000079481")</f>
        <v>ENSMUSG00000079481</v>
      </c>
      <c r="I7008" s="7" t="str">
        <f>HYPERLINK("http://www.informatics.jax.org/marker/MGI:3645090","MGI:3645090")</f>
        <v>MGI:3645090</v>
      </c>
      <c r="J7008" s="4" t="s">
        <v>12</v>
      </c>
    </row>
    <row r="7009" spans="1:10" x14ac:dyDescent="0.25">
      <c r="A7009" s="2">
        <v>387.24711679512501</v>
      </c>
      <c r="B7009" s="3">
        <v>-0.81111712359459098</v>
      </c>
      <c r="C7009" s="5">
        <v>6.3865954254889803E-28</v>
      </c>
      <c r="D7009" s="6">
        <v>8.6917640987331005E-27</v>
      </c>
      <c r="E7009" s="3" t="s">
        <v>2916</v>
      </c>
      <c r="F7009" s="3" t="s">
        <v>2917</v>
      </c>
      <c r="G7009" s="3">
        <v>232536</v>
      </c>
      <c r="H7009" s="7" t="str">
        <f>HYPERLINK("http://www.ensembl.org/Mus_musculus/Gene/Summary?db=core;g=ENSMUSG00000040112","ENSMUSG00000040112")</f>
        <v>ENSMUSG00000040112</v>
      </c>
      <c r="I7009" s="7" t="str">
        <f>HYPERLINK("http://www.informatics.jax.org/marker/MGI:2385255","MGI:2385255")</f>
        <v>MGI:2385255</v>
      </c>
      <c r="J7009" s="4" t="s">
        <v>12</v>
      </c>
    </row>
    <row r="7010" spans="1:10" x14ac:dyDescent="0.25">
      <c r="A7010" s="2">
        <v>558.84384653445295</v>
      </c>
      <c r="B7010" s="3">
        <v>-0.81156927868948103</v>
      </c>
      <c r="C7010" s="5">
        <v>3.4425581586435899E-35</v>
      </c>
      <c r="D7010" s="6">
        <v>6.0066208849264304E-34</v>
      </c>
      <c r="E7010" s="3" t="s">
        <v>2279</v>
      </c>
      <c r="F7010" s="3" t="s">
        <v>2280</v>
      </c>
      <c r="G7010" s="3">
        <v>71900</v>
      </c>
      <c r="H7010" s="7" t="str">
        <f>HYPERLINK("http://www.ensembl.org/Mus_musculus/Gene/Summary?db=core;g=ENSMUSG00000029571","ENSMUSG00000029571")</f>
        <v>ENSMUSG00000029571</v>
      </c>
      <c r="I7010" s="7" t="str">
        <f>HYPERLINK("http://www.informatics.jax.org/marker/MGI:1919150","MGI:1919150")</f>
        <v>MGI:1919150</v>
      </c>
      <c r="J7010" s="4" t="s">
        <v>12</v>
      </c>
    </row>
    <row r="7011" spans="1:10" x14ac:dyDescent="0.25">
      <c r="A7011" s="2">
        <v>832.51045818598004</v>
      </c>
      <c r="B7011" s="3">
        <v>-0.81193637903314797</v>
      </c>
      <c r="C7011" s="5">
        <v>8.09674801292317E-13</v>
      </c>
      <c r="D7011" s="6">
        <v>5.4587306261485399E-12</v>
      </c>
      <c r="E7011" s="3" t="s">
        <v>5867</v>
      </c>
      <c r="F7011" s="3" t="s">
        <v>5868</v>
      </c>
      <c r="G7011" s="3">
        <v>229534</v>
      </c>
      <c r="H7011" s="7" t="str">
        <f>HYPERLINK("http://www.ensembl.org/Mus_musculus/Gene/Summary?db=core;g=ENSMUSG00000042613","ENSMUSG00000042613")</f>
        <v>ENSMUSG00000042613</v>
      </c>
      <c r="I7011" s="7" t="str">
        <f>HYPERLINK("http://www.informatics.jax.org/marker/MGI:2441670","MGI:2441670")</f>
        <v>MGI:2441670</v>
      </c>
      <c r="J7011" s="4" t="s">
        <v>12</v>
      </c>
    </row>
    <row r="7012" spans="1:10" x14ac:dyDescent="0.25">
      <c r="A7012" s="2">
        <v>123.58157136362099</v>
      </c>
      <c r="B7012" s="3">
        <v>-0.81198633376499596</v>
      </c>
      <c r="C7012" s="5">
        <v>4.09566805272848E-10</v>
      </c>
      <c r="D7012" s="6">
        <v>2.2617354802521898E-9</v>
      </c>
      <c r="E7012" s="3" t="s">
        <v>7160</v>
      </c>
      <c r="F7012" s="3" t="s">
        <v>7161</v>
      </c>
      <c r="G7012" s="3" t="s">
        <v>83</v>
      </c>
      <c r="H7012" s="7" t="str">
        <f>HYPERLINK("http://www.ensembl.org/Mus_musculus/Gene/Summary?db=core;g=ENSMUSG00000116995","ENSMUSG00000116995")</f>
        <v>ENSMUSG00000116995</v>
      </c>
      <c r="I7012" s="7" t="str">
        <f>HYPERLINK("http://www.informatics.jax.org/marker/MGI:5439378","MGI:5439378")</f>
        <v>MGI:5439378</v>
      </c>
      <c r="J7012" s="4" t="s">
        <v>5705</v>
      </c>
    </row>
    <row r="7013" spans="1:10" x14ac:dyDescent="0.25">
      <c r="A7013" s="2">
        <v>1262.1887667040701</v>
      </c>
      <c r="B7013" s="3">
        <v>-0.81205171161164003</v>
      </c>
      <c r="C7013" s="5">
        <v>4.5642347357339303E-46</v>
      </c>
      <c r="D7013" s="6">
        <v>1.10573352565937E-44</v>
      </c>
      <c r="E7013" s="3" t="s">
        <v>1644</v>
      </c>
      <c r="F7013" s="3" t="s">
        <v>1645</v>
      </c>
      <c r="G7013" s="3">
        <v>227292</v>
      </c>
      <c r="H7013" s="7" t="str">
        <f>HYPERLINK("http://www.ensembl.org/Mus_musculus/Gene/Summary?db=core;g=ENSMUSG00000026176","ENSMUSG00000026176")</f>
        <v>ENSMUSG00000026176</v>
      </c>
      <c r="I7013" s="7" t="str">
        <f>HYPERLINK("http://www.informatics.jax.org/marker/MGI:2654470","MGI:2654470")</f>
        <v>MGI:2654470</v>
      </c>
      <c r="J7013" s="4" t="s">
        <v>12</v>
      </c>
    </row>
    <row r="7014" spans="1:10" x14ac:dyDescent="0.25">
      <c r="A7014" s="2">
        <v>72.309300740754693</v>
      </c>
      <c r="B7014" s="3">
        <v>-0.81228036806588999</v>
      </c>
      <c r="C7014" s="5">
        <v>1.02014480686322E-8</v>
      </c>
      <c r="D7014" s="6">
        <v>5.0583996960882001E-8</v>
      </c>
      <c r="E7014" s="3" t="s">
        <v>7971</v>
      </c>
      <c r="F7014" s="3" t="s">
        <v>7972</v>
      </c>
      <c r="G7014" s="3">
        <v>232970</v>
      </c>
      <c r="H7014" s="7" t="str">
        <f>HYPERLINK("http://www.ensembl.org/Mus_musculus/Gene/Summary?db=core;g=ENSMUSG00000074277","ENSMUSG00000074277")</f>
        <v>ENSMUSG00000074277</v>
      </c>
      <c r="I7014" s="7" t="str">
        <f>HYPERLINK("http://www.informatics.jax.org/marker/MGI:3642959","MGI:3642959")</f>
        <v>MGI:3642959</v>
      </c>
      <c r="J7014" s="4" t="s">
        <v>12</v>
      </c>
    </row>
    <row r="7015" spans="1:10" x14ac:dyDescent="0.25">
      <c r="A7015" s="2">
        <v>227.449513541811</v>
      </c>
      <c r="B7015" s="3">
        <v>-0.81246449742795002</v>
      </c>
      <c r="C7015" s="5">
        <v>9.5069593356524793E-19</v>
      </c>
      <c r="D7015" s="6">
        <v>8.9105151187769492E-18</v>
      </c>
      <c r="E7015" s="3" t="s">
        <v>4225</v>
      </c>
      <c r="F7015" s="3" t="s">
        <v>4226</v>
      </c>
      <c r="G7015" s="3">
        <v>226419</v>
      </c>
      <c r="H7015" s="7" t="str">
        <f>HYPERLINK("http://www.ensembl.org/Mus_musculus/Gene/Summary?db=core;g=ENSMUSG00000016526","ENSMUSG00000016526")</f>
        <v>ENSMUSG00000016526</v>
      </c>
      <c r="I7015" s="7" t="str">
        <f>HYPERLINK("http://www.informatics.jax.org/marker/MGI:1330300","MGI:1330300")</f>
        <v>MGI:1330300</v>
      </c>
      <c r="J7015" s="4" t="s">
        <v>12</v>
      </c>
    </row>
    <row r="7016" spans="1:10" x14ac:dyDescent="0.25">
      <c r="A7016" s="2">
        <v>652.90098897280802</v>
      </c>
      <c r="B7016" s="3">
        <v>-0.81273614166105901</v>
      </c>
      <c r="C7016" s="5">
        <v>5.3500641311494795E-22</v>
      </c>
      <c r="D7016" s="6">
        <v>5.80006952535832E-21</v>
      </c>
      <c r="E7016" s="3" t="s">
        <v>3656</v>
      </c>
      <c r="F7016" s="3" t="s">
        <v>3657</v>
      </c>
      <c r="G7016" s="3">
        <v>72155</v>
      </c>
      <c r="H7016" s="7" t="str">
        <f>HYPERLINK("http://www.ensembl.org/Mus_musculus/Gene/Summary?db=core;g=ENSMUSG00000031756","ENSMUSG00000031756")</f>
        <v>ENSMUSG00000031756</v>
      </c>
      <c r="I7016" s="7" t="str">
        <f>HYPERLINK("http://www.informatics.jax.org/marker/MGI:1919405","MGI:1919405")</f>
        <v>MGI:1919405</v>
      </c>
      <c r="J7016" s="4" t="s">
        <v>12</v>
      </c>
    </row>
    <row r="7017" spans="1:10" x14ac:dyDescent="0.25">
      <c r="A7017" s="2">
        <v>675.52575306594099</v>
      </c>
      <c r="B7017" s="3">
        <v>-0.81356067878437399</v>
      </c>
      <c r="C7017" s="5">
        <v>3.8844235100226598E-28</v>
      </c>
      <c r="D7017" s="6">
        <v>5.3380370465259102E-27</v>
      </c>
      <c r="E7017" s="3" t="s">
        <v>2888</v>
      </c>
      <c r="F7017" s="3" t="s">
        <v>2889</v>
      </c>
      <c r="G7017" s="3">
        <v>16653</v>
      </c>
      <c r="H7017" s="7" t="str">
        <f>HYPERLINK("http://www.ensembl.org/Mus_musculus/Gene/Summary?db=core;g=ENSMUSG00000030265","ENSMUSG00000030265")</f>
        <v>ENSMUSG00000030265</v>
      </c>
      <c r="I7017" s="7" t="str">
        <f>HYPERLINK("http://www.informatics.jax.org/marker/MGI:96680","MGI:96680")</f>
        <v>MGI:96680</v>
      </c>
      <c r="J7017" s="4" t="s">
        <v>12</v>
      </c>
    </row>
    <row r="7018" spans="1:10" x14ac:dyDescent="0.25">
      <c r="A7018" s="2">
        <v>105.629335883512</v>
      </c>
      <c r="B7018" s="3">
        <v>-0.81445626334128596</v>
      </c>
      <c r="C7018" s="5">
        <v>1.4253577952762799E-10</v>
      </c>
      <c r="D7018" s="6">
        <v>8.1971582743797904E-10</v>
      </c>
      <c r="E7018" s="3" t="s">
        <v>6876</v>
      </c>
      <c r="F7018" s="3" t="s">
        <v>6877</v>
      </c>
      <c r="G7018" s="3">
        <v>72139</v>
      </c>
      <c r="H7018" s="7" t="str">
        <f>HYPERLINK("http://www.ensembl.org/Mus_musculus/Gene/Summary?db=core;g=ENSMUSG00000071302","ENSMUSG00000071302")</f>
        <v>ENSMUSG00000071302</v>
      </c>
      <c r="I7018" s="7" t="str">
        <f>HYPERLINK("http://www.informatics.jax.org/marker/MGI:1919389","MGI:1919389")</f>
        <v>MGI:1919389</v>
      </c>
      <c r="J7018" s="4" t="s">
        <v>12</v>
      </c>
    </row>
    <row r="7019" spans="1:10" x14ac:dyDescent="0.25">
      <c r="A7019" s="2">
        <v>174.90072894072901</v>
      </c>
      <c r="B7019" s="3">
        <v>-0.81491866353221198</v>
      </c>
      <c r="C7019" s="5">
        <v>6.5011789632733194E-11</v>
      </c>
      <c r="D7019" s="6">
        <v>3.8281053793893699E-10</v>
      </c>
      <c r="E7019" s="3" t="s">
        <v>6716</v>
      </c>
      <c r="F7019" s="3" t="s">
        <v>6717</v>
      </c>
      <c r="G7019" s="3">
        <v>103268</v>
      </c>
      <c r="H7019" s="7" t="str">
        <f>HYPERLINK("http://www.ensembl.org/Mus_musculus/Gene/Summary?db=core;g=ENSMUSG00000019813","ENSMUSG00000019813")</f>
        <v>ENSMUSG00000019813</v>
      </c>
      <c r="I7019" s="7" t="str">
        <f>HYPERLINK("http://www.informatics.jax.org/marker/MGI:1915511","MGI:1915511")</f>
        <v>MGI:1915511</v>
      </c>
      <c r="J7019" s="4" t="s">
        <v>12</v>
      </c>
    </row>
    <row r="7020" spans="1:10" x14ac:dyDescent="0.25">
      <c r="A7020" s="2">
        <v>714.44323569970902</v>
      </c>
      <c r="B7020" s="3">
        <v>-0.81526497239718498</v>
      </c>
      <c r="C7020" s="5">
        <v>1.7074720088177E-41</v>
      </c>
      <c r="D7020" s="6">
        <v>3.6089333348215502E-40</v>
      </c>
      <c r="E7020" s="3" t="s">
        <v>1883</v>
      </c>
      <c r="F7020" s="3" t="s">
        <v>1884</v>
      </c>
      <c r="G7020" s="3">
        <v>140579</v>
      </c>
      <c r="H7020" s="7" t="str">
        <f>HYPERLINK("http://www.ensembl.org/Mus_musculus/Gene/Summary?db=core;g=ENSMUSG00000017670","ENSMUSG00000017670")</f>
        <v>ENSMUSG00000017670</v>
      </c>
      <c r="I7020" s="7" t="str">
        <f>HYPERLINK("http://www.informatics.jax.org/marker/MGI:2153045","MGI:2153045")</f>
        <v>MGI:2153045</v>
      </c>
      <c r="J7020" s="4" t="s">
        <v>12</v>
      </c>
    </row>
    <row r="7021" spans="1:10" x14ac:dyDescent="0.25">
      <c r="A7021" s="2">
        <v>200.83471209012299</v>
      </c>
      <c r="B7021" s="3">
        <v>-0.81574869472334099</v>
      </c>
      <c r="C7021" s="5">
        <v>6.7641759947319098E-8</v>
      </c>
      <c r="D7021" s="6">
        <v>3.1085889213729501E-7</v>
      </c>
      <c r="E7021" s="3" t="s">
        <v>8599</v>
      </c>
      <c r="F7021" s="3" t="s">
        <v>8600</v>
      </c>
      <c r="G7021" s="3">
        <v>214932</v>
      </c>
      <c r="H7021" s="7" t="str">
        <f>HYPERLINK("http://www.ensembl.org/Mus_musculus/Gene/Summary?db=core;g=ENSMUSG00000058979","ENSMUSG00000058979")</f>
        <v>ENSMUSG00000058979</v>
      </c>
      <c r="I7021" s="7" t="str">
        <f>HYPERLINK("http://www.informatics.jax.org/marker/MGI:2136976","MGI:2136976")</f>
        <v>MGI:2136976</v>
      </c>
      <c r="J7021" s="4" t="s">
        <v>12</v>
      </c>
    </row>
    <row r="7022" spans="1:10" x14ac:dyDescent="0.25">
      <c r="A7022" s="2">
        <v>395.41042401732301</v>
      </c>
      <c r="B7022" s="3">
        <v>-0.81582109447422102</v>
      </c>
      <c r="C7022" s="5">
        <v>1.2836294600139E-11</v>
      </c>
      <c r="D7022" s="6">
        <v>7.9601172803377501E-11</v>
      </c>
      <c r="E7022" s="3" t="s">
        <v>6377</v>
      </c>
      <c r="F7022" s="3" t="s">
        <v>6378</v>
      </c>
      <c r="G7022" s="3">
        <v>69263</v>
      </c>
      <c r="H7022" s="7" t="str">
        <f>HYPERLINK("http://www.ensembl.org/Mus_musculus/Gene/Summary?db=core;g=ENSMUSG00000033970","ENSMUSG00000033970")</f>
        <v>ENSMUSG00000033970</v>
      </c>
      <c r="I7022" s="7" t="str">
        <f>HYPERLINK("http://www.informatics.jax.org/marker/MGI:1916513","MGI:1916513")</f>
        <v>MGI:1916513</v>
      </c>
      <c r="J7022" s="4" t="s">
        <v>12</v>
      </c>
    </row>
    <row r="7023" spans="1:10" x14ac:dyDescent="0.25">
      <c r="A7023" s="2">
        <v>9.5416932910302297</v>
      </c>
      <c r="B7023" s="3">
        <v>-0.816303212975234</v>
      </c>
      <c r="C7023" s="3">
        <v>1.36603335848415E-2</v>
      </c>
      <c r="D7023" s="4">
        <v>3.30651501525807E-2</v>
      </c>
      <c r="E7023" s="3" t="s">
        <v>16299</v>
      </c>
      <c r="F7023" s="3" t="s">
        <v>16300</v>
      </c>
      <c r="G7023" s="3">
        <v>74665</v>
      </c>
      <c r="H7023" s="7" t="str">
        <f>HYPERLINK("http://www.ensembl.org/Mus_musculus/Gene/Summary?db=core;g=ENSMUSG00000056598","ENSMUSG00000056598")</f>
        <v>ENSMUSG00000056598</v>
      </c>
      <c r="I7023" s="7" t="str">
        <f>HYPERLINK("http://www.informatics.jax.org/marker/MGI:1921915","MGI:1921915")</f>
        <v>MGI:1921915</v>
      </c>
      <c r="J7023" s="4" t="s">
        <v>12</v>
      </c>
    </row>
    <row r="7024" spans="1:10" x14ac:dyDescent="0.25">
      <c r="A7024" s="2">
        <v>96.171315760833707</v>
      </c>
      <c r="B7024" s="3">
        <v>-0.81637600954880996</v>
      </c>
      <c r="C7024" s="5">
        <v>3.0922873214103202E-8</v>
      </c>
      <c r="D7024" s="6">
        <v>1.46515872124487E-7</v>
      </c>
      <c r="E7024" s="3" t="s">
        <v>8341</v>
      </c>
      <c r="F7024" s="3" t="s">
        <v>8342</v>
      </c>
      <c r="G7024" s="3">
        <v>50788</v>
      </c>
      <c r="H7024" s="7" t="str">
        <f>HYPERLINK("http://www.ensembl.org/Mus_musculus/Gene/Summary?db=core;g=ENSMUSG00000033313","ENSMUSG00000033313")</f>
        <v>ENSMUSG00000033313</v>
      </c>
      <c r="I7024" s="7" t="str">
        <f>HYPERLINK("http://www.informatics.jax.org/marker/MGI:1354697","MGI:1354697")</f>
        <v>MGI:1354697</v>
      </c>
      <c r="J7024" s="4" t="s">
        <v>12</v>
      </c>
    </row>
    <row r="7025" spans="1:10" x14ac:dyDescent="0.25">
      <c r="A7025" s="2">
        <v>1362.3121376100501</v>
      </c>
      <c r="B7025" s="3">
        <v>-0.81665220684196504</v>
      </c>
      <c r="C7025" s="5">
        <v>5.3178581334938101E-16</v>
      </c>
      <c r="D7025" s="6">
        <v>4.2890863964211798E-15</v>
      </c>
      <c r="E7025" s="3" t="s">
        <v>4907</v>
      </c>
      <c r="F7025" s="3" t="s">
        <v>4908</v>
      </c>
      <c r="G7025" s="3">
        <v>109212</v>
      </c>
      <c r="H7025" s="7" t="str">
        <f>HYPERLINK("http://www.ensembl.org/Mus_musculus/Gene/Summary?db=core;g=ENSMUSG00000020808","ENSMUSG00000020808")</f>
        <v>ENSMUSG00000020808</v>
      </c>
      <c r="I7025" s="7" t="str">
        <f>HYPERLINK("http://www.informatics.jax.org/marker/MGI:1924434","MGI:1924434")</f>
        <v>MGI:1924434</v>
      </c>
      <c r="J7025" s="4" t="s">
        <v>12</v>
      </c>
    </row>
    <row r="7026" spans="1:10" x14ac:dyDescent="0.25">
      <c r="A7026" s="2">
        <v>255.01845634241599</v>
      </c>
      <c r="B7026" s="3">
        <v>-0.81768484851184298</v>
      </c>
      <c r="C7026" s="5">
        <v>1.5541667838288599E-18</v>
      </c>
      <c r="D7026" s="6">
        <v>1.44091062421745E-17</v>
      </c>
      <c r="E7026" s="3" t="s">
        <v>4271</v>
      </c>
      <c r="F7026" s="3" t="s">
        <v>4272</v>
      </c>
      <c r="G7026" s="3">
        <v>74477</v>
      </c>
      <c r="H7026" s="7" t="str">
        <f>HYPERLINK("http://www.ensembl.org/Mus_musculus/Gene/Summary?db=core;g=ENSMUSG00000107877","ENSMUSG00000107877")</f>
        <v>ENSMUSG00000107877</v>
      </c>
      <c r="I7026" s="7" t="str">
        <f>HYPERLINK("http://www.informatics.jax.org/marker/MGI:5690343","MGI:5690343")</f>
        <v>MGI:5690343</v>
      </c>
      <c r="J7026" s="4" t="s">
        <v>12</v>
      </c>
    </row>
    <row r="7027" spans="1:10" x14ac:dyDescent="0.25">
      <c r="A7027" s="2">
        <v>17.637236912196801</v>
      </c>
      <c r="B7027" s="3">
        <v>-0.81844737536481904</v>
      </c>
      <c r="C7027" s="3">
        <v>6.1512112250167801E-4</v>
      </c>
      <c r="D7027" s="4">
        <v>1.8702109984170699E-3</v>
      </c>
      <c r="E7027" s="3" t="s">
        <v>12981</v>
      </c>
      <c r="F7027" s="3" t="s">
        <v>12982</v>
      </c>
      <c r="G7027" s="3">
        <v>213027</v>
      </c>
      <c r="H7027" s="7" t="str">
        <f>HYPERLINK("http://www.ensembl.org/Mus_musculus/Gene/Summary?db=core;g=ENSMUSG00000011832","ENSMUSG00000011832")</f>
        <v>ENSMUSG00000011832</v>
      </c>
      <c r="I7027" s="7" t="str">
        <f>HYPERLINK("http://www.informatics.jax.org/marker/MGI:2442167","MGI:2442167")</f>
        <v>MGI:2442167</v>
      </c>
      <c r="J7027" s="4" t="s">
        <v>12</v>
      </c>
    </row>
    <row r="7028" spans="1:10" x14ac:dyDescent="0.25">
      <c r="A7028" s="2">
        <v>309.02617798338298</v>
      </c>
      <c r="B7028" s="3">
        <v>-0.81847054119113904</v>
      </c>
      <c r="C7028" s="5">
        <v>7.60546652967573E-22</v>
      </c>
      <c r="D7028" s="6">
        <v>8.1643875865653496E-21</v>
      </c>
      <c r="E7028" s="3" t="s">
        <v>3692</v>
      </c>
      <c r="F7028" s="3" t="s">
        <v>3693</v>
      </c>
      <c r="G7028" s="3">
        <v>66455</v>
      </c>
      <c r="H7028" s="7" t="str">
        <f>HYPERLINK("http://www.ensembl.org/Mus_musculus/Gene/Summary?db=core;g=ENSMUSG00000036968","ENSMUSG00000036968")</f>
        <v>ENSMUSG00000036968</v>
      </c>
      <c r="I7028" s="7" t="str">
        <f>HYPERLINK("http://www.informatics.jax.org/marker/MGI:1913705","MGI:1913705")</f>
        <v>MGI:1913705</v>
      </c>
      <c r="J7028" s="4" t="s">
        <v>12</v>
      </c>
    </row>
    <row r="7029" spans="1:10" x14ac:dyDescent="0.25">
      <c r="A7029" s="2">
        <v>177.28631595451799</v>
      </c>
      <c r="B7029" s="3">
        <v>-0.81858115114241303</v>
      </c>
      <c r="C7029" s="5">
        <v>2.1516874384685901E-13</v>
      </c>
      <c r="D7029" s="6">
        <v>1.50786340748403E-12</v>
      </c>
      <c r="E7029" s="3" t="s">
        <v>5645</v>
      </c>
      <c r="F7029" s="3" t="s">
        <v>5646</v>
      </c>
      <c r="G7029" s="3">
        <v>237928</v>
      </c>
      <c r="H7029" s="7" t="str">
        <f>HYPERLINK("http://www.ensembl.org/Mus_musculus/Gene/Summary?db=core;g=ENSMUSG00000050860","ENSMUSG00000050860")</f>
        <v>ENSMUSG00000050860</v>
      </c>
      <c r="I7029" s="7" t="str">
        <f>HYPERLINK("http://www.informatics.jax.org/marker/MGI:2447348","MGI:2447348")</f>
        <v>MGI:2447348</v>
      </c>
      <c r="J7029" s="4" t="s">
        <v>12</v>
      </c>
    </row>
    <row r="7030" spans="1:10" x14ac:dyDescent="0.25">
      <c r="A7030" s="2">
        <v>1188.8842202712899</v>
      </c>
      <c r="B7030" s="3">
        <v>-0.818590963018058</v>
      </c>
      <c r="C7030" s="5">
        <v>5.3464900657508705E-29</v>
      </c>
      <c r="D7030" s="6">
        <v>7.6124753860366198E-28</v>
      </c>
      <c r="E7030" s="3" t="s">
        <v>2788</v>
      </c>
      <c r="F7030" s="3" t="s">
        <v>2789</v>
      </c>
      <c r="G7030" s="3">
        <v>20481</v>
      </c>
      <c r="H7030" s="7" t="str">
        <f>HYPERLINK("http://www.ensembl.org/Mus_musculus/Gene/Summary?db=core;g=ENSMUSG00000029050","ENSMUSG00000029050")</f>
        <v>ENSMUSG00000029050</v>
      </c>
      <c r="I7030" s="7" t="str">
        <f>HYPERLINK("http://www.informatics.jax.org/marker/MGI:98310","MGI:98310")</f>
        <v>MGI:98310</v>
      </c>
      <c r="J7030" s="4" t="s">
        <v>12</v>
      </c>
    </row>
    <row r="7031" spans="1:10" x14ac:dyDescent="0.25">
      <c r="A7031" s="2">
        <v>467.80786052695697</v>
      </c>
      <c r="B7031" s="3">
        <v>-0.81919732655386601</v>
      </c>
      <c r="C7031" s="5">
        <v>6.5427107708499101E-20</v>
      </c>
      <c r="D7031" s="6">
        <v>6.4511128200580104E-19</v>
      </c>
      <c r="E7031" s="3" t="s">
        <v>4018</v>
      </c>
      <c r="F7031" s="3" t="s">
        <v>4019</v>
      </c>
      <c r="G7031" s="3">
        <v>67486</v>
      </c>
      <c r="H7031" s="7" t="str">
        <f>HYPERLINK("http://www.ensembl.org/Mus_musculus/Gene/Summary?db=core;g=ENSMUSG00000035834","ENSMUSG00000035834")</f>
        <v>ENSMUSG00000035834</v>
      </c>
      <c r="I7031" s="7" t="str">
        <f>HYPERLINK("http://www.informatics.jax.org/marker/MGI:1914736","MGI:1914736")</f>
        <v>MGI:1914736</v>
      </c>
      <c r="J7031" s="4" t="s">
        <v>12</v>
      </c>
    </row>
    <row r="7032" spans="1:10" x14ac:dyDescent="0.25">
      <c r="A7032" s="2">
        <v>16.584959730973999</v>
      </c>
      <c r="B7032" s="3">
        <v>-0.81956935577446099</v>
      </c>
      <c r="C7032" s="3">
        <v>2.6200023546328098E-3</v>
      </c>
      <c r="D7032" s="4">
        <v>7.2586002535060899E-3</v>
      </c>
      <c r="E7032" s="3" t="s">
        <v>14243</v>
      </c>
      <c r="F7032" s="3" t="s">
        <v>14244</v>
      </c>
      <c r="G7032" s="3">
        <v>66273</v>
      </c>
      <c r="H7032" s="7" t="str">
        <f>HYPERLINK("http://www.ensembl.org/Mus_musculus/Gene/Summary?db=core;g=ENSMUSG00000035642","ENSMUSG00000035642")</f>
        <v>ENSMUSG00000035642</v>
      </c>
      <c r="I7032" s="7" t="str">
        <f>HYPERLINK("http://www.informatics.jax.org/marker/MGI:1913523","MGI:1913523")</f>
        <v>MGI:1913523</v>
      </c>
      <c r="J7032" s="4" t="s">
        <v>12</v>
      </c>
    </row>
    <row r="7033" spans="1:10" x14ac:dyDescent="0.25">
      <c r="A7033" s="2">
        <v>114.45497186734499</v>
      </c>
      <c r="B7033" s="3">
        <v>-0.81970386383945903</v>
      </c>
      <c r="C7033" s="5">
        <v>1.2219836361937E-11</v>
      </c>
      <c r="D7033" s="6">
        <v>7.5849912828894301E-11</v>
      </c>
      <c r="E7033" s="3" t="s">
        <v>6371</v>
      </c>
      <c r="F7033" s="3" t="s">
        <v>6372</v>
      </c>
      <c r="G7033" s="3">
        <v>75764</v>
      </c>
      <c r="H7033" s="7" t="str">
        <f>HYPERLINK("http://www.ensembl.org/Mus_musculus/Gene/Summary?db=core;g=ENSMUSG00000059772","ENSMUSG00000059772")</f>
        <v>ENSMUSG00000059772</v>
      </c>
      <c r="I7033" s="7" t="str">
        <f>HYPERLINK("http://www.informatics.jax.org/marker/MGI:1915220","MGI:1915220")</f>
        <v>MGI:1915220</v>
      </c>
      <c r="J7033" s="4" t="s">
        <v>12</v>
      </c>
    </row>
    <row r="7034" spans="1:10" x14ac:dyDescent="0.25">
      <c r="A7034" s="2">
        <v>524.00343106837795</v>
      </c>
      <c r="B7034" s="3">
        <v>-0.82012096122339795</v>
      </c>
      <c r="C7034" s="5">
        <v>6.2367142410148202E-15</v>
      </c>
      <c r="D7034" s="6">
        <v>4.7818042314468202E-14</v>
      </c>
      <c r="E7034" s="3" t="s">
        <v>5161</v>
      </c>
      <c r="F7034" s="3" t="s">
        <v>5162</v>
      </c>
      <c r="G7034" s="3">
        <v>213211</v>
      </c>
      <c r="H7034" s="7" t="str">
        <f>HYPERLINK("http://www.ensembl.org/Mus_musculus/Gene/Summary?db=core;g=ENSMUSG00000053128","ENSMUSG00000053128")</f>
        <v>ENSMUSG00000053128</v>
      </c>
      <c r="I7034" s="7" t="str">
        <f>HYPERLINK("http://www.informatics.jax.org/marker/MGI:2388131","MGI:2388131")</f>
        <v>MGI:2388131</v>
      </c>
      <c r="J7034" s="4" t="s">
        <v>12</v>
      </c>
    </row>
    <row r="7035" spans="1:10" x14ac:dyDescent="0.25">
      <c r="A7035" s="2">
        <v>1345.2965183408201</v>
      </c>
      <c r="B7035" s="3">
        <v>-0.82015697524133102</v>
      </c>
      <c r="C7035" s="5">
        <v>1.8139933034599199E-29</v>
      </c>
      <c r="D7035" s="6">
        <v>2.6267244885276698E-28</v>
      </c>
      <c r="E7035" s="3" t="s">
        <v>2742</v>
      </c>
      <c r="F7035" s="3" t="s">
        <v>2743</v>
      </c>
      <c r="G7035" s="3">
        <v>102442</v>
      </c>
      <c r="H7035" s="7" t="str">
        <f>HYPERLINK("http://www.ensembl.org/Mus_musculus/Gene/Summary?db=core;g=ENSMUSG00000053641","ENSMUSG00000053641")</f>
        <v>ENSMUSG00000053641</v>
      </c>
      <c r="I7035" s="7" t="str">
        <f>HYPERLINK("http://www.informatics.jax.org/marker/MGI:2142979","MGI:2142979")</f>
        <v>MGI:2142979</v>
      </c>
      <c r="J7035" s="4" t="s">
        <v>12</v>
      </c>
    </row>
    <row r="7036" spans="1:10" x14ac:dyDescent="0.25">
      <c r="A7036" s="2">
        <v>21.806115923426699</v>
      </c>
      <c r="B7036" s="3">
        <v>-0.82044805355602102</v>
      </c>
      <c r="C7036" s="3">
        <v>5.4820942518980299E-4</v>
      </c>
      <c r="D7036" s="4">
        <v>1.6792000411219199E-3</v>
      </c>
      <c r="E7036" s="3" t="s">
        <v>12885</v>
      </c>
      <c r="F7036" s="3" t="s">
        <v>12886</v>
      </c>
      <c r="G7036" s="3" t="s">
        <v>83</v>
      </c>
      <c r="H7036" s="7" t="str">
        <f>HYPERLINK("http://www.ensembl.org/Mus_musculus/Gene/Summary?db=core;g=ENSMUSG00000110730","ENSMUSG00000110730")</f>
        <v>ENSMUSG00000110730</v>
      </c>
      <c r="I7036" s="7" t="str">
        <f>HYPERLINK("http://www.informatics.jax.org/marker/MGI:5011570","MGI:5011570")</f>
        <v>MGI:5011570</v>
      </c>
      <c r="J7036" s="4" t="s">
        <v>939</v>
      </c>
    </row>
    <row r="7037" spans="1:10" x14ac:dyDescent="0.25">
      <c r="A7037" s="2">
        <v>661.412071564244</v>
      </c>
      <c r="B7037" s="3">
        <v>-0.82045180548597796</v>
      </c>
      <c r="C7037" s="5">
        <v>3.5374081739848101E-35</v>
      </c>
      <c r="D7037" s="6">
        <v>6.1623400345389101E-34</v>
      </c>
      <c r="E7037" s="3" t="s">
        <v>2281</v>
      </c>
      <c r="F7037" s="3" t="s">
        <v>2282</v>
      </c>
      <c r="G7037" s="3">
        <v>26411</v>
      </c>
      <c r="H7037" s="7" t="str">
        <f>HYPERLINK("http://www.ensembl.org/Mus_musculus/Gene/Summary?db=core;g=ENSMUSG00000037337","ENSMUSG00000037337")</f>
        <v>ENSMUSG00000037337</v>
      </c>
      <c r="I7037" s="7" t="str">
        <f>HYPERLINK("http://www.informatics.jax.org/marker/MGI:1346882","MGI:1346882")</f>
        <v>MGI:1346882</v>
      </c>
      <c r="J7037" s="4" t="s">
        <v>12</v>
      </c>
    </row>
    <row r="7038" spans="1:10" x14ac:dyDescent="0.25">
      <c r="A7038" s="2">
        <v>19.950782714769499</v>
      </c>
      <c r="B7038" s="3">
        <v>-0.82209987348492097</v>
      </c>
      <c r="C7038" s="3">
        <v>4.66161608626596E-3</v>
      </c>
      <c r="D7038" s="4">
        <v>1.2384085844155301E-2</v>
      </c>
      <c r="E7038" s="3" t="s">
        <v>14850</v>
      </c>
      <c r="F7038" s="3" t="s">
        <v>14851</v>
      </c>
      <c r="G7038" s="3">
        <v>216864</v>
      </c>
      <c r="H7038" s="7" t="str">
        <f>HYPERLINK("http://www.ensembl.org/Mus_musculus/Gene/Summary?db=core;g=ENSMUSG00000040950","ENSMUSG00000040950")</f>
        <v>ENSMUSG00000040950</v>
      </c>
      <c r="I7038" s="7" t="str">
        <f>HYPERLINK("http://www.informatics.jax.org/marker/MGI:2385729","MGI:2385729")</f>
        <v>MGI:2385729</v>
      </c>
      <c r="J7038" s="4" t="s">
        <v>12</v>
      </c>
    </row>
    <row r="7039" spans="1:10" x14ac:dyDescent="0.25">
      <c r="A7039" s="2">
        <v>586.87772490679197</v>
      </c>
      <c r="B7039" s="3">
        <v>-0.82232715152322</v>
      </c>
      <c r="C7039" s="5">
        <v>8.6330531701549802E-30</v>
      </c>
      <c r="D7039" s="6">
        <v>1.26293626495146E-28</v>
      </c>
      <c r="E7039" s="3" t="s">
        <v>2714</v>
      </c>
      <c r="F7039" s="3" t="s">
        <v>2715</v>
      </c>
      <c r="G7039" s="3" t="s">
        <v>83</v>
      </c>
      <c r="H7039" s="7" t="str">
        <f>HYPERLINK("http://www.ensembl.org/Mus_musculus/Gene/Summary?db=core;g=ENSMUSG00000116069","ENSMUSG00000116069")</f>
        <v>ENSMUSG00000116069</v>
      </c>
      <c r="I7039" s="7" t="str">
        <f>HYPERLINK("http://www.informatics.jax.org/marker/MGI:6155200","MGI:6155200")</f>
        <v>MGI:6155200</v>
      </c>
      <c r="J7039" s="4" t="s">
        <v>12</v>
      </c>
    </row>
    <row r="7040" spans="1:10" x14ac:dyDescent="0.25">
      <c r="A7040" s="2">
        <v>91.631700700737198</v>
      </c>
      <c r="B7040" s="3">
        <v>-0.82295182334099903</v>
      </c>
      <c r="C7040" s="5">
        <v>2.8256018989983099E-8</v>
      </c>
      <c r="D7040" s="6">
        <v>1.34623989969188E-7</v>
      </c>
      <c r="E7040" s="3" t="s">
        <v>8295</v>
      </c>
      <c r="F7040" s="3" t="s">
        <v>8296</v>
      </c>
      <c r="G7040" s="3">
        <v>72083</v>
      </c>
      <c r="H7040" s="7" t="str">
        <f>HYPERLINK("http://www.ensembl.org/Mus_musculus/Gene/Summary?db=core;g=ENSMUSG00000022671","ENSMUSG00000022671")</f>
        <v>ENSMUSG00000022671</v>
      </c>
      <c r="I7040" s="7" t="str">
        <f>HYPERLINK("http://www.informatics.jax.org/marker/MGI:1922845","MGI:1922845")</f>
        <v>MGI:1922845</v>
      </c>
      <c r="J7040" s="4" t="s">
        <v>12</v>
      </c>
    </row>
    <row r="7041" spans="1:10" x14ac:dyDescent="0.25">
      <c r="A7041" s="2">
        <v>237.310354994683</v>
      </c>
      <c r="B7041" s="3">
        <v>-0.82297484228973505</v>
      </c>
      <c r="C7041" s="5">
        <v>6.5954232393244505E-14</v>
      </c>
      <c r="D7041" s="6">
        <v>4.7519819612524004E-13</v>
      </c>
      <c r="E7041" s="3" t="s">
        <v>5491</v>
      </c>
      <c r="F7041" s="3" t="s">
        <v>5492</v>
      </c>
      <c r="G7041" s="3">
        <v>66403</v>
      </c>
      <c r="H7041" s="7" t="str">
        <f>HYPERLINK("http://www.ensembl.org/Mus_musculus/Gene/Summary?db=core;g=ENSMUSG00000019857","ENSMUSG00000019857")</f>
        <v>ENSMUSG00000019857</v>
      </c>
      <c r="I7041" s="7" t="str">
        <f>HYPERLINK("http://www.informatics.jax.org/marker/MGI:1913653","MGI:1913653")</f>
        <v>MGI:1913653</v>
      </c>
      <c r="J7041" s="4" t="s">
        <v>12</v>
      </c>
    </row>
    <row r="7042" spans="1:10" x14ac:dyDescent="0.25">
      <c r="A7042" s="2">
        <v>18.788086695855</v>
      </c>
      <c r="B7042" s="3">
        <v>-0.82306634580821703</v>
      </c>
      <c r="C7042" s="3">
        <v>1.5672321581323299E-3</v>
      </c>
      <c r="D7042" s="4">
        <v>4.4947379520607102E-3</v>
      </c>
      <c r="E7042" s="3" t="s">
        <v>13759</v>
      </c>
      <c r="F7042" s="3" t="s">
        <v>13760</v>
      </c>
      <c r="G7042" s="3" t="s">
        <v>83</v>
      </c>
      <c r="H7042" s="7" t="str">
        <f>HYPERLINK("http://www.ensembl.org/Mus_musculus/Gene/Summary?db=core;g=ENSMUSG00000024295","ENSMUSG00000024295")</f>
        <v>ENSMUSG00000024295</v>
      </c>
      <c r="I7042" s="7" t="str">
        <f>HYPERLINK("http://www.informatics.jax.org/marker/MGI:1925125","MGI:1925125")</f>
        <v>MGI:1925125</v>
      </c>
      <c r="J7042" s="4" t="s">
        <v>320</v>
      </c>
    </row>
    <row r="7043" spans="1:10" x14ac:dyDescent="0.25">
      <c r="A7043" s="2">
        <v>84.702157874146394</v>
      </c>
      <c r="B7043" s="3">
        <v>-0.82344581787539095</v>
      </c>
      <c r="C7043" s="5">
        <v>2.2435000492427E-8</v>
      </c>
      <c r="D7043" s="6">
        <v>1.0761874966477899E-7</v>
      </c>
      <c r="E7043" s="3" t="s">
        <v>8239</v>
      </c>
      <c r="F7043" s="3" t="s">
        <v>8240</v>
      </c>
      <c r="G7043" s="3">
        <v>104871</v>
      </c>
      <c r="H7043" s="7" t="str">
        <f>HYPERLINK("http://www.ensembl.org/Mus_musculus/Gene/Summary?db=core;g=ENSMUSG00000021007","ENSMUSG00000021007")</f>
        <v>ENSMUSG00000021007</v>
      </c>
      <c r="I7043" s="7" t="str">
        <f>HYPERLINK("http://www.informatics.jax.org/marker/MGI:2144877","MGI:2144877")</f>
        <v>MGI:2144877</v>
      </c>
      <c r="J7043" s="4" t="s">
        <v>12</v>
      </c>
    </row>
    <row r="7044" spans="1:10" x14ac:dyDescent="0.25">
      <c r="A7044" s="2">
        <v>609.16132692744202</v>
      </c>
      <c r="B7044" s="3">
        <v>-0.823507843935668</v>
      </c>
      <c r="C7044" s="5">
        <v>2.0661518807884E-43</v>
      </c>
      <c r="D7044" s="6">
        <v>4.63532594870845E-42</v>
      </c>
      <c r="E7044" s="3" t="s">
        <v>1774</v>
      </c>
      <c r="F7044" s="3" t="s">
        <v>1775</v>
      </c>
      <c r="G7044" s="3">
        <v>225326</v>
      </c>
      <c r="H7044" s="7" t="str">
        <f>HYPERLINK("http://www.ensembl.org/Mus_musculus/Gene/Summary?db=core;g=ENSMUSG00000033628","ENSMUSG00000033628")</f>
        <v>ENSMUSG00000033628</v>
      </c>
      <c r="I7044" s="7" t="str">
        <f>HYPERLINK("http://www.informatics.jax.org/marker/MGI:2445019","MGI:2445019")</f>
        <v>MGI:2445019</v>
      </c>
      <c r="J7044" s="4" t="s">
        <v>12</v>
      </c>
    </row>
    <row r="7045" spans="1:10" x14ac:dyDescent="0.25">
      <c r="A7045" s="2">
        <v>43.568435430657999</v>
      </c>
      <c r="B7045" s="3">
        <v>-0.823674487629524</v>
      </c>
      <c r="C7045" s="5">
        <v>1.6043621741592799E-5</v>
      </c>
      <c r="D7045" s="6">
        <v>5.8916242224247797E-5</v>
      </c>
      <c r="E7045" s="3" t="s">
        <v>10752</v>
      </c>
      <c r="F7045" s="3" t="s">
        <v>10753</v>
      </c>
      <c r="G7045" s="3" t="s">
        <v>83</v>
      </c>
      <c r="H7045" s="7" t="str">
        <f>HYPERLINK("http://www.ensembl.org/Mus_musculus/Gene/Summary?db=core;g=ENSMUSG00000098318","ENSMUSG00000098318")</f>
        <v>ENSMUSG00000098318</v>
      </c>
      <c r="I7045" s="7" t="str">
        <f>HYPERLINK("http://www.informatics.jax.org/marker/MGI:1915081","MGI:1915081")</f>
        <v>MGI:1915081</v>
      </c>
      <c r="J7045" s="4" t="s">
        <v>939</v>
      </c>
    </row>
    <row r="7046" spans="1:10" x14ac:dyDescent="0.25">
      <c r="A7046" s="2">
        <v>3120.4699770400698</v>
      </c>
      <c r="B7046" s="3">
        <v>-0.82466134315502504</v>
      </c>
      <c r="C7046" s="5">
        <v>2.37542364783234E-46</v>
      </c>
      <c r="D7046" s="6">
        <v>5.8118305626865701E-45</v>
      </c>
      <c r="E7046" s="3" t="s">
        <v>1628</v>
      </c>
      <c r="F7046" s="3" t="s">
        <v>1629</v>
      </c>
      <c r="G7046" s="3">
        <v>14218</v>
      </c>
      <c r="H7046" s="7" t="str">
        <f>HYPERLINK("http://www.ensembl.org/Mus_musculus/Gene/Summary?db=core;g=ENSMUSG00000053617","ENSMUSG00000053617")</f>
        <v>ENSMUSG00000053617</v>
      </c>
      <c r="I7046" s="7" t="str">
        <f>HYPERLINK("http://www.informatics.jax.org/marker/MGI:1298393","MGI:1298393")</f>
        <v>MGI:1298393</v>
      </c>
      <c r="J7046" s="4" t="s">
        <v>12</v>
      </c>
    </row>
    <row r="7047" spans="1:10" x14ac:dyDescent="0.25">
      <c r="A7047" s="2">
        <v>1279.7240827395101</v>
      </c>
      <c r="B7047" s="3">
        <v>-0.82495022598345003</v>
      </c>
      <c r="C7047" s="5">
        <v>2.56394005438259E-26</v>
      </c>
      <c r="D7047" s="6">
        <v>3.3003197044663601E-25</v>
      </c>
      <c r="E7047" s="3" t="s">
        <v>3082</v>
      </c>
      <c r="F7047" s="3" t="s">
        <v>3083</v>
      </c>
      <c r="G7047" s="3">
        <v>20541</v>
      </c>
      <c r="H7047" s="7" t="str">
        <f>HYPERLINK("http://www.ensembl.org/Mus_musculus/Gene/Summary?db=core;g=ENSMUSG00000054640","ENSMUSG00000054640")</f>
        <v>ENSMUSG00000054640</v>
      </c>
      <c r="I7047" s="7" t="str">
        <f>HYPERLINK("http://www.informatics.jax.org/marker/MGI:107956","MGI:107956")</f>
        <v>MGI:107956</v>
      </c>
      <c r="J7047" s="4" t="s">
        <v>12</v>
      </c>
    </row>
    <row r="7048" spans="1:10" x14ac:dyDescent="0.25">
      <c r="A7048" s="2">
        <v>317.26776132928597</v>
      </c>
      <c r="B7048" s="3">
        <v>-0.82519529163889105</v>
      </c>
      <c r="C7048" s="5">
        <v>8.7809603334502802E-22</v>
      </c>
      <c r="D7048" s="6">
        <v>9.4057869514198507E-21</v>
      </c>
      <c r="E7048" s="3" t="s">
        <v>3700</v>
      </c>
      <c r="F7048" s="3" t="s">
        <v>3701</v>
      </c>
      <c r="G7048" s="3">
        <v>338364</v>
      </c>
      <c r="H7048" s="7" t="str">
        <f>HYPERLINK("http://www.ensembl.org/Mus_musculus/Gene/Summary?db=core;g=ENSMUSG00000054517","ENSMUSG00000054517")</f>
        <v>ENSMUSG00000054517</v>
      </c>
      <c r="I7048" s="7" t="str">
        <f>HYPERLINK("http://www.informatics.jax.org/marker/MGI:2442815","MGI:2442815")</f>
        <v>MGI:2442815</v>
      </c>
      <c r="J7048" s="4" t="s">
        <v>12</v>
      </c>
    </row>
    <row r="7049" spans="1:10" x14ac:dyDescent="0.25">
      <c r="A7049" s="2">
        <v>523.25865238045697</v>
      </c>
      <c r="B7049" s="3">
        <v>-0.82557875817271997</v>
      </c>
      <c r="C7049" s="5">
        <v>9.3356862164965304E-27</v>
      </c>
      <c r="D7049" s="6">
        <v>1.22163060510492E-25</v>
      </c>
      <c r="E7049" s="3" t="s">
        <v>3032</v>
      </c>
      <c r="F7049" s="3" t="s">
        <v>3033</v>
      </c>
      <c r="G7049" s="3">
        <v>21807</v>
      </c>
      <c r="H7049" s="7" t="str">
        <f>HYPERLINK("http://www.ensembl.org/Mus_musculus/Gene/Summary?db=core;g=ENSMUSG00000022010","ENSMUSG00000022010")</f>
        <v>ENSMUSG00000022010</v>
      </c>
      <c r="I7049" s="7" t="str">
        <f>HYPERLINK("http://www.informatics.jax.org/marker/MGI:109127","MGI:109127")</f>
        <v>MGI:109127</v>
      </c>
      <c r="J7049" s="4" t="s">
        <v>12</v>
      </c>
    </row>
    <row r="7050" spans="1:10" x14ac:dyDescent="0.25">
      <c r="A7050" s="2">
        <v>151.03768603726101</v>
      </c>
      <c r="B7050" s="3">
        <v>-0.82637752649791296</v>
      </c>
      <c r="C7050" s="5">
        <v>2.79563920132469E-10</v>
      </c>
      <c r="D7050" s="6">
        <v>1.5684211963050599E-9</v>
      </c>
      <c r="E7050" s="3" t="s">
        <v>7048</v>
      </c>
      <c r="F7050" s="3" t="s">
        <v>7049</v>
      </c>
      <c r="G7050" s="3">
        <v>99543</v>
      </c>
      <c r="H7050" s="7" t="str">
        <f>HYPERLINK("http://www.ensembl.org/Mus_musculus/Gene/Summary?db=core;g=ENSMUSG00000027848","ENSMUSG00000027848")</f>
        <v>ENSMUSG00000027848</v>
      </c>
      <c r="I7050" s="7" t="str">
        <f>HYPERLINK("http://www.informatics.jax.org/marker/MGI:1914877","MGI:1914877")</f>
        <v>MGI:1914877</v>
      </c>
      <c r="J7050" s="4" t="s">
        <v>12</v>
      </c>
    </row>
    <row r="7051" spans="1:10" x14ac:dyDescent="0.25">
      <c r="A7051" s="2">
        <v>311.65782897459098</v>
      </c>
      <c r="B7051" s="3">
        <v>-0.82638955419134197</v>
      </c>
      <c r="C7051" s="5">
        <v>5.2272474952307E-22</v>
      </c>
      <c r="D7051" s="6">
        <v>5.6731601874490497E-21</v>
      </c>
      <c r="E7051" s="3" t="s">
        <v>3652</v>
      </c>
      <c r="F7051" s="3" t="s">
        <v>3653</v>
      </c>
      <c r="G7051" s="3">
        <v>16337</v>
      </c>
      <c r="H7051" s="7" t="str">
        <f>HYPERLINK("http://www.ensembl.org/Mus_musculus/Gene/Summary?db=core;g=ENSMUSG00000005534","ENSMUSG00000005534")</f>
        <v>ENSMUSG00000005534</v>
      </c>
      <c r="I7051" s="7" t="str">
        <f>HYPERLINK("http://www.informatics.jax.org/marker/MGI:96575","MGI:96575")</f>
        <v>MGI:96575</v>
      </c>
      <c r="J7051" s="4" t="s">
        <v>12</v>
      </c>
    </row>
    <row r="7052" spans="1:10" x14ac:dyDescent="0.25">
      <c r="A7052" s="2">
        <v>646.178146601511</v>
      </c>
      <c r="B7052" s="3">
        <v>-0.82662557043832197</v>
      </c>
      <c r="C7052" s="5">
        <v>5.7426074054939498E-29</v>
      </c>
      <c r="D7052" s="6">
        <v>8.1588053340302996E-28</v>
      </c>
      <c r="E7052" s="3" t="s">
        <v>2794</v>
      </c>
      <c r="F7052" s="3" t="s">
        <v>2795</v>
      </c>
      <c r="G7052" s="3">
        <v>94280</v>
      </c>
      <c r="H7052" s="7" t="str">
        <f>HYPERLINK("http://www.ensembl.org/Mus_musculus/Gene/Summary?db=core;g=ENSMUSG00000025212","ENSMUSG00000025212")</f>
        <v>ENSMUSG00000025212</v>
      </c>
      <c r="I7052" s="7" t="str">
        <f>HYPERLINK("http://www.informatics.jax.org/marker/MGI:2137679","MGI:2137679")</f>
        <v>MGI:2137679</v>
      </c>
      <c r="J7052" s="4" t="s">
        <v>12</v>
      </c>
    </row>
    <row r="7053" spans="1:10" x14ac:dyDescent="0.25">
      <c r="A7053" s="2">
        <v>73.012665921849305</v>
      </c>
      <c r="B7053" s="3">
        <v>-0.82680927426159301</v>
      </c>
      <c r="C7053" s="5">
        <v>7.5152541523771803E-9</v>
      </c>
      <c r="D7053" s="6">
        <v>3.7643081504922002E-8</v>
      </c>
      <c r="E7053" s="3" t="s">
        <v>7890</v>
      </c>
      <c r="F7053" s="3" t="s">
        <v>7891</v>
      </c>
      <c r="G7053" s="3">
        <v>230101</v>
      </c>
      <c r="H7053" s="7" t="str">
        <f>HYPERLINK("http://www.ensembl.org/Mus_musculus/Gene/Summary?db=core;g=ENSMUSG00000028467","ENSMUSG00000028467")</f>
        <v>ENSMUSG00000028467</v>
      </c>
      <c r="I7053" s="7" t="str">
        <f>HYPERLINK("http://www.informatics.jax.org/marker/MGI:2654325","MGI:2654325")</f>
        <v>MGI:2654325</v>
      </c>
      <c r="J7053" s="4" t="s">
        <v>12</v>
      </c>
    </row>
    <row r="7054" spans="1:10" x14ac:dyDescent="0.25">
      <c r="A7054" s="2">
        <v>75.196242437956698</v>
      </c>
      <c r="B7054" s="3">
        <v>-0.82843894914607896</v>
      </c>
      <c r="C7054" s="5">
        <v>1.45156379002211E-6</v>
      </c>
      <c r="D7054" s="6">
        <v>5.9008117788571597E-6</v>
      </c>
      <c r="E7054" s="3" t="s">
        <v>9717</v>
      </c>
      <c r="F7054" s="3" t="s">
        <v>9718</v>
      </c>
      <c r="G7054" s="3">
        <v>238328</v>
      </c>
      <c r="H7054" s="7" t="str">
        <f>HYPERLINK("http://www.ensembl.org/Mus_musculus/Gene/Summary?db=core;g=ENSMUSG00000021256","ENSMUSG00000021256")</f>
        <v>ENSMUSG00000021256</v>
      </c>
      <c r="I7054" s="7" t="str">
        <f>HYPERLINK("http://www.informatics.jax.org/marker/MGI:2442543","MGI:2442543")</f>
        <v>MGI:2442543</v>
      </c>
      <c r="J7054" s="4" t="s">
        <v>12</v>
      </c>
    </row>
    <row r="7055" spans="1:10" x14ac:dyDescent="0.25">
      <c r="A7055" s="2">
        <v>307.92088983398099</v>
      </c>
      <c r="B7055" s="3">
        <v>-0.82882457927786202</v>
      </c>
      <c r="C7055" s="5">
        <v>1.9938554620658701E-8</v>
      </c>
      <c r="D7055" s="6">
        <v>9.6181090293392706E-8</v>
      </c>
      <c r="E7055" s="3" t="s">
        <v>8193</v>
      </c>
      <c r="F7055" s="3" t="s">
        <v>8194</v>
      </c>
      <c r="G7055" s="3">
        <v>74480</v>
      </c>
      <c r="H7055" s="7" t="str">
        <f>HYPERLINK("http://www.ensembl.org/Mus_musculus/Gene/Summary?db=core;g=ENSMUSG00000021838","ENSMUSG00000021838")</f>
        <v>ENSMUSG00000021838</v>
      </c>
      <c r="I7055" s="7" t="str">
        <f>HYPERLINK("http://www.informatics.jax.org/marker/MGI:1921730","MGI:1921730")</f>
        <v>MGI:1921730</v>
      </c>
      <c r="J7055" s="4" t="s">
        <v>12</v>
      </c>
    </row>
    <row r="7056" spans="1:10" x14ac:dyDescent="0.25">
      <c r="A7056" s="2">
        <v>89.168841494272797</v>
      </c>
      <c r="B7056" s="3">
        <v>-0.82949968766802695</v>
      </c>
      <c r="C7056" s="5">
        <v>3.3753237767264098E-10</v>
      </c>
      <c r="D7056" s="6">
        <v>1.8802651095210402E-9</v>
      </c>
      <c r="E7056" s="3" t="s">
        <v>7098</v>
      </c>
      <c r="F7056" s="3" t="s">
        <v>7099</v>
      </c>
      <c r="G7056" s="3">
        <v>74149</v>
      </c>
      <c r="H7056" s="7" t="str">
        <f>HYPERLINK("http://www.ensembl.org/Mus_musculus/Gene/Summary?db=core;g=ENSMUSG00000071266","ENSMUSG00000071266")</f>
        <v>ENSMUSG00000071266</v>
      </c>
      <c r="I7056" s="7" t="str">
        <f>HYPERLINK("http://www.informatics.jax.org/marker/MGI:1921399","MGI:1921399")</f>
        <v>MGI:1921399</v>
      </c>
      <c r="J7056" s="4" t="s">
        <v>12</v>
      </c>
    </row>
    <row r="7057" spans="1:10" x14ac:dyDescent="0.25">
      <c r="A7057" s="2">
        <v>334.35347700015399</v>
      </c>
      <c r="B7057" s="3">
        <v>-0.82987978465508005</v>
      </c>
      <c r="C7057" s="5">
        <v>4.4135319700050599E-15</v>
      </c>
      <c r="D7057" s="6">
        <v>3.4104565222766298E-14</v>
      </c>
      <c r="E7057" s="3" t="s">
        <v>5121</v>
      </c>
      <c r="F7057" s="3" t="s">
        <v>5122</v>
      </c>
      <c r="G7057" s="3">
        <v>13804</v>
      </c>
      <c r="H7057" s="7" t="str">
        <f>HYPERLINK("http://www.ensembl.org/Mus_musculus/Gene/Summary?db=core;g=ENSMUSG00000015337","ENSMUSG00000015337")</f>
        <v>ENSMUSG00000015337</v>
      </c>
      <c r="I7057" s="7" t="str">
        <f>HYPERLINK("http://www.informatics.jax.org/marker/MGI:1261433","MGI:1261433")</f>
        <v>MGI:1261433</v>
      </c>
      <c r="J7057" s="4" t="s">
        <v>12</v>
      </c>
    </row>
    <row r="7058" spans="1:10" x14ac:dyDescent="0.25">
      <c r="A7058" s="2">
        <v>31.274347834363901</v>
      </c>
      <c r="B7058" s="3">
        <v>-0.83011543995286297</v>
      </c>
      <c r="C7058" s="5">
        <v>1.9111761522832298E-5</v>
      </c>
      <c r="D7058" s="6">
        <v>6.9574291532260106E-5</v>
      </c>
      <c r="E7058" s="3" t="s">
        <v>10846</v>
      </c>
      <c r="F7058" s="3" t="s">
        <v>10847</v>
      </c>
      <c r="G7058" s="3">
        <v>76223</v>
      </c>
      <c r="H7058" s="7" t="str">
        <f>HYPERLINK("http://www.ensembl.org/Mus_musculus/Gene/Summary?db=core;g=ENSMUSG00000038836","ENSMUSG00000038836")</f>
        <v>ENSMUSG00000038836</v>
      </c>
      <c r="I7058" s="7" t="str">
        <f>HYPERLINK("http://www.informatics.jax.org/marker/MGI:1923473","MGI:1923473")</f>
        <v>MGI:1923473</v>
      </c>
      <c r="J7058" s="4" t="s">
        <v>12</v>
      </c>
    </row>
    <row r="7059" spans="1:10" x14ac:dyDescent="0.25">
      <c r="A7059" s="2">
        <v>21.8801178434842</v>
      </c>
      <c r="B7059" s="3">
        <v>-0.83064875059828502</v>
      </c>
      <c r="C7059" s="3">
        <v>3.53949032387462E-3</v>
      </c>
      <c r="D7059" s="4">
        <v>9.5982878419702197E-3</v>
      </c>
      <c r="E7059" s="3" t="s">
        <v>14547</v>
      </c>
      <c r="F7059" s="3" t="s">
        <v>14548</v>
      </c>
      <c r="G7059" s="3">
        <v>66082</v>
      </c>
      <c r="H7059" s="7" t="str">
        <f>HYPERLINK("http://www.ensembl.org/Mus_musculus/Gene/Summary?db=core;g=ENSMUSG00000025277","ENSMUSG00000025277")</f>
        <v>ENSMUSG00000025277</v>
      </c>
      <c r="I7059" s="7" t="str">
        <f>HYPERLINK("http://www.informatics.jax.org/marker/MGI:1913332","MGI:1913332")</f>
        <v>MGI:1913332</v>
      </c>
      <c r="J7059" s="4" t="s">
        <v>12</v>
      </c>
    </row>
    <row r="7060" spans="1:10" x14ac:dyDescent="0.25">
      <c r="A7060" s="2">
        <v>245.59309085770599</v>
      </c>
      <c r="B7060" s="3">
        <v>-0.83212818312126002</v>
      </c>
      <c r="C7060" s="5">
        <v>8.4769342649316395E-13</v>
      </c>
      <c r="D7060" s="6">
        <v>5.7130944533305498E-12</v>
      </c>
      <c r="E7060" s="3" t="s">
        <v>5869</v>
      </c>
      <c r="F7060" s="3" t="s">
        <v>5870</v>
      </c>
      <c r="G7060" s="3">
        <v>24050</v>
      </c>
      <c r="H7060" s="7" t="str">
        <f>HYPERLINK("http://www.ensembl.org/Mus_musculus/Gene/Summary?db=core;g=ENSMUSG00000022456","ENSMUSG00000022456")</f>
        <v>ENSMUSG00000022456</v>
      </c>
      <c r="I7060" s="7" t="str">
        <f>HYPERLINK("http://www.informatics.jax.org/marker/MGI:1345148","MGI:1345148")</f>
        <v>MGI:1345148</v>
      </c>
      <c r="J7060" s="4" t="s">
        <v>12</v>
      </c>
    </row>
    <row r="7061" spans="1:10" x14ac:dyDescent="0.25">
      <c r="A7061" s="2">
        <v>571.53477482180494</v>
      </c>
      <c r="B7061" s="3">
        <v>-0.83258786832945397</v>
      </c>
      <c r="C7061" s="5">
        <v>1.2610410468440699E-38</v>
      </c>
      <c r="D7061" s="6">
        <v>2.4452044684134699E-37</v>
      </c>
      <c r="E7061" s="3" t="s">
        <v>2051</v>
      </c>
      <c r="F7061" s="3" t="s">
        <v>2052</v>
      </c>
      <c r="G7061" s="3">
        <v>17977</v>
      </c>
      <c r="H7061" s="7" t="str">
        <f>HYPERLINK("http://www.ensembl.org/Mus_musculus/Gene/Summary?db=core;g=ENSMUSG00000020647","ENSMUSG00000020647")</f>
        <v>ENSMUSG00000020647</v>
      </c>
      <c r="I7061" s="7" t="str">
        <f>HYPERLINK("http://www.informatics.jax.org/marker/MGI:1276523","MGI:1276523")</f>
        <v>MGI:1276523</v>
      </c>
      <c r="J7061" s="4" t="s">
        <v>12</v>
      </c>
    </row>
    <row r="7062" spans="1:10" x14ac:dyDescent="0.25">
      <c r="A7062" s="2">
        <v>63.803578160227502</v>
      </c>
      <c r="B7062" s="3">
        <v>-0.83336782589648895</v>
      </c>
      <c r="C7062" s="5">
        <v>3.0246249612400799E-8</v>
      </c>
      <c r="D7062" s="6">
        <v>1.4351685331004399E-7</v>
      </c>
      <c r="E7062" s="3" t="s">
        <v>8329</v>
      </c>
      <c r="F7062" s="3" t="s">
        <v>8330</v>
      </c>
      <c r="G7062" s="3">
        <v>237221</v>
      </c>
      <c r="H7062" s="7" t="str">
        <f>HYPERLINK("http://www.ensembl.org/Mus_musculus/Gene/Summary?db=core;g=ENSMUSG00000040621","ENSMUSG00000040621")</f>
        <v>ENSMUSG00000040621</v>
      </c>
      <c r="I7062" s="7" t="str">
        <f>HYPERLINK("http://www.informatics.jax.org/marker/MGI:2384300","MGI:2384300")</f>
        <v>MGI:2384300</v>
      </c>
      <c r="J7062" s="4" t="s">
        <v>12</v>
      </c>
    </row>
    <row r="7063" spans="1:10" x14ac:dyDescent="0.25">
      <c r="A7063" s="2">
        <v>100.484937528618</v>
      </c>
      <c r="B7063" s="3">
        <v>-0.83383010294581505</v>
      </c>
      <c r="C7063" s="5">
        <v>6.5982638740878098E-7</v>
      </c>
      <c r="D7063" s="6">
        <v>2.7839311521985399E-6</v>
      </c>
      <c r="E7063" s="3" t="s">
        <v>9363</v>
      </c>
      <c r="F7063" s="3" t="s">
        <v>9364</v>
      </c>
      <c r="G7063" s="3">
        <v>71836</v>
      </c>
      <c r="H7063" s="7" t="str">
        <f>HYPERLINK("http://www.ensembl.org/Mus_musculus/Gene/Summary?db=core;g=ENSMUSG00000042708","ENSMUSG00000042708")</f>
        <v>ENSMUSG00000042708</v>
      </c>
      <c r="I7063" s="7" t="str">
        <f>HYPERLINK("http://www.informatics.jax.org/marker/MGI:1919086","MGI:1919086")</f>
        <v>MGI:1919086</v>
      </c>
      <c r="J7063" s="4" t="s">
        <v>12</v>
      </c>
    </row>
    <row r="7064" spans="1:10" x14ac:dyDescent="0.25">
      <c r="A7064" s="2">
        <v>298.151796697186</v>
      </c>
      <c r="B7064" s="3">
        <v>-0.83384884484435096</v>
      </c>
      <c r="C7064" s="5">
        <v>8.5010742092114795E-11</v>
      </c>
      <c r="D7064" s="6">
        <v>4.9554000415504105E-10</v>
      </c>
      <c r="E7064" s="3" t="s">
        <v>6784</v>
      </c>
      <c r="F7064" s="3" t="s">
        <v>6785</v>
      </c>
      <c r="G7064" s="3">
        <v>19415</v>
      </c>
      <c r="H7064" s="7" t="str">
        <f>HYPERLINK("http://www.ensembl.org/Mus_musculus/Gene/Summary?db=core;g=ENSMUSG00000029602","ENSMUSG00000029602")</f>
        <v>ENSMUSG00000029602</v>
      </c>
      <c r="I7064" s="7" t="str">
        <f>HYPERLINK("http://www.informatics.jax.org/marker/MGI:1330842","MGI:1330842")</f>
        <v>MGI:1330842</v>
      </c>
      <c r="J7064" s="4" t="s">
        <v>12</v>
      </c>
    </row>
    <row r="7065" spans="1:10" x14ac:dyDescent="0.25">
      <c r="A7065" s="2">
        <v>1990.7831716907799</v>
      </c>
      <c r="B7065" s="3">
        <v>-0.83396819535531497</v>
      </c>
      <c r="C7065" s="5">
        <v>6.25328351882412E-22</v>
      </c>
      <c r="D7065" s="6">
        <v>6.7348307477450401E-21</v>
      </c>
      <c r="E7065" s="3" t="s">
        <v>3680</v>
      </c>
      <c r="F7065" s="3" t="s">
        <v>3681</v>
      </c>
      <c r="G7065" s="3">
        <v>20602</v>
      </c>
      <c r="H7065" s="7" t="str">
        <f>HYPERLINK("http://www.ensembl.org/Mus_musculus/Gene/Summary?db=core;g=ENSMUSG00000029478","ENSMUSG00000029478")</f>
        <v>ENSMUSG00000029478</v>
      </c>
      <c r="I7065" s="7" t="str">
        <f>HYPERLINK("http://www.informatics.jax.org/marker/MGI:1337080","MGI:1337080")</f>
        <v>MGI:1337080</v>
      </c>
      <c r="J7065" s="4" t="s">
        <v>12</v>
      </c>
    </row>
    <row r="7066" spans="1:10" x14ac:dyDescent="0.25">
      <c r="A7066" s="2">
        <v>139.14186578555501</v>
      </c>
      <c r="B7066" s="3">
        <v>-0.83408828477356101</v>
      </c>
      <c r="C7066" s="5">
        <v>1.26171422105808E-9</v>
      </c>
      <c r="D7066" s="6">
        <v>6.7173338118966997E-9</v>
      </c>
      <c r="E7066" s="3" t="s">
        <v>7426</v>
      </c>
      <c r="F7066" s="3" t="s">
        <v>7427</v>
      </c>
      <c r="G7066" s="3">
        <v>230757</v>
      </c>
      <c r="H7066" s="7" t="str">
        <f>HYPERLINK("http://www.ensembl.org/Mus_musculus/Gene/Summary?db=core;g=ENSMUSG00000073755","ENSMUSG00000073755")</f>
        <v>ENSMUSG00000073755</v>
      </c>
      <c r="I7066" s="7" t="str">
        <f>HYPERLINK("http://www.informatics.jax.org/marker/MGI:3609248","MGI:3609248")</f>
        <v>MGI:3609248</v>
      </c>
      <c r="J7066" s="4" t="s">
        <v>12</v>
      </c>
    </row>
    <row r="7067" spans="1:10" x14ac:dyDescent="0.25">
      <c r="A7067" s="2">
        <v>125.817115416364</v>
      </c>
      <c r="B7067" s="3">
        <v>-0.83413367293243001</v>
      </c>
      <c r="C7067" s="5">
        <v>1.0824790863392599E-9</v>
      </c>
      <c r="D7067" s="6">
        <v>5.7943777368648898E-9</v>
      </c>
      <c r="E7067" s="3" t="s">
        <v>7386</v>
      </c>
      <c r="F7067" s="3" t="s">
        <v>7387</v>
      </c>
      <c r="G7067" s="3">
        <v>68053</v>
      </c>
      <c r="H7067" s="7" t="str">
        <f>HYPERLINK("http://www.ensembl.org/Mus_musculus/Gene/Summary?db=core;g=ENSMUSG00000028243","ENSMUSG00000028243")</f>
        <v>ENSMUSG00000028243</v>
      </c>
      <c r="I7067" s="7" t="str">
        <f>HYPERLINK("http://www.informatics.jax.org/marker/MGI:1915303","MGI:1915303")</f>
        <v>MGI:1915303</v>
      </c>
      <c r="J7067" s="4" t="s">
        <v>12</v>
      </c>
    </row>
    <row r="7068" spans="1:10" x14ac:dyDescent="0.25">
      <c r="A7068" s="2">
        <v>479.542862261415</v>
      </c>
      <c r="B7068" s="3">
        <v>-0.83419995634817101</v>
      </c>
      <c r="C7068" s="5">
        <v>1.6812802800854101E-23</v>
      </c>
      <c r="D7068" s="6">
        <v>1.9377467634882701E-22</v>
      </c>
      <c r="E7068" s="3" t="s">
        <v>3440</v>
      </c>
      <c r="F7068" s="3" t="s">
        <v>3441</v>
      </c>
      <c r="G7068" s="3">
        <v>21763</v>
      </c>
      <c r="H7068" s="7" t="str">
        <f>HYPERLINK("http://www.ensembl.org/Mus_musculus/Gene/Summary?db=core;g=ENSMUSG00000040548","ENSMUSG00000040548")</f>
        <v>ENSMUSG00000040548</v>
      </c>
      <c r="I7068" s="7" t="str">
        <f>HYPERLINK("http://www.informatics.jax.org/marker/MGI:102465","MGI:102465")</f>
        <v>MGI:102465</v>
      </c>
      <c r="J7068" s="4" t="s">
        <v>12</v>
      </c>
    </row>
    <row r="7069" spans="1:10" x14ac:dyDescent="0.25">
      <c r="A7069" s="2">
        <v>865.53976316395995</v>
      </c>
      <c r="B7069" s="3">
        <v>-0.834476656821171</v>
      </c>
      <c r="C7069" s="5">
        <v>1.7000811504652501E-39</v>
      </c>
      <c r="D7069" s="6">
        <v>3.4036142423527598E-38</v>
      </c>
      <c r="E7069" s="3" t="s">
        <v>1987</v>
      </c>
      <c r="F7069" s="3" t="s">
        <v>1988</v>
      </c>
      <c r="G7069" s="3">
        <v>12497</v>
      </c>
      <c r="H7069" s="7" t="str">
        <f>HYPERLINK("http://www.ensembl.org/Mus_musculus/Gene/Summary?db=core;g=ENSMUSG00000033068","ENSMUSG00000033068")</f>
        <v>ENSMUSG00000033068</v>
      </c>
      <c r="I7069" s="7" t="str">
        <f>HYPERLINK("http://www.informatics.jax.org/marker/MGI:1202295","MGI:1202295")</f>
        <v>MGI:1202295</v>
      </c>
      <c r="J7069" s="4" t="s">
        <v>12</v>
      </c>
    </row>
    <row r="7070" spans="1:10" x14ac:dyDescent="0.25">
      <c r="A7070" s="2">
        <v>3504.5135478433999</v>
      </c>
      <c r="B7070" s="3">
        <v>-0.83452780326530296</v>
      </c>
      <c r="C7070" s="5">
        <v>3.2775693012079998E-26</v>
      </c>
      <c r="D7070" s="6">
        <v>4.2051832543800798E-25</v>
      </c>
      <c r="E7070" s="3" t="s">
        <v>3092</v>
      </c>
      <c r="F7070" s="3" t="s">
        <v>3093</v>
      </c>
      <c r="G7070" s="3">
        <v>69202</v>
      </c>
      <c r="H7070" s="7" t="str">
        <f>HYPERLINK("http://www.ensembl.org/Mus_musculus/Gene/Summary?db=core;g=ENSMUSG00000030122","ENSMUSG00000030122")</f>
        <v>ENSMUSG00000030122</v>
      </c>
      <c r="I7070" s="7" t="str">
        <f>HYPERLINK("http://www.informatics.jax.org/marker/MGI:1916452","MGI:1916452")</f>
        <v>MGI:1916452</v>
      </c>
      <c r="J7070" s="4" t="s">
        <v>12</v>
      </c>
    </row>
    <row r="7071" spans="1:10" x14ac:dyDescent="0.25">
      <c r="A7071" s="2">
        <v>723.03006648408405</v>
      </c>
      <c r="B7071" s="3">
        <v>-0.83493590433851606</v>
      </c>
      <c r="C7071" s="5">
        <v>1.2822038676659899E-16</v>
      </c>
      <c r="D7071" s="6">
        <v>1.07049366089642E-15</v>
      </c>
      <c r="E7071" s="3" t="s">
        <v>4741</v>
      </c>
      <c r="F7071" s="3" t="s">
        <v>4742</v>
      </c>
      <c r="G7071" s="3">
        <v>20401</v>
      </c>
      <c r="H7071" s="7" t="str">
        <f>HYPERLINK("http://www.ensembl.org/Mus_musculus/Gene/Summary?db=core;g=ENSMUSG00000022436","ENSMUSG00000022436")</f>
        <v>ENSMUSG00000022436</v>
      </c>
      <c r="I7071" s="7" t="str">
        <f>HYPERLINK("http://www.informatics.jax.org/marker/MGI:104603","MGI:104603")</f>
        <v>MGI:104603</v>
      </c>
      <c r="J7071" s="4" t="s">
        <v>12</v>
      </c>
    </row>
    <row r="7072" spans="1:10" x14ac:dyDescent="0.25">
      <c r="A7072" s="2">
        <v>241.55914087759899</v>
      </c>
      <c r="B7072" s="3">
        <v>-0.83535354423886998</v>
      </c>
      <c r="C7072" s="5">
        <v>8.3677899982934296E-20</v>
      </c>
      <c r="D7072" s="6">
        <v>8.2218644128722599E-19</v>
      </c>
      <c r="E7072" s="3" t="s">
        <v>4033</v>
      </c>
      <c r="F7072" s="3" t="s">
        <v>4034</v>
      </c>
      <c r="G7072" s="3">
        <v>217473</v>
      </c>
      <c r="H7072" s="7" t="str">
        <f>HYPERLINK("http://www.ensembl.org/Mus_musculus/Gene/Summary?db=core;g=ENSMUSG00000036188","ENSMUSG00000036188")</f>
        <v>ENSMUSG00000036188</v>
      </c>
      <c r="I7072" s="7" t="str">
        <f>HYPERLINK("http://www.informatics.jax.org/marker/MGI:2144755","MGI:2144755")</f>
        <v>MGI:2144755</v>
      </c>
      <c r="J7072" s="4" t="s">
        <v>12</v>
      </c>
    </row>
    <row r="7073" spans="1:10" x14ac:dyDescent="0.25">
      <c r="A7073" s="2">
        <v>322.38315951803099</v>
      </c>
      <c r="B7073" s="3">
        <v>-0.83536962176634</v>
      </c>
      <c r="C7073" s="5">
        <v>1.8045057286896501E-30</v>
      </c>
      <c r="D7073" s="6">
        <v>2.6978660325822501E-29</v>
      </c>
      <c r="E7073" s="3" t="s">
        <v>2655</v>
      </c>
      <c r="F7073" s="3" t="s">
        <v>2656</v>
      </c>
      <c r="G7073" s="3">
        <v>55934</v>
      </c>
      <c r="H7073" s="7" t="str">
        <f>HYPERLINK("http://www.ensembl.org/Mus_musculus/Gene/Summary?db=core;g=ENSMUSG00000032239","ENSMUSG00000032239")</f>
        <v>ENSMUSG00000032239</v>
      </c>
      <c r="I7073" s="7" t="str">
        <f>HYPERLINK("http://www.informatics.jax.org/marker/MGI:2157166","MGI:2157166")</f>
        <v>MGI:2157166</v>
      </c>
      <c r="J7073" s="4" t="s">
        <v>12</v>
      </c>
    </row>
    <row r="7074" spans="1:10" x14ac:dyDescent="0.25">
      <c r="A7074" s="2">
        <v>163.82707902600399</v>
      </c>
      <c r="B7074" s="3">
        <v>-0.83577520639431202</v>
      </c>
      <c r="C7074" s="5">
        <v>2.4409993793612001E-7</v>
      </c>
      <c r="D7074" s="6">
        <v>1.0730385145118801E-6</v>
      </c>
      <c r="E7074" s="3" t="s">
        <v>8989</v>
      </c>
      <c r="F7074" s="3" t="s">
        <v>8990</v>
      </c>
      <c r="G7074" s="3">
        <v>67168</v>
      </c>
      <c r="H7074" s="7" t="str">
        <f>HYPERLINK("http://www.ensembl.org/Mus_musculus/Gene/Summary?db=core;g=ENSMUSG00000033446","ENSMUSG00000033446")</f>
        <v>ENSMUSG00000033446</v>
      </c>
      <c r="I7074" s="7" t="str">
        <f>HYPERLINK("http://www.informatics.jax.org/marker/MGI:1914418","MGI:1914418")</f>
        <v>MGI:1914418</v>
      </c>
      <c r="J7074" s="4" t="s">
        <v>12</v>
      </c>
    </row>
    <row r="7075" spans="1:10" x14ac:dyDescent="0.25">
      <c r="A7075" s="2">
        <v>1429.6305391452199</v>
      </c>
      <c r="B7075" s="3">
        <v>-0.83591566005362095</v>
      </c>
      <c r="C7075" s="5">
        <v>1.74220513287174E-34</v>
      </c>
      <c r="D7075" s="6">
        <v>2.9617487258819599E-33</v>
      </c>
      <c r="E7075" s="3" t="s">
        <v>2337</v>
      </c>
      <c r="F7075" s="3" t="s">
        <v>2338</v>
      </c>
      <c r="G7075" s="3">
        <v>110078</v>
      </c>
      <c r="H7075" s="7" t="str">
        <f>HYPERLINK("http://www.ensembl.org/Mus_musculus/Gene/Summary?db=core;g=ENSMUSG00000033059","ENSMUSG00000033059")</f>
        <v>ENSMUSG00000033059</v>
      </c>
      <c r="I7075" s="7" t="str">
        <f>HYPERLINK("http://www.informatics.jax.org/marker/MGI:97828","MGI:97828")</f>
        <v>MGI:97828</v>
      </c>
      <c r="J7075" s="4" t="s">
        <v>12</v>
      </c>
    </row>
    <row r="7076" spans="1:10" x14ac:dyDescent="0.25">
      <c r="A7076" s="2">
        <v>1527.8613186684299</v>
      </c>
      <c r="B7076" s="3">
        <v>-0.83640558449384295</v>
      </c>
      <c r="C7076" s="5">
        <v>1.37100061091159E-5</v>
      </c>
      <c r="D7076" s="6">
        <v>5.0705423944442001E-5</v>
      </c>
      <c r="E7076" s="3" t="s">
        <v>10676</v>
      </c>
      <c r="F7076" s="3" t="s">
        <v>10677</v>
      </c>
      <c r="G7076" s="3">
        <v>20363</v>
      </c>
      <c r="H7076" s="7" t="str">
        <f>HYPERLINK("http://www.ensembl.org/Mus_musculus/Gene/Summary?db=core;g=ENSMUSG00000064373","ENSMUSG00000064373")</f>
        <v>ENSMUSG00000064373</v>
      </c>
      <c r="I7076" s="7" t="str">
        <f>HYPERLINK("http://www.informatics.jax.org/marker/MGI:894288","MGI:894288")</f>
        <v>MGI:894288</v>
      </c>
      <c r="J7076" s="4" t="s">
        <v>12</v>
      </c>
    </row>
    <row r="7077" spans="1:10" x14ac:dyDescent="0.25">
      <c r="A7077" s="2">
        <v>24.862690434819601</v>
      </c>
      <c r="B7077" s="3">
        <v>-0.83710060216689797</v>
      </c>
      <c r="C7077" s="3">
        <v>6.0959575001155004E-4</v>
      </c>
      <c r="D7077" s="4">
        <v>1.8548415661514799E-3</v>
      </c>
      <c r="E7077" s="3" t="s">
        <v>12971</v>
      </c>
      <c r="F7077" s="3" t="s">
        <v>12972</v>
      </c>
      <c r="G7077" s="3">
        <v>56013</v>
      </c>
      <c r="H7077" s="7" t="str">
        <f>HYPERLINK("http://www.ensembl.org/Mus_musculus/Gene/Summary?db=core;g=ENSMUSG00000038453","ENSMUSG00000038453")</f>
        <v>ENSMUSG00000038453</v>
      </c>
      <c r="I7077" s="7" t="str">
        <f>HYPERLINK("http://www.informatics.jax.org/marker/MGI:1933179","MGI:1933179")</f>
        <v>MGI:1933179</v>
      </c>
      <c r="J7077" s="4" t="s">
        <v>12</v>
      </c>
    </row>
    <row r="7078" spans="1:10" x14ac:dyDescent="0.25">
      <c r="A7078" s="2">
        <v>281.73769372630898</v>
      </c>
      <c r="B7078" s="3">
        <v>-0.83946586142747304</v>
      </c>
      <c r="C7078" s="5">
        <v>1.95659875162789E-19</v>
      </c>
      <c r="D7078" s="6">
        <v>1.8960259155824E-18</v>
      </c>
      <c r="E7078" s="3" t="s">
        <v>4087</v>
      </c>
      <c r="F7078" s="3" t="s">
        <v>4088</v>
      </c>
      <c r="G7078" s="3">
        <v>66349</v>
      </c>
      <c r="H7078" s="7" t="str">
        <f>HYPERLINK("http://www.ensembl.org/Mus_musculus/Gene/Summary?db=core;g=ENSMUSG00000057229","ENSMUSG00000057229")</f>
        <v>ENSMUSG00000057229</v>
      </c>
      <c r="I7078" s="7" t="str">
        <f>HYPERLINK("http://www.informatics.jax.org/marker/MGI:1913599","MGI:1913599")</f>
        <v>MGI:1913599</v>
      </c>
      <c r="J7078" s="4" t="s">
        <v>12</v>
      </c>
    </row>
    <row r="7079" spans="1:10" x14ac:dyDescent="0.25">
      <c r="A7079" s="2">
        <v>493.54983055866597</v>
      </c>
      <c r="B7079" s="3">
        <v>-0.83958572150678901</v>
      </c>
      <c r="C7079" s="5">
        <v>6.4228127784121103E-31</v>
      </c>
      <c r="D7079" s="6">
        <v>9.7354241345339595E-30</v>
      </c>
      <c r="E7079" s="3" t="s">
        <v>2619</v>
      </c>
      <c r="F7079" s="3" t="s">
        <v>2620</v>
      </c>
      <c r="G7079" s="3">
        <v>54354</v>
      </c>
      <c r="H7079" s="7" t="str">
        <f>HYPERLINK("http://www.ensembl.org/Mus_musculus/Gene/Summary?db=core;g=ENSMUSG00000026430","ENSMUSG00000026430")</f>
        <v>ENSMUSG00000026430</v>
      </c>
      <c r="I7079" s="7" t="str">
        <f>HYPERLINK("http://www.informatics.jax.org/marker/MGI:1926375","MGI:1926375")</f>
        <v>MGI:1926375</v>
      </c>
      <c r="J7079" s="4" t="s">
        <v>12</v>
      </c>
    </row>
    <row r="7080" spans="1:10" x14ac:dyDescent="0.25">
      <c r="A7080" s="2">
        <v>713.98164264594698</v>
      </c>
      <c r="B7080" s="3">
        <v>-0.83990019502976998</v>
      </c>
      <c r="C7080" s="5">
        <v>3.9629905144422702E-47</v>
      </c>
      <c r="D7080" s="6">
        <v>9.9427700947584599E-46</v>
      </c>
      <c r="E7080" s="3" t="s">
        <v>1588</v>
      </c>
      <c r="F7080" s="3" t="s">
        <v>1589</v>
      </c>
      <c r="G7080" s="3">
        <v>116871</v>
      </c>
      <c r="H7080" s="7" t="str">
        <f>HYPERLINK("http://www.ensembl.org/Mus_musculus/Gene/Summary?db=core;g=ENSMUSG00000055817","ENSMUSG00000055817")</f>
        <v>ENSMUSG00000055817</v>
      </c>
      <c r="I7080" s="7" t="str">
        <f>HYPERLINK("http://www.informatics.jax.org/marker/MGI:2151172","MGI:2151172")</f>
        <v>MGI:2151172</v>
      </c>
      <c r="J7080" s="4" t="s">
        <v>12</v>
      </c>
    </row>
    <row r="7081" spans="1:10" x14ac:dyDescent="0.25">
      <c r="A7081" s="2">
        <v>723.751272297279</v>
      </c>
      <c r="B7081" s="3">
        <v>-0.84000590873075898</v>
      </c>
      <c r="C7081" s="5">
        <v>3.24904057785243E-16</v>
      </c>
      <c r="D7081" s="6">
        <v>2.6453790336602E-15</v>
      </c>
      <c r="E7081" s="3" t="s">
        <v>4861</v>
      </c>
      <c r="F7081" s="3" t="s">
        <v>4862</v>
      </c>
      <c r="G7081" s="3">
        <v>50720</v>
      </c>
      <c r="H7081" s="7" t="str">
        <f>HYPERLINK("http://www.ensembl.org/Mus_musculus/Gene/Summary?db=core;g=ENSMUSG00000048279","ENSMUSG00000048279")</f>
        <v>ENSMUSG00000048279</v>
      </c>
      <c r="I7081" s="7" t="str">
        <f>HYPERLINK("http://www.informatics.jax.org/marker/MGI:1354724","MGI:1354724")</f>
        <v>MGI:1354724</v>
      </c>
      <c r="J7081" s="4" t="s">
        <v>12</v>
      </c>
    </row>
    <row r="7082" spans="1:10" x14ac:dyDescent="0.25">
      <c r="A7082" s="2">
        <v>190.04876224826501</v>
      </c>
      <c r="B7082" s="3">
        <v>-0.84105053196283097</v>
      </c>
      <c r="C7082" s="5">
        <v>2.1858192463969799E-14</v>
      </c>
      <c r="D7082" s="6">
        <v>1.6259658822688901E-13</v>
      </c>
      <c r="E7082" s="3" t="s">
        <v>5319</v>
      </c>
      <c r="F7082" s="3" t="s">
        <v>5320</v>
      </c>
      <c r="G7082" s="3">
        <v>76491</v>
      </c>
      <c r="H7082" s="7" t="str">
        <f>HYPERLINK("http://www.ensembl.org/Mus_musculus/Gene/Summary?db=core;g=ENSMUSG00000042073","ENSMUSG00000042073")</f>
        <v>ENSMUSG00000042073</v>
      </c>
      <c r="I7082" s="7" t="str">
        <f>HYPERLINK("http://www.informatics.jax.org/marker/MGI:1923741","MGI:1923741")</f>
        <v>MGI:1923741</v>
      </c>
      <c r="J7082" s="4" t="s">
        <v>12</v>
      </c>
    </row>
    <row r="7083" spans="1:10" x14ac:dyDescent="0.25">
      <c r="A7083" s="2">
        <v>8.7728523945469501</v>
      </c>
      <c r="B7083" s="3">
        <v>-0.84137146383973704</v>
      </c>
      <c r="C7083" s="3">
        <v>1.34432100495457E-2</v>
      </c>
      <c r="D7083" s="4">
        <v>3.2563579680265499E-2</v>
      </c>
      <c r="E7083" s="3" t="s">
        <v>16287</v>
      </c>
      <c r="F7083" s="3" t="s">
        <v>16288</v>
      </c>
      <c r="G7083" s="3" t="s">
        <v>83</v>
      </c>
      <c r="H7083" s="7" t="str">
        <f>HYPERLINK("http://www.ensembl.org/Mus_musculus/Gene/Summary?db=core;g=ENSMUSG00000085611","ENSMUSG00000085611")</f>
        <v>ENSMUSG00000085611</v>
      </c>
      <c r="I7083" s="7" t="str">
        <f>HYPERLINK("http://www.informatics.jax.org/marker/MGI:1929216","MGI:1929216")</f>
        <v>MGI:1929216</v>
      </c>
      <c r="J7083" s="4" t="s">
        <v>1043</v>
      </c>
    </row>
    <row r="7084" spans="1:10" x14ac:dyDescent="0.25">
      <c r="A7084" s="2">
        <v>11.8868949847</v>
      </c>
      <c r="B7084" s="3">
        <v>-0.84172249344647598</v>
      </c>
      <c r="C7084" s="3">
        <v>5.9913373789303699E-3</v>
      </c>
      <c r="D7084" s="4">
        <v>1.55787411804466E-2</v>
      </c>
      <c r="E7084" s="3" t="s">
        <v>15173</v>
      </c>
      <c r="F7084" s="3" t="s">
        <v>15174</v>
      </c>
      <c r="G7084" s="3">
        <v>71566</v>
      </c>
      <c r="H7084" s="7" t="str">
        <f>HYPERLINK("http://www.ensembl.org/Mus_musculus/Gene/Summary?db=core;g=ENSMUSG00000032024","ENSMUSG00000032024")</f>
        <v>ENSMUSG00000032024</v>
      </c>
      <c r="I7084" s="7" t="str">
        <f>HYPERLINK("http://www.informatics.jax.org/marker/MGI:1918816","MGI:1918816")</f>
        <v>MGI:1918816</v>
      </c>
      <c r="J7084" s="4" t="s">
        <v>12</v>
      </c>
    </row>
    <row r="7085" spans="1:10" x14ac:dyDescent="0.25">
      <c r="A7085" s="2">
        <v>228.93339865832399</v>
      </c>
      <c r="B7085" s="3">
        <v>-0.84293706465182106</v>
      </c>
      <c r="C7085" s="5">
        <v>9.6647027166054695E-22</v>
      </c>
      <c r="D7085" s="6">
        <v>1.03299695160683E-20</v>
      </c>
      <c r="E7085" s="3" t="s">
        <v>3708</v>
      </c>
      <c r="F7085" s="3" t="s">
        <v>3709</v>
      </c>
      <c r="G7085" s="3">
        <v>399566</v>
      </c>
      <c r="H7085" s="7" t="str">
        <f>HYPERLINK("http://www.ensembl.org/Mus_musculus/Gene/Summary?db=core;g=ENSMUSG00000002803","ENSMUSG00000002803")</f>
        <v>ENSMUSG00000002803</v>
      </c>
      <c r="I7085" s="7" t="str">
        <f>HYPERLINK("http://www.informatics.jax.org/marker/MGI:3026623","MGI:3026623")</f>
        <v>MGI:3026623</v>
      </c>
      <c r="J7085" s="4" t="s">
        <v>12</v>
      </c>
    </row>
    <row r="7086" spans="1:10" x14ac:dyDescent="0.25">
      <c r="A7086" s="2">
        <v>1913.0175099226201</v>
      </c>
      <c r="B7086" s="3">
        <v>-0.842954500660128</v>
      </c>
      <c r="C7086" s="5">
        <v>6.0136044190764403E-46</v>
      </c>
      <c r="D7086" s="6">
        <v>1.44796433631486E-44</v>
      </c>
      <c r="E7086" s="3" t="s">
        <v>1654</v>
      </c>
      <c r="F7086" s="3" t="s">
        <v>1655</v>
      </c>
      <c r="G7086" s="3">
        <v>12846</v>
      </c>
      <c r="H7086" s="7" t="str">
        <f>HYPERLINK("http://www.ensembl.org/Mus_musculus/Gene/Summary?db=core;g=ENSMUSG00000000326","ENSMUSG00000000326")</f>
        <v>ENSMUSG00000000326</v>
      </c>
      <c r="I7086" s="7" t="str">
        <f>HYPERLINK("http://www.informatics.jax.org/marker/MGI:88470","MGI:88470")</f>
        <v>MGI:88470</v>
      </c>
      <c r="J7086" s="4" t="s">
        <v>12</v>
      </c>
    </row>
    <row r="7087" spans="1:10" x14ac:dyDescent="0.25">
      <c r="A7087" s="2">
        <v>625.05882990302496</v>
      </c>
      <c r="B7087" s="3">
        <v>-0.84302611106002101</v>
      </c>
      <c r="C7087" s="5">
        <v>9.1133902201265192E-9</v>
      </c>
      <c r="D7087" s="6">
        <v>4.5382842207296702E-8</v>
      </c>
      <c r="E7087" s="3" t="s">
        <v>7936</v>
      </c>
      <c r="F7087" s="3" t="s">
        <v>7937</v>
      </c>
      <c r="G7087" s="3">
        <v>17750</v>
      </c>
      <c r="H7087" s="7" t="str">
        <f>HYPERLINK("http://www.ensembl.org/Mus_musculus/Gene/Summary?db=core;g=ENSMUSG00000031762","ENSMUSG00000031762")</f>
        <v>ENSMUSG00000031762</v>
      </c>
      <c r="I7087" s="7" t="str">
        <f>HYPERLINK("http://www.informatics.jax.org/marker/MGI:97172","MGI:97172")</f>
        <v>MGI:97172</v>
      </c>
      <c r="J7087" s="4" t="s">
        <v>12</v>
      </c>
    </row>
    <row r="7088" spans="1:10" x14ac:dyDescent="0.25">
      <c r="A7088" s="2">
        <v>127.82833583563701</v>
      </c>
      <c r="B7088" s="3">
        <v>-0.84330727584586795</v>
      </c>
      <c r="C7088" s="5">
        <v>4.4433851859517902E-10</v>
      </c>
      <c r="D7088" s="6">
        <v>2.4462187567551401E-9</v>
      </c>
      <c r="E7088" s="3" t="s">
        <v>7182</v>
      </c>
      <c r="F7088" s="3" t="s">
        <v>7183</v>
      </c>
      <c r="G7088" s="3">
        <v>74775</v>
      </c>
      <c r="H7088" s="7" t="str">
        <f>HYPERLINK("http://www.ensembl.org/Mus_musculus/Gene/Summary?db=core;g=ENSMUSG00000022999","ENSMUSG00000022999")</f>
        <v>ENSMUSG00000022999</v>
      </c>
      <c r="I7088" s="7" t="str">
        <f>HYPERLINK("http://www.informatics.jax.org/marker/MGI:1289247","MGI:1289247")</f>
        <v>MGI:1289247</v>
      </c>
      <c r="J7088" s="4" t="s">
        <v>12</v>
      </c>
    </row>
    <row r="7089" spans="1:10" x14ac:dyDescent="0.25">
      <c r="A7089" s="2">
        <v>49.608665357004597</v>
      </c>
      <c r="B7089" s="3">
        <v>-0.84341113754209995</v>
      </c>
      <c r="C7089" s="5">
        <v>6.5080251363958197E-7</v>
      </c>
      <c r="D7089" s="6">
        <v>2.7475541787567E-6</v>
      </c>
      <c r="E7089" s="3" t="s">
        <v>9357</v>
      </c>
      <c r="F7089" s="3" t="s">
        <v>9358</v>
      </c>
      <c r="G7089" s="3">
        <v>268670</v>
      </c>
      <c r="H7089" s="7" t="str">
        <f>HYPERLINK("http://www.ensembl.org/Mus_musculus/Gene/Summary?db=core;g=ENSMUSG00000057396","ENSMUSG00000057396")</f>
        <v>ENSMUSG00000057396</v>
      </c>
      <c r="I7089" s="7" t="str">
        <f>HYPERLINK("http://www.informatics.jax.org/marker/MGI:2446280","MGI:2446280")</f>
        <v>MGI:2446280</v>
      </c>
      <c r="J7089" s="4" t="s">
        <v>12</v>
      </c>
    </row>
    <row r="7090" spans="1:10" x14ac:dyDescent="0.25">
      <c r="A7090" s="2">
        <v>364.45754378120802</v>
      </c>
      <c r="B7090" s="3">
        <v>-0.84343817172787405</v>
      </c>
      <c r="C7090" s="5">
        <v>1.2700793880788999E-28</v>
      </c>
      <c r="D7090" s="6">
        <v>1.78136312467397E-27</v>
      </c>
      <c r="E7090" s="3" t="s">
        <v>2830</v>
      </c>
      <c r="F7090" s="3" t="s">
        <v>2831</v>
      </c>
      <c r="G7090" s="3">
        <v>208518</v>
      </c>
      <c r="H7090" s="7" t="str">
        <f>HYPERLINK("http://www.ensembl.org/Mus_musculus/Gene/Summary?db=core;g=ENSMUSG00000041491","ENSMUSG00000041491")</f>
        <v>ENSMUSG00000041491</v>
      </c>
      <c r="I7090" s="7" t="str">
        <f>HYPERLINK("http://www.informatics.jax.org/marker/MGI:1924386","MGI:1924386")</f>
        <v>MGI:1924386</v>
      </c>
      <c r="J7090" s="4" t="s">
        <v>12</v>
      </c>
    </row>
    <row r="7091" spans="1:10" x14ac:dyDescent="0.25">
      <c r="A7091" s="2">
        <v>77.793018840490703</v>
      </c>
      <c r="B7091" s="3">
        <v>-0.84411575892108703</v>
      </c>
      <c r="C7091" s="5">
        <v>1.53899665818669E-9</v>
      </c>
      <c r="D7091" s="6">
        <v>8.1299260914657E-9</v>
      </c>
      <c r="E7091" s="3" t="s">
        <v>7484</v>
      </c>
      <c r="F7091" s="3" t="s">
        <v>7485</v>
      </c>
      <c r="G7091" s="3">
        <v>14430</v>
      </c>
      <c r="H7091" s="7" t="str">
        <f>HYPERLINK("http://www.ensembl.org/Mus_musculus/Gene/Summary?db=core;g=ENSMUSG00000036073","ENSMUSG00000036073")</f>
        <v>ENSMUSG00000036073</v>
      </c>
      <c r="I7091" s="7" t="str">
        <f>HYPERLINK("http://www.informatics.jax.org/marker/MGI:95638","MGI:95638")</f>
        <v>MGI:95638</v>
      </c>
      <c r="J7091" s="4" t="s">
        <v>12</v>
      </c>
    </row>
    <row r="7092" spans="1:10" x14ac:dyDescent="0.25">
      <c r="A7092" s="2">
        <v>328.84709741861701</v>
      </c>
      <c r="B7092" s="3">
        <v>-0.84438600983116996</v>
      </c>
      <c r="C7092" s="5">
        <v>1.79437977240005E-19</v>
      </c>
      <c r="D7092" s="6">
        <v>1.7406462529269401E-18</v>
      </c>
      <c r="E7092" s="3" t="s">
        <v>4083</v>
      </c>
      <c r="F7092" s="3" t="s">
        <v>4084</v>
      </c>
      <c r="G7092" s="3">
        <v>109145</v>
      </c>
      <c r="H7092" s="7" t="str">
        <f>HYPERLINK("http://www.ensembl.org/Mus_musculus/Gene/Summary?db=core;g=ENSMUSG00000031546","ENSMUSG00000031546")</f>
        <v>ENSMUSG00000031546</v>
      </c>
      <c r="I7092" s="7" t="str">
        <f>HYPERLINK("http://www.informatics.jax.org/marker/MGI:1923847","MGI:1923847")</f>
        <v>MGI:1923847</v>
      </c>
      <c r="J7092" s="4" t="s">
        <v>12</v>
      </c>
    </row>
    <row r="7093" spans="1:10" x14ac:dyDescent="0.25">
      <c r="A7093" s="2">
        <v>432.18956093574502</v>
      </c>
      <c r="B7093" s="3">
        <v>-0.84442576891020205</v>
      </c>
      <c r="C7093" s="5">
        <v>1.46084022941582E-17</v>
      </c>
      <c r="D7093" s="6">
        <v>1.28778584372284E-16</v>
      </c>
      <c r="E7093" s="3" t="s">
        <v>4491</v>
      </c>
      <c r="F7093" s="3" t="s">
        <v>4492</v>
      </c>
      <c r="G7093" s="3">
        <v>74008</v>
      </c>
      <c r="H7093" s="7" t="str">
        <f>HYPERLINK("http://www.ensembl.org/Mus_musculus/Gene/Summary?db=core;g=ENSMUSG00000020604","ENSMUSG00000020604")</f>
        <v>ENSMUSG00000020604</v>
      </c>
      <c r="I7093" s="7" t="str">
        <f>HYPERLINK("http://www.informatics.jax.org/marker/MGI:1921258","MGI:1921258")</f>
        <v>MGI:1921258</v>
      </c>
      <c r="J7093" s="4" t="s">
        <v>12</v>
      </c>
    </row>
    <row r="7094" spans="1:10" x14ac:dyDescent="0.25">
      <c r="A7094" s="2">
        <v>1036.14679922408</v>
      </c>
      <c r="B7094" s="3">
        <v>-0.84451130631206295</v>
      </c>
      <c r="C7094" s="5">
        <v>2.39261718610583E-18</v>
      </c>
      <c r="D7094" s="6">
        <v>2.20272693324029E-17</v>
      </c>
      <c r="E7094" s="3" t="s">
        <v>4301</v>
      </c>
      <c r="F7094" s="3" t="s">
        <v>4302</v>
      </c>
      <c r="G7094" s="3">
        <v>74044</v>
      </c>
      <c r="H7094" s="7" t="str">
        <f>HYPERLINK("http://www.ensembl.org/Mus_musculus/Gene/Summary?db=core;g=ENSMUSG00000033222","ENSMUSG00000033222")</f>
        <v>ENSMUSG00000033222</v>
      </c>
      <c r="I7094" s="7" t="str">
        <f>HYPERLINK("http://www.informatics.jax.org/marker/MGI:1921294","MGI:1921294")</f>
        <v>MGI:1921294</v>
      </c>
      <c r="J7094" s="4" t="s">
        <v>12</v>
      </c>
    </row>
    <row r="7095" spans="1:10" x14ac:dyDescent="0.25">
      <c r="A7095" s="2">
        <v>178.573669273652</v>
      </c>
      <c r="B7095" s="3">
        <v>-0.84455924896720902</v>
      </c>
      <c r="C7095" s="5">
        <v>5.5095349170052403E-9</v>
      </c>
      <c r="D7095" s="6">
        <v>2.7865613891598701E-8</v>
      </c>
      <c r="E7095" s="3" t="s">
        <v>7814</v>
      </c>
      <c r="F7095" s="3" t="s">
        <v>7815</v>
      </c>
      <c r="G7095" s="3">
        <v>75219</v>
      </c>
      <c r="H7095" s="7" t="str">
        <f>HYPERLINK("http://www.ensembl.org/Mus_musculus/Gene/Summary?db=core;g=ENSMUSG00000047205","ENSMUSG00000047205")</f>
        <v>ENSMUSG00000047205</v>
      </c>
      <c r="I7095" s="7" t="str">
        <f>HYPERLINK("http://www.informatics.jax.org/marker/MGI:1922469","MGI:1922469")</f>
        <v>MGI:1922469</v>
      </c>
      <c r="J7095" s="4" t="s">
        <v>12</v>
      </c>
    </row>
    <row r="7096" spans="1:10" x14ac:dyDescent="0.25">
      <c r="A7096" s="2">
        <v>635.092985995719</v>
      </c>
      <c r="B7096" s="3">
        <v>-0.84461225061421097</v>
      </c>
      <c r="C7096" s="5">
        <v>1.3621579076208699E-26</v>
      </c>
      <c r="D7096" s="6">
        <v>1.77305306523324E-25</v>
      </c>
      <c r="E7096" s="3" t="s">
        <v>3048</v>
      </c>
      <c r="F7096" s="3" t="s">
        <v>3049</v>
      </c>
      <c r="G7096" s="3">
        <v>19090</v>
      </c>
      <c r="H7096" s="7" t="str">
        <f>HYPERLINK("http://www.ensembl.org/Mus_musculus/Gene/Summary?db=core;g=ENSMUSG00000022672","ENSMUSG00000022672")</f>
        <v>ENSMUSG00000022672</v>
      </c>
      <c r="I7096" s="7" t="str">
        <f>HYPERLINK("http://www.informatics.jax.org/marker/MGI:104779","MGI:104779")</f>
        <v>MGI:104779</v>
      </c>
      <c r="J7096" s="4" t="s">
        <v>12</v>
      </c>
    </row>
    <row r="7097" spans="1:10" x14ac:dyDescent="0.25">
      <c r="A7097" s="2">
        <v>2931.20420744797</v>
      </c>
      <c r="B7097" s="3">
        <v>-0.84480803337588894</v>
      </c>
      <c r="C7097" s="5">
        <v>3.2612196648274199E-15</v>
      </c>
      <c r="D7097" s="6">
        <v>2.5329362658683201E-14</v>
      </c>
      <c r="E7097" s="3" t="s">
        <v>5095</v>
      </c>
      <c r="F7097" s="3" t="s">
        <v>5096</v>
      </c>
      <c r="G7097" s="3">
        <v>13132</v>
      </c>
      <c r="H7097" s="7" t="str">
        <f>HYPERLINK("http://www.ensembl.org/Mus_musculus/Gene/Summary?db=core;g=ENSMUSG00000022150","ENSMUSG00000022150")</f>
        <v>ENSMUSG00000022150</v>
      </c>
      <c r="I7097" s="7" t="str">
        <f>HYPERLINK("http://www.informatics.jax.org/marker/MGI:109175","MGI:109175")</f>
        <v>MGI:109175</v>
      </c>
      <c r="J7097" s="4" t="s">
        <v>12</v>
      </c>
    </row>
    <row r="7098" spans="1:10" x14ac:dyDescent="0.25">
      <c r="A7098" s="2">
        <v>905.27051523667899</v>
      </c>
      <c r="B7098" s="3">
        <v>-0.84621847714637</v>
      </c>
      <c r="C7098" s="5">
        <v>2.2126928384418001E-13</v>
      </c>
      <c r="D7098" s="6">
        <v>1.5473157012082399E-12</v>
      </c>
      <c r="E7098" s="3" t="s">
        <v>5657</v>
      </c>
      <c r="F7098" s="3" t="s">
        <v>5658</v>
      </c>
      <c r="G7098" s="3">
        <v>108912</v>
      </c>
      <c r="H7098" s="7" t="str">
        <f>HYPERLINK("http://www.ensembl.org/Mus_musculus/Gene/Summary?db=core;g=ENSMUSG00000048922","ENSMUSG00000048922")</f>
        <v>ENSMUSG00000048922</v>
      </c>
      <c r="I7098" s="7" t="str">
        <f>HYPERLINK("http://www.informatics.jax.org/marker/MGI:1919787","MGI:1919787")</f>
        <v>MGI:1919787</v>
      </c>
      <c r="J7098" s="4" t="s">
        <v>12</v>
      </c>
    </row>
    <row r="7099" spans="1:10" x14ac:dyDescent="0.25">
      <c r="A7099" s="2">
        <v>88.161663641576794</v>
      </c>
      <c r="B7099" s="3">
        <v>-0.84664131076350002</v>
      </c>
      <c r="C7099" s="5">
        <v>6.6699487124576699E-7</v>
      </c>
      <c r="D7099" s="6">
        <v>2.8119472731819499E-6</v>
      </c>
      <c r="E7099" s="3" t="s">
        <v>9371</v>
      </c>
      <c r="F7099" s="3" t="s">
        <v>9372</v>
      </c>
      <c r="G7099" s="3">
        <v>230126</v>
      </c>
      <c r="H7099" s="7" t="str">
        <f>HYPERLINK("http://www.ensembl.org/Mus_musculus/Gene/Summary?db=core;g=ENSMUSG00000044813","ENSMUSG00000044813")</f>
        <v>ENSMUSG00000044813</v>
      </c>
      <c r="I7099" s="7" t="str">
        <f>HYPERLINK("http://www.informatics.jax.org/marker/MGI:98294","MGI:98294")</f>
        <v>MGI:98294</v>
      </c>
      <c r="J7099" s="4" t="s">
        <v>12</v>
      </c>
    </row>
    <row r="7100" spans="1:10" x14ac:dyDescent="0.25">
      <c r="A7100" s="2">
        <v>34.609911793288099</v>
      </c>
      <c r="B7100" s="3">
        <v>-0.846834897225339</v>
      </c>
      <c r="C7100" s="3">
        <v>1.00650308724091E-3</v>
      </c>
      <c r="D7100" s="4">
        <v>2.9641936798672098E-3</v>
      </c>
      <c r="E7100" s="3" t="s">
        <v>13401</v>
      </c>
      <c r="F7100" s="3" t="s">
        <v>13402</v>
      </c>
      <c r="G7100" s="3">
        <v>16491</v>
      </c>
      <c r="H7100" s="7" t="str">
        <f>HYPERLINK("http://www.ensembl.org/Mus_musculus/Gene/Summary?db=core;g=ENSMUSG00000047959","ENSMUSG00000047959")</f>
        <v>ENSMUSG00000047959</v>
      </c>
      <c r="I7100" s="7" t="str">
        <f>HYPERLINK("http://www.informatics.jax.org/marker/MGI:96660","MGI:96660")</f>
        <v>MGI:96660</v>
      </c>
      <c r="J7100" s="4" t="s">
        <v>12</v>
      </c>
    </row>
    <row r="7101" spans="1:10" x14ac:dyDescent="0.25">
      <c r="A7101" s="2">
        <v>59.488101236819503</v>
      </c>
      <c r="B7101" s="3">
        <v>-0.84704799003105102</v>
      </c>
      <c r="C7101" s="5">
        <v>3.0945576866787401E-5</v>
      </c>
      <c r="D7101" s="4">
        <v>1.1029220600272E-4</v>
      </c>
      <c r="E7101" s="3" t="s">
        <v>11078</v>
      </c>
      <c r="F7101" s="3" t="s">
        <v>11079</v>
      </c>
      <c r="G7101" s="3">
        <v>243510</v>
      </c>
      <c r="H7101" s="7" t="str">
        <f>HYPERLINK("http://www.ensembl.org/Mus_musculus/Gene/Summary?db=core;g=ENSMUSG00000107499","ENSMUSG00000107499")</f>
        <v>ENSMUSG00000107499</v>
      </c>
      <c r="I7101" s="7" t="str">
        <f>HYPERLINK("http://www.informatics.jax.org/marker/MGI:3045292","MGI:3045292")</f>
        <v>MGI:3045292</v>
      </c>
      <c r="J7101" s="4" t="s">
        <v>12</v>
      </c>
    </row>
    <row r="7102" spans="1:10" x14ac:dyDescent="0.25">
      <c r="A7102" s="2">
        <v>48.105484759042398</v>
      </c>
      <c r="B7102" s="3">
        <v>-0.84730341721417601</v>
      </c>
      <c r="C7102" s="5">
        <v>6.4141142544775499E-6</v>
      </c>
      <c r="D7102" s="6">
        <v>2.4503357826094E-5</v>
      </c>
      <c r="E7102" s="3" t="s">
        <v>10338</v>
      </c>
      <c r="F7102" s="3" t="s">
        <v>10339</v>
      </c>
      <c r="G7102" s="3">
        <v>74251</v>
      </c>
      <c r="H7102" s="7" t="str">
        <f>HYPERLINK("http://www.ensembl.org/Mus_musculus/Gene/Summary?db=core;g=ENSMUSG00000037904","ENSMUSG00000037904")</f>
        <v>ENSMUSG00000037904</v>
      </c>
      <c r="I7102" s="7" t="str">
        <f>HYPERLINK("http://www.informatics.jax.org/marker/MGI:1921501","MGI:1921501")</f>
        <v>MGI:1921501</v>
      </c>
      <c r="J7102" s="4" t="s">
        <v>12</v>
      </c>
    </row>
    <row r="7103" spans="1:10" x14ac:dyDescent="0.25">
      <c r="A7103" s="2">
        <v>209.23975266363701</v>
      </c>
      <c r="B7103" s="3">
        <v>-0.84733588948475602</v>
      </c>
      <c r="C7103" s="5">
        <v>1.4708965947104E-17</v>
      </c>
      <c r="D7103" s="6">
        <v>1.29607153028101E-16</v>
      </c>
      <c r="E7103" s="3" t="s">
        <v>4493</v>
      </c>
      <c r="F7103" s="3" t="s">
        <v>4494</v>
      </c>
      <c r="G7103" s="3">
        <v>72667</v>
      </c>
      <c r="H7103" s="7" t="str">
        <f>HYPERLINK("http://www.ensembl.org/Mus_musculus/Gene/Summary?db=core;g=ENSMUSG00000044876","ENSMUSG00000044876")</f>
        <v>ENSMUSG00000044876</v>
      </c>
      <c r="I7103" s="7" t="str">
        <f>HYPERLINK("http://www.informatics.jax.org/marker/MGI:1923365","MGI:1923365")</f>
        <v>MGI:1923365</v>
      </c>
      <c r="J7103" s="4" t="s">
        <v>12</v>
      </c>
    </row>
    <row r="7104" spans="1:10" x14ac:dyDescent="0.25">
      <c r="A7104" s="2">
        <v>32.423663551606197</v>
      </c>
      <c r="B7104" s="3">
        <v>-0.84744782022601395</v>
      </c>
      <c r="C7104" s="5">
        <v>3.6126082065988499E-5</v>
      </c>
      <c r="D7104" s="4">
        <v>1.2776297316020299E-4</v>
      </c>
      <c r="E7104" s="3" t="s">
        <v>11163</v>
      </c>
      <c r="F7104" s="3" t="s">
        <v>11164</v>
      </c>
      <c r="G7104" s="3" t="s">
        <v>83</v>
      </c>
      <c r="H7104" s="7" t="str">
        <f>HYPERLINK("http://www.ensembl.org/Mus_musculus/Gene/Summary?db=core;g=ENSMUSG00000116530","ENSMUSG00000116530")</f>
        <v>ENSMUSG00000116530</v>
      </c>
      <c r="I7104" s="7" t="str">
        <f>HYPERLINK("http://www.informatics.jax.org/marker/MGI:5591471","MGI:5591471")</f>
        <v>MGI:5591471</v>
      </c>
      <c r="J7104" s="4" t="s">
        <v>932</v>
      </c>
    </row>
    <row r="7105" spans="1:10" x14ac:dyDescent="0.25">
      <c r="A7105" s="2">
        <v>315.04984526574702</v>
      </c>
      <c r="B7105" s="3">
        <v>-0.84825047271897303</v>
      </c>
      <c r="C7105" s="5">
        <v>1.21828565619228E-29</v>
      </c>
      <c r="D7105" s="6">
        <v>1.77303270406729E-28</v>
      </c>
      <c r="E7105" s="3" t="s">
        <v>2728</v>
      </c>
      <c r="F7105" s="3" t="s">
        <v>2729</v>
      </c>
      <c r="G7105" s="3">
        <v>13350</v>
      </c>
      <c r="H7105" s="7" t="str">
        <f>HYPERLINK("http://www.ensembl.org/Mus_musculus/Gene/Summary?db=core;g=ENSMUSG00000022555","ENSMUSG00000022555")</f>
        <v>ENSMUSG00000022555</v>
      </c>
      <c r="I7105" s="7" t="str">
        <f>HYPERLINK("http://www.informatics.jax.org/marker/MGI:1333825","MGI:1333825")</f>
        <v>MGI:1333825</v>
      </c>
      <c r="J7105" s="4" t="s">
        <v>12</v>
      </c>
    </row>
    <row r="7106" spans="1:10" x14ac:dyDescent="0.25">
      <c r="A7106" s="2">
        <v>285.62298342792701</v>
      </c>
      <c r="B7106" s="3">
        <v>-0.84900774416757596</v>
      </c>
      <c r="C7106" s="5">
        <v>1.4312129091797699E-22</v>
      </c>
      <c r="D7106" s="6">
        <v>1.59364870519622E-21</v>
      </c>
      <c r="E7106" s="3" t="s">
        <v>3560</v>
      </c>
      <c r="F7106" s="3" t="s">
        <v>3561</v>
      </c>
      <c r="G7106" s="3">
        <v>66078</v>
      </c>
      <c r="H7106" s="7" t="str">
        <f>HYPERLINK("http://www.ensembl.org/Mus_musculus/Gene/Summary?db=core;g=ENSMUSG00000035585","ENSMUSG00000035585")</f>
        <v>ENSMUSG00000035585</v>
      </c>
      <c r="I7106" s="7" t="str">
        <f>HYPERLINK("http://www.informatics.jax.org/marker/MGI:1913328","MGI:1913328")</f>
        <v>MGI:1913328</v>
      </c>
      <c r="J7106" s="4" t="s">
        <v>12</v>
      </c>
    </row>
    <row r="7107" spans="1:10" x14ac:dyDescent="0.25">
      <c r="A7107" s="2">
        <v>16.2892983468792</v>
      </c>
      <c r="B7107" s="3">
        <v>-0.84913471755366798</v>
      </c>
      <c r="C7107" s="3">
        <v>1.4138264489803401E-3</v>
      </c>
      <c r="D7107" s="4">
        <v>4.07910132756287E-3</v>
      </c>
      <c r="E7107" s="3" t="s">
        <v>13679</v>
      </c>
      <c r="F7107" s="3" t="s">
        <v>13680</v>
      </c>
      <c r="G7107" s="3" t="s">
        <v>83</v>
      </c>
      <c r="H7107" s="7" t="str">
        <f>HYPERLINK("http://www.ensembl.org/Mus_musculus/Gene/Summary?db=core;g=ENSMUSG00000097636","ENSMUSG00000097636")</f>
        <v>ENSMUSG00000097636</v>
      </c>
      <c r="I7107" s="7" t="str">
        <f>HYPERLINK("http://www.informatics.jax.org/marker/MGI:1922001","MGI:1922001")</f>
        <v>MGI:1922001</v>
      </c>
      <c r="J7107" s="4" t="s">
        <v>331</v>
      </c>
    </row>
    <row r="7108" spans="1:10" x14ac:dyDescent="0.25">
      <c r="A7108" s="2">
        <v>21.720765962008901</v>
      </c>
      <c r="B7108" s="3">
        <v>-0.84934370458671304</v>
      </c>
      <c r="C7108" s="3">
        <v>1.16249765514835E-3</v>
      </c>
      <c r="D7108" s="4">
        <v>3.39520938381599E-3</v>
      </c>
      <c r="E7108" s="3" t="s">
        <v>13513</v>
      </c>
      <c r="F7108" s="3" t="s">
        <v>13514</v>
      </c>
      <c r="G7108" s="3">
        <v>21752</v>
      </c>
      <c r="H7108" s="7" t="str">
        <f>HYPERLINK("http://www.ensembl.org/Mus_musculus/Gene/Summary?db=core;g=ENSMUSG00000021611","ENSMUSG00000021611")</f>
        <v>ENSMUSG00000021611</v>
      </c>
      <c r="I7108" s="7" t="str">
        <f>HYPERLINK("http://www.informatics.jax.org/marker/MGI:1202709","MGI:1202709")</f>
        <v>MGI:1202709</v>
      </c>
      <c r="J7108" s="4" t="s">
        <v>12</v>
      </c>
    </row>
    <row r="7109" spans="1:10" x14ac:dyDescent="0.25">
      <c r="A7109" s="2">
        <v>225.73545990499099</v>
      </c>
      <c r="B7109" s="3">
        <v>-0.85121290544455397</v>
      </c>
      <c r="C7109" s="5">
        <v>2.86310455927536E-18</v>
      </c>
      <c r="D7109" s="6">
        <v>2.6236255533880099E-17</v>
      </c>
      <c r="E7109" s="3" t="s">
        <v>4321</v>
      </c>
      <c r="F7109" s="3" t="s">
        <v>4322</v>
      </c>
      <c r="G7109" s="3">
        <v>67468</v>
      </c>
      <c r="H7109" s="7" t="str">
        <f>HYPERLINK("http://www.ensembl.org/Mus_musculus/Gene/Summary?db=core;g=ENSMUSG00000003948","ENSMUSG00000003948")</f>
        <v>ENSMUSG00000003948</v>
      </c>
      <c r="I7109" s="7" t="str">
        <f>HYPERLINK("http://www.informatics.jax.org/marker/MGI:1914718","MGI:1914718")</f>
        <v>MGI:1914718</v>
      </c>
      <c r="J7109" s="4" t="s">
        <v>12</v>
      </c>
    </row>
    <row r="7110" spans="1:10" x14ac:dyDescent="0.25">
      <c r="A7110" s="2">
        <v>142.15048585454699</v>
      </c>
      <c r="B7110" s="3">
        <v>-0.85136952373532404</v>
      </c>
      <c r="C7110" s="5">
        <v>1.2470035368351301E-14</v>
      </c>
      <c r="D7110" s="6">
        <v>9.4037895779689397E-14</v>
      </c>
      <c r="E7110" s="3" t="s">
        <v>5247</v>
      </c>
      <c r="F7110" s="3" t="s">
        <v>5248</v>
      </c>
      <c r="G7110" s="3">
        <v>76779</v>
      </c>
      <c r="H7110" s="7" t="str">
        <f>HYPERLINK("http://www.ensembl.org/Mus_musculus/Gene/Summary?db=core;g=ENSMUSG00000014232","ENSMUSG00000014232")</f>
        <v>ENSMUSG00000014232</v>
      </c>
      <c r="I7110" s="7" t="str">
        <f>HYPERLINK("http://www.informatics.jax.org/marker/MGI:1924029","MGI:1924029")</f>
        <v>MGI:1924029</v>
      </c>
      <c r="J7110" s="4" t="s">
        <v>12</v>
      </c>
    </row>
    <row r="7111" spans="1:10" x14ac:dyDescent="0.25">
      <c r="A7111" s="2">
        <v>1643.81077430601</v>
      </c>
      <c r="B7111" s="3">
        <v>-0.85181155020403698</v>
      </c>
      <c r="C7111" s="5">
        <v>7.3989082944603104E-26</v>
      </c>
      <c r="D7111" s="6">
        <v>9.3770225942646091E-25</v>
      </c>
      <c r="E7111" s="3" t="s">
        <v>3130</v>
      </c>
      <c r="F7111" s="3" t="s">
        <v>3131</v>
      </c>
      <c r="G7111" s="3">
        <v>226089</v>
      </c>
      <c r="H7111" s="7" t="str">
        <f>HYPERLINK("http://www.ensembl.org/Mus_musculus/Gene/Summary?db=core;g=ENSMUSG00000038658","ENSMUSG00000038658")</f>
        <v>ENSMUSG00000038658</v>
      </c>
      <c r="I7111" s="7" t="str">
        <f>HYPERLINK("http://www.informatics.jax.org/marker/MGI:1924893","MGI:1924893")</f>
        <v>MGI:1924893</v>
      </c>
      <c r="J7111" s="4" t="s">
        <v>12</v>
      </c>
    </row>
    <row r="7112" spans="1:10" x14ac:dyDescent="0.25">
      <c r="A7112" s="2">
        <v>1262.74797951051</v>
      </c>
      <c r="B7112" s="3">
        <v>-0.85286768727592899</v>
      </c>
      <c r="C7112" s="5">
        <v>2.84533223084774E-13</v>
      </c>
      <c r="D7112" s="6">
        <v>1.9729237550041299E-12</v>
      </c>
      <c r="E7112" s="3" t="s">
        <v>5706</v>
      </c>
      <c r="F7112" s="3" t="s">
        <v>83</v>
      </c>
      <c r="G7112" s="3" t="s">
        <v>83</v>
      </c>
      <c r="H7112" s="7" t="str">
        <f>HYPERLINK("http://www.ensembl.org/Mus_musculus/Gene/Summary?db=core;g=ENSMUSG00000095041","ENSMUSG00000095041")</f>
        <v>ENSMUSG00000095041</v>
      </c>
      <c r="I7112" s="3" t="s">
        <v>83</v>
      </c>
      <c r="J7112" s="4" t="s">
        <v>12</v>
      </c>
    </row>
    <row r="7113" spans="1:10" x14ac:dyDescent="0.25">
      <c r="A7113" s="2">
        <v>259.18648040725702</v>
      </c>
      <c r="B7113" s="3">
        <v>-0.852987707278829</v>
      </c>
      <c r="C7113" s="5">
        <v>1.58583757407788E-10</v>
      </c>
      <c r="D7113" s="6">
        <v>9.0909060932603995E-10</v>
      </c>
      <c r="E7113" s="3" t="s">
        <v>6898</v>
      </c>
      <c r="F7113" s="3" t="s">
        <v>6899</v>
      </c>
      <c r="G7113" s="3">
        <v>72140</v>
      </c>
      <c r="H7113" s="7" t="str">
        <f>HYPERLINK("http://www.ensembl.org/Mus_musculus/Gene/Summary?db=core;g=ENSMUSG00000023072","ENSMUSG00000023072")</f>
        <v>ENSMUSG00000023072</v>
      </c>
      <c r="I7113" s="7" t="str">
        <f>HYPERLINK("http://www.informatics.jax.org/marker/MGI:1919390","MGI:1919390")</f>
        <v>MGI:1919390</v>
      </c>
      <c r="J7113" s="4" t="s">
        <v>12</v>
      </c>
    </row>
    <row r="7114" spans="1:10" x14ac:dyDescent="0.25">
      <c r="A7114" s="2">
        <v>23.7481904699554</v>
      </c>
      <c r="B7114" s="3">
        <v>-0.85327075846168898</v>
      </c>
      <c r="C7114" s="3">
        <v>6.5556605428082105E-4</v>
      </c>
      <c r="D7114" s="4">
        <v>1.9861365171943198E-3</v>
      </c>
      <c r="E7114" s="3" t="s">
        <v>13027</v>
      </c>
      <c r="F7114" s="3" t="s">
        <v>13028</v>
      </c>
      <c r="G7114" s="3" t="s">
        <v>83</v>
      </c>
      <c r="H7114" s="7" t="str">
        <f>HYPERLINK("http://www.ensembl.org/Mus_musculus/Gene/Summary?db=core;g=ENSMUSG00000106978","ENSMUSG00000106978")</f>
        <v>ENSMUSG00000106978</v>
      </c>
      <c r="I7114" s="7" t="str">
        <f>HYPERLINK("http://www.informatics.jax.org/marker/MGI:1921484","MGI:1921484")</f>
        <v>MGI:1921484</v>
      </c>
      <c r="J7114" s="4" t="s">
        <v>331</v>
      </c>
    </row>
    <row r="7115" spans="1:10" x14ac:dyDescent="0.25">
      <c r="A7115" s="2">
        <v>592.20362504430398</v>
      </c>
      <c r="B7115" s="3">
        <v>-0.85355312826812302</v>
      </c>
      <c r="C7115" s="5">
        <v>2.10840587139223E-23</v>
      </c>
      <c r="D7115" s="6">
        <v>2.4173118478985398E-22</v>
      </c>
      <c r="E7115" s="3" t="s">
        <v>3458</v>
      </c>
      <c r="F7115" s="3" t="s">
        <v>3459</v>
      </c>
      <c r="G7115" s="3">
        <v>66193</v>
      </c>
      <c r="H7115" s="7" t="str">
        <f>HYPERLINK("http://www.ensembl.org/Mus_musculus/Gene/Summary?db=core;g=ENSMUSG00000028669","ENSMUSG00000028669")</f>
        <v>ENSMUSG00000028669</v>
      </c>
      <c r="I7115" s="7" t="str">
        <f>HYPERLINK("http://www.informatics.jax.org/marker/MGI:1913443","MGI:1913443")</f>
        <v>MGI:1913443</v>
      </c>
      <c r="J7115" s="4" t="s">
        <v>12</v>
      </c>
    </row>
    <row r="7116" spans="1:10" x14ac:dyDescent="0.25">
      <c r="A7116" s="2">
        <v>1367.9041527899301</v>
      </c>
      <c r="B7116" s="3">
        <v>-0.85374635743627403</v>
      </c>
      <c r="C7116" s="5">
        <v>1.2472712239546901E-41</v>
      </c>
      <c r="D7116" s="6">
        <v>2.6533105217245399E-40</v>
      </c>
      <c r="E7116" s="3" t="s">
        <v>1871</v>
      </c>
      <c r="F7116" s="3" t="s">
        <v>1872</v>
      </c>
      <c r="G7116" s="3">
        <v>26401</v>
      </c>
      <c r="H7116" s="7" t="str">
        <f>HYPERLINK("http://www.ensembl.org/Mus_musculus/Gene/Summary?db=core;g=ENSMUSG00000021754","ENSMUSG00000021754")</f>
        <v>ENSMUSG00000021754</v>
      </c>
      <c r="I7116" s="7" t="str">
        <f>HYPERLINK("http://www.informatics.jax.org/marker/MGI:1346872","MGI:1346872")</f>
        <v>MGI:1346872</v>
      </c>
      <c r="J7116" s="4" t="s">
        <v>12</v>
      </c>
    </row>
    <row r="7117" spans="1:10" x14ac:dyDescent="0.25">
      <c r="A7117" s="2">
        <v>724.92377979524997</v>
      </c>
      <c r="B7117" s="3">
        <v>-0.85447322959299599</v>
      </c>
      <c r="C7117" s="5">
        <v>2.6932771943562699E-14</v>
      </c>
      <c r="D7117" s="6">
        <v>1.9921765293587999E-13</v>
      </c>
      <c r="E7117" s="3" t="s">
        <v>5349</v>
      </c>
      <c r="F7117" s="3" t="s">
        <v>5350</v>
      </c>
      <c r="G7117" s="3">
        <v>332579</v>
      </c>
      <c r="H7117" s="7" t="str">
        <f>HYPERLINK("http://www.ensembl.org/Mus_musculus/Gene/Summary?db=core;g=ENSMUSG00000026928","ENSMUSG00000026928")</f>
        <v>ENSMUSG00000026928</v>
      </c>
      <c r="I7117" s="7" t="str">
        <f>HYPERLINK("http://www.informatics.jax.org/marker/MGI:2685628","MGI:2685628")</f>
        <v>MGI:2685628</v>
      </c>
      <c r="J7117" s="4" t="s">
        <v>12</v>
      </c>
    </row>
    <row r="7118" spans="1:10" x14ac:dyDescent="0.25">
      <c r="A7118" s="2">
        <v>352.68202033100903</v>
      </c>
      <c r="B7118" s="3">
        <v>-0.85543720058717498</v>
      </c>
      <c r="C7118" s="5">
        <v>6.4456656435177603E-19</v>
      </c>
      <c r="D7118" s="6">
        <v>6.1021856212275601E-18</v>
      </c>
      <c r="E7118" s="3" t="s">
        <v>4183</v>
      </c>
      <c r="F7118" s="3" t="s">
        <v>4184</v>
      </c>
      <c r="G7118" s="3">
        <v>230597</v>
      </c>
      <c r="H7118" s="7" t="str">
        <f>HYPERLINK("http://www.ensembl.org/Mus_musculus/Gene/Summary?db=core;g=ENSMUSG00000034557","ENSMUSG00000034557")</f>
        <v>ENSMUSG00000034557</v>
      </c>
      <c r="I7118" s="7" t="str">
        <f>HYPERLINK("http://www.informatics.jax.org/marker/MGI:2652838","MGI:2652838")</f>
        <v>MGI:2652838</v>
      </c>
      <c r="J7118" s="4" t="s">
        <v>12</v>
      </c>
    </row>
    <row r="7119" spans="1:10" x14ac:dyDescent="0.25">
      <c r="A7119" s="2">
        <v>19.955772558337401</v>
      </c>
      <c r="B7119" s="3">
        <v>-0.85552515719748401</v>
      </c>
      <c r="C7119" s="3">
        <v>3.8217503889948099E-3</v>
      </c>
      <c r="D7119" s="4">
        <v>1.0323961324791501E-2</v>
      </c>
      <c r="E7119" s="3" t="s">
        <v>14603</v>
      </c>
      <c r="F7119" s="3" t="s">
        <v>14604</v>
      </c>
      <c r="G7119" s="3">
        <v>71149</v>
      </c>
      <c r="H7119" s="7" t="str">
        <f>HYPERLINK("http://www.ensembl.org/Mus_musculus/Gene/Summary?db=core;g=ENSMUSG00000079304","ENSMUSG00000079304")</f>
        <v>ENSMUSG00000079304</v>
      </c>
      <c r="I7119" s="7" t="str">
        <f>HYPERLINK("http://www.informatics.jax.org/marker/MGI:1918399","MGI:1918399")</f>
        <v>MGI:1918399</v>
      </c>
      <c r="J7119" s="4" t="s">
        <v>12</v>
      </c>
    </row>
    <row r="7120" spans="1:10" x14ac:dyDescent="0.25">
      <c r="A7120" s="2">
        <v>32.356557000814199</v>
      </c>
      <c r="B7120" s="3">
        <v>-0.85624059595893898</v>
      </c>
      <c r="C7120" s="3">
        <v>1.20726720622353E-4</v>
      </c>
      <c r="D7120" s="4">
        <v>4.0285372753049098E-4</v>
      </c>
      <c r="E7120" s="3" t="s">
        <v>11829</v>
      </c>
      <c r="F7120" s="3" t="s">
        <v>11830</v>
      </c>
      <c r="G7120" s="3">
        <v>68618</v>
      </c>
      <c r="H7120" s="7" t="str">
        <f>HYPERLINK("http://www.ensembl.org/Mus_musculus/Gene/Summary?db=core;g=ENSMUSG00000045237","ENSMUSG00000045237")</f>
        <v>ENSMUSG00000045237</v>
      </c>
      <c r="I7120" s="7" t="str">
        <f>HYPERLINK("http://www.informatics.jax.org/marker/MGI:1915868","MGI:1915868")</f>
        <v>MGI:1915868</v>
      </c>
      <c r="J7120" s="4" t="s">
        <v>12</v>
      </c>
    </row>
    <row r="7121" spans="1:10" x14ac:dyDescent="0.25">
      <c r="A7121" s="2">
        <v>6.6968204646172298</v>
      </c>
      <c r="B7121" s="3">
        <v>-0.85658212552548296</v>
      </c>
      <c r="C7121" s="3">
        <v>1.7527091940766199E-2</v>
      </c>
      <c r="D7121" s="4">
        <v>4.14379874202025E-2</v>
      </c>
      <c r="E7121" s="3" t="s">
        <v>16686</v>
      </c>
      <c r="F7121" s="3" t="s">
        <v>16687</v>
      </c>
      <c r="G7121" s="3" t="s">
        <v>83</v>
      </c>
      <c r="H7121" s="7" t="str">
        <f>HYPERLINK("http://www.ensembl.org/Mus_musculus/Gene/Summary?db=core;g=ENSMUSG00000086851","ENSMUSG00000086851")</f>
        <v>ENSMUSG00000086851</v>
      </c>
      <c r="I7121" s="7" t="str">
        <f>HYPERLINK("http://www.informatics.jax.org/marker/MGI:2442478","MGI:2442478")</f>
        <v>MGI:2442478</v>
      </c>
      <c r="J7121" s="4" t="s">
        <v>331</v>
      </c>
    </row>
    <row r="7122" spans="1:10" x14ac:dyDescent="0.25">
      <c r="A7122" s="2">
        <v>575.51090926896495</v>
      </c>
      <c r="B7122" s="3">
        <v>-0.85689250138525896</v>
      </c>
      <c r="C7122" s="5">
        <v>1.00762798889457E-20</v>
      </c>
      <c r="D7122" s="6">
        <v>1.03330337706714E-19</v>
      </c>
      <c r="E7122" s="3" t="s">
        <v>3864</v>
      </c>
      <c r="F7122" s="3" t="s">
        <v>3865</v>
      </c>
      <c r="G7122" s="3">
        <v>97031</v>
      </c>
      <c r="H7122" s="7" t="str">
        <f>HYPERLINK("http://www.ensembl.org/Mus_musculus/Gene/Summary?db=core;g=ENSMUSG00000048707","ENSMUSG00000048707")</f>
        <v>ENSMUSG00000048707</v>
      </c>
      <c r="I7122" s="7" t="str">
        <f>HYPERLINK("http://www.informatics.jax.org/marker/MGI:2139535","MGI:2139535")</f>
        <v>MGI:2139535</v>
      </c>
      <c r="J7122" s="4" t="s">
        <v>12</v>
      </c>
    </row>
    <row r="7123" spans="1:10" x14ac:dyDescent="0.25">
      <c r="A7123" s="2">
        <v>7.8211843945899799</v>
      </c>
      <c r="B7123" s="3">
        <v>-0.85719185719436197</v>
      </c>
      <c r="C7123" s="3">
        <v>2.07908320031806E-2</v>
      </c>
      <c r="D7123" s="4">
        <v>4.8325082311146197E-2</v>
      </c>
      <c r="E7123" s="3" t="s">
        <v>16974</v>
      </c>
      <c r="F7123" s="3" t="s">
        <v>16975</v>
      </c>
      <c r="G7123" s="3" t="s">
        <v>83</v>
      </c>
      <c r="H7123" s="7" t="str">
        <f>HYPERLINK("http://www.ensembl.org/Mus_musculus/Gene/Summary?db=core;g=ENSMUSG00000037535","ENSMUSG00000037535")</f>
        <v>ENSMUSG00000037535</v>
      </c>
      <c r="I7123" s="7" t="str">
        <f>HYPERLINK("http://www.informatics.jax.org/marker/MGI:1924174","MGI:1924174")</f>
        <v>MGI:1924174</v>
      </c>
      <c r="J7123" s="4" t="s">
        <v>939</v>
      </c>
    </row>
    <row r="7124" spans="1:10" x14ac:dyDescent="0.25">
      <c r="A7124" s="2">
        <v>367.43451165048498</v>
      </c>
      <c r="B7124" s="3">
        <v>-0.857323416815994</v>
      </c>
      <c r="C7124" s="5">
        <v>3.4418059830294601E-17</v>
      </c>
      <c r="D7124" s="6">
        <v>2.9703463450915099E-16</v>
      </c>
      <c r="E7124" s="3" t="s">
        <v>4587</v>
      </c>
      <c r="F7124" s="3" t="s">
        <v>4588</v>
      </c>
      <c r="G7124" s="3">
        <v>27883</v>
      </c>
      <c r="H7124" s="7" t="str">
        <f>HYPERLINK("http://www.ensembl.org/Mus_musculus/Gene/Summary?db=core;g=ENSMUSG00000013539","ENSMUSG00000013539")</f>
        <v>ENSMUSG00000013539</v>
      </c>
      <c r="I7124" s="7" t="str">
        <f>HYPERLINK("http://www.informatics.jax.org/marker/MGI:101825","MGI:101825")</f>
        <v>MGI:101825</v>
      </c>
      <c r="J7124" s="4" t="s">
        <v>12</v>
      </c>
    </row>
    <row r="7125" spans="1:10" x14ac:dyDescent="0.25">
      <c r="A7125" s="2">
        <v>42.636130019215699</v>
      </c>
      <c r="B7125" s="3">
        <v>-0.85735521340084797</v>
      </c>
      <c r="C7125" s="5">
        <v>6.0913247621809299E-5</v>
      </c>
      <c r="D7125" s="4">
        <v>2.1033255876415301E-4</v>
      </c>
      <c r="E7125" s="3" t="s">
        <v>11433</v>
      </c>
      <c r="F7125" s="3" t="s">
        <v>11434</v>
      </c>
      <c r="G7125" s="3">
        <v>75530</v>
      </c>
      <c r="H7125" s="7" t="str">
        <f>HYPERLINK("http://www.ensembl.org/Mus_musculus/Gene/Summary?db=core;g=ENSMUSG00000020268","ENSMUSG00000020268")</f>
        <v>ENSMUSG00000020268</v>
      </c>
      <c r="I7125" s="7" t="str">
        <f>HYPERLINK("http://www.informatics.jax.org/marker/MGI:1922780","MGI:1922780")</f>
        <v>MGI:1922780</v>
      </c>
      <c r="J7125" s="4" t="s">
        <v>12</v>
      </c>
    </row>
    <row r="7126" spans="1:10" x14ac:dyDescent="0.25">
      <c r="A7126" s="2">
        <v>242.624392954651</v>
      </c>
      <c r="B7126" s="3">
        <v>-0.85755377250337605</v>
      </c>
      <c r="C7126" s="5">
        <v>3.3119082744930201E-19</v>
      </c>
      <c r="D7126" s="6">
        <v>3.1704286977185601E-18</v>
      </c>
      <c r="E7126" s="3" t="s">
        <v>4137</v>
      </c>
      <c r="F7126" s="3" t="s">
        <v>4138</v>
      </c>
      <c r="G7126" s="3">
        <v>67196</v>
      </c>
      <c r="H7126" s="7" t="str">
        <f>HYPERLINK("http://www.ensembl.org/Mus_musculus/Gene/Summary?db=core;g=ENSMUSG00000026429","ENSMUSG00000026429")</f>
        <v>ENSMUSG00000026429</v>
      </c>
      <c r="I7126" s="7" t="str">
        <f>HYPERLINK("http://www.informatics.jax.org/marker/MGI:1914446","MGI:1914446")</f>
        <v>MGI:1914446</v>
      </c>
      <c r="J7126" s="4" t="s">
        <v>12</v>
      </c>
    </row>
    <row r="7127" spans="1:10" x14ac:dyDescent="0.25">
      <c r="A7127" s="2">
        <v>38.796359323922402</v>
      </c>
      <c r="B7127" s="3">
        <v>-0.85776034468162698</v>
      </c>
      <c r="C7127" s="5">
        <v>3.46010711146311E-6</v>
      </c>
      <c r="D7127" s="6">
        <v>1.3570666714012E-5</v>
      </c>
      <c r="E7127" s="3" t="s">
        <v>10072</v>
      </c>
      <c r="F7127" s="3" t="s">
        <v>10073</v>
      </c>
      <c r="G7127" s="3">
        <v>77117</v>
      </c>
      <c r="H7127" s="7" t="str">
        <f>HYPERLINK("http://www.ensembl.org/Mus_musculus/Gene/Summary?db=core;g=ENSMUSG00000074865","ENSMUSG00000074865")</f>
        <v>ENSMUSG00000074865</v>
      </c>
      <c r="I7127" s="7" t="str">
        <f>HYPERLINK("http://www.informatics.jax.org/marker/MGI:1924367","MGI:1924367")</f>
        <v>MGI:1924367</v>
      </c>
      <c r="J7127" s="4" t="s">
        <v>12</v>
      </c>
    </row>
    <row r="7128" spans="1:10" x14ac:dyDescent="0.25">
      <c r="A7128" s="2">
        <v>310.07088153226101</v>
      </c>
      <c r="B7128" s="3">
        <v>-0.85796371997350096</v>
      </c>
      <c r="C7128" s="5">
        <v>3.75817685256092E-8</v>
      </c>
      <c r="D7128" s="6">
        <v>1.7653941765722101E-7</v>
      </c>
      <c r="E7128" s="3" t="s">
        <v>8413</v>
      </c>
      <c r="F7128" s="3" t="s">
        <v>8414</v>
      </c>
      <c r="G7128" s="3">
        <v>76612</v>
      </c>
      <c r="H7128" s="7" t="str">
        <f>HYPERLINK("http://www.ensembl.org/Mus_musculus/Gene/Summary?db=core;g=ENSMUSG00000015980","ENSMUSG00000015980")</f>
        <v>ENSMUSG00000015980</v>
      </c>
      <c r="I7128" s="7" t="str">
        <f>HYPERLINK("http://www.informatics.jax.org/marker/MGI:1923862","MGI:1923862")</f>
        <v>MGI:1923862</v>
      </c>
      <c r="J7128" s="4" t="s">
        <v>12</v>
      </c>
    </row>
    <row r="7129" spans="1:10" x14ac:dyDescent="0.25">
      <c r="A7129" s="2">
        <v>237.23083322079799</v>
      </c>
      <c r="B7129" s="3">
        <v>-0.85893330163860704</v>
      </c>
      <c r="C7129" s="5">
        <v>9.1943497880915805E-22</v>
      </c>
      <c r="D7129" s="6">
        <v>9.8325692961586701E-21</v>
      </c>
      <c r="E7129" s="3" t="s">
        <v>3706</v>
      </c>
      <c r="F7129" s="3" t="s">
        <v>3707</v>
      </c>
      <c r="G7129" s="3">
        <v>170936</v>
      </c>
      <c r="H7129" s="7" t="str">
        <f>HYPERLINK("http://www.ensembl.org/Mus_musculus/Gene/Summary?db=core;g=ENSMUSG00000021514","ENSMUSG00000021514")</f>
        <v>ENSMUSG00000021514</v>
      </c>
      <c r="I7129" s="7" t="str">
        <f>HYPERLINK("http://www.informatics.jax.org/marker/MGI:2176229","MGI:2176229")</f>
        <v>MGI:2176229</v>
      </c>
      <c r="J7129" s="4" t="s">
        <v>12</v>
      </c>
    </row>
    <row r="7130" spans="1:10" x14ac:dyDescent="0.25">
      <c r="A7130" s="2">
        <v>704.56887412404103</v>
      </c>
      <c r="B7130" s="3">
        <v>-0.85939071213201401</v>
      </c>
      <c r="C7130" s="5">
        <v>4.9511022218338598E-29</v>
      </c>
      <c r="D7130" s="6">
        <v>7.0597061326510304E-28</v>
      </c>
      <c r="E7130" s="3" t="s">
        <v>2784</v>
      </c>
      <c r="F7130" s="3" t="s">
        <v>2785</v>
      </c>
      <c r="G7130" s="3">
        <v>20585</v>
      </c>
      <c r="H7130" s="7" t="str">
        <f>HYPERLINK("http://www.ensembl.org/Mus_musculus/Gene/Summary?db=core;g=ENSMUSG00000002428","ENSMUSG00000002428")</f>
        <v>ENSMUSG00000002428</v>
      </c>
      <c r="I7130" s="7" t="str">
        <f>HYPERLINK("http://www.informatics.jax.org/marker/MGI:1196437","MGI:1196437")</f>
        <v>MGI:1196437</v>
      </c>
      <c r="J7130" s="4" t="s">
        <v>12</v>
      </c>
    </row>
    <row r="7131" spans="1:10" x14ac:dyDescent="0.25">
      <c r="A7131" s="2">
        <v>1048.79141465159</v>
      </c>
      <c r="B7131" s="3">
        <v>-0.85945390090652796</v>
      </c>
      <c r="C7131" s="5">
        <v>1.59000559704644E-43</v>
      </c>
      <c r="D7131" s="6">
        <v>3.5711743022500902E-42</v>
      </c>
      <c r="E7131" s="3" t="s">
        <v>1772</v>
      </c>
      <c r="F7131" s="3" t="s">
        <v>1773</v>
      </c>
      <c r="G7131" s="3">
        <v>112405</v>
      </c>
      <c r="H7131" s="7" t="str">
        <f>HYPERLINK("http://www.ensembl.org/Mus_musculus/Gene/Summary?db=core;g=ENSMUSG00000031987","ENSMUSG00000031987")</f>
        <v>ENSMUSG00000031987</v>
      </c>
      <c r="I7131" s="7" t="str">
        <f>HYPERLINK("http://www.informatics.jax.org/marker/MGI:1932286","MGI:1932286")</f>
        <v>MGI:1932286</v>
      </c>
      <c r="J7131" s="4" t="s">
        <v>12</v>
      </c>
    </row>
    <row r="7132" spans="1:10" x14ac:dyDescent="0.25">
      <c r="A7132" s="2">
        <v>162.020472064442</v>
      </c>
      <c r="B7132" s="3">
        <v>-0.85962801380116705</v>
      </c>
      <c r="C7132" s="5">
        <v>6.6026905745595901E-12</v>
      </c>
      <c r="D7132" s="6">
        <v>4.1880044429178203E-11</v>
      </c>
      <c r="E7132" s="3" t="s">
        <v>6235</v>
      </c>
      <c r="F7132" s="3" t="s">
        <v>6236</v>
      </c>
      <c r="G7132" s="3">
        <v>217935</v>
      </c>
      <c r="H7132" s="7" t="str">
        <f>HYPERLINK("http://www.ensembl.org/Mus_musculus/Gene/Summary?db=core;g=ENSMUSG00000042050","ENSMUSG00000042050")</f>
        <v>ENSMUSG00000042050</v>
      </c>
      <c r="I7132" s="7" t="str">
        <f>HYPERLINK("http://www.informatics.jax.org/marker/MGI:2445085","MGI:2445085")</f>
        <v>MGI:2445085</v>
      </c>
      <c r="J7132" s="4" t="s">
        <v>12</v>
      </c>
    </row>
    <row r="7133" spans="1:10" x14ac:dyDescent="0.25">
      <c r="A7133" s="2">
        <v>781.98965829464601</v>
      </c>
      <c r="B7133" s="3">
        <v>-0.85986039011626103</v>
      </c>
      <c r="C7133" s="5">
        <v>1.08855279925197E-44</v>
      </c>
      <c r="D7133" s="6">
        <v>2.5343873909384601E-43</v>
      </c>
      <c r="E7133" s="3" t="s">
        <v>1710</v>
      </c>
      <c r="F7133" s="3" t="s">
        <v>1711</v>
      </c>
      <c r="G7133" s="3">
        <v>68968</v>
      </c>
      <c r="H7133" s="7" t="str">
        <f>HYPERLINK("http://www.ensembl.org/Mus_musculus/Gene/Summary?db=core;g=ENSMUSG00000027284","ENSMUSG00000027284")</f>
        <v>ENSMUSG00000027284</v>
      </c>
      <c r="I7133" s="7" t="str">
        <f>HYPERLINK("http://www.informatics.jax.org/marker/MGI:1916218","MGI:1916218")</f>
        <v>MGI:1916218</v>
      </c>
      <c r="J7133" s="4" t="s">
        <v>12</v>
      </c>
    </row>
    <row r="7134" spans="1:10" x14ac:dyDescent="0.25">
      <c r="A7134" s="2">
        <v>33.903558898674</v>
      </c>
      <c r="B7134" s="3">
        <v>-0.86034574701786004</v>
      </c>
      <c r="C7134" s="3">
        <v>1.04985362272279E-4</v>
      </c>
      <c r="D7134" s="4">
        <v>3.5329545119613303E-4</v>
      </c>
      <c r="E7134" s="3" t="s">
        <v>11731</v>
      </c>
      <c r="F7134" s="3" t="s">
        <v>11732</v>
      </c>
      <c r="G7134" s="3">
        <v>13805</v>
      </c>
      <c r="H7134" s="7" t="str">
        <f>HYPERLINK("http://www.ensembl.org/Mus_musculus/Gene/Summary?db=core;g=ENSMUSG00000026814","ENSMUSG00000026814")</f>
        <v>ENSMUSG00000026814</v>
      </c>
      <c r="I7134" s="7" t="str">
        <f>HYPERLINK("http://www.informatics.jax.org/marker/MGI:95392","MGI:95392")</f>
        <v>MGI:95392</v>
      </c>
      <c r="J7134" s="4" t="s">
        <v>12</v>
      </c>
    </row>
    <row r="7135" spans="1:10" x14ac:dyDescent="0.25">
      <c r="A7135" s="2">
        <v>86.239433876054505</v>
      </c>
      <c r="B7135" s="3">
        <v>-0.860927260143037</v>
      </c>
      <c r="C7135" s="3">
        <v>1.2344999627530499E-4</v>
      </c>
      <c r="D7135" s="4">
        <v>4.1149998758434998E-4</v>
      </c>
      <c r="E7135" s="3" t="s">
        <v>11843</v>
      </c>
      <c r="F7135" s="3" t="s">
        <v>11844</v>
      </c>
      <c r="G7135" s="3">
        <v>22635</v>
      </c>
      <c r="H7135" s="7" t="str">
        <f>HYPERLINK("http://www.ensembl.org/Mus_musculus/Gene/Summary?db=core;g=ENSMUSG00000079173","ENSMUSG00000079173")</f>
        <v>ENSMUSG00000079173</v>
      </c>
      <c r="I7135" s="7" t="str">
        <f>HYPERLINK("http://www.informatics.jax.org/marker/MGI:106656","MGI:106656")</f>
        <v>MGI:106656</v>
      </c>
      <c r="J7135" s="4" t="s">
        <v>12</v>
      </c>
    </row>
    <row r="7136" spans="1:10" x14ac:dyDescent="0.25">
      <c r="A7136" s="2">
        <v>855.71337286069604</v>
      </c>
      <c r="B7136" s="3">
        <v>-0.86095158077426703</v>
      </c>
      <c r="C7136" s="5">
        <v>7.4448640329734903E-14</v>
      </c>
      <c r="D7136" s="6">
        <v>5.3542202308620397E-13</v>
      </c>
      <c r="E7136" s="3" t="s">
        <v>5501</v>
      </c>
      <c r="F7136" s="3" t="s">
        <v>5502</v>
      </c>
      <c r="G7136" s="3">
        <v>76524</v>
      </c>
      <c r="H7136" s="7" t="str">
        <f>HYPERLINK("http://www.ensembl.org/Mus_musculus/Gene/Summary?db=core;g=ENSMUSG00000032245","ENSMUSG00000032245")</f>
        <v>ENSMUSG00000032245</v>
      </c>
      <c r="I7136" s="7" t="str">
        <f>HYPERLINK("http://www.informatics.jax.org/marker/MGI:2159324","MGI:2159324")</f>
        <v>MGI:2159324</v>
      </c>
      <c r="J7136" s="4" t="s">
        <v>12</v>
      </c>
    </row>
    <row r="7137" spans="1:10" x14ac:dyDescent="0.25">
      <c r="A7137" s="2">
        <v>170.02056059270799</v>
      </c>
      <c r="B7137" s="3">
        <v>-0.86097349866012496</v>
      </c>
      <c r="C7137" s="5">
        <v>6.2406291927031896E-13</v>
      </c>
      <c r="D7137" s="6">
        <v>4.2334092769214596E-12</v>
      </c>
      <c r="E7137" s="3" t="s">
        <v>5831</v>
      </c>
      <c r="F7137" s="3" t="s">
        <v>5832</v>
      </c>
      <c r="G7137" s="3">
        <v>239849</v>
      </c>
      <c r="H7137" s="7" t="str">
        <f>HYPERLINK("http://www.ensembl.org/Mus_musculus/Gene/Summary?db=core;g=ENSMUSG00000062082","ENSMUSG00000062082")</f>
        <v>ENSMUSG00000062082</v>
      </c>
      <c r="I7137" s="7" t="str">
        <f>HYPERLINK("http://www.informatics.jax.org/marker/MGI:3036289","MGI:3036289")</f>
        <v>MGI:3036289</v>
      </c>
      <c r="J7137" s="4" t="s">
        <v>12</v>
      </c>
    </row>
    <row r="7138" spans="1:10" x14ac:dyDescent="0.25">
      <c r="A7138" s="2">
        <v>1748.03684247007</v>
      </c>
      <c r="B7138" s="3">
        <v>-0.862517584225302</v>
      </c>
      <c r="C7138" s="5">
        <v>8.9476254308283198E-34</v>
      </c>
      <c r="D7138" s="6">
        <v>1.48150439543186E-32</v>
      </c>
      <c r="E7138" s="3" t="s">
        <v>2399</v>
      </c>
      <c r="F7138" s="3" t="s">
        <v>2400</v>
      </c>
      <c r="G7138" s="3">
        <v>230815</v>
      </c>
      <c r="H7138" s="7" t="str">
        <f>HYPERLINK("http://www.ensembl.org/Mus_musculus/Gene/Summary?db=core;g=ENSMUSG00000037306","ENSMUSG00000037306")</f>
        <v>ENSMUSG00000037306</v>
      </c>
      <c r="I7138" s="7" t="str">
        <f>HYPERLINK("http://www.informatics.jax.org/marker/MGI:2446214","MGI:2446214")</f>
        <v>MGI:2446214</v>
      </c>
      <c r="J7138" s="4" t="s">
        <v>12</v>
      </c>
    </row>
    <row r="7139" spans="1:10" x14ac:dyDescent="0.25">
      <c r="A7139" s="2">
        <v>134.93037070109401</v>
      </c>
      <c r="B7139" s="3">
        <v>-0.86341083355104498</v>
      </c>
      <c r="C7139" s="5">
        <v>1.1581642497623899E-14</v>
      </c>
      <c r="D7139" s="6">
        <v>8.7572848946757806E-14</v>
      </c>
      <c r="E7139" s="3" t="s">
        <v>5233</v>
      </c>
      <c r="F7139" s="3" t="s">
        <v>5234</v>
      </c>
      <c r="G7139" s="3">
        <v>101602</v>
      </c>
      <c r="H7139" s="7" t="str">
        <f>HYPERLINK("http://www.ensembl.org/Mus_musculus/Gene/Summary?db=core;g=ENSMUSG00000045165","ENSMUSG00000045165")</f>
        <v>ENSMUSG00000045165</v>
      </c>
      <c r="I7139" s="7" t="str">
        <f>HYPERLINK("http://www.informatics.jax.org/marker/MGI:2141979","MGI:2141979")</f>
        <v>MGI:2141979</v>
      </c>
      <c r="J7139" s="4" t="s">
        <v>12</v>
      </c>
    </row>
    <row r="7140" spans="1:10" x14ac:dyDescent="0.25">
      <c r="A7140" s="2">
        <v>336.54737400578898</v>
      </c>
      <c r="B7140" s="3">
        <v>-0.86364474680910297</v>
      </c>
      <c r="C7140" s="5">
        <v>3.5541797941443098E-29</v>
      </c>
      <c r="D7140" s="6">
        <v>5.0899364953177697E-28</v>
      </c>
      <c r="E7140" s="3" t="s">
        <v>2772</v>
      </c>
      <c r="F7140" s="3" t="s">
        <v>2773</v>
      </c>
      <c r="G7140" s="3">
        <v>18861</v>
      </c>
      <c r="H7140" s="7" t="str">
        <f>HYPERLINK("http://www.ensembl.org/Mus_musculus/Gene/Summary?db=core;g=ENSMUSG00000079109","ENSMUSG00000079109")</f>
        <v>ENSMUSG00000079109</v>
      </c>
      <c r="I7140" s="7" t="str">
        <f>HYPERLINK("http://www.informatics.jax.org/marker/MGI:104288","MGI:104288")</f>
        <v>MGI:104288</v>
      </c>
      <c r="J7140" s="4" t="s">
        <v>12</v>
      </c>
    </row>
    <row r="7141" spans="1:10" x14ac:dyDescent="0.25">
      <c r="A7141" s="2">
        <v>33.073847884636599</v>
      </c>
      <c r="B7141" s="3">
        <v>-0.86370918371116201</v>
      </c>
      <c r="C7141" s="3">
        <v>1.69762104533463E-4</v>
      </c>
      <c r="D7141" s="4">
        <v>5.55544092499154E-4</v>
      </c>
      <c r="E7141" s="3" t="s">
        <v>12063</v>
      </c>
      <c r="F7141" s="3" t="s">
        <v>12064</v>
      </c>
      <c r="G7141" s="3">
        <v>22017</v>
      </c>
      <c r="H7141" s="7" t="str">
        <f>HYPERLINK("http://www.ensembl.org/Mus_musculus/Gene/Summary?db=core;g=ENSMUSG00000021376","ENSMUSG00000021376")</f>
        <v>ENSMUSG00000021376</v>
      </c>
      <c r="I7141" s="7" t="str">
        <f>HYPERLINK("http://www.informatics.jax.org/marker/MGI:98812","MGI:98812")</f>
        <v>MGI:98812</v>
      </c>
      <c r="J7141" s="4" t="s">
        <v>12</v>
      </c>
    </row>
    <row r="7142" spans="1:10" x14ac:dyDescent="0.25">
      <c r="A7142" s="2">
        <v>1141.8531070696199</v>
      </c>
      <c r="B7142" s="3">
        <v>-0.86525706430326399</v>
      </c>
      <c r="C7142" s="5">
        <v>1.8941497281543299E-20</v>
      </c>
      <c r="D7142" s="6">
        <v>1.91945697015433E-19</v>
      </c>
      <c r="E7142" s="3" t="s">
        <v>3910</v>
      </c>
      <c r="F7142" s="3" t="s">
        <v>3911</v>
      </c>
      <c r="G7142" s="3">
        <v>14235</v>
      </c>
      <c r="H7142" s="7" t="str">
        <f>HYPERLINK("http://www.ensembl.org/Mus_musculus/Gene/Summary?db=core;g=ENSMUSG00000001517","ENSMUSG00000001517")</f>
        <v>ENSMUSG00000001517</v>
      </c>
      <c r="I7142" s="7" t="str">
        <f>HYPERLINK("http://www.informatics.jax.org/marker/MGI:1347487","MGI:1347487")</f>
        <v>MGI:1347487</v>
      </c>
      <c r="J7142" s="4" t="s">
        <v>12</v>
      </c>
    </row>
    <row r="7143" spans="1:10" x14ac:dyDescent="0.25">
      <c r="A7143" s="2">
        <v>60.315133998981501</v>
      </c>
      <c r="B7143" s="3">
        <v>-0.86538051709043995</v>
      </c>
      <c r="C7143" s="5">
        <v>1.0144734389275999E-8</v>
      </c>
      <c r="D7143" s="6">
        <v>5.03154331379584E-8</v>
      </c>
      <c r="E7143" s="3" t="s">
        <v>7969</v>
      </c>
      <c r="F7143" s="3" t="s">
        <v>7970</v>
      </c>
      <c r="G7143" s="3">
        <v>22377</v>
      </c>
      <c r="H7143" s="7" t="str">
        <f>HYPERLINK("http://www.ensembl.org/Mus_musculus/Gene/Summary?db=core;g=ENSMUSG00000030035","ENSMUSG00000030035")</f>
        <v>ENSMUSG00000030035</v>
      </c>
      <c r="I7143" s="7" t="str">
        <f>HYPERLINK("http://www.informatics.jax.org/marker/MGI:104710","MGI:104710")</f>
        <v>MGI:104710</v>
      </c>
      <c r="J7143" s="4" t="s">
        <v>12</v>
      </c>
    </row>
    <row r="7144" spans="1:10" x14ac:dyDescent="0.25">
      <c r="A7144" s="2">
        <v>13.2145598390268</v>
      </c>
      <c r="B7144" s="3">
        <v>-0.86574639241829399</v>
      </c>
      <c r="C7144" s="3">
        <v>1.2316331575177499E-2</v>
      </c>
      <c r="D7144" s="4">
        <v>3.00666079057317E-2</v>
      </c>
      <c r="E7144" s="3" t="s">
        <v>16161</v>
      </c>
      <c r="F7144" s="3" t="s">
        <v>16162</v>
      </c>
      <c r="G7144" s="3">
        <v>14263</v>
      </c>
      <c r="H7144" s="7" t="str">
        <f>HYPERLINK("http://www.ensembl.org/Mus_musculus/Gene/Summary?db=core;g=ENSMUSG00000028088","ENSMUSG00000028088")</f>
        <v>ENSMUSG00000028088</v>
      </c>
      <c r="I7144" s="7" t="str">
        <f>HYPERLINK("http://www.informatics.jax.org/marker/MGI:1310004","MGI:1310004")</f>
        <v>MGI:1310004</v>
      </c>
      <c r="J7144" s="4" t="s">
        <v>12</v>
      </c>
    </row>
    <row r="7145" spans="1:10" x14ac:dyDescent="0.25">
      <c r="A7145" s="2">
        <v>66.0433798582131</v>
      </c>
      <c r="B7145" s="3">
        <v>-0.86584449579259404</v>
      </c>
      <c r="C7145" s="5">
        <v>2.47330403414501E-9</v>
      </c>
      <c r="D7145" s="6">
        <v>1.28452872144692E-8</v>
      </c>
      <c r="E7145" s="3" t="s">
        <v>7612</v>
      </c>
      <c r="F7145" s="3" t="s">
        <v>7613</v>
      </c>
      <c r="G7145" s="3">
        <v>22756</v>
      </c>
      <c r="H7145" s="7" t="str">
        <f>HYPERLINK("http://www.ensembl.org/Mus_musculus/Gene/Summary?db=core;g=ENSMUSG00000074282","ENSMUSG00000074282")</f>
        <v>ENSMUSG00000074282</v>
      </c>
      <c r="I7145" s="7" t="str">
        <f>HYPERLINK("http://www.informatics.jax.org/marker/MGI:107610","MGI:107610")</f>
        <v>MGI:107610</v>
      </c>
      <c r="J7145" s="4" t="s">
        <v>12</v>
      </c>
    </row>
    <row r="7146" spans="1:10" x14ac:dyDescent="0.25">
      <c r="A7146" s="2">
        <v>14.5474853091835</v>
      </c>
      <c r="B7146" s="3">
        <v>-0.86673699770105295</v>
      </c>
      <c r="C7146" s="3">
        <v>1.9356678680764699E-3</v>
      </c>
      <c r="D7146" s="4">
        <v>5.4820293491983302E-3</v>
      </c>
      <c r="E7146" s="3" t="s">
        <v>13933</v>
      </c>
      <c r="F7146" s="3" t="s">
        <v>13934</v>
      </c>
      <c r="G7146" s="3">
        <v>69129</v>
      </c>
      <c r="H7146" s="7" t="str">
        <f>HYPERLINK("http://www.ensembl.org/Mus_musculus/Gene/Summary?db=core;g=ENSMUSG00000069633","ENSMUSG00000069633")</f>
        <v>ENSMUSG00000069633</v>
      </c>
      <c r="I7146" s="7" t="str">
        <f>HYPERLINK("http://www.informatics.jax.org/marker/MGI:1920905","MGI:1920905")</f>
        <v>MGI:1920905</v>
      </c>
      <c r="J7146" s="4" t="s">
        <v>12</v>
      </c>
    </row>
    <row r="7147" spans="1:10" x14ac:dyDescent="0.25">
      <c r="A7147" s="2">
        <v>1252.7034184771901</v>
      </c>
      <c r="B7147" s="3">
        <v>-0.86682510132759905</v>
      </c>
      <c r="C7147" s="5">
        <v>2.8703005784415699E-28</v>
      </c>
      <c r="D7147" s="6">
        <v>3.9665260971876503E-27</v>
      </c>
      <c r="E7147" s="3" t="s">
        <v>2872</v>
      </c>
      <c r="F7147" s="3" t="s">
        <v>2873</v>
      </c>
      <c r="G7147" s="3">
        <v>110639</v>
      </c>
      <c r="H7147" s="7" t="str">
        <f>HYPERLINK("http://www.ensembl.org/Mus_musculus/Gene/Summary?db=core;g=ENSMUSG00000025742","ENSMUSG00000025742")</f>
        <v>ENSMUSG00000025742</v>
      </c>
      <c r="I7147" s="7" t="str">
        <f>HYPERLINK("http://www.informatics.jax.org/marker/MGI:97776","MGI:97776")</f>
        <v>MGI:97776</v>
      </c>
      <c r="J7147" s="4" t="s">
        <v>12</v>
      </c>
    </row>
    <row r="7148" spans="1:10" x14ac:dyDescent="0.25">
      <c r="A7148" s="2">
        <v>21.228929784745599</v>
      </c>
      <c r="B7148" s="3">
        <v>-0.867138517411287</v>
      </c>
      <c r="C7148" s="3">
        <v>1.1120314159914701E-3</v>
      </c>
      <c r="D7148" s="4">
        <v>3.2574657640154201E-3</v>
      </c>
      <c r="E7148" s="3" t="s">
        <v>13473</v>
      </c>
      <c r="F7148" s="3" t="s">
        <v>13474</v>
      </c>
      <c r="G7148" s="3" t="s">
        <v>83</v>
      </c>
      <c r="H7148" s="7" t="str">
        <f>HYPERLINK("http://www.ensembl.org/Mus_musculus/Gene/Summary?db=core;g=ENSMUSG00000087403","ENSMUSG00000087403")</f>
        <v>ENSMUSG00000087403</v>
      </c>
      <c r="I7148" s="7" t="str">
        <f>HYPERLINK("http://www.informatics.jax.org/marker/MGI:1920247","MGI:1920247")</f>
        <v>MGI:1920247</v>
      </c>
      <c r="J7148" s="4" t="s">
        <v>12</v>
      </c>
    </row>
    <row r="7149" spans="1:10" x14ac:dyDescent="0.25">
      <c r="A7149" s="2">
        <v>2656.4692612502899</v>
      </c>
      <c r="B7149" s="3">
        <v>-0.86717760133579003</v>
      </c>
      <c r="C7149" s="5">
        <v>3.6047524481216899E-109</v>
      </c>
      <c r="D7149" s="6">
        <v>3.3689913875336299E-107</v>
      </c>
      <c r="E7149" s="3" t="s">
        <v>434</v>
      </c>
      <c r="F7149" s="3" t="s">
        <v>435</v>
      </c>
      <c r="G7149" s="3">
        <v>19262</v>
      </c>
      <c r="H7149" s="7" t="str">
        <f>HYPERLINK("http://www.ensembl.org/Mus_musculus/Gene/Summary?db=core;g=ENSMUSG00000027303","ENSMUSG00000027303")</f>
        <v>ENSMUSG00000027303</v>
      </c>
      <c r="I7149" s="7" t="str">
        <f>HYPERLINK("http://www.informatics.jax.org/marker/MGI:97808","MGI:97808")</f>
        <v>MGI:97808</v>
      </c>
      <c r="J7149" s="4" t="s">
        <v>12</v>
      </c>
    </row>
    <row r="7150" spans="1:10" x14ac:dyDescent="0.25">
      <c r="A7150" s="2">
        <v>9.6618904415678095</v>
      </c>
      <c r="B7150" s="3">
        <v>-0.86720459036980202</v>
      </c>
      <c r="C7150" s="3">
        <v>1.4171102525347199E-2</v>
      </c>
      <c r="D7150" s="4">
        <v>3.4179811863973397E-2</v>
      </c>
      <c r="E7150" s="3" t="s">
        <v>16357</v>
      </c>
      <c r="F7150" s="3" t="s">
        <v>16358</v>
      </c>
      <c r="G7150" s="3" t="s">
        <v>83</v>
      </c>
      <c r="H7150" s="7" t="str">
        <f>HYPERLINK("http://www.ensembl.org/Mus_musculus/Gene/Summary?db=core;g=ENSMUSG00000097503","ENSMUSG00000097503")</f>
        <v>ENSMUSG00000097503</v>
      </c>
      <c r="I7150" s="7" t="str">
        <f>HYPERLINK("http://www.informatics.jax.org/marker/MGI:1914553","MGI:1914553")</f>
        <v>MGI:1914553</v>
      </c>
      <c r="J7150" s="4" t="s">
        <v>932</v>
      </c>
    </row>
    <row r="7151" spans="1:10" x14ac:dyDescent="0.25">
      <c r="A7151" s="2">
        <v>92.513840524604802</v>
      </c>
      <c r="B7151" s="3">
        <v>-0.86744276612482896</v>
      </c>
      <c r="C7151" s="5">
        <v>4.3330083098519302E-11</v>
      </c>
      <c r="D7151" s="6">
        <v>2.5916567749554199E-10</v>
      </c>
      <c r="E7151" s="3" t="s">
        <v>6611</v>
      </c>
      <c r="F7151" s="3" t="s">
        <v>6612</v>
      </c>
      <c r="G7151" s="3">
        <v>240261</v>
      </c>
      <c r="H7151" s="7" t="str">
        <f>HYPERLINK("http://www.ensembl.org/Mus_musculus/Gene/Summary?db=core;g=ENSMUSG00000071855","ENSMUSG00000071855")</f>
        <v>ENSMUSG00000071855</v>
      </c>
      <c r="I7151" s="7" t="str">
        <f>HYPERLINK("http://www.informatics.jax.org/marker/MGI:1918800","MGI:1918800")</f>
        <v>MGI:1918800</v>
      </c>
      <c r="J7151" s="4" t="s">
        <v>12</v>
      </c>
    </row>
    <row r="7152" spans="1:10" x14ac:dyDescent="0.25">
      <c r="A7152" s="2">
        <v>663.17678157089802</v>
      </c>
      <c r="B7152" s="3">
        <v>-0.86754514107605896</v>
      </c>
      <c r="C7152" s="5">
        <v>1.10555421882671E-25</v>
      </c>
      <c r="D7152" s="6">
        <v>1.3904036476570699E-24</v>
      </c>
      <c r="E7152" s="3" t="s">
        <v>3155</v>
      </c>
      <c r="F7152" s="3" t="s">
        <v>3156</v>
      </c>
      <c r="G7152" s="3">
        <v>108723</v>
      </c>
      <c r="H7152" s="7" t="str">
        <f>HYPERLINK("http://www.ensembl.org/Mus_musculus/Gene/Summary?db=core;g=ENSMUSG00000036526","ENSMUSG00000036526")</f>
        <v>ENSMUSG00000036526</v>
      </c>
      <c r="I7152" s="7" t="str">
        <f>HYPERLINK("http://www.informatics.jax.org/marker/MGI:1916978","MGI:1916978")</f>
        <v>MGI:1916978</v>
      </c>
      <c r="J7152" s="4" t="s">
        <v>12</v>
      </c>
    </row>
    <row r="7153" spans="1:10" x14ac:dyDescent="0.25">
      <c r="A7153" s="2">
        <v>1249.1042498539</v>
      </c>
      <c r="B7153" s="3">
        <v>-0.86779941597193</v>
      </c>
      <c r="C7153" s="5">
        <v>4.8938757521793802E-15</v>
      </c>
      <c r="D7153" s="6">
        <v>3.7757132172526398E-14</v>
      </c>
      <c r="E7153" s="3" t="s">
        <v>5129</v>
      </c>
      <c r="F7153" s="3" t="s">
        <v>5130</v>
      </c>
      <c r="G7153" s="3">
        <v>20877</v>
      </c>
      <c r="H7153" s="7" t="str">
        <f>HYPERLINK("http://www.ensembl.org/Mus_musculus/Gene/Summary?db=core;g=ENSMUSG00000020897","ENSMUSG00000020897")</f>
        <v>ENSMUSG00000020897</v>
      </c>
      <c r="I7153" s="7" t="str">
        <f>HYPERLINK("http://www.informatics.jax.org/marker/MGI:107168","MGI:107168")</f>
        <v>MGI:107168</v>
      </c>
      <c r="J7153" s="4" t="s">
        <v>12</v>
      </c>
    </row>
    <row r="7154" spans="1:10" x14ac:dyDescent="0.25">
      <c r="A7154" s="2">
        <v>125.79920476875</v>
      </c>
      <c r="B7154" s="3">
        <v>-0.867921103509253</v>
      </c>
      <c r="C7154" s="5">
        <v>1.92368527713898E-12</v>
      </c>
      <c r="D7154" s="6">
        <v>1.26958077862051E-11</v>
      </c>
      <c r="E7154" s="3" t="s">
        <v>5993</v>
      </c>
      <c r="F7154" s="3" t="s">
        <v>5994</v>
      </c>
      <c r="G7154" s="3">
        <v>434178</v>
      </c>
      <c r="H7154" s="7" t="str">
        <f>HYPERLINK("http://www.ensembl.org/Mus_musculus/Gene/Summary?db=core;g=ENSMUSG00000092416","ENSMUSG00000092416")</f>
        <v>ENSMUSG00000092416</v>
      </c>
      <c r="I7154" s="7" t="str">
        <f>HYPERLINK("http://www.informatics.jax.org/marker/MGI:3584269","MGI:3584269")</f>
        <v>MGI:3584269</v>
      </c>
      <c r="J7154" s="4" t="s">
        <v>12</v>
      </c>
    </row>
    <row r="7155" spans="1:10" x14ac:dyDescent="0.25">
      <c r="A7155" s="2">
        <v>519.70038799534404</v>
      </c>
      <c r="B7155" s="3">
        <v>-0.86809335860334202</v>
      </c>
      <c r="C7155" s="5">
        <v>7.3708611270729602E-19</v>
      </c>
      <c r="D7155" s="6">
        <v>6.9414222266417695E-18</v>
      </c>
      <c r="E7155" s="3" t="s">
        <v>4205</v>
      </c>
      <c r="F7155" s="3" t="s">
        <v>4206</v>
      </c>
      <c r="G7155" s="3">
        <v>12545</v>
      </c>
      <c r="H7155" s="7" t="str">
        <f>HYPERLINK("http://www.ensembl.org/Mus_musculus/Gene/Summary?db=core;g=ENSMUSG00000029283","ENSMUSG00000029283")</f>
        <v>ENSMUSG00000029283</v>
      </c>
      <c r="I7155" s="7" t="str">
        <f>HYPERLINK("http://www.informatics.jax.org/marker/MGI:1309511","MGI:1309511")</f>
        <v>MGI:1309511</v>
      </c>
      <c r="J7155" s="4" t="s">
        <v>12</v>
      </c>
    </row>
    <row r="7156" spans="1:10" x14ac:dyDescent="0.25">
      <c r="A7156" s="2">
        <v>283.629282034467</v>
      </c>
      <c r="B7156" s="3">
        <v>-0.86817652226915099</v>
      </c>
      <c r="C7156" s="5">
        <v>5.7250300265938605E-20</v>
      </c>
      <c r="D7156" s="6">
        <v>5.6561919902019501E-19</v>
      </c>
      <c r="E7156" s="3" t="s">
        <v>4010</v>
      </c>
      <c r="F7156" s="3" t="s">
        <v>4011</v>
      </c>
      <c r="G7156" s="3">
        <v>224829</v>
      </c>
      <c r="H7156" s="7" t="str">
        <f>HYPERLINK("http://www.ensembl.org/Mus_musculus/Gene/Summary?db=core;g=ENSMUSG00000064043","ENSMUSG00000064043")</f>
        <v>ENSMUSG00000064043</v>
      </c>
      <c r="I7156" s="7" t="str">
        <f>HYPERLINK("http://www.informatics.jax.org/marker/MGI:2442086","MGI:2442086")</f>
        <v>MGI:2442086</v>
      </c>
      <c r="J7156" s="4" t="s">
        <v>331</v>
      </c>
    </row>
    <row r="7157" spans="1:10" x14ac:dyDescent="0.25">
      <c r="A7157" s="2">
        <v>5596.1929508420599</v>
      </c>
      <c r="B7157" s="3">
        <v>-0.86838397138131196</v>
      </c>
      <c r="C7157" s="5">
        <v>3.77052441079181E-10</v>
      </c>
      <c r="D7157" s="6">
        <v>2.0903778853195001E-9</v>
      </c>
      <c r="E7157" s="3" t="s">
        <v>7132</v>
      </c>
      <c r="F7157" s="3" t="s">
        <v>7133</v>
      </c>
      <c r="G7157" s="3">
        <v>232975</v>
      </c>
      <c r="H7157" s="7" t="str">
        <f>HYPERLINK("http://www.ensembl.org/Mus_musculus/Gene/Summary?db=core;g=ENSMUSG00000040907","ENSMUSG00000040907")</f>
        <v>ENSMUSG00000040907</v>
      </c>
      <c r="I7157" s="7" t="str">
        <f>HYPERLINK("http://www.informatics.jax.org/marker/MGI:88107","MGI:88107")</f>
        <v>MGI:88107</v>
      </c>
      <c r="J7157" s="4" t="s">
        <v>12</v>
      </c>
    </row>
    <row r="7158" spans="1:10" x14ac:dyDescent="0.25">
      <c r="A7158" s="2">
        <v>1421.9710308803001</v>
      </c>
      <c r="B7158" s="3">
        <v>-0.86852685798342899</v>
      </c>
      <c r="C7158" s="5">
        <v>2.2586493583522199E-22</v>
      </c>
      <c r="D7158" s="6">
        <v>2.4924770759208601E-21</v>
      </c>
      <c r="E7158" s="3" t="s">
        <v>3592</v>
      </c>
      <c r="F7158" s="3" t="s">
        <v>3593</v>
      </c>
      <c r="G7158" s="3">
        <v>215690</v>
      </c>
      <c r="H7158" s="7" t="str">
        <f>HYPERLINK("http://www.ensembl.org/Mus_musculus/Gene/Summary?db=core;g=ENSMUSG00000009418","ENSMUSG00000009418")</f>
        <v>ENSMUSG00000009418</v>
      </c>
      <c r="I7158" s="7" t="str">
        <f>HYPERLINK("http://www.informatics.jax.org/marker/MGI:2183683","MGI:2183683")</f>
        <v>MGI:2183683</v>
      </c>
      <c r="J7158" s="4" t="s">
        <v>12</v>
      </c>
    </row>
    <row r="7159" spans="1:10" x14ac:dyDescent="0.25">
      <c r="A7159" s="2">
        <v>43.204137906448899</v>
      </c>
      <c r="B7159" s="3">
        <v>-0.86878501041193701</v>
      </c>
      <c r="C7159" s="5">
        <v>4.17003874243918E-5</v>
      </c>
      <c r="D7159" s="4">
        <v>1.4642657407567801E-4</v>
      </c>
      <c r="E7159" s="3" t="s">
        <v>11243</v>
      </c>
      <c r="F7159" s="3" t="s">
        <v>11244</v>
      </c>
      <c r="G7159" s="3">
        <v>432442</v>
      </c>
      <c r="H7159" s="7" t="str">
        <f>HYPERLINK("http://www.ensembl.org/Mus_musculus/Gene/Summary?db=core;g=ENSMUSG00000039166","ENSMUSG00000039166")</f>
        <v>ENSMUSG00000039166</v>
      </c>
      <c r="I7159" s="7" t="str">
        <f>HYPERLINK("http://www.informatics.jax.org/marker/MGI:1859150","MGI:1859150")</f>
        <v>MGI:1859150</v>
      </c>
      <c r="J7159" s="4" t="s">
        <v>12</v>
      </c>
    </row>
    <row r="7160" spans="1:10" x14ac:dyDescent="0.25">
      <c r="A7160" s="2">
        <v>21.742482926465801</v>
      </c>
      <c r="B7160" s="3">
        <v>-0.86904312260419403</v>
      </c>
      <c r="C7160" s="3">
        <v>3.71855884381658E-4</v>
      </c>
      <c r="D7160" s="4">
        <v>1.1634139362218499E-3</v>
      </c>
      <c r="E7160" s="3" t="s">
        <v>12619</v>
      </c>
      <c r="F7160" s="3" t="s">
        <v>12620</v>
      </c>
      <c r="G7160" s="3">
        <v>94249</v>
      </c>
      <c r="H7160" s="7" t="str">
        <f>HYPERLINK("http://www.ensembl.org/Mus_musculus/Gene/Summary?db=core;g=ENSMUSG00000063873","ENSMUSG00000063873")</f>
        <v>ENSMUSG00000063873</v>
      </c>
      <c r="I7160" s="7" t="str">
        <f>HYPERLINK("http://www.informatics.jax.org/marker/MGI:2137513","MGI:2137513")</f>
        <v>MGI:2137513</v>
      </c>
      <c r="J7160" s="4" t="s">
        <v>12</v>
      </c>
    </row>
    <row r="7161" spans="1:10" x14ac:dyDescent="0.25">
      <c r="A7161" s="2">
        <v>1492.25444088975</v>
      </c>
      <c r="B7161" s="3">
        <v>-0.86949811228585105</v>
      </c>
      <c r="C7161" s="5">
        <v>5.5503539638934699E-35</v>
      </c>
      <c r="D7161" s="6">
        <v>9.61801231704562E-34</v>
      </c>
      <c r="E7161" s="3" t="s">
        <v>2293</v>
      </c>
      <c r="F7161" s="3" t="s">
        <v>2294</v>
      </c>
      <c r="G7161" s="3">
        <v>142682</v>
      </c>
      <c r="H7161" s="7" t="str">
        <f>HYPERLINK("http://www.ensembl.org/Mus_musculus/Gene/Summary?db=core;g=ENSMUSG00000061410","ENSMUSG00000061410")</f>
        <v>ENSMUSG00000061410</v>
      </c>
      <c r="I7161" s="7" t="str">
        <f>HYPERLINK("http://www.informatics.jax.org/marker/MGI:2159407","MGI:2159407")</f>
        <v>MGI:2159407</v>
      </c>
      <c r="J7161" s="4" t="s">
        <v>12</v>
      </c>
    </row>
    <row r="7162" spans="1:10" x14ac:dyDescent="0.25">
      <c r="A7162" s="2">
        <v>12.333689401588</v>
      </c>
      <c r="B7162" s="3">
        <v>-0.86980358960696103</v>
      </c>
      <c r="C7162" s="3">
        <v>6.8671298060025603E-3</v>
      </c>
      <c r="D7162" s="4">
        <v>1.76534740939083E-2</v>
      </c>
      <c r="E7162" s="3" t="s">
        <v>15347</v>
      </c>
      <c r="F7162" s="3" t="s">
        <v>15348</v>
      </c>
      <c r="G7162" s="3" t="s">
        <v>83</v>
      </c>
      <c r="H7162" s="7" t="str">
        <f>HYPERLINK("http://www.ensembl.org/Mus_musculus/Gene/Summary?db=core;g=ENSMUSG00000086494","ENSMUSG00000086494")</f>
        <v>ENSMUSG00000086494</v>
      </c>
      <c r="I7162" s="7" t="str">
        <f>HYPERLINK("http://www.informatics.jax.org/marker/MGI:1917388","MGI:1917388")</f>
        <v>MGI:1917388</v>
      </c>
      <c r="J7162" s="4" t="s">
        <v>939</v>
      </c>
    </row>
    <row r="7163" spans="1:10" x14ac:dyDescent="0.25">
      <c r="A7163" s="2">
        <v>17.189911230562899</v>
      </c>
      <c r="B7163" s="3">
        <v>-0.87133723142064001</v>
      </c>
      <c r="C7163" s="3">
        <v>2.8801947716142699E-3</v>
      </c>
      <c r="D7163" s="4">
        <v>7.9204352107423506E-3</v>
      </c>
      <c r="E7163" s="3" t="s">
        <v>14347</v>
      </c>
      <c r="F7163" s="3" t="s">
        <v>14348</v>
      </c>
      <c r="G7163" s="3">
        <v>380850</v>
      </c>
      <c r="H7163" s="7" t="str">
        <f>HYPERLINK("http://www.ensembl.org/Mus_musculus/Gene/Summary?db=core;g=ENSMUSG00000091183","ENSMUSG00000091183")</f>
        <v>ENSMUSG00000091183</v>
      </c>
      <c r="I7163" s="7" t="str">
        <f>HYPERLINK("http://www.informatics.jax.org/marker/MGI:3779466","MGI:3779466")</f>
        <v>MGI:3779466</v>
      </c>
      <c r="J7163" s="4" t="s">
        <v>12</v>
      </c>
    </row>
    <row r="7164" spans="1:10" x14ac:dyDescent="0.25">
      <c r="A7164" s="2">
        <v>201.962980340775</v>
      </c>
      <c r="B7164" s="3">
        <v>-0.87139117510481101</v>
      </c>
      <c r="C7164" s="5">
        <v>1.05561519618512E-16</v>
      </c>
      <c r="D7164" s="6">
        <v>8.8318759731737801E-16</v>
      </c>
      <c r="E7164" s="3" t="s">
        <v>4731</v>
      </c>
      <c r="F7164" s="3" t="s">
        <v>4732</v>
      </c>
      <c r="G7164" s="3">
        <v>233826</v>
      </c>
      <c r="H7164" s="7" t="str">
        <f>HYPERLINK("http://www.ensembl.org/Mus_musculus/Gene/Summary?db=core;g=ENSMUSG00000044702","ENSMUSG00000044702")</f>
        <v>ENSMUSG00000044702</v>
      </c>
      <c r="I7164" s="7" t="str">
        <f>HYPERLINK("http://www.informatics.jax.org/marker/MGI:3040695","MGI:3040695")</f>
        <v>MGI:3040695</v>
      </c>
      <c r="J7164" s="4" t="s">
        <v>12</v>
      </c>
    </row>
    <row r="7165" spans="1:10" x14ac:dyDescent="0.25">
      <c r="A7165" s="2">
        <v>12.5086616613172</v>
      </c>
      <c r="B7165" s="3">
        <v>-0.87237368821959305</v>
      </c>
      <c r="C7165" s="3">
        <v>4.06131132220631E-3</v>
      </c>
      <c r="D7165" s="4">
        <v>1.09306754843604E-2</v>
      </c>
      <c r="E7165" s="3" t="s">
        <v>14657</v>
      </c>
      <c r="F7165" s="3" t="s">
        <v>14658</v>
      </c>
      <c r="G7165" s="3">
        <v>11606</v>
      </c>
      <c r="H7165" s="7" t="str">
        <f>HYPERLINK("http://www.ensembl.org/Mus_musculus/Gene/Summary?db=core;g=ENSMUSG00000031980","ENSMUSG00000031980")</f>
        <v>ENSMUSG00000031980</v>
      </c>
      <c r="I7165" s="7" t="str">
        <f>HYPERLINK("http://www.informatics.jax.org/marker/MGI:87963","MGI:87963")</f>
        <v>MGI:87963</v>
      </c>
      <c r="J7165" s="4" t="s">
        <v>12</v>
      </c>
    </row>
    <row r="7166" spans="1:10" x14ac:dyDescent="0.25">
      <c r="A7166" s="2">
        <v>72.252617628663202</v>
      </c>
      <c r="B7166" s="3">
        <v>-0.87270525639113095</v>
      </c>
      <c r="C7166" s="5">
        <v>8.69278018872877E-8</v>
      </c>
      <c r="D7166" s="6">
        <v>3.9598435047755001E-7</v>
      </c>
      <c r="E7166" s="3" t="s">
        <v>8675</v>
      </c>
      <c r="F7166" s="3" t="s">
        <v>8676</v>
      </c>
      <c r="G7166" s="3">
        <v>243834</v>
      </c>
      <c r="H7166" s="7" t="str">
        <f>HYPERLINK("http://www.ensembl.org/Mus_musculus/Gene/Summary?db=core;g=ENSMUSG00000004500","ENSMUSG00000004500")</f>
        <v>ENSMUSG00000004500</v>
      </c>
      <c r="I7166" s="7" t="str">
        <f>HYPERLINK("http://www.informatics.jax.org/marker/MGI:2444641","MGI:2444641")</f>
        <v>MGI:2444641</v>
      </c>
      <c r="J7166" s="4" t="s">
        <v>12</v>
      </c>
    </row>
    <row r="7167" spans="1:10" x14ac:dyDescent="0.25">
      <c r="A7167" s="2">
        <v>73.168512545597594</v>
      </c>
      <c r="B7167" s="3">
        <v>-0.87443839934587697</v>
      </c>
      <c r="C7167" s="5">
        <v>3.0992529128176498E-6</v>
      </c>
      <c r="D7167" s="6">
        <v>1.22161238138645E-5</v>
      </c>
      <c r="E7167" s="3" t="s">
        <v>10022</v>
      </c>
      <c r="F7167" s="3" t="s">
        <v>10023</v>
      </c>
      <c r="G7167" s="3">
        <v>13368</v>
      </c>
      <c r="H7167" s="7" t="str">
        <f>HYPERLINK("http://www.ensembl.org/Mus_musculus/Gene/Summary?db=core;g=ENSMUSG00000029027","ENSMUSG00000029027")</f>
        <v>ENSMUSG00000029027</v>
      </c>
      <c r="I7167" s="7" t="str">
        <f>HYPERLINK("http://www.informatics.jax.org/marker/MGI:1196287","MGI:1196287")</f>
        <v>MGI:1196287</v>
      </c>
      <c r="J7167" s="4" t="s">
        <v>12</v>
      </c>
    </row>
    <row r="7168" spans="1:10" x14ac:dyDescent="0.25">
      <c r="A7168" s="2">
        <v>3425.3684373494998</v>
      </c>
      <c r="B7168" s="3">
        <v>-0.87516597993281298</v>
      </c>
      <c r="C7168" s="5">
        <v>2.86420982687535E-54</v>
      </c>
      <c r="D7168" s="6">
        <v>8.6232393566384609E-53</v>
      </c>
      <c r="E7168" s="3" t="s">
        <v>1326</v>
      </c>
      <c r="F7168" s="3" t="s">
        <v>1327</v>
      </c>
      <c r="G7168" s="3">
        <v>21429</v>
      </c>
      <c r="H7168" s="7" t="str">
        <f>HYPERLINK("http://www.ensembl.org/Mus_musculus/Gene/Summary?db=core;g=ENSMUSG00000020923","ENSMUSG00000020923")</f>
        <v>ENSMUSG00000020923</v>
      </c>
      <c r="I7168" s="7" t="str">
        <f>HYPERLINK("http://www.informatics.jax.org/marker/MGI:98512","MGI:98512")</f>
        <v>MGI:98512</v>
      </c>
      <c r="J7168" s="4" t="s">
        <v>12</v>
      </c>
    </row>
    <row r="7169" spans="1:10" x14ac:dyDescent="0.25">
      <c r="A7169" s="2">
        <v>196.42789325478901</v>
      </c>
      <c r="B7169" s="3">
        <v>-0.87548332189994205</v>
      </c>
      <c r="C7169" s="5">
        <v>4.6882595770601399E-17</v>
      </c>
      <c r="D7169" s="6">
        <v>4.0074763268151698E-16</v>
      </c>
      <c r="E7169" s="3" t="s">
        <v>4631</v>
      </c>
      <c r="F7169" s="3" t="s">
        <v>4632</v>
      </c>
      <c r="G7169" s="3">
        <v>71911</v>
      </c>
      <c r="H7169" s="7" t="str">
        <f>HYPERLINK("http://www.ensembl.org/Mus_musculus/Gene/Summary?db=core;g=ENSMUSG00000046598","ENSMUSG00000046598")</f>
        <v>ENSMUSG00000046598</v>
      </c>
      <c r="I7169" s="7" t="str">
        <f>HYPERLINK("http://www.informatics.jax.org/marker/MGI:1919161","MGI:1919161")</f>
        <v>MGI:1919161</v>
      </c>
      <c r="J7169" s="4" t="s">
        <v>12</v>
      </c>
    </row>
    <row r="7170" spans="1:10" x14ac:dyDescent="0.25">
      <c r="A7170" s="2">
        <v>2027.66879929732</v>
      </c>
      <c r="B7170" s="3">
        <v>-0.87552228011404498</v>
      </c>
      <c r="C7170" s="5">
        <v>3.64689790398292E-23</v>
      </c>
      <c r="D7170" s="6">
        <v>4.1450620557085398E-22</v>
      </c>
      <c r="E7170" s="3" t="s">
        <v>3488</v>
      </c>
      <c r="F7170" s="3" t="s">
        <v>3489</v>
      </c>
      <c r="G7170" s="3">
        <v>228026</v>
      </c>
      <c r="H7170" s="7" t="str">
        <f>HYPERLINK("http://www.ensembl.org/Mus_musculus/Gene/Summary?db=core;g=ENSMUSG00000006494","ENSMUSG00000006494")</f>
        <v>ENSMUSG00000006494</v>
      </c>
      <c r="I7170" s="7" t="str">
        <f>HYPERLINK("http://www.informatics.jax.org/marker/MGI:1926119","MGI:1926119")</f>
        <v>MGI:1926119</v>
      </c>
      <c r="J7170" s="4" t="s">
        <v>12</v>
      </c>
    </row>
    <row r="7171" spans="1:10" x14ac:dyDescent="0.25">
      <c r="A7171" s="2">
        <v>10.3685584960536</v>
      </c>
      <c r="B7171" s="3">
        <v>-0.87594891571904299</v>
      </c>
      <c r="C7171" s="3">
        <v>9.7665885547824592E-3</v>
      </c>
      <c r="D7171" s="4">
        <v>2.4367045331517002E-2</v>
      </c>
      <c r="E7171" s="3" t="s">
        <v>15813</v>
      </c>
      <c r="F7171" s="3" t="s">
        <v>15814</v>
      </c>
      <c r="G7171" s="3">
        <v>329650</v>
      </c>
      <c r="H7171" s="7" t="str">
        <f>HYPERLINK("http://www.ensembl.org/Mus_musculus/Gene/Summary?db=core;g=ENSMUSG00000056476","ENSMUSG00000056476")</f>
        <v>ENSMUSG00000056476</v>
      </c>
      <c r="I7171" s="7" t="str">
        <f>HYPERLINK("http://www.informatics.jax.org/marker/MGI:2139916","MGI:2139916")</f>
        <v>MGI:2139916</v>
      </c>
      <c r="J7171" s="4" t="s">
        <v>12</v>
      </c>
    </row>
    <row r="7172" spans="1:10" x14ac:dyDescent="0.25">
      <c r="A7172" s="2">
        <v>108.100802199784</v>
      </c>
      <c r="B7172" s="3">
        <v>-0.87602455967354098</v>
      </c>
      <c r="C7172" s="5">
        <v>1.9681222632378801E-7</v>
      </c>
      <c r="D7172" s="6">
        <v>8.7216564114721197E-7</v>
      </c>
      <c r="E7172" s="3" t="s">
        <v>8917</v>
      </c>
      <c r="F7172" s="3" t="s">
        <v>8918</v>
      </c>
      <c r="G7172" s="3">
        <v>19363</v>
      </c>
      <c r="H7172" s="7" t="str">
        <f>HYPERLINK("http://www.ensembl.org/Mus_musculus/Gene/Summary?db=core;g=ENSMUSG00000059060","ENSMUSG00000059060")</f>
        <v>ENSMUSG00000059060</v>
      </c>
      <c r="I7172" s="7" t="str">
        <f>HYPERLINK("http://www.informatics.jax.org/marker/MGI:1099436","MGI:1099436")</f>
        <v>MGI:1099436</v>
      </c>
      <c r="J7172" s="4" t="s">
        <v>12</v>
      </c>
    </row>
    <row r="7173" spans="1:10" x14ac:dyDescent="0.25">
      <c r="A7173" s="2">
        <v>9.0104357340597492</v>
      </c>
      <c r="B7173" s="3">
        <v>-0.87616327559456697</v>
      </c>
      <c r="C7173" s="3">
        <v>1.3894899564711599E-2</v>
      </c>
      <c r="D7173" s="4">
        <v>3.3575226003689902E-2</v>
      </c>
      <c r="E7173" s="3" t="s">
        <v>16327</v>
      </c>
      <c r="F7173" s="3" t="s">
        <v>16328</v>
      </c>
      <c r="G7173" s="3">
        <v>20974</v>
      </c>
      <c r="H7173" s="7" t="str">
        <f>HYPERLINK("http://www.ensembl.org/Mus_musculus/Gene/Summary?db=core;g=ENSMUSG00000007021","ENSMUSG00000007021")</f>
        <v>ENSMUSG00000007021</v>
      </c>
      <c r="I7173" s="7" t="str">
        <f>HYPERLINK("http://www.informatics.jax.org/marker/MGI:1341881","MGI:1341881")</f>
        <v>MGI:1341881</v>
      </c>
      <c r="J7173" s="4" t="s">
        <v>12</v>
      </c>
    </row>
    <row r="7174" spans="1:10" x14ac:dyDescent="0.25">
      <c r="A7174" s="2">
        <v>167.88540060538301</v>
      </c>
      <c r="B7174" s="3">
        <v>-0.87680023841792998</v>
      </c>
      <c r="C7174" s="5">
        <v>5.9207466194243401E-12</v>
      </c>
      <c r="D7174" s="6">
        <v>3.77122491392274E-11</v>
      </c>
      <c r="E7174" s="3" t="s">
        <v>6209</v>
      </c>
      <c r="F7174" s="3" t="s">
        <v>6210</v>
      </c>
      <c r="G7174" s="3">
        <v>101113</v>
      </c>
      <c r="H7174" s="7" t="str">
        <f>HYPERLINK("http://www.ensembl.org/Mus_musculus/Gene/Summary?db=core;g=ENSMUSG00000050373","ENSMUSG00000050373")</f>
        <v>ENSMUSG00000050373</v>
      </c>
      <c r="I7174" s="7" t="str">
        <f>HYPERLINK("http://www.informatics.jax.org/marker/MGI:1917729","MGI:1917729")</f>
        <v>MGI:1917729</v>
      </c>
      <c r="J7174" s="4" t="s">
        <v>12</v>
      </c>
    </row>
    <row r="7175" spans="1:10" x14ac:dyDescent="0.25">
      <c r="A7175" s="2">
        <v>659.83928843672402</v>
      </c>
      <c r="B7175" s="3">
        <v>-0.877086604883626</v>
      </c>
      <c r="C7175" s="5">
        <v>5.2266180711354702E-26</v>
      </c>
      <c r="D7175" s="6">
        <v>6.6410379099736704E-25</v>
      </c>
      <c r="E7175" s="3" t="s">
        <v>3122</v>
      </c>
      <c r="F7175" s="3" t="s">
        <v>3123</v>
      </c>
      <c r="G7175" s="3">
        <v>68877</v>
      </c>
      <c r="H7175" s="7" t="str">
        <f>HYPERLINK("http://www.ensembl.org/Mus_musculus/Gene/Summary?db=core;g=ENSMUSG00000022553","ENSMUSG00000022553")</f>
        <v>ENSMUSG00000022553</v>
      </c>
      <c r="I7175" s="7" t="str">
        <f>HYPERLINK("http://www.informatics.jax.org/marker/MGI:1916127","MGI:1916127")</f>
        <v>MGI:1916127</v>
      </c>
      <c r="J7175" s="4" t="s">
        <v>12</v>
      </c>
    </row>
    <row r="7176" spans="1:10" x14ac:dyDescent="0.25">
      <c r="A7176" s="2">
        <v>20.426273086553898</v>
      </c>
      <c r="B7176" s="3">
        <v>-0.87766286087868695</v>
      </c>
      <c r="C7176" s="3">
        <v>6.9442352056310803E-4</v>
      </c>
      <c r="D7176" s="4">
        <v>2.0926087752910299E-3</v>
      </c>
      <c r="E7176" s="3" t="s">
        <v>13097</v>
      </c>
      <c r="F7176" s="3" t="s">
        <v>13098</v>
      </c>
      <c r="G7176" s="3">
        <v>546143</v>
      </c>
      <c r="H7176" s="7" t="str">
        <f>HYPERLINK("http://www.ensembl.org/Mus_musculus/Gene/Summary?db=core;g=ENSMUSG00000086158","ENSMUSG00000086158")</f>
        <v>ENSMUSG00000086158</v>
      </c>
      <c r="I7176" s="7" t="str">
        <f>HYPERLINK("http://www.informatics.jax.org/marker/MGI:3648770","MGI:3648770")</f>
        <v>MGI:3648770</v>
      </c>
      <c r="J7176" s="4" t="s">
        <v>12</v>
      </c>
    </row>
    <row r="7177" spans="1:10" x14ac:dyDescent="0.25">
      <c r="A7177" s="2">
        <v>364.24452857844801</v>
      </c>
      <c r="B7177" s="3">
        <v>-0.87781109197016305</v>
      </c>
      <c r="C7177" s="5">
        <v>2.2809118692774499E-12</v>
      </c>
      <c r="D7177" s="6">
        <v>1.4998193418523298E-11</v>
      </c>
      <c r="E7177" s="3" t="s">
        <v>6015</v>
      </c>
      <c r="F7177" s="3" t="s">
        <v>6016</v>
      </c>
      <c r="G7177" s="3">
        <v>228421</v>
      </c>
      <c r="H7177" s="7" t="str">
        <f>HYPERLINK("http://www.ensembl.org/Mus_musculus/Gene/Summary?db=core;g=ENSMUSG00000027115","ENSMUSG00000027115")</f>
        <v>ENSMUSG00000027115</v>
      </c>
      <c r="I7177" s="7" t="str">
        <f>HYPERLINK("http://www.informatics.jax.org/marker/MGI:2446977","MGI:2446977")</f>
        <v>MGI:2446977</v>
      </c>
      <c r="J7177" s="4" t="s">
        <v>12</v>
      </c>
    </row>
    <row r="7178" spans="1:10" x14ac:dyDescent="0.25">
      <c r="A7178" s="2">
        <v>413.125918821619</v>
      </c>
      <c r="B7178" s="3">
        <v>-0.87799097432798601</v>
      </c>
      <c r="C7178" s="5">
        <v>2.013502134442E-14</v>
      </c>
      <c r="D7178" s="6">
        <v>1.5006145915040199E-13</v>
      </c>
      <c r="E7178" s="3" t="s">
        <v>5309</v>
      </c>
      <c r="F7178" s="3" t="s">
        <v>5310</v>
      </c>
      <c r="G7178" s="3">
        <v>106582</v>
      </c>
      <c r="H7178" s="7" t="str">
        <f>HYPERLINK("http://www.ensembl.org/Mus_musculus/Gene/Summary?db=core;g=ENSMUSG00000059791","ENSMUSG00000059791")</f>
        <v>ENSMUSG00000059791</v>
      </c>
      <c r="I7178" s="7" t="str">
        <f>HYPERLINK("http://www.informatics.jax.org/marker/MGI:2146855","MGI:2146855")</f>
        <v>MGI:2146855</v>
      </c>
      <c r="J7178" s="4" t="s">
        <v>12</v>
      </c>
    </row>
    <row r="7179" spans="1:10" x14ac:dyDescent="0.25">
      <c r="A7179" s="2">
        <v>539.555802770799</v>
      </c>
      <c r="B7179" s="3">
        <v>-0.87800747794962597</v>
      </c>
      <c r="C7179" s="5">
        <v>5.1883293498066104E-34</v>
      </c>
      <c r="D7179" s="6">
        <v>8.6853866534962904E-33</v>
      </c>
      <c r="E7179" s="3" t="s">
        <v>2373</v>
      </c>
      <c r="F7179" s="3" t="s">
        <v>2374</v>
      </c>
      <c r="G7179" s="3">
        <v>213498</v>
      </c>
      <c r="H7179" s="7" t="str">
        <f>HYPERLINK("http://www.ensembl.org/Mus_musculus/Gene/Summary?db=core;g=ENSMUSG00000041977","ENSMUSG00000041977")</f>
        <v>ENSMUSG00000041977</v>
      </c>
      <c r="I7179" s="7" t="str">
        <f>HYPERLINK("http://www.informatics.jax.org/marker/MGI:2441869","MGI:2441869")</f>
        <v>MGI:2441869</v>
      </c>
      <c r="J7179" s="4" t="s">
        <v>12</v>
      </c>
    </row>
    <row r="7180" spans="1:10" x14ac:dyDescent="0.25">
      <c r="A7180" s="2">
        <v>601.12243206177902</v>
      </c>
      <c r="B7180" s="3">
        <v>-0.87809039063739402</v>
      </c>
      <c r="C7180" s="5">
        <v>3.4367127731859202E-15</v>
      </c>
      <c r="D7180" s="6">
        <v>2.6671379727361801E-14</v>
      </c>
      <c r="E7180" s="3" t="s">
        <v>5099</v>
      </c>
      <c r="F7180" s="3" t="s">
        <v>5100</v>
      </c>
      <c r="G7180" s="3">
        <v>18676</v>
      </c>
      <c r="H7180" s="7" t="str">
        <f>HYPERLINK("http://www.ensembl.org/Mus_musculus/Gene/Summary?db=core;g=ENSMUSG00000038025","ENSMUSG00000038025")</f>
        <v>ENSMUSG00000038025</v>
      </c>
      <c r="I7180" s="7" t="str">
        <f>HYPERLINK("http://www.informatics.jax.org/marker/MGI:1338034","MGI:1338034")</f>
        <v>MGI:1338034</v>
      </c>
      <c r="J7180" s="4" t="s">
        <v>12</v>
      </c>
    </row>
    <row r="7181" spans="1:10" x14ac:dyDescent="0.25">
      <c r="A7181" s="2">
        <v>81.526317898413396</v>
      </c>
      <c r="B7181" s="3">
        <v>-0.87993742497300798</v>
      </c>
      <c r="C7181" s="5">
        <v>1.41676889795108E-9</v>
      </c>
      <c r="D7181" s="6">
        <v>7.5003174946564393E-9</v>
      </c>
      <c r="E7181" s="3" t="s">
        <v>7468</v>
      </c>
      <c r="F7181" s="3" t="s">
        <v>7469</v>
      </c>
      <c r="G7181" s="3">
        <v>56314</v>
      </c>
      <c r="H7181" s="7" t="str">
        <f>HYPERLINK("http://www.ensembl.org/Mus_musculus/Gene/Summary?db=core;g=ENSMUSG00000037007","ENSMUSG00000037007")</f>
        <v>ENSMUSG00000037007</v>
      </c>
      <c r="I7181" s="7" t="str">
        <f>HYPERLINK("http://www.informatics.jax.org/marker/MGI:1929116","MGI:1929116")</f>
        <v>MGI:1929116</v>
      </c>
      <c r="J7181" s="4" t="s">
        <v>12</v>
      </c>
    </row>
    <row r="7182" spans="1:10" x14ac:dyDescent="0.25">
      <c r="A7182" s="2">
        <v>202.945789029308</v>
      </c>
      <c r="B7182" s="3">
        <v>-0.88086771621896698</v>
      </c>
      <c r="C7182" s="5">
        <v>3.9121755765022398E-12</v>
      </c>
      <c r="D7182" s="6">
        <v>2.53276764178018E-11</v>
      </c>
      <c r="E7182" s="3" t="s">
        <v>6109</v>
      </c>
      <c r="F7182" s="3" t="s">
        <v>6110</v>
      </c>
      <c r="G7182" s="3">
        <v>68943</v>
      </c>
      <c r="H7182" s="7" t="str">
        <f>HYPERLINK("http://www.ensembl.org/Mus_musculus/Gene/Summary?db=core;g=ENSMUSG00000028756","ENSMUSG00000028756")</f>
        <v>ENSMUSG00000028756</v>
      </c>
      <c r="I7182" s="7" t="str">
        <f>HYPERLINK("http://www.informatics.jax.org/marker/MGI:1916193","MGI:1916193")</f>
        <v>MGI:1916193</v>
      </c>
      <c r="J7182" s="4" t="s">
        <v>12</v>
      </c>
    </row>
    <row r="7183" spans="1:10" x14ac:dyDescent="0.25">
      <c r="A7183" s="2">
        <v>53.9473568980832</v>
      </c>
      <c r="B7183" s="3">
        <v>-0.88224951402179297</v>
      </c>
      <c r="C7183" s="5">
        <v>5.6686409641281004E-6</v>
      </c>
      <c r="D7183" s="6">
        <v>2.17693475779174E-5</v>
      </c>
      <c r="E7183" s="3" t="s">
        <v>10284</v>
      </c>
      <c r="F7183" s="3" t="s">
        <v>10285</v>
      </c>
      <c r="G7183" s="3">
        <v>243912</v>
      </c>
      <c r="H7183" s="7" t="str">
        <f>HYPERLINK("http://www.ensembl.org/Mus_musculus/Gene/Summary?db=core;g=ENSMUSG00000036854","ENSMUSG00000036854")</f>
        <v>ENSMUSG00000036854</v>
      </c>
      <c r="I7183" s="7" t="str">
        <f>HYPERLINK("http://www.informatics.jax.org/marker/MGI:2685325","MGI:2685325")</f>
        <v>MGI:2685325</v>
      </c>
      <c r="J7183" s="4" t="s">
        <v>12</v>
      </c>
    </row>
    <row r="7184" spans="1:10" x14ac:dyDescent="0.25">
      <c r="A7184" s="2">
        <v>470.979706492216</v>
      </c>
      <c r="B7184" s="3">
        <v>-0.88258190679008797</v>
      </c>
      <c r="C7184" s="5">
        <v>4.68692277838619E-20</v>
      </c>
      <c r="D7184" s="6">
        <v>4.6515408751774305E-19</v>
      </c>
      <c r="E7184" s="3" t="s">
        <v>3992</v>
      </c>
      <c r="F7184" s="3" t="s">
        <v>3993</v>
      </c>
      <c r="G7184" s="3">
        <v>106344</v>
      </c>
      <c r="H7184" s="7" t="str">
        <f>HYPERLINK("http://www.ensembl.org/Mus_musculus/Gene/Summary?db=core;g=ENSMUSG00000022881","ENSMUSG00000022881")</f>
        <v>ENSMUSG00000022881</v>
      </c>
      <c r="I7184" s="7" t="str">
        <f>HYPERLINK("http://www.informatics.jax.org/marker/MGI:2146571","MGI:2146571")</f>
        <v>MGI:2146571</v>
      </c>
      <c r="J7184" s="4" t="s">
        <v>12</v>
      </c>
    </row>
    <row r="7185" spans="1:10" x14ac:dyDescent="0.25">
      <c r="A7185" s="2">
        <v>1344.1983973111401</v>
      </c>
      <c r="B7185" s="3">
        <v>-0.88271224229579104</v>
      </c>
      <c r="C7185" s="5">
        <v>1.76078669033516E-66</v>
      </c>
      <c r="D7185" s="6">
        <v>7.5157388600453E-65</v>
      </c>
      <c r="E7185" s="3" t="s">
        <v>937</v>
      </c>
      <c r="F7185" s="3" t="s">
        <v>938</v>
      </c>
      <c r="G7185" s="3" t="s">
        <v>83</v>
      </c>
      <c r="H7185" s="7" t="str">
        <f>HYPERLINK("http://www.ensembl.org/Mus_musculus/Gene/Summary?db=core;g=ENSMUSG00000085438","ENSMUSG00000085438")</f>
        <v>ENSMUSG00000085438</v>
      </c>
      <c r="I7185" s="7" t="str">
        <f>HYPERLINK("http://www.informatics.jax.org/marker/MGI:1913852","MGI:1913852")</f>
        <v>MGI:1913852</v>
      </c>
      <c r="J7185" s="4" t="s">
        <v>939</v>
      </c>
    </row>
    <row r="7186" spans="1:10" x14ac:dyDescent="0.25">
      <c r="A7186" s="2">
        <v>14.2797471078086</v>
      </c>
      <c r="B7186" s="3">
        <v>-0.88375101738476303</v>
      </c>
      <c r="C7186" s="3">
        <v>1.7418706110892801E-3</v>
      </c>
      <c r="D7186" s="4">
        <v>4.9652628578607501E-3</v>
      </c>
      <c r="E7186" s="3" t="s">
        <v>13843</v>
      </c>
      <c r="F7186" s="3" t="s">
        <v>13844</v>
      </c>
      <c r="G7186" s="3">
        <v>385674</v>
      </c>
      <c r="H7186" s="7" t="str">
        <f>HYPERLINK("http://www.ensembl.org/Mus_musculus/Gene/Summary?db=core;g=ENSMUSG00000054939","ENSMUSG00000054939")</f>
        <v>ENSMUSG00000054939</v>
      </c>
      <c r="I7186" s="7" t="str">
        <f>HYPERLINK("http://www.informatics.jax.org/marker/MGI:2686600","MGI:2686600")</f>
        <v>MGI:2686600</v>
      </c>
      <c r="J7186" s="4" t="s">
        <v>12</v>
      </c>
    </row>
    <row r="7187" spans="1:10" x14ac:dyDescent="0.25">
      <c r="A7187" s="2">
        <v>1479.3627894086001</v>
      </c>
      <c r="B7187" s="3">
        <v>-0.884041300932776</v>
      </c>
      <c r="C7187" s="5">
        <v>1.8072989440383402E-52</v>
      </c>
      <c r="D7187" s="6">
        <v>5.1802231361099102E-51</v>
      </c>
      <c r="E7187" s="3" t="s">
        <v>1392</v>
      </c>
      <c r="F7187" s="3" t="s">
        <v>1393</v>
      </c>
      <c r="G7187" s="3">
        <v>67382</v>
      </c>
      <c r="H7187" s="7" t="str">
        <f>HYPERLINK("http://www.ensembl.org/Mus_musculus/Gene/Summary?db=core;g=ENSMUSG00000026918","ENSMUSG00000026918")</f>
        <v>ENSMUSG00000026918</v>
      </c>
      <c r="I7187" s="7" t="str">
        <f>HYPERLINK("http://www.informatics.jax.org/marker/MGI:1914632","MGI:1914632")</f>
        <v>MGI:1914632</v>
      </c>
      <c r="J7187" s="4" t="s">
        <v>12</v>
      </c>
    </row>
    <row r="7188" spans="1:10" x14ac:dyDescent="0.25">
      <c r="A7188" s="2">
        <v>210.407866429622</v>
      </c>
      <c r="B7188" s="3">
        <v>-0.88525475489852501</v>
      </c>
      <c r="C7188" s="5">
        <v>1.31271173216285E-18</v>
      </c>
      <c r="D7188" s="6">
        <v>1.22222263258978E-17</v>
      </c>
      <c r="E7188" s="3" t="s">
        <v>4253</v>
      </c>
      <c r="F7188" s="3" t="s">
        <v>4254</v>
      </c>
      <c r="G7188" s="3">
        <v>52504</v>
      </c>
      <c r="H7188" s="7" t="str">
        <f>HYPERLINK("http://www.ensembl.org/Mus_musculus/Gene/Summary?db=core;g=ENSMUSG00000020652","ENSMUSG00000020652")</f>
        <v>ENSMUSG00000020652</v>
      </c>
      <c r="I7188" s="7" t="str">
        <f>HYPERLINK("http://www.informatics.jax.org/marker/MGI:1923800","MGI:1923800")</f>
        <v>MGI:1923800</v>
      </c>
      <c r="J7188" s="4" t="s">
        <v>12</v>
      </c>
    </row>
    <row r="7189" spans="1:10" x14ac:dyDescent="0.25">
      <c r="A7189" s="2">
        <v>551.81318136876803</v>
      </c>
      <c r="B7189" s="3">
        <v>-0.88554883514237803</v>
      </c>
      <c r="C7189" s="5">
        <v>4.5479948156050296E-16</v>
      </c>
      <c r="D7189" s="6">
        <v>3.6832220847528202E-15</v>
      </c>
      <c r="E7189" s="3" t="s">
        <v>4887</v>
      </c>
      <c r="F7189" s="3" t="s">
        <v>4888</v>
      </c>
      <c r="G7189" s="3">
        <v>272551</v>
      </c>
      <c r="H7189" s="7" t="str">
        <f>HYPERLINK("http://www.ensembl.org/Mus_musculus/Gene/Summary?db=core;g=ENSMUSG00000031821","ENSMUSG00000031821")</f>
        <v>ENSMUSG00000031821</v>
      </c>
      <c r="I7189" s="7" t="str">
        <f>HYPERLINK("http://www.informatics.jax.org/marker/MGI:1921019","MGI:1921019")</f>
        <v>MGI:1921019</v>
      </c>
      <c r="J7189" s="4" t="s">
        <v>12</v>
      </c>
    </row>
    <row r="7190" spans="1:10" x14ac:dyDescent="0.25">
      <c r="A7190" s="2">
        <v>67.775050951404296</v>
      </c>
      <c r="B7190" s="3">
        <v>-0.88555834389070198</v>
      </c>
      <c r="C7190" s="5">
        <v>1.82292051280958E-8</v>
      </c>
      <c r="D7190" s="6">
        <v>8.8280924638028001E-8</v>
      </c>
      <c r="E7190" s="3" t="s">
        <v>8159</v>
      </c>
      <c r="F7190" s="3" t="s">
        <v>8160</v>
      </c>
      <c r="G7190" s="3">
        <v>654470</v>
      </c>
      <c r="H7190" s="7" t="str">
        <f>HYPERLINK("http://www.ensembl.org/Mus_musculus/Gene/Summary?db=core;g=ENSMUSG00000038593","ENSMUSG00000038593")</f>
        <v>ENSMUSG00000038593</v>
      </c>
      <c r="I7190" s="7" t="str">
        <f>HYPERLINK("http://www.informatics.jax.org/marker/MGI:3603820","MGI:3603820")</f>
        <v>MGI:3603820</v>
      </c>
      <c r="J7190" s="4" t="s">
        <v>12</v>
      </c>
    </row>
    <row r="7191" spans="1:10" x14ac:dyDescent="0.25">
      <c r="A7191" s="2">
        <v>666.69882669356605</v>
      </c>
      <c r="B7191" s="3">
        <v>-0.88731148464352905</v>
      </c>
      <c r="C7191" s="5">
        <v>7.4239302392944102E-11</v>
      </c>
      <c r="D7191" s="6">
        <v>4.3493732715058101E-10</v>
      </c>
      <c r="E7191" s="3" t="s">
        <v>6750</v>
      </c>
      <c r="F7191" s="3" t="s">
        <v>6751</v>
      </c>
      <c r="G7191" s="3">
        <v>66977</v>
      </c>
      <c r="H7191" s="7" t="str">
        <f>HYPERLINK("http://www.ensembl.org/Mus_musculus/Gene/Summary?db=core;g=ENSMUSG00000026683","ENSMUSG00000026683")</f>
        <v>ENSMUSG00000026683</v>
      </c>
      <c r="I7191" s="7" t="str">
        <f>HYPERLINK("http://www.informatics.jax.org/marker/MGI:1914227","MGI:1914227")</f>
        <v>MGI:1914227</v>
      </c>
      <c r="J7191" s="4" t="s">
        <v>12</v>
      </c>
    </row>
    <row r="7192" spans="1:10" x14ac:dyDescent="0.25">
      <c r="A7192" s="2">
        <v>726.49549213098203</v>
      </c>
      <c r="B7192" s="3">
        <v>-0.88747858158956405</v>
      </c>
      <c r="C7192" s="5">
        <v>4.47166610874126E-48</v>
      </c>
      <c r="D7192" s="6">
        <v>1.14819343312992E-46</v>
      </c>
      <c r="E7192" s="3" t="s">
        <v>1552</v>
      </c>
      <c r="F7192" s="3" t="s">
        <v>1553</v>
      </c>
      <c r="G7192" s="3">
        <v>107568</v>
      </c>
      <c r="H7192" s="7" t="str">
        <f>HYPERLINK("http://www.ensembl.org/Mus_musculus/Gene/Summary?db=core;g=ENSMUSG00000041058","ENSMUSG00000041058")</f>
        <v>ENSMUSG00000041058</v>
      </c>
      <c r="I7192" s="7" t="str">
        <f>HYPERLINK("http://www.informatics.jax.org/marker/MGI:1861728","MGI:1861728")</f>
        <v>MGI:1861728</v>
      </c>
      <c r="J7192" s="4" t="s">
        <v>12</v>
      </c>
    </row>
    <row r="7193" spans="1:10" x14ac:dyDescent="0.25">
      <c r="A7193" s="2">
        <v>131.429520217446</v>
      </c>
      <c r="B7193" s="3">
        <v>-0.88759576828352005</v>
      </c>
      <c r="C7193" s="5">
        <v>1.68645492547364E-6</v>
      </c>
      <c r="D7193" s="6">
        <v>6.8205273031870602E-6</v>
      </c>
      <c r="E7193" s="3" t="s">
        <v>9767</v>
      </c>
      <c r="F7193" s="3" t="s">
        <v>9768</v>
      </c>
      <c r="G7193" s="3">
        <v>246277</v>
      </c>
      <c r="H7193" s="7" t="str">
        <f>HYPERLINK("http://www.ensembl.org/Mus_musculus/Gene/Summary?db=core;g=ENSMUSG00000023044","ENSMUSG00000023044")</f>
        <v>ENSMUSG00000023044</v>
      </c>
      <c r="I7193" s="7" t="str">
        <f>HYPERLINK("http://www.informatics.jax.org/marker/MGI:2180098","MGI:2180098")</f>
        <v>MGI:2180098</v>
      </c>
      <c r="J7193" s="4" t="s">
        <v>12</v>
      </c>
    </row>
    <row r="7194" spans="1:10" x14ac:dyDescent="0.25">
      <c r="A7194" s="2">
        <v>413.180190521442</v>
      </c>
      <c r="B7194" s="3">
        <v>-0.88782405056950797</v>
      </c>
      <c r="C7194" s="5">
        <v>1.17248281792314E-27</v>
      </c>
      <c r="D7194" s="6">
        <v>1.58040746202628E-26</v>
      </c>
      <c r="E7194" s="3" t="s">
        <v>2944</v>
      </c>
      <c r="F7194" s="3" t="s">
        <v>2945</v>
      </c>
      <c r="G7194" s="3">
        <v>209966</v>
      </c>
      <c r="H7194" s="7" t="str">
        <f>HYPERLINK("http://www.ensembl.org/Mus_musculus/Gene/Summary?db=core;g=ENSMUSG00000050751","ENSMUSG00000050751")</f>
        <v>ENSMUSG00000050751</v>
      </c>
      <c r="I7194" s="7" t="str">
        <f>HYPERLINK("http://www.informatics.jax.org/marker/MGI:2429955","MGI:2429955")</f>
        <v>MGI:2429955</v>
      </c>
      <c r="J7194" s="4" t="s">
        <v>12</v>
      </c>
    </row>
    <row r="7195" spans="1:10" x14ac:dyDescent="0.25">
      <c r="A7195" s="2">
        <v>12.543379832468</v>
      </c>
      <c r="B7195" s="3">
        <v>-0.88836107519921703</v>
      </c>
      <c r="C7195" s="3">
        <v>7.4465271240215696E-3</v>
      </c>
      <c r="D7195" s="4">
        <v>1.8982098615008401E-2</v>
      </c>
      <c r="E7195" s="3" t="s">
        <v>15477</v>
      </c>
      <c r="F7195" s="3" t="s">
        <v>15478</v>
      </c>
      <c r="G7195" s="3">
        <v>330355</v>
      </c>
      <c r="H7195" s="7" t="str">
        <f>HYPERLINK("http://www.ensembl.org/Mus_musculus/Gene/Summary?db=core;g=ENSMUSG00000052861","ENSMUSG00000052861")</f>
        <v>ENSMUSG00000052861</v>
      </c>
      <c r="I7195" s="7" t="str">
        <f>HYPERLINK("http://www.informatics.jax.org/marker/MGI:107744","MGI:107744")</f>
        <v>MGI:107744</v>
      </c>
      <c r="J7195" s="4" t="s">
        <v>12</v>
      </c>
    </row>
    <row r="7196" spans="1:10" x14ac:dyDescent="0.25">
      <c r="A7196" s="2">
        <v>169.85868254793999</v>
      </c>
      <c r="B7196" s="3">
        <v>-0.88849683162959503</v>
      </c>
      <c r="C7196" s="5">
        <v>2.05368763181795E-16</v>
      </c>
      <c r="D7196" s="6">
        <v>1.69238278727329E-15</v>
      </c>
      <c r="E7196" s="3" t="s">
        <v>4803</v>
      </c>
      <c r="F7196" s="3" t="s">
        <v>4804</v>
      </c>
      <c r="G7196" s="3">
        <v>319263</v>
      </c>
      <c r="H7196" s="7" t="str">
        <f>HYPERLINK("http://www.ensembl.org/Mus_musculus/Gene/Summary?db=core;g=ENSMUSG00000051285","ENSMUSG00000051285")</f>
        <v>ENSMUSG00000051285</v>
      </c>
      <c r="I7196" s="7" t="str">
        <f>HYPERLINK("http://www.informatics.jax.org/marker/MGI:2441773","MGI:2441773")</f>
        <v>MGI:2441773</v>
      </c>
      <c r="J7196" s="4" t="s">
        <v>12</v>
      </c>
    </row>
    <row r="7197" spans="1:10" x14ac:dyDescent="0.25">
      <c r="A7197" s="2">
        <v>181.48718495274599</v>
      </c>
      <c r="B7197" s="3">
        <v>-0.88928602451762695</v>
      </c>
      <c r="C7197" s="5">
        <v>1.1163936012943001E-9</v>
      </c>
      <c r="D7197" s="6">
        <v>5.96781832949948E-9</v>
      </c>
      <c r="E7197" s="3" t="s">
        <v>7396</v>
      </c>
      <c r="F7197" s="3" t="s">
        <v>7397</v>
      </c>
      <c r="G7197" s="3">
        <v>22317</v>
      </c>
      <c r="H7197" s="7" t="str">
        <f>HYPERLINK("http://www.ensembl.org/Mus_musculus/Gene/Summary?db=core;g=ENSMUSG00000030337","ENSMUSG00000030337")</f>
        <v>ENSMUSG00000030337</v>
      </c>
      <c r="I7197" s="7" t="str">
        <f>HYPERLINK("http://www.informatics.jax.org/marker/MGI:1313276","MGI:1313276")</f>
        <v>MGI:1313276</v>
      </c>
      <c r="J7197" s="4" t="s">
        <v>12</v>
      </c>
    </row>
    <row r="7198" spans="1:10" x14ac:dyDescent="0.25">
      <c r="A7198" s="2">
        <v>116.762835363238</v>
      </c>
      <c r="B7198" s="3">
        <v>-0.88941883157701795</v>
      </c>
      <c r="C7198" s="5">
        <v>1.21835646309407E-5</v>
      </c>
      <c r="D7198" s="6">
        <v>4.5289329787398697E-5</v>
      </c>
      <c r="E7198" s="3" t="s">
        <v>10622</v>
      </c>
      <c r="F7198" s="3" t="s">
        <v>10623</v>
      </c>
      <c r="G7198" s="3">
        <v>72297</v>
      </c>
      <c r="H7198" s="7" t="str">
        <f>HYPERLINK("http://www.ensembl.org/Mus_musculus/Gene/Summary?db=core;g=ENSMUSG00000031803","ENSMUSG00000031803")</f>
        <v>ENSMUSG00000031803</v>
      </c>
      <c r="I7198" s="7" t="str">
        <f>HYPERLINK("http://www.informatics.jax.org/marker/MGI:2152535","MGI:2152535")</f>
        <v>MGI:2152535</v>
      </c>
      <c r="J7198" s="4" t="s">
        <v>12</v>
      </c>
    </row>
    <row r="7199" spans="1:10" x14ac:dyDescent="0.25">
      <c r="A7199" s="2">
        <v>387.55425621450797</v>
      </c>
      <c r="B7199" s="3">
        <v>-0.89019769997446097</v>
      </c>
      <c r="C7199" s="5">
        <v>2.95340079524345E-30</v>
      </c>
      <c r="D7199" s="6">
        <v>4.3955519760151601E-29</v>
      </c>
      <c r="E7199" s="3" t="s">
        <v>2667</v>
      </c>
      <c r="F7199" s="3" t="s">
        <v>2668</v>
      </c>
      <c r="G7199" s="3">
        <v>70238</v>
      </c>
      <c r="H7199" s="7" t="str">
        <f>HYPERLINK("http://www.ensembl.org/Mus_musculus/Gene/Summary?db=core;g=ENSMUSG00000014074","ENSMUSG00000014074")</f>
        <v>ENSMUSG00000014074</v>
      </c>
      <c r="I7199" s="7" t="str">
        <f>HYPERLINK("http://www.informatics.jax.org/marker/MGI:1917488","MGI:1917488")</f>
        <v>MGI:1917488</v>
      </c>
      <c r="J7199" s="4" t="s">
        <v>12</v>
      </c>
    </row>
    <row r="7200" spans="1:10" x14ac:dyDescent="0.25">
      <c r="A7200" s="2">
        <v>26.021035888690498</v>
      </c>
      <c r="B7200" s="3">
        <v>-0.89021157630371806</v>
      </c>
      <c r="C7200" s="5">
        <v>3.7236709447780898E-5</v>
      </c>
      <c r="D7200" s="4">
        <v>1.3154924942856299E-4</v>
      </c>
      <c r="E7200" s="3" t="s">
        <v>11175</v>
      </c>
      <c r="F7200" s="3" t="s">
        <v>11176</v>
      </c>
      <c r="G7200" s="3">
        <v>75472</v>
      </c>
      <c r="H7200" s="7" t="str">
        <f>HYPERLINK("http://www.ensembl.org/Mus_musculus/Gene/Summary?db=core;g=ENSMUSG00000026649","ENSMUSG00000026649")</f>
        <v>ENSMUSG00000026649</v>
      </c>
      <c r="I7200" s="7" t="str">
        <f>HYPERLINK("http://www.informatics.jax.org/marker/MGI:1922722","MGI:1922722")</f>
        <v>MGI:1922722</v>
      </c>
      <c r="J7200" s="4" t="s">
        <v>12</v>
      </c>
    </row>
    <row r="7201" spans="1:10" x14ac:dyDescent="0.25">
      <c r="A7201" s="2">
        <v>1217.5313242772299</v>
      </c>
      <c r="B7201" s="3">
        <v>-0.89031720246203705</v>
      </c>
      <c r="C7201" s="5">
        <v>9.5631160628014602E-60</v>
      </c>
      <c r="D7201" s="6">
        <v>3.4350573544343303E-58</v>
      </c>
      <c r="E7201" s="3" t="s">
        <v>1114</v>
      </c>
      <c r="F7201" s="3" t="s">
        <v>1115</v>
      </c>
      <c r="G7201" s="3">
        <v>20466</v>
      </c>
      <c r="H7201" s="7" t="str">
        <f>HYPERLINK("http://www.ensembl.org/Mus_musculus/Gene/Summary?db=core;g=ENSMUSG00000042557","ENSMUSG00000042557")</f>
        <v>ENSMUSG00000042557</v>
      </c>
      <c r="I7201" s="7" t="str">
        <f>HYPERLINK("http://www.informatics.jax.org/marker/MGI:107157","MGI:107157")</f>
        <v>MGI:107157</v>
      </c>
      <c r="J7201" s="4" t="s">
        <v>12</v>
      </c>
    </row>
    <row r="7202" spans="1:10" x14ac:dyDescent="0.25">
      <c r="A7202" s="2">
        <v>1291.87547136894</v>
      </c>
      <c r="B7202" s="3">
        <v>-0.89042761865584497</v>
      </c>
      <c r="C7202" s="5">
        <v>6.1564710716367399E-12</v>
      </c>
      <c r="D7202" s="6">
        <v>3.9163099849250498E-11</v>
      </c>
      <c r="E7202" s="3" t="s">
        <v>6217</v>
      </c>
      <c r="F7202" s="3" t="s">
        <v>6218</v>
      </c>
      <c r="G7202" s="3">
        <v>12531</v>
      </c>
      <c r="H7202" s="7" t="str">
        <f>HYPERLINK("http://www.ensembl.org/Mus_musculus/Gene/Summary?db=core;g=ENSMUSG00000027330","ENSMUSG00000027330")</f>
        <v>ENSMUSG00000027330</v>
      </c>
      <c r="I7202" s="7" t="str">
        <f>HYPERLINK("http://www.informatics.jax.org/marker/MGI:99701","MGI:99701")</f>
        <v>MGI:99701</v>
      </c>
      <c r="J7202" s="4" t="s">
        <v>12</v>
      </c>
    </row>
    <row r="7203" spans="1:10" x14ac:dyDescent="0.25">
      <c r="A7203" s="2">
        <v>2085.7563870590202</v>
      </c>
      <c r="B7203" s="3">
        <v>-0.890744657462194</v>
      </c>
      <c r="C7203" s="5">
        <v>1.28981758948437E-26</v>
      </c>
      <c r="D7203" s="6">
        <v>1.6811105660695201E-25</v>
      </c>
      <c r="E7203" s="3" t="s">
        <v>3044</v>
      </c>
      <c r="F7203" s="3" t="s">
        <v>3045</v>
      </c>
      <c r="G7203" s="3">
        <v>544963</v>
      </c>
      <c r="H7203" s="7" t="str">
        <f>HYPERLINK("http://www.ensembl.org/Mus_musculus/Gene/Summary?db=core;g=ENSMUSG00000021676","ENSMUSG00000021676")</f>
        <v>ENSMUSG00000021676</v>
      </c>
      <c r="I7203" s="7" t="str">
        <f>HYPERLINK("http://www.informatics.jax.org/marker/MGI:2449975","MGI:2449975")</f>
        <v>MGI:2449975</v>
      </c>
      <c r="J7203" s="4" t="s">
        <v>12</v>
      </c>
    </row>
    <row r="7204" spans="1:10" x14ac:dyDescent="0.25">
      <c r="A7204" s="2">
        <v>880.66219640925306</v>
      </c>
      <c r="B7204" s="3">
        <v>-0.89153041666789301</v>
      </c>
      <c r="C7204" s="5">
        <v>8.2590713047285999E-36</v>
      </c>
      <c r="D7204" s="6">
        <v>1.4712636506707101E-34</v>
      </c>
      <c r="E7204" s="3" t="s">
        <v>2231</v>
      </c>
      <c r="F7204" s="3" t="s">
        <v>2232</v>
      </c>
      <c r="G7204" s="3">
        <v>60530</v>
      </c>
      <c r="H7204" s="7" t="str">
        <f>HYPERLINK("http://www.ensembl.org/Mus_musculus/Gene/Summary?db=core;g=ENSMUSG00000035455","ENSMUSG00000035455")</f>
        <v>ENSMUSG00000035455</v>
      </c>
      <c r="I7204" s="7" t="str">
        <f>HYPERLINK("http://www.informatics.jax.org/marker/MGI:1890648","MGI:1890648")</f>
        <v>MGI:1890648</v>
      </c>
      <c r="J7204" s="4" t="s">
        <v>12</v>
      </c>
    </row>
    <row r="7205" spans="1:10" x14ac:dyDescent="0.25">
      <c r="A7205" s="2">
        <v>50.255290401694197</v>
      </c>
      <c r="B7205" s="3">
        <v>-0.89168359601693303</v>
      </c>
      <c r="C7205" s="5">
        <v>2.48862320519242E-6</v>
      </c>
      <c r="D7205" s="6">
        <v>9.9102684988680297E-6</v>
      </c>
      <c r="E7205" s="3" t="s">
        <v>9919</v>
      </c>
      <c r="F7205" s="3" t="s">
        <v>9920</v>
      </c>
      <c r="G7205" s="3">
        <v>114606</v>
      </c>
      <c r="H7205" s="7" t="str">
        <f>HYPERLINK("http://www.ensembl.org/Mus_musculus/Gene/Summary?db=core;g=ENSMUSG00000034758","ENSMUSG00000034758")</f>
        <v>ENSMUSG00000034758</v>
      </c>
      <c r="I7205" s="7" t="str">
        <f>HYPERLINK("http://www.informatics.jax.org/marker/MGI:2149593","MGI:2149593")</f>
        <v>MGI:2149593</v>
      </c>
      <c r="J7205" s="4" t="s">
        <v>12</v>
      </c>
    </row>
    <row r="7206" spans="1:10" x14ac:dyDescent="0.25">
      <c r="A7206" s="2">
        <v>43.1013162978605</v>
      </c>
      <c r="B7206" s="3">
        <v>-0.892036745178032</v>
      </c>
      <c r="C7206" s="5">
        <v>1.2177511020850801E-6</v>
      </c>
      <c r="D7206" s="6">
        <v>4.9966815924090196E-6</v>
      </c>
      <c r="E7206" s="3" t="s">
        <v>9627</v>
      </c>
      <c r="F7206" s="3" t="s">
        <v>9628</v>
      </c>
      <c r="G7206" s="3" t="s">
        <v>83</v>
      </c>
      <c r="H7206" s="7" t="str">
        <f>HYPERLINK("http://www.ensembl.org/Mus_musculus/Gene/Summary?db=core;g=ENSMUSG00000116864","ENSMUSG00000116864")</f>
        <v>ENSMUSG00000116864</v>
      </c>
      <c r="I7206" s="7" t="str">
        <f>HYPERLINK("http://www.informatics.jax.org/marker/MGI:3781498","MGI:3781498")</f>
        <v>MGI:3781498</v>
      </c>
      <c r="J7206" s="4" t="s">
        <v>1043</v>
      </c>
    </row>
    <row r="7207" spans="1:10" x14ac:dyDescent="0.25">
      <c r="A7207" s="2">
        <v>750.74041134597996</v>
      </c>
      <c r="B7207" s="3">
        <v>-0.89212049067938104</v>
      </c>
      <c r="C7207" s="5">
        <v>1.20790578167222E-35</v>
      </c>
      <c r="D7207" s="6">
        <v>2.1401529213455602E-34</v>
      </c>
      <c r="E7207" s="3" t="s">
        <v>2243</v>
      </c>
      <c r="F7207" s="3" t="s">
        <v>2244</v>
      </c>
      <c r="G7207" s="3">
        <v>106326</v>
      </c>
      <c r="H7207" s="7" t="str">
        <f>HYPERLINK("http://www.ensembl.org/Mus_musculus/Gene/Summary?db=core;g=ENSMUSG00000022807","ENSMUSG00000022807")</f>
        <v>ENSMUSG00000022807</v>
      </c>
      <c r="I7207" s="7" t="str">
        <f>HYPERLINK("http://www.informatics.jax.org/marker/MGI:2146553","MGI:2146553")</f>
        <v>MGI:2146553</v>
      </c>
      <c r="J7207" s="4" t="s">
        <v>12</v>
      </c>
    </row>
    <row r="7208" spans="1:10" x14ac:dyDescent="0.25">
      <c r="A7208" s="2">
        <v>42.447672579893997</v>
      </c>
      <c r="B7208" s="3">
        <v>-0.89242938954520601</v>
      </c>
      <c r="C7208" s="5">
        <v>1.86125149700259E-6</v>
      </c>
      <c r="D7208" s="6">
        <v>7.49823892153036E-6</v>
      </c>
      <c r="E7208" s="3" t="s">
        <v>9805</v>
      </c>
      <c r="F7208" s="3" t="s">
        <v>9806</v>
      </c>
      <c r="G7208" s="3">
        <v>381511</v>
      </c>
      <c r="H7208" s="7" t="str">
        <f>HYPERLINK("http://www.ensembl.org/Mus_musculus/Gene/Summary?db=core;g=ENSMUSG00000049225","ENSMUSG00000049225")</f>
        <v>ENSMUSG00000049225</v>
      </c>
      <c r="I7208" s="7" t="str">
        <f>HYPERLINK("http://www.informatics.jax.org/marker/MGI:2685870","MGI:2685870")</f>
        <v>MGI:2685870</v>
      </c>
      <c r="J7208" s="4" t="s">
        <v>12</v>
      </c>
    </row>
    <row r="7209" spans="1:10" x14ac:dyDescent="0.25">
      <c r="A7209" s="2">
        <v>172.33255319639801</v>
      </c>
      <c r="B7209" s="3">
        <v>-0.89299752552585199</v>
      </c>
      <c r="C7209" s="5">
        <v>8.6105384351162202E-17</v>
      </c>
      <c r="D7209" s="6">
        <v>7.2347600315505698E-16</v>
      </c>
      <c r="E7209" s="3" t="s">
        <v>4711</v>
      </c>
      <c r="F7209" s="3" t="s">
        <v>4712</v>
      </c>
      <c r="G7209" s="3">
        <v>66315</v>
      </c>
      <c r="H7209" s="7" t="str">
        <f>HYPERLINK("http://www.ensembl.org/Mus_musculus/Gene/Summary?db=core;g=ENSMUSG00000052917","ENSMUSG00000052917")</f>
        <v>ENSMUSG00000052917</v>
      </c>
      <c r="I7209" s="7" t="str">
        <f>HYPERLINK("http://www.informatics.jax.org/marker/MGI:1913565","MGI:1913565")</f>
        <v>MGI:1913565</v>
      </c>
      <c r="J7209" s="4" t="s">
        <v>12</v>
      </c>
    </row>
    <row r="7210" spans="1:10" x14ac:dyDescent="0.25">
      <c r="A7210" s="2">
        <v>77.892354302281504</v>
      </c>
      <c r="B7210" s="3">
        <v>-0.89300952053637705</v>
      </c>
      <c r="C7210" s="5">
        <v>7.4038030054409999E-11</v>
      </c>
      <c r="D7210" s="6">
        <v>4.3388705874382302E-10</v>
      </c>
      <c r="E7210" s="3" t="s">
        <v>6748</v>
      </c>
      <c r="F7210" s="3" t="s">
        <v>6749</v>
      </c>
      <c r="G7210" s="3">
        <v>66962</v>
      </c>
      <c r="H7210" s="7" t="str">
        <f>HYPERLINK("http://www.ensembl.org/Mus_musculus/Gene/Summary?db=core;g=ENSMUSG00000051238","ENSMUSG00000051238")</f>
        <v>ENSMUSG00000051238</v>
      </c>
      <c r="I7210" s="7" t="str">
        <f>HYPERLINK("http://www.informatics.jax.org/marker/MGI:1914212","MGI:1914212")</f>
        <v>MGI:1914212</v>
      </c>
      <c r="J7210" s="4" t="s">
        <v>12</v>
      </c>
    </row>
    <row r="7211" spans="1:10" x14ac:dyDescent="0.25">
      <c r="A7211" s="2">
        <v>233.70836349575501</v>
      </c>
      <c r="B7211" s="3">
        <v>-0.89315720714203395</v>
      </c>
      <c r="C7211" s="5">
        <v>1.9957849950052199E-11</v>
      </c>
      <c r="D7211" s="6">
        <v>1.2230229988036899E-10</v>
      </c>
      <c r="E7211" s="3" t="s">
        <v>6453</v>
      </c>
      <c r="F7211" s="3" t="s">
        <v>6454</v>
      </c>
      <c r="G7211" s="3">
        <v>225870</v>
      </c>
      <c r="H7211" s="7" t="str">
        <f>HYPERLINK("http://www.ensembl.org/Mus_musculus/Gene/Summary?db=core;g=ENSMUSG00000024883","ENSMUSG00000024883")</f>
        <v>ENSMUSG00000024883</v>
      </c>
      <c r="I7211" s="7" t="str">
        <f>HYPERLINK("http://www.informatics.jax.org/marker/MGI:2385695","MGI:2385695")</f>
        <v>MGI:2385695</v>
      </c>
      <c r="J7211" s="4" t="s">
        <v>12</v>
      </c>
    </row>
    <row r="7212" spans="1:10" x14ac:dyDescent="0.25">
      <c r="A7212" s="2">
        <v>163.57809710237899</v>
      </c>
      <c r="B7212" s="3">
        <v>-0.89326029582265598</v>
      </c>
      <c r="C7212" s="5">
        <v>4.3062210330232802E-14</v>
      </c>
      <c r="D7212" s="6">
        <v>3.1335305819637998E-13</v>
      </c>
      <c r="E7212" s="3" t="s">
        <v>5437</v>
      </c>
      <c r="F7212" s="3" t="s">
        <v>5438</v>
      </c>
      <c r="G7212" s="3">
        <v>234413</v>
      </c>
      <c r="H7212" s="7" t="str">
        <f>HYPERLINK("http://www.ensembl.org/Mus_musculus/Gene/Summary?db=core;g=ENSMUSG00000052446","ENSMUSG00000052446")</f>
        <v>ENSMUSG00000052446</v>
      </c>
      <c r="I7212" s="7" t="str">
        <f>HYPERLINK("http://www.informatics.jax.org/marker/MGI:3583954","MGI:3583954")</f>
        <v>MGI:3583954</v>
      </c>
      <c r="J7212" s="4" t="s">
        <v>12</v>
      </c>
    </row>
    <row r="7213" spans="1:10" x14ac:dyDescent="0.25">
      <c r="A7213" s="2">
        <v>36.221342023144899</v>
      </c>
      <c r="B7213" s="3">
        <v>-0.89348800670247797</v>
      </c>
      <c r="C7213" s="5">
        <v>1.00148497379796E-5</v>
      </c>
      <c r="D7213" s="6">
        <v>3.7474921600181702E-5</v>
      </c>
      <c r="E7213" s="3" t="s">
        <v>10553</v>
      </c>
      <c r="F7213" s="3" t="s">
        <v>10554</v>
      </c>
      <c r="G7213" s="3">
        <v>71699</v>
      </c>
      <c r="H7213" s="7" t="str">
        <f>HYPERLINK("http://www.ensembl.org/Mus_musculus/Gene/Summary?db=core;g=ENSMUSG00000030089","ENSMUSG00000030089")</f>
        <v>ENSMUSG00000030089</v>
      </c>
      <c r="I7213" s="7" t="str">
        <f>HYPERLINK("http://www.informatics.jax.org/marker/MGI:1918949","MGI:1918949")</f>
        <v>MGI:1918949</v>
      </c>
      <c r="J7213" s="4" t="s">
        <v>12</v>
      </c>
    </row>
    <row r="7214" spans="1:10" x14ac:dyDescent="0.25">
      <c r="A7214" s="2">
        <v>329.136784824399</v>
      </c>
      <c r="B7214" s="3">
        <v>-0.89374804814696895</v>
      </c>
      <c r="C7214" s="5">
        <v>6.3485722814536104E-19</v>
      </c>
      <c r="D7214" s="6">
        <v>6.0131529966505801E-18</v>
      </c>
      <c r="E7214" s="3" t="s">
        <v>4181</v>
      </c>
      <c r="F7214" s="3" t="s">
        <v>4182</v>
      </c>
      <c r="G7214" s="3">
        <v>74764</v>
      </c>
      <c r="H7214" s="7" t="str">
        <f>HYPERLINK("http://www.ensembl.org/Mus_musculus/Gene/Summary?db=core;g=ENSMUSG00000003546","ENSMUSG00000003546")</f>
        <v>ENSMUSG00000003546</v>
      </c>
      <c r="I7214" s="7" t="str">
        <f>HYPERLINK("http://www.informatics.jax.org/marker/MGI:1922014","MGI:1922014")</f>
        <v>MGI:1922014</v>
      </c>
      <c r="J7214" s="4" t="s">
        <v>12</v>
      </c>
    </row>
    <row r="7215" spans="1:10" x14ac:dyDescent="0.25">
      <c r="A7215" s="2">
        <v>356.057656938707</v>
      </c>
      <c r="B7215" s="3">
        <v>-0.89434577228467604</v>
      </c>
      <c r="C7215" s="5">
        <v>9.4727171806141404E-7</v>
      </c>
      <c r="D7215" s="6">
        <v>3.9268863317576397E-6</v>
      </c>
      <c r="E7215" s="3" t="s">
        <v>9529</v>
      </c>
      <c r="F7215" s="3" t="s">
        <v>9530</v>
      </c>
      <c r="G7215" s="3">
        <v>20317</v>
      </c>
      <c r="H7215" s="7" t="str">
        <f>HYPERLINK("http://www.ensembl.org/Mus_musculus/Gene/Summary?db=core;g=ENSMUSG00000000753","ENSMUSG00000000753")</f>
        <v>ENSMUSG00000000753</v>
      </c>
      <c r="I7215" s="7" t="str">
        <f>HYPERLINK("http://www.informatics.jax.org/marker/MGI:108080","MGI:108080")</f>
        <v>MGI:108080</v>
      </c>
      <c r="J7215" s="4" t="s">
        <v>12</v>
      </c>
    </row>
    <row r="7216" spans="1:10" x14ac:dyDescent="0.25">
      <c r="A7216" s="2">
        <v>105.516120557709</v>
      </c>
      <c r="B7216" s="3">
        <v>-0.89475815201263798</v>
      </c>
      <c r="C7216" s="5">
        <v>4.0234643738010203E-12</v>
      </c>
      <c r="D7216" s="6">
        <v>2.5979933677588799E-11</v>
      </c>
      <c r="E7216" s="3" t="s">
        <v>6125</v>
      </c>
      <c r="F7216" s="3" t="s">
        <v>6126</v>
      </c>
      <c r="G7216" s="3">
        <v>232089</v>
      </c>
      <c r="H7216" s="7" t="str">
        <f>HYPERLINK("http://www.ensembl.org/Mus_musculus/Gene/Summary?db=core;g=ENSMUSG00000056698","ENSMUSG00000056698")</f>
        <v>ENSMUSG00000056698</v>
      </c>
      <c r="I7216" s="7" t="str">
        <f>HYPERLINK("http://www.informatics.jax.org/marker/MGI:2445168","MGI:2445168")</f>
        <v>MGI:2445168</v>
      </c>
      <c r="J7216" s="4" t="s">
        <v>12</v>
      </c>
    </row>
    <row r="7217" spans="1:10" x14ac:dyDescent="0.25">
      <c r="A7217" s="2">
        <v>33.499958299285701</v>
      </c>
      <c r="B7217" s="3">
        <v>-0.89497873854978804</v>
      </c>
      <c r="C7217" s="5">
        <v>8.6623826769089592E-6</v>
      </c>
      <c r="D7217" s="6">
        <v>3.2661985925171099E-5</v>
      </c>
      <c r="E7217" s="3" t="s">
        <v>10474</v>
      </c>
      <c r="F7217" s="3" t="s">
        <v>10475</v>
      </c>
      <c r="G7217" s="3">
        <v>11555</v>
      </c>
      <c r="H7217" s="7" t="str">
        <f>HYPERLINK("http://www.ensembl.org/Mus_musculus/Gene/Summary?db=core;g=ENSMUSG00000045730","ENSMUSG00000045730")</f>
        <v>ENSMUSG00000045730</v>
      </c>
      <c r="I7217" s="7" t="str">
        <f>HYPERLINK("http://www.informatics.jax.org/marker/MGI:87938","MGI:87938")</f>
        <v>MGI:87938</v>
      </c>
      <c r="J7217" s="4" t="s">
        <v>12</v>
      </c>
    </row>
    <row r="7218" spans="1:10" x14ac:dyDescent="0.25">
      <c r="A7218" s="2">
        <v>122.053698421219</v>
      </c>
      <c r="B7218" s="3">
        <v>-0.89579361409781699</v>
      </c>
      <c r="C7218" s="5">
        <v>8.6638203681367398E-14</v>
      </c>
      <c r="D7218" s="6">
        <v>6.2059766676228304E-13</v>
      </c>
      <c r="E7218" s="3" t="s">
        <v>5523</v>
      </c>
      <c r="F7218" s="3" t="s">
        <v>5524</v>
      </c>
      <c r="G7218" s="3">
        <v>100737</v>
      </c>
      <c r="H7218" s="7" t="str">
        <f>HYPERLINK("http://www.ensembl.org/Mus_musculus/Gene/Summary?db=core;g=ENSMUSG00000051674","ENSMUSG00000051674")</f>
        <v>ENSMUSG00000051674</v>
      </c>
      <c r="I7218" s="7" t="str">
        <f>HYPERLINK("http://www.informatics.jax.org/marker/MGI:2140972","MGI:2140972")</f>
        <v>MGI:2140972</v>
      </c>
      <c r="J7218" s="4" t="s">
        <v>12</v>
      </c>
    </row>
    <row r="7219" spans="1:10" x14ac:dyDescent="0.25">
      <c r="A7219" s="2">
        <v>281.45897185870899</v>
      </c>
      <c r="B7219" s="3">
        <v>-0.89619528471806398</v>
      </c>
      <c r="C7219" s="5">
        <v>1.32149131635424E-12</v>
      </c>
      <c r="D7219" s="6">
        <v>8.8099421090282405E-12</v>
      </c>
      <c r="E7219" s="3" t="s">
        <v>5933</v>
      </c>
      <c r="F7219" s="3" t="s">
        <v>5934</v>
      </c>
      <c r="G7219" s="3">
        <v>69226</v>
      </c>
      <c r="H7219" s="7" t="str">
        <f>HYPERLINK("http://www.ensembl.org/Mus_musculus/Gene/Summary?db=core;g=ENSMUSG00000024535","ENSMUSG00000024535")</f>
        <v>ENSMUSG00000024535</v>
      </c>
      <c r="I7219" s="7" t="str">
        <f>HYPERLINK("http://www.informatics.jax.org/marker/MGI:1916476","MGI:1916476")</f>
        <v>MGI:1916476</v>
      </c>
      <c r="J7219" s="4" t="s">
        <v>12</v>
      </c>
    </row>
    <row r="7220" spans="1:10" x14ac:dyDescent="0.25">
      <c r="A7220" s="2">
        <v>77.1401456899425</v>
      </c>
      <c r="B7220" s="3">
        <v>-0.89632475319106297</v>
      </c>
      <c r="C7220" s="5">
        <v>4.5437658860302002E-11</v>
      </c>
      <c r="D7220" s="6">
        <v>2.7144217895339498E-10</v>
      </c>
      <c r="E7220" s="3" t="s">
        <v>6619</v>
      </c>
      <c r="F7220" s="3" t="s">
        <v>6620</v>
      </c>
      <c r="G7220" s="3">
        <v>73047</v>
      </c>
      <c r="H7220" s="7" t="str">
        <f>HYPERLINK("http://www.ensembl.org/Mus_musculus/Gene/Summary?db=core;g=ENSMUSG00000051146","ENSMUSG00000051146")</f>
        <v>ENSMUSG00000051146</v>
      </c>
      <c r="I7220" s="7" t="str">
        <f>HYPERLINK("http://www.informatics.jax.org/marker/MGI:1920297","MGI:1920297")</f>
        <v>MGI:1920297</v>
      </c>
      <c r="J7220" s="4" t="s">
        <v>12</v>
      </c>
    </row>
    <row r="7221" spans="1:10" x14ac:dyDescent="0.25">
      <c r="A7221" s="2">
        <v>252.47834457206201</v>
      </c>
      <c r="B7221" s="3">
        <v>-0.89729920574774003</v>
      </c>
      <c r="C7221" s="5">
        <v>8.1101056463505505E-26</v>
      </c>
      <c r="D7221" s="6">
        <v>1.02585813563844E-24</v>
      </c>
      <c r="E7221" s="3" t="s">
        <v>3136</v>
      </c>
      <c r="F7221" s="3" t="s">
        <v>3137</v>
      </c>
      <c r="G7221" s="3">
        <v>67379</v>
      </c>
      <c r="H7221" s="7" t="str">
        <f>HYPERLINK("http://www.ensembl.org/Mus_musculus/Gene/Summary?db=core;g=ENSMUSG00000054499","ENSMUSG00000054499")</f>
        <v>ENSMUSG00000054499</v>
      </c>
      <c r="I7221" s="7" t="str">
        <f>HYPERLINK("http://www.informatics.jax.org/marker/MGI:1914629","MGI:1914629")</f>
        <v>MGI:1914629</v>
      </c>
      <c r="J7221" s="4" t="s">
        <v>12</v>
      </c>
    </row>
    <row r="7222" spans="1:10" x14ac:dyDescent="0.25">
      <c r="A7222" s="2">
        <v>8.7062798073385093</v>
      </c>
      <c r="B7222" s="3">
        <v>-0.89765969637431398</v>
      </c>
      <c r="C7222" s="3">
        <v>8.4300023279299599E-3</v>
      </c>
      <c r="D7222" s="4">
        <v>2.1247398505467599E-2</v>
      </c>
      <c r="E7222" s="3" t="s">
        <v>15653</v>
      </c>
      <c r="F7222" s="3" t="s">
        <v>15654</v>
      </c>
      <c r="G7222" s="3">
        <v>668101</v>
      </c>
      <c r="H7222" s="7" t="str">
        <f>HYPERLINK("http://www.ensembl.org/Mus_musculus/Gene/Summary?db=core;g=ENSMUSG00000095028","ENSMUSG00000095028")</f>
        <v>ENSMUSG00000095028</v>
      </c>
      <c r="I7222" s="7" t="str">
        <f>HYPERLINK("http://www.informatics.jax.org/marker/MGI:3779828","MGI:3779828")</f>
        <v>MGI:3779828</v>
      </c>
      <c r="J7222" s="4" t="s">
        <v>12</v>
      </c>
    </row>
    <row r="7223" spans="1:10" x14ac:dyDescent="0.25">
      <c r="A7223" s="2">
        <v>1111.8469399437599</v>
      </c>
      <c r="B7223" s="3">
        <v>-0.89790332241514104</v>
      </c>
      <c r="C7223" s="5">
        <v>1.5524209255009799E-60</v>
      </c>
      <c r="D7223" s="6">
        <v>5.6902863663344403E-59</v>
      </c>
      <c r="E7223" s="3" t="s">
        <v>1092</v>
      </c>
      <c r="F7223" s="3" t="s">
        <v>1093</v>
      </c>
      <c r="G7223" s="3">
        <v>217946</v>
      </c>
      <c r="H7223" s="7" t="str">
        <f>HYPERLINK("http://www.ensembl.org/Mus_musculus/Gene/Summary?db=core;g=ENSMUSG00000021175","ENSMUSG00000021175")</f>
        <v>ENSMUSG00000021175</v>
      </c>
      <c r="I7223" s="7" t="str">
        <f>HYPERLINK("http://www.informatics.jax.org/marker/MGI:2384982","MGI:2384982")</f>
        <v>MGI:2384982</v>
      </c>
      <c r="J7223" s="4" t="s">
        <v>12</v>
      </c>
    </row>
    <row r="7224" spans="1:10" x14ac:dyDescent="0.25">
      <c r="A7224" s="2">
        <v>700.92452862829396</v>
      </c>
      <c r="B7224" s="3">
        <v>-0.89798470408595898</v>
      </c>
      <c r="C7224" s="5">
        <v>1.4906767732967799E-29</v>
      </c>
      <c r="D7224" s="6">
        <v>2.16307181526215E-28</v>
      </c>
      <c r="E7224" s="3" t="s">
        <v>2736</v>
      </c>
      <c r="F7224" s="3" t="s">
        <v>2737</v>
      </c>
      <c r="G7224" s="3">
        <v>235584</v>
      </c>
      <c r="H7224" s="7" t="str">
        <f>HYPERLINK("http://www.ensembl.org/Mus_musculus/Gene/Summary?db=core;g=ENSMUSG00000053716","ENSMUSG00000053716")</f>
        <v>ENSMUSG00000053716</v>
      </c>
      <c r="I7224" s="7" t="str">
        <f>HYPERLINK("http://www.informatics.jax.org/marker/MGI:2387100","MGI:2387100")</f>
        <v>MGI:2387100</v>
      </c>
      <c r="J7224" s="4" t="s">
        <v>12</v>
      </c>
    </row>
    <row r="7225" spans="1:10" x14ac:dyDescent="0.25">
      <c r="A7225" s="2">
        <v>20.7790524211015</v>
      </c>
      <c r="B7225" s="3">
        <v>-0.89810728111461702</v>
      </c>
      <c r="C7225" s="3">
        <v>1.3946246285134501E-4</v>
      </c>
      <c r="D7225" s="4">
        <v>4.61752815216341E-4</v>
      </c>
      <c r="E7225" s="3" t="s">
        <v>11923</v>
      </c>
      <c r="F7225" s="3" t="s">
        <v>11924</v>
      </c>
      <c r="G7225" s="3">
        <v>240816</v>
      </c>
      <c r="H7225" s="7" t="str">
        <f>HYPERLINK("http://www.ensembl.org/Mus_musculus/Gene/Summary?db=core;g=ENSMUSG00000042641","ENSMUSG00000042641")</f>
        <v>ENSMUSG00000042641</v>
      </c>
      <c r="I7225" s="7" t="str">
        <f>HYPERLINK("http://www.informatics.jax.org/marker/MGI:2685048","MGI:2685048")</f>
        <v>MGI:2685048</v>
      </c>
      <c r="J7225" s="4" t="s">
        <v>12</v>
      </c>
    </row>
    <row r="7226" spans="1:10" x14ac:dyDescent="0.25">
      <c r="A7226" s="2">
        <v>259.81815814113702</v>
      </c>
      <c r="B7226" s="3">
        <v>-0.89873072021154798</v>
      </c>
      <c r="C7226" s="5">
        <v>3.5384865330848099E-9</v>
      </c>
      <c r="D7226" s="6">
        <v>1.81763361376485E-8</v>
      </c>
      <c r="E7226" s="3" t="s">
        <v>7694</v>
      </c>
      <c r="F7226" s="3" t="s">
        <v>7695</v>
      </c>
      <c r="G7226" s="3">
        <v>208198</v>
      </c>
      <c r="H7226" s="7" t="str">
        <f>HYPERLINK("http://www.ensembl.org/Mus_musculus/Gene/Summary?db=core;g=ENSMUSG00000003344","ENSMUSG00000003344")</f>
        <v>ENSMUSG00000003344</v>
      </c>
      <c r="I7226" s="7" t="str">
        <f>HYPERLINK("http://www.informatics.jax.org/marker/MGI:1933831","MGI:1933831")</f>
        <v>MGI:1933831</v>
      </c>
      <c r="J7226" s="4" t="s">
        <v>12</v>
      </c>
    </row>
    <row r="7227" spans="1:10" x14ac:dyDescent="0.25">
      <c r="A7227" s="2">
        <v>123.632388298821</v>
      </c>
      <c r="B7227" s="3">
        <v>-0.90085261238642</v>
      </c>
      <c r="C7227" s="5">
        <v>3.08684921637756E-15</v>
      </c>
      <c r="D7227" s="6">
        <v>2.40128862118207E-14</v>
      </c>
      <c r="E7227" s="3" t="s">
        <v>5087</v>
      </c>
      <c r="F7227" s="3" t="s">
        <v>5088</v>
      </c>
      <c r="G7227" s="3" t="s">
        <v>83</v>
      </c>
      <c r="H7227" s="7" t="str">
        <f>HYPERLINK("http://www.ensembl.org/Mus_musculus/Gene/Summary?db=core;g=ENSMUSG00000108621","ENSMUSG00000108621")</f>
        <v>ENSMUSG00000108621</v>
      </c>
      <c r="I7227" s="7" t="str">
        <f>HYPERLINK("http://www.informatics.jax.org/marker/MGI:5610722","MGI:5610722")</f>
        <v>MGI:5610722</v>
      </c>
      <c r="J7227" s="4" t="s">
        <v>939</v>
      </c>
    </row>
    <row r="7228" spans="1:10" x14ac:dyDescent="0.25">
      <c r="A7228" s="2">
        <v>202.083313004487</v>
      </c>
      <c r="B7228" s="3">
        <v>-0.90117687598964902</v>
      </c>
      <c r="C7228" s="5">
        <v>1.4469369978868999E-13</v>
      </c>
      <c r="D7228" s="6">
        <v>1.02197699134419E-12</v>
      </c>
      <c r="E7228" s="3" t="s">
        <v>5601</v>
      </c>
      <c r="F7228" s="3" t="s">
        <v>5602</v>
      </c>
      <c r="G7228" s="3">
        <v>66089</v>
      </c>
      <c r="H7228" s="7" t="str">
        <f>HYPERLINK("http://www.ensembl.org/Mus_musculus/Gene/Summary?db=core;g=ENSMUSG00000001054","ENSMUSG00000001054")</f>
        <v>ENSMUSG00000001054</v>
      </c>
      <c r="I7228" s="7" t="str">
        <f>HYPERLINK("http://www.informatics.jax.org/marker/MGI:1913339","MGI:1913339")</f>
        <v>MGI:1913339</v>
      </c>
      <c r="J7228" s="4" t="s">
        <v>12</v>
      </c>
    </row>
    <row r="7229" spans="1:10" x14ac:dyDescent="0.25">
      <c r="A7229" s="2">
        <v>403.05936065782402</v>
      </c>
      <c r="B7229" s="3">
        <v>-0.90149035930666599</v>
      </c>
      <c r="C7229" s="5">
        <v>4.9689025754577199E-37</v>
      </c>
      <c r="D7229" s="6">
        <v>9.2615083920629694E-36</v>
      </c>
      <c r="E7229" s="3" t="s">
        <v>2133</v>
      </c>
      <c r="F7229" s="3" t="s">
        <v>2134</v>
      </c>
      <c r="G7229" s="3">
        <v>109065</v>
      </c>
      <c r="H7229" s="7" t="str">
        <f>HYPERLINK("http://www.ensembl.org/Mus_musculus/Gene/Summary?db=core;g=ENSMUSG00000020973","ENSMUSG00000020973")</f>
        <v>ENSMUSG00000020973</v>
      </c>
      <c r="I7229" s="7" t="str">
        <f>HYPERLINK("http://www.informatics.jax.org/marker/MGI:1923566","MGI:1923566")</f>
        <v>MGI:1923566</v>
      </c>
      <c r="J7229" s="4" t="s">
        <v>12</v>
      </c>
    </row>
    <row r="7230" spans="1:10" x14ac:dyDescent="0.25">
      <c r="A7230" s="2">
        <v>5.8860740246053904</v>
      </c>
      <c r="B7230" s="3">
        <v>-0.90342387596831597</v>
      </c>
      <c r="C7230" s="3">
        <v>1.9863891917928599E-2</v>
      </c>
      <c r="D7230" s="4">
        <v>4.6411842253738303E-2</v>
      </c>
      <c r="E7230" s="3" t="s">
        <v>16884</v>
      </c>
      <c r="F7230" s="3" t="s">
        <v>16885</v>
      </c>
      <c r="G7230" s="3" t="s">
        <v>83</v>
      </c>
      <c r="H7230" s="7" t="str">
        <f>HYPERLINK("http://www.ensembl.org/Mus_musculus/Gene/Summary?db=core;g=ENSMUSG00000084771","ENSMUSG00000084771")</f>
        <v>ENSMUSG00000084771</v>
      </c>
      <c r="I7230" s="7" t="str">
        <f>HYPERLINK("http://www.informatics.jax.org/marker/MGI:3603753","MGI:3603753")</f>
        <v>MGI:3603753</v>
      </c>
      <c r="J7230" s="4" t="s">
        <v>932</v>
      </c>
    </row>
    <row r="7231" spans="1:10" x14ac:dyDescent="0.25">
      <c r="A7231" s="2">
        <v>113.01105506021401</v>
      </c>
      <c r="B7231" s="3">
        <v>-0.90358950240511804</v>
      </c>
      <c r="C7231" s="5">
        <v>1.7799462095602099E-11</v>
      </c>
      <c r="D7231" s="6">
        <v>1.0941564604902499E-10</v>
      </c>
      <c r="E7231" s="3" t="s">
        <v>6433</v>
      </c>
      <c r="F7231" s="3" t="s">
        <v>6434</v>
      </c>
      <c r="G7231" s="3">
        <v>433926</v>
      </c>
      <c r="H7231" s="7" t="str">
        <f>HYPERLINK("http://www.ensembl.org/Mus_musculus/Gene/Summary?db=core;g=ENSMUSG00000070639","ENSMUSG00000070639")</f>
        <v>ENSMUSG00000070639</v>
      </c>
      <c r="I7231" s="7" t="str">
        <f>HYPERLINK("http://www.informatics.jax.org/marker/MGI:2141353","MGI:2141353")</f>
        <v>MGI:2141353</v>
      </c>
      <c r="J7231" s="4" t="s">
        <v>12</v>
      </c>
    </row>
    <row r="7232" spans="1:10" x14ac:dyDescent="0.25">
      <c r="A7232" s="2">
        <v>314.40540459666801</v>
      </c>
      <c r="B7232" s="3">
        <v>-0.90459289605349202</v>
      </c>
      <c r="C7232" s="5">
        <v>2.3073546873646098E-25</v>
      </c>
      <c r="D7232" s="6">
        <v>2.85272943165079E-24</v>
      </c>
      <c r="E7232" s="3" t="s">
        <v>3210</v>
      </c>
      <c r="F7232" s="3" t="s">
        <v>3211</v>
      </c>
      <c r="G7232" s="3">
        <v>22036</v>
      </c>
      <c r="H7232" s="7" t="str">
        <f>HYPERLINK("http://www.ensembl.org/Mus_musculus/Gene/Summary?db=core;g=ENSMUSG00000032586","ENSMUSG00000032586")</f>
        <v>ENSMUSG00000032586</v>
      </c>
      <c r="I7232" s="7" t="str">
        <f>HYPERLINK("http://www.informatics.jax.org/marker/MGI:1096377","MGI:1096377")</f>
        <v>MGI:1096377</v>
      </c>
      <c r="J7232" s="4" t="s">
        <v>12</v>
      </c>
    </row>
    <row r="7233" spans="1:10" x14ac:dyDescent="0.25">
      <c r="A7233" s="2">
        <v>10.554618046178501</v>
      </c>
      <c r="B7233" s="3">
        <v>-0.90492926558921405</v>
      </c>
      <c r="C7233" s="3">
        <v>7.7872930398565502E-3</v>
      </c>
      <c r="D7233" s="4">
        <v>1.9781710517322099E-2</v>
      </c>
      <c r="E7233" s="3" t="s">
        <v>15531</v>
      </c>
      <c r="F7233" s="3" t="s">
        <v>15532</v>
      </c>
      <c r="G7233" s="3" t="s">
        <v>83</v>
      </c>
      <c r="H7233" s="7" t="str">
        <f>HYPERLINK("http://www.ensembl.org/Mus_musculus/Gene/Summary?db=core;g=ENSMUSG00000087626","ENSMUSG00000087626")</f>
        <v>ENSMUSG00000087626</v>
      </c>
      <c r="I7233" s="7" t="str">
        <f>HYPERLINK("http://www.informatics.jax.org/marker/MGI:3705180","MGI:3705180")</f>
        <v>MGI:3705180</v>
      </c>
      <c r="J7233" s="4" t="s">
        <v>932</v>
      </c>
    </row>
    <row r="7234" spans="1:10" x14ac:dyDescent="0.25">
      <c r="A7234" s="2">
        <v>790.40222045147596</v>
      </c>
      <c r="B7234" s="3">
        <v>-0.90496110659441198</v>
      </c>
      <c r="C7234" s="5">
        <v>1.16006004024309E-23</v>
      </c>
      <c r="D7234" s="6">
        <v>1.3456696466819799E-22</v>
      </c>
      <c r="E7234" s="3" t="s">
        <v>3418</v>
      </c>
      <c r="F7234" s="3" t="s">
        <v>3419</v>
      </c>
      <c r="G7234" s="3">
        <v>114663</v>
      </c>
      <c r="H7234" s="7" t="str">
        <f>HYPERLINK("http://www.ensembl.org/Mus_musculus/Gene/Summary?db=core;g=ENSMUSG00000024525","ENSMUSG00000024525")</f>
        <v>ENSMUSG00000024525</v>
      </c>
      <c r="I7234" s="7" t="str">
        <f>HYPERLINK("http://www.informatics.jax.org/marker/MGI:2149728","MGI:2149728")</f>
        <v>MGI:2149728</v>
      </c>
      <c r="J7234" s="4" t="s">
        <v>12</v>
      </c>
    </row>
    <row r="7235" spans="1:10" x14ac:dyDescent="0.25">
      <c r="A7235" s="2">
        <v>9.5362616795068504</v>
      </c>
      <c r="B7235" s="3">
        <v>-0.90514659056281499</v>
      </c>
      <c r="C7235" s="3">
        <v>8.8969812287072996E-3</v>
      </c>
      <c r="D7235" s="4">
        <v>2.2361517949287299E-2</v>
      </c>
      <c r="E7235" s="3" t="s">
        <v>15697</v>
      </c>
      <c r="F7235" s="3" t="s">
        <v>15698</v>
      </c>
      <c r="G7235" s="3" t="s">
        <v>83</v>
      </c>
      <c r="H7235" s="7" t="str">
        <f>HYPERLINK("http://www.ensembl.org/Mus_musculus/Gene/Summary?db=core;g=ENSMUSG00000111171","ENSMUSG00000111171")</f>
        <v>ENSMUSG00000111171</v>
      </c>
      <c r="I7235" s="7" t="str">
        <f>HYPERLINK("http://www.informatics.jax.org/marker/MGI:6097001","MGI:6097001")</f>
        <v>MGI:6097001</v>
      </c>
      <c r="J7235" s="4" t="s">
        <v>932</v>
      </c>
    </row>
    <row r="7236" spans="1:10" x14ac:dyDescent="0.25">
      <c r="A7236" s="2">
        <v>25.287305401935999</v>
      </c>
      <c r="B7236" s="3">
        <v>-0.90516229570458095</v>
      </c>
      <c r="C7236" s="3">
        <v>1.07275761342857E-4</v>
      </c>
      <c r="D7236" s="4">
        <v>3.60572356175412E-4</v>
      </c>
      <c r="E7236" s="3" t="s">
        <v>11745</v>
      </c>
      <c r="F7236" s="3" t="s">
        <v>11746</v>
      </c>
      <c r="G7236" s="3">
        <v>68404</v>
      </c>
      <c r="H7236" s="7" t="str">
        <f>HYPERLINK("http://www.ensembl.org/Mus_musculus/Gene/Summary?db=core;g=ENSMUSG00000039114","ENSMUSG00000039114")</f>
        <v>ENSMUSG00000039114</v>
      </c>
      <c r="I7236" s="7" t="str">
        <f>HYPERLINK("http://www.informatics.jax.org/marker/MGI:1915654","MGI:1915654")</f>
        <v>MGI:1915654</v>
      </c>
      <c r="J7236" s="4" t="s">
        <v>12</v>
      </c>
    </row>
    <row r="7237" spans="1:10" x14ac:dyDescent="0.25">
      <c r="A7237" s="2">
        <v>68.522797420271203</v>
      </c>
      <c r="B7237" s="3">
        <v>-0.90524722736704799</v>
      </c>
      <c r="C7237" s="5">
        <v>1.40701072042108E-7</v>
      </c>
      <c r="D7237" s="6">
        <v>6.2888149153906703E-7</v>
      </c>
      <c r="E7237" s="3" t="s">
        <v>8841</v>
      </c>
      <c r="F7237" s="3" t="s">
        <v>8842</v>
      </c>
      <c r="G7237" s="3" t="s">
        <v>83</v>
      </c>
      <c r="H7237" s="7" t="str">
        <f>HYPERLINK("http://www.ensembl.org/Mus_musculus/Gene/Summary?db=core;g=ENSMUSG00000097287","ENSMUSG00000097287")</f>
        <v>ENSMUSG00000097287</v>
      </c>
      <c r="I7237" s="7" t="str">
        <f>HYPERLINK("http://www.informatics.jax.org/marker/MGI:2443273","MGI:2443273")</f>
        <v>MGI:2443273</v>
      </c>
      <c r="J7237" s="4" t="s">
        <v>939</v>
      </c>
    </row>
    <row r="7238" spans="1:10" x14ac:dyDescent="0.25">
      <c r="A7238" s="2">
        <v>2378.7262133833201</v>
      </c>
      <c r="B7238" s="3">
        <v>-0.90524951176736701</v>
      </c>
      <c r="C7238" s="5">
        <v>2.8417090332657002E-34</v>
      </c>
      <c r="D7238" s="6">
        <v>4.7978169636985999E-33</v>
      </c>
      <c r="E7238" s="3" t="s">
        <v>2353</v>
      </c>
      <c r="F7238" s="3" t="s">
        <v>2354</v>
      </c>
      <c r="G7238" s="3">
        <v>107823</v>
      </c>
      <c r="H7238" s="7" t="str">
        <f>HYPERLINK("http://www.ensembl.org/Mus_musculus/Gene/Summary?db=core;g=ENSMUSG00000057406","ENSMUSG00000057406")</f>
        <v>ENSMUSG00000057406</v>
      </c>
      <c r="I7238" s="7" t="str">
        <f>HYPERLINK("http://www.informatics.jax.org/marker/MGI:1276574","MGI:1276574")</f>
        <v>MGI:1276574</v>
      </c>
      <c r="J7238" s="4" t="s">
        <v>12</v>
      </c>
    </row>
    <row r="7239" spans="1:10" x14ac:dyDescent="0.25">
      <c r="A7239" s="2">
        <v>652.00121155674697</v>
      </c>
      <c r="B7239" s="3">
        <v>-0.90560252399311603</v>
      </c>
      <c r="C7239" s="5">
        <v>1.3009850351581099E-16</v>
      </c>
      <c r="D7239" s="6">
        <v>1.0857141300600001E-15</v>
      </c>
      <c r="E7239" s="3" t="s">
        <v>4743</v>
      </c>
      <c r="F7239" s="3" t="s">
        <v>4744</v>
      </c>
      <c r="G7239" s="3">
        <v>17691</v>
      </c>
      <c r="H7239" s="7" t="str">
        <f>HYPERLINK("http://www.ensembl.org/Mus_musculus/Gene/Summary?db=core;g=ENSMUSG00000024042","ENSMUSG00000024042")</f>
        <v>ENSMUSG00000024042</v>
      </c>
      <c r="I7239" s="7" t="str">
        <f>HYPERLINK("http://www.informatics.jax.org/marker/MGI:104754","MGI:104754")</f>
        <v>MGI:104754</v>
      </c>
      <c r="J7239" s="4" t="s">
        <v>12</v>
      </c>
    </row>
    <row r="7240" spans="1:10" x14ac:dyDescent="0.25">
      <c r="A7240" s="2">
        <v>214.01072694027101</v>
      </c>
      <c r="B7240" s="3">
        <v>-0.90577624610441598</v>
      </c>
      <c r="C7240" s="5">
        <v>1.4400142237177701E-17</v>
      </c>
      <c r="D7240" s="6">
        <v>1.2705628855353199E-16</v>
      </c>
      <c r="E7240" s="3" t="s">
        <v>4487</v>
      </c>
      <c r="F7240" s="3" t="s">
        <v>4488</v>
      </c>
      <c r="G7240" s="3">
        <v>69726</v>
      </c>
      <c r="H7240" s="7" t="str">
        <f>HYPERLINK("http://www.ensembl.org/Mus_musculus/Gene/Summary?db=core;g=ENSMUSG00000055067","ENSMUSG00000055067")</f>
        <v>ENSMUSG00000055067</v>
      </c>
      <c r="I7240" s="7" t="str">
        <f>HYPERLINK("http://www.informatics.jax.org/marker/MGI:1916976","MGI:1916976")</f>
        <v>MGI:1916976</v>
      </c>
      <c r="J7240" s="4" t="s">
        <v>12</v>
      </c>
    </row>
    <row r="7241" spans="1:10" x14ac:dyDescent="0.25">
      <c r="A7241" s="2">
        <v>11.9039438799017</v>
      </c>
      <c r="B7241" s="3">
        <v>-0.90601414053504703</v>
      </c>
      <c r="C7241" s="3">
        <v>3.0910773201030901E-3</v>
      </c>
      <c r="D7241" s="4">
        <v>8.4532027114731494E-3</v>
      </c>
      <c r="E7241" s="3" t="s">
        <v>14427</v>
      </c>
      <c r="F7241" s="3" t="s">
        <v>14428</v>
      </c>
      <c r="G7241" s="3" t="s">
        <v>83</v>
      </c>
      <c r="H7241" s="7" t="str">
        <f>HYPERLINK("http://www.ensembl.org/Mus_musculus/Gene/Summary?db=core;g=ENSMUSG00000109251","ENSMUSG00000109251")</f>
        <v>ENSMUSG00000109251</v>
      </c>
      <c r="I7241" s="7" t="str">
        <f>HYPERLINK("http://www.informatics.jax.org/marker/MGI:3041205","MGI:3041205")</f>
        <v>MGI:3041205</v>
      </c>
      <c r="J7241" s="4" t="s">
        <v>932</v>
      </c>
    </row>
    <row r="7242" spans="1:10" x14ac:dyDescent="0.25">
      <c r="A7242" s="2">
        <v>80.133394948172594</v>
      </c>
      <c r="B7242" s="3">
        <v>-0.90735989996597799</v>
      </c>
      <c r="C7242" s="5">
        <v>1.28798033734898E-10</v>
      </c>
      <c r="D7242" s="6">
        <v>7.4331203548498401E-10</v>
      </c>
      <c r="E7242" s="3" t="s">
        <v>6852</v>
      </c>
      <c r="F7242" s="3" t="s">
        <v>6853</v>
      </c>
      <c r="G7242" s="3">
        <v>234796</v>
      </c>
      <c r="H7242" s="7" t="str">
        <f>HYPERLINK("http://www.ensembl.org/Mus_musculus/Gene/Summary?db=core;g=ENSMUSG00000031828","ENSMUSG00000031828")</f>
        <v>ENSMUSG00000031828</v>
      </c>
      <c r="I7242" s="7" t="str">
        <f>HYPERLINK("http://www.informatics.jax.org/marker/MGI:2385305","MGI:2385305")</f>
        <v>MGI:2385305</v>
      </c>
      <c r="J7242" s="4" t="s">
        <v>12</v>
      </c>
    </row>
    <row r="7243" spans="1:10" x14ac:dyDescent="0.25">
      <c r="A7243" s="2">
        <v>132.636647939612</v>
      </c>
      <c r="B7243" s="3">
        <v>-0.90750289604736201</v>
      </c>
      <c r="C7243" s="5">
        <v>6.2955895398875603E-18</v>
      </c>
      <c r="D7243" s="6">
        <v>5.6637329254827796E-17</v>
      </c>
      <c r="E7243" s="3" t="s">
        <v>4401</v>
      </c>
      <c r="F7243" s="3" t="s">
        <v>4402</v>
      </c>
      <c r="G7243" s="3">
        <v>544696</v>
      </c>
      <c r="H7243" s="7" t="str">
        <f>HYPERLINK("http://www.ensembl.org/Mus_musculus/Gene/Summary?db=core;g=ENSMUSG00000038122","ENSMUSG00000038122")</f>
        <v>ENSMUSG00000038122</v>
      </c>
      <c r="I7243" s="7" t="str">
        <f>HYPERLINK("http://www.informatics.jax.org/marker/MGI:2442827","MGI:2442827")</f>
        <v>MGI:2442827</v>
      </c>
      <c r="J7243" s="4" t="s">
        <v>12</v>
      </c>
    </row>
    <row r="7244" spans="1:10" x14ac:dyDescent="0.25">
      <c r="A7244" s="2">
        <v>1259.8000959485</v>
      </c>
      <c r="B7244" s="3">
        <v>-0.90897829216313697</v>
      </c>
      <c r="C7244" s="5">
        <v>4.2777993935340003E-34</v>
      </c>
      <c r="D7244" s="6">
        <v>7.1794216204672704E-33</v>
      </c>
      <c r="E7244" s="3" t="s">
        <v>2367</v>
      </c>
      <c r="F7244" s="3" t="s">
        <v>2368</v>
      </c>
      <c r="G7244" s="3">
        <v>13555</v>
      </c>
      <c r="H7244" s="7" t="str">
        <f>HYPERLINK("http://www.ensembl.org/Mus_musculus/Gene/Summary?db=core;g=ENSMUSG00000027490","ENSMUSG00000027490")</f>
        <v>ENSMUSG00000027490</v>
      </c>
      <c r="I7244" s="7" t="str">
        <f>HYPERLINK("http://www.informatics.jax.org/marker/MGI:101941","MGI:101941")</f>
        <v>MGI:101941</v>
      </c>
      <c r="J7244" s="4" t="s">
        <v>12</v>
      </c>
    </row>
    <row r="7245" spans="1:10" x14ac:dyDescent="0.25">
      <c r="A7245" s="2">
        <v>342.96753254524202</v>
      </c>
      <c r="B7245" s="3">
        <v>-0.90903362542966404</v>
      </c>
      <c r="C7245" s="5">
        <v>1.05176777691775E-16</v>
      </c>
      <c r="D7245" s="6">
        <v>8.8034212906697795E-16</v>
      </c>
      <c r="E7245" s="3" t="s">
        <v>4729</v>
      </c>
      <c r="F7245" s="3" t="s">
        <v>4730</v>
      </c>
      <c r="G7245" s="3">
        <v>104383</v>
      </c>
      <c r="H7245" s="7" t="str">
        <f>HYPERLINK("http://www.ensembl.org/Mus_musculus/Gene/Summary?db=core;g=ENSMUSG00000024968","ENSMUSG00000024968")</f>
        <v>ENSMUSG00000024968</v>
      </c>
      <c r="I7245" s="7" t="str">
        <f>HYPERLINK("http://www.informatics.jax.org/marker/MGI:1859854","MGI:1859854")</f>
        <v>MGI:1859854</v>
      </c>
      <c r="J7245" s="4" t="s">
        <v>12</v>
      </c>
    </row>
    <row r="7246" spans="1:10" x14ac:dyDescent="0.25">
      <c r="A7246" s="2">
        <v>4191.88136985244</v>
      </c>
      <c r="B7246" s="3">
        <v>-0.91017215682941899</v>
      </c>
      <c r="C7246" s="5">
        <v>1.04422969585281E-41</v>
      </c>
      <c r="D7246" s="6">
        <v>2.22859411279408E-40</v>
      </c>
      <c r="E7246" s="3" t="s">
        <v>1865</v>
      </c>
      <c r="F7246" s="3" t="s">
        <v>1866</v>
      </c>
      <c r="G7246" s="3">
        <v>17215</v>
      </c>
      <c r="H7246" s="7" t="str">
        <f>HYPERLINK("http://www.ensembl.org/Mus_musculus/Gene/Summary?db=core;g=ENSMUSG00000041859","ENSMUSG00000041859")</f>
        <v>ENSMUSG00000041859</v>
      </c>
      <c r="I7246" s="7" t="str">
        <f>HYPERLINK("http://www.informatics.jax.org/marker/MGI:101845","MGI:101845")</f>
        <v>MGI:101845</v>
      </c>
      <c r="J7246" s="4" t="s">
        <v>12</v>
      </c>
    </row>
    <row r="7247" spans="1:10" x14ac:dyDescent="0.25">
      <c r="A7247" s="2">
        <v>5.2748847494850697</v>
      </c>
      <c r="B7247" s="3">
        <v>-0.91022276240538103</v>
      </c>
      <c r="C7247" s="3">
        <v>2.0932997900500998E-2</v>
      </c>
      <c r="D7247" s="4">
        <v>4.8627484815394098E-2</v>
      </c>
      <c r="E7247" s="3" t="s">
        <v>16982</v>
      </c>
      <c r="F7247" s="3" t="s">
        <v>16983</v>
      </c>
      <c r="G7247" s="3" t="s">
        <v>83</v>
      </c>
      <c r="H7247" s="7" t="str">
        <f>HYPERLINK("http://www.ensembl.org/Mus_musculus/Gene/Summary?db=core;g=ENSMUSG00000098863","ENSMUSG00000098863")</f>
        <v>ENSMUSG00000098863</v>
      </c>
      <c r="I7247" s="7" t="str">
        <f>HYPERLINK("http://www.informatics.jax.org/marker/MGI:5531087","MGI:5531087")</f>
        <v>MGI:5531087</v>
      </c>
      <c r="J7247" s="4" t="s">
        <v>6715</v>
      </c>
    </row>
    <row r="7248" spans="1:10" x14ac:dyDescent="0.25">
      <c r="A7248" s="2">
        <v>872.21713199434305</v>
      </c>
      <c r="B7248" s="3">
        <v>-0.91034133863828204</v>
      </c>
      <c r="C7248" s="5">
        <v>1.87621809918581E-56</v>
      </c>
      <c r="D7248" s="6">
        <v>6.0357293500724702E-55</v>
      </c>
      <c r="E7248" s="3" t="s">
        <v>1242</v>
      </c>
      <c r="F7248" s="3" t="s">
        <v>1243</v>
      </c>
      <c r="G7248" s="3">
        <v>66622</v>
      </c>
      <c r="H7248" s="7" t="str">
        <f>HYPERLINK("http://www.ensembl.org/Mus_musculus/Gene/Summary?db=core;g=ENSMUSG00000041712","ENSMUSG00000041712")</f>
        <v>ENSMUSG00000041712</v>
      </c>
      <c r="I7248" s="7" t="str">
        <f>HYPERLINK("http://www.informatics.jax.org/marker/MGI:1913872","MGI:1913872")</f>
        <v>MGI:1913872</v>
      </c>
      <c r="J7248" s="4" t="s">
        <v>12</v>
      </c>
    </row>
    <row r="7249" spans="1:10" x14ac:dyDescent="0.25">
      <c r="A7249" s="2">
        <v>79.234599601468204</v>
      </c>
      <c r="B7249" s="3">
        <v>-0.911793207155702</v>
      </c>
      <c r="C7249" s="5">
        <v>1.0475522202781699E-6</v>
      </c>
      <c r="D7249" s="6">
        <v>4.3235097915206303E-6</v>
      </c>
      <c r="E7249" s="3" t="s">
        <v>9571</v>
      </c>
      <c r="F7249" s="3" t="s">
        <v>9572</v>
      </c>
      <c r="G7249" s="3">
        <v>66257</v>
      </c>
      <c r="H7249" s="7" t="str">
        <f>HYPERLINK("http://www.ensembl.org/Mus_musculus/Gene/Summary?db=core;g=ENSMUSG00000032606","ENSMUSG00000032606")</f>
        <v>ENSMUSG00000032606</v>
      </c>
      <c r="I7249" s="7" t="str">
        <f>HYPERLINK("http://www.informatics.jax.org/marker/MGI:1913507","MGI:1913507")</f>
        <v>MGI:1913507</v>
      </c>
      <c r="J7249" s="4" t="s">
        <v>12</v>
      </c>
    </row>
    <row r="7250" spans="1:10" x14ac:dyDescent="0.25">
      <c r="A7250" s="2">
        <v>12.676779553687499</v>
      </c>
      <c r="B7250" s="3">
        <v>-0.91269936410845998</v>
      </c>
      <c r="C7250" s="3">
        <v>5.4023686270988896E-3</v>
      </c>
      <c r="D7250" s="4">
        <v>1.4197056146907E-2</v>
      </c>
      <c r="E7250" s="3" t="s">
        <v>15012</v>
      </c>
      <c r="F7250" s="3" t="s">
        <v>15013</v>
      </c>
      <c r="G7250" s="3" t="s">
        <v>83</v>
      </c>
      <c r="H7250" s="7" t="str">
        <f>HYPERLINK("http://www.ensembl.org/Mus_musculus/Gene/Summary?db=core;g=ENSMUSG00000096221","ENSMUSG00000096221")</f>
        <v>ENSMUSG00000096221</v>
      </c>
      <c r="I7250" s="7" t="str">
        <f>HYPERLINK("http://www.informatics.jax.org/marker/MGI:1916196","MGI:1916196")</f>
        <v>MGI:1916196</v>
      </c>
      <c r="J7250" s="4" t="s">
        <v>932</v>
      </c>
    </row>
    <row r="7251" spans="1:10" x14ac:dyDescent="0.25">
      <c r="A7251" s="2">
        <v>2556.8911816516502</v>
      </c>
      <c r="B7251" s="3">
        <v>-0.91311462971256296</v>
      </c>
      <c r="C7251" s="5">
        <v>3.7965314523770801E-21</v>
      </c>
      <c r="D7251" s="6">
        <v>3.9404000126776902E-20</v>
      </c>
      <c r="E7251" s="3" t="s">
        <v>3818</v>
      </c>
      <c r="F7251" s="3" t="s">
        <v>3819</v>
      </c>
      <c r="G7251" s="3">
        <v>72043</v>
      </c>
      <c r="H7251" s="7" t="str">
        <f>HYPERLINK("http://www.ensembl.org/Mus_musculus/Gene/Summary?db=core;g=ENSMUSG00000006800","ENSMUSG00000006800")</f>
        <v>ENSMUSG00000006800</v>
      </c>
      <c r="I7251" s="7" t="str">
        <f>HYPERLINK("http://www.informatics.jax.org/marker/MGI:1919293","MGI:1919293")</f>
        <v>MGI:1919293</v>
      </c>
      <c r="J7251" s="4" t="s">
        <v>12</v>
      </c>
    </row>
    <row r="7252" spans="1:10" x14ac:dyDescent="0.25">
      <c r="A7252" s="2">
        <v>6.3313408863515104</v>
      </c>
      <c r="B7252" s="3">
        <v>-0.91382067315286597</v>
      </c>
      <c r="C7252" s="3">
        <v>1.6925350176646699E-2</v>
      </c>
      <c r="D7252" s="4">
        <v>4.0150114938466597E-2</v>
      </c>
      <c r="E7252" s="3" t="s">
        <v>16630</v>
      </c>
      <c r="F7252" s="3" t="s">
        <v>16631</v>
      </c>
      <c r="G7252" s="3" t="s">
        <v>83</v>
      </c>
      <c r="H7252" s="7" t="str">
        <f>HYPERLINK("http://www.ensembl.org/Mus_musculus/Gene/Summary?db=core;g=ENSMUSG00000102599","ENSMUSG00000102599")</f>
        <v>ENSMUSG00000102599</v>
      </c>
      <c r="I7252" s="7" t="str">
        <f>HYPERLINK("http://www.informatics.jax.org/marker/MGI:5611614","MGI:5611614")</f>
        <v>MGI:5611614</v>
      </c>
      <c r="J7252" s="4" t="s">
        <v>1828</v>
      </c>
    </row>
    <row r="7253" spans="1:10" x14ac:dyDescent="0.25">
      <c r="A7253" s="2">
        <v>3113.5890079608998</v>
      </c>
      <c r="B7253" s="3">
        <v>-0.91440751047327296</v>
      </c>
      <c r="C7253" s="5">
        <v>4.5262559976391098E-32</v>
      </c>
      <c r="D7253" s="6">
        <v>7.0559500611417602E-31</v>
      </c>
      <c r="E7253" s="3" t="s">
        <v>2547</v>
      </c>
      <c r="F7253" s="3" t="s">
        <v>2548</v>
      </c>
      <c r="G7253" s="3">
        <v>17865</v>
      </c>
      <c r="H7253" s="7" t="str">
        <f>HYPERLINK("http://www.ensembl.org/Mus_musculus/Gene/Summary?db=core;g=ENSMUSG00000017861","ENSMUSG00000017861")</f>
        <v>ENSMUSG00000017861</v>
      </c>
      <c r="I7253" s="7" t="str">
        <f>HYPERLINK("http://www.informatics.jax.org/marker/MGI:101785","MGI:101785")</f>
        <v>MGI:101785</v>
      </c>
      <c r="J7253" s="4" t="s">
        <v>12</v>
      </c>
    </row>
    <row r="7254" spans="1:10" x14ac:dyDescent="0.25">
      <c r="A7254" s="2">
        <v>84.195836794070601</v>
      </c>
      <c r="B7254" s="3">
        <v>-0.91446436660770103</v>
      </c>
      <c r="C7254" s="5">
        <v>3.84197449347689E-7</v>
      </c>
      <c r="D7254" s="6">
        <v>1.6571246065477699E-6</v>
      </c>
      <c r="E7254" s="3" t="s">
        <v>9159</v>
      </c>
      <c r="F7254" s="3" t="s">
        <v>9160</v>
      </c>
      <c r="G7254" s="3">
        <v>13846</v>
      </c>
      <c r="H7254" s="7" t="str">
        <f>HYPERLINK("http://www.ensembl.org/Mus_musculus/Gene/Summary?db=core;g=ENSMUSG00000029710","ENSMUSG00000029710")</f>
        <v>ENSMUSG00000029710</v>
      </c>
      <c r="I7254" s="7" t="str">
        <f>HYPERLINK("http://www.informatics.jax.org/marker/MGI:104757","MGI:104757")</f>
        <v>MGI:104757</v>
      </c>
      <c r="J7254" s="4" t="s">
        <v>12</v>
      </c>
    </row>
    <row r="7255" spans="1:10" x14ac:dyDescent="0.25">
      <c r="A7255" s="2">
        <v>1116.39166625293</v>
      </c>
      <c r="B7255" s="3">
        <v>-0.91467502623199204</v>
      </c>
      <c r="C7255" s="5">
        <v>4.3990154130216899E-33</v>
      </c>
      <c r="D7255" s="6">
        <v>7.0989021231413902E-32</v>
      </c>
      <c r="E7255" s="3" t="s">
        <v>2461</v>
      </c>
      <c r="F7255" s="3" t="s">
        <v>2462</v>
      </c>
      <c r="G7255" s="3">
        <v>18968</v>
      </c>
      <c r="H7255" s="7" t="str">
        <f>HYPERLINK("http://www.ensembl.org/Mus_musculus/Gene/Summary?db=core;g=ENSMUSG00000006678","ENSMUSG00000006678")</f>
        <v>ENSMUSG00000006678</v>
      </c>
      <c r="I7255" s="7" t="str">
        <f>HYPERLINK("http://www.informatics.jax.org/marker/MGI:99660","MGI:99660")</f>
        <v>MGI:99660</v>
      </c>
      <c r="J7255" s="4" t="s">
        <v>12</v>
      </c>
    </row>
    <row r="7256" spans="1:10" x14ac:dyDescent="0.25">
      <c r="A7256" s="2">
        <v>422.21239929752301</v>
      </c>
      <c r="B7256" s="3">
        <v>-0.91521346683487803</v>
      </c>
      <c r="C7256" s="5">
        <v>1.59678044260555E-23</v>
      </c>
      <c r="D7256" s="6">
        <v>1.8414333525252399E-22</v>
      </c>
      <c r="E7256" s="3" t="s">
        <v>3438</v>
      </c>
      <c r="F7256" s="3" t="s">
        <v>3439</v>
      </c>
      <c r="G7256" s="3">
        <v>76967</v>
      </c>
      <c r="H7256" s="7" t="str">
        <f>HYPERLINK("http://www.ensembl.org/Mus_musculus/Gene/Summary?db=core;g=ENSMUSG00000034601","ENSMUSG00000034601")</f>
        <v>ENSMUSG00000034601</v>
      </c>
      <c r="I7256" s="7" t="str">
        <f>HYPERLINK("http://www.informatics.jax.org/marker/MGI:1924217","MGI:1924217")</f>
        <v>MGI:1924217</v>
      </c>
      <c r="J7256" s="4" t="s">
        <v>12</v>
      </c>
    </row>
    <row r="7257" spans="1:10" x14ac:dyDescent="0.25">
      <c r="A7257" s="2">
        <v>144.116696152179</v>
      </c>
      <c r="B7257" s="3">
        <v>-0.91543550339632696</v>
      </c>
      <c r="C7257" s="5">
        <v>1.9931143807901399E-13</v>
      </c>
      <c r="D7257" s="6">
        <v>1.3997227773925E-12</v>
      </c>
      <c r="E7257" s="3" t="s">
        <v>5633</v>
      </c>
      <c r="F7257" s="3" t="s">
        <v>5634</v>
      </c>
      <c r="G7257" s="3">
        <v>68520</v>
      </c>
      <c r="H7257" s="7" t="str">
        <f>HYPERLINK("http://www.ensembl.org/Mus_musculus/Gene/Summary?db=core;g=ENSMUSG00000021286","ENSMUSG00000021286")</f>
        <v>ENSMUSG00000021286</v>
      </c>
      <c r="I7257" s="7" t="str">
        <f>HYPERLINK("http://www.informatics.jax.org/marker/MGI:1915770","MGI:1915770")</f>
        <v>MGI:1915770</v>
      </c>
      <c r="J7257" s="4" t="s">
        <v>12</v>
      </c>
    </row>
    <row r="7258" spans="1:10" x14ac:dyDescent="0.25">
      <c r="A7258" s="2">
        <v>11.6075709926104</v>
      </c>
      <c r="B7258" s="3">
        <v>-0.91604315557023797</v>
      </c>
      <c r="C7258" s="3">
        <v>6.2416988870911396E-3</v>
      </c>
      <c r="D7258" s="4">
        <v>1.6167494391330198E-2</v>
      </c>
      <c r="E7258" s="3" t="s">
        <v>15233</v>
      </c>
      <c r="F7258" s="3" t="s">
        <v>15234</v>
      </c>
      <c r="G7258" s="3">
        <v>233067</v>
      </c>
      <c r="H7258" s="7" t="str">
        <f>HYPERLINK("http://www.ensembl.org/Mus_musculus/Gene/Summary?db=core;g=ENSMUSG00000036957","ENSMUSG00000036957")</f>
        <v>ENSMUSG00000036957</v>
      </c>
      <c r="I7258" s="7" t="str">
        <f>HYPERLINK("http://www.informatics.jax.org/marker/MGI:2442512","MGI:2442512")</f>
        <v>MGI:2442512</v>
      </c>
      <c r="J7258" s="4" t="s">
        <v>12</v>
      </c>
    </row>
    <row r="7259" spans="1:10" x14ac:dyDescent="0.25">
      <c r="A7259" s="2">
        <v>2600.5347652722699</v>
      </c>
      <c r="B7259" s="3">
        <v>-0.91631018538882403</v>
      </c>
      <c r="C7259" s="5">
        <v>3.5729975639378399E-25</v>
      </c>
      <c r="D7259" s="6">
        <v>4.3763672025375203E-24</v>
      </c>
      <c r="E7259" s="3" t="s">
        <v>3240</v>
      </c>
      <c r="F7259" s="3" t="s">
        <v>3241</v>
      </c>
      <c r="G7259" s="3">
        <v>101706</v>
      </c>
      <c r="H7259" s="7" t="str">
        <f>HYPERLINK("http://www.ensembl.org/Mus_musculus/Gene/Summary?db=core;g=ENSMUSG00000066306","ENSMUSG00000066306")</f>
        <v>ENSMUSG00000066306</v>
      </c>
      <c r="I7259" s="7" t="str">
        <f>HYPERLINK("http://www.informatics.jax.org/marker/MGI:2443665","MGI:2443665")</f>
        <v>MGI:2443665</v>
      </c>
      <c r="J7259" s="4" t="s">
        <v>12</v>
      </c>
    </row>
    <row r="7260" spans="1:10" x14ac:dyDescent="0.25">
      <c r="A7260" s="2">
        <v>408.19613073869198</v>
      </c>
      <c r="B7260" s="3">
        <v>-0.91633475969121603</v>
      </c>
      <c r="C7260" s="5">
        <v>1.04612146213084E-28</v>
      </c>
      <c r="D7260" s="6">
        <v>1.47143475272612E-27</v>
      </c>
      <c r="E7260" s="3" t="s">
        <v>2822</v>
      </c>
      <c r="F7260" s="3" t="s">
        <v>2823</v>
      </c>
      <c r="G7260" s="3">
        <v>192285</v>
      </c>
      <c r="H7260" s="7" t="str">
        <f>HYPERLINK("http://www.ensembl.org/Mus_musculus/Gene/Summary?db=core;g=ENSMUSG00000058318","ENSMUSG00000058318")</f>
        <v>ENSMUSG00000058318</v>
      </c>
      <c r="I7260" s="7" t="str">
        <f>HYPERLINK("http://www.informatics.jax.org/marker/MGI:2384756","MGI:2384756")</f>
        <v>MGI:2384756</v>
      </c>
      <c r="J7260" s="4" t="s">
        <v>12</v>
      </c>
    </row>
    <row r="7261" spans="1:10" x14ac:dyDescent="0.25">
      <c r="A7261" s="2">
        <v>43.756441153949801</v>
      </c>
      <c r="B7261" s="3">
        <v>-0.91644736796216997</v>
      </c>
      <c r="C7261" s="5">
        <v>2.9317414030425599E-5</v>
      </c>
      <c r="D7261" s="4">
        <v>1.0479235176363901E-4</v>
      </c>
      <c r="E7261" s="3" t="s">
        <v>11046</v>
      </c>
      <c r="F7261" s="3" t="s">
        <v>11047</v>
      </c>
      <c r="G7261" s="3">
        <v>319179</v>
      </c>
      <c r="H7261" s="7" t="str">
        <f>HYPERLINK("http://www.ensembl.org/Mus_musculus/Gene/Summary?db=core;g=ENSMUSG00000047246","ENSMUSG00000047246")</f>
        <v>ENSMUSG00000047246</v>
      </c>
      <c r="I7261" s="7" t="str">
        <f>HYPERLINK("http://www.informatics.jax.org/marker/MGI:2448380","MGI:2448380")</f>
        <v>MGI:2448380</v>
      </c>
      <c r="J7261" s="4" t="s">
        <v>12</v>
      </c>
    </row>
    <row r="7262" spans="1:10" x14ac:dyDescent="0.25">
      <c r="A7262" s="2">
        <v>327.21802449246599</v>
      </c>
      <c r="B7262" s="3">
        <v>-0.91662295716790798</v>
      </c>
      <c r="C7262" s="5">
        <v>1.21210076686839E-18</v>
      </c>
      <c r="D7262" s="6">
        <v>1.13068245613267E-17</v>
      </c>
      <c r="E7262" s="3" t="s">
        <v>4245</v>
      </c>
      <c r="F7262" s="3" t="s">
        <v>4246</v>
      </c>
      <c r="G7262" s="3">
        <v>381318</v>
      </c>
      <c r="H7262" s="7" t="str">
        <f>HYPERLINK("http://www.ensembl.org/Mus_musculus/Gene/Summary?db=core;g=ENSMUSG00000062510","ENSMUSG00000062510")</f>
        <v>ENSMUSG00000062510</v>
      </c>
      <c r="I7262" s="7" t="str">
        <f>HYPERLINK("http://www.informatics.jax.org/marker/MGI:2685830","MGI:2685830")</f>
        <v>MGI:2685830</v>
      </c>
      <c r="J7262" s="4" t="s">
        <v>12</v>
      </c>
    </row>
    <row r="7263" spans="1:10" x14ac:dyDescent="0.25">
      <c r="A7263" s="2">
        <v>476.27541308897702</v>
      </c>
      <c r="B7263" s="3">
        <v>-0.91681399717304901</v>
      </c>
      <c r="C7263" s="5">
        <v>2.37439398188679E-27</v>
      </c>
      <c r="D7263" s="6">
        <v>3.1637195488383498E-26</v>
      </c>
      <c r="E7263" s="3" t="s">
        <v>2978</v>
      </c>
      <c r="F7263" s="3" t="s">
        <v>2979</v>
      </c>
      <c r="G7263" s="3">
        <v>381306</v>
      </c>
      <c r="H7263" s="7" t="str">
        <f>HYPERLINK("http://www.ensembl.org/Mus_musculus/Gene/Summary?db=core;g=ENSMUSG00000041406","ENSMUSG00000041406")</f>
        <v>ENSMUSG00000041406</v>
      </c>
      <c r="I7263" s="7" t="str">
        <f>HYPERLINK("http://www.informatics.jax.org/marker/MGI:3590554","MGI:3590554")</f>
        <v>MGI:3590554</v>
      </c>
      <c r="J7263" s="4" t="s">
        <v>12</v>
      </c>
    </row>
    <row r="7264" spans="1:10" x14ac:dyDescent="0.25">
      <c r="A7264" s="2">
        <v>11.209387050595099</v>
      </c>
      <c r="B7264" s="3">
        <v>-0.91701107839579998</v>
      </c>
      <c r="C7264" s="3">
        <v>5.7603243828439404E-3</v>
      </c>
      <c r="D7264" s="4">
        <v>1.5045509513865201E-2</v>
      </c>
      <c r="E7264" s="3" t="s">
        <v>15104</v>
      </c>
      <c r="F7264" s="3" t="s">
        <v>15105</v>
      </c>
      <c r="G7264" s="3" t="s">
        <v>83</v>
      </c>
      <c r="H7264" s="7" t="str">
        <f>HYPERLINK("http://www.ensembl.org/Mus_musculus/Gene/Summary?db=core;g=ENSMUSG00000075389","ENSMUSG00000075389")</f>
        <v>ENSMUSG00000075389</v>
      </c>
      <c r="I7264" s="7" t="str">
        <f>HYPERLINK("http://www.informatics.jax.org/marker/MGI:1923627","MGI:1923627")</f>
        <v>MGI:1923627</v>
      </c>
      <c r="J7264" s="4" t="s">
        <v>331</v>
      </c>
    </row>
    <row r="7265" spans="1:10" x14ac:dyDescent="0.25">
      <c r="A7265" s="2">
        <v>2336.3605482791299</v>
      </c>
      <c r="B7265" s="3">
        <v>-0.91717850000210399</v>
      </c>
      <c r="C7265" s="5">
        <v>9.9186611344904597E-26</v>
      </c>
      <c r="D7265" s="6">
        <v>1.25061379521836E-24</v>
      </c>
      <c r="E7265" s="3" t="s">
        <v>3146</v>
      </c>
      <c r="F7265" s="3" t="s">
        <v>3147</v>
      </c>
      <c r="G7265" s="3">
        <v>16906</v>
      </c>
      <c r="H7265" s="7" t="str">
        <f>HYPERLINK("http://www.ensembl.org/Mus_musculus/Gene/Summary?db=core;g=ENSMUSG00000024590","ENSMUSG00000024590")</f>
        <v>ENSMUSG00000024590</v>
      </c>
      <c r="I7265" s="7" t="str">
        <f>HYPERLINK("http://www.informatics.jax.org/marker/MGI:96795","MGI:96795")</f>
        <v>MGI:96795</v>
      </c>
      <c r="J7265" s="4" t="s">
        <v>12</v>
      </c>
    </row>
    <row r="7266" spans="1:10" x14ac:dyDescent="0.25">
      <c r="A7266" s="2">
        <v>11.614087505986999</v>
      </c>
      <c r="B7266" s="3">
        <v>-0.91738250851256797</v>
      </c>
      <c r="C7266" s="3">
        <v>3.50219325034593E-3</v>
      </c>
      <c r="D7266" s="4">
        <v>9.50498911324274E-3</v>
      </c>
      <c r="E7266" s="3" t="s">
        <v>14535</v>
      </c>
      <c r="F7266" s="3" t="s">
        <v>14536</v>
      </c>
      <c r="G7266" s="3" t="s">
        <v>83</v>
      </c>
      <c r="H7266" s="7" t="str">
        <f>HYPERLINK("http://www.ensembl.org/Mus_musculus/Gene/Summary?db=core;g=ENSMUSG00000087165","ENSMUSG00000087165")</f>
        <v>ENSMUSG00000087165</v>
      </c>
      <c r="I7266" s="7" t="str">
        <f>HYPERLINK("http://www.informatics.jax.org/marker/MGI:1923766","MGI:1923766")</f>
        <v>MGI:1923766</v>
      </c>
      <c r="J7266" s="4" t="s">
        <v>331</v>
      </c>
    </row>
    <row r="7267" spans="1:10" x14ac:dyDescent="0.25">
      <c r="A7267" s="2">
        <v>24.995204459639801</v>
      </c>
      <c r="B7267" s="3">
        <v>-0.91851437244006295</v>
      </c>
      <c r="C7267" s="3">
        <v>3.2181487346583402E-4</v>
      </c>
      <c r="D7267" s="4">
        <v>1.0158779101562699E-3</v>
      </c>
      <c r="E7267" s="3" t="s">
        <v>12507</v>
      </c>
      <c r="F7267" s="3" t="s">
        <v>12508</v>
      </c>
      <c r="G7267" s="3">
        <v>232855</v>
      </c>
      <c r="H7267" s="7" t="str">
        <f>HYPERLINK("http://www.ensembl.org/Mus_musculus/Gene/Summary?db=core;g=ENSMUSG00000066838","ENSMUSG00000066838")</f>
        <v>ENSMUSG00000066838</v>
      </c>
      <c r="I7267" s="7" t="str">
        <f>HYPERLINK("http://www.informatics.jax.org/marker/MGI:2385265","MGI:2385265")</f>
        <v>MGI:2385265</v>
      </c>
      <c r="J7267" s="4" t="s">
        <v>12</v>
      </c>
    </row>
    <row r="7268" spans="1:10" x14ac:dyDescent="0.25">
      <c r="A7268" s="2">
        <v>864.84972399464402</v>
      </c>
      <c r="B7268" s="3">
        <v>-0.91869714104439704</v>
      </c>
      <c r="C7268" s="5">
        <v>2.3861466565022899E-26</v>
      </c>
      <c r="D7268" s="6">
        <v>3.0754779128251798E-25</v>
      </c>
      <c r="E7268" s="3" t="s">
        <v>3078</v>
      </c>
      <c r="F7268" s="3" t="s">
        <v>3079</v>
      </c>
      <c r="G7268" s="3">
        <v>170719</v>
      </c>
      <c r="H7268" s="7" t="str">
        <f>HYPERLINK("http://www.ensembl.org/Mus_musculus/Gene/Summary?db=core;g=ENSMUSG00000022307","ENSMUSG00000022307")</f>
        <v>ENSMUSG00000022307</v>
      </c>
      <c r="I7268" s="7" t="str">
        <f>HYPERLINK("http://www.informatics.jax.org/marker/MGI:2179326","MGI:2179326")</f>
        <v>MGI:2179326</v>
      </c>
      <c r="J7268" s="4" t="s">
        <v>12</v>
      </c>
    </row>
    <row r="7269" spans="1:10" x14ac:dyDescent="0.25">
      <c r="A7269" s="2">
        <v>615.326071276128</v>
      </c>
      <c r="B7269" s="3">
        <v>-0.91909978506698697</v>
      </c>
      <c r="C7269" s="5">
        <v>5.1306195708903903E-33</v>
      </c>
      <c r="D7269" s="6">
        <v>8.2525136980390302E-32</v>
      </c>
      <c r="E7269" s="3" t="s">
        <v>2469</v>
      </c>
      <c r="F7269" s="3" t="s">
        <v>2470</v>
      </c>
      <c r="G7269" s="3">
        <v>244650</v>
      </c>
      <c r="H7269" s="7" t="str">
        <f>HYPERLINK("http://www.ensembl.org/Mus_musculus/Gene/Summary?db=core;g=ENSMUSG00000031732","ENSMUSG00000031732")</f>
        <v>ENSMUSG00000031732</v>
      </c>
      <c r="I7269" s="7" t="str">
        <f>HYPERLINK("http://www.informatics.jax.org/marker/MGI:2444928","MGI:2444928")</f>
        <v>MGI:2444928</v>
      </c>
      <c r="J7269" s="4" t="s">
        <v>12</v>
      </c>
    </row>
    <row r="7270" spans="1:10" x14ac:dyDescent="0.25">
      <c r="A7270" s="2">
        <v>6.9094664090519897</v>
      </c>
      <c r="B7270" s="3">
        <v>-0.919149165646166</v>
      </c>
      <c r="C7270" s="3">
        <v>1.52411627682262E-2</v>
      </c>
      <c r="D7270" s="4">
        <v>3.6510744117569299E-2</v>
      </c>
      <c r="E7270" s="3" t="s">
        <v>16465</v>
      </c>
      <c r="F7270" s="3" t="s">
        <v>16466</v>
      </c>
      <c r="G7270" s="3" t="s">
        <v>83</v>
      </c>
      <c r="H7270" s="7" t="str">
        <f>HYPERLINK("http://www.ensembl.org/Mus_musculus/Gene/Summary?db=core;g=ENSMUSG00000043993","ENSMUSG00000043993")</f>
        <v>ENSMUSG00000043993</v>
      </c>
      <c r="I7270" s="7" t="str">
        <f>HYPERLINK("http://www.informatics.jax.org/marker/MGI:1924085","MGI:1924085")</f>
        <v>MGI:1924085</v>
      </c>
      <c r="J7270" s="4" t="s">
        <v>331</v>
      </c>
    </row>
    <row r="7271" spans="1:10" x14ac:dyDescent="0.25">
      <c r="A7271" s="2">
        <v>3243.1083621488401</v>
      </c>
      <c r="B7271" s="3">
        <v>-0.91922277871858005</v>
      </c>
      <c r="C7271" s="5">
        <v>1.4676787502382801E-20</v>
      </c>
      <c r="D7271" s="6">
        <v>1.4949702972468499E-19</v>
      </c>
      <c r="E7271" s="3" t="s">
        <v>3890</v>
      </c>
      <c r="F7271" s="3" t="s">
        <v>3891</v>
      </c>
      <c r="G7271" s="3">
        <v>140792</v>
      </c>
      <c r="H7271" s="7" t="str">
        <f>HYPERLINK("http://www.ensembl.org/Mus_musculus/Gene/Summary?db=core;g=ENSMUSG00000036103","ENSMUSG00000036103")</f>
        <v>ENSMUSG00000036103</v>
      </c>
      <c r="I7271" s="7" t="str">
        <f>HYPERLINK("http://www.informatics.jax.org/marker/MGI:2152907","MGI:2152907")</f>
        <v>MGI:2152907</v>
      </c>
      <c r="J7271" s="4" t="s">
        <v>12</v>
      </c>
    </row>
    <row r="7272" spans="1:10" x14ac:dyDescent="0.25">
      <c r="A7272" s="2">
        <v>21.732349139589999</v>
      </c>
      <c r="B7272" s="3">
        <v>-0.91925902968920403</v>
      </c>
      <c r="C7272" s="3">
        <v>8.1688261994375799E-3</v>
      </c>
      <c r="D7272" s="4">
        <v>2.06445280857246E-2</v>
      </c>
      <c r="E7272" s="3" t="s">
        <v>15611</v>
      </c>
      <c r="F7272" s="3" t="s">
        <v>15612</v>
      </c>
      <c r="G7272" s="3">
        <v>56221</v>
      </c>
      <c r="H7272" s="7" t="str">
        <f>HYPERLINK("http://www.ensembl.org/Mus_musculus/Gene/Summary?db=core;g=ENSMUSG00000004814","ENSMUSG00000004814")</f>
        <v>ENSMUSG00000004814</v>
      </c>
      <c r="I7272" s="7" t="str">
        <f>HYPERLINK("http://www.informatics.jax.org/marker/MGI:1928953","MGI:1928953")</f>
        <v>MGI:1928953</v>
      </c>
      <c r="J7272" s="4" t="s">
        <v>12</v>
      </c>
    </row>
    <row r="7273" spans="1:10" x14ac:dyDescent="0.25">
      <c r="A7273" s="2">
        <v>62.905538081322199</v>
      </c>
      <c r="B7273" s="3">
        <v>-0.91975513829236699</v>
      </c>
      <c r="C7273" s="5">
        <v>3.7197381288594798E-10</v>
      </c>
      <c r="D7273" s="6">
        <v>2.06338216318168E-9</v>
      </c>
      <c r="E7273" s="3" t="s">
        <v>7128</v>
      </c>
      <c r="F7273" s="3" t="s">
        <v>7129</v>
      </c>
      <c r="G7273" s="3">
        <v>68323</v>
      </c>
      <c r="H7273" s="7" t="str">
        <f>HYPERLINK("http://www.ensembl.org/Mus_musculus/Gene/Summary?db=core;g=ENSMUSG00000037349","ENSMUSG00000037349")</f>
        <v>ENSMUSG00000037349</v>
      </c>
      <c r="I7273" s="7" t="str">
        <f>HYPERLINK("http://www.informatics.jax.org/marker/MGI:1915573","MGI:1915573")</f>
        <v>MGI:1915573</v>
      </c>
      <c r="J7273" s="4" t="s">
        <v>12</v>
      </c>
    </row>
    <row r="7274" spans="1:10" x14ac:dyDescent="0.25">
      <c r="A7274" s="2">
        <v>245.903521948216</v>
      </c>
      <c r="B7274" s="3">
        <v>-0.92090005636183403</v>
      </c>
      <c r="C7274" s="5">
        <v>8.4674286774150606E-21</v>
      </c>
      <c r="D7274" s="6">
        <v>8.6922276688508606E-20</v>
      </c>
      <c r="E7274" s="3" t="s">
        <v>3860</v>
      </c>
      <c r="F7274" s="3" t="s">
        <v>3861</v>
      </c>
      <c r="G7274" s="3">
        <v>231866</v>
      </c>
      <c r="H7274" s="7" t="str">
        <f>HYPERLINK("http://www.ensembl.org/Mus_musculus/Gene/Summary?db=core;g=ENSMUSG00000029587","ENSMUSG00000029587")</f>
        <v>ENSMUSG00000029587</v>
      </c>
      <c r="I7274" s="7" t="str">
        <f>HYPERLINK("http://www.informatics.jax.org/marker/MGI:99157","MGI:99157")</f>
        <v>MGI:99157</v>
      </c>
      <c r="J7274" s="4" t="s">
        <v>12</v>
      </c>
    </row>
    <row r="7275" spans="1:10" x14ac:dyDescent="0.25">
      <c r="A7275" s="2">
        <v>1603.22605306164</v>
      </c>
      <c r="B7275" s="3">
        <v>-0.92217176988984395</v>
      </c>
      <c r="C7275" s="5">
        <v>7.1583923235444801E-44</v>
      </c>
      <c r="D7275" s="6">
        <v>1.6244360945949001E-42</v>
      </c>
      <c r="E7275" s="3" t="s">
        <v>1754</v>
      </c>
      <c r="F7275" s="3" t="s">
        <v>1755</v>
      </c>
      <c r="G7275" s="3">
        <v>16881</v>
      </c>
      <c r="H7275" s="7" t="str">
        <f>HYPERLINK("http://www.ensembl.org/Mus_musculus/Gene/Summary?db=core;g=ENSMUSG00000056394","ENSMUSG00000056394")</f>
        <v>ENSMUSG00000056394</v>
      </c>
      <c r="I7275" s="7" t="str">
        <f>HYPERLINK("http://www.informatics.jax.org/marker/MGI:101789","MGI:101789")</f>
        <v>MGI:101789</v>
      </c>
      <c r="J7275" s="4" t="s">
        <v>12</v>
      </c>
    </row>
    <row r="7276" spans="1:10" x14ac:dyDescent="0.25">
      <c r="A7276" s="2">
        <v>9.8478456670825896</v>
      </c>
      <c r="B7276" s="3">
        <v>-0.92245227222216797</v>
      </c>
      <c r="C7276" s="3">
        <v>9.6435975793759295E-3</v>
      </c>
      <c r="D7276" s="4">
        <v>2.4075420213355299E-2</v>
      </c>
      <c r="E7276" s="3" t="s">
        <v>15803</v>
      </c>
      <c r="F7276" s="3" t="s">
        <v>15804</v>
      </c>
      <c r="G7276" s="3">
        <v>74410</v>
      </c>
      <c r="H7276" s="7" t="str">
        <f>HYPERLINK("http://www.ensembl.org/Mus_musculus/Gene/Summary?db=core;g=ENSMUSG00000026885","ENSMUSG00000026885")</f>
        <v>ENSMUSG00000026885</v>
      </c>
      <c r="I7276" s="7" t="str">
        <f>HYPERLINK("http://www.informatics.jax.org/marker/MGI:1921660","MGI:1921660")</f>
        <v>MGI:1921660</v>
      </c>
      <c r="J7276" s="4" t="s">
        <v>12</v>
      </c>
    </row>
    <row r="7277" spans="1:10" x14ac:dyDescent="0.25">
      <c r="A7277" s="2">
        <v>42.948088835553101</v>
      </c>
      <c r="B7277" s="3">
        <v>-0.92252932805952104</v>
      </c>
      <c r="C7277" s="5">
        <v>9.1601386365392692E-6</v>
      </c>
      <c r="D7277" s="6">
        <v>3.4446593042058402E-5</v>
      </c>
      <c r="E7277" s="3" t="s">
        <v>10502</v>
      </c>
      <c r="F7277" s="3" t="s">
        <v>10503</v>
      </c>
      <c r="G7277" s="3">
        <v>66892</v>
      </c>
      <c r="H7277" s="7" t="str">
        <f>HYPERLINK("http://www.ensembl.org/Mus_musculus/Gene/Summary?db=core;g=ENSMUSG00000093661","ENSMUSG00000093661")</f>
        <v>ENSMUSG00000093661</v>
      </c>
      <c r="I7277" s="7" t="str">
        <f>HYPERLINK("http://www.informatics.jax.org/marker/MGI:1914142","MGI:1914142")</f>
        <v>MGI:1914142</v>
      </c>
      <c r="J7277" s="4" t="s">
        <v>12</v>
      </c>
    </row>
    <row r="7278" spans="1:10" x14ac:dyDescent="0.25">
      <c r="A7278" s="2">
        <v>531.19612507982595</v>
      </c>
      <c r="B7278" s="3">
        <v>-0.92356393233010503</v>
      </c>
      <c r="C7278" s="5">
        <v>9.5827716710273996E-49</v>
      </c>
      <c r="D7278" s="6">
        <v>2.5095917311110299E-47</v>
      </c>
      <c r="E7278" s="3" t="s">
        <v>1522</v>
      </c>
      <c r="F7278" s="3" t="s">
        <v>1523</v>
      </c>
      <c r="G7278" s="3">
        <v>18105</v>
      </c>
      <c r="H7278" s="7" t="str">
        <f>HYPERLINK("http://www.ensembl.org/Mus_musculus/Gene/Summary?db=core;g=ENSMUSG00000046949","ENSMUSG00000046949")</f>
        <v>ENSMUSG00000046949</v>
      </c>
      <c r="I7278" s="7" t="str">
        <f>HYPERLINK("http://www.informatics.jax.org/marker/MGI:104513","MGI:104513")</f>
        <v>MGI:104513</v>
      </c>
      <c r="J7278" s="4" t="s">
        <v>12</v>
      </c>
    </row>
    <row r="7279" spans="1:10" x14ac:dyDescent="0.25">
      <c r="A7279" s="2">
        <v>113.758398492808</v>
      </c>
      <c r="B7279" s="3">
        <v>-0.924249352816505</v>
      </c>
      <c r="C7279" s="5">
        <v>4.3412890524356001E-13</v>
      </c>
      <c r="D7279" s="6">
        <v>2.9777467865749601E-12</v>
      </c>
      <c r="E7279" s="3" t="s">
        <v>5767</v>
      </c>
      <c r="F7279" s="3" t="s">
        <v>5768</v>
      </c>
      <c r="G7279" s="3">
        <v>213081</v>
      </c>
      <c r="H7279" s="7" t="str">
        <f>HYPERLINK("http://www.ensembl.org/Mus_musculus/Gene/Summary?db=core;g=ENSMUSG00000037890","ENSMUSG00000037890")</f>
        <v>ENSMUSG00000037890</v>
      </c>
      <c r="I7279" s="7" t="str">
        <f>HYPERLINK("http://www.informatics.jax.org/marker/MGI:2443231","MGI:2443231")</f>
        <v>MGI:2443231</v>
      </c>
      <c r="J7279" s="4" t="s">
        <v>12</v>
      </c>
    </row>
    <row r="7280" spans="1:10" x14ac:dyDescent="0.25">
      <c r="A7280" s="2">
        <v>20.733817405357701</v>
      </c>
      <c r="B7280" s="3">
        <v>-0.92434128097804102</v>
      </c>
      <c r="C7280" s="3">
        <v>8.5771240878319897E-4</v>
      </c>
      <c r="D7280" s="4">
        <v>2.5539609283073898E-3</v>
      </c>
      <c r="E7280" s="3" t="s">
        <v>13253</v>
      </c>
      <c r="F7280" s="3" t="s">
        <v>13254</v>
      </c>
      <c r="G7280" s="3" t="s">
        <v>83</v>
      </c>
      <c r="H7280" s="7" t="str">
        <f>HYPERLINK("http://www.ensembl.org/Mus_musculus/Gene/Summary?db=core;g=ENSMUSG00000118084","ENSMUSG00000118084")</f>
        <v>ENSMUSG00000118084</v>
      </c>
      <c r="I7280" s="7" t="str">
        <f>HYPERLINK("http://www.informatics.jax.org/marker/MGI:3035178","MGI:3035178")</f>
        <v>MGI:3035178</v>
      </c>
      <c r="J7280" s="4" t="s">
        <v>939</v>
      </c>
    </row>
    <row r="7281" spans="1:10" x14ac:dyDescent="0.25">
      <c r="A7281" s="2">
        <v>60.179604189816303</v>
      </c>
      <c r="B7281" s="3">
        <v>-0.92443292463846105</v>
      </c>
      <c r="C7281" s="5">
        <v>2.5055596085206099E-7</v>
      </c>
      <c r="D7281" s="6">
        <v>1.10019228412439E-6</v>
      </c>
      <c r="E7281" s="3" t="s">
        <v>8999</v>
      </c>
      <c r="F7281" s="3" t="s">
        <v>9000</v>
      </c>
      <c r="G7281" s="3" t="s">
        <v>83</v>
      </c>
      <c r="H7281" s="7" t="str">
        <f>HYPERLINK("http://www.ensembl.org/Mus_musculus/Gene/Summary?db=core;g=ENSMUSG00000074863","ENSMUSG00000074863")</f>
        <v>ENSMUSG00000074863</v>
      </c>
      <c r="I7281" s="7" t="str">
        <f>HYPERLINK("http://www.informatics.jax.org/marker/MGI:3645613","MGI:3645613")</f>
        <v>MGI:3645613</v>
      </c>
      <c r="J7281" s="4" t="s">
        <v>12</v>
      </c>
    </row>
    <row r="7282" spans="1:10" x14ac:dyDescent="0.25">
      <c r="A7282" s="2">
        <v>135.040264567919</v>
      </c>
      <c r="B7282" s="3">
        <v>-0.92611389043436898</v>
      </c>
      <c r="C7282" s="5">
        <v>2.5992280872250199E-12</v>
      </c>
      <c r="D7282" s="6">
        <v>1.7023174320849301E-11</v>
      </c>
      <c r="E7282" s="3" t="s">
        <v>6039</v>
      </c>
      <c r="F7282" s="3" t="s">
        <v>6040</v>
      </c>
      <c r="G7282" s="3">
        <v>21833</v>
      </c>
      <c r="H7282" s="7" t="str">
        <f>HYPERLINK("http://www.ensembl.org/Mus_musculus/Gene/Summary?db=core;g=ENSMUSG00000058756","ENSMUSG00000058756")</f>
        <v>ENSMUSG00000058756</v>
      </c>
      <c r="I7282" s="7" t="str">
        <f>HYPERLINK("http://www.informatics.jax.org/marker/MGI:98742","MGI:98742")</f>
        <v>MGI:98742</v>
      </c>
      <c r="J7282" s="4" t="s">
        <v>12</v>
      </c>
    </row>
    <row r="7283" spans="1:10" x14ac:dyDescent="0.25">
      <c r="A7283" s="2">
        <v>34.8788847059623</v>
      </c>
      <c r="B7283" s="3">
        <v>-0.92668539827655305</v>
      </c>
      <c r="C7283" s="5">
        <v>9.9519510414192808E-6</v>
      </c>
      <c r="D7283" s="6">
        <v>3.72607698000357E-5</v>
      </c>
      <c r="E7283" s="3" t="s">
        <v>10547</v>
      </c>
      <c r="F7283" s="3" t="s">
        <v>10548</v>
      </c>
      <c r="G7283" s="3">
        <v>72371</v>
      </c>
      <c r="H7283" s="7" t="str">
        <f>HYPERLINK("http://www.ensembl.org/Mus_musculus/Gene/Summary?db=core;g=ENSMUSG00000071252","ENSMUSG00000071252")</f>
        <v>ENSMUSG00000071252</v>
      </c>
      <c r="I7283" s="7" t="str">
        <f>HYPERLINK("http://www.informatics.jax.org/marker/MGI:1919621","MGI:1919621")</f>
        <v>MGI:1919621</v>
      </c>
      <c r="J7283" s="4" t="s">
        <v>12</v>
      </c>
    </row>
    <row r="7284" spans="1:10" x14ac:dyDescent="0.25">
      <c r="A7284" s="2">
        <v>674.005018825761</v>
      </c>
      <c r="B7284" s="3">
        <v>-0.92677868724976598</v>
      </c>
      <c r="C7284" s="5">
        <v>1.66373548765082E-32</v>
      </c>
      <c r="D7284" s="6">
        <v>2.62681055376095E-31</v>
      </c>
      <c r="E7284" s="3" t="s">
        <v>2515</v>
      </c>
      <c r="F7284" s="3" t="s">
        <v>2516</v>
      </c>
      <c r="G7284" s="3">
        <v>223666</v>
      </c>
      <c r="H7284" s="7" t="str">
        <f>HYPERLINK("http://www.ensembl.org/Mus_musculus/Gene/Summary?db=core;g=ENSMUSG00000033697","ENSMUSG00000033697")</f>
        <v>ENSMUSG00000033697</v>
      </c>
      <c r="I7284" s="7" t="str">
        <f>HYPERLINK("http://www.informatics.jax.org/marker/MGI:107858","MGI:107858")</f>
        <v>MGI:107858</v>
      </c>
      <c r="J7284" s="4" t="s">
        <v>12</v>
      </c>
    </row>
    <row r="7285" spans="1:10" x14ac:dyDescent="0.25">
      <c r="A7285" s="2">
        <v>527.41507136909001</v>
      </c>
      <c r="B7285" s="3">
        <v>-0.92706806787693397</v>
      </c>
      <c r="C7285" s="5">
        <v>4.0659128427763801E-22</v>
      </c>
      <c r="D7285" s="6">
        <v>4.4249338443460297E-21</v>
      </c>
      <c r="E7285" s="3" t="s">
        <v>3642</v>
      </c>
      <c r="F7285" s="3" t="s">
        <v>3643</v>
      </c>
      <c r="G7285" s="3">
        <v>14841</v>
      </c>
      <c r="H7285" s="7" t="str">
        <f>HYPERLINK("http://www.ensembl.org/Mus_musculus/Gene/Summary?db=core;g=ENSMUSG00000050107","ENSMUSG00000050107")</f>
        <v>ENSMUSG00000050107</v>
      </c>
      <c r="I7285" s="7" t="str">
        <f>HYPERLINK("http://www.informatics.jax.org/marker/MGI:1194498","MGI:1194498")</f>
        <v>MGI:1194498</v>
      </c>
      <c r="J7285" s="4" t="s">
        <v>12</v>
      </c>
    </row>
    <row r="7286" spans="1:10" x14ac:dyDescent="0.25">
      <c r="A7286" s="2">
        <v>439.394532195816</v>
      </c>
      <c r="B7286" s="3">
        <v>-0.92822372335402104</v>
      </c>
      <c r="C7286" s="5">
        <v>1.37323712594668E-21</v>
      </c>
      <c r="D7286" s="6">
        <v>1.4574938710263001E-20</v>
      </c>
      <c r="E7286" s="3" t="s">
        <v>3734</v>
      </c>
      <c r="F7286" s="3" t="s">
        <v>3735</v>
      </c>
      <c r="G7286" s="3">
        <v>17537</v>
      </c>
      <c r="H7286" s="7" t="str">
        <f>HYPERLINK("http://www.ensembl.org/Mus_musculus/Gene/Summary?db=core;g=ENSMUSG00000041420","ENSMUSG00000041420")</f>
        <v>ENSMUSG00000041420</v>
      </c>
      <c r="I7286" s="7" t="str">
        <f>HYPERLINK("http://www.informatics.jax.org/marker/MGI:108519","MGI:108519")</f>
        <v>MGI:108519</v>
      </c>
      <c r="J7286" s="4" t="s">
        <v>12</v>
      </c>
    </row>
    <row r="7287" spans="1:10" x14ac:dyDescent="0.25">
      <c r="A7287" s="2">
        <v>70.2666316715965</v>
      </c>
      <c r="B7287" s="3">
        <v>-0.92863346436386096</v>
      </c>
      <c r="C7287" s="5">
        <v>5.3428407028577898E-10</v>
      </c>
      <c r="D7287" s="6">
        <v>2.92100966621446E-9</v>
      </c>
      <c r="E7287" s="3" t="s">
        <v>7232</v>
      </c>
      <c r="F7287" s="3" t="s">
        <v>7233</v>
      </c>
      <c r="G7287" s="3">
        <v>22698</v>
      </c>
      <c r="H7287" s="7" t="str">
        <f>HYPERLINK("http://www.ensembl.org/Mus_musculus/Gene/Summary?db=core;g=ENSMUSG00000037001","ENSMUSG00000037001")</f>
        <v>ENSMUSG00000037001</v>
      </c>
      <c r="I7287" s="7" t="str">
        <f>HYPERLINK("http://www.informatics.jax.org/marker/MGI:99183","MGI:99183")</f>
        <v>MGI:99183</v>
      </c>
      <c r="J7287" s="4" t="s">
        <v>12</v>
      </c>
    </row>
    <row r="7288" spans="1:10" x14ac:dyDescent="0.25">
      <c r="A7288" s="2">
        <v>14.302121124349</v>
      </c>
      <c r="B7288" s="3">
        <v>-0.92898563412556201</v>
      </c>
      <c r="C7288" s="3">
        <v>9.9631656944317308E-4</v>
      </c>
      <c r="D7288" s="4">
        <v>2.9368255230821198E-3</v>
      </c>
      <c r="E7288" s="3" t="s">
        <v>13387</v>
      </c>
      <c r="F7288" s="3" t="s">
        <v>13388</v>
      </c>
      <c r="G7288" s="3" t="s">
        <v>83</v>
      </c>
      <c r="H7288" s="7" t="str">
        <f>HYPERLINK("http://www.ensembl.org/Mus_musculus/Gene/Summary?db=core;g=ENSMUSG00000092528","ENSMUSG00000092528")</f>
        <v>ENSMUSG00000092528</v>
      </c>
      <c r="I7288" s="7" t="str">
        <f>HYPERLINK("http://www.informatics.jax.org/marker/MGI:3582962","MGI:3582962")</f>
        <v>MGI:3582962</v>
      </c>
      <c r="J7288" s="4" t="s">
        <v>320</v>
      </c>
    </row>
    <row r="7289" spans="1:10" x14ac:dyDescent="0.25">
      <c r="A7289" s="2">
        <v>10.7574981842581</v>
      </c>
      <c r="B7289" s="3">
        <v>-0.92980867557631197</v>
      </c>
      <c r="C7289" s="3">
        <v>8.7171253195994398E-3</v>
      </c>
      <c r="D7289" s="4">
        <v>2.1937431253509599E-2</v>
      </c>
      <c r="E7289" s="3" t="s">
        <v>15677</v>
      </c>
      <c r="F7289" s="3" t="s">
        <v>15678</v>
      </c>
      <c r="G7289" s="3" t="s">
        <v>83</v>
      </c>
      <c r="H7289" s="7" t="str">
        <f>HYPERLINK("http://www.ensembl.org/Mus_musculus/Gene/Summary?db=core;g=ENSMUSG00000103527","ENSMUSG00000103527")</f>
        <v>ENSMUSG00000103527</v>
      </c>
      <c r="I7289" s="7" t="str">
        <f>HYPERLINK("http://www.informatics.jax.org/marker/MGI:5610489","MGI:5610489")</f>
        <v>MGI:5610489</v>
      </c>
      <c r="J7289" s="4" t="s">
        <v>1828</v>
      </c>
    </row>
    <row r="7290" spans="1:10" x14ac:dyDescent="0.25">
      <c r="A7290" s="2">
        <v>1149.4267930230501</v>
      </c>
      <c r="B7290" s="3">
        <v>-0.92986235296716702</v>
      </c>
      <c r="C7290" s="5">
        <v>1.8981526923923201E-33</v>
      </c>
      <c r="D7290" s="6">
        <v>3.1141074121444701E-32</v>
      </c>
      <c r="E7290" s="3" t="s">
        <v>2421</v>
      </c>
      <c r="F7290" s="3" t="s">
        <v>2422</v>
      </c>
      <c r="G7290" s="3">
        <v>668218</v>
      </c>
      <c r="H7290" s="7" t="str">
        <f>HYPERLINK("http://www.ensembl.org/Mus_musculus/Gene/Summary?db=core;g=ENSMUSG00000098112","ENSMUSG00000098112")</f>
        <v>ENSMUSG00000098112</v>
      </c>
      <c r="I7290" s="7" t="str">
        <f>HYPERLINK("http://www.informatics.jax.org/marker/MGI:3611448","MGI:3611448")</f>
        <v>MGI:3611448</v>
      </c>
      <c r="J7290" s="4" t="s">
        <v>12</v>
      </c>
    </row>
    <row r="7291" spans="1:10" x14ac:dyDescent="0.25">
      <c r="A7291" s="2">
        <v>6.1102280218492</v>
      </c>
      <c r="B7291" s="3">
        <v>-0.93054032867841296</v>
      </c>
      <c r="C7291" s="3">
        <v>1.7560679942746099E-2</v>
      </c>
      <c r="D7291" s="4">
        <v>4.1507444381032502E-2</v>
      </c>
      <c r="E7291" s="3" t="s">
        <v>16690</v>
      </c>
      <c r="F7291" s="3" t="s">
        <v>16691</v>
      </c>
      <c r="G7291" s="3">
        <v>58251</v>
      </c>
      <c r="H7291" s="7" t="str">
        <f>HYPERLINK("http://www.ensembl.org/Mus_musculus/Gene/Summary?db=core;g=ENSMUSG00000076433","ENSMUSG00000076433")</f>
        <v>ENSMUSG00000076433</v>
      </c>
      <c r="I7291" s="7" t="str">
        <f>HYPERLINK("http://www.informatics.jax.org/marker/MGI:1929713","MGI:1929713")</f>
        <v>MGI:1929713</v>
      </c>
      <c r="J7291" s="4" t="s">
        <v>12</v>
      </c>
    </row>
    <row r="7292" spans="1:10" x14ac:dyDescent="0.25">
      <c r="A7292" s="2">
        <v>345.79773853887002</v>
      </c>
      <c r="B7292" s="3">
        <v>-0.93067594361963801</v>
      </c>
      <c r="C7292" s="5">
        <v>6.5366824544493095E-27</v>
      </c>
      <c r="D7292" s="6">
        <v>8.58783331124186E-26</v>
      </c>
      <c r="E7292" s="3" t="s">
        <v>3020</v>
      </c>
      <c r="F7292" s="3" t="s">
        <v>3021</v>
      </c>
      <c r="G7292" s="3">
        <v>76775</v>
      </c>
      <c r="H7292" s="7" t="str">
        <f>HYPERLINK("http://www.ensembl.org/Mus_musculus/Gene/Summary?db=core;g=ENSMUSG00000031684","ENSMUSG00000031684")</f>
        <v>ENSMUSG00000031684</v>
      </c>
      <c r="I7292" s="7" t="str">
        <f>HYPERLINK("http://www.informatics.jax.org/marker/MGI:1924025","MGI:1924025")</f>
        <v>MGI:1924025</v>
      </c>
      <c r="J7292" s="4" t="s">
        <v>12</v>
      </c>
    </row>
    <row r="7293" spans="1:10" x14ac:dyDescent="0.25">
      <c r="A7293" s="2">
        <v>1298.1080115613199</v>
      </c>
      <c r="B7293" s="3">
        <v>-0.93160838172289395</v>
      </c>
      <c r="C7293" s="5">
        <v>1.4622190629589099E-11</v>
      </c>
      <c r="D7293" s="6">
        <v>9.0391723892005197E-11</v>
      </c>
      <c r="E7293" s="3" t="s">
        <v>6397</v>
      </c>
      <c r="F7293" s="3" t="s">
        <v>6398</v>
      </c>
      <c r="G7293" s="3">
        <v>668880</v>
      </c>
      <c r="H7293" s="7" t="str">
        <f>HYPERLINK("http://www.ensembl.org/Mus_musculus/Gene/Summary?db=core;g=ENSMUSG00000033705","ENSMUSG00000033705")</f>
        <v>ENSMUSG00000033705</v>
      </c>
      <c r="I7293" s="7" t="str">
        <f>HYPERLINK("http://www.informatics.jax.org/marker/MGI:3045258","MGI:3045258")</f>
        <v>MGI:3045258</v>
      </c>
      <c r="J7293" s="4" t="s">
        <v>12</v>
      </c>
    </row>
    <row r="7294" spans="1:10" x14ac:dyDescent="0.25">
      <c r="A7294" s="2">
        <v>648.51606769785496</v>
      </c>
      <c r="B7294" s="3">
        <v>-0.931706420186874</v>
      </c>
      <c r="C7294" s="5">
        <v>4.9143193453439097E-34</v>
      </c>
      <c r="D7294" s="6">
        <v>8.2336769320460394E-33</v>
      </c>
      <c r="E7294" s="3" t="s">
        <v>2371</v>
      </c>
      <c r="F7294" s="3" t="s">
        <v>2372</v>
      </c>
      <c r="G7294" s="3">
        <v>70885</v>
      </c>
      <c r="H7294" s="7" t="str">
        <f>HYPERLINK("http://www.ensembl.org/Mus_musculus/Gene/Summary?db=core;g=ENSMUSG00000031864","ENSMUSG00000031864")</f>
        <v>ENSMUSG00000031864</v>
      </c>
      <c r="I7294" s="7" t="str">
        <f>HYPERLINK("http://www.informatics.jax.org/marker/MGI:1918135","MGI:1918135")</f>
        <v>MGI:1918135</v>
      </c>
      <c r="J7294" s="4" t="s">
        <v>12</v>
      </c>
    </row>
    <row r="7295" spans="1:10" x14ac:dyDescent="0.25">
      <c r="A7295" s="2">
        <v>37.414576912276999</v>
      </c>
      <c r="B7295" s="3">
        <v>-0.93222528791331605</v>
      </c>
      <c r="C7295" s="5">
        <v>3.88281442983819E-5</v>
      </c>
      <c r="D7295" s="4">
        <v>1.36877190840917E-4</v>
      </c>
      <c r="E7295" s="3" t="s">
        <v>11199</v>
      </c>
      <c r="F7295" s="3" t="s">
        <v>11200</v>
      </c>
      <c r="G7295" s="3">
        <v>319845</v>
      </c>
      <c r="H7295" s="7" t="str">
        <f>HYPERLINK("http://www.ensembl.org/Mus_musculus/Gene/Summary?db=core;g=ENSMUSG00000035919","ENSMUSG00000035919")</f>
        <v>ENSMUSG00000035919</v>
      </c>
      <c r="I7295" s="7" t="str">
        <f>HYPERLINK("http://www.informatics.jax.org/marker/MGI:2442833","MGI:2442833")</f>
        <v>MGI:2442833</v>
      </c>
      <c r="J7295" s="4" t="s">
        <v>12</v>
      </c>
    </row>
    <row r="7296" spans="1:10" x14ac:dyDescent="0.25">
      <c r="A7296" s="2">
        <v>173.09257299580901</v>
      </c>
      <c r="B7296" s="3">
        <v>-0.93266920348543603</v>
      </c>
      <c r="C7296" s="5">
        <v>5.3723806527161102E-17</v>
      </c>
      <c r="D7296" s="6">
        <v>4.5665235548086999E-16</v>
      </c>
      <c r="E7296" s="3" t="s">
        <v>4657</v>
      </c>
      <c r="F7296" s="3" t="s">
        <v>4658</v>
      </c>
      <c r="G7296" s="3">
        <v>73467</v>
      </c>
      <c r="H7296" s="7" t="str">
        <f>HYPERLINK("http://www.ensembl.org/Mus_musculus/Gene/Summary?db=core;g=ENSMUSG00000038323","ENSMUSG00000038323")</f>
        <v>ENSMUSG00000038323</v>
      </c>
      <c r="I7296" s="7" t="str">
        <f>HYPERLINK("http://www.informatics.jax.org/marker/MGI:1920717","MGI:1920717")</f>
        <v>MGI:1920717</v>
      </c>
      <c r="J7296" s="4" t="s">
        <v>12</v>
      </c>
    </row>
    <row r="7297" spans="1:10" x14ac:dyDescent="0.25">
      <c r="A7297" s="2">
        <v>285.87182262014301</v>
      </c>
      <c r="B7297" s="3">
        <v>-0.93308262265576802</v>
      </c>
      <c r="C7297" s="5">
        <v>3.5782801147678397E-14</v>
      </c>
      <c r="D7297" s="6">
        <v>2.61734732430348E-13</v>
      </c>
      <c r="E7297" s="3" t="s">
        <v>5409</v>
      </c>
      <c r="F7297" s="3" t="s">
        <v>5410</v>
      </c>
      <c r="G7297" s="3">
        <v>68552</v>
      </c>
      <c r="H7297" s="7" t="str">
        <f>HYPERLINK("http://www.ensembl.org/Mus_musculus/Gene/Summary?db=core;g=ENSMUSG00000037822","ENSMUSG00000037822")</f>
        <v>ENSMUSG00000037822</v>
      </c>
      <c r="I7297" s="7" t="str">
        <f>HYPERLINK("http://www.informatics.jax.org/marker/MGI:1915802","MGI:1915802")</f>
        <v>MGI:1915802</v>
      </c>
      <c r="J7297" s="4" t="s">
        <v>12</v>
      </c>
    </row>
    <row r="7298" spans="1:10" x14ac:dyDescent="0.25">
      <c r="A7298" s="2">
        <v>782.48083293292098</v>
      </c>
      <c r="B7298" s="3">
        <v>-0.93317454155559698</v>
      </c>
      <c r="C7298" s="5">
        <v>2.2998017582284099E-52</v>
      </c>
      <c r="D7298" s="6">
        <v>6.5632548006171102E-51</v>
      </c>
      <c r="E7298" s="3" t="s">
        <v>1398</v>
      </c>
      <c r="F7298" s="3" t="s">
        <v>1399</v>
      </c>
      <c r="G7298" s="3">
        <v>277854</v>
      </c>
      <c r="H7298" s="7" t="str">
        <f>HYPERLINK("http://www.ensembl.org/Mus_musculus/Gene/Summary?db=core;g=ENSMUSG00000037426","ENSMUSG00000037426")</f>
        <v>ENSMUSG00000037426</v>
      </c>
      <c r="I7298" s="7" t="str">
        <f>HYPERLINK("http://www.informatics.jax.org/marker/MGI:2141101","MGI:2141101")</f>
        <v>MGI:2141101</v>
      </c>
      <c r="J7298" s="4" t="s">
        <v>12</v>
      </c>
    </row>
    <row r="7299" spans="1:10" x14ac:dyDescent="0.25">
      <c r="A7299" s="2">
        <v>106.117695597905</v>
      </c>
      <c r="B7299" s="3">
        <v>-0.93329659024901401</v>
      </c>
      <c r="C7299" s="5">
        <v>6.8313801740830503E-11</v>
      </c>
      <c r="D7299" s="6">
        <v>4.0105631745435498E-10</v>
      </c>
      <c r="E7299" s="3" t="s">
        <v>6736</v>
      </c>
      <c r="F7299" s="3" t="s">
        <v>6737</v>
      </c>
      <c r="G7299" s="3">
        <v>73833</v>
      </c>
      <c r="H7299" s="7" t="str">
        <f>HYPERLINK("http://www.ensembl.org/Mus_musculus/Gene/Summary?db=core;g=ENSMUSG00000030590","ENSMUSG00000030590")</f>
        <v>ENSMUSG00000030590</v>
      </c>
      <c r="I7299" s="7" t="str">
        <f>HYPERLINK("http://www.informatics.jax.org/marker/MGI:1921083","MGI:1921083")</f>
        <v>MGI:1921083</v>
      </c>
      <c r="J7299" s="4" t="s">
        <v>12</v>
      </c>
    </row>
    <row r="7300" spans="1:10" x14ac:dyDescent="0.25">
      <c r="A7300" s="2">
        <v>285.58492959931499</v>
      </c>
      <c r="B7300" s="3">
        <v>-0.93329925991314899</v>
      </c>
      <c r="C7300" s="5">
        <v>5.9716414482824305E-23</v>
      </c>
      <c r="D7300" s="6">
        <v>6.7368861190005396E-22</v>
      </c>
      <c r="E7300" s="3" t="s">
        <v>3514</v>
      </c>
      <c r="F7300" s="3" t="s">
        <v>3515</v>
      </c>
      <c r="G7300" s="3">
        <v>71591</v>
      </c>
      <c r="H7300" s="7" t="str">
        <f>HYPERLINK("http://www.ensembl.org/Mus_musculus/Gene/Summary?db=core;g=ENSMUSG00000022526","ENSMUSG00000022526")</f>
        <v>ENSMUSG00000022526</v>
      </c>
      <c r="I7300" s="7" t="str">
        <f>HYPERLINK("http://www.informatics.jax.org/marker/MGI:1918841","MGI:1918841")</f>
        <v>MGI:1918841</v>
      </c>
      <c r="J7300" s="4" t="s">
        <v>12</v>
      </c>
    </row>
    <row r="7301" spans="1:10" x14ac:dyDescent="0.25">
      <c r="A7301" s="2">
        <v>924.80915258285802</v>
      </c>
      <c r="B7301" s="3">
        <v>-0.93455563625044402</v>
      </c>
      <c r="C7301" s="5">
        <v>5.3489232358286397E-59</v>
      </c>
      <c r="D7301" s="6">
        <v>1.8537920247898201E-57</v>
      </c>
      <c r="E7301" s="3" t="s">
        <v>1154</v>
      </c>
      <c r="F7301" s="3" t="s">
        <v>1155</v>
      </c>
      <c r="G7301" s="3">
        <v>14595</v>
      </c>
      <c r="H7301" s="7" t="str">
        <f>HYPERLINK("http://www.ensembl.org/Mus_musculus/Gene/Summary?db=core;g=ENSMUSG00000028413","ENSMUSG00000028413")</f>
        <v>ENSMUSG00000028413</v>
      </c>
      <c r="I7301" s="7" t="str">
        <f>HYPERLINK("http://www.informatics.jax.org/marker/MGI:95705","MGI:95705")</f>
        <v>MGI:95705</v>
      </c>
      <c r="J7301" s="4" t="s">
        <v>12</v>
      </c>
    </row>
    <row r="7302" spans="1:10" x14ac:dyDescent="0.25">
      <c r="A7302" s="2">
        <v>268.352651420982</v>
      </c>
      <c r="B7302" s="3">
        <v>-0.93553386567476604</v>
      </c>
      <c r="C7302" s="5">
        <v>2.36783927349111E-24</v>
      </c>
      <c r="D7302" s="6">
        <v>2.8247907122350101E-23</v>
      </c>
      <c r="E7302" s="3" t="s">
        <v>3326</v>
      </c>
      <c r="F7302" s="3" t="s">
        <v>3327</v>
      </c>
      <c r="G7302" s="3">
        <v>67087</v>
      </c>
      <c r="H7302" s="7" t="str">
        <f>HYPERLINK("http://www.ensembl.org/Mus_musculus/Gene/Summary?db=core;g=ENSMUSG00000028988","ENSMUSG00000028988")</f>
        <v>ENSMUSG00000028988</v>
      </c>
      <c r="I7302" s="7" t="str">
        <f>HYPERLINK("http://www.informatics.jax.org/marker/MGI:1915756","MGI:1915756")</f>
        <v>MGI:1915756</v>
      </c>
      <c r="J7302" s="4" t="s">
        <v>12</v>
      </c>
    </row>
    <row r="7303" spans="1:10" x14ac:dyDescent="0.25">
      <c r="A7303" s="2">
        <v>21.2936998953478</v>
      </c>
      <c r="B7303" s="3">
        <v>-0.93608515801842096</v>
      </c>
      <c r="C7303" s="3">
        <v>6.2430017579622897E-4</v>
      </c>
      <c r="D7303" s="4">
        <v>1.89636467447653E-3</v>
      </c>
      <c r="E7303" s="3" t="s">
        <v>12993</v>
      </c>
      <c r="F7303" s="3" t="s">
        <v>12994</v>
      </c>
      <c r="G7303" s="3" t="s">
        <v>83</v>
      </c>
      <c r="H7303" s="7" t="str">
        <f>HYPERLINK("http://www.ensembl.org/Mus_musculus/Gene/Summary?db=core;g=ENSMUSG00000097092","ENSMUSG00000097092")</f>
        <v>ENSMUSG00000097092</v>
      </c>
      <c r="I7303" s="7" t="str">
        <f>HYPERLINK("http://www.informatics.jax.org/marker/MGI:5477219","MGI:5477219")</f>
        <v>MGI:5477219</v>
      </c>
      <c r="J7303" s="4" t="s">
        <v>932</v>
      </c>
    </row>
    <row r="7304" spans="1:10" x14ac:dyDescent="0.25">
      <c r="A7304" s="2">
        <v>156.01808487069701</v>
      </c>
      <c r="B7304" s="3">
        <v>-0.93609368123678904</v>
      </c>
      <c r="C7304" s="5">
        <v>9.4016785471324296E-17</v>
      </c>
      <c r="D7304" s="6">
        <v>7.8894085510404898E-16</v>
      </c>
      <c r="E7304" s="3" t="s">
        <v>4717</v>
      </c>
      <c r="F7304" s="3" t="s">
        <v>4718</v>
      </c>
      <c r="G7304" s="3">
        <v>102443351</v>
      </c>
      <c r="H7304" s="7" t="str">
        <f>HYPERLINK("http://www.ensembl.org/Mus_musculus/Gene/Summary?db=core;g=ENSMUSG00000070425","ENSMUSG00000070425")</f>
        <v>ENSMUSG00000070425</v>
      </c>
      <c r="I7304" s="7" t="str">
        <f>HYPERLINK("http://www.informatics.jax.org/marker/MGI:5546370","MGI:5546370")</f>
        <v>MGI:5546370</v>
      </c>
      <c r="J7304" s="4" t="s">
        <v>12</v>
      </c>
    </row>
    <row r="7305" spans="1:10" x14ac:dyDescent="0.25">
      <c r="A7305" s="2">
        <v>127.58800227811599</v>
      </c>
      <c r="B7305" s="3">
        <v>-0.93617475229108904</v>
      </c>
      <c r="C7305" s="5">
        <v>3.15224435474581E-10</v>
      </c>
      <c r="D7305" s="6">
        <v>1.76097050072485E-9</v>
      </c>
      <c r="E7305" s="3" t="s">
        <v>7078</v>
      </c>
      <c r="F7305" s="3" t="s">
        <v>7079</v>
      </c>
      <c r="G7305" s="3">
        <v>60411</v>
      </c>
      <c r="H7305" s="7" t="str">
        <f>HYPERLINK("http://www.ensembl.org/Mus_musculus/Gene/Summary?db=core;g=ENSMUSG00000021714","ENSMUSG00000021714")</f>
        <v>ENSMUSG00000021714</v>
      </c>
      <c r="I7305" s="7" t="str">
        <f>HYPERLINK("http://www.informatics.jax.org/marker/MGI:1926210","MGI:1926210")</f>
        <v>MGI:1926210</v>
      </c>
      <c r="J7305" s="4" t="s">
        <v>12</v>
      </c>
    </row>
    <row r="7306" spans="1:10" x14ac:dyDescent="0.25">
      <c r="A7306" s="2">
        <v>14.6327616556206</v>
      </c>
      <c r="B7306" s="3">
        <v>-0.936671066166332</v>
      </c>
      <c r="C7306" s="3">
        <v>2.9265233801674499E-3</v>
      </c>
      <c r="D7306" s="4">
        <v>8.0321560274045998E-3</v>
      </c>
      <c r="E7306" s="3" t="s">
        <v>14375</v>
      </c>
      <c r="F7306" s="3" t="s">
        <v>14376</v>
      </c>
      <c r="G7306" s="3" t="s">
        <v>83</v>
      </c>
      <c r="H7306" s="7" t="str">
        <f>HYPERLINK("http://www.ensembl.org/Mus_musculus/Gene/Summary?db=core;g=ENSMUSG00000090235","ENSMUSG00000090235")</f>
        <v>ENSMUSG00000090235</v>
      </c>
      <c r="I7306" s="7" t="str">
        <f>HYPERLINK("http://www.informatics.jax.org/marker/MGI:3802128","MGI:3802128")</f>
        <v>MGI:3802128</v>
      </c>
      <c r="J7306" s="4" t="s">
        <v>331</v>
      </c>
    </row>
    <row r="7307" spans="1:10" x14ac:dyDescent="0.25">
      <c r="A7307" s="2">
        <v>164.77923861854299</v>
      </c>
      <c r="B7307" s="3">
        <v>-0.93722875962135599</v>
      </c>
      <c r="C7307" s="5">
        <v>2.14358395837092E-19</v>
      </c>
      <c r="D7307" s="6">
        <v>2.07314740848821E-18</v>
      </c>
      <c r="E7307" s="3" t="s">
        <v>4095</v>
      </c>
      <c r="F7307" s="3" t="s">
        <v>4096</v>
      </c>
      <c r="G7307" s="3">
        <v>69928</v>
      </c>
      <c r="H7307" s="7" t="str">
        <f>HYPERLINK("http://www.ensembl.org/Mus_musculus/Gene/Summary?db=core;g=ENSMUSG00000073705","ENSMUSG00000073705")</f>
        <v>ENSMUSG00000073705</v>
      </c>
      <c r="I7307" s="7" t="str">
        <f>HYPERLINK("http://www.informatics.jax.org/marker/MGI:1917178","MGI:1917178")</f>
        <v>MGI:1917178</v>
      </c>
      <c r="J7307" s="4" t="s">
        <v>12</v>
      </c>
    </row>
    <row r="7308" spans="1:10" x14ac:dyDescent="0.25">
      <c r="A7308" s="2">
        <v>746.63068520746901</v>
      </c>
      <c r="B7308" s="3">
        <v>-0.93809535358165896</v>
      </c>
      <c r="C7308" s="5">
        <v>3.3422717569623202E-36</v>
      </c>
      <c r="D7308" s="6">
        <v>6.0578675594942097E-35</v>
      </c>
      <c r="E7308" s="3" t="s">
        <v>2193</v>
      </c>
      <c r="F7308" s="3" t="s">
        <v>2194</v>
      </c>
      <c r="G7308" s="3">
        <v>20492</v>
      </c>
      <c r="H7308" s="7" t="str">
        <f>HYPERLINK("http://www.ensembl.org/Mus_musculus/Gene/Summary?db=core;g=ENSMUSG00000004642","ENSMUSG00000004642")</f>
        <v>ENSMUSG00000004642</v>
      </c>
      <c r="I7308" s="7" t="str">
        <f>HYPERLINK("http://www.informatics.jax.org/marker/MGI:108402","MGI:108402")</f>
        <v>MGI:108402</v>
      </c>
      <c r="J7308" s="4" t="s">
        <v>12</v>
      </c>
    </row>
    <row r="7309" spans="1:10" x14ac:dyDescent="0.25">
      <c r="A7309" s="2">
        <v>167.34328238897601</v>
      </c>
      <c r="B7309" s="3">
        <v>-0.93892241100332996</v>
      </c>
      <c r="C7309" s="5">
        <v>3.9044715461809899E-19</v>
      </c>
      <c r="D7309" s="6">
        <v>3.7286285177089099E-18</v>
      </c>
      <c r="E7309" s="3" t="s">
        <v>4147</v>
      </c>
      <c r="F7309" s="3" t="s">
        <v>4148</v>
      </c>
      <c r="G7309" s="3">
        <v>67727</v>
      </c>
      <c r="H7309" s="7" t="str">
        <f>HYPERLINK("http://www.ensembl.org/Mus_musculus/Gene/Summary?db=core;g=ENSMUSG00000061455","ENSMUSG00000061455")</f>
        <v>ENSMUSG00000061455</v>
      </c>
      <c r="I7309" s="7" t="str">
        <f>HYPERLINK("http://www.informatics.jax.org/marker/MGI:1914977","MGI:1914977")</f>
        <v>MGI:1914977</v>
      </c>
      <c r="J7309" s="4" t="s">
        <v>12</v>
      </c>
    </row>
    <row r="7310" spans="1:10" x14ac:dyDescent="0.25">
      <c r="A7310" s="2">
        <v>32.978367331220198</v>
      </c>
      <c r="B7310" s="3">
        <v>-0.93926675453059405</v>
      </c>
      <c r="C7310" s="5">
        <v>2.2242890481897101E-6</v>
      </c>
      <c r="D7310" s="6">
        <v>8.8953518617523797E-6</v>
      </c>
      <c r="E7310" s="3" t="s">
        <v>9877</v>
      </c>
      <c r="F7310" s="3" t="s">
        <v>9878</v>
      </c>
      <c r="G7310" s="3" t="s">
        <v>83</v>
      </c>
      <c r="H7310" s="7" t="str">
        <f>HYPERLINK("http://www.ensembl.org/Mus_musculus/Gene/Summary?db=core;g=ENSMUSG00000085129","ENSMUSG00000085129")</f>
        <v>ENSMUSG00000085129</v>
      </c>
      <c r="I7310" s="7" t="str">
        <f>HYPERLINK("http://www.informatics.jax.org/marker/MGI:2442533","MGI:2442533")</f>
        <v>MGI:2442533</v>
      </c>
      <c r="J7310" s="4" t="s">
        <v>939</v>
      </c>
    </row>
    <row r="7311" spans="1:10" x14ac:dyDescent="0.25">
      <c r="A7311" s="2">
        <v>73.082925175509899</v>
      </c>
      <c r="B7311" s="3">
        <v>-0.93935824526445999</v>
      </c>
      <c r="C7311" s="5">
        <v>4.88995936444136E-11</v>
      </c>
      <c r="D7311" s="6">
        <v>2.9132930110810702E-10</v>
      </c>
      <c r="E7311" s="3" t="s">
        <v>6637</v>
      </c>
      <c r="F7311" s="3" t="s">
        <v>6638</v>
      </c>
      <c r="G7311" s="3">
        <v>239570</v>
      </c>
      <c r="H7311" s="7" t="str">
        <f>HYPERLINK("http://www.ensembl.org/Mus_musculus/Gene/Summary?db=core;g=ENSMUSG00000035944","ENSMUSG00000035944")</f>
        <v>ENSMUSG00000035944</v>
      </c>
      <c r="I7311" s="7" t="str">
        <f>HYPERLINK("http://www.informatics.jax.org/marker/MGI:2146198","MGI:2146198")</f>
        <v>MGI:2146198</v>
      </c>
      <c r="J7311" s="4" t="s">
        <v>12</v>
      </c>
    </row>
    <row r="7312" spans="1:10" x14ac:dyDescent="0.25">
      <c r="A7312" s="2">
        <v>76.989455301213994</v>
      </c>
      <c r="B7312" s="3">
        <v>-0.93964907174486201</v>
      </c>
      <c r="C7312" s="5">
        <v>1.6966187914676799E-11</v>
      </c>
      <c r="D7312" s="6">
        <v>1.04423603519796E-10</v>
      </c>
      <c r="E7312" s="3" t="s">
        <v>6425</v>
      </c>
      <c r="F7312" s="3" t="s">
        <v>6426</v>
      </c>
      <c r="G7312" s="3">
        <v>56542</v>
      </c>
      <c r="H7312" s="7" t="str">
        <f>HYPERLINK("http://www.ensembl.org/Mus_musculus/Gene/Summary?db=core;g=ENSMUSG00000009828","ENSMUSG00000009828")</f>
        <v>ENSMUSG00000009828</v>
      </c>
      <c r="I7312" s="7" t="str">
        <f>HYPERLINK("http://www.informatics.jax.org/marker/MGI:1934157","MGI:1934157")</f>
        <v>MGI:1934157</v>
      </c>
      <c r="J7312" s="4" t="s">
        <v>12</v>
      </c>
    </row>
    <row r="7313" spans="1:10" x14ac:dyDescent="0.25">
      <c r="A7313" s="2">
        <v>189.76466357627501</v>
      </c>
      <c r="B7313" s="3">
        <v>-0.93974242073916103</v>
      </c>
      <c r="C7313" s="5">
        <v>1.78422826246593E-22</v>
      </c>
      <c r="D7313" s="6">
        <v>1.9766843447094398E-21</v>
      </c>
      <c r="E7313" s="3" t="s">
        <v>3578</v>
      </c>
      <c r="F7313" s="3" t="s">
        <v>3579</v>
      </c>
      <c r="G7313" s="3">
        <v>14385</v>
      </c>
      <c r="H7313" s="7" t="str">
        <f>HYPERLINK("http://www.ensembl.org/Mus_musculus/Gene/Summary?db=core;g=ENSMUSG00000032114","ENSMUSG00000032114")</f>
        <v>ENSMUSG00000032114</v>
      </c>
      <c r="I7313" s="7" t="str">
        <f>HYPERLINK("http://www.informatics.jax.org/marker/MGI:1316650","MGI:1316650")</f>
        <v>MGI:1316650</v>
      </c>
      <c r="J7313" s="4" t="s">
        <v>12</v>
      </c>
    </row>
    <row r="7314" spans="1:10" x14ac:dyDescent="0.25">
      <c r="A7314" s="2">
        <v>1081.7156508381299</v>
      </c>
      <c r="B7314" s="3">
        <v>-0.94046435498482805</v>
      </c>
      <c r="C7314" s="5">
        <v>4.6052388272872599E-56</v>
      </c>
      <c r="D7314" s="6">
        <v>1.4695033927848701E-54</v>
      </c>
      <c r="E7314" s="3" t="s">
        <v>1252</v>
      </c>
      <c r="F7314" s="3" t="s">
        <v>1253</v>
      </c>
      <c r="G7314" s="3">
        <v>103236</v>
      </c>
      <c r="H7314" s="7" t="str">
        <f>HYPERLINK("http://www.ensembl.org/Mus_musculus/Gene/Summary?db=core;g=ENSMUSG00000003345","ENSMUSG00000003345")</f>
        <v>ENSMUSG00000003345</v>
      </c>
      <c r="I7314" s="7" t="str">
        <f>HYPERLINK("http://www.informatics.jax.org/marker/MGI:1920014","MGI:1920014")</f>
        <v>MGI:1920014</v>
      </c>
      <c r="J7314" s="4" t="s">
        <v>12</v>
      </c>
    </row>
    <row r="7315" spans="1:10" x14ac:dyDescent="0.25">
      <c r="A7315" s="2">
        <v>498.917798577648</v>
      </c>
      <c r="B7315" s="3">
        <v>-0.94311265394442501</v>
      </c>
      <c r="C7315" s="5">
        <v>2.2925509612044799E-30</v>
      </c>
      <c r="D7315" s="6">
        <v>3.4249321935570001E-29</v>
      </c>
      <c r="E7315" s="3" t="s">
        <v>2657</v>
      </c>
      <c r="F7315" s="3" t="s">
        <v>2658</v>
      </c>
      <c r="G7315" s="3">
        <v>13864</v>
      </c>
      <c r="H7315" s="7" t="str">
        <f>HYPERLINK("http://www.ensembl.org/Mus_musculus/Gene/Summary?db=core;g=ENSMUSG00000002393","ENSMUSG00000002393")</f>
        <v>ENSMUSG00000002393</v>
      </c>
      <c r="I7315" s="7" t="str">
        <f>HYPERLINK("http://www.informatics.jax.org/marker/MGI:1352453","MGI:1352453")</f>
        <v>MGI:1352453</v>
      </c>
      <c r="J7315" s="4" t="s">
        <v>12</v>
      </c>
    </row>
    <row r="7316" spans="1:10" x14ac:dyDescent="0.25">
      <c r="A7316" s="2">
        <v>14.473562405913899</v>
      </c>
      <c r="B7316" s="3">
        <v>-0.94331433706726597</v>
      </c>
      <c r="C7316" s="3">
        <v>2.732737207849E-3</v>
      </c>
      <c r="D7316" s="4">
        <v>7.5496746621998003E-3</v>
      </c>
      <c r="E7316" s="3" t="s">
        <v>14281</v>
      </c>
      <c r="F7316" s="3" t="s">
        <v>14282</v>
      </c>
      <c r="G7316" s="3">
        <v>21408</v>
      </c>
      <c r="H7316" s="7" t="str">
        <f>HYPERLINK("http://www.ensembl.org/Mus_musculus/Gene/Summary?db=core;g=ENSMUSG00000020364","ENSMUSG00000020364")</f>
        <v>ENSMUSG00000020364</v>
      </c>
      <c r="I7316" s="7" t="str">
        <f>HYPERLINK("http://www.informatics.jax.org/marker/MGI:103172","MGI:103172")</f>
        <v>MGI:103172</v>
      </c>
      <c r="J7316" s="4" t="s">
        <v>12</v>
      </c>
    </row>
    <row r="7317" spans="1:10" x14ac:dyDescent="0.25">
      <c r="A7317" s="2">
        <v>20.781597573170298</v>
      </c>
      <c r="B7317" s="3">
        <v>-0.94353407977279902</v>
      </c>
      <c r="C7317" s="3">
        <v>1.7437062324308301E-4</v>
      </c>
      <c r="D7317" s="4">
        <v>5.6939703433575204E-4</v>
      </c>
      <c r="E7317" s="3" t="s">
        <v>12089</v>
      </c>
      <c r="F7317" s="3" t="s">
        <v>12090</v>
      </c>
      <c r="G7317" s="3">
        <v>56846</v>
      </c>
      <c r="H7317" s="7" t="str">
        <f>HYPERLINK("http://www.ensembl.org/Mus_musculus/Gene/Summary?db=core;g=ENSMUSG00000027489","ENSMUSG00000027489")</f>
        <v>ENSMUSG00000027489</v>
      </c>
      <c r="I7317" s="7" t="str">
        <f>HYPERLINK("http://www.informatics.jax.org/marker/MGI:1861721","MGI:1861721")</f>
        <v>MGI:1861721</v>
      </c>
      <c r="J7317" s="4" t="s">
        <v>12</v>
      </c>
    </row>
    <row r="7318" spans="1:10" x14ac:dyDescent="0.25">
      <c r="A7318" s="2">
        <v>569.09717056797501</v>
      </c>
      <c r="B7318" s="3">
        <v>-0.94354070783048605</v>
      </c>
      <c r="C7318" s="5">
        <v>9.1080993963427095E-24</v>
      </c>
      <c r="D7318" s="6">
        <v>1.06028170068405E-22</v>
      </c>
      <c r="E7318" s="3" t="s">
        <v>3406</v>
      </c>
      <c r="F7318" s="3" t="s">
        <v>3407</v>
      </c>
      <c r="G7318" s="3">
        <v>224697</v>
      </c>
      <c r="H7318" s="7" t="str">
        <f>HYPERLINK("http://www.ensembl.org/Mus_musculus/Gene/Summary?db=core;g=ENSMUSG00000024299","ENSMUSG00000024299")</f>
        <v>ENSMUSG00000024299</v>
      </c>
      <c r="I7318" s="7" t="str">
        <f>HYPERLINK("http://www.informatics.jax.org/marker/MGI:2449112","MGI:2449112")</f>
        <v>MGI:2449112</v>
      </c>
      <c r="J7318" s="4" t="s">
        <v>12</v>
      </c>
    </row>
    <row r="7319" spans="1:10" x14ac:dyDescent="0.25">
      <c r="A7319" s="2">
        <v>7.9645435733453596</v>
      </c>
      <c r="B7319" s="3">
        <v>-0.94384438069023202</v>
      </c>
      <c r="C7319" s="3">
        <v>7.3967971660883697E-3</v>
      </c>
      <c r="D7319" s="4">
        <v>1.8872407829636801E-2</v>
      </c>
      <c r="E7319" s="3" t="s">
        <v>15463</v>
      </c>
      <c r="F7319" s="3" t="s">
        <v>15464</v>
      </c>
      <c r="G7319" s="3">
        <v>104111</v>
      </c>
      <c r="H7319" s="7" t="str">
        <f>HYPERLINK("http://www.ensembl.org/Mus_musculus/Gene/Summary?db=core;g=ENSMUSG00000020654","ENSMUSG00000020654")</f>
        <v>ENSMUSG00000020654</v>
      </c>
      <c r="I7319" s="7" t="str">
        <f>HYPERLINK("http://www.informatics.jax.org/marker/MGI:99675","MGI:99675")</f>
        <v>MGI:99675</v>
      </c>
      <c r="J7319" s="4" t="s">
        <v>12</v>
      </c>
    </row>
    <row r="7320" spans="1:10" x14ac:dyDescent="0.25">
      <c r="A7320" s="2">
        <v>22.8192724126475</v>
      </c>
      <c r="B7320" s="3">
        <v>-0.94474525780026597</v>
      </c>
      <c r="C7320" s="3">
        <v>4.2159070473147799E-4</v>
      </c>
      <c r="D7320" s="4">
        <v>1.3102866347210001E-3</v>
      </c>
      <c r="E7320" s="3" t="s">
        <v>12703</v>
      </c>
      <c r="F7320" s="3" t="s">
        <v>12704</v>
      </c>
      <c r="G7320" s="3" t="s">
        <v>83</v>
      </c>
      <c r="H7320" s="7" t="str">
        <f>HYPERLINK("http://www.ensembl.org/Mus_musculus/Gene/Summary?db=core;g=ENSMUSG00000104342","ENSMUSG00000104342")</f>
        <v>ENSMUSG00000104342</v>
      </c>
      <c r="I7320" s="7" t="str">
        <f>HYPERLINK("http://www.informatics.jax.org/marker/MGI:5595560","MGI:5595560")</f>
        <v>MGI:5595560</v>
      </c>
      <c r="J7320" s="4" t="s">
        <v>1828</v>
      </c>
    </row>
    <row r="7321" spans="1:10" x14ac:dyDescent="0.25">
      <c r="A7321" s="2">
        <v>153.522232794601</v>
      </c>
      <c r="B7321" s="3">
        <v>-0.94539157837569698</v>
      </c>
      <c r="C7321" s="5">
        <v>4.7645419171045203E-15</v>
      </c>
      <c r="D7321" s="6">
        <v>3.6773685559804801E-14</v>
      </c>
      <c r="E7321" s="3" t="s">
        <v>5127</v>
      </c>
      <c r="F7321" s="3" t="s">
        <v>5128</v>
      </c>
      <c r="G7321" s="3">
        <v>67161</v>
      </c>
      <c r="H7321" s="7" t="str">
        <f>HYPERLINK("http://www.ensembl.org/Mus_musculus/Gene/Summary?db=core;g=ENSMUSG00000059834","ENSMUSG00000059834")</f>
        <v>ENSMUSG00000059834</v>
      </c>
      <c r="I7321" s="7" t="str">
        <f>HYPERLINK("http://www.informatics.jax.org/marker/MGI:1914411","MGI:1914411")</f>
        <v>MGI:1914411</v>
      </c>
      <c r="J7321" s="4" t="s">
        <v>12</v>
      </c>
    </row>
    <row r="7322" spans="1:10" x14ac:dyDescent="0.25">
      <c r="A7322" s="2">
        <v>4.2499301146168502</v>
      </c>
      <c r="B7322" s="3">
        <v>-0.94678787258990205</v>
      </c>
      <c r="C7322" s="3">
        <v>2.1489327654945101E-2</v>
      </c>
      <c r="D7322" s="4">
        <v>4.9843512274231498E-2</v>
      </c>
      <c r="E7322" s="3" t="s">
        <v>17008</v>
      </c>
      <c r="F7322" s="3" t="s">
        <v>17009</v>
      </c>
      <c r="G7322" s="3" t="s">
        <v>83</v>
      </c>
      <c r="H7322" s="7" t="str">
        <f>HYPERLINK("http://www.ensembl.org/Mus_musculus/Gene/Summary?db=core;g=ENSMUSG00000085965","ENSMUSG00000085965")</f>
        <v>ENSMUSG00000085965</v>
      </c>
      <c r="I7322" s="7" t="str">
        <f>HYPERLINK("http://www.informatics.jax.org/marker/MGI:1923693","MGI:1923693")</f>
        <v>MGI:1923693</v>
      </c>
      <c r="J7322" s="4" t="s">
        <v>939</v>
      </c>
    </row>
    <row r="7323" spans="1:10" x14ac:dyDescent="0.25">
      <c r="A7323" s="2">
        <v>14.667817380591901</v>
      </c>
      <c r="B7323" s="3">
        <v>-0.94774301283079498</v>
      </c>
      <c r="C7323" s="3">
        <v>2.9588688976471601E-3</v>
      </c>
      <c r="D7323" s="4">
        <v>8.1107721242148993E-3</v>
      </c>
      <c r="E7323" s="3" t="s">
        <v>14393</v>
      </c>
      <c r="F7323" s="3" t="s">
        <v>14394</v>
      </c>
      <c r="G7323" s="3">
        <v>319182</v>
      </c>
      <c r="H7323" s="7" t="str">
        <f>HYPERLINK("http://www.ensembl.org/Mus_musculus/Gene/Summary?db=core;g=ENSMUSG00000114456","ENSMUSG00000114456")</f>
        <v>ENSMUSG00000114456</v>
      </c>
      <c r="I7323" s="7" t="str">
        <f>HYPERLINK("http://www.informatics.jax.org/marker/MGI:2448387","MGI:2448387")</f>
        <v>MGI:2448387</v>
      </c>
      <c r="J7323" s="4" t="s">
        <v>12</v>
      </c>
    </row>
    <row r="7324" spans="1:10" x14ac:dyDescent="0.25">
      <c r="A7324" s="2">
        <v>81.441656529211897</v>
      </c>
      <c r="B7324" s="3">
        <v>-0.94853921888992798</v>
      </c>
      <c r="C7324" s="5">
        <v>1.33420094664287E-8</v>
      </c>
      <c r="D7324" s="6">
        <v>6.5351323069541505E-8</v>
      </c>
      <c r="E7324" s="3" t="s">
        <v>8069</v>
      </c>
      <c r="F7324" s="3" t="s">
        <v>8070</v>
      </c>
      <c r="G7324" s="3">
        <v>16870</v>
      </c>
      <c r="H7324" s="7" t="str">
        <f>HYPERLINK("http://www.ensembl.org/Mus_musculus/Gene/Summary?db=core;g=ENSMUSG00000000247","ENSMUSG00000000247")</f>
        <v>ENSMUSG00000000247</v>
      </c>
      <c r="I7324" s="7" t="str">
        <f>HYPERLINK("http://www.informatics.jax.org/marker/MGI:96785","MGI:96785")</f>
        <v>MGI:96785</v>
      </c>
      <c r="J7324" s="4" t="s">
        <v>12</v>
      </c>
    </row>
    <row r="7325" spans="1:10" x14ac:dyDescent="0.25">
      <c r="A7325" s="2">
        <v>237.882259641491</v>
      </c>
      <c r="B7325" s="3">
        <v>-0.94884326446020495</v>
      </c>
      <c r="C7325" s="5">
        <v>1.46770723282746E-21</v>
      </c>
      <c r="D7325" s="6">
        <v>1.5552491473056099E-20</v>
      </c>
      <c r="E7325" s="3" t="s">
        <v>3740</v>
      </c>
      <c r="F7325" s="3" t="s">
        <v>3741</v>
      </c>
      <c r="G7325" s="3">
        <v>17536</v>
      </c>
      <c r="H7325" s="7" t="str">
        <f>HYPERLINK("http://www.ensembl.org/Mus_musculus/Gene/Summary?db=core;g=ENSMUSG00000027210","ENSMUSG00000027210")</f>
        <v>ENSMUSG00000027210</v>
      </c>
      <c r="I7325" s="7" t="str">
        <f>HYPERLINK("http://www.informatics.jax.org/marker/MGI:108564","MGI:108564")</f>
        <v>MGI:108564</v>
      </c>
      <c r="J7325" s="4" t="s">
        <v>12</v>
      </c>
    </row>
    <row r="7326" spans="1:10" x14ac:dyDescent="0.25">
      <c r="A7326" s="2">
        <v>25.7061068072443</v>
      </c>
      <c r="B7326" s="3">
        <v>-0.94935506228881295</v>
      </c>
      <c r="C7326" s="3">
        <v>2.76224140803594E-3</v>
      </c>
      <c r="D7326" s="4">
        <v>7.6269113086626702E-3</v>
      </c>
      <c r="E7326" s="3" t="s">
        <v>14289</v>
      </c>
      <c r="F7326" s="3" t="s">
        <v>14290</v>
      </c>
      <c r="G7326" s="3">
        <v>140721</v>
      </c>
      <c r="H7326" s="7" t="str">
        <f>HYPERLINK("http://www.ensembl.org/Mus_musculus/Gene/Summary?db=core;g=ENSMUSG00000034471","ENSMUSG00000034471")</f>
        <v>ENSMUSG00000034471</v>
      </c>
      <c r="I7326" s="7" t="str">
        <f>HYPERLINK("http://www.informatics.jax.org/marker/MGI:2157062","MGI:2157062")</f>
        <v>MGI:2157062</v>
      </c>
      <c r="J7326" s="4" t="s">
        <v>12</v>
      </c>
    </row>
    <row r="7327" spans="1:10" x14ac:dyDescent="0.25">
      <c r="A7327" s="2">
        <v>471.304287516957</v>
      </c>
      <c r="B7327" s="3">
        <v>-0.95068623532213303</v>
      </c>
      <c r="C7327" s="5">
        <v>2.1483391422885801E-57</v>
      </c>
      <c r="D7327" s="6">
        <v>7.1082630681092001E-56</v>
      </c>
      <c r="E7327" s="3" t="s">
        <v>1208</v>
      </c>
      <c r="F7327" s="3" t="s">
        <v>1209</v>
      </c>
      <c r="G7327" s="3">
        <v>100502698</v>
      </c>
      <c r="H7327" s="7" t="str">
        <f>HYPERLINK("http://www.ensembl.org/Mus_musculus/Gene/Summary?db=core;g=ENSMUSG00000035629","ENSMUSG00000035629")</f>
        <v>ENSMUSG00000035629</v>
      </c>
      <c r="I7327" s="7" t="str">
        <f>HYPERLINK("http://www.informatics.jax.org/marker/MGI:1915160","MGI:1915160")</f>
        <v>MGI:1915160</v>
      </c>
      <c r="J7327" s="4" t="s">
        <v>12</v>
      </c>
    </row>
    <row r="7328" spans="1:10" x14ac:dyDescent="0.25">
      <c r="A7328" s="2">
        <v>596.53792164993195</v>
      </c>
      <c r="B7328" s="3">
        <v>-0.95155838348325605</v>
      </c>
      <c r="C7328" s="5">
        <v>6.0603429120825099E-19</v>
      </c>
      <c r="D7328" s="6">
        <v>5.7484349315183801E-18</v>
      </c>
      <c r="E7328" s="3" t="s">
        <v>4175</v>
      </c>
      <c r="F7328" s="3" t="s">
        <v>4176</v>
      </c>
      <c r="G7328" s="3">
        <v>233064</v>
      </c>
      <c r="H7328" s="7" t="str">
        <f>HYPERLINK("http://www.ensembl.org/Mus_musculus/Gene/Summary?db=core;g=ENSMUSG00000037020","ENSMUSG00000037020")</f>
        <v>ENSMUSG00000037020</v>
      </c>
      <c r="I7328" s="7" t="str">
        <f>HYPERLINK("http://www.informatics.jax.org/marker/MGI:1923696","MGI:1923696")</f>
        <v>MGI:1923696</v>
      </c>
      <c r="J7328" s="4" t="s">
        <v>12</v>
      </c>
    </row>
    <row r="7329" spans="1:10" x14ac:dyDescent="0.25">
      <c r="A7329" s="2">
        <v>1328.8410353229301</v>
      </c>
      <c r="B7329" s="3">
        <v>-0.95181589093533403</v>
      </c>
      <c r="C7329" s="5">
        <v>2.2975444522616499E-20</v>
      </c>
      <c r="D7329" s="6">
        <v>2.3198963952175999E-19</v>
      </c>
      <c r="E7329" s="3" t="s">
        <v>3924</v>
      </c>
      <c r="F7329" s="3" t="s">
        <v>3925</v>
      </c>
      <c r="G7329" s="3">
        <v>19361</v>
      </c>
      <c r="H7329" s="7" t="str">
        <f>HYPERLINK("http://www.ensembl.org/Mus_musculus/Gene/Summary?db=core;g=ENSMUSG00000027323","ENSMUSG00000027323")</f>
        <v>ENSMUSG00000027323</v>
      </c>
      <c r="I7329" s="7" t="str">
        <f>HYPERLINK("http://www.informatics.jax.org/marker/MGI:97890","MGI:97890")</f>
        <v>MGI:97890</v>
      </c>
      <c r="J7329" s="4" t="s">
        <v>12</v>
      </c>
    </row>
    <row r="7330" spans="1:10" x14ac:dyDescent="0.25">
      <c r="A7330" s="2">
        <v>527.52721702123699</v>
      </c>
      <c r="B7330" s="3">
        <v>-0.95221696624484797</v>
      </c>
      <c r="C7330" s="5">
        <v>2.17880322683595E-27</v>
      </c>
      <c r="D7330" s="6">
        <v>2.9090047145027002E-26</v>
      </c>
      <c r="E7330" s="3" t="s">
        <v>2972</v>
      </c>
      <c r="F7330" s="3" t="s">
        <v>2973</v>
      </c>
      <c r="G7330" s="3">
        <v>30954</v>
      </c>
      <c r="H7330" s="7" t="str">
        <f>HYPERLINK("http://www.ensembl.org/Mus_musculus/Gene/Summary?db=core;g=ENSMUSG00000064326","ENSMUSG00000064326")</f>
        <v>ENSMUSG00000064326</v>
      </c>
      <c r="I7330" s="7" t="str">
        <f>HYPERLINK("http://www.informatics.jax.org/marker/MGI:1353606","MGI:1353606")</f>
        <v>MGI:1353606</v>
      </c>
      <c r="J7330" s="4" t="s">
        <v>12</v>
      </c>
    </row>
    <row r="7331" spans="1:10" x14ac:dyDescent="0.25">
      <c r="A7331" s="2">
        <v>33.575588409244403</v>
      </c>
      <c r="B7331" s="3">
        <v>-0.95296726768076701</v>
      </c>
      <c r="C7331" s="5">
        <v>5.2493560467978399E-6</v>
      </c>
      <c r="D7331" s="6">
        <v>2.0218222898994799E-5</v>
      </c>
      <c r="E7331" s="3" t="s">
        <v>10254</v>
      </c>
      <c r="F7331" s="3" t="s">
        <v>10255</v>
      </c>
      <c r="G7331" s="3">
        <v>100503924</v>
      </c>
      <c r="H7331" s="7" t="str">
        <f>HYPERLINK("http://www.ensembl.org/Mus_musculus/Gene/Summary?db=core;g=ENSMUSG00000089665","ENSMUSG00000089665")</f>
        <v>ENSMUSG00000089665</v>
      </c>
      <c r="I7331" s="7" t="str">
        <f>HYPERLINK("http://www.informatics.jax.org/marker/MGI:1915484","MGI:1915484")</f>
        <v>MGI:1915484</v>
      </c>
      <c r="J7331" s="4" t="s">
        <v>12</v>
      </c>
    </row>
    <row r="7332" spans="1:10" x14ac:dyDescent="0.25">
      <c r="A7332" s="2">
        <v>27.626311563722702</v>
      </c>
      <c r="B7332" s="3">
        <v>-0.95314007768167497</v>
      </c>
      <c r="C7332" s="5">
        <v>1.8029867603661301E-5</v>
      </c>
      <c r="D7332" s="6">
        <v>6.5879004844210005E-5</v>
      </c>
      <c r="E7332" s="3" t="s">
        <v>10806</v>
      </c>
      <c r="F7332" s="3" t="s">
        <v>10807</v>
      </c>
      <c r="G7332" s="3">
        <v>76645</v>
      </c>
      <c r="H7332" s="7" t="str">
        <f>HYPERLINK("http://www.ensembl.org/Mus_musculus/Gene/Summary?db=core;g=ENSMUSG00000034416","ENSMUSG00000034416")</f>
        <v>ENSMUSG00000034416</v>
      </c>
      <c r="I7332" s="7" t="str">
        <f>HYPERLINK("http://www.informatics.jax.org/marker/MGI:2664668","MGI:2664668")</f>
        <v>MGI:2664668</v>
      </c>
      <c r="J7332" s="4" t="s">
        <v>12</v>
      </c>
    </row>
    <row r="7333" spans="1:10" x14ac:dyDescent="0.25">
      <c r="A7333" s="2">
        <v>24.886567962184401</v>
      </c>
      <c r="B7333" s="3">
        <v>-0.95356147015209403</v>
      </c>
      <c r="C7333" s="5">
        <v>2.0375964935159899E-5</v>
      </c>
      <c r="D7333" s="6">
        <v>7.4012530580466494E-5</v>
      </c>
      <c r="E7333" s="3" t="s">
        <v>10870</v>
      </c>
      <c r="F7333" s="3" t="s">
        <v>10871</v>
      </c>
      <c r="G7333" s="3">
        <v>68852</v>
      </c>
      <c r="H7333" s="7" t="str">
        <f>HYPERLINK("http://www.ensembl.org/Mus_musculus/Gene/Summary?db=core;g=ENSMUSG00000071656","ENSMUSG00000071656")</f>
        <v>ENSMUSG00000071656</v>
      </c>
      <c r="I7333" s="7" t="str">
        <f>HYPERLINK("http://www.informatics.jax.org/marker/MGI:1916102","MGI:1916102")</f>
        <v>MGI:1916102</v>
      </c>
      <c r="J7333" s="4" t="s">
        <v>12</v>
      </c>
    </row>
    <row r="7334" spans="1:10" x14ac:dyDescent="0.25">
      <c r="A7334" s="2">
        <v>323.26995010931</v>
      </c>
      <c r="B7334" s="3">
        <v>-0.95410269844531304</v>
      </c>
      <c r="C7334" s="5">
        <v>1.76349525784935E-15</v>
      </c>
      <c r="D7334" s="6">
        <v>1.3893778060243399E-14</v>
      </c>
      <c r="E7334" s="3" t="s">
        <v>5023</v>
      </c>
      <c r="F7334" s="3" t="s">
        <v>5024</v>
      </c>
      <c r="G7334" s="3">
        <v>101351</v>
      </c>
      <c r="H7334" s="7" t="str">
        <f>HYPERLINK("http://www.ensembl.org/Mus_musculus/Gene/Summary?db=core;g=ENSMUSG00000035245","ENSMUSG00000035245")</f>
        <v>ENSMUSG00000035245</v>
      </c>
      <c r="I7334" s="7" t="str">
        <f>HYPERLINK("http://www.informatics.jax.org/marker/MGI:2141669","MGI:2141669")</f>
        <v>MGI:2141669</v>
      </c>
      <c r="J7334" s="4" t="s">
        <v>12</v>
      </c>
    </row>
    <row r="7335" spans="1:10" x14ac:dyDescent="0.25">
      <c r="A7335" s="2">
        <v>1265.71536570332</v>
      </c>
      <c r="B7335" s="3">
        <v>-0.95422932664263405</v>
      </c>
      <c r="C7335" s="5">
        <v>3.6513002245404499E-29</v>
      </c>
      <c r="D7335" s="6">
        <v>5.2214387547452899E-28</v>
      </c>
      <c r="E7335" s="3" t="s">
        <v>2776</v>
      </c>
      <c r="F7335" s="3" t="s">
        <v>2777</v>
      </c>
      <c r="G7335" s="3">
        <v>66929</v>
      </c>
      <c r="H7335" s="7" t="str">
        <f>HYPERLINK("http://www.ensembl.org/Mus_musculus/Gene/Summary?db=core;g=ENSMUSG00000005470","ENSMUSG00000005470")</f>
        <v>ENSMUSG00000005470</v>
      </c>
      <c r="I7335" s="7" t="str">
        <f>HYPERLINK("http://www.informatics.jax.org/marker/MGI:1914179","MGI:1914179")</f>
        <v>MGI:1914179</v>
      </c>
      <c r="J7335" s="4" t="s">
        <v>12</v>
      </c>
    </row>
    <row r="7336" spans="1:10" x14ac:dyDescent="0.25">
      <c r="A7336" s="2">
        <v>901.15062658884005</v>
      </c>
      <c r="B7336" s="3">
        <v>-0.95460048582373003</v>
      </c>
      <c r="C7336" s="5">
        <v>3.36802943449661E-34</v>
      </c>
      <c r="D7336" s="6">
        <v>5.6767128588267597E-33</v>
      </c>
      <c r="E7336" s="3" t="s">
        <v>2357</v>
      </c>
      <c r="F7336" s="3" t="s">
        <v>2358</v>
      </c>
      <c r="G7336" s="3">
        <v>68816</v>
      </c>
      <c r="H7336" s="7" t="str">
        <f>HYPERLINK("http://www.ensembl.org/Mus_musculus/Gene/Summary?db=core;g=ENSMUSG00000024007","ENSMUSG00000024007")</f>
        <v>ENSMUSG00000024007</v>
      </c>
      <c r="I7336" s="7" t="str">
        <f>HYPERLINK("http://www.informatics.jax.org/marker/MGI:1916066","MGI:1916066")</f>
        <v>MGI:1916066</v>
      </c>
      <c r="J7336" s="4" t="s">
        <v>12</v>
      </c>
    </row>
    <row r="7337" spans="1:10" x14ac:dyDescent="0.25">
      <c r="A7337" s="2">
        <v>429.66170231272002</v>
      </c>
      <c r="B7337" s="3">
        <v>-0.95571271688152704</v>
      </c>
      <c r="C7337" s="5">
        <v>3.1181908129823498E-29</v>
      </c>
      <c r="D7337" s="6">
        <v>4.4818311102049603E-28</v>
      </c>
      <c r="E7337" s="3" t="s">
        <v>2762</v>
      </c>
      <c r="F7337" s="3" t="s">
        <v>2763</v>
      </c>
      <c r="G7337" s="3">
        <v>17305</v>
      </c>
      <c r="H7337" s="7" t="str">
        <f>HYPERLINK("http://www.ensembl.org/Mus_musculus/Gene/Summary?db=core;g=ENSMUSG00000018169","ENSMUSG00000018169")</f>
        <v>ENSMUSG00000018169</v>
      </c>
      <c r="I7337" s="7" t="str">
        <f>HYPERLINK("http://www.informatics.jax.org/marker/MGI:1095404","MGI:1095404")</f>
        <v>MGI:1095404</v>
      </c>
      <c r="J7337" s="4" t="s">
        <v>12</v>
      </c>
    </row>
    <row r="7338" spans="1:10" x14ac:dyDescent="0.25">
      <c r="A7338" s="2">
        <v>59.317874514121698</v>
      </c>
      <c r="B7338" s="3">
        <v>-0.95572356951388504</v>
      </c>
      <c r="C7338" s="5">
        <v>5.6068095356746802E-8</v>
      </c>
      <c r="D7338" s="6">
        <v>2.59362617976788E-7</v>
      </c>
      <c r="E7338" s="3" t="s">
        <v>8543</v>
      </c>
      <c r="F7338" s="3" t="s">
        <v>8544</v>
      </c>
      <c r="G7338" s="3">
        <v>244853</v>
      </c>
      <c r="H7338" s="7" t="str">
        <f>HYPERLINK("http://www.ensembl.org/Mus_musculus/Gene/Summary?db=core;g=ENSMUSG00000044229","ENSMUSG00000044229")</f>
        <v>ENSMUSG00000044229</v>
      </c>
      <c r="I7338" s="7" t="str">
        <f>HYPERLINK("http://www.informatics.jax.org/marker/MGI:1924792","MGI:1924792")</f>
        <v>MGI:1924792</v>
      </c>
      <c r="J7338" s="4" t="s">
        <v>12</v>
      </c>
    </row>
    <row r="7339" spans="1:10" x14ac:dyDescent="0.25">
      <c r="A7339" s="2">
        <v>517.62664060897998</v>
      </c>
      <c r="B7339" s="3">
        <v>-0.95579425641016302</v>
      </c>
      <c r="C7339" s="5">
        <v>2.0790154965124101E-24</v>
      </c>
      <c r="D7339" s="6">
        <v>2.4832335306617E-23</v>
      </c>
      <c r="E7339" s="3" t="s">
        <v>3322</v>
      </c>
      <c r="F7339" s="3" t="s">
        <v>3323</v>
      </c>
      <c r="G7339" s="3">
        <v>101631</v>
      </c>
      <c r="H7339" s="7" t="str">
        <f>HYPERLINK("http://www.ensembl.org/Mus_musculus/Gene/Summary?db=core;g=ENSMUSG00000060260","ENSMUSG00000060260")</f>
        <v>ENSMUSG00000060260</v>
      </c>
      <c r="I7339" s="7" t="str">
        <f>HYPERLINK("http://www.informatics.jax.org/marker/MGI:2142008","MGI:2142008")</f>
        <v>MGI:2142008</v>
      </c>
      <c r="J7339" s="4" t="s">
        <v>12</v>
      </c>
    </row>
    <row r="7340" spans="1:10" x14ac:dyDescent="0.25">
      <c r="A7340" s="2">
        <v>99.186691327155899</v>
      </c>
      <c r="B7340" s="3">
        <v>-0.95690703644980402</v>
      </c>
      <c r="C7340" s="5">
        <v>7.5222696725142001E-10</v>
      </c>
      <c r="D7340" s="6">
        <v>4.0685451986280801E-9</v>
      </c>
      <c r="E7340" s="3" t="s">
        <v>7310</v>
      </c>
      <c r="F7340" s="3" t="s">
        <v>7311</v>
      </c>
      <c r="G7340" s="3">
        <v>18230</v>
      </c>
      <c r="H7340" s="7" t="str">
        <f>HYPERLINK("http://www.ensembl.org/Mus_musculus/Gene/Summary?db=core;g=ENSMUSG00000020844","ENSMUSG00000020844")</f>
        <v>ENSMUSG00000020844</v>
      </c>
      <c r="I7340" s="7" t="str">
        <f>HYPERLINK("http://www.informatics.jax.org/marker/MGI:109331","MGI:109331")</f>
        <v>MGI:109331</v>
      </c>
      <c r="J7340" s="4" t="s">
        <v>12</v>
      </c>
    </row>
    <row r="7341" spans="1:10" x14ac:dyDescent="0.25">
      <c r="A7341" s="2">
        <v>6.5421266679400398</v>
      </c>
      <c r="B7341" s="3">
        <v>-0.95734634998516999</v>
      </c>
      <c r="C7341" s="3">
        <v>1.5890114694521101E-2</v>
      </c>
      <c r="D7341" s="4">
        <v>3.7913256113243303E-2</v>
      </c>
      <c r="E7341" s="3" t="s">
        <v>16533</v>
      </c>
      <c r="F7341" s="3" t="s">
        <v>16534</v>
      </c>
      <c r="G7341" s="3">
        <v>233046</v>
      </c>
      <c r="H7341" s="7" t="str">
        <f>HYPERLINK("http://www.ensembl.org/Mus_musculus/Gene/Summary?db=core;g=ENSMUSG00000030589","ENSMUSG00000030589")</f>
        <v>ENSMUSG00000030589</v>
      </c>
      <c r="I7341" s="7" t="str">
        <f>HYPERLINK("http://www.informatics.jax.org/marker/MGI:2386851","MGI:2386851")</f>
        <v>MGI:2386851</v>
      </c>
      <c r="J7341" s="4" t="s">
        <v>12</v>
      </c>
    </row>
    <row r="7342" spans="1:10" x14ac:dyDescent="0.25">
      <c r="A7342" s="2">
        <v>20.615447827379601</v>
      </c>
      <c r="B7342" s="3">
        <v>-0.95747428046532601</v>
      </c>
      <c r="C7342" s="3">
        <v>2.3822139102450899E-4</v>
      </c>
      <c r="D7342" s="4">
        <v>7.6585031480328099E-4</v>
      </c>
      <c r="E7342" s="3" t="s">
        <v>12277</v>
      </c>
      <c r="F7342" s="3" t="s">
        <v>12278</v>
      </c>
      <c r="G7342" s="3">
        <v>239319</v>
      </c>
      <c r="H7342" s="7" t="str">
        <f>HYPERLINK("http://www.ensembl.org/Mus_musculus/Gene/Summary?db=core;g=ENSMUSG00000041849","ENSMUSG00000041849")</f>
        <v>ENSMUSG00000041849</v>
      </c>
      <c r="I7342" s="7" t="str">
        <f>HYPERLINK("http://www.informatics.jax.org/marker/MGI:3032959","MGI:3032959")</f>
        <v>MGI:3032959</v>
      </c>
      <c r="J7342" s="4" t="s">
        <v>12</v>
      </c>
    </row>
    <row r="7343" spans="1:10" x14ac:dyDescent="0.25">
      <c r="A7343" s="2">
        <v>222.41725146363899</v>
      </c>
      <c r="B7343" s="3">
        <v>-0.95782992964625402</v>
      </c>
      <c r="C7343" s="5">
        <v>1.6010189495163999E-17</v>
      </c>
      <c r="D7343" s="6">
        <v>1.4082111366843601E-16</v>
      </c>
      <c r="E7343" s="3" t="s">
        <v>4501</v>
      </c>
      <c r="F7343" s="3" t="s">
        <v>4502</v>
      </c>
      <c r="G7343" s="3">
        <v>102443350</v>
      </c>
      <c r="H7343" s="7" t="str">
        <f>HYPERLINK("http://www.ensembl.org/Mus_musculus/Gene/Summary?db=core;g=ENSMUSG00000099481","ENSMUSG00000099481")</f>
        <v>ENSMUSG00000099481</v>
      </c>
      <c r="I7343" s="7" t="str">
        <f>HYPERLINK("http://www.informatics.jax.org/marker/MGI:5546359","MGI:5546359")</f>
        <v>MGI:5546359</v>
      </c>
      <c r="J7343" s="4" t="s">
        <v>12</v>
      </c>
    </row>
    <row r="7344" spans="1:10" x14ac:dyDescent="0.25">
      <c r="A7344" s="2">
        <v>19.282963300778299</v>
      </c>
      <c r="B7344" s="3">
        <v>-0.95802688414528503</v>
      </c>
      <c r="C7344" s="5">
        <v>8.4051001244234898E-5</v>
      </c>
      <c r="D7344" s="4">
        <v>2.8552726004070798E-4</v>
      </c>
      <c r="E7344" s="3" t="s">
        <v>11621</v>
      </c>
      <c r="F7344" s="3" t="s">
        <v>11622</v>
      </c>
      <c r="G7344" s="3">
        <v>20342</v>
      </c>
      <c r="H7344" s="7" t="str">
        <f>HYPERLINK("http://www.ensembl.org/Mus_musculus/Gene/Summary?db=core;g=ENSMUSG00000068877","ENSMUSG00000068877")</f>
        <v>ENSMUSG00000068877</v>
      </c>
      <c r="I7344" s="7" t="str">
        <f>HYPERLINK("http://www.informatics.jax.org/marker/MGI:104859","MGI:104859")</f>
        <v>MGI:104859</v>
      </c>
      <c r="J7344" s="4" t="s">
        <v>12</v>
      </c>
    </row>
    <row r="7345" spans="1:10" x14ac:dyDescent="0.25">
      <c r="A7345" s="2">
        <v>469.438614842265</v>
      </c>
      <c r="B7345" s="3">
        <v>-0.95829380956190502</v>
      </c>
      <c r="C7345" s="5">
        <v>1.7198590897712799E-22</v>
      </c>
      <c r="D7345" s="6">
        <v>1.9107392253684301E-21</v>
      </c>
      <c r="E7345" s="3" t="s">
        <v>3568</v>
      </c>
      <c r="F7345" s="3" t="s">
        <v>3569</v>
      </c>
      <c r="G7345" s="3">
        <v>68718</v>
      </c>
      <c r="H7345" s="7" t="str">
        <f>HYPERLINK("http://www.ensembl.org/Mus_musculus/Gene/Summary?db=core;g=ENSMUSG00000014470","ENSMUSG00000014470")</f>
        <v>ENSMUSG00000014470</v>
      </c>
      <c r="I7345" s="7" t="str">
        <f>HYPERLINK("http://www.informatics.jax.org/marker/MGI:1915968","MGI:1915968")</f>
        <v>MGI:1915968</v>
      </c>
      <c r="J7345" s="4" t="s">
        <v>12</v>
      </c>
    </row>
    <row r="7346" spans="1:10" x14ac:dyDescent="0.25">
      <c r="A7346" s="2">
        <v>676.34324914967601</v>
      </c>
      <c r="B7346" s="3">
        <v>-0.95832736333416402</v>
      </c>
      <c r="C7346" s="5">
        <v>3.2922089172652801E-23</v>
      </c>
      <c r="D7346" s="6">
        <v>3.7527375634954501E-22</v>
      </c>
      <c r="E7346" s="3" t="s">
        <v>3478</v>
      </c>
      <c r="F7346" s="3" t="s">
        <v>3479</v>
      </c>
      <c r="G7346" s="3">
        <v>235633</v>
      </c>
      <c r="H7346" s="7" t="str">
        <f>HYPERLINK("http://www.ensembl.org/Mus_musculus/Gene/Summary?db=core;g=ENSMUSG00000044037","ENSMUSG00000044037")</f>
        <v>ENSMUSG00000044037</v>
      </c>
      <c r="I7346" s="7" t="str">
        <f>HYPERLINK("http://www.informatics.jax.org/marker/MGI:2447532","MGI:2447532")</f>
        <v>MGI:2447532</v>
      </c>
      <c r="J7346" s="4" t="s">
        <v>12</v>
      </c>
    </row>
    <row r="7347" spans="1:10" x14ac:dyDescent="0.25">
      <c r="A7347" s="2">
        <v>6.3537989356712998</v>
      </c>
      <c r="B7347" s="3">
        <v>-0.95834937669653297</v>
      </c>
      <c r="C7347" s="3">
        <v>9.7951553931188602E-3</v>
      </c>
      <c r="D7347" s="4">
        <v>2.4419780575512501E-2</v>
      </c>
      <c r="E7347" s="3" t="s">
        <v>15825</v>
      </c>
      <c r="F7347" s="3" t="s">
        <v>15826</v>
      </c>
      <c r="G7347" s="3" t="s">
        <v>83</v>
      </c>
      <c r="H7347" s="7" t="str">
        <f>HYPERLINK("http://www.ensembl.org/Mus_musculus/Gene/Summary?db=core;g=ENSMUSG00000083811","ENSMUSG00000083811")</f>
        <v>ENSMUSG00000083811</v>
      </c>
      <c r="I7347" s="7" t="str">
        <f>HYPERLINK("http://www.informatics.jax.org/marker/MGI:3651971","MGI:3651971")</f>
        <v>MGI:3651971</v>
      </c>
      <c r="J7347" s="4" t="s">
        <v>1043</v>
      </c>
    </row>
    <row r="7348" spans="1:10" x14ac:dyDescent="0.25">
      <c r="A7348" s="2">
        <v>215.29307614902001</v>
      </c>
      <c r="B7348" s="3">
        <v>-0.95845020380455503</v>
      </c>
      <c r="C7348" s="5">
        <v>2.3989207937567801E-25</v>
      </c>
      <c r="D7348" s="6">
        <v>2.96037034123178E-24</v>
      </c>
      <c r="E7348" s="3" t="s">
        <v>3216</v>
      </c>
      <c r="F7348" s="3" t="s">
        <v>3217</v>
      </c>
      <c r="G7348" s="3">
        <v>22591</v>
      </c>
      <c r="H7348" s="7" t="str">
        <f>HYPERLINK("http://www.ensembl.org/Mus_musculus/Gene/Summary?db=core;g=ENSMUSG00000030094","ENSMUSG00000030094")</f>
        <v>ENSMUSG00000030094</v>
      </c>
      <c r="I7348" s="7" t="str">
        <f>HYPERLINK("http://www.informatics.jax.org/marker/MGI:103557","MGI:103557")</f>
        <v>MGI:103557</v>
      </c>
      <c r="J7348" s="4" t="s">
        <v>12</v>
      </c>
    </row>
    <row r="7349" spans="1:10" x14ac:dyDescent="0.25">
      <c r="A7349" s="2">
        <v>266.39667487877699</v>
      </c>
      <c r="B7349" s="3">
        <v>-0.95880250635945996</v>
      </c>
      <c r="C7349" s="5">
        <v>8.1937461650367908E-18</v>
      </c>
      <c r="D7349" s="6">
        <v>7.3279217403413002E-17</v>
      </c>
      <c r="E7349" s="3" t="s">
        <v>4427</v>
      </c>
      <c r="F7349" s="3" t="s">
        <v>4428</v>
      </c>
      <c r="G7349" s="3">
        <v>232539</v>
      </c>
      <c r="H7349" s="7" t="str">
        <f>HYPERLINK("http://www.ensembl.org/Mus_musculus/Gene/Summary?db=core;g=ENSMUSG00000040102","ENSMUSG00000040102")</f>
        <v>ENSMUSG00000040102</v>
      </c>
      <c r="I7349" s="7" t="str">
        <f>HYPERLINK("http://www.informatics.jax.org/marker/MGI:2444786","MGI:2444786")</f>
        <v>MGI:2444786</v>
      </c>
      <c r="J7349" s="4" t="s">
        <v>12</v>
      </c>
    </row>
    <row r="7350" spans="1:10" x14ac:dyDescent="0.25">
      <c r="A7350" s="2">
        <v>3769.7228584891</v>
      </c>
      <c r="B7350" s="3">
        <v>-0.95911528470687002</v>
      </c>
      <c r="C7350" s="5">
        <v>4.7177127324612798E-50</v>
      </c>
      <c r="D7350" s="6">
        <v>1.27268529526862E-48</v>
      </c>
      <c r="E7350" s="3" t="s">
        <v>1478</v>
      </c>
      <c r="F7350" s="3" t="s">
        <v>1479</v>
      </c>
      <c r="G7350" s="3">
        <v>16825</v>
      </c>
      <c r="H7350" s="7" t="str">
        <f>HYPERLINK("http://www.ensembl.org/Mus_musculus/Gene/Summary?db=core;g=ENSMUSG00000025223","ENSMUSG00000025223")</f>
        <v>ENSMUSG00000025223</v>
      </c>
      <c r="I7350" s="7" t="str">
        <f>HYPERLINK("http://www.informatics.jax.org/marker/MGI:894762","MGI:894762")</f>
        <v>MGI:894762</v>
      </c>
      <c r="J7350" s="4" t="s">
        <v>12</v>
      </c>
    </row>
    <row r="7351" spans="1:10" x14ac:dyDescent="0.25">
      <c r="A7351" s="2">
        <v>3266.2407018276299</v>
      </c>
      <c r="B7351" s="3">
        <v>-0.96059878450704195</v>
      </c>
      <c r="C7351" s="5">
        <v>2.1903872344739302E-78</v>
      </c>
      <c r="D7351" s="6">
        <v>1.22711466658596E-76</v>
      </c>
      <c r="E7351" s="3" t="s">
        <v>716</v>
      </c>
      <c r="F7351" s="3" t="s">
        <v>717</v>
      </c>
      <c r="G7351" s="3">
        <v>13688</v>
      </c>
      <c r="H7351" s="7" t="str">
        <f>HYPERLINK("http://www.ensembl.org/Mus_musculus/Gene/Summary?db=core;g=ENSMUSG00000020091","ENSMUSG00000020091")</f>
        <v>ENSMUSG00000020091</v>
      </c>
      <c r="I7351" s="7" t="str">
        <f>HYPERLINK("http://www.informatics.jax.org/marker/MGI:109198","MGI:109198")</f>
        <v>MGI:109198</v>
      </c>
      <c r="J7351" s="4" t="s">
        <v>12</v>
      </c>
    </row>
    <row r="7352" spans="1:10" x14ac:dyDescent="0.25">
      <c r="A7352" s="2">
        <v>87.698987543224007</v>
      </c>
      <c r="B7352" s="3">
        <v>-0.96159993770740004</v>
      </c>
      <c r="C7352" s="5">
        <v>4.3198636238599501E-13</v>
      </c>
      <c r="D7352" s="6">
        <v>2.9640817906234601E-12</v>
      </c>
      <c r="E7352" s="3" t="s">
        <v>5765</v>
      </c>
      <c r="F7352" s="3" t="s">
        <v>5766</v>
      </c>
      <c r="G7352" s="3">
        <v>240064</v>
      </c>
      <c r="H7352" s="7" t="str">
        <f>HYPERLINK("http://www.ensembl.org/Mus_musculus/Gene/Summary?db=core;g=ENSMUSG00000095253","ENSMUSG00000095253")</f>
        <v>ENSMUSG00000095253</v>
      </c>
      <c r="I7352" s="7" t="str">
        <f>HYPERLINK("http://www.informatics.jax.org/marker/MGI:2443934","MGI:2443934")</f>
        <v>MGI:2443934</v>
      </c>
      <c r="J7352" s="4" t="s">
        <v>12</v>
      </c>
    </row>
    <row r="7353" spans="1:10" x14ac:dyDescent="0.25">
      <c r="A7353" s="2">
        <v>729.02988554995898</v>
      </c>
      <c r="B7353" s="3">
        <v>-0.96174544435301101</v>
      </c>
      <c r="C7353" s="5">
        <v>8.28642405431523E-29</v>
      </c>
      <c r="D7353" s="6">
        <v>1.1739100743613199E-27</v>
      </c>
      <c r="E7353" s="3" t="s">
        <v>2802</v>
      </c>
      <c r="F7353" s="3" t="s">
        <v>2803</v>
      </c>
      <c r="G7353" s="3">
        <v>237860</v>
      </c>
      <c r="H7353" s="7" t="str">
        <f>HYPERLINK("http://www.ensembl.org/Mus_musculus/Gene/Summary?db=core;g=ENSMUSG00000037926","ENSMUSG00000037926")</f>
        <v>ENSMUSG00000037926</v>
      </c>
      <c r="I7353" s="7" t="str">
        <f>HYPERLINK("http://www.informatics.jax.org/marker/MGI:2679255","MGI:2679255")</f>
        <v>MGI:2679255</v>
      </c>
      <c r="J7353" s="4" t="s">
        <v>12</v>
      </c>
    </row>
    <row r="7354" spans="1:10" x14ac:dyDescent="0.25">
      <c r="A7354" s="2">
        <v>784.39874596991297</v>
      </c>
      <c r="B7354" s="3">
        <v>-0.96195051000110099</v>
      </c>
      <c r="C7354" s="5">
        <v>7.0067019036619503E-38</v>
      </c>
      <c r="D7354" s="6">
        <v>1.3324220013521101E-36</v>
      </c>
      <c r="E7354" s="3" t="s">
        <v>2091</v>
      </c>
      <c r="F7354" s="3" t="s">
        <v>2092</v>
      </c>
      <c r="G7354" s="3">
        <v>67078</v>
      </c>
      <c r="H7354" s="7" t="str">
        <f>HYPERLINK("http://www.ensembl.org/Mus_musculus/Gene/Summary?db=core;g=ENSMUSG00000043445","ENSMUSG00000043445")</f>
        <v>ENSMUSG00000043445</v>
      </c>
      <c r="I7354" s="7" t="str">
        <f>HYPERLINK("http://www.informatics.jax.org/marker/MGI:1914328","MGI:1914328")</f>
        <v>MGI:1914328</v>
      </c>
      <c r="J7354" s="4" t="s">
        <v>12</v>
      </c>
    </row>
    <row r="7355" spans="1:10" x14ac:dyDescent="0.25">
      <c r="A7355" s="2">
        <v>80.823837716689596</v>
      </c>
      <c r="B7355" s="3">
        <v>-0.96246947457270604</v>
      </c>
      <c r="C7355" s="5">
        <v>2.69994768563147E-9</v>
      </c>
      <c r="D7355" s="6">
        <v>1.3974532378124E-8</v>
      </c>
      <c r="E7355" s="3" t="s">
        <v>7636</v>
      </c>
      <c r="F7355" s="3" t="s">
        <v>7637</v>
      </c>
      <c r="G7355" s="3" t="s">
        <v>83</v>
      </c>
      <c r="H7355" s="7" t="str">
        <f>HYPERLINK("http://www.ensembl.org/Mus_musculus/Gene/Summary?db=core;g=ENSMUSG00000056145","ENSMUSG00000056145")</f>
        <v>ENSMUSG00000056145</v>
      </c>
      <c r="I7355" s="7" t="str">
        <f>HYPERLINK("http://www.informatics.jax.org/marker/MGI:2139742","MGI:2139742")</f>
        <v>MGI:2139742</v>
      </c>
      <c r="J7355" s="4" t="s">
        <v>939</v>
      </c>
    </row>
    <row r="7356" spans="1:10" x14ac:dyDescent="0.25">
      <c r="A7356" s="2">
        <v>80.579293263125507</v>
      </c>
      <c r="B7356" s="3">
        <v>-0.96266444190482403</v>
      </c>
      <c r="C7356" s="5">
        <v>6.3789407898396902E-11</v>
      </c>
      <c r="D7356" s="6">
        <v>3.7583720458810497E-10</v>
      </c>
      <c r="E7356" s="3" t="s">
        <v>6711</v>
      </c>
      <c r="F7356" s="3" t="s">
        <v>6712</v>
      </c>
      <c r="G7356" s="3">
        <v>71924</v>
      </c>
      <c r="H7356" s="7" t="str">
        <f>HYPERLINK("http://www.ensembl.org/Mus_musculus/Gene/Summary?db=core;g=ENSMUSG00000019845","ENSMUSG00000019845")</f>
        <v>ENSMUSG00000019845</v>
      </c>
      <c r="I7356" s="7" t="str">
        <f>HYPERLINK("http://www.informatics.jax.org/marker/MGI:1919174","MGI:1919174")</f>
        <v>MGI:1919174</v>
      </c>
      <c r="J7356" s="4" t="s">
        <v>12</v>
      </c>
    </row>
    <row r="7357" spans="1:10" x14ac:dyDescent="0.25">
      <c r="A7357" s="2">
        <v>165.47892050988301</v>
      </c>
      <c r="B7357" s="3">
        <v>-0.96274866047864904</v>
      </c>
      <c r="C7357" s="5">
        <v>4.8790806988966797E-16</v>
      </c>
      <c r="D7357" s="6">
        <v>3.9448737754097003E-15</v>
      </c>
      <c r="E7357" s="3" t="s">
        <v>4895</v>
      </c>
      <c r="F7357" s="3" t="s">
        <v>4896</v>
      </c>
      <c r="G7357" s="3">
        <v>237211</v>
      </c>
      <c r="H7357" s="7" t="str">
        <f>HYPERLINK("http://www.ensembl.org/Mus_musculus/Gene/Summary?db=core;g=ENSMUSG00000047757","ENSMUSG00000047757")</f>
        <v>ENSMUSG00000047757</v>
      </c>
      <c r="I7357" s="7" t="str">
        <f>HYPERLINK("http://www.informatics.jax.org/marker/MGI:2448558","MGI:2448558")</f>
        <v>MGI:2448558</v>
      </c>
      <c r="J7357" s="4" t="s">
        <v>12</v>
      </c>
    </row>
    <row r="7358" spans="1:10" x14ac:dyDescent="0.25">
      <c r="A7358" s="2">
        <v>95.027650573931297</v>
      </c>
      <c r="B7358" s="3">
        <v>-0.96387958927803297</v>
      </c>
      <c r="C7358" s="5">
        <v>1.66692632516507E-10</v>
      </c>
      <c r="D7358" s="6">
        <v>9.5363467166391295E-10</v>
      </c>
      <c r="E7358" s="3" t="s">
        <v>6912</v>
      </c>
      <c r="F7358" s="3" t="s">
        <v>6913</v>
      </c>
      <c r="G7358" s="3">
        <v>70603</v>
      </c>
      <c r="H7358" s="7" t="str">
        <f>HYPERLINK("http://www.ensembl.org/Mus_musculus/Gene/Summary?db=core;g=ENSMUSG00000028687","ENSMUSG00000028687")</f>
        <v>ENSMUSG00000028687</v>
      </c>
      <c r="I7358" s="7" t="str">
        <f>HYPERLINK("http://www.informatics.jax.org/marker/MGI:1917853","MGI:1917853")</f>
        <v>MGI:1917853</v>
      </c>
      <c r="J7358" s="4" t="s">
        <v>12</v>
      </c>
    </row>
    <row r="7359" spans="1:10" x14ac:dyDescent="0.25">
      <c r="A7359" s="2">
        <v>4.0836792405960498</v>
      </c>
      <c r="B7359" s="3">
        <v>-0.96430135593576904</v>
      </c>
      <c r="C7359" s="3">
        <v>1.8429657859564099E-2</v>
      </c>
      <c r="D7359" s="4">
        <v>4.3348384183039497E-2</v>
      </c>
      <c r="E7359" s="3" t="s">
        <v>16772</v>
      </c>
      <c r="F7359" s="3" t="s">
        <v>16773</v>
      </c>
      <c r="G7359" s="3">
        <v>74734</v>
      </c>
      <c r="H7359" s="7" t="str">
        <f>HYPERLINK("http://www.ensembl.org/Mus_musculus/Gene/Summary?db=core;g=ENSMUSG00000029204","ENSMUSG00000029204")</f>
        <v>ENSMUSG00000029204</v>
      </c>
      <c r="I7359" s="7" t="str">
        <f>HYPERLINK("http://www.informatics.jax.org/marker/MGI:1921984","MGI:1921984")</f>
        <v>MGI:1921984</v>
      </c>
      <c r="J7359" s="4" t="s">
        <v>12</v>
      </c>
    </row>
    <row r="7360" spans="1:10" x14ac:dyDescent="0.25">
      <c r="A7360" s="2">
        <v>127.786428984518</v>
      </c>
      <c r="B7360" s="3">
        <v>-0.96469629848586902</v>
      </c>
      <c r="C7360" s="5">
        <v>8.0373593284563294E-12</v>
      </c>
      <c r="D7360" s="6">
        <v>5.06055957717621E-11</v>
      </c>
      <c r="E7360" s="3" t="s">
        <v>6281</v>
      </c>
      <c r="F7360" s="3" t="s">
        <v>6282</v>
      </c>
      <c r="G7360" s="3">
        <v>68876</v>
      </c>
      <c r="H7360" s="7" t="str">
        <f>HYPERLINK("http://www.ensembl.org/Mus_musculus/Gene/Summary?db=core;g=ENSMUSG00000025436","ENSMUSG00000025436")</f>
        <v>ENSMUSG00000025436</v>
      </c>
      <c r="I7360" s="7" t="str">
        <f>HYPERLINK("http://www.informatics.jax.org/marker/MGI:1916984","MGI:1916984")</f>
        <v>MGI:1916984</v>
      </c>
      <c r="J7360" s="4" t="s">
        <v>12</v>
      </c>
    </row>
    <row r="7361" spans="1:10" x14ac:dyDescent="0.25">
      <c r="A7361" s="2">
        <v>84.412662450935102</v>
      </c>
      <c r="B7361" s="3">
        <v>-0.96565346463658897</v>
      </c>
      <c r="C7361" s="5">
        <v>2.5278353617397901E-11</v>
      </c>
      <c r="D7361" s="6">
        <v>1.53807199424587E-10</v>
      </c>
      <c r="E7361" s="3" t="s">
        <v>6499</v>
      </c>
      <c r="F7361" s="3" t="s">
        <v>6500</v>
      </c>
      <c r="G7361" s="3">
        <v>227154</v>
      </c>
      <c r="H7361" s="7" t="str">
        <f>HYPERLINK("http://www.ensembl.org/Mus_musculus/Gene/Summary?db=core;g=ENSMUSG00000026027","ENSMUSG00000026027")</f>
        <v>ENSMUSG00000026027</v>
      </c>
      <c r="I7361" s="7" t="str">
        <f>HYPERLINK("http://www.informatics.jax.org/marker/MGI:2144047","MGI:2144047")</f>
        <v>MGI:2144047</v>
      </c>
      <c r="J7361" s="4" t="s">
        <v>12</v>
      </c>
    </row>
    <row r="7362" spans="1:10" x14ac:dyDescent="0.25">
      <c r="A7362" s="2">
        <v>10.8775764948694</v>
      </c>
      <c r="B7362" s="3">
        <v>-0.96631255790730197</v>
      </c>
      <c r="C7362" s="3">
        <v>9.5032084493812397E-3</v>
      </c>
      <c r="D7362" s="4">
        <v>2.3748988800126498E-2</v>
      </c>
      <c r="E7362" s="3" t="s">
        <v>15787</v>
      </c>
      <c r="F7362" s="3" t="s">
        <v>15788</v>
      </c>
      <c r="G7362" s="3">
        <v>67753</v>
      </c>
      <c r="H7362" s="7" t="str">
        <f>HYPERLINK("http://www.ensembl.org/Mus_musculus/Gene/Summary?db=core;g=ENSMUSG00000028575","ENSMUSG00000028575")</f>
        <v>ENSMUSG00000028575</v>
      </c>
      <c r="I7362" s="7" t="str">
        <f>HYPERLINK("http://www.informatics.jax.org/marker/MGI:1915003","MGI:1915003")</f>
        <v>MGI:1915003</v>
      </c>
      <c r="J7362" s="4" t="s">
        <v>12</v>
      </c>
    </row>
    <row r="7363" spans="1:10" x14ac:dyDescent="0.25">
      <c r="A7363" s="2">
        <v>528.78569418050199</v>
      </c>
      <c r="B7363" s="3">
        <v>-0.96746879526730201</v>
      </c>
      <c r="C7363" s="5">
        <v>1.4103109900094599E-25</v>
      </c>
      <c r="D7363" s="6">
        <v>1.7624418709116901E-24</v>
      </c>
      <c r="E7363" s="3" t="s">
        <v>3175</v>
      </c>
      <c r="F7363" s="3" t="s">
        <v>3176</v>
      </c>
      <c r="G7363" s="3">
        <v>235380</v>
      </c>
      <c r="H7363" s="7" t="str">
        <f>HYPERLINK("http://www.ensembl.org/Mus_musculus/Gene/Summary?db=core;g=ENSMUSG00000041268","ENSMUSG00000041268")</f>
        <v>ENSMUSG00000041268</v>
      </c>
      <c r="I7363" s="7" t="str">
        <f>HYPERLINK("http://www.informatics.jax.org/marker/MGI:2444630","MGI:2444630")</f>
        <v>MGI:2444630</v>
      </c>
      <c r="J7363" s="4" t="s">
        <v>12</v>
      </c>
    </row>
    <row r="7364" spans="1:10" x14ac:dyDescent="0.25">
      <c r="A7364" s="2">
        <v>1484.73032258341</v>
      </c>
      <c r="B7364" s="3">
        <v>-0.96993444551049701</v>
      </c>
      <c r="C7364" s="5">
        <v>1.0347800389281299E-46</v>
      </c>
      <c r="D7364" s="6">
        <v>2.5571256099828098E-45</v>
      </c>
      <c r="E7364" s="3" t="s">
        <v>1612</v>
      </c>
      <c r="F7364" s="3" t="s">
        <v>1613</v>
      </c>
      <c r="G7364" s="3">
        <v>68703</v>
      </c>
      <c r="H7364" s="7" t="str">
        <f>HYPERLINK("http://www.ensembl.org/Mus_musculus/Gene/Summary?db=core;g=ENSMUSG00000039852","ENSMUSG00000039852")</f>
        <v>ENSMUSG00000039852</v>
      </c>
      <c r="I7364" s="7" t="str">
        <f>HYPERLINK("http://www.informatics.jax.org/marker/MGI:2683486","MGI:2683486")</f>
        <v>MGI:2683486</v>
      </c>
      <c r="J7364" s="4" t="s">
        <v>12</v>
      </c>
    </row>
    <row r="7365" spans="1:10" x14ac:dyDescent="0.25">
      <c r="A7365" s="2">
        <v>11.3355450772446</v>
      </c>
      <c r="B7365" s="3">
        <v>-0.97026318729928895</v>
      </c>
      <c r="C7365" s="3">
        <v>1.7998328909505101E-3</v>
      </c>
      <c r="D7365" s="4">
        <v>5.1164342813239299E-3</v>
      </c>
      <c r="E7365" s="3" t="s">
        <v>13881</v>
      </c>
      <c r="F7365" s="3" t="s">
        <v>13882</v>
      </c>
      <c r="G7365" s="3" t="s">
        <v>83</v>
      </c>
      <c r="H7365" s="7" t="str">
        <f>HYPERLINK("http://www.ensembl.org/Mus_musculus/Gene/Summary?db=core;g=ENSMUSG00000086342","ENSMUSG00000086342")</f>
        <v>ENSMUSG00000086342</v>
      </c>
      <c r="I7365" s="7" t="str">
        <f>HYPERLINK("http://www.informatics.jax.org/marker/MGI:3651151","MGI:3651151")</f>
        <v>MGI:3651151</v>
      </c>
      <c r="J7365" s="4" t="s">
        <v>932</v>
      </c>
    </row>
    <row r="7366" spans="1:10" x14ac:dyDescent="0.25">
      <c r="A7366" s="2">
        <v>144.29067902051901</v>
      </c>
      <c r="B7366" s="3">
        <v>-0.97029390427333295</v>
      </c>
      <c r="C7366" s="5">
        <v>1.08222824020358E-13</v>
      </c>
      <c r="D7366" s="6">
        <v>7.7073098218904099E-13</v>
      </c>
      <c r="E7366" s="3" t="s">
        <v>5555</v>
      </c>
      <c r="F7366" s="3" t="s">
        <v>5556</v>
      </c>
      <c r="G7366" s="3">
        <v>74895</v>
      </c>
      <c r="H7366" s="7" t="str">
        <f>HYPERLINK("http://www.ensembl.org/Mus_musculus/Gene/Summary?db=core;g=ENSMUSG00000026578","ENSMUSG00000026578")</f>
        <v>ENSMUSG00000026578</v>
      </c>
      <c r="I7366" s="7" t="str">
        <f>HYPERLINK("http://www.informatics.jax.org/marker/MGI:1922145","MGI:1922145")</f>
        <v>MGI:1922145</v>
      </c>
      <c r="J7366" s="4" t="s">
        <v>12</v>
      </c>
    </row>
    <row r="7367" spans="1:10" x14ac:dyDescent="0.25">
      <c r="A7367" s="2">
        <v>143.52415967771901</v>
      </c>
      <c r="B7367" s="3">
        <v>-0.97060427328199606</v>
      </c>
      <c r="C7367" s="5">
        <v>9.6357639777246396E-17</v>
      </c>
      <c r="D7367" s="6">
        <v>8.0755319014334904E-16</v>
      </c>
      <c r="E7367" s="3" t="s">
        <v>4723</v>
      </c>
      <c r="F7367" s="3" t="s">
        <v>4724</v>
      </c>
      <c r="G7367" s="3">
        <v>78925</v>
      </c>
      <c r="H7367" s="7" t="str">
        <f>HYPERLINK("http://www.ensembl.org/Mus_musculus/Gene/Summary?db=core;g=ENSMUSG00000021594","ENSMUSG00000021594")</f>
        <v>ENSMUSG00000021594</v>
      </c>
      <c r="I7367" s="7" t="str">
        <f>HYPERLINK("http://www.informatics.jax.org/marker/MGI:98400","MGI:98400")</f>
        <v>MGI:98400</v>
      </c>
      <c r="J7367" s="4" t="s">
        <v>12</v>
      </c>
    </row>
    <row r="7368" spans="1:10" x14ac:dyDescent="0.25">
      <c r="A7368" s="2">
        <v>330.24211449958</v>
      </c>
      <c r="B7368" s="3">
        <v>-0.97083592582081102</v>
      </c>
      <c r="C7368" s="5">
        <v>3.5838726804969799E-32</v>
      </c>
      <c r="D7368" s="6">
        <v>5.6045970863917899E-31</v>
      </c>
      <c r="E7368" s="3" t="s">
        <v>2539</v>
      </c>
      <c r="F7368" s="3" t="s">
        <v>2540</v>
      </c>
      <c r="G7368" s="3">
        <v>212377</v>
      </c>
      <c r="H7368" s="7" t="str">
        <f>HYPERLINK("http://www.ensembl.org/Mus_musculus/Gene/Summary?db=core;g=ENSMUSG00000045751","ENSMUSG00000045751")</f>
        <v>ENSMUSG00000045751</v>
      </c>
      <c r="I7368" s="7" t="str">
        <f>HYPERLINK("http://www.informatics.jax.org/marker/MGI:2684980","MGI:2684980")</f>
        <v>MGI:2684980</v>
      </c>
      <c r="J7368" s="4" t="s">
        <v>12</v>
      </c>
    </row>
    <row r="7369" spans="1:10" x14ac:dyDescent="0.25">
      <c r="A7369" s="2">
        <v>58.464353275785001</v>
      </c>
      <c r="B7369" s="3">
        <v>-0.97164554929765501</v>
      </c>
      <c r="C7369" s="5">
        <v>4.2140637137328598E-8</v>
      </c>
      <c r="D7369" s="6">
        <v>1.96922598186758E-7</v>
      </c>
      <c r="E7369" s="3" t="s">
        <v>8457</v>
      </c>
      <c r="F7369" s="3" t="s">
        <v>8458</v>
      </c>
      <c r="G7369" s="3">
        <v>14760</v>
      </c>
      <c r="H7369" s="7" t="str">
        <f>HYPERLINK("http://www.ensembl.org/Mus_musculus/Gene/Summary?db=core;g=ENSMUSG00000032641","ENSMUSG00000032641")</f>
        <v>ENSMUSG00000032641</v>
      </c>
      <c r="I7369" s="7" t="str">
        <f>HYPERLINK("http://www.informatics.jax.org/marker/MGI:892973","MGI:892973")</f>
        <v>MGI:892973</v>
      </c>
      <c r="J7369" s="4" t="s">
        <v>12</v>
      </c>
    </row>
    <row r="7370" spans="1:10" x14ac:dyDescent="0.25">
      <c r="A7370" s="2">
        <v>9.3867486180096904</v>
      </c>
      <c r="B7370" s="3">
        <v>-0.97182777461911896</v>
      </c>
      <c r="C7370" s="3">
        <v>6.6361478908564097E-3</v>
      </c>
      <c r="D7370" s="4">
        <v>1.7095341137516401E-2</v>
      </c>
      <c r="E7370" s="3" t="s">
        <v>15315</v>
      </c>
      <c r="F7370" s="3" t="s">
        <v>15316</v>
      </c>
      <c r="G7370" s="3">
        <v>66568</v>
      </c>
      <c r="H7370" s="7" t="str">
        <f>HYPERLINK("http://www.ensembl.org/Mus_musculus/Gene/Summary?db=core;g=ENSMUSG00000028133","ENSMUSG00000028133")</f>
        <v>ENSMUSG00000028133</v>
      </c>
      <c r="I7370" s="7" t="str">
        <f>HYPERLINK("http://www.informatics.jax.org/marker/MGI:1920420","MGI:1920420")</f>
        <v>MGI:1920420</v>
      </c>
      <c r="J7370" s="4" t="s">
        <v>12</v>
      </c>
    </row>
    <row r="7371" spans="1:10" x14ac:dyDescent="0.25">
      <c r="A7371" s="2">
        <v>831.79525811869303</v>
      </c>
      <c r="B7371" s="3">
        <v>-0.97221498438646103</v>
      </c>
      <c r="C7371" s="5">
        <v>4.8807180851478302E-77</v>
      </c>
      <c r="D7371" s="6">
        <v>2.6441692483273399E-75</v>
      </c>
      <c r="E7371" s="3" t="s">
        <v>740</v>
      </c>
      <c r="F7371" s="3" t="s">
        <v>741</v>
      </c>
      <c r="G7371" s="3">
        <v>210992</v>
      </c>
      <c r="H7371" s="7" t="str">
        <f>HYPERLINK("http://www.ensembl.org/Mus_musculus/Gene/Summary?db=core;g=ENSMUSG00000021608","ENSMUSG00000021608")</f>
        <v>ENSMUSG00000021608</v>
      </c>
      <c r="I7371" s="7" t="str">
        <f>HYPERLINK("http://www.informatics.jax.org/marker/MGI:2384812","MGI:2384812")</f>
        <v>MGI:2384812</v>
      </c>
      <c r="J7371" s="4" t="s">
        <v>12</v>
      </c>
    </row>
    <row r="7372" spans="1:10" x14ac:dyDescent="0.25">
      <c r="A7372" s="2">
        <v>10.0059913981117</v>
      </c>
      <c r="B7372" s="3">
        <v>-0.97232587421046501</v>
      </c>
      <c r="C7372" s="3">
        <v>2.7307117138518802E-3</v>
      </c>
      <c r="D7372" s="4">
        <v>7.5451359110493199E-3</v>
      </c>
      <c r="E7372" s="3" t="s">
        <v>14279</v>
      </c>
      <c r="F7372" s="3" t="s">
        <v>14280</v>
      </c>
      <c r="G7372" s="3">
        <v>80720</v>
      </c>
      <c r="H7372" s="7" t="str">
        <f>HYPERLINK("http://www.ensembl.org/Mus_musculus/Gene/Summary?db=core;g=ENSMUSG00000031860","ENSMUSG00000031860")</f>
        <v>ENSMUSG00000031860</v>
      </c>
      <c r="I7372" s="7" t="str">
        <f>HYPERLINK("http://www.informatics.jax.org/marker/MGI:1931321","MGI:1931321")</f>
        <v>MGI:1931321</v>
      </c>
      <c r="J7372" s="4" t="s">
        <v>12</v>
      </c>
    </row>
    <row r="7373" spans="1:10" x14ac:dyDescent="0.25">
      <c r="A7373" s="2">
        <v>196.16348745927499</v>
      </c>
      <c r="B7373" s="3">
        <v>-0.97255603224695897</v>
      </c>
      <c r="C7373" s="5">
        <v>2.2904258144330499E-10</v>
      </c>
      <c r="D7373" s="6">
        <v>1.29381830594728E-9</v>
      </c>
      <c r="E7373" s="3" t="s">
        <v>7000</v>
      </c>
      <c r="F7373" s="3" t="s">
        <v>7001</v>
      </c>
      <c r="G7373" s="3">
        <v>11981</v>
      </c>
      <c r="H7373" s="7" t="str">
        <f>HYPERLINK("http://www.ensembl.org/Mus_musculus/Gene/Summary?db=core;g=ENSMUSG00000027546","ENSMUSG00000027546")</f>
        <v>ENSMUSG00000027546</v>
      </c>
      <c r="I7373" s="7" t="str">
        <f>HYPERLINK("http://www.informatics.jax.org/marker/MGI:1330826","MGI:1330826")</f>
        <v>MGI:1330826</v>
      </c>
      <c r="J7373" s="4" t="s">
        <v>12</v>
      </c>
    </row>
    <row r="7374" spans="1:10" x14ac:dyDescent="0.25">
      <c r="A7374" s="2">
        <v>15.029387449190301</v>
      </c>
      <c r="B7374" s="3">
        <v>-0.97262226393420803</v>
      </c>
      <c r="C7374" s="3">
        <v>1.15457851523582E-3</v>
      </c>
      <c r="D7374" s="4">
        <v>3.3745795643175202E-3</v>
      </c>
      <c r="E7374" s="3" t="s">
        <v>13503</v>
      </c>
      <c r="F7374" s="3" t="s">
        <v>13504</v>
      </c>
      <c r="G7374" s="3">
        <v>229011</v>
      </c>
      <c r="H7374" s="7" t="str">
        <f>HYPERLINK("http://www.ensembl.org/Mus_musculus/Gene/Summary?db=core;g=ENSMUSG00000038605","ENSMUSG00000038605")</f>
        <v>ENSMUSG00000038605</v>
      </c>
      <c r="I7374" s="7" t="str">
        <f>HYPERLINK("http://www.informatics.jax.org/marker/MGI:2443872","MGI:2443872")</f>
        <v>MGI:2443872</v>
      </c>
      <c r="J7374" s="4" t="s">
        <v>12</v>
      </c>
    </row>
    <row r="7375" spans="1:10" x14ac:dyDescent="0.25">
      <c r="A7375" s="2">
        <v>562.49581528705698</v>
      </c>
      <c r="B7375" s="3">
        <v>-0.97383161762819004</v>
      </c>
      <c r="C7375" s="5">
        <v>3.9740291126863103E-6</v>
      </c>
      <c r="D7375" s="6">
        <v>1.54877182020107E-5</v>
      </c>
      <c r="E7375" s="3" t="s">
        <v>10136</v>
      </c>
      <c r="F7375" s="3" t="s">
        <v>10137</v>
      </c>
      <c r="G7375" s="3">
        <v>21858</v>
      </c>
      <c r="H7375" s="7" t="str">
        <f>HYPERLINK("http://www.ensembl.org/Mus_musculus/Gene/Summary?db=core;g=ENSMUSG00000017466","ENSMUSG00000017466")</f>
        <v>ENSMUSG00000017466</v>
      </c>
      <c r="I7375" s="7" t="str">
        <f>HYPERLINK("http://www.informatics.jax.org/marker/MGI:98753","MGI:98753")</f>
        <v>MGI:98753</v>
      </c>
      <c r="J7375" s="4" t="s">
        <v>12</v>
      </c>
    </row>
    <row r="7376" spans="1:10" x14ac:dyDescent="0.25">
      <c r="A7376" s="2">
        <v>10.323771998811401</v>
      </c>
      <c r="B7376" s="3">
        <v>-0.97388423660591705</v>
      </c>
      <c r="C7376" s="3">
        <v>5.7175447738757696E-3</v>
      </c>
      <c r="D7376" s="4">
        <v>1.49415474375058E-2</v>
      </c>
      <c r="E7376" s="3" t="s">
        <v>15098</v>
      </c>
      <c r="F7376" s="3" t="s">
        <v>15099</v>
      </c>
      <c r="G7376" s="3">
        <v>225852</v>
      </c>
      <c r="H7376" s="7" t="str">
        <f>HYPERLINK("http://www.ensembl.org/Mus_musculus/Gene/Summary?db=core;g=ENSMUSG00000117666","ENSMUSG00000117666")</f>
        <v>ENSMUSG00000117666</v>
      </c>
      <c r="I7376" s="7" t="str">
        <f>HYPERLINK("http://www.informatics.jax.org/marker/MGI:2685396","MGI:2685396")</f>
        <v>MGI:2685396</v>
      </c>
      <c r="J7376" s="4" t="s">
        <v>12</v>
      </c>
    </row>
    <row r="7377" spans="1:10" x14ac:dyDescent="0.25">
      <c r="A7377" s="2">
        <v>92.745206755769701</v>
      </c>
      <c r="B7377" s="3">
        <v>-0.97499162527101602</v>
      </c>
      <c r="C7377" s="5">
        <v>5.7249225653573096E-9</v>
      </c>
      <c r="D7377" s="6">
        <v>2.8925306940519101E-8</v>
      </c>
      <c r="E7377" s="3" t="s">
        <v>7822</v>
      </c>
      <c r="F7377" s="3" t="s">
        <v>7823</v>
      </c>
      <c r="G7377" s="3">
        <v>69159</v>
      </c>
      <c r="H7377" s="7" t="str">
        <f>HYPERLINK("http://www.ensembl.org/Mus_musculus/Gene/Summary?db=core;g=ENSMUSG00000023755","ENSMUSG00000023755")</f>
        <v>ENSMUSG00000023755</v>
      </c>
      <c r="I7377" s="7" t="str">
        <f>HYPERLINK("http://www.informatics.jax.org/marker/MGI:1916409","MGI:1916409")</f>
        <v>MGI:1916409</v>
      </c>
      <c r="J7377" s="4" t="s">
        <v>12</v>
      </c>
    </row>
    <row r="7378" spans="1:10" x14ac:dyDescent="0.25">
      <c r="A7378" s="2">
        <v>1320.02233267714</v>
      </c>
      <c r="B7378" s="3">
        <v>-0.97569433190019605</v>
      </c>
      <c r="C7378" s="5">
        <v>4.4329189833367801E-31</v>
      </c>
      <c r="D7378" s="6">
        <v>6.7503600271352302E-30</v>
      </c>
      <c r="E7378" s="3" t="s">
        <v>2607</v>
      </c>
      <c r="F7378" s="3" t="s">
        <v>2608</v>
      </c>
      <c r="G7378" s="3">
        <v>110074</v>
      </c>
      <c r="H7378" s="7" t="str">
        <f>HYPERLINK("http://www.ensembl.org/Mus_musculus/Gene/Summary?db=core;g=ENSMUSG00000027203","ENSMUSG00000027203")</f>
        <v>ENSMUSG00000027203</v>
      </c>
      <c r="I7378" s="7" t="str">
        <f>HYPERLINK("http://www.informatics.jax.org/marker/MGI:1346051","MGI:1346051")</f>
        <v>MGI:1346051</v>
      </c>
      <c r="J7378" s="4" t="s">
        <v>12</v>
      </c>
    </row>
    <row r="7379" spans="1:10" x14ac:dyDescent="0.25">
      <c r="A7379" s="2">
        <v>140.914019710221</v>
      </c>
      <c r="B7379" s="3">
        <v>-0.97574724393859202</v>
      </c>
      <c r="C7379" s="5">
        <v>2.6661315810707501E-17</v>
      </c>
      <c r="D7379" s="6">
        <v>2.3140895589223298E-16</v>
      </c>
      <c r="E7379" s="3" t="s">
        <v>4561</v>
      </c>
      <c r="F7379" s="3" t="s">
        <v>4562</v>
      </c>
      <c r="G7379" s="3">
        <v>319822</v>
      </c>
      <c r="H7379" s="7" t="str">
        <f>HYPERLINK("http://www.ensembl.org/Mus_musculus/Gene/Summary?db=core;g=ENSMUSG00000018809","ENSMUSG00000018809")</f>
        <v>ENSMUSG00000018809</v>
      </c>
      <c r="I7379" s="7" t="str">
        <f>HYPERLINK("http://www.informatics.jax.org/marker/MGI:2442796","MGI:2442796")</f>
        <v>MGI:2442796</v>
      </c>
      <c r="J7379" s="4" t="s">
        <v>12</v>
      </c>
    </row>
    <row r="7380" spans="1:10" x14ac:dyDescent="0.25">
      <c r="A7380" s="2">
        <v>1342.79475557822</v>
      </c>
      <c r="B7380" s="3">
        <v>-0.97622780138605103</v>
      </c>
      <c r="C7380" s="5">
        <v>3.4425384680771201E-23</v>
      </c>
      <c r="D7380" s="6">
        <v>3.9195645837460001E-22</v>
      </c>
      <c r="E7380" s="3" t="s">
        <v>3482</v>
      </c>
      <c r="F7380" s="3" t="s">
        <v>3483</v>
      </c>
      <c r="G7380" s="3">
        <v>54712</v>
      </c>
      <c r="H7380" s="7" t="str">
        <f>HYPERLINK("http://www.ensembl.org/Mus_musculus/Gene/Summary?db=core;g=ENSMUSG00000074785","ENSMUSG00000074785")</f>
        <v>ENSMUSG00000074785</v>
      </c>
      <c r="I7380" s="7" t="str">
        <f>HYPERLINK("http://www.informatics.jax.org/marker/MGI:1890127","MGI:1890127")</f>
        <v>MGI:1890127</v>
      </c>
      <c r="J7380" s="4" t="s">
        <v>12</v>
      </c>
    </row>
    <row r="7381" spans="1:10" x14ac:dyDescent="0.25">
      <c r="A7381" s="2">
        <v>120.91414050466901</v>
      </c>
      <c r="B7381" s="3">
        <v>-0.97655001831670396</v>
      </c>
      <c r="C7381" s="5">
        <v>3.66444499007382E-15</v>
      </c>
      <c r="D7381" s="6">
        <v>2.8405210379031301E-14</v>
      </c>
      <c r="E7381" s="3" t="s">
        <v>5105</v>
      </c>
      <c r="F7381" s="3" t="s">
        <v>5106</v>
      </c>
      <c r="G7381" s="3">
        <v>320678</v>
      </c>
      <c r="H7381" s="7" t="str">
        <f>HYPERLINK("http://www.ensembl.org/Mus_musculus/Gene/Summary?db=core;g=ENSMUSG00000038271","ENSMUSG00000038271")</f>
        <v>ENSMUSG00000038271</v>
      </c>
      <c r="I7381" s="7" t="str">
        <f>HYPERLINK("http://www.informatics.jax.org/marker/MGI:2444516","MGI:2444516")</f>
        <v>MGI:2444516</v>
      </c>
      <c r="J7381" s="4" t="s">
        <v>12</v>
      </c>
    </row>
    <row r="7382" spans="1:10" x14ac:dyDescent="0.25">
      <c r="A7382" s="2">
        <v>15.208503857734501</v>
      </c>
      <c r="B7382" s="3">
        <v>-0.97924323449143202</v>
      </c>
      <c r="C7382" s="3">
        <v>4.1361588625244599E-3</v>
      </c>
      <c r="D7382" s="4">
        <v>1.1107865010075201E-2</v>
      </c>
      <c r="E7382" s="3" t="s">
        <v>14690</v>
      </c>
      <c r="F7382" s="3" t="s">
        <v>14691</v>
      </c>
      <c r="G7382" s="3">
        <v>216456</v>
      </c>
      <c r="H7382" s="7" t="str">
        <f>HYPERLINK("http://www.ensembl.org/Mus_musculus/Gene/Summary?db=core;g=ENSMUSG00000044005","ENSMUSG00000044005")</f>
        <v>ENSMUSG00000044005</v>
      </c>
      <c r="I7382" s="7" t="str">
        <f>HYPERLINK("http://www.informatics.jax.org/marker/MGI:2143539","MGI:2143539")</f>
        <v>MGI:2143539</v>
      </c>
      <c r="J7382" s="4" t="s">
        <v>12</v>
      </c>
    </row>
    <row r="7383" spans="1:10" x14ac:dyDescent="0.25">
      <c r="A7383" s="2">
        <v>743.57011866938296</v>
      </c>
      <c r="B7383" s="3">
        <v>-0.98040767390780503</v>
      </c>
      <c r="C7383" s="5">
        <v>4.2571944960329697E-42</v>
      </c>
      <c r="D7383" s="6">
        <v>9.2153540572744298E-41</v>
      </c>
      <c r="E7383" s="3" t="s">
        <v>1839</v>
      </c>
      <c r="F7383" s="3" t="s">
        <v>1840</v>
      </c>
      <c r="G7383" s="3">
        <v>12566</v>
      </c>
      <c r="H7383" s="7" t="str">
        <f>HYPERLINK("http://www.ensembl.org/Mus_musculus/Gene/Summary?db=core;g=ENSMUSG00000025358","ENSMUSG00000025358")</f>
        <v>ENSMUSG00000025358</v>
      </c>
      <c r="I7383" s="7" t="str">
        <f>HYPERLINK("http://www.informatics.jax.org/marker/MGI:104772","MGI:104772")</f>
        <v>MGI:104772</v>
      </c>
      <c r="J7383" s="4" t="s">
        <v>12</v>
      </c>
    </row>
    <row r="7384" spans="1:10" x14ac:dyDescent="0.25">
      <c r="A7384" s="2">
        <v>232.316783230434</v>
      </c>
      <c r="B7384" s="3">
        <v>-0.98040975928239105</v>
      </c>
      <c r="C7384" s="5">
        <v>2.22525626971865E-22</v>
      </c>
      <c r="D7384" s="6">
        <v>2.45837835511775E-21</v>
      </c>
      <c r="E7384" s="3" t="s">
        <v>3588</v>
      </c>
      <c r="F7384" s="3" t="s">
        <v>3589</v>
      </c>
      <c r="G7384" s="3">
        <v>66578</v>
      </c>
      <c r="H7384" s="7" t="str">
        <f>HYPERLINK("http://www.ensembl.org/Mus_musculus/Gene/Summary?db=core;g=ENSMUSG00000022978","ENSMUSG00000022978")</f>
        <v>ENSMUSG00000022978</v>
      </c>
      <c r="I7384" s="7" t="str">
        <f>HYPERLINK("http://www.informatics.jax.org/marker/MGI:1913828","MGI:1913828")</f>
        <v>MGI:1913828</v>
      </c>
      <c r="J7384" s="4" t="s">
        <v>12</v>
      </c>
    </row>
    <row r="7385" spans="1:10" x14ac:dyDescent="0.25">
      <c r="A7385" s="2">
        <v>9.9466943232350609</v>
      </c>
      <c r="B7385" s="3">
        <v>-0.98044421532455295</v>
      </c>
      <c r="C7385" s="3">
        <v>6.6955236746655796E-3</v>
      </c>
      <c r="D7385" s="4">
        <v>1.7232540702741501E-2</v>
      </c>
      <c r="E7385" s="3" t="s">
        <v>15329</v>
      </c>
      <c r="F7385" s="3" t="s">
        <v>15330</v>
      </c>
      <c r="G7385" s="3">
        <v>11877</v>
      </c>
      <c r="H7385" s="7" t="str">
        <f>HYPERLINK("http://www.ensembl.org/Mus_musculus/Gene/Summary?db=core;g=ENSMUSG00000000325","ENSMUSG00000000325")</f>
        <v>ENSMUSG00000000325</v>
      </c>
      <c r="I7385" s="7" t="str">
        <f>HYPERLINK("http://www.informatics.jax.org/marker/MGI:109620","MGI:109620")</f>
        <v>MGI:109620</v>
      </c>
      <c r="J7385" s="4" t="s">
        <v>12</v>
      </c>
    </row>
    <row r="7386" spans="1:10" x14ac:dyDescent="0.25">
      <c r="A7386" s="2">
        <v>265.57524551789697</v>
      </c>
      <c r="B7386" s="3">
        <v>-0.98154140946327295</v>
      </c>
      <c r="C7386" s="5">
        <v>1.63265157532282E-30</v>
      </c>
      <c r="D7386" s="6">
        <v>2.4427836923646399E-29</v>
      </c>
      <c r="E7386" s="3" t="s">
        <v>2653</v>
      </c>
      <c r="F7386" s="3" t="s">
        <v>2654</v>
      </c>
      <c r="G7386" s="3">
        <v>13666</v>
      </c>
      <c r="H7386" s="7" t="str">
        <f>HYPERLINK("http://www.ensembl.org/Mus_musculus/Gene/Summary?db=core;g=ENSMUSG00000031668","ENSMUSG00000031668")</f>
        <v>ENSMUSG00000031668</v>
      </c>
      <c r="I7386" s="7" t="str">
        <f>HYPERLINK("http://www.informatics.jax.org/marker/MGI:1341830","MGI:1341830")</f>
        <v>MGI:1341830</v>
      </c>
      <c r="J7386" s="4" t="s">
        <v>12</v>
      </c>
    </row>
    <row r="7387" spans="1:10" x14ac:dyDescent="0.25">
      <c r="A7387" s="2">
        <v>319.94638714488002</v>
      </c>
      <c r="B7387" s="3">
        <v>-0.98267269103062305</v>
      </c>
      <c r="C7387" s="5">
        <v>1.06483537092254E-33</v>
      </c>
      <c r="D7387" s="6">
        <v>1.7586728236677099E-32</v>
      </c>
      <c r="E7387" s="3" t="s">
        <v>2405</v>
      </c>
      <c r="F7387" s="3" t="s">
        <v>2406</v>
      </c>
      <c r="G7387" s="3">
        <v>215201</v>
      </c>
      <c r="H7387" s="7" t="str">
        <f>HYPERLINK("http://www.ensembl.org/Mus_musculus/Gene/Summary?db=core;g=ENSMUSG00000067369","ENSMUSG00000067369")</f>
        <v>ENSMUSG00000067369</v>
      </c>
      <c r="I7387" s="7" t="str">
        <f>HYPERLINK("http://www.informatics.jax.org/marker/MGI:2442530","MGI:2442530")</f>
        <v>MGI:2442530</v>
      </c>
      <c r="J7387" s="4" t="s">
        <v>12</v>
      </c>
    </row>
    <row r="7388" spans="1:10" x14ac:dyDescent="0.25">
      <c r="A7388" s="2">
        <v>370.08992594019099</v>
      </c>
      <c r="B7388" s="3">
        <v>-0.98270674444901496</v>
      </c>
      <c r="C7388" s="5">
        <v>5.0063283310836302E-31</v>
      </c>
      <c r="D7388" s="6">
        <v>7.6059163858990106E-30</v>
      </c>
      <c r="E7388" s="3" t="s">
        <v>2613</v>
      </c>
      <c r="F7388" s="3" t="s">
        <v>2614</v>
      </c>
      <c r="G7388" s="3">
        <v>12649</v>
      </c>
      <c r="H7388" s="7" t="str">
        <f>HYPERLINK("http://www.ensembl.org/Mus_musculus/Gene/Summary?db=core;g=ENSMUSG00000032113","ENSMUSG00000032113")</f>
        <v>ENSMUSG00000032113</v>
      </c>
      <c r="I7388" s="7" t="str">
        <f>HYPERLINK("http://www.informatics.jax.org/marker/MGI:1202065","MGI:1202065")</f>
        <v>MGI:1202065</v>
      </c>
      <c r="J7388" s="4" t="s">
        <v>12</v>
      </c>
    </row>
    <row r="7389" spans="1:10" x14ac:dyDescent="0.25">
      <c r="A7389" s="2">
        <v>234.24204042405</v>
      </c>
      <c r="B7389" s="3">
        <v>-0.98285390516913895</v>
      </c>
      <c r="C7389" s="5">
        <v>1.6807914343080101E-16</v>
      </c>
      <c r="D7389" s="6">
        <v>1.39090252138288E-15</v>
      </c>
      <c r="E7389" s="3" t="s">
        <v>4783</v>
      </c>
      <c r="F7389" s="3" t="s">
        <v>4784</v>
      </c>
      <c r="G7389" s="3">
        <v>66071</v>
      </c>
      <c r="H7389" s="7" t="str">
        <f>HYPERLINK("http://www.ensembl.org/Mus_musculus/Gene/Summary?db=core;g=ENSMUSG00000064254","ENSMUSG00000064254")</f>
        <v>ENSMUSG00000064254</v>
      </c>
      <c r="I7389" s="7" t="str">
        <f>HYPERLINK("http://www.informatics.jax.org/marker/MGI:1913321","MGI:1913321")</f>
        <v>MGI:1913321</v>
      </c>
      <c r="J7389" s="4" t="s">
        <v>12</v>
      </c>
    </row>
    <row r="7390" spans="1:10" x14ac:dyDescent="0.25">
      <c r="A7390" s="2">
        <v>204.08498856630001</v>
      </c>
      <c r="B7390" s="3">
        <v>-0.983495541673712</v>
      </c>
      <c r="C7390" s="5">
        <v>2.6574743784370102E-23</v>
      </c>
      <c r="D7390" s="6">
        <v>3.0362337626174898E-22</v>
      </c>
      <c r="E7390" s="3" t="s">
        <v>3470</v>
      </c>
      <c r="F7390" s="3" t="s">
        <v>3471</v>
      </c>
      <c r="G7390" s="3">
        <v>106522</v>
      </c>
      <c r="H7390" s="7" t="str">
        <f>HYPERLINK("http://www.ensembl.org/Mus_musculus/Gene/Summary?db=core;g=ENSMUSG00000024247","ENSMUSG00000024247")</f>
        <v>ENSMUSG00000024247</v>
      </c>
      <c r="I7390" s="7" t="str">
        <f>HYPERLINK("http://www.informatics.jax.org/marker/MGI:2147077","MGI:2147077")</f>
        <v>MGI:2147077</v>
      </c>
      <c r="J7390" s="4" t="s">
        <v>12</v>
      </c>
    </row>
    <row r="7391" spans="1:10" x14ac:dyDescent="0.25">
      <c r="A7391" s="2">
        <v>6.3318859154950102</v>
      </c>
      <c r="B7391" s="3">
        <v>-0.984788315381117</v>
      </c>
      <c r="C7391" s="3">
        <v>9.9674263919286195E-3</v>
      </c>
      <c r="D7391" s="4">
        <v>2.4821018872184901E-2</v>
      </c>
      <c r="E7391" s="3" t="s">
        <v>15843</v>
      </c>
      <c r="F7391" s="3" t="s">
        <v>15844</v>
      </c>
      <c r="G7391" s="3" t="s">
        <v>83</v>
      </c>
      <c r="H7391" s="7" t="str">
        <f>HYPERLINK("http://www.ensembl.org/Mus_musculus/Gene/Summary?db=core;g=ENSMUSG00000084918","ENSMUSG00000084918")</f>
        <v>ENSMUSG00000084918</v>
      </c>
      <c r="I7391" s="7" t="str">
        <f>HYPERLINK("http://www.informatics.jax.org/marker/MGI:3652178","MGI:3652178")</f>
        <v>MGI:3652178</v>
      </c>
      <c r="J7391" s="4" t="s">
        <v>939</v>
      </c>
    </row>
    <row r="7392" spans="1:10" x14ac:dyDescent="0.25">
      <c r="A7392" s="2">
        <v>129.51683218512201</v>
      </c>
      <c r="B7392" s="3">
        <v>-0.98486372119584897</v>
      </c>
      <c r="C7392" s="5">
        <v>2.44110424255055E-14</v>
      </c>
      <c r="D7392" s="6">
        <v>1.8104014916546399E-13</v>
      </c>
      <c r="E7392" s="3" t="s">
        <v>5335</v>
      </c>
      <c r="F7392" s="3" t="s">
        <v>5336</v>
      </c>
      <c r="G7392" s="3">
        <v>225471</v>
      </c>
      <c r="H7392" s="7" t="str">
        <f>HYPERLINK("http://www.ensembl.org/Mus_musculus/Gene/Summary?db=core;g=ENSMUSG00000056130","ENSMUSG00000056130")</f>
        <v>ENSMUSG00000056130</v>
      </c>
      <c r="I7392" s="7" t="str">
        <f>HYPERLINK("http://www.informatics.jax.org/marker/MGI:3040056","MGI:3040056")</f>
        <v>MGI:3040056</v>
      </c>
      <c r="J7392" s="4" t="s">
        <v>12</v>
      </c>
    </row>
    <row r="7393" spans="1:10" x14ac:dyDescent="0.25">
      <c r="A7393" s="2">
        <v>317.90348018744498</v>
      </c>
      <c r="B7393" s="3">
        <v>-0.98506342323699703</v>
      </c>
      <c r="C7393" s="5">
        <v>1.45991897500369E-27</v>
      </c>
      <c r="D7393" s="6">
        <v>1.9611445631521E-26</v>
      </c>
      <c r="E7393" s="3" t="s">
        <v>2954</v>
      </c>
      <c r="F7393" s="3" t="s">
        <v>2955</v>
      </c>
      <c r="G7393" s="3">
        <v>207375</v>
      </c>
      <c r="H7393" s="7" t="str">
        <f>HYPERLINK("http://www.ensembl.org/Mus_musculus/Gene/Summary?db=core;g=ENSMUSG00000025262","ENSMUSG00000025262")</f>
        <v>ENSMUSG00000025262</v>
      </c>
      <c r="I7393" s="7" t="str">
        <f>HYPERLINK("http://www.informatics.jax.org/marker/MGI:2387687","MGI:2387687")</f>
        <v>MGI:2387687</v>
      </c>
      <c r="J7393" s="4" t="s">
        <v>12</v>
      </c>
    </row>
    <row r="7394" spans="1:10" x14ac:dyDescent="0.25">
      <c r="A7394" s="2">
        <v>1279.48330210323</v>
      </c>
      <c r="B7394" s="3">
        <v>-0.98530194765286805</v>
      </c>
      <c r="C7394" s="5">
        <v>1.26038898110448E-30</v>
      </c>
      <c r="D7394" s="6">
        <v>1.89442612098936E-29</v>
      </c>
      <c r="E7394" s="3" t="s">
        <v>2641</v>
      </c>
      <c r="F7394" s="3" t="s">
        <v>2642</v>
      </c>
      <c r="G7394" s="3">
        <v>104725</v>
      </c>
      <c r="H7394" s="7" t="str">
        <f>HYPERLINK("http://www.ensembl.org/Mus_musculus/Gene/Summary?db=core;g=ENSMUSG00000044408","ENSMUSG00000044408")</f>
        <v>ENSMUSG00000044408</v>
      </c>
      <c r="I7394" s="7" t="str">
        <f>HYPERLINK("http://www.informatics.jax.org/marker/MGI:1913399","MGI:1913399")</f>
        <v>MGI:1913399</v>
      </c>
      <c r="J7394" s="4" t="s">
        <v>12</v>
      </c>
    </row>
    <row r="7395" spans="1:10" x14ac:dyDescent="0.25">
      <c r="A7395" s="2">
        <v>102.861581935004</v>
      </c>
      <c r="B7395" s="3">
        <v>-0.98544845035129902</v>
      </c>
      <c r="C7395" s="5">
        <v>7.6850232348146799E-13</v>
      </c>
      <c r="D7395" s="6">
        <v>5.19002254077211E-12</v>
      </c>
      <c r="E7395" s="3" t="s">
        <v>5857</v>
      </c>
      <c r="F7395" s="3" t="s">
        <v>5858</v>
      </c>
      <c r="G7395" s="3">
        <v>270152</v>
      </c>
      <c r="H7395" s="7" t="str">
        <f>HYPERLINK("http://www.ensembl.org/Mus_musculus/Gene/Summary?db=core;g=ENSMUSG00000048534","ENSMUSG00000048534")</f>
        <v>ENSMUSG00000048534</v>
      </c>
      <c r="I7395" s="7" t="str">
        <f>HYPERLINK("http://www.informatics.jax.org/marker/MGI:2685484","MGI:2685484")</f>
        <v>MGI:2685484</v>
      </c>
      <c r="J7395" s="4" t="s">
        <v>12</v>
      </c>
    </row>
    <row r="7396" spans="1:10" x14ac:dyDescent="0.25">
      <c r="A7396" s="2">
        <v>280.12062783369299</v>
      </c>
      <c r="B7396" s="3">
        <v>-0.98599479448237304</v>
      </c>
      <c r="C7396" s="5">
        <v>3.3578744637464203E-14</v>
      </c>
      <c r="D7396" s="6">
        <v>2.4634406408139602E-13</v>
      </c>
      <c r="E7396" s="3" t="s">
        <v>5393</v>
      </c>
      <c r="F7396" s="3" t="s">
        <v>5394</v>
      </c>
      <c r="G7396" s="3">
        <v>67488</v>
      </c>
      <c r="H7396" s="7" t="str">
        <f>HYPERLINK("http://www.ensembl.org/Mus_musculus/Gene/Summary?db=core;g=ENSMUSG00000023055","ENSMUSG00000023055")</f>
        <v>ENSMUSG00000023055</v>
      </c>
      <c r="I7396" s="7" t="str">
        <f>HYPERLINK("http://www.informatics.jax.org/marker/MGI:1914738","MGI:1914738")</f>
        <v>MGI:1914738</v>
      </c>
      <c r="J7396" s="4" t="s">
        <v>12</v>
      </c>
    </row>
    <row r="7397" spans="1:10" x14ac:dyDescent="0.25">
      <c r="A7397" s="2">
        <v>3760.0692817599302</v>
      </c>
      <c r="B7397" s="3">
        <v>-0.98676920314119398</v>
      </c>
      <c r="C7397" s="5">
        <v>2.3452253434994299E-40</v>
      </c>
      <c r="D7397" s="6">
        <v>4.8376405621138799E-39</v>
      </c>
      <c r="E7397" s="3" t="s">
        <v>1929</v>
      </c>
      <c r="F7397" s="3" t="s">
        <v>1930</v>
      </c>
      <c r="G7397" s="3">
        <v>17218</v>
      </c>
      <c r="H7397" s="7" t="str">
        <f>HYPERLINK("http://www.ensembl.org/Mus_musculus/Gene/Summary?db=core;g=ENSMUSG00000005410","ENSMUSG00000005410")</f>
        <v>ENSMUSG00000005410</v>
      </c>
      <c r="I7397" s="7" t="str">
        <f>HYPERLINK("http://www.informatics.jax.org/marker/MGI:103197","MGI:103197")</f>
        <v>MGI:103197</v>
      </c>
      <c r="J7397" s="4" t="s">
        <v>12</v>
      </c>
    </row>
    <row r="7398" spans="1:10" x14ac:dyDescent="0.25">
      <c r="A7398" s="2">
        <v>203.356853614568</v>
      </c>
      <c r="B7398" s="3">
        <v>-0.98945340018440997</v>
      </c>
      <c r="C7398" s="5">
        <v>4.2067505041109404E-25</v>
      </c>
      <c r="D7398" s="6">
        <v>5.13348514486805E-24</v>
      </c>
      <c r="E7398" s="3" t="s">
        <v>3252</v>
      </c>
      <c r="F7398" s="3" t="s">
        <v>3253</v>
      </c>
      <c r="G7398" s="3">
        <v>73852</v>
      </c>
      <c r="H7398" s="7" t="str">
        <f>HYPERLINK("http://www.ensembl.org/Mus_musculus/Gene/Summary?db=core;g=ENSMUSG00000025766","ENSMUSG00000025766")</f>
        <v>ENSMUSG00000025766</v>
      </c>
      <c r="I7398" s="7" t="str">
        <f>HYPERLINK("http://www.informatics.jax.org/marker/MGI:1289213","MGI:1289213")</f>
        <v>MGI:1289213</v>
      </c>
      <c r="J7398" s="4" t="s">
        <v>12</v>
      </c>
    </row>
    <row r="7399" spans="1:10" x14ac:dyDescent="0.25">
      <c r="A7399" s="2">
        <v>325.22753581518498</v>
      </c>
      <c r="B7399" s="3">
        <v>-0.99021648273171603</v>
      </c>
      <c r="C7399" s="5">
        <v>3.77236867015324E-28</v>
      </c>
      <c r="D7399" s="6">
        <v>5.1876645868495097E-27</v>
      </c>
      <c r="E7399" s="3" t="s">
        <v>2886</v>
      </c>
      <c r="F7399" s="3" t="s">
        <v>2887</v>
      </c>
      <c r="G7399" s="3">
        <v>245622</v>
      </c>
      <c r="H7399" s="7" t="str">
        <f>HYPERLINK("http://www.ensembl.org/Mus_musculus/Gene/Summary?db=core;g=ENSMUSG00000042595","ENSMUSG00000042595")</f>
        <v>ENSMUSG00000042595</v>
      </c>
      <c r="I7399" s="7" t="str">
        <f>HYPERLINK("http://www.informatics.jax.org/marker/MGI:2384304","MGI:2384304")</f>
        <v>MGI:2384304</v>
      </c>
      <c r="J7399" s="4" t="s">
        <v>12</v>
      </c>
    </row>
    <row r="7400" spans="1:10" x14ac:dyDescent="0.25">
      <c r="A7400" s="2">
        <v>17.687188184166299</v>
      </c>
      <c r="B7400" s="3">
        <v>-0.990263395066459</v>
      </c>
      <c r="C7400" s="3">
        <v>1.7282952424616199E-4</v>
      </c>
      <c r="D7400" s="4">
        <v>5.6483231987641998E-4</v>
      </c>
      <c r="E7400" s="3" t="s">
        <v>12079</v>
      </c>
      <c r="F7400" s="3" t="s">
        <v>12080</v>
      </c>
      <c r="G7400" s="3" t="s">
        <v>83</v>
      </c>
      <c r="H7400" s="7" t="str">
        <f>HYPERLINK("http://www.ensembl.org/Mus_musculus/Gene/Summary?db=core;g=ENSMUSG00000105851","ENSMUSG00000105851")</f>
        <v>ENSMUSG00000105851</v>
      </c>
      <c r="I7400" s="7" t="str">
        <f>HYPERLINK("http://www.informatics.jax.org/marker/MGI:1924957","MGI:1924957")</f>
        <v>MGI:1924957</v>
      </c>
      <c r="J7400" s="4" t="s">
        <v>939</v>
      </c>
    </row>
    <row r="7401" spans="1:10" x14ac:dyDescent="0.25">
      <c r="A7401" s="2">
        <v>45.540490405660996</v>
      </c>
      <c r="B7401" s="3">
        <v>-0.99042542437484704</v>
      </c>
      <c r="C7401" s="5">
        <v>4.4629075189478302E-8</v>
      </c>
      <c r="D7401" s="6">
        <v>2.0805800537506199E-7</v>
      </c>
      <c r="E7401" s="3" t="s">
        <v>8477</v>
      </c>
      <c r="F7401" s="3" t="s">
        <v>8478</v>
      </c>
      <c r="G7401" s="3">
        <v>101197</v>
      </c>
      <c r="H7401" s="7" t="str">
        <f>HYPERLINK("http://www.ensembl.org/Mus_musculus/Gene/Summary?db=core;g=ENSMUSG00000045466","ENSMUSG00000045466")</f>
        <v>ENSMUSG00000045466</v>
      </c>
      <c r="I7401" s="7" t="str">
        <f>HYPERLINK("http://www.informatics.jax.org/marker/MGI:2141515","MGI:2141515")</f>
        <v>MGI:2141515</v>
      </c>
      <c r="J7401" s="4" t="s">
        <v>12</v>
      </c>
    </row>
    <row r="7402" spans="1:10" x14ac:dyDescent="0.25">
      <c r="A7402" s="2">
        <v>102.606654087518</v>
      </c>
      <c r="B7402" s="3">
        <v>-0.990642293595145</v>
      </c>
      <c r="C7402" s="5">
        <v>2.1953255144298701E-6</v>
      </c>
      <c r="D7402" s="6">
        <v>8.7848658978403098E-6</v>
      </c>
      <c r="E7402" s="3" t="s">
        <v>9871</v>
      </c>
      <c r="F7402" s="3" t="s">
        <v>9872</v>
      </c>
      <c r="G7402" s="3">
        <v>14009</v>
      </c>
      <c r="H7402" s="7" t="str">
        <f>HYPERLINK("http://www.ensembl.org/Mus_musculus/Gene/Summary?db=core;g=ENSMUSG00000004151","ENSMUSG00000004151")</f>
        <v>ENSMUSG00000004151</v>
      </c>
      <c r="I7402" s="7" t="str">
        <f>HYPERLINK("http://www.informatics.jax.org/marker/MGI:99254","MGI:99254")</f>
        <v>MGI:99254</v>
      </c>
      <c r="J7402" s="4" t="s">
        <v>12</v>
      </c>
    </row>
    <row r="7403" spans="1:10" x14ac:dyDescent="0.25">
      <c r="A7403" s="2">
        <v>2858.4450840444101</v>
      </c>
      <c r="B7403" s="3">
        <v>-0.99074642710124405</v>
      </c>
      <c r="C7403" s="5">
        <v>1.5034770125496501E-12</v>
      </c>
      <c r="D7403" s="6">
        <v>9.9692557792465092E-12</v>
      </c>
      <c r="E7403" s="3" t="s">
        <v>5965</v>
      </c>
      <c r="F7403" s="3" t="s">
        <v>5966</v>
      </c>
      <c r="G7403" s="3">
        <v>18822</v>
      </c>
      <c r="H7403" s="7" t="str">
        <f>HYPERLINK("http://www.ensembl.org/Mus_musculus/Gene/Summary?db=core;g=ENSMUSG00000019055","ENSMUSG00000019055")</f>
        <v>ENSMUSG00000019055</v>
      </c>
      <c r="I7403" s="7" t="str">
        <f>HYPERLINK("http://www.informatics.jax.org/marker/MGI:99907","MGI:99907")</f>
        <v>MGI:99907</v>
      </c>
      <c r="J7403" s="4" t="s">
        <v>12</v>
      </c>
    </row>
    <row r="7404" spans="1:10" x14ac:dyDescent="0.25">
      <c r="A7404" s="2">
        <v>916.79093217610205</v>
      </c>
      <c r="B7404" s="3">
        <v>-0.99133919138191695</v>
      </c>
      <c r="C7404" s="5">
        <v>2.74646109728787E-40</v>
      </c>
      <c r="D7404" s="6">
        <v>5.6475717245585899E-39</v>
      </c>
      <c r="E7404" s="3" t="s">
        <v>1935</v>
      </c>
      <c r="F7404" s="3" t="s">
        <v>1936</v>
      </c>
      <c r="G7404" s="3">
        <v>16001</v>
      </c>
      <c r="H7404" s="7" t="str">
        <f>HYPERLINK("http://www.ensembl.org/Mus_musculus/Gene/Summary?db=core;g=ENSMUSG00000005533","ENSMUSG00000005533")</f>
        <v>ENSMUSG00000005533</v>
      </c>
      <c r="I7404" s="7" t="str">
        <f>HYPERLINK("http://www.informatics.jax.org/marker/MGI:96433","MGI:96433")</f>
        <v>MGI:96433</v>
      </c>
      <c r="J7404" s="4" t="s">
        <v>12</v>
      </c>
    </row>
    <row r="7405" spans="1:10" x14ac:dyDescent="0.25">
      <c r="A7405" s="2">
        <v>8781.6976248435494</v>
      </c>
      <c r="B7405" s="3">
        <v>-0.99217244209025601</v>
      </c>
      <c r="C7405" s="5">
        <v>7.0407748546658597E-59</v>
      </c>
      <c r="D7405" s="6">
        <v>2.4231078557418999E-57</v>
      </c>
      <c r="E7405" s="3" t="s">
        <v>1162</v>
      </c>
      <c r="F7405" s="3" t="s">
        <v>1163</v>
      </c>
      <c r="G7405" s="3">
        <v>140570</v>
      </c>
      <c r="H7405" s="7" t="str">
        <f>HYPERLINK("http://www.ensembl.org/Mus_musculus/Gene/Summary?db=core;g=ENSMUSG00000036606","ENSMUSG00000036606")</f>
        <v>ENSMUSG00000036606</v>
      </c>
      <c r="I7405" s="7" t="str">
        <f>HYPERLINK("http://www.informatics.jax.org/marker/MGI:2154239","MGI:2154239")</f>
        <v>MGI:2154239</v>
      </c>
      <c r="J7405" s="4" t="s">
        <v>12</v>
      </c>
    </row>
    <row r="7406" spans="1:10" x14ac:dyDescent="0.25">
      <c r="A7406" s="2">
        <v>3215.9850345014102</v>
      </c>
      <c r="B7406" s="3">
        <v>-0.99241697113994098</v>
      </c>
      <c r="C7406" s="5">
        <v>2.9994974092190498E-46</v>
      </c>
      <c r="D7406" s="6">
        <v>7.3115066637577005E-45</v>
      </c>
      <c r="E7406" s="3" t="s">
        <v>1634</v>
      </c>
      <c r="F7406" s="3" t="s">
        <v>1635</v>
      </c>
      <c r="G7406" s="3">
        <v>18007</v>
      </c>
      <c r="H7406" s="7" t="str">
        <f>HYPERLINK("http://www.ensembl.org/Mus_musculus/Gene/Summary?db=core;g=ENSMUSG00000032340","ENSMUSG00000032340")</f>
        <v>ENSMUSG00000032340</v>
      </c>
      <c r="I7406" s="7" t="str">
        <f>HYPERLINK("http://www.informatics.jax.org/marker/MGI:1097159","MGI:1097159")</f>
        <v>MGI:1097159</v>
      </c>
      <c r="J7406" s="4" t="s">
        <v>12</v>
      </c>
    </row>
    <row r="7407" spans="1:10" x14ac:dyDescent="0.25">
      <c r="A7407" s="2">
        <v>7.4686783478091501</v>
      </c>
      <c r="B7407" s="3">
        <v>-0.99269951948489599</v>
      </c>
      <c r="C7407" s="3">
        <v>5.9783807222395799E-3</v>
      </c>
      <c r="D7407" s="4">
        <v>1.5551202722934299E-2</v>
      </c>
      <c r="E7407" s="3" t="s">
        <v>15167</v>
      </c>
      <c r="F7407" s="3" t="s">
        <v>15168</v>
      </c>
      <c r="G7407" s="3" t="s">
        <v>83</v>
      </c>
      <c r="H7407" s="7" t="str">
        <f>HYPERLINK("http://www.ensembl.org/Mus_musculus/Gene/Summary?db=core;g=ENSMUSG00000084862","ENSMUSG00000084862")</f>
        <v>ENSMUSG00000084862</v>
      </c>
      <c r="I7407" s="7" t="str">
        <f>HYPERLINK("http://www.informatics.jax.org/marker/MGI:3826602","MGI:3826602")</f>
        <v>MGI:3826602</v>
      </c>
      <c r="J7407" s="4" t="s">
        <v>932</v>
      </c>
    </row>
    <row r="7408" spans="1:10" x14ac:dyDescent="0.25">
      <c r="A7408" s="2">
        <v>22.563950773977499</v>
      </c>
      <c r="B7408" s="3">
        <v>-0.99454035207496905</v>
      </c>
      <c r="C7408" s="3">
        <v>7.1702326732640397E-4</v>
      </c>
      <c r="D7408" s="4">
        <v>2.1554418950726702E-3</v>
      </c>
      <c r="E7408" s="3" t="s">
        <v>13129</v>
      </c>
      <c r="F7408" s="3" t="s">
        <v>13130</v>
      </c>
      <c r="G7408" s="3">
        <v>192166</v>
      </c>
      <c r="H7408" s="7" t="str">
        <f>HYPERLINK("http://www.ensembl.org/Mus_musculus/Gene/Summary?db=core;g=ENSMUSG00000009614","ENSMUSG00000009614")</f>
        <v>ENSMUSG00000009614</v>
      </c>
      <c r="I7408" s="7" t="str">
        <f>HYPERLINK("http://www.informatics.jax.org/marker/MGI:2183102","MGI:2183102")</f>
        <v>MGI:2183102</v>
      </c>
      <c r="J7408" s="4" t="s">
        <v>12</v>
      </c>
    </row>
    <row r="7409" spans="1:10" x14ac:dyDescent="0.25">
      <c r="A7409" s="2">
        <v>83.557301513637597</v>
      </c>
      <c r="B7409" s="3">
        <v>-0.99516008025763103</v>
      </c>
      <c r="C7409" s="5">
        <v>1.35639088643782E-9</v>
      </c>
      <c r="D7409" s="6">
        <v>7.1980700432060903E-9</v>
      </c>
      <c r="E7409" s="3" t="s">
        <v>7450</v>
      </c>
      <c r="F7409" s="3" t="s">
        <v>7451</v>
      </c>
      <c r="G7409" s="3">
        <v>107221</v>
      </c>
      <c r="H7409" s="7" t="str">
        <f>HYPERLINK("http://www.ensembl.org/Mus_musculus/Gene/Summary?db=core;g=ENSMUSG00000054200","ENSMUSG00000054200")</f>
        <v>ENSMUSG00000054200</v>
      </c>
      <c r="I7409" s="7" t="str">
        <f>HYPERLINK("http://www.informatics.jax.org/marker/MGI:2147577","MGI:2147577")</f>
        <v>MGI:2147577</v>
      </c>
      <c r="J7409" s="4" t="s">
        <v>12</v>
      </c>
    </row>
    <row r="7410" spans="1:10" x14ac:dyDescent="0.25">
      <c r="A7410" s="2">
        <v>293.40955193826102</v>
      </c>
      <c r="B7410" s="3">
        <v>-0.99555351389770597</v>
      </c>
      <c r="C7410" s="5">
        <v>6.7622418723735501E-19</v>
      </c>
      <c r="D7410" s="6">
        <v>6.3865617683527898E-18</v>
      </c>
      <c r="E7410" s="3" t="s">
        <v>4193</v>
      </c>
      <c r="F7410" s="3" t="s">
        <v>4194</v>
      </c>
      <c r="G7410" s="3">
        <v>14149</v>
      </c>
      <c r="H7410" s="7" t="str">
        <f>HYPERLINK("http://www.ensembl.org/Mus_musculus/Gene/Summary?db=core;g=ENSMUSG00000018861","ENSMUSG00000018861")</f>
        <v>ENSMUSG00000018861</v>
      </c>
      <c r="I7410" s="7" t="str">
        <f>HYPERLINK("http://www.informatics.jax.org/marker/MGI:104724","MGI:104724")</f>
        <v>MGI:104724</v>
      </c>
      <c r="J7410" s="4" t="s">
        <v>12</v>
      </c>
    </row>
    <row r="7411" spans="1:10" x14ac:dyDescent="0.25">
      <c r="A7411" s="2">
        <v>170.24837814796101</v>
      </c>
      <c r="B7411" s="3">
        <v>-0.99616682944006896</v>
      </c>
      <c r="C7411" s="5">
        <v>3.7656162210698599E-19</v>
      </c>
      <c r="D7411" s="6">
        <v>3.59951293647589E-18</v>
      </c>
      <c r="E7411" s="3" t="s">
        <v>4143</v>
      </c>
      <c r="F7411" s="3" t="s">
        <v>4144</v>
      </c>
      <c r="G7411" s="3">
        <v>67590</v>
      </c>
      <c r="H7411" s="7" t="str">
        <f>HYPERLINK("http://www.ensembl.org/Mus_musculus/Gene/Summary?db=core;g=ENSMUSG00000025008","ENSMUSG00000025008")</f>
        <v>ENSMUSG00000025008</v>
      </c>
      <c r="I7411" s="7" t="str">
        <f>HYPERLINK("http://www.informatics.jax.org/marker/MGI:1914840","MGI:1914840")</f>
        <v>MGI:1914840</v>
      </c>
      <c r="J7411" s="4" t="s">
        <v>12</v>
      </c>
    </row>
    <row r="7412" spans="1:10" x14ac:dyDescent="0.25">
      <c r="A7412" s="2">
        <v>282.14840253547601</v>
      </c>
      <c r="B7412" s="3">
        <v>-0.99623516257216005</v>
      </c>
      <c r="C7412" s="5">
        <v>5.1937906187962102E-12</v>
      </c>
      <c r="D7412" s="6">
        <v>3.3189096241951097E-11</v>
      </c>
      <c r="E7412" s="3" t="s">
        <v>6189</v>
      </c>
      <c r="F7412" s="3" t="s">
        <v>6190</v>
      </c>
      <c r="G7412" s="3">
        <v>12489</v>
      </c>
      <c r="H7412" s="7" t="str">
        <f>HYPERLINK("http://www.ensembl.org/Mus_musculus/Gene/Summary?db=core;g=ENSMUSG00000004609","ENSMUSG00000004609")</f>
        <v>ENSMUSG00000004609</v>
      </c>
      <c r="I7412" s="7" t="str">
        <f>HYPERLINK("http://www.informatics.jax.org/marker/MGI:99440","MGI:99440")</f>
        <v>MGI:99440</v>
      </c>
      <c r="J7412" s="4" t="s">
        <v>12</v>
      </c>
    </row>
    <row r="7413" spans="1:10" x14ac:dyDescent="0.25">
      <c r="A7413" s="2">
        <v>12.9705652029443</v>
      </c>
      <c r="B7413" s="3">
        <v>-0.99733263940754802</v>
      </c>
      <c r="C7413" s="3">
        <v>1.53511612356997E-3</v>
      </c>
      <c r="D7413" s="4">
        <v>4.4096853542315902E-3</v>
      </c>
      <c r="E7413" s="3" t="s">
        <v>8883</v>
      </c>
      <c r="F7413" s="3" t="s">
        <v>8884</v>
      </c>
      <c r="G7413" s="3" t="s">
        <v>83</v>
      </c>
      <c r="H7413" s="7" t="str">
        <f>HYPERLINK("http://www.ensembl.org/Mus_musculus/Gene/Summary?db=core;g=ENSMUSG00000114515","ENSMUSG00000114515")</f>
        <v>ENSMUSG00000114515</v>
      </c>
      <c r="I7413" s="7" t="str">
        <f>HYPERLINK("http://www.informatics.jax.org/marker/MGI:87994","MGI:87994")</f>
        <v>MGI:87994</v>
      </c>
      <c r="J7413" s="4" t="s">
        <v>12</v>
      </c>
    </row>
    <row r="7414" spans="1:10" x14ac:dyDescent="0.25">
      <c r="A7414" s="2">
        <v>23.820991647415401</v>
      </c>
      <c r="B7414" s="3">
        <v>-0.997839030833086</v>
      </c>
      <c r="C7414" s="3">
        <v>2.61375640503198E-4</v>
      </c>
      <c r="D7414" s="4">
        <v>8.3633419288058704E-4</v>
      </c>
      <c r="E7414" s="3" t="s">
        <v>12337</v>
      </c>
      <c r="F7414" s="3" t="s">
        <v>12338</v>
      </c>
      <c r="G7414" s="3">
        <v>213575</v>
      </c>
      <c r="H7414" s="7" t="str">
        <f>HYPERLINK("http://www.ensembl.org/Mus_musculus/Gene/Summary?db=core;g=ENSMUSG00000024253","ENSMUSG00000024253")</f>
        <v>ENSMUSG00000024253</v>
      </c>
      <c r="I7414" s="7" t="str">
        <f>HYPERLINK("http://www.informatics.jax.org/marker/MGI:1913996","MGI:1913996")</f>
        <v>MGI:1913996</v>
      </c>
      <c r="J7414" s="4" t="s">
        <v>12</v>
      </c>
    </row>
    <row r="7415" spans="1:10" x14ac:dyDescent="0.25">
      <c r="A7415" s="2">
        <v>425.11110441997602</v>
      </c>
      <c r="B7415" s="3">
        <v>-0.99849132114329398</v>
      </c>
      <c r="C7415" s="5">
        <v>1.45734806367092E-10</v>
      </c>
      <c r="D7415" s="6">
        <v>8.3762471045148897E-10</v>
      </c>
      <c r="E7415" s="3" t="s">
        <v>6880</v>
      </c>
      <c r="F7415" s="3" t="s">
        <v>6881</v>
      </c>
      <c r="G7415" s="3">
        <v>104156</v>
      </c>
      <c r="H7415" s="7" t="str">
        <f>HYPERLINK("http://www.ensembl.org/Mus_musculus/Gene/Summary?db=core;g=ENSMUSG00000013089","ENSMUSG00000013089")</f>
        <v>ENSMUSG00000013089</v>
      </c>
      <c r="I7415" s="7" t="str">
        <f>HYPERLINK("http://www.informatics.jax.org/marker/MGI:1096867","MGI:1096867")</f>
        <v>MGI:1096867</v>
      </c>
      <c r="J7415" s="4" t="s">
        <v>12</v>
      </c>
    </row>
    <row r="7416" spans="1:10" x14ac:dyDescent="0.25">
      <c r="A7416" s="2">
        <v>126.310199158717</v>
      </c>
      <c r="B7416" s="3">
        <v>-0.998508399993143</v>
      </c>
      <c r="C7416" s="5">
        <v>6.0036697899926204E-20</v>
      </c>
      <c r="D7416" s="6">
        <v>5.9255439568896198E-19</v>
      </c>
      <c r="E7416" s="3" t="s">
        <v>4014</v>
      </c>
      <c r="F7416" s="3" t="s">
        <v>4015</v>
      </c>
      <c r="G7416" s="3" t="s">
        <v>83</v>
      </c>
      <c r="H7416" s="7" t="str">
        <f>HYPERLINK("http://www.ensembl.org/Mus_musculus/Gene/Summary?db=core;g=ENSMUSG00000106447","ENSMUSG00000106447")</f>
        <v>ENSMUSG00000106447</v>
      </c>
      <c r="I7416" s="7" t="str">
        <f>HYPERLINK("http://www.informatics.jax.org/marker/MGI:5663094","MGI:5663094")</f>
        <v>MGI:5663094</v>
      </c>
      <c r="J7416" s="4" t="s">
        <v>12</v>
      </c>
    </row>
    <row r="7417" spans="1:10" x14ac:dyDescent="0.25">
      <c r="A7417" s="2">
        <v>193.21987305683899</v>
      </c>
      <c r="B7417" s="3">
        <v>-0.99863128791492695</v>
      </c>
      <c r="C7417" s="5">
        <v>3.68020600142742E-22</v>
      </c>
      <c r="D7417" s="6">
        <v>4.0229302853741003E-21</v>
      </c>
      <c r="E7417" s="3" t="s">
        <v>3626</v>
      </c>
      <c r="F7417" s="3" t="s">
        <v>3627</v>
      </c>
      <c r="G7417" s="3" t="s">
        <v>83</v>
      </c>
      <c r="H7417" s="7" t="str">
        <f>HYPERLINK("http://www.ensembl.org/Mus_musculus/Gene/Summary?db=core;g=ENSMUSG00000113786","ENSMUSG00000113786")</f>
        <v>ENSMUSG00000113786</v>
      </c>
      <c r="I7417" s="7" t="str">
        <f>HYPERLINK("http://www.informatics.jax.org/marker/MGI:6121607","MGI:6121607")</f>
        <v>MGI:6121607</v>
      </c>
      <c r="J7417" s="4" t="s">
        <v>12</v>
      </c>
    </row>
    <row r="7418" spans="1:10" x14ac:dyDescent="0.25">
      <c r="A7418" s="2">
        <v>800.22001940647203</v>
      </c>
      <c r="B7418" s="3">
        <v>-0.99895506608390405</v>
      </c>
      <c r="C7418" s="5">
        <v>1.6566501902620601E-40</v>
      </c>
      <c r="D7418" s="6">
        <v>3.4280316633754403E-39</v>
      </c>
      <c r="E7418" s="3" t="s">
        <v>1923</v>
      </c>
      <c r="F7418" s="3" t="s">
        <v>1924</v>
      </c>
      <c r="G7418" s="3">
        <v>18018</v>
      </c>
      <c r="H7418" s="7" t="str">
        <f>HYPERLINK("http://www.ensembl.org/Mus_musculus/Gene/Summary?db=core;g=ENSMUSG00000033016","ENSMUSG00000033016")</f>
        <v>ENSMUSG00000033016</v>
      </c>
      <c r="I7418" s="7" t="str">
        <f>HYPERLINK("http://www.informatics.jax.org/marker/MGI:102469","MGI:102469")</f>
        <v>MGI:102469</v>
      </c>
      <c r="J7418" s="4" t="s">
        <v>12</v>
      </c>
    </row>
    <row r="7419" spans="1:10" x14ac:dyDescent="0.25">
      <c r="A7419" s="2">
        <v>7.5271106234507901</v>
      </c>
      <c r="B7419" s="3">
        <v>-0.99898959245438401</v>
      </c>
      <c r="C7419" s="3">
        <v>1.2616298528551799E-2</v>
      </c>
      <c r="D7419" s="4">
        <v>3.0749401431595699E-2</v>
      </c>
      <c r="E7419" s="3" t="s">
        <v>16187</v>
      </c>
      <c r="F7419" s="3" t="s">
        <v>16188</v>
      </c>
      <c r="G7419" s="3" t="s">
        <v>83</v>
      </c>
      <c r="H7419" s="7" t="str">
        <f>HYPERLINK("http://www.ensembl.org/Mus_musculus/Gene/Summary?db=core;g=ENSMUSG00000112736","ENSMUSG00000112736")</f>
        <v>ENSMUSG00000112736</v>
      </c>
      <c r="I7419" s="7" t="str">
        <f>HYPERLINK("http://www.informatics.jax.org/marker/MGI:6098369","MGI:6098369")</f>
        <v>MGI:6098369</v>
      </c>
      <c r="J7419" s="4" t="s">
        <v>1828</v>
      </c>
    </row>
    <row r="7420" spans="1:10" x14ac:dyDescent="0.25">
      <c r="A7420" s="2">
        <v>49.516057006496098</v>
      </c>
      <c r="B7420" s="3">
        <v>-0.99931538796687702</v>
      </c>
      <c r="C7420" s="5">
        <v>9.66046164378698E-6</v>
      </c>
      <c r="D7420" s="6">
        <v>3.6217548215870597E-5</v>
      </c>
      <c r="E7420" s="3" t="s">
        <v>10534</v>
      </c>
      <c r="F7420" s="3" t="s">
        <v>10535</v>
      </c>
      <c r="G7420" s="3" t="s">
        <v>83</v>
      </c>
      <c r="H7420" s="7" t="str">
        <f>HYPERLINK("http://www.ensembl.org/Mus_musculus/Gene/Summary?db=core;g=ENSMUSG00000106344","ENSMUSG00000106344")</f>
        <v>ENSMUSG00000106344</v>
      </c>
      <c r="I7420" s="7" t="str">
        <f>HYPERLINK("http://www.informatics.jax.org/marker/MGI:3811416","MGI:3811416")</f>
        <v>MGI:3811416</v>
      </c>
      <c r="J7420" s="4" t="s">
        <v>6715</v>
      </c>
    </row>
    <row r="7421" spans="1:10" x14ac:dyDescent="0.25">
      <c r="A7421" s="2">
        <v>56.7744683196766</v>
      </c>
      <c r="B7421" s="3">
        <v>-0.99957127123126399</v>
      </c>
      <c r="C7421" s="5">
        <v>3.1478306734431198E-7</v>
      </c>
      <c r="D7421" s="6">
        <v>1.3712220207708899E-6</v>
      </c>
      <c r="E7421" s="3" t="s">
        <v>9069</v>
      </c>
      <c r="F7421" s="3" t="s">
        <v>9070</v>
      </c>
      <c r="G7421" s="3">
        <v>14349</v>
      </c>
      <c r="H7421" s="7" t="str">
        <f>HYPERLINK("http://www.ensembl.org/Mus_musculus/Gene/Summary?db=core;g=ENSMUSG00000070583","ENSMUSG00000070583")</f>
        <v>ENSMUSG00000070583</v>
      </c>
      <c r="I7421" s="7" t="str">
        <f>HYPERLINK("http://www.informatics.jax.org/marker/MGI:95595","MGI:95595")</f>
        <v>MGI:95595</v>
      </c>
      <c r="J7421" s="4" t="s">
        <v>12</v>
      </c>
    </row>
    <row r="7422" spans="1:10" x14ac:dyDescent="0.25">
      <c r="A7422" s="2">
        <v>288.735032568615</v>
      </c>
      <c r="B7422" s="3">
        <v>-1.0014820412882399</v>
      </c>
      <c r="C7422" s="5">
        <v>5.5672780199753599E-23</v>
      </c>
      <c r="D7422" s="6">
        <v>6.29150272515267E-22</v>
      </c>
      <c r="E7422" s="3" t="s">
        <v>3508</v>
      </c>
      <c r="F7422" s="3" t="s">
        <v>3509</v>
      </c>
      <c r="G7422" s="3">
        <v>69769</v>
      </c>
      <c r="H7422" s="7" t="str">
        <f>HYPERLINK("http://www.ensembl.org/Mus_musculus/Gene/Summary?db=core;g=ENSMUSG00000013707","ENSMUSG00000013707")</f>
        <v>ENSMUSG00000013707</v>
      </c>
      <c r="I7422" s="7" t="str">
        <f>HYPERLINK("http://www.informatics.jax.org/marker/MGI:1917019","MGI:1917019")</f>
        <v>MGI:1917019</v>
      </c>
      <c r="J7422" s="4" t="s">
        <v>12</v>
      </c>
    </row>
    <row r="7423" spans="1:10" x14ac:dyDescent="0.25">
      <c r="A7423" s="2">
        <v>319.15703440235802</v>
      </c>
      <c r="B7423" s="3">
        <v>-1.00226198177006</v>
      </c>
      <c r="C7423" s="5">
        <v>3.54608111287106E-22</v>
      </c>
      <c r="D7423" s="6">
        <v>3.8827717682297203E-21</v>
      </c>
      <c r="E7423" s="3" t="s">
        <v>3620</v>
      </c>
      <c r="F7423" s="3" t="s">
        <v>3621</v>
      </c>
      <c r="G7423" s="3">
        <v>71764</v>
      </c>
      <c r="H7423" s="7" t="str">
        <f>HYPERLINK("http://www.ensembl.org/Mus_musculus/Gene/Summary?db=core;g=ENSMUSG00000032120","ENSMUSG00000032120")</f>
        <v>ENSMUSG00000032120</v>
      </c>
      <c r="I7423" s="7" t="str">
        <f>HYPERLINK("http://www.informatics.jax.org/marker/MGI:1919014","MGI:1919014")</f>
        <v>MGI:1919014</v>
      </c>
      <c r="J7423" s="4" t="s">
        <v>12</v>
      </c>
    </row>
    <row r="7424" spans="1:10" x14ac:dyDescent="0.25">
      <c r="A7424" s="2">
        <v>751.96525256583595</v>
      </c>
      <c r="B7424" s="3">
        <v>-1.00338639216376</v>
      </c>
      <c r="C7424" s="5">
        <v>1.00169787999891E-14</v>
      </c>
      <c r="D7424" s="6">
        <v>7.5916534179778799E-14</v>
      </c>
      <c r="E7424" s="3" t="s">
        <v>5221</v>
      </c>
      <c r="F7424" s="3" t="s">
        <v>5222</v>
      </c>
      <c r="G7424" s="3">
        <v>209737</v>
      </c>
      <c r="H7424" s="7" t="str">
        <f>HYPERLINK("http://www.ensembl.org/Mus_musculus/Gene/Summary?db=core;g=ENSMUSG00000036768","ENSMUSG00000036768")</f>
        <v>ENSMUSG00000036768</v>
      </c>
      <c r="I7424" s="7" t="str">
        <f>HYPERLINK("http://www.informatics.jax.org/marker/MGI:1098258","MGI:1098258")</f>
        <v>MGI:1098258</v>
      </c>
      <c r="J7424" s="4" t="s">
        <v>12</v>
      </c>
    </row>
    <row r="7425" spans="1:10" x14ac:dyDescent="0.25">
      <c r="A7425" s="2">
        <v>182.86934776158</v>
      </c>
      <c r="B7425" s="3">
        <v>-1.0034493654135901</v>
      </c>
      <c r="C7425" s="5">
        <v>1.5242190591906E-15</v>
      </c>
      <c r="D7425" s="6">
        <v>1.2047134207310099E-14</v>
      </c>
      <c r="E7425" s="3" t="s">
        <v>5007</v>
      </c>
      <c r="F7425" s="3" t="s">
        <v>5008</v>
      </c>
      <c r="G7425" s="3">
        <v>320365</v>
      </c>
      <c r="H7425" s="7" t="str">
        <f>HYPERLINK("http://www.ensembl.org/Mus_musculus/Gene/Summary?db=core;g=ENSMUSG00000056602","ENSMUSG00000056602")</f>
        <v>ENSMUSG00000056602</v>
      </c>
      <c r="I7425" s="7" t="str">
        <f>HYPERLINK("http://www.informatics.jax.org/marker/MGI:2443895","MGI:2443895")</f>
        <v>MGI:2443895</v>
      </c>
      <c r="J7425" s="4" t="s">
        <v>12</v>
      </c>
    </row>
    <row r="7426" spans="1:10" x14ac:dyDescent="0.25">
      <c r="A7426" s="2">
        <v>15.260054763627201</v>
      </c>
      <c r="B7426" s="3">
        <v>-1.0041267526634801</v>
      </c>
      <c r="C7426" s="3">
        <v>9.7788553158702999E-4</v>
      </c>
      <c r="D7426" s="4">
        <v>2.8855158885075899E-3</v>
      </c>
      <c r="E7426" s="3" t="s">
        <v>13375</v>
      </c>
      <c r="F7426" s="3" t="s">
        <v>13376</v>
      </c>
      <c r="G7426" s="3">
        <v>217169</v>
      </c>
      <c r="H7426" s="7" t="str">
        <f>HYPERLINK("http://www.ensembl.org/Mus_musculus/Gene/Summary?db=core;g=ENSMUSG00000017607","ENSMUSG00000017607")</f>
        <v>ENSMUSG00000017607</v>
      </c>
      <c r="I7426" s="7" t="str">
        <f>HYPERLINK("http://www.informatics.jax.org/marker/MGI:2144377","MGI:2144377")</f>
        <v>MGI:2144377</v>
      </c>
      <c r="J7426" s="4" t="s">
        <v>12</v>
      </c>
    </row>
    <row r="7427" spans="1:10" x14ac:dyDescent="0.25">
      <c r="A7427" s="2">
        <v>204.118968054459</v>
      </c>
      <c r="B7427" s="3">
        <v>-1.00585293572623</v>
      </c>
      <c r="C7427" s="5">
        <v>4.9583970433936197E-15</v>
      </c>
      <c r="D7427" s="6">
        <v>3.8210078036624503E-14</v>
      </c>
      <c r="E7427" s="3" t="s">
        <v>5135</v>
      </c>
      <c r="F7427" s="3" t="s">
        <v>5136</v>
      </c>
      <c r="G7427" s="3">
        <v>240057</v>
      </c>
      <c r="H7427" s="7" t="str">
        <f>HYPERLINK("http://www.ensembl.org/Mus_musculus/Gene/Summary?db=core;g=ENSMUSG00000067629","ENSMUSG00000067629")</f>
        <v>ENSMUSG00000067629</v>
      </c>
      <c r="I7427" s="7" t="str">
        <f>HYPERLINK("http://www.informatics.jax.org/marker/MGI:3039785","MGI:3039785")</f>
        <v>MGI:3039785</v>
      </c>
      <c r="J7427" s="4" t="s">
        <v>12</v>
      </c>
    </row>
    <row r="7428" spans="1:10" x14ac:dyDescent="0.25">
      <c r="A7428" s="2">
        <v>168.91561387190899</v>
      </c>
      <c r="B7428" s="3">
        <v>-1.0063532676328999</v>
      </c>
      <c r="C7428" s="5">
        <v>6.4360925286766196E-25</v>
      </c>
      <c r="D7428" s="6">
        <v>7.8056423533519607E-24</v>
      </c>
      <c r="E7428" s="3" t="s">
        <v>3272</v>
      </c>
      <c r="F7428" s="3" t="s">
        <v>3273</v>
      </c>
      <c r="G7428" s="3">
        <v>70925</v>
      </c>
      <c r="H7428" s="7" t="str">
        <f>HYPERLINK("http://www.ensembl.org/Mus_musculus/Gene/Summary?db=core;g=ENSMUSG00000038069","ENSMUSG00000038069")</f>
        <v>ENSMUSG00000038069</v>
      </c>
      <c r="I7428" s="7" t="str">
        <f>HYPERLINK("http://www.informatics.jax.org/marker/MGI:1918175","MGI:1918175")</f>
        <v>MGI:1918175</v>
      </c>
      <c r="J7428" s="4" t="s">
        <v>12</v>
      </c>
    </row>
    <row r="7429" spans="1:10" x14ac:dyDescent="0.25">
      <c r="A7429" s="2">
        <v>40.175860201342402</v>
      </c>
      <c r="B7429" s="3">
        <v>-1.0063659664726301</v>
      </c>
      <c r="C7429" s="5">
        <v>8.4270587968913592E-6</v>
      </c>
      <c r="D7429" s="6">
        <v>3.1847757660923301E-5</v>
      </c>
      <c r="E7429" s="3" t="s">
        <v>10450</v>
      </c>
      <c r="F7429" s="3" t="s">
        <v>10451</v>
      </c>
      <c r="G7429" s="3">
        <v>19726</v>
      </c>
      <c r="H7429" s="7" t="str">
        <f>HYPERLINK("http://www.ensembl.org/Mus_musculus/Gene/Summary?db=core;g=ENSMUSG00000040929","ENSMUSG00000040929")</f>
        <v>ENSMUSG00000040929</v>
      </c>
      <c r="I7429" s="7" t="str">
        <f>HYPERLINK("http://www.informatics.jax.org/marker/MGI:106582","MGI:106582")</f>
        <v>MGI:106582</v>
      </c>
      <c r="J7429" s="4" t="s">
        <v>12</v>
      </c>
    </row>
    <row r="7430" spans="1:10" x14ac:dyDescent="0.25">
      <c r="A7430" s="2">
        <v>106.683084445327</v>
      </c>
      <c r="B7430" s="3">
        <v>-1.00688747898947</v>
      </c>
      <c r="C7430" s="5">
        <v>3.74572077975719E-12</v>
      </c>
      <c r="D7430" s="6">
        <v>2.4289909166988401E-11</v>
      </c>
      <c r="E7430" s="3" t="s">
        <v>6099</v>
      </c>
      <c r="F7430" s="3" t="s">
        <v>6100</v>
      </c>
      <c r="G7430" s="3">
        <v>13619</v>
      </c>
      <c r="H7430" s="7" t="str">
        <f>HYPERLINK("http://www.ensembl.org/Mus_musculus/Gene/Summary?db=core;g=ENSMUSG00000040669","ENSMUSG00000040669")</f>
        <v>ENSMUSG00000040669</v>
      </c>
      <c r="I7430" s="7" t="str">
        <f>HYPERLINK("http://www.informatics.jax.org/marker/MGI:103248","MGI:103248")</f>
        <v>MGI:103248</v>
      </c>
      <c r="J7430" s="4" t="s">
        <v>12</v>
      </c>
    </row>
    <row r="7431" spans="1:10" x14ac:dyDescent="0.25">
      <c r="A7431" s="2">
        <v>244.06794868077</v>
      </c>
      <c r="B7431" s="3">
        <v>-1.0077958268110701</v>
      </c>
      <c r="C7431" s="5">
        <v>6.0999722025941502E-17</v>
      </c>
      <c r="D7431" s="6">
        <v>5.1671142983557398E-16</v>
      </c>
      <c r="E7431" s="3" t="s">
        <v>4673</v>
      </c>
      <c r="F7431" s="3" t="s">
        <v>4674</v>
      </c>
      <c r="G7431" s="3">
        <v>66375</v>
      </c>
      <c r="H7431" s="7" t="str">
        <f>HYPERLINK("http://www.ensembl.org/Mus_musculus/Gene/Summary?db=core;g=ENSMUSG00000021094","ENSMUSG00000021094")</f>
        <v>ENSMUSG00000021094</v>
      </c>
      <c r="I7431" s="7" t="str">
        <f>HYPERLINK("http://www.informatics.jax.org/marker/MGI:1913625","MGI:1913625")</f>
        <v>MGI:1913625</v>
      </c>
      <c r="J7431" s="4" t="s">
        <v>12</v>
      </c>
    </row>
    <row r="7432" spans="1:10" x14ac:dyDescent="0.25">
      <c r="A7432" s="2">
        <v>63.543050156026297</v>
      </c>
      <c r="B7432" s="3">
        <v>-1.0081286786561601</v>
      </c>
      <c r="C7432" s="5">
        <v>2.9682382538369E-8</v>
      </c>
      <c r="D7432" s="6">
        <v>1.40943073358208E-7</v>
      </c>
      <c r="E7432" s="3" t="s">
        <v>8323</v>
      </c>
      <c r="F7432" s="3" t="s">
        <v>8324</v>
      </c>
      <c r="G7432" s="3">
        <v>18805</v>
      </c>
      <c r="H7432" s="7" t="str">
        <f>HYPERLINK("http://www.ensembl.org/Mus_musculus/Gene/Summary?db=core;g=ENSMUSG00000027695","ENSMUSG00000027695")</f>
        <v>ENSMUSG00000027695</v>
      </c>
      <c r="I7432" s="7" t="str">
        <f>HYPERLINK("http://www.informatics.jax.org/marker/MGI:109585","MGI:109585")</f>
        <v>MGI:109585</v>
      </c>
      <c r="J7432" s="4" t="s">
        <v>12</v>
      </c>
    </row>
    <row r="7433" spans="1:10" x14ac:dyDescent="0.25">
      <c r="A7433" s="2">
        <v>265.56140435242298</v>
      </c>
      <c r="B7433" s="3">
        <v>-1.0094164628678699</v>
      </c>
      <c r="C7433" s="5">
        <v>4.6909882032392402E-30</v>
      </c>
      <c r="D7433" s="6">
        <v>6.9241233059788702E-29</v>
      </c>
      <c r="E7433" s="3" t="s">
        <v>2690</v>
      </c>
      <c r="F7433" s="3" t="s">
        <v>2691</v>
      </c>
      <c r="G7433" s="3">
        <v>382406</v>
      </c>
      <c r="H7433" s="7" t="str">
        <f>HYPERLINK("http://www.ensembl.org/Mus_musculus/Gene/Summary?db=core;g=ENSMUSG00000019952","ENSMUSG00000019952")</f>
        <v>ENSMUSG00000019952</v>
      </c>
      <c r="I7433" s="7" t="str">
        <f>HYPERLINK("http://www.informatics.jax.org/marker/MGI:1918511","MGI:1918511")</f>
        <v>MGI:1918511</v>
      </c>
      <c r="J7433" s="4" t="s">
        <v>12</v>
      </c>
    </row>
    <row r="7434" spans="1:10" x14ac:dyDescent="0.25">
      <c r="A7434" s="2">
        <v>302.95569716191397</v>
      </c>
      <c r="B7434" s="3">
        <v>-1.00948468510211</v>
      </c>
      <c r="C7434" s="5">
        <v>4.5445261106156198E-20</v>
      </c>
      <c r="D7434" s="6">
        <v>4.5193169390489199E-19</v>
      </c>
      <c r="E7434" s="3" t="s">
        <v>3984</v>
      </c>
      <c r="F7434" s="3" t="s">
        <v>3985</v>
      </c>
      <c r="G7434" s="3">
        <v>270118</v>
      </c>
      <c r="H7434" s="7" t="str">
        <f>HYPERLINK("http://www.ensembl.org/Mus_musculus/Gene/Summary?db=core;g=ENSMUSG00000031925","ENSMUSG00000031925")</f>
        <v>ENSMUSG00000031925</v>
      </c>
      <c r="I7434" s="7" t="str">
        <f>HYPERLINK("http://www.informatics.jax.org/marker/MGI:2389460","MGI:2389460")</f>
        <v>MGI:2389460</v>
      </c>
      <c r="J7434" s="4" t="s">
        <v>12</v>
      </c>
    </row>
    <row r="7435" spans="1:10" x14ac:dyDescent="0.25">
      <c r="A7435" s="2">
        <v>156.181081076232</v>
      </c>
      <c r="B7435" s="3">
        <v>-1.0099696199675501</v>
      </c>
      <c r="C7435" s="5">
        <v>2.8171400193766401E-9</v>
      </c>
      <c r="D7435" s="6">
        <v>1.4569630522451399E-8</v>
      </c>
      <c r="E7435" s="3" t="s">
        <v>7642</v>
      </c>
      <c r="F7435" s="3" t="s">
        <v>7643</v>
      </c>
      <c r="G7435" s="3">
        <v>72309</v>
      </c>
      <c r="H7435" s="7" t="str">
        <f>HYPERLINK("http://www.ensembl.org/Mus_musculus/Gene/Summary?db=core;g=ENSMUSG00000054871","ENSMUSG00000054871")</f>
        <v>ENSMUSG00000054871</v>
      </c>
      <c r="I7435" s="7" t="str">
        <f>HYPERLINK("http://www.informatics.jax.org/marker/MGI:1919559","MGI:1919559")</f>
        <v>MGI:1919559</v>
      </c>
      <c r="J7435" s="4" t="s">
        <v>12</v>
      </c>
    </row>
    <row r="7436" spans="1:10" x14ac:dyDescent="0.25">
      <c r="A7436" s="2">
        <v>3.9829184181477899</v>
      </c>
      <c r="B7436" s="3">
        <v>-1.01010361366099</v>
      </c>
      <c r="C7436" s="3">
        <v>1.80173183661799E-2</v>
      </c>
      <c r="D7436" s="4">
        <v>4.2460612927838502E-2</v>
      </c>
      <c r="E7436" s="3" t="s">
        <v>16740</v>
      </c>
      <c r="F7436" s="3" t="s">
        <v>16741</v>
      </c>
      <c r="G7436" s="3" t="s">
        <v>83</v>
      </c>
      <c r="H7436" s="7" t="str">
        <f>HYPERLINK("http://www.ensembl.org/Mus_musculus/Gene/Summary?db=core;g=ENSMUSG00000054514","ENSMUSG00000054514")</f>
        <v>ENSMUSG00000054514</v>
      </c>
      <c r="I7436" s="7" t="str">
        <f>HYPERLINK("http://www.informatics.jax.org/marker/MGI:1917698","MGI:1917698")</f>
        <v>MGI:1917698</v>
      </c>
      <c r="J7436" s="4" t="s">
        <v>932</v>
      </c>
    </row>
    <row r="7437" spans="1:10" x14ac:dyDescent="0.25">
      <c r="A7437" s="2">
        <v>1476.6161642174</v>
      </c>
      <c r="B7437" s="3">
        <v>-1.01029701737932</v>
      </c>
      <c r="C7437" s="5">
        <v>5.3398083803955197E-61</v>
      </c>
      <c r="D7437" s="6">
        <v>1.9868117219132E-59</v>
      </c>
      <c r="E7437" s="3" t="s">
        <v>1076</v>
      </c>
      <c r="F7437" s="3" t="s">
        <v>1077</v>
      </c>
      <c r="G7437" s="3">
        <v>105348</v>
      </c>
      <c r="H7437" s="7" t="str">
        <f>HYPERLINK("http://www.ensembl.org/Mus_musculus/Gene/Summary?db=core;g=ENSMUSG00000021556","ENSMUSG00000021556")</f>
        <v>ENSMUSG00000021556</v>
      </c>
      <c r="I7437" s="7" t="str">
        <f>HYPERLINK("http://www.informatics.jax.org/marker/MGI:1917329","MGI:1917329")</f>
        <v>MGI:1917329</v>
      </c>
      <c r="J7437" s="4" t="s">
        <v>12</v>
      </c>
    </row>
    <row r="7438" spans="1:10" x14ac:dyDescent="0.25">
      <c r="A7438" s="2">
        <v>506.87179389662202</v>
      </c>
      <c r="B7438" s="3">
        <v>-1.0105881311135401</v>
      </c>
      <c r="C7438" s="5">
        <v>9.5826455675702599E-37</v>
      </c>
      <c r="D7438" s="6">
        <v>1.7660726223596799E-35</v>
      </c>
      <c r="E7438" s="3" t="s">
        <v>2157</v>
      </c>
      <c r="F7438" s="3" t="s">
        <v>2158</v>
      </c>
      <c r="G7438" s="3">
        <v>214901</v>
      </c>
      <c r="H7438" s="7" t="str">
        <f>HYPERLINK("http://www.ensembl.org/Mus_musculus/Gene/Summary?db=core;g=ENSMUSG00000019214","ENSMUSG00000019214")</f>
        <v>ENSMUSG00000019214</v>
      </c>
      <c r="I7438" s="7" t="str">
        <f>HYPERLINK("http://www.informatics.jax.org/marker/MGI:2384887","MGI:2384887")</f>
        <v>MGI:2384887</v>
      </c>
      <c r="J7438" s="4" t="s">
        <v>12</v>
      </c>
    </row>
    <row r="7439" spans="1:10" x14ac:dyDescent="0.25">
      <c r="A7439" s="2">
        <v>636.33686771676901</v>
      </c>
      <c r="B7439" s="3">
        <v>-1.0118513873928301</v>
      </c>
      <c r="C7439" s="5">
        <v>8.5134523858747001E-31</v>
      </c>
      <c r="D7439" s="6">
        <v>1.28450865378308E-29</v>
      </c>
      <c r="E7439" s="3" t="s">
        <v>2631</v>
      </c>
      <c r="F7439" s="3" t="s">
        <v>2632</v>
      </c>
      <c r="G7439" s="3">
        <v>277939</v>
      </c>
      <c r="H7439" s="7" t="str">
        <f>HYPERLINK("http://www.ensembl.org/Mus_musculus/Gene/Summary?db=core;g=ENSMUSG00000047248","ENSMUSG00000047248")</f>
        <v>ENSMUSG00000047248</v>
      </c>
      <c r="I7439" s="7" t="str">
        <f>HYPERLINK("http://www.informatics.jax.org/marker/MGI:2142166","MGI:2142166")</f>
        <v>MGI:2142166</v>
      </c>
      <c r="J7439" s="4" t="s">
        <v>12</v>
      </c>
    </row>
    <row r="7440" spans="1:10" x14ac:dyDescent="0.25">
      <c r="A7440" s="2">
        <v>2342.1714161813702</v>
      </c>
      <c r="B7440" s="3">
        <v>-1.0123963835404901</v>
      </c>
      <c r="C7440" s="5">
        <v>1.11812099109975E-75</v>
      </c>
      <c r="D7440" s="6">
        <v>5.7570093849835797E-74</v>
      </c>
      <c r="E7440" s="3" t="s">
        <v>778</v>
      </c>
      <c r="F7440" s="3" t="s">
        <v>779</v>
      </c>
      <c r="G7440" s="3">
        <v>76044</v>
      </c>
      <c r="H7440" s="7" t="str">
        <f>HYPERLINK("http://www.ensembl.org/Mus_musculus/Gene/Summary?db=core;g=ENSMUSG00000042029","ENSMUSG00000042029")</f>
        <v>ENSMUSG00000042029</v>
      </c>
      <c r="I7440" s="7" t="str">
        <f>HYPERLINK("http://www.informatics.jax.org/marker/MGI:1923294","MGI:1923294")</f>
        <v>MGI:1923294</v>
      </c>
      <c r="J7440" s="4" t="s">
        <v>12</v>
      </c>
    </row>
    <row r="7441" spans="1:10" x14ac:dyDescent="0.25">
      <c r="A7441" s="2">
        <v>718.32153504948997</v>
      </c>
      <c r="B7441" s="3">
        <v>-1.0130189319806899</v>
      </c>
      <c r="C7441" s="5">
        <v>6.2749622455402302E-25</v>
      </c>
      <c r="D7441" s="6">
        <v>7.6195970124417101E-24</v>
      </c>
      <c r="E7441" s="3" t="s">
        <v>3268</v>
      </c>
      <c r="F7441" s="3" t="s">
        <v>3269</v>
      </c>
      <c r="G7441" s="3">
        <v>21898</v>
      </c>
      <c r="H7441" s="7" t="str">
        <f>HYPERLINK("http://www.ensembl.org/Mus_musculus/Gene/Summary?db=core;g=ENSMUSG00000039005","ENSMUSG00000039005")</f>
        <v>ENSMUSG00000039005</v>
      </c>
      <c r="I7441" s="7" t="str">
        <f>HYPERLINK("http://www.informatics.jax.org/marker/MGI:96824","MGI:96824")</f>
        <v>MGI:96824</v>
      </c>
      <c r="J7441" s="4" t="s">
        <v>12</v>
      </c>
    </row>
    <row r="7442" spans="1:10" x14ac:dyDescent="0.25">
      <c r="A7442" s="2">
        <v>997.24630842655597</v>
      </c>
      <c r="B7442" s="3">
        <v>-1.0130661196923401</v>
      </c>
      <c r="C7442" s="5">
        <v>1.0498333916497E-15</v>
      </c>
      <c r="D7442" s="6">
        <v>8.3377827158002898E-15</v>
      </c>
      <c r="E7442" s="3" t="s">
        <v>4983</v>
      </c>
      <c r="F7442" s="3" t="s">
        <v>4984</v>
      </c>
      <c r="G7442" s="3">
        <v>13819</v>
      </c>
      <c r="H7442" s="7" t="str">
        <f>HYPERLINK("http://www.ensembl.org/Mus_musculus/Gene/Summary?db=core;g=ENSMUSG00000024140","ENSMUSG00000024140")</f>
        <v>ENSMUSG00000024140</v>
      </c>
      <c r="I7442" s="7" t="str">
        <f>HYPERLINK("http://www.informatics.jax.org/marker/MGI:109169","MGI:109169")</f>
        <v>MGI:109169</v>
      </c>
      <c r="J7442" s="4" t="s">
        <v>12</v>
      </c>
    </row>
    <row r="7443" spans="1:10" x14ac:dyDescent="0.25">
      <c r="A7443" s="2">
        <v>299.96020570798203</v>
      </c>
      <c r="B7443" s="3">
        <v>-1.01318017770719</v>
      </c>
      <c r="C7443" s="5">
        <v>9.5992908474290103E-21</v>
      </c>
      <c r="D7443" s="6">
        <v>9.8490122534495397E-20</v>
      </c>
      <c r="E7443" s="3" t="s">
        <v>3862</v>
      </c>
      <c r="F7443" s="3" t="s">
        <v>3863</v>
      </c>
      <c r="G7443" s="3">
        <v>104086</v>
      </c>
      <c r="H7443" s="7" t="str">
        <f>HYPERLINK("http://www.ensembl.org/Mus_musculus/Gene/Summary?db=core;g=ENSMUSG00000026170","ENSMUSG00000026170")</f>
        <v>ENSMUSG00000026170</v>
      </c>
      <c r="I7443" s="7" t="str">
        <f>HYPERLINK("http://www.informatics.jax.org/marker/MGI:88594","MGI:88594")</f>
        <v>MGI:88594</v>
      </c>
      <c r="J7443" s="4" t="s">
        <v>12</v>
      </c>
    </row>
    <row r="7444" spans="1:10" x14ac:dyDescent="0.25">
      <c r="A7444" s="2">
        <v>1492.03366792869</v>
      </c>
      <c r="B7444" s="3">
        <v>-1.0136837390590201</v>
      </c>
      <c r="C7444" s="5">
        <v>1.82191088767407E-62</v>
      </c>
      <c r="D7444" s="6">
        <v>7.0172036533071499E-61</v>
      </c>
      <c r="E7444" s="3" t="s">
        <v>1039</v>
      </c>
      <c r="F7444" s="3" t="s">
        <v>1040</v>
      </c>
      <c r="G7444" s="3">
        <v>19718</v>
      </c>
      <c r="H7444" s="7" t="str">
        <f>HYPERLINK("http://www.ensembl.org/Mus_musculus/Gene/Summary?db=core;g=ENSMUSG00000023104","ENSMUSG00000023104")</f>
        <v>ENSMUSG00000023104</v>
      </c>
      <c r="I7444" s="7" t="str">
        <f>HYPERLINK("http://www.informatics.jax.org/marker/MGI:1341868","MGI:1341868")</f>
        <v>MGI:1341868</v>
      </c>
      <c r="J7444" s="4" t="s">
        <v>12</v>
      </c>
    </row>
    <row r="7445" spans="1:10" x14ac:dyDescent="0.25">
      <c r="A7445" s="2">
        <v>137.646912357867</v>
      </c>
      <c r="B7445" s="3">
        <v>-1.0139291731410101</v>
      </c>
      <c r="C7445" s="5">
        <v>5.2961113879398903E-15</v>
      </c>
      <c r="D7445" s="6">
        <v>4.0717082483498898E-14</v>
      </c>
      <c r="E7445" s="3" t="s">
        <v>5147</v>
      </c>
      <c r="F7445" s="3" t="s">
        <v>5148</v>
      </c>
      <c r="G7445" s="3">
        <v>56690</v>
      </c>
      <c r="H7445" s="7" t="str">
        <f>HYPERLINK("http://www.ensembl.org/Mus_musculus/Gene/Summary?db=core;g=ENSMUSG00000074064","ENSMUSG00000074064")</f>
        <v>ENSMUSG00000074064</v>
      </c>
      <c r="I7445" s="7" t="str">
        <f>HYPERLINK("http://www.informatics.jax.org/marker/MGI:1928485","MGI:1928485")</f>
        <v>MGI:1928485</v>
      </c>
      <c r="J7445" s="4" t="s">
        <v>12</v>
      </c>
    </row>
    <row r="7446" spans="1:10" x14ac:dyDescent="0.25">
      <c r="A7446" s="2">
        <v>12.3370945632056</v>
      </c>
      <c r="B7446" s="3">
        <v>-1.0156986781930699</v>
      </c>
      <c r="C7446" s="3">
        <v>1.74679950991364E-3</v>
      </c>
      <c r="D7446" s="4">
        <v>4.9778737479041699E-3</v>
      </c>
      <c r="E7446" s="3" t="s">
        <v>13847</v>
      </c>
      <c r="F7446" s="3" t="s">
        <v>13848</v>
      </c>
      <c r="G7446" s="3">
        <v>21908</v>
      </c>
      <c r="H7446" s="7" t="str">
        <f>HYPERLINK("http://www.ensembl.org/Mus_musculus/Gene/Summary?db=core;g=ENSMUSG00000025215","ENSMUSG00000025215")</f>
        <v>ENSMUSG00000025215</v>
      </c>
      <c r="I7446" s="7" t="str">
        <f>HYPERLINK("http://www.informatics.jax.org/marker/MGI:98769","MGI:98769")</f>
        <v>MGI:98769</v>
      </c>
      <c r="J7446" s="4" t="s">
        <v>12</v>
      </c>
    </row>
    <row r="7447" spans="1:10" x14ac:dyDescent="0.25">
      <c r="A7447" s="2">
        <v>4.0561396628739503</v>
      </c>
      <c r="B7447" s="3">
        <v>-1.0164826230464801</v>
      </c>
      <c r="C7447" s="3">
        <v>1.6184813322904602E-2</v>
      </c>
      <c r="D7447" s="4">
        <v>3.85571066069283E-2</v>
      </c>
      <c r="E7447" s="3" t="s">
        <v>16560</v>
      </c>
      <c r="F7447" s="3" t="s">
        <v>16561</v>
      </c>
      <c r="G7447" s="3">
        <v>75607</v>
      </c>
      <c r="H7447" s="7" t="str">
        <f>HYPERLINK("http://www.ensembl.org/Mus_musculus/Gene/Summary?db=core;g=ENSMUSG00000037989","ENSMUSG00000037989")</f>
        <v>ENSMUSG00000037989</v>
      </c>
      <c r="I7447" s="7" t="str">
        <f>HYPERLINK("http://www.informatics.jax.org/marker/MGI:1922857","MGI:1922857")</f>
        <v>MGI:1922857</v>
      </c>
      <c r="J7447" s="4" t="s">
        <v>12</v>
      </c>
    </row>
    <row r="7448" spans="1:10" x14ac:dyDescent="0.25">
      <c r="A7448" s="2">
        <v>26.429407649474602</v>
      </c>
      <c r="B7448" s="3">
        <v>-1.0168284765526101</v>
      </c>
      <c r="C7448" s="5">
        <v>2.1970273370231401E-5</v>
      </c>
      <c r="D7448" s="6">
        <v>7.9554497036534005E-5</v>
      </c>
      <c r="E7448" s="3" t="s">
        <v>10904</v>
      </c>
      <c r="F7448" s="3" t="s">
        <v>10905</v>
      </c>
      <c r="G7448" s="3">
        <v>270160</v>
      </c>
      <c r="H7448" s="7" t="str">
        <f>HYPERLINK("http://www.ensembl.org/Mus_musculus/Gene/Summary?db=core;g=ENSMUSG00000055069","ENSMUSG00000055069")</f>
        <v>ENSMUSG00000055069</v>
      </c>
      <c r="I7448" s="7" t="str">
        <f>HYPERLINK("http://www.informatics.jax.org/marker/MGI:2442855","MGI:2442855")</f>
        <v>MGI:2442855</v>
      </c>
      <c r="J7448" s="4" t="s">
        <v>12</v>
      </c>
    </row>
    <row r="7449" spans="1:10" x14ac:dyDescent="0.25">
      <c r="A7449" s="2">
        <v>0.75546927549225196</v>
      </c>
      <c r="B7449" s="3">
        <v>-1.01879160406835</v>
      </c>
      <c r="C7449" s="3">
        <v>2.0665144106693002E-2</v>
      </c>
      <c r="D7449" s="4">
        <v>4.80505414201138E-2</v>
      </c>
      <c r="E7449" s="3" t="s">
        <v>16966</v>
      </c>
      <c r="F7449" s="3" t="s">
        <v>16967</v>
      </c>
      <c r="G7449" s="3">
        <v>14366</v>
      </c>
      <c r="H7449" s="7" t="str">
        <f>HYPERLINK("http://www.ensembl.org/Mus_musculus/Gene/Summary?db=core;g=ENSMUSG00000049791","ENSMUSG00000049791")</f>
        <v>ENSMUSG00000049791</v>
      </c>
      <c r="I7449" s="7" t="str">
        <f>HYPERLINK("http://www.informatics.jax.org/marker/MGI:108520","MGI:108520")</f>
        <v>MGI:108520</v>
      </c>
      <c r="J7449" s="4" t="s">
        <v>12</v>
      </c>
    </row>
    <row r="7450" spans="1:10" x14ac:dyDescent="0.25">
      <c r="A7450" s="2">
        <v>214.844855840599</v>
      </c>
      <c r="B7450" s="3">
        <v>-1.01938319245148</v>
      </c>
      <c r="C7450" s="5">
        <v>1.3473036023323199E-19</v>
      </c>
      <c r="D7450" s="6">
        <v>1.31333796529873E-18</v>
      </c>
      <c r="E7450" s="3" t="s">
        <v>4063</v>
      </c>
      <c r="F7450" s="3" t="s">
        <v>4064</v>
      </c>
      <c r="G7450" s="3">
        <v>382010</v>
      </c>
      <c r="H7450" s="7" t="str">
        <f>HYPERLINK("http://www.ensembl.org/Mus_musculus/Gene/Summary?db=core;g=ENSMUSG00000038215","ENSMUSG00000038215")</f>
        <v>ENSMUSG00000038215</v>
      </c>
      <c r="I7450" s="7" t="str">
        <f>HYPERLINK("http://www.informatics.jax.org/marker/MGI:3525111","MGI:3525111")</f>
        <v>MGI:3525111</v>
      </c>
      <c r="J7450" s="4" t="s">
        <v>12</v>
      </c>
    </row>
    <row r="7451" spans="1:10" x14ac:dyDescent="0.25">
      <c r="A7451" s="2">
        <v>154.67104406698499</v>
      </c>
      <c r="B7451" s="3">
        <v>-1.01959398303478</v>
      </c>
      <c r="C7451" s="5">
        <v>8.9635209637108897E-17</v>
      </c>
      <c r="D7451" s="6">
        <v>7.52813600529723E-16</v>
      </c>
      <c r="E7451" s="3" t="s">
        <v>4713</v>
      </c>
      <c r="F7451" s="3" t="s">
        <v>4714</v>
      </c>
      <c r="G7451" s="3">
        <v>52609</v>
      </c>
      <c r="H7451" s="7" t="str">
        <f>HYPERLINK("http://www.ensembl.org/Mus_musculus/Gene/Summary?db=core;g=ENSMUSG00000053411","ENSMUSG00000053411")</f>
        <v>ENSMUSG00000053411</v>
      </c>
      <c r="I7451" s="7" t="str">
        <f>HYPERLINK("http://www.informatics.jax.org/marker/MGI:1196439","MGI:1196439")</f>
        <v>MGI:1196439</v>
      </c>
      <c r="J7451" s="4" t="s">
        <v>12</v>
      </c>
    </row>
    <row r="7452" spans="1:10" x14ac:dyDescent="0.25">
      <c r="A7452" s="2">
        <v>172.05945582934999</v>
      </c>
      <c r="B7452" s="3">
        <v>-1.0206740351572301</v>
      </c>
      <c r="C7452" s="5">
        <v>1.92562657296417E-15</v>
      </c>
      <c r="D7452" s="6">
        <v>1.51288270991448E-14</v>
      </c>
      <c r="E7452" s="3" t="s">
        <v>5037</v>
      </c>
      <c r="F7452" s="3" t="s">
        <v>5038</v>
      </c>
      <c r="G7452" s="3">
        <v>77128</v>
      </c>
      <c r="H7452" s="7" t="str">
        <f>HYPERLINK("http://www.ensembl.org/Mus_musculus/Gene/Summary?db=core;g=ENSMUSG00000048249","ENSMUSG00000048249")</f>
        <v>ENSMUSG00000048249</v>
      </c>
      <c r="I7452" s="7" t="str">
        <f>HYPERLINK("http://www.informatics.jax.org/marker/MGI:1924378","MGI:1924378")</f>
        <v>MGI:1924378</v>
      </c>
      <c r="J7452" s="4" t="s">
        <v>12</v>
      </c>
    </row>
    <row r="7453" spans="1:10" x14ac:dyDescent="0.25">
      <c r="A7453" s="2">
        <v>13.9871996345992</v>
      </c>
      <c r="B7453" s="3">
        <v>-1.0216042653787001</v>
      </c>
      <c r="C7453" s="3">
        <v>4.1375298668831702E-4</v>
      </c>
      <c r="D7453" s="4">
        <v>1.2873475698159699E-3</v>
      </c>
      <c r="E7453" s="3" t="s">
        <v>12689</v>
      </c>
      <c r="F7453" s="3" t="s">
        <v>12690</v>
      </c>
      <c r="G7453" s="3">
        <v>13394</v>
      </c>
      <c r="H7453" s="7" t="str">
        <f>HYPERLINK("http://www.ensembl.org/Mus_musculus/Gene/Summary?db=core;g=ENSMUSG00000020871","ENSMUSG00000020871")</f>
        <v>ENSMUSG00000020871</v>
      </c>
      <c r="I7453" s="7" t="str">
        <f>HYPERLINK("http://www.informatics.jax.org/marker/MGI:94904","MGI:94904")</f>
        <v>MGI:94904</v>
      </c>
      <c r="J7453" s="4" t="s">
        <v>12</v>
      </c>
    </row>
    <row r="7454" spans="1:10" x14ac:dyDescent="0.25">
      <c r="A7454" s="2">
        <v>14.1088181622919</v>
      </c>
      <c r="B7454" s="3">
        <v>-1.02181933323842</v>
      </c>
      <c r="C7454" s="3">
        <v>1.80417756155299E-3</v>
      </c>
      <c r="D7454" s="4">
        <v>5.1273067464800296E-3</v>
      </c>
      <c r="E7454" s="3" t="s">
        <v>13885</v>
      </c>
      <c r="F7454" s="3" t="s">
        <v>13886</v>
      </c>
      <c r="G7454" s="3">
        <v>209039</v>
      </c>
      <c r="H7454" s="7" t="str">
        <f>HYPERLINK("http://www.ensembl.org/Mus_musculus/Gene/Summary?db=core;g=ENSMUSG00000037003","ENSMUSG00000037003")</f>
        <v>ENSMUSG00000037003</v>
      </c>
      <c r="I7454" s="7" t="str">
        <f>HYPERLINK("http://www.informatics.jax.org/marker/MGI:2387586","MGI:2387586")</f>
        <v>MGI:2387586</v>
      </c>
      <c r="J7454" s="4" t="s">
        <v>12</v>
      </c>
    </row>
    <row r="7455" spans="1:10" x14ac:dyDescent="0.25">
      <c r="A7455" s="2">
        <v>52.075157386669098</v>
      </c>
      <c r="B7455" s="3">
        <v>-1.0224645833513599</v>
      </c>
      <c r="C7455" s="5">
        <v>8.1139277898779406E-9</v>
      </c>
      <c r="D7455" s="6">
        <v>4.0569638949389701E-8</v>
      </c>
      <c r="E7455" s="3" t="s">
        <v>7904</v>
      </c>
      <c r="F7455" s="3" t="s">
        <v>7905</v>
      </c>
      <c r="G7455" s="3">
        <v>76117</v>
      </c>
      <c r="H7455" s="7" t="str">
        <f>HYPERLINK("http://www.ensembl.org/Mus_musculus/Gene/Summary?db=core;g=ENSMUSG00000049744","ENSMUSG00000049744")</f>
        <v>ENSMUSG00000049744</v>
      </c>
      <c r="I7455" s="7" t="str">
        <f>HYPERLINK("http://www.informatics.jax.org/marker/MGI:1923367","MGI:1923367")</f>
        <v>MGI:1923367</v>
      </c>
      <c r="J7455" s="4" t="s">
        <v>12</v>
      </c>
    </row>
    <row r="7456" spans="1:10" x14ac:dyDescent="0.25">
      <c r="A7456" s="2">
        <v>3.8769199659420601</v>
      </c>
      <c r="B7456" s="3">
        <v>-1.0228420048381099</v>
      </c>
      <c r="C7456" s="3">
        <v>1.7091533314536399E-2</v>
      </c>
      <c r="D7456" s="4">
        <v>4.0510220788780998E-2</v>
      </c>
      <c r="E7456" s="3" t="s">
        <v>16644</v>
      </c>
      <c r="F7456" s="3" t="s">
        <v>16645</v>
      </c>
      <c r="G7456" s="3">
        <v>69307</v>
      </c>
      <c r="H7456" s="7" t="str">
        <f>HYPERLINK("http://www.ensembl.org/Mus_musculus/Gene/Summary?db=core;g=ENSMUSG00000045378","ENSMUSG00000045378")</f>
        <v>ENSMUSG00000045378</v>
      </c>
      <c r="I7456" s="7" t="str">
        <f>HYPERLINK("http://www.informatics.jax.org/marker/MGI:1916557","MGI:1916557")</f>
        <v>MGI:1916557</v>
      </c>
      <c r="J7456" s="4" t="s">
        <v>12</v>
      </c>
    </row>
    <row r="7457" spans="1:10" x14ac:dyDescent="0.25">
      <c r="A7457" s="2">
        <v>656.60658783832696</v>
      </c>
      <c r="B7457" s="3">
        <v>-1.0230417073567499</v>
      </c>
      <c r="C7457" s="5">
        <v>2.71682720028501E-52</v>
      </c>
      <c r="D7457" s="6">
        <v>7.7310003448225802E-51</v>
      </c>
      <c r="E7457" s="3" t="s">
        <v>1402</v>
      </c>
      <c r="F7457" s="3" t="s">
        <v>1403</v>
      </c>
      <c r="G7457" s="3">
        <v>26951</v>
      </c>
      <c r="H7457" s="7" t="str">
        <f>HYPERLINK("http://www.ensembl.org/Mus_musculus/Gene/Summary?db=core;g=ENSMUSG00000032264","ENSMUSG00000032264")</f>
        <v>ENSMUSG00000032264</v>
      </c>
      <c r="I7457" s="7" t="str">
        <f>HYPERLINK("http://www.informatics.jax.org/marker/MGI:1349478","MGI:1349478")</f>
        <v>MGI:1349478</v>
      </c>
      <c r="J7457" s="4" t="s">
        <v>12</v>
      </c>
    </row>
    <row r="7458" spans="1:10" x14ac:dyDescent="0.25">
      <c r="A7458" s="2">
        <v>26.030385883685899</v>
      </c>
      <c r="B7458" s="3">
        <v>-1.0231141439635401</v>
      </c>
      <c r="C7458" s="5">
        <v>8.9687417041808202E-6</v>
      </c>
      <c r="D7458" s="6">
        <v>3.3765480413601701E-5</v>
      </c>
      <c r="E7458" s="3" t="s">
        <v>10490</v>
      </c>
      <c r="F7458" s="3" t="s">
        <v>10491</v>
      </c>
      <c r="G7458" s="3" t="s">
        <v>83</v>
      </c>
      <c r="H7458" s="7" t="str">
        <f>HYPERLINK("http://www.ensembl.org/Mus_musculus/Gene/Summary?db=core;g=ENSMUSG00000093483","ENSMUSG00000093483")</f>
        <v>ENSMUSG00000093483</v>
      </c>
      <c r="I7458" s="7" t="str">
        <f>HYPERLINK("http://www.informatics.jax.org/marker/MGI:2671018","MGI:2671018")</f>
        <v>MGI:2671018</v>
      </c>
      <c r="J7458" s="4" t="s">
        <v>331</v>
      </c>
    </row>
    <row r="7459" spans="1:10" x14ac:dyDescent="0.25">
      <c r="A7459" s="2">
        <v>75.337978507620903</v>
      </c>
      <c r="B7459" s="3">
        <v>-1.02320019118607</v>
      </c>
      <c r="C7459" s="5">
        <v>1.5755390792941299E-9</v>
      </c>
      <c r="D7459" s="6">
        <v>8.3162822922056496E-9</v>
      </c>
      <c r="E7459" s="3" t="s">
        <v>7490</v>
      </c>
      <c r="F7459" s="3" t="s">
        <v>7491</v>
      </c>
      <c r="G7459" s="3">
        <v>70380</v>
      </c>
      <c r="H7459" s="7" t="str">
        <f>HYPERLINK("http://www.ensembl.org/Mus_musculus/Gene/Summary?db=core;g=ENSMUSG00000023074","ENSMUSG00000023074")</f>
        <v>ENSMUSG00000023074</v>
      </c>
      <c r="I7459" s="7" t="str">
        <f>HYPERLINK("http://www.informatics.jax.org/marker/MGI:1917630","MGI:1917630")</f>
        <v>MGI:1917630</v>
      </c>
      <c r="J7459" s="4" t="s">
        <v>12</v>
      </c>
    </row>
    <row r="7460" spans="1:10" x14ac:dyDescent="0.25">
      <c r="A7460" s="2">
        <v>7.8768833485118899</v>
      </c>
      <c r="B7460" s="3">
        <v>-1.0235696984699201</v>
      </c>
      <c r="C7460" s="3">
        <v>5.2586571285665002E-3</v>
      </c>
      <c r="D7460" s="4">
        <v>1.38563226316584E-2</v>
      </c>
      <c r="E7460" s="3" t="s">
        <v>14972</v>
      </c>
      <c r="F7460" s="3" t="s">
        <v>14973</v>
      </c>
      <c r="G7460" s="3" t="s">
        <v>83</v>
      </c>
      <c r="H7460" s="7" t="str">
        <f>HYPERLINK("http://www.ensembl.org/Mus_musculus/Gene/Summary?db=core;g=ENSMUSG00000093622","ENSMUSG00000093622")</f>
        <v>ENSMUSG00000093622</v>
      </c>
      <c r="I7460" s="7" t="str">
        <f>HYPERLINK("http://www.informatics.jax.org/marker/MGI:5313150","MGI:5313150")</f>
        <v>MGI:5313150</v>
      </c>
      <c r="J7460" s="4" t="s">
        <v>939</v>
      </c>
    </row>
    <row r="7461" spans="1:10" x14ac:dyDescent="0.25">
      <c r="A7461" s="2">
        <v>620.66449425932399</v>
      </c>
      <c r="B7461" s="3">
        <v>-1.02418514745625</v>
      </c>
      <c r="C7461" s="5">
        <v>4.5109683629155302E-40</v>
      </c>
      <c r="D7461" s="6">
        <v>9.1992033212713796E-39</v>
      </c>
      <c r="E7461" s="3" t="s">
        <v>1951</v>
      </c>
      <c r="F7461" s="3" t="s">
        <v>1952</v>
      </c>
      <c r="G7461" s="3">
        <v>73340</v>
      </c>
      <c r="H7461" s="7" t="str">
        <f>HYPERLINK("http://www.ensembl.org/Mus_musculus/Gene/Summary?db=core;g=ENSMUSG00000022421","ENSMUSG00000022421")</f>
        <v>ENSMUSG00000022421</v>
      </c>
      <c r="I7461" s="7" t="str">
        <f>HYPERLINK("http://www.informatics.jax.org/marker/MGI:1920590","MGI:1920590")</f>
        <v>MGI:1920590</v>
      </c>
      <c r="J7461" s="4" t="s">
        <v>12</v>
      </c>
    </row>
    <row r="7462" spans="1:10" x14ac:dyDescent="0.25">
      <c r="A7462" s="2">
        <v>643.14470523309706</v>
      </c>
      <c r="B7462" s="3">
        <v>-1.0247501804511101</v>
      </c>
      <c r="C7462" s="5">
        <v>1.54977425151939E-9</v>
      </c>
      <c r="D7462" s="6">
        <v>8.1846674450889899E-9</v>
      </c>
      <c r="E7462" s="3" t="s">
        <v>7486</v>
      </c>
      <c r="F7462" s="3" t="s">
        <v>7487</v>
      </c>
      <c r="G7462" s="3">
        <v>211651</v>
      </c>
      <c r="H7462" s="7" t="str">
        <f>HYPERLINK("http://www.ensembl.org/Mus_musculus/Gene/Summary?db=core;g=ENSMUSG00000034023","ENSMUSG00000034023")</f>
        <v>ENSMUSG00000034023</v>
      </c>
      <c r="I7462" s="7" t="str">
        <f>HYPERLINK("http://www.informatics.jax.org/marker/MGI:2448480","MGI:2448480")</f>
        <v>MGI:2448480</v>
      </c>
      <c r="J7462" s="4" t="s">
        <v>12</v>
      </c>
    </row>
    <row r="7463" spans="1:10" x14ac:dyDescent="0.25">
      <c r="A7463" s="2">
        <v>108.117876531528</v>
      </c>
      <c r="B7463" s="3">
        <v>-1.0254855636656599</v>
      </c>
      <c r="C7463" s="5">
        <v>6.5316641520080698E-16</v>
      </c>
      <c r="D7463" s="6">
        <v>5.2487537521434101E-15</v>
      </c>
      <c r="E7463" s="3" t="s">
        <v>4925</v>
      </c>
      <c r="F7463" s="3" t="s">
        <v>4926</v>
      </c>
      <c r="G7463" s="3">
        <v>74682</v>
      </c>
      <c r="H7463" s="7" t="str">
        <f>HYPERLINK("http://www.ensembl.org/Mus_musculus/Gene/Summary?db=core;g=ENSMUSG00000066643","ENSMUSG00000066643")</f>
        <v>ENSMUSG00000066643</v>
      </c>
      <c r="I7463" s="7" t="str">
        <f>HYPERLINK("http://www.informatics.jax.org/marker/MGI:1921932","MGI:1921932")</f>
        <v>MGI:1921932</v>
      </c>
      <c r="J7463" s="4" t="s">
        <v>12</v>
      </c>
    </row>
    <row r="7464" spans="1:10" x14ac:dyDescent="0.25">
      <c r="A7464" s="2">
        <v>222.353587217159</v>
      </c>
      <c r="B7464" s="3">
        <v>-1.0257710049523201</v>
      </c>
      <c r="C7464" s="5">
        <v>2.9644359019298301E-27</v>
      </c>
      <c r="D7464" s="6">
        <v>3.9366111775121999E-26</v>
      </c>
      <c r="E7464" s="3" t="s">
        <v>2988</v>
      </c>
      <c r="F7464" s="3" t="s">
        <v>2989</v>
      </c>
      <c r="G7464" s="3">
        <v>71240</v>
      </c>
      <c r="H7464" s="7" t="str">
        <f>HYPERLINK("http://www.ensembl.org/Mus_musculus/Gene/Summary?db=core;g=ENSMUSG00000038534","ENSMUSG00000038534")</f>
        <v>ENSMUSG00000038534</v>
      </c>
      <c r="I7464" s="7" t="str">
        <f>HYPERLINK("http://www.informatics.jax.org/marker/MGI:1918490","MGI:1918490")</f>
        <v>MGI:1918490</v>
      </c>
      <c r="J7464" s="4" t="s">
        <v>12</v>
      </c>
    </row>
    <row r="7465" spans="1:10" x14ac:dyDescent="0.25">
      <c r="A7465" s="2">
        <v>103.528756588015</v>
      </c>
      <c r="B7465" s="3">
        <v>-1.02693809742939</v>
      </c>
      <c r="C7465" s="5">
        <v>2.25991085876607E-14</v>
      </c>
      <c r="D7465" s="6">
        <v>1.67981312230935E-13</v>
      </c>
      <c r="E7465" s="3" t="s">
        <v>5323</v>
      </c>
      <c r="F7465" s="3" t="s">
        <v>5324</v>
      </c>
      <c r="G7465" s="3">
        <v>73327</v>
      </c>
      <c r="H7465" s="7" t="str">
        <f>HYPERLINK("http://www.ensembl.org/Mus_musculus/Gene/Summary?db=core;g=ENSMUSG00000030008","ENSMUSG00000030008")</f>
        <v>ENSMUSG00000030008</v>
      </c>
      <c r="I7465" s="7" t="str">
        <f>HYPERLINK("http://www.informatics.jax.org/marker/MGI:1920577","MGI:1920577")</f>
        <v>MGI:1920577</v>
      </c>
      <c r="J7465" s="4" t="s">
        <v>12</v>
      </c>
    </row>
    <row r="7466" spans="1:10" x14ac:dyDescent="0.25">
      <c r="A7466" s="2">
        <v>177.16213213180399</v>
      </c>
      <c r="B7466" s="3">
        <v>-1.02702427748142</v>
      </c>
      <c r="C7466" s="5">
        <v>3.6584389883595899E-11</v>
      </c>
      <c r="D7466" s="6">
        <v>2.2001956953477E-10</v>
      </c>
      <c r="E7466" s="3" t="s">
        <v>6575</v>
      </c>
      <c r="F7466" s="3" t="s">
        <v>6576</v>
      </c>
      <c r="G7466" s="3">
        <v>227693</v>
      </c>
      <c r="H7466" s="7" t="str">
        <f>HYPERLINK("http://www.ensembl.org/Mus_musculus/Gene/Summary?db=core;g=ENSMUSG00000039686","ENSMUSG00000039686")</f>
        <v>ENSMUSG00000039686</v>
      </c>
      <c r="I7466" s="7" t="str">
        <f>HYPERLINK("http://www.informatics.jax.org/marker/MGI:2442511","MGI:2442511")</f>
        <v>MGI:2442511</v>
      </c>
      <c r="J7466" s="4" t="s">
        <v>12</v>
      </c>
    </row>
    <row r="7467" spans="1:10" x14ac:dyDescent="0.25">
      <c r="A7467" s="2">
        <v>1586.7808876316001</v>
      </c>
      <c r="B7467" s="3">
        <v>-1.0272226104112501</v>
      </c>
      <c r="C7467" s="5">
        <v>1.8605044310412101E-52</v>
      </c>
      <c r="D7467" s="6">
        <v>5.3249851059699201E-51</v>
      </c>
      <c r="E7467" s="3" t="s">
        <v>1394</v>
      </c>
      <c r="F7467" s="3" t="s">
        <v>1395</v>
      </c>
      <c r="G7467" s="3">
        <v>380684</v>
      </c>
      <c r="H7467" s="7" t="str">
        <f>HYPERLINK("http://www.ensembl.org/Mus_musculus/Gene/Summary?db=core;g=ENSMUSG00000020396","ENSMUSG00000020396")</f>
        <v>ENSMUSG00000020396</v>
      </c>
      <c r="I7467" s="7" t="str">
        <f>HYPERLINK("http://www.informatics.jax.org/marker/MGI:97309","MGI:97309")</f>
        <v>MGI:97309</v>
      </c>
      <c r="J7467" s="4" t="s">
        <v>12</v>
      </c>
    </row>
    <row r="7468" spans="1:10" x14ac:dyDescent="0.25">
      <c r="A7468" s="2">
        <v>291.54442750769198</v>
      </c>
      <c r="B7468" s="3">
        <v>-1.0272632159899799</v>
      </c>
      <c r="C7468" s="5">
        <v>8.8077979270893401E-32</v>
      </c>
      <c r="D7468" s="6">
        <v>1.36334203392623E-30</v>
      </c>
      <c r="E7468" s="3" t="s">
        <v>2565</v>
      </c>
      <c r="F7468" s="3" t="s">
        <v>2566</v>
      </c>
      <c r="G7468" s="3">
        <v>68145</v>
      </c>
      <c r="H7468" s="7" t="str">
        <f>HYPERLINK("http://www.ensembl.org/Mus_musculus/Gene/Summary?db=core;g=ENSMUSG00000016984","ENSMUSG00000016984")</f>
        <v>ENSMUSG00000016984</v>
      </c>
      <c r="I7468" s="7" t="str">
        <f>HYPERLINK("http://www.informatics.jax.org/marker/MGI:1915395","MGI:1915395")</f>
        <v>MGI:1915395</v>
      </c>
      <c r="J7468" s="4" t="s">
        <v>12</v>
      </c>
    </row>
    <row r="7469" spans="1:10" x14ac:dyDescent="0.25">
      <c r="A7469" s="2">
        <v>1718.6340418187399</v>
      </c>
      <c r="B7469" s="3">
        <v>-1.0278787108721601</v>
      </c>
      <c r="C7469" s="5">
        <v>9.6708240381092299E-12</v>
      </c>
      <c r="D7469" s="6">
        <v>6.0484823987159598E-11</v>
      </c>
      <c r="E7469" s="3" t="s">
        <v>6323</v>
      </c>
      <c r="F7469" s="3" t="s">
        <v>6324</v>
      </c>
      <c r="G7469" s="3">
        <v>108000</v>
      </c>
      <c r="H7469" s="7" t="str">
        <f>HYPERLINK("http://www.ensembl.org/Mus_musculus/Gene/Summary?db=core;g=ENSMUSG00000026605","ENSMUSG00000026605")</f>
        <v>ENSMUSG00000026605</v>
      </c>
      <c r="I7469" s="7" t="str">
        <f>HYPERLINK("http://www.informatics.jax.org/marker/MGI:1313302","MGI:1313302")</f>
        <v>MGI:1313302</v>
      </c>
      <c r="J7469" s="4" t="s">
        <v>12</v>
      </c>
    </row>
    <row r="7470" spans="1:10" x14ac:dyDescent="0.25">
      <c r="A7470" s="2">
        <v>491.80438685110499</v>
      </c>
      <c r="B7470" s="3">
        <v>-1.02796275529901</v>
      </c>
      <c r="C7470" s="5">
        <v>6.5351089251901303E-47</v>
      </c>
      <c r="D7470" s="6">
        <v>1.6271761111710799E-45</v>
      </c>
      <c r="E7470" s="3" t="s">
        <v>1600</v>
      </c>
      <c r="F7470" s="3" t="s">
        <v>1601</v>
      </c>
      <c r="G7470" s="3">
        <v>67872</v>
      </c>
      <c r="H7470" s="7" t="str">
        <f>HYPERLINK("http://www.ensembl.org/Mus_musculus/Gene/Summary?db=core;g=ENSMUSG00000040331","ENSMUSG00000040331")</f>
        <v>ENSMUSG00000040331</v>
      </c>
      <c r="I7470" s="7" t="str">
        <f>HYPERLINK("http://www.informatics.jax.org/marker/MGI:1915122","MGI:1915122")</f>
        <v>MGI:1915122</v>
      </c>
      <c r="J7470" s="4" t="s">
        <v>12</v>
      </c>
    </row>
    <row r="7471" spans="1:10" x14ac:dyDescent="0.25">
      <c r="A7471" s="2">
        <v>0.77271078054343401</v>
      </c>
      <c r="B7471" s="3">
        <v>-1.0280965074933299</v>
      </c>
      <c r="C7471" s="3">
        <v>1.98837561197782E-2</v>
      </c>
      <c r="D7471" s="4">
        <v>4.6447248363187102E-2</v>
      </c>
      <c r="E7471" s="3" t="s">
        <v>16886</v>
      </c>
      <c r="F7471" s="3" t="s">
        <v>16887</v>
      </c>
      <c r="G7471" s="3">
        <v>66573</v>
      </c>
      <c r="H7471" s="7" t="str">
        <f>HYPERLINK("http://www.ensembl.org/Mus_musculus/Gene/Summary?db=core;g=ENSMUSG00000042156","ENSMUSG00000042156")</f>
        <v>ENSMUSG00000042156</v>
      </c>
      <c r="I7471" s="7" t="str">
        <f>HYPERLINK("http://www.informatics.jax.org/marker/MGI:1914311","MGI:1914311")</f>
        <v>MGI:1914311</v>
      </c>
      <c r="J7471" s="4" t="s">
        <v>12</v>
      </c>
    </row>
    <row r="7472" spans="1:10" x14ac:dyDescent="0.25">
      <c r="A7472" s="2">
        <v>5.9480471011059199</v>
      </c>
      <c r="B7472" s="3">
        <v>-1.02857362815745</v>
      </c>
      <c r="C7472" s="3">
        <v>7.2598721109178796E-3</v>
      </c>
      <c r="D7472" s="4">
        <v>1.8563884598975702E-2</v>
      </c>
      <c r="E7472" s="3" t="s">
        <v>15429</v>
      </c>
      <c r="F7472" s="3" t="s">
        <v>15430</v>
      </c>
      <c r="G7472" s="3">
        <v>243308</v>
      </c>
      <c r="H7472" s="7" t="str">
        <f>HYPERLINK("http://www.ensembl.org/Mus_musculus/Gene/Summary?db=core;g=ENSMUSG00000056014","ENSMUSG00000056014")</f>
        <v>ENSMUSG00000056014</v>
      </c>
      <c r="I7472" s="7" t="str">
        <f>HYPERLINK("http://www.informatics.jax.org/marker/MGI:3583896","MGI:3583896")</f>
        <v>MGI:3583896</v>
      </c>
      <c r="J7472" s="4" t="s">
        <v>12</v>
      </c>
    </row>
    <row r="7473" spans="1:10" x14ac:dyDescent="0.25">
      <c r="A7473" s="2">
        <v>69.522400816125099</v>
      </c>
      <c r="B7473" s="3">
        <v>-1.02944533491184</v>
      </c>
      <c r="C7473" s="5">
        <v>2.9754160182732101E-14</v>
      </c>
      <c r="D7473" s="6">
        <v>2.19182681659872E-13</v>
      </c>
      <c r="E7473" s="3" t="s">
        <v>5371</v>
      </c>
      <c r="F7473" s="3" t="s">
        <v>5372</v>
      </c>
      <c r="G7473" s="3">
        <v>236727</v>
      </c>
      <c r="H7473" s="7" t="str">
        <f>HYPERLINK("http://www.ensembl.org/Mus_musculus/Gene/Summary?db=core;g=ENSMUSG00000037341","ENSMUSG00000037341")</f>
        <v>ENSMUSG00000037341</v>
      </c>
      <c r="I7473" s="7" t="str">
        <f>HYPERLINK("http://www.informatics.jax.org/marker/MGI:2444530","MGI:2444530")</f>
        <v>MGI:2444530</v>
      </c>
      <c r="J7473" s="4" t="s">
        <v>12</v>
      </c>
    </row>
    <row r="7474" spans="1:10" x14ac:dyDescent="0.25">
      <c r="A7474" s="2">
        <v>474.33376506112597</v>
      </c>
      <c r="B7474" s="3">
        <v>-1.02989241741162</v>
      </c>
      <c r="C7474" s="5">
        <v>3.8562541957991502E-14</v>
      </c>
      <c r="D7474" s="6">
        <v>2.81024880787728E-13</v>
      </c>
      <c r="E7474" s="3" t="s">
        <v>5429</v>
      </c>
      <c r="F7474" s="3" t="s">
        <v>5430</v>
      </c>
      <c r="G7474" s="3">
        <v>330050</v>
      </c>
      <c r="H7474" s="7" t="str">
        <f>HYPERLINK("http://www.ensembl.org/Mus_musculus/Gene/Summary?db=core;g=ENSMUSG00000047221","ENSMUSG00000047221")</f>
        <v>ENSMUSG00000047221</v>
      </c>
      <c r="I7474" s="7" t="str">
        <f>HYPERLINK("http://www.informatics.jax.org/marker/MGI:2140983","MGI:2140983")</f>
        <v>MGI:2140983</v>
      </c>
      <c r="J7474" s="4" t="s">
        <v>12</v>
      </c>
    </row>
    <row r="7475" spans="1:10" x14ac:dyDescent="0.25">
      <c r="A7475" s="2">
        <v>2939.3208574157902</v>
      </c>
      <c r="B7475" s="3">
        <v>-1.0304896774182899</v>
      </c>
      <c r="C7475" s="5">
        <v>1.1686926754394201E-36</v>
      </c>
      <c r="D7475" s="6">
        <v>2.1458677429855999E-35</v>
      </c>
      <c r="E7475" s="3" t="s">
        <v>2165</v>
      </c>
      <c r="F7475" s="3" t="s">
        <v>2166</v>
      </c>
      <c r="G7475" s="3">
        <v>320528</v>
      </c>
      <c r="H7475" s="7" t="str">
        <f>HYPERLINK("http://www.ensembl.org/Mus_musculus/Gene/Summary?db=core;g=ENSMUSG00000035284","ENSMUSG00000035284")</f>
        <v>ENSMUSG00000035284</v>
      </c>
      <c r="I7475" s="7" t="str">
        <f>HYPERLINK("http://www.informatics.jax.org/marker/MGI:2444207","MGI:2444207")</f>
        <v>MGI:2444207</v>
      </c>
      <c r="J7475" s="4" t="s">
        <v>12</v>
      </c>
    </row>
    <row r="7476" spans="1:10" x14ac:dyDescent="0.25">
      <c r="A7476" s="2">
        <v>103.717514492706</v>
      </c>
      <c r="B7476" s="3">
        <v>-1.0315642464469099</v>
      </c>
      <c r="C7476" s="5">
        <v>3.1574783876061902E-13</v>
      </c>
      <c r="D7476" s="6">
        <v>2.1832213816127E-12</v>
      </c>
      <c r="E7476" s="3" t="s">
        <v>5721</v>
      </c>
      <c r="F7476" s="3" t="s">
        <v>5722</v>
      </c>
      <c r="G7476" s="3">
        <v>240614</v>
      </c>
      <c r="H7476" s="7" t="str">
        <f>HYPERLINK("http://www.ensembl.org/Mus_musculus/Gene/Summary?db=core;g=ENSMUSG00000074909","ENSMUSG00000074909")</f>
        <v>ENSMUSG00000074909</v>
      </c>
      <c r="I7476" s="7" t="str">
        <f>HYPERLINK("http://www.informatics.jax.org/marker/MGI:2683212","MGI:2683212")</f>
        <v>MGI:2683212</v>
      </c>
      <c r="J7476" s="4" t="s">
        <v>12</v>
      </c>
    </row>
    <row r="7477" spans="1:10" x14ac:dyDescent="0.25">
      <c r="A7477" s="2">
        <v>221.242293095028</v>
      </c>
      <c r="B7477" s="3">
        <v>-1.03194331620285</v>
      </c>
      <c r="C7477" s="5">
        <v>1.16251319023636E-29</v>
      </c>
      <c r="D7477" s="6">
        <v>1.6931137453073101E-28</v>
      </c>
      <c r="E7477" s="3" t="s">
        <v>2726</v>
      </c>
      <c r="F7477" s="3" t="s">
        <v>2727</v>
      </c>
      <c r="G7477" s="3">
        <v>18583</v>
      </c>
      <c r="H7477" s="7" t="str">
        <f>HYPERLINK("http://www.ensembl.org/Mus_musculus/Gene/Summary?db=core;g=ENSMUSG00000069094","ENSMUSG00000069094")</f>
        <v>ENSMUSG00000069094</v>
      </c>
      <c r="I7477" s="7" t="str">
        <f>HYPERLINK("http://www.informatics.jax.org/marker/MGI:1202402","MGI:1202402")</f>
        <v>MGI:1202402</v>
      </c>
      <c r="J7477" s="4" t="s">
        <v>12</v>
      </c>
    </row>
    <row r="7478" spans="1:10" x14ac:dyDescent="0.25">
      <c r="A7478" s="2">
        <v>21.531018586330902</v>
      </c>
      <c r="B7478" s="3">
        <v>-1.03206408253394</v>
      </c>
      <c r="C7478" s="5">
        <v>9.5483372617101508E-6</v>
      </c>
      <c r="D7478" s="6">
        <v>3.5810804640723501E-5</v>
      </c>
      <c r="E7478" s="3" t="s">
        <v>10530</v>
      </c>
      <c r="F7478" s="3" t="s">
        <v>10531</v>
      </c>
      <c r="G7478" s="3">
        <v>215693</v>
      </c>
      <c r="H7478" s="7" t="str">
        <f>HYPERLINK("http://www.ensembl.org/Mus_musculus/Gene/Summary?db=core;g=ENSMUSG00000052676","ENSMUSG00000052676")</f>
        <v>ENSMUSG00000052676</v>
      </c>
      <c r="I7478" s="7" t="str">
        <f>HYPERLINK("http://www.informatics.jax.org/marker/MGI:2442284","MGI:2442284")</f>
        <v>MGI:2442284</v>
      </c>
      <c r="J7478" s="4" t="s">
        <v>12</v>
      </c>
    </row>
    <row r="7479" spans="1:10" x14ac:dyDescent="0.25">
      <c r="A7479" s="2">
        <v>529.82544637606304</v>
      </c>
      <c r="B7479" s="3">
        <v>-1.0321658155597</v>
      </c>
      <c r="C7479" s="5">
        <v>9.8370714346589795E-7</v>
      </c>
      <c r="D7479" s="6">
        <v>4.07193637051795E-6</v>
      </c>
      <c r="E7479" s="3" t="s">
        <v>9543</v>
      </c>
      <c r="F7479" s="3" t="s">
        <v>9544</v>
      </c>
      <c r="G7479" s="3">
        <v>235461</v>
      </c>
      <c r="H7479" s="7" t="str">
        <f>HYPERLINK("http://www.ensembl.org/Mus_musculus/Gene/Summary?db=core;g=ENSMUSG00000042444","ENSMUSG00000042444")</f>
        <v>ENSMUSG00000042444</v>
      </c>
      <c r="I7479" s="7" t="str">
        <f>HYPERLINK("http://www.informatics.jax.org/marker/MGI:2443086","MGI:2443086")</f>
        <v>MGI:2443086</v>
      </c>
      <c r="J7479" s="4" t="s">
        <v>12</v>
      </c>
    </row>
    <row r="7480" spans="1:10" x14ac:dyDescent="0.25">
      <c r="A7480" s="2">
        <v>6.9327412318299002</v>
      </c>
      <c r="B7480" s="3">
        <v>-1.03362608926615</v>
      </c>
      <c r="C7480" s="3">
        <v>1.05483890231131E-2</v>
      </c>
      <c r="D7480" s="4">
        <v>2.6125876857044799E-2</v>
      </c>
      <c r="E7480" s="3" t="s">
        <v>15929</v>
      </c>
      <c r="F7480" s="3" t="s">
        <v>15930</v>
      </c>
      <c r="G7480" s="3">
        <v>629378</v>
      </c>
      <c r="H7480" s="7" t="str">
        <f>HYPERLINK("http://www.ensembl.org/Mus_musculus/Gene/Summary?db=core;g=ENSMUSG00000078794","ENSMUSG00000078794")</f>
        <v>ENSMUSG00000078794</v>
      </c>
      <c r="I7480" s="7" t="str">
        <f>HYPERLINK("http://www.informatics.jax.org/marker/MGI:3654828","MGI:3654828")</f>
        <v>MGI:3654828</v>
      </c>
      <c r="J7480" s="4" t="s">
        <v>12</v>
      </c>
    </row>
    <row r="7481" spans="1:10" x14ac:dyDescent="0.25">
      <c r="A7481" s="2">
        <v>223.30488236733601</v>
      </c>
      <c r="B7481" s="3">
        <v>-1.0341723667809499</v>
      </c>
      <c r="C7481" s="5">
        <v>4.3160005346651902E-26</v>
      </c>
      <c r="D7481" s="6">
        <v>5.50527364447591E-25</v>
      </c>
      <c r="E7481" s="3" t="s">
        <v>3110</v>
      </c>
      <c r="F7481" s="3" t="s">
        <v>3111</v>
      </c>
      <c r="G7481" s="3">
        <v>73750</v>
      </c>
      <c r="H7481" s="7" t="str">
        <f>HYPERLINK("http://www.ensembl.org/Mus_musculus/Gene/Summary?db=core;g=ENSMUSG00000039137","ENSMUSG00000039137")</f>
        <v>ENSMUSG00000039137</v>
      </c>
      <c r="I7481" s="7" t="str">
        <f>HYPERLINK("http://www.informatics.jax.org/marker/MGI:2682003","MGI:2682003")</f>
        <v>MGI:2682003</v>
      </c>
      <c r="J7481" s="4" t="s">
        <v>12</v>
      </c>
    </row>
    <row r="7482" spans="1:10" x14ac:dyDescent="0.25">
      <c r="A7482" s="2">
        <v>4.6241698350148503</v>
      </c>
      <c r="B7482" s="3">
        <v>-1.0349953479970799</v>
      </c>
      <c r="C7482" s="3">
        <v>1.7302313533779499E-2</v>
      </c>
      <c r="D7482" s="4">
        <v>4.0950746865834303E-2</v>
      </c>
      <c r="E7482" s="3" t="s">
        <v>16668</v>
      </c>
      <c r="F7482" s="3" t="s">
        <v>16669</v>
      </c>
      <c r="G7482" s="3" t="s">
        <v>83</v>
      </c>
      <c r="H7482" s="7" t="str">
        <f>HYPERLINK("http://www.ensembl.org/Mus_musculus/Gene/Summary?db=core;g=ENSMUSG00000074885","ENSMUSG00000074885")</f>
        <v>ENSMUSG00000074885</v>
      </c>
      <c r="I7482" s="7" t="str">
        <f>HYPERLINK("http://www.informatics.jax.org/marker/MGI:3642506","MGI:3642506")</f>
        <v>MGI:3642506</v>
      </c>
      <c r="J7482" s="4" t="s">
        <v>939</v>
      </c>
    </row>
    <row r="7483" spans="1:10" x14ac:dyDescent="0.25">
      <c r="A7483" s="2">
        <v>334.92541705850101</v>
      </c>
      <c r="B7483" s="3">
        <v>-1.03504364530617</v>
      </c>
      <c r="C7483" s="5">
        <v>5.6008667858392802E-6</v>
      </c>
      <c r="D7483" s="6">
        <v>2.15258415546191E-5</v>
      </c>
      <c r="E7483" s="3" t="s">
        <v>10274</v>
      </c>
      <c r="F7483" s="3" t="s">
        <v>10275</v>
      </c>
      <c r="G7483" s="3">
        <v>236790</v>
      </c>
      <c r="H7483" s="7" t="str">
        <f>HYPERLINK("http://www.ensembl.org/Mus_musculus/Gene/Summary?db=core;g=ENSMUSG00000035967","ENSMUSG00000035967")</f>
        <v>ENSMUSG00000035967</v>
      </c>
      <c r="I7483" s="7" t="str">
        <f>HYPERLINK("http://www.informatics.jax.org/marker/MGI:2442593","MGI:2442593")</f>
        <v>MGI:2442593</v>
      </c>
      <c r="J7483" s="4" t="s">
        <v>12</v>
      </c>
    </row>
    <row r="7484" spans="1:10" x14ac:dyDescent="0.25">
      <c r="A7484" s="2">
        <v>186.977179913421</v>
      </c>
      <c r="B7484" s="3">
        <v>-1.03511297708835</v>
      </c>
      <c r="C7484" s="5">
        <v>4.6837658008529097E-18</v>
      </c>
      <c r="D7484" s="6">
        <v>4.2368743849917101E-17</v>
      </c>
      <c r="E7484" s="3" t="s">
        <v>4377</v>
      </c>
      <c r="F7484" s="3" t="s">
        <v>4378</v>
      </c>
      <c r="G7484" s="3">
        <v>116914</v>
      </c>
      <c r="H7484" s="7" t="str">
        <f>HYPERLINK("http://www.ensembl.org/Mus_musculus/Gene/Summary?db=core;g=ENSMUSG00000040918","ENSMUSG00000040918")</f>
        <v>ENSMUSG00000040918</v>
      </c>
      <c r="I7484" s="7" t="str">
        <f>HYPERLINK("http://www.informatics.jax.org/marker/MGI:1928761","MGI:1928761")</f>
        <v>MGI:1928761</v>
      </c>
      <c r="J7484" s="4" t="s">
        <v>12</v>
      </c>
    </row>
    <row r="7485" spans="1:10" x14ac:dyDescent="0.25">
      <c r="A7485" s="2">
        <v>76.592219896204597</v>
      </c>
      <c r="B7485" s="3">
        <v>-1.0355521559290299</v>
      </c>
      <c r="C7485" s="5">
        <v>2.23614109252855E-10</v>
      </c>
      <c r="D7485" s="6">
        <v>1.26569180093752E-9</v>
      </c>
      <c r="E7485" s="3" t="s">
        <v>6986</v>
      </c>
      <c r="F7485" s="3" t="s">
        <v>6987</v>
      </c>
      <c r="G7485" s="3">
        <v>13170</v>
      </c>
      <c r="H7485" s="7" t="str">
        <f>HYPERLINK("http://www.ensembl.org/Mus_musculus/Gene/Summary?db=core;g=ENSMUSG00000059824","ENSMUSG00000059824")</f>
        <v>ENSMUSG00000059824</v>
      </c>
      <c r="I7485" s="7" t="str">
        <f>HYPERLINK("http://www.informatics.jax.org/marker/MGI:94866","MGI:94866")</f>
        <v>MGI:94866</v>
      </c>
      <c r="J7485" s="4" t="s">
        <v>12</v>
      </c>
    </row>
    <row r="7486" spans="1:10" x14ac:dyDescent="0.25">
      <c r="A7486" s="2">
        <v>50.084497793607703</v>
      </c>
      <c r="B7486" s="3">
        <v>-1.0356290305881899</v>
      </c>
      <c r="C7486" s="5">
        <v>9.4038186168552305E-9</v>
      </c>
      <c r="D7486" s="6">
        <v>4.6758271085321501E-8</v>
      </c>
      <c r="E7486" s="3" t="s">
        <v>7948</v>
      </c>
      <c r="F7486" s="3" t="s">
        <v>7949</v>
      </c>
      <c r="G7486" s="3" t="s">
        <v>83</v>
      </c>
      <c r="H7486" s="7" t="str">
        <f>HYPERLINK("http://www.ensembl.org/Mus_musculus/Gene/Summary?db=core;g=ENSMUSG00000093726","ENSMUSG00000093726")</f>
        <v>ENSMUSG00000093726</v>
      </c>
      <c r="I7486" s="7" t="str">
        <f>HYPERLINK("http://www.informatics.jax.org/marker/MGI:5313114","MGI:5313114")</f>
        <v>MGI:5313114</v>
      </c>
      <c r="J7486" s="4" t="s">
        <v>7950</v>
      </c>
    </row>
    <row r="7487" spans="1:10" x14ac:dyDescent="0.25">
      <c r="A7487" s="2">
        <v>9.3927257832388307</v>
      </c>
      <c r="B7487" s="3">
        <v>-1.0356601637868901</v>
      </c>
      <c r="C7487" s="3">
        <v>1.9736386738295202E-3</v>
      </c>
      <c r="D7487" s="4">
        <v>5.5807505947688702E-3</v>
      </c>
      <c r="E7487" s="3" t="s">
        <v>13955</v>
      </c>
      <c r="F7487" s="3" t="s">
        <v>13956</v>
      </c>
      <c r="G7487" s="3" t="s">
        <v>83</v>
      </c>
      <c r="H7487" s="7" t="str">
        <f>HYPERLINK("http://www.ensembl.org/Mus_musculus/Gene/Summary?db=core;g=ENSMUSG00000097316","ENSMUSG00000097316")</f>
        <v>ENSMUSG00000097316</v>
      </c>
      <c r="I7487" s="7" t="str">
        <f>HYPERLINK("http://www.informatics.jax.org/marker/MGI:3641979","MGI:3641979")</f>
        <v>MGI:3641979</v>
      </c>
      <c r="J7487" s="4" t="s">
        <v>932</v>
      </c>
    </row>
    <row r="7488" spans="1:10" x14ac:dyDescent="0.25">
      <c r="A7488" s="2">
        <v>4.3692142719882696</v>
      </c>
      <c r="B7488" s="3">
        <v>-1.0359065670177201</v>
      </c>
      <c r="C7488" s="3">
        <v>1.3194501327212199E-2</v>
      </c>
      <c r="D7488" s="4">
        <v>3.2008311744694803E-2</v>
      </c>
      <c r="E7488" s="3" t="s">
        <v>16263</v>
      </c>
      <c r="F7488" s="3" t="s">
        <v>16264</v>
      </c>
      <c r="G7488" s="3">
        <v>237868</v>
      </c>
      <c r="H7488" s="7" t="str">
        <f>HYPERLINK("http://www.ensembl.org/Mus_musculus/Gene/Summary?db=core;g=ENSMUSG00000050132","ENSMUSG00000050132")</f>
        <v>ENSMUSG00000050132</v>
      </c>
      <c r="I7488" s="7" t="str">
        <f>HYPERLINK("http://www.informatics.jax.org/marker/MGI:2136419","MGI:2136419")</f>
        <v>MGI:2136419</v>
      </c>
      <c r="J7488" s="4" t="s">
        <v>12</v>
      </c>
    </row>
    <row r="7489" spans="1:10" x14ac:dyDescent="0.25">
      <c r="A7489" s="2">
        <v>199.954230046503</v>
      </c>
      <c r="B7489" s="3">
        <v>-1.0359253929933401</v>
      </c>
      <c r="C7489" s="5">
        <v>2.70242684700432E-8</v>
      </c>
      <c r="D7489" s="6">
        <v>1.2891112100368901E-7</v>
      </c>
      <c r="E7489" s="3" t="s">
        <v>8285</v>
      </c>
      <c r="F7489" s="3" t="s">
        <v>8286</v>
      </c>
      <c r="G7489" s="3">
        <v>242702</v>
      </c>
      <c r="H7489" s="7" t="str">
        <f>HYPERLINK("http://www.ensembl.org/Mus_musculus/Gene/Summary?db=core;g=ENSMUSG00000037139","ENSMUSG00000037139")</f>
        <v>ENSMUSG00000037139</v>
      </c>
      <c r="I7489" s="7" t="str">
        <f>HYPERLINK("http://www.informatics.jax.org/marker/MGI:2685280","MGI:2685280")</f>
        <v>MGI:2685280</v>
      </c>
      <c r="J7489" s="4" t="s">
        <v>12</v>
      </c>
    </row>
    <row r="7490" spans="1:10" x14ac:dyDescent="0.25">
      <c r="A7490" s="2">
        <v>94.730559297068893</v>
      </c>
      <c r="B7490" s="3">
        <v>-1.03748441820529</v>
      </c>
      <c r="C7490" s="5">
        <v>1.03454466126148E-10</v>
      </c>
      <c r="D7490" s="6">
        <v>6.0021243660124695E-10</v>
      </c>
      <c r="E7490" s="3" t="s">
        <v>6816</v>
      </c>
      <c r="F7490" s="3" t="s">
        <v>6817</v>
      </c>
      <c r="G7490" s="3">
        <v>21848</v>
      </c>
      <c r="H7490" s="7" t="str">
        <f>HYPERLINK("http://www.ensembl.org/Mus_musculus/Gene/Summary?db=core;g=ENSMUSG00000029833","ENSMUSG00000029833")</f>
        <v>ENSMUSG00000029833</v>
      </c>
      <c r="I7490" s="7" t="str">
        <f>HYPERLINK("http://www.informatics.jax.org/marker/MGI:109275","MGI:109275")</f>
        <v>MGI:109275</v>
      </c>
      <c r="J7490" s="4" t="s">
        <v>12</v>
      </c>
    </row>
    <row r="7491" spans="1:10" x14ac:dyDescent="0.25">
      <c r="A7491" s="2">
        <v>57.1566019490798</v>
      </c>
      <c r="B7491" s="3">
        <v>-1.0383233491898101</v>
      </c>
      <c r="C7491" s="5">
        <v>7.1423288170674204E-9</v>
      </c>
      <c r="D7491" s="6">
        <v>3.5838861138058403E-8</v>
      </c>
      <c r="E7491" s="3" t="s">
        <v>7876</v>
      </c>
      <c r="F7491" s="3" t="s">
        <v>7877</v>
      </c>
      <c r="G7491" s="3">
        <v>56149</v>
      </c>
      <c r="H7491" s="7" t="str">
        <f>HYPERLINK("http://www.ensembl.org/Mus_musculus/Gene/Summary?db=core;g=ENSMUSG00000000531","ENSMUSG00000000531")</f>
        <v>ENSMUSG00000000531</v>
      </c>
      <c r="I7491" s="7" t="str">
        <f>HYPERLINK("http://www.informatics.jax.org/marker/MGI:1860303","MGI:1860303")</f>
        <v>MGI:1860303</v>
      </c>
      <c r="J7491" s="4" t="s">
        <v>12</v>
      </c>
    </row>
    <row r="7492" spans="1:10" x14ac:dyDescent="0.25">
      <c r="A7492" s="2">
        <v>41.309351851864903</v>
      </c>
      <c r="B7492" s="3">
        <v>-1.0384539525062799</v>
      </c>
      <c r="C7492" s="5">
        <v>2.8397910900720001E-8</v>
      </c>
      <c r="D7492" s="6">
        <v>1.3519654292393001E-7</v>
      </c>
      <c r="E7492" s="3" t="s">
        <v>8305</v>
      </c>
      <c r="F7492" s="3" t="s">
        <v>8306</v>
      </c>
      <c r="G7492" s="3">
        <v>56794</v>
      </c>
      <c r="H7492" s="7" t="str">
        <f>HYPERLINK("http://www.ensembl.org/Mus_musculus/Gene/Summary?db=core;g=ENSMUSG00000021884","ENSMUSG00000021884")</f>
        <v>ENSMUSG00000021884</v>
      </c>
      <c r="I7492" s="7" t="str">
        <f>HYPERLINK("http://www.informatics.jax.org/marker/MGI:1929657","MGI:1929657")</f>
        <v>MGI:1929657</v>
      </c>
      <c r="J7492" s="4" t="s">
        <v>12</v>
      </c>
    </row>
    <row r="7493" spans="1:10" x14ac:dyDescent="0.25">
      <c r="A7493" s="2">
        <v>39.287151210983197</v>
      </c>
      <c r="B7493" s="3">
        <v>-1.03849902947726</v>
      </c>
      <c r="C7493" s="5">
        <v>2.9940930829426501E-8</v>
      </c>
      <c r="D7493" s="6">
        <v>1.4213653248827399E-7</v>
      </c>
      <c r="E7493" s="3" t="s">
        <v>8325</v>
      </c>
      <c r="F7493" s="3" t="s">
        <v>8326</v>
      </c>
      <c r="G7493" s="3">
        <v>73451</v>
      </c>
      <c r="H7493" s="7" t="str">
        <f>HYPERLINK("http://www.ensembl.org/Mus_musculus/Gene/Summary?db=core;g=ENSMUSG00000067430","ENSMUSG00000067430")</f>
        <v>ENSMUSG00000067430</v>
      </c>
      <c r="I7493" s="7" t="str">
        <f>HYPERLINK("http://www.informatics.jax.org/marker/MGI:1920701","MGI:1920701")</f>
        <v>MGI:1920701</v>
      </c>
      <c r="J7493" s="4" t="s">
        <v>12</v>
      </c>
    </row>
    <row r="7494" spans="1:10" x14ac:dyDescent="0.25">
      <c r="A7494" s="2">
        <v>108.33614259502799</v>
      </c>
      <c r="B7494" s="3">
        <v>-1.0395053699674599</v>
      </c>
      <c r="C7494" s="5">
        <v>5.2774452476479503E-18</v>
      </c>
      <c r="D7494" s="6">
        <v>4.7673486158322303E-17</v>
      </c>
      <c r="E7494" s="3" t="s">
        <v>4383</v>
      </c>
      <c r="F7494" s="3" t="s">
        <v>4384</v>
      </c>
      <c r="G7494" s="3">
        <v>80283</v>
      </c>
      <c r="H7494" s="7" t="str">
        <f>HYPERLINK("http://www.ensembl.org/Mus_musculus/Gene/Summary?db=core;g=ENSMUSG00000030083","ENSMUSG00000030083")</f>
        <v>ENSMUSG00000030083</v>
      </c>
      <c r="I7494" s="7" t="str">
        <f>HYPERLINK("http://www.informatics.jax.org/marker/MGI:1933148","MGI:1933148")</f>
        <v>MGI:1933148</v>
      </c>
      <c r="J7494" s="4" t="s">
        <v>12</v>
      </c>
    </row>
    <row r="7495" spans="1:10" x14ac:dyDescent="0.25">
      <c r="A7495" s="2">
        <v>265.73243579569998</v>
      </c>
      <c r="B7495" s="3">
        <v>-1.0397456590095699</v>
      </c>
      <c r="C7495" s="5">
        <v>1.03498472527044E-28</v>
      </c>
      <c r="D7495" s="6">
        <v>1.45680933492742E-27</v>
      </c>
      <c r="E7495" s="3" t="s">
        <v>2820</v>
      </c>
      <c r="F7495" s="3" t="s">
        <v>2821</v>
      </c>
      <c r="G7495" s="3">
        <v>68385</v>
      </c>
      <c r="H7495" s="7" t="str">
        <f>HYPERLINK("http://www.ensembl.org/Mus_musculus/Gene/Summary?db=core;g=ENSMUSG00000019437","ENSMUSG00000019437")</f>
        <v>ENSMUSG00000019437</v>
      </c>
      <c r="I7495" s="7" t="str">
        <f>HYPERLINK("http://www.informatics.jax.org/marker/MGI:1915572","MGI:1915572")</f>
        <v>MGI:1915572</v>
      </c>
      <c r="J7495" s="4" t="s">
        <v>12</v>
      </c>
    </row>
    <row r="7496" spans="1:10" x14ac:dyDescent="0.25">
      <c r="A7496" s="2">
        <v>20.580426559313999</v>
      </c>
      <c r="B7496" s="3">
        <v>-1.04049713180287</v>
      </c>
      <c r="C7496" s="5">
        <v>6.3179146810068103E-5</v>
      </c>
      <c r="D7496" s="4">
        <v>2.1777534960575799E-4</v>
      </c>
      <c r="E7496" s="3" t="s">
        <v>11451</v>
      </c>
      <c r="F7496" s="3" t="s">
        <v>11452</v>
      </c>
      <c r="G7496" s="3" t="s">
        <v>83</v>
      </c>
      <c r="H7496" s="7" t="str">
        <f>HYPERLINK("http://www.ensembl.org/Mus_musculus/Gene/Summary?db=core;g=ENSMUSG00000081137","ENSMUSG00000081137")</f>
        <v>ENSMUSG00000081137</v>
      </c>
      <c r="I7496" s="7" t="str">
        <f>HYPERLINK("http://www.informatics.jax.org/marker/MGI:2670977","MGI:2670977")</f>
        <v>MGI:2670977</v>
      </c>
      <c r="J7496" s="4" t="s">
        <v>5705</v>
      </c>
    </row>
    <row r="7497" spans="1:10" x14ac:dyDescent="0.25">
      <c r="A7497" s="2">
        <v>43.069947242164702</v>
      </c>
      <c r="B7497" s="3">
        <v>-1.04129203865139</v>
      </c>
      <c r="C7497" s="5">
        <v>4.1582905204540596E-6</v>
      </c>
      <c r="D7497" s="6">
        <v>1.61770544611075E-5</v>
      </c>
      <c r="E7497" s="3" t="s">
        <v>10152</v>
      </c>
      <c r="F7497" s="3" t="s">
        <v>10153</v>
      </c>
      <c r="G7497" s="3">
        <v>71751</v>
      </c>
      <c r="H7497" s="7" t="str">
        <f>HYPERLINK("http://www.ensembl.org/Mus_musculus/Gene/Summary?db=core;g=ENSMUSG00000033618","ENSMUSG00000033618")</f>
        <v>ENSMUSG00000033618</v>
      </c>
      <c r="I7497" s="7" t="str">
        <f>HYPERLINK("http://www.informatics.jax.org/marker/MGI:2444243","MGI:2444243")</f>
        <v>MGI:2444243</v>
      </c>
      <c r="J7497" s="4" t="s">
        <v>12</v>
      </c>
    </row>
    <row r="7498" spans="1:10" x14ac:dyDescent="0.25">
      <c r="A7498" s="2">
        <v>892.35101658631504</v>
      </c>
      <c r="B7498" s="3">
        <v>-1.0417468802471599</v>
      </c>
      <c r="C7498" s="5">
        <v>1.8517361277473199E-33</v>
      </c>
      <c r="D7498" s="6">
        <v>3.0404859649606399E-32</v>
      </c>
      <c r="E7498" s="3" t="s">
        <v>2419</v>
      </c>
      <c r="F7498" s="3" t="s">
        <v>2420</v>
      </c>
      <c r="G7498" s="3">
        <v>231871</v>
      </c>
      <c r="H7498" s="7" t="str">
        <f>HYPERLINK("http://www.ensembl.org/Mus_musculus/Gene/Summary?db=core;g=ENSMUSG00000039206","ENSMUSG00000039206")</f>
        <v>ENSMUSG00000039206</v>
      </c>
      <c r="I7498" s="7" t="str">
        <f>HYPERLINK("http://www.informatics.jax.org/marker/MGI:2442032","MGI:2442032")</f>
        <v>MGI:2442032</v>
      </c>
      <c r="J7498" s="4" t="s">
        <v>12</v>
      </c>
    </row>
    <row r="7499" spans="1:10" x14ac:dyDescent="0.25">
      <c r="A7499" s="2">
        <v>9.6073172926016106</v>
      </c>
      <c r="B7499" s="3">
        <v>-1.0421894677243699</v>
      </c>
      <c r="C7499" s="3">
        <v>1.83696107321983E-3</v>
      </c>
      <c r="D7499" s="4">
        <v>5.2137121997546101E-3</v>
      </c>
      <c r="E7499" s="3" t="s">
        <v>13903</v>
      </c>
      <c r="F7499" s="3" t="s">
        <v>13904</v>
      </c>
      <c r="G7499" s="3">
        <v>102638882</v>
      </c>
      <c r="H7499" s="7" t="str">
        <f>HYPERLINK("http://www.ensembl.org/Mus_musculus/Gene/Summary?db=core;g=ENSMUSG00000109179","ENSMUSG00000109179")</f>
        <v>ENSMUSG00000109179</v>
      </c>
      <c r="I7499" s="7" t="str">
        <f>HYPERLINK("http://www.informatics.jax.org/marker/MGI:5594498","MGI:5594498")</f>
        <v>MGI:5594498</v>
      </c>
      <c r="J7499" s="4" t="s">
        <v>12</v>
      </c>
    </row>
    <row r="7500" spans="1:10" x14ac:dyDescent="0.25">
      <c r="A7500" s="2">
        <v>10.8264359823586</v>
      </c>
      <c r="B7500" s="3">
        <v>-1.04228636032598</v>
      </c>
      <c r="C7500" s="3">
        <v>2.552913129792E-3</v>
      </c>
      <c r="D7500" s="4">
        <v>7.0876315527943403E-3</v>
      </c>
      <c r="E7500" s="3" t="s">
        <v>14213</v>
      </c>
      <c r="F7500" s="3" t="s">
        <v>14214</v>
      </c>
      <c r="G7500" s="3" t="s">
        <v>83</v>
      </c>
      <c r="H7500" s="7" t="str">
        <f>HYPERLINK("http://www.ensembl.org/Mus_musculus/Gene/Summary?db=core;g=ENSMUSG00000087187","ENSMUSG00000087187")</f>
        <v>ENSMUSG00000087187</v>
      </c>
      <c r="I7500" s="7" t="str">
        <f>HYPERLINK("http://www.informatics.jax.org/marker/MGI:3650776","MGI:3650776")</f>
        <v>MGI:3650776</v>
      </c>
      <c r="J7500" s="4" t="s">
        <v>939</v>
      </c>
    </row>
    <row r="7501" spans="1:10" x14ac:dyDescent="0.25">
      <c r="A7501" s="2">
        <v>356.41239415619498</v>
      </c>
      <c r="B7501" s="3">
        <v>-1.04258232932173</v>
      </c>
      <c r="C7501" s="5">
        <v>2.6363573924107999E-21</v>
      </c>
      <c r="D7501" s="6">
        <v>2.7639004666847898E-20</v>
      </c>
      <c r="E7501" s="3" t="s">
        <v>3780</v>
      </c>
      <c r="F7501" s="3" t="s">
        <v>3781</v>
      </c>
      <c r="G7501" s="3">
        <v>94192</v>
      </c>
      <c r="H7501" s="7" t="str">
        <f>HYPERLINK("http://www.ensembl.org/Mus_musculus/Gene/Summary?db=core;g=ENSMUSG00000042460","ENSMUSG00000042460")</f>
        <v>ENSMUSG00000042460</v>
      </c>
      <c r="I7501" s="7" t="str">
        <f>HYPERLINK("http://www.informatics.jax.org/marker/MGI:2151071","MGI:2151071")</f>
        <v>MGI:2151071</v>
      </c>
      <c r="J7501" s="4" t="s">
        <v>12</v>
      </c>
    </row>
    <row r="7502" spans="1:10" x14ac:dyDescent="0.25">
      <c r="A7502" s="2">
        <v>482.44517572289402</v>
      </c>
      <c r="B7502" s="3">
        <v>-1.0427132933915699</v>
      </c>
      <c r="C7502" s="5">
        <v>6.6027115769519397E-40</v>
      </c>
      <c r="D7502" s="6">
        <v>1.3395624721964201E-38</v>
      </c>
      <c r="E7502" s="3" t="s">
        <v>1961</v>
      </c>
      <c r="F7502" s="3" t="s">
        <v>1962</v>
      </c>
      <c r="G7502" s="3">
        <v>71947</v>
      </c>
      <c r="H7502" s="7" t="str">
        <f>HYPERLINK("http://www.ensembl.org/Mus_musculus/Gene/Summary?db=core;g=ENSMUSG00000020747","ENSMUSG00000020747")</f>
        <v>ENSMUSG00000020747</v>
      </c>
      <c r="I7502" s="7" t="str">
        <f>HYPERLINK("http://www.informatics.jax.org/marker/MGI:1919197","MGI:1919197")</f>
        <v>MGI:1919197</v>
      </c>
      <c r="J7502" s="4" t="s">
        <v>12</v>
      </c>
    </row>
    <row r="7503" spans="1:10" x14ac:dyDescent="0.25">
      <c r="A7503" s="2">
        <v>159.422380985931</v>
      </c>
      <c r="B7503" s="3">
        <v>-1.04322758629582</v>
      </c>
      <c r="C7503" s="5">
        <v>3.6401531789868302E-20</v>
      </c>
      <c r="D7503" s="6">
        <v>3.6401531789868298E-19</v>
      </c>
      <c r="E7503" s="3" t="s">
        <v>3962</v>
      </c>
      <c r="F7503" s="3" t="s">
        <v>3963</v>
      </c>
      <c r="G7503" s="3">
        <v>64384</v>
      </c>
      <c r="H7503" s="7" t="str">
        <f>HYPERLINK("http://www.ensembl.org/Mus_musculus/Gene/Summary?db=core;g=ENSMUSG00000025486","ENSMUSG00000025486")</f>
        <v>ENSMUSG00000025486</v>
      </c>
      <c r="I7503" s="7" t="str">
        <f>HYPERLINK("http://www.informatics.jax.org/marker/MGI:1927665","MGI:1927665")</f>
        <v>MGI:1927665</v>
      </c>
      <c r="J7503" s="4" t="s">
        <v>12</v>
      </c>
    </row>
    <row r="7504" spans="1:10" x14ac:dyDescent="0.25">
      <c r="A7504" s="2">
        <v>254.718209707261</v>
      </c>
      <c r="B7504" s="3">
        <v>-1.04497750976533</v>
      </c>
      <c r="C7504" s="5">
        <v>6.6949757683725198E-15</v>
      </c>
      <c r="D7504" s="6">
        <v>5.1271814428080003E-14</v>
      </c>
      <c r="E7504" s="3" t="s">
        <v>5167</v>
      </c>
      <c r="F7504" s="3" t="s">
        <v>5168</v>
      </c>
      <c r="G7504" s="3">
        <v>215243</v>
      </c>
      <c r="H7504" s="7" t="str">
        <f>HYPERLINK("http://www.ensembl.org/Mus_musculus/Gene/Summary?db=core;g=ENSMUSG00000037318","ENSMUSG00000037318")</f>
        <v>ENSMUSG00000037318</v>
      </c>
      <c r="I7504" s="7" t="str">
        <f>HYPERLINK("http://www.informatics.jax.org/marker/MGI:2441706","MGI:2441706")</f>
        <v>MGI:2441706</v>
      </c>
      <c r="J7504" s="4" t="s">
        <v>12</v>
      </c>
    </row>
    <row r="7505" spans="1:10" x14ac:dyDescent="0.25">
      <c r="A7505" s="2">
        <v>1330.55106535084</v>
      </c>
      <c r="B7505" s="3">
        <v>-1.0455575309227201</v>
      </c>
      <c r="C7505" s="5">
        <v>5.6507316539293797E-70</v>
      </c>
      <c r="D7505" s="6">
        <v>2.5974924991955099E-68</v>
      </c>
      <c r="E7505" s="3" t="s">
        <v>870</v>
      </c>
      <c r="F7505" s="3" t="s">
        <v>871</v>
      </c>
      <c r="G7505" s="3">
        <v>18971</v>
      </c>
      <c r="H7505" s="7" t="str">
        <f>HYPERLINK("http://www.ensembl.org/Mus_musculus/Gene/Summary?db=core;g=ENSMUSG00000038644","ENSMUSG00000038644")</f>
        <v>ENSMUSG00000038644</v>
      </c>
      <c r="I7505" s="7" t="str">
        <f>HYPERLINK("http://www.informatics.jax.org/marker/MGI:97741","MGI:97741")</f>
        <v>MGI:97741</v>
      </c>
      <c r="J7505" s="4" t="s">
        <v>12</v>
      </c>
    </row>
    <row r="7506" spans="1:10" x14ac:dyDescent="0.25">
      <c r="A7506" s="2">
        <v>516.56313980113202</v>
      </c>
      <c r="B7506" s="3">
        <v>-1.0475805895594399</v>
      </c>
      <c r="C7506" s="5">
        <v>1.7958511468725001E-38</v>
      </c>
      <c r="D7506" s="6">
        <v>3.4651844047285499E-37</v>
      </c>
      <c r="E7506" s="3" t="s">
        <v>2061</v>
      </c>
      <c r="F7506" s="3" t="s">
        <v>2062</v>
      </c>
      <c r="G7506" s="3">
        <v>70510</v>
      </c>
      <c r="H7506" s="7" t="str">
        <f>HYPERLINK("http://www.ensembl.org/Mus_musculus/Gene/Summary?db=core;g=ENSMUSG00000040746","ENSMUSG00000040746")</f>
        <v>ENSMUSG00000040746</v>
      </c>
      <c r="I7506" s="7" t="str">
        <f>HYPERLINK("http://www.informatics.jax.org/marker/MGI:1917760","MGI:1917760")</f>
        <v>MGI:1917760</v>
      </c>
      <c r="J7506" s="4" t="s">
        <v>12</v>
      </c>
    </row>
    <row r="7507" spans="1:10" x14ac:dyDescent="0.25">
      <c r="A7507" s="2">
        <v>288.852821081586</v>
      </c>
      <c r="B7507" s="3">
        <v>-1.04792530813853</v>
      </c>
      <c r="C7507" s="5">
        <v>3.5461631752005801E-23</v>
      </c>
      <c r="D7507" s="6">
        <v>4.0328914541496802E-22</v>
      </c>
      <c r="E7507" s="3" t="s">
        <v>3486</v>
      </c>
      <c r="F7507" s="3" t="s">
        <v>3487</v>
      </c>
      <c r="G7507" s="3">
        <v>52187</v>
      </c>
      <c r="H7507" s="7" t="str">
        <f>HYPERLINK("http://www.ensembl.org/Mus_musculus/Gene/Summary?db=core;g=ENSMUSG00000028278","ENSMUSG00000028278")</f>
        <v>ENSMUSG00000028278</v>
      </c>
      <c r="I7507" s="7" t="str">
        <f>HYPERLINK("http://www.informatics.jax.org/marker/MGI:1098604","MGI:1098604")</f>
        <v>MGI:1098604</v>
      </c>
      <c r="J7507" s="4" t="s">
        <v>12</v>
      </c>
    </row>
    <row r="7508" spans="1:10" x14ac:dyDescent="0.25">
      <c r="A7508" s="2">
        <v>125.711880458423</v>
      </c>
      <c r="B7508" s="3">
        <v>-1.0480581214325799</v>
      </c>
      <c r="C7508" s="5">
        <v>1.9582940969751301E-19</v>
      </c>
      <c r="D7508" s="6">
        <v>1.8967367186812201E-18</v>
      </c>
      <c r="E7508" s="3" t="s">
        <v>4089</v>
      </c>
      <c r="F7508" s="3" t="s">
        <v>4090</v>
      </c>
      <c r="G7508" s="3">
        <v>216198</v>
      </c>
      <c r="H7508" s="7" t="str">
        <f>HYPERLINK("http://www.ensembl.org/Mus_musculus/Gene/Summary?db=core;g=ENSMUSG00000020034","ENSMUSG00000020034")</f>
        <v>ENSMUSG00000020034</v>
      </c>
      <c r="I7508" s="7" t="str">
        <f>HYPERLINK("http://www.informatics.jax.org/marker/MGI:2444679","MGI:2444679")</f>
        <v>MGI:2444679</v>
      </c>
      <c r="J7508" s="4" t="s">
        <v>12</v>
      </c>
    </row>
    <row r="7509" spans="1:10" x14ac:dyDescent="0.25">
      <c r="A7509" s="2">
        <v>159.727380112117</v>
      </c>
      <c r="B7509" s="3">
        <v>-1.0489678925207699</v>
      </c>
      <c r="C7509" s="5">
        <v>2.4647786791686499E-19</v>
      </c>
      <c r="D7509" s="6">
        <v>2.37447169287766E-18</v>
      </c>
      <c r="E7509" s="3" t="s">
        <v>4111</v>
      </c>
      <c r="F7509" s="3" t="s">
        <v>4112</v>
      </c>
      <c r="G7509" s="3">
        <v>224836</v>
      </c>
      <c r="H7509" s="7" t="str">
        <f>HYPERLINK("http://www.ensembl.org/Mus_musculus/Gene/Summary?db=core;g=ENSMUSG00000090115","ENSMUSG00000090115")</f>
        <v>ENSMUSG00000090115</v>
      </c>
      <c r="I7509" s="7" t="str">
        <f>HYPERLINK("http://www.informatics.jax.org/marker/MGI:2685391","MGI:2685391")</f>
        <v>MGI:2685391</v>
      </c>
      <c r="J7509" s="4" t="s">
        <v>12</v>
      </c>
    </row>
    <row r="7510" spans="1:10" x14ac:dyDescent="0.25">
      <c r="A7510" s="2">
        <v>4.0165762891650898</v>
      </c>
      <c r="B7510" s="3">
        <v>-1.0490453121708001</v>
      </c>
      <c r="C7510" s="3">
        <v>1.4840293739447801E-2</v>
      </c>
      <c r="D7510" s="4">
        <v>3.5628267901376999E-2</v>
      </c>
      <c r="E7510" s="3" t="s">
        <v>16433</v>
      </c>
      <c r="F7510" s="3" t="s">
        <v>16434</v>
      </c>
      <c r="G7510" s="3" t="s">
        <v>83</v>
      </c>
      <c r="H7510" s="7" t="str">
        <f>HYPERLINK("http://www.ensembl.org/Mus_musculus/Gene/Summary?db=core;g=ENSMUSG00000078139","ENSMUSG00000078139")</f>
        <v>ENSMUSG00000078139</v>
      </c>
      <c r="I7510" s="7" t="str">
        <f>HYPERLINK("http://www.informatics.jax.org/marker/MGI:3574096","MGI:3574096")</f>
        <v>MGI:3574096</v>
      </c>
      <c r="J7510" s="4" t="s">
        <v>12</v>
      </c>
    </row>
    <row r="7511" spans="1:10" x14ac:dyDescent="0.25">
      <c r="A7511" s="2">
        <v>5.5502262267029003</v>
      </c>
      <c r="B7511" s="3">
        <v>-1.0492705083545899</v>
      </c>
      <c r="C7511" s="3">
        <v>1.10752593031624E-2</v>
      </c>
      <c r="D7511" s="4">
        <v>2.7280054141689099E-2</v>
      </c>
      <c r="E7511" s="3" t="s">
        <v>16017</v>
      </c>
      <c r="F7511" s="3" t="s">
        <v>16018</v>
      </c>
      <c r="G7511" s="3" t="s">
        <v>83</v>
      </c>
      <c r="H7511" s="7" t="str">
        <f>HYPERLINK("http://www.ensembl.org/Mus_musculus/Gene/Summary?db=core;g=ENSMUSG00000111722","ENSMUSG00000111722")</f>
        <v>ENSMUSG00000111722</v>
      </c>
      <c r="I7511" s="7" t="str">
        <f>HYPERLINK("http://www.informatics.jax.org/marker/MGI:6096107","MGI:6096107")</f>
        <v>MGI:6096107</v>
      </c>
      <c r="J7511" s="4" t="s">
        <v>939</v>
      </c>
    </row>
    <row r="7512" spans="1:10" x14ac:dyDescent="0.25">
      <c r="A7512" s="2">
        <v>3.73791949440706</v>
      </c>
      <c r="B7512" s="3">
        <v>-1.0499439027973101</v>
      </c>
      <c r="C7512" s="3">
        <v>1.7616123814998701E-2</v>
      </c>
      <c r="D7512" s="4">
        <v>4.1633504510039998E-2</v>
      </c>
      <c r="E7512" s="3" t="s">
        <v>16692</v>
      </c>
      <c r="F7512" s="3" t="s">
        <v>16693</v>
      </c>
      <c r="G7512" s="3">
        <v>71998</v>
      </c>
      <c r="H7512" s="7" t="str">
        <f>HYPERLINK("http://www.ensembl.org/Mus_musculus/Gene/Summary?db=core;g=ENSMUSG00000018740","ENSMUSG00000018740")</f>
        <v>ENSMUSG00000018740</v>
      </c>
      <c r="I7512" s="7" t="str">
        <f>HYPERLINK("http://www.informatics.jax.org/marker/MGI:1919248","MGI:1919248")</f>
        <v>MGI:1919248</v>
      </c>
      <c r="J7512" s="4" t="s">
        <v>12</v>
      </c>
    </row>
    <row r="7513" spans="1:10" x14ac:dyDescent="0.25">
      <c r="A7513" s="2">
        <v>260.247719755719</v>
      </c>
      <c r="B7513" s="3">
        <v>-1.05063851437508</v>
      </c>
      <c r="C7513" s="5">
        <v>5.5296560025864903E-14</v>
      </c>
      <c r="D7513" s="6">
        <v>3.9972440018696998E-13</v>
      </c>
      <c r="E7513" s="3" t="s">
        <v>5473</v>
      </c>
      <c r="F7513" s="3" t="s">
        <v>5474</v>
      </c>
      <c r="G7513" s="3">
        <v>226744</v>
      </c>
      <c r="H7513" s="7" t="str">
        <f>HYPERLINK("http://www.ensembl.org/Mus_musculus/Gene/Summary?db=core;g=ENSMUSG00000038949","ENSMUSG00000038949")</f>
        <v>ENSMUSG00000038949</v>
      </c>
      <c r="I7513" s="7" t="str">
        <f>HYPERLINK("http://www.informatics.jax.org/marker/MGI:2445141","MGI:2445141")</f>
        <v>MGI:2445141</v>
      </c>
      <c r="J7513" s="4" t="s">
        <v>12</v>
      </c>
    </row>
    <row r="7514" spans="1:10" x14ac:dyDescent="0.25">
      <c r="A7514" s="2">
        <v>121.769887047083</v>
      </c>
      <c r="B7514" s="3">
        <v>-1.0507269822932599</v>
      </c>
      <c r="C7514" s="5">
        <v>1.2374843725767199E-10</v>
      </c>
      <c r="D7514" s="6">
        <v>7.1479765164653902E-10</v>
      </c>
      <c r="E7514" s="3" t="s">
        <v>6846</v>
      </c>
      <c r="F7514" s="3" t="s">
        <v>6847</v>
      </c>
      <c r="G7514" s="3">
        <v>67603</v>
      </c>
      <c r="H7514" s="7" t="str">
        <f>HYPERLINK("http://www.ensembl.org/Mus_musculus/Gene/Summary?db=core;g=ENSMUSG00000019960","ENSMUSG00000019960")</f>
        <v>ENSMUSG00000019960</v>
      </c>
      <c r="I7514" s="7" t="str">
        <f>HYPERLINK("http://www.informatics.jax.org/marker/MGI:1914853","MGI:1914853")</f>
        <v>MGI:1914853</v>
      </c>
      <c r="J7514" s="4" t="s">
        <v>12</v>
      </c>
    </row>
    <row r="7515" spans="1:10" x14ac:dyDescent="0.25">
      <c r="A7515" s="2">
        <v>257.79728581181399</v>
      </c>
      <c r="B7515" s="3">
        <v>-1.0513259052803401</v>
      </c>
      <c r="C7515" s="5">
        <v>7.5741078907016202E-18</v>
      </c>
      <c r="D7515" s="6">
        <v>6.7829885379035394E-17</v>
      </c>
      <c r="E7515" s="3" t="s">
        <v>4421</v>
      </c>
      <c r="F7515" s="3" t="s">
        <v>4422</v>
      </c>
      <c r="G7515" s="3">
        <v>13860</v>
      </c>
      <c r="H7515" s="7" t="str">
        <f>HYPERLINK("http://www.ensembl.org/Mus_musculus/Gene/Summary?db=core;g=ENSMUSG00000015766","ENSMUSG00000015766")</f>
        <v>ENSMUSG00000015766</v>
      </c>
      <c r="I7515" s="7" t="str">
        <f>HYPERLINK("http://www.informatics.jax.org/marker/MGI:104684","MGI:104684")</f>
        <v>MGI:104684</v>
      </c>
      <c r="J7515" s="4" t="s">
        <v>12</v>
      </c>
    </row>
    <row r="7516" spans="1:10" x14ac:dyDescent="0.25">
      <c r="A7516" s="2">
        <v>65.373685193532793</v>
      </c>
      <c r="B7516" s="3">
        <v>-1.0527255356079901</v>
      </c>
      <c r="C7516" s="5">
        <v>3.09613521601369E-11</v>
      </c>
      <c r="D7516" s="6">
        <v>1.8700087736536E-10</v>
      </c>
      <c r="E7516" s="3" t="s">
        <v>6547</v>
      </c>
      <c r="F7516" s="3" t="s">
        <v>6548</v>
      </c>
      <c r="G7516" s="3">
        <v>106639</v>
      </c>
      <c r="H7516" s="7" t="str">
        <f>HYPERLINK("http://www.ensembl.org/Mus_musculus/Gene/Summary?db=core;g=ENSMUSG00000054723","ENSMUSG00000054723")</f>
        <v>ENSMUSG00000054723</v>
      </c>
      <c r="I7516" s="7" t="str">
        <f>HYPERLINK("http://www.informatics.jax.org/marker/MGI:2146912","MGI:2146912")</f>
        <v>MGI:2146912</v>
      </c>
      <c r="J7516" s="4" t="s">
        <v>12</v>
      </c>
    </row>
    <row r="7517" spans="1:10" x14ac:dyDescent="0.25">
      <c r="A7517" s="2">
        <v>292.25998491823702</v>
      </c>
      <c r="B7517" s="3">
        <v>-1.0539761189238901</v>
      </c>
      <c r="C7517" s="5">
        <v>3.4303824122891599E-41</v>
      </c>
      <c r="D7517" s="6">
        <v>7.2041683887478497E-40</v>
      </c>
      <c r="E7517" s="3" t="s">
        <v>1895</v>
      </c>
      <c r="F7517" s="3" t="s">
        <v>1896</v>
      </c>
      <c r="G7517" s="3">
        <v>18632</v>
      </c>
      <c r="H7517" s="7" t="str">
        <f>HYPERLINK("http://www.ensembl.org/Mus_musculus/Gene/Summary?db=core;g=ENSMUSG00000028102","ENSMUSG00000028102")</f>
        <v>ENSMUSG00000028102</v>
      </c>
      <c r="I7517" s="7" t="str">
        <f>HYPERLINK("http://www.informatics.jax.org/marker/MGI:1338882","MGI:1338882")</f>
        <v>MGI:1338882</v>
      </c>
      <c r="J7517" s="4" t="s">
        <v>12</v>
      </c>
    </row>
    <row r="7518" spans="1:10" x14ac:dyDescent="0.25">
      <c r="A7518" s="2">
        <v>0.88525728952862104</v>
      </c>
      <c r="B7518" s="3">
        <v>-1.05404874555836</v>
      </c>
      <c r="C7518" s="3">
        <v>1.15466479962999E-2</v>
      </c>
      <c r="D7518" s="4">
        <v>2.83349799013233E-2</v>
      </c>
      <c r="E7518" s="3" t="s">
        <v>16077</v>
      </c>
      <c r="F7518" s="3" t="s">
        <v>16078</v>
      </c>
      <c r="G7518" s="3" t="s">
        <v>83</v>
      </c>
      <c r="H7518" s="7" t="str">
        <f>HYPERLINK("http://www.ensembl.org/Mus_musculus/Gene/Summary?db=core;g=ENSMUSG00000101503","ENSMUSG00000101503")</f>
        <v>ENSMUSG00000101503</v>
      </c>
      <c r="I7518" s="7" t="str">
        <f>HYPERLINK("http://www.informatics.jax.org/marker/MGI:5579070","MGI:5579070")</f>
        <v>MGI:5579070</v>
      </c>
      <c r="J7518" s="4" t="s">
        <v>932</v>
      </c>
    </row>
    <row r="7519" spans="1:10" x14ac:dyDescent="0.25">
      <c r="A7519" s="2">
        <v>45.646097824216596</v>
      </c>
      <c r="B7519" s="3">
        <v>-1.0542764090639001</v>
      </c>
      <c r="C7519" s="5">
        <v>1.4903246684043801E-7</v>
      </c>
      <c r="D7519" s="6">
        <v>6.6476368380308596E-7</v>
      </c>
      <c r="E7519" s="3" t="s">
        <v>8859</v>
      </c>
      <c r="F7519" s="3" t="s">
        <v>8860</v>
      </c>
      <c r="G7519" s="3">
        <v>271849</v>
      </c>
      <c r="H7519" s="7" t="str">
        <f>HYPERLINK("http://www.ensembl.org/Mus_musculus/Gene/Summary?db=core;g=ENSMUSG00000035109","ENSMUSG00000035109")</f>
        <v>ENSMUSG00000035109</v>
      </c>
      <c r="I7519" s="7" t="str">
        <f>HYPERLINK("http://www.informatics.jax.org/marker/MGI:2655364","MGI:2655364")</f>
        <v>MGI:2655364</v>
      </c>
      <c r="J7519" s="4" t="s">
        <v>12</v>
      </c>
    </row>
    <row r="7520" spans="1:10" x14ac:dyDescent="0.25">
      <c r="A7520" s="2">
        <v>614.59903692810099</v>
      </c>
      <c r="B7520" s="3">
        <v>-1.05454152204039</v>
      </c>
      <c r="C7520" s="5">
        <v>2.8050401577027602E-44</v>
      </c>
      <c r="D7520" s="6">
        <v>6.4470153741140302E-43</v>
      </c>
      <c r="E7520" s="3" t="s">
        <v>1732</v>
      </c>
      <c r="F7520" s="3" t="s">
        <v>1733</v>
      </c>
      <c r="G7520" s="3">
        <v>232288</v>
      </c>
      <c r="H7520" s="7" t="str">
        <f>HYPERLINK("http://www.ensembl.org/Mus_musculus/Gene/Summary?db=core;g=ENSMUSG00000030064","ENSMUSG00000030064")</f>
        <v>ENSMUSG00000030064</v>
      </c>
      <c r="I7520" s="7" t="str">
        <f>HYPERLINK("http://www.informatics.jax.org/marker/MGI:2141794","MGI:2141794")</f>
        <v>MGI:2141794</v>
      </c>
      <c r="J7520" s="4" t="s">
        <v>12</v>
      </c>
    </row>
    <row r="7521" spans="1:10" x14ac:dyDescent="0.25">
      <c r="A7521" s="2">
        <v>188.06939272036701</v>
      </c>
      <c r="B7521" s="3">
        <v>-1.0547050296201299</v>
      </c>
      <c r="C7521" s="5">
        <v>2.2361246546574599E-25</v>
      </c>
      <c r="D7521" s="6">
        <v>2.7663976279702102E-24</v>
      </c>
      <c r="E7521" s="3" t="s">
        <v>3208</v>
      </c>
      <c r="F7521" s="3" t="s">
        <v>3209</v>
      </c>
      <c r="G7521" s="3">
        <v>69870</v>
      </c>
      <c r="H7521" s="7" t="str">
        <f>HYPERLINK("http://www.ensembl.org/Mus_musculus/Gene/Summary?db=core;g=ENSMUSG00000028104","ENSMUSG00000028104")</f>
        <v>ENSMUSG00000028104</v>
      </c>
      <c r="I7521" s="7" t="str">
        <f>HYPERLINK("http://www.informatics.jax.org/marker/MGI:1917120","MGI:1917120")</f>
        <v>MGI:1917120</v>
      </c>
      <c r="J7521" s="4" t="s">
        <v>12</v>
      </c>
    </row>
    <row r="7522" spans="1:10" x14ac:dyDescent="0.25">
      <c r="A7522" s="2">
        <v>593.07823629187101</v>
      </c>
      <c r="B7522" s="3">
        <v>-1.05675306917415</v>
      </c>
      <c r="C7522" s="5">
        <v>3.6676335333891901E-11</v>
      </c>
      <c r="D7522" s="6">
        <v>2.20505284385472E-10</v>
      </c>
      <c r="E7522" s="3" t="s">
        <v>6577</v>
      </c>
      <c r="F7522" s="3" t="s">
        <v>6578</v>
      </c>
      <c r="G7522" s="3">
        <v>12894</v>
      </c>
      <c r="H7522" s="7" t="str">
        <f>HYPERLINK("http://www.ensembl.org/Mus_musculus/Gene/Summary?db=core;g=ENSMUSG00000024900","ENSMUSG00000024900")</f>
        <v>ENSMUSG00000024900</v>
      </c>
      <c r="I7522" s="7" t="str">
        <f>HYPERLINK("http://www.informatics.jax.org/marker/MGI:1098296","MGI:1098296")</f>
        <v>MGI:1098296</v>
      </c>
      <c r="J7522" s="4" t="s">
        <v>12</v>
      </c>
    </row>
    <row r="7523" spans="1:10" x14ac:dyDescent="0.25">
      <c r="A7523" s="2">
        <v>11.212244499396601</v>
      </c>
      <c r="B7523" s="3">
        <v>-1.0570474445624001</v>
      </c>
      <c r="C7523" s="3">
        <v>6.6084358989798499E-4</v>
      </c>
      <c r="D7523" s="4">
        <v>2.00028174870119E-3</v>
      </c>
      <c r="E7523" s="3" t="s">
        <v>13039</v>
      </c>
      <c r="F7523" s="3" t="s">
        <v>13040</v>
      </c>
      <c r="G7523" s="3">
        <v>15234</v>
      </c>
      <c r="H7523" s="7" t="str">
        <f>HYPERLINK("http://www.ensembl.org/Mus_musculus/Gene/Summary?db=core;g=ENSMUSG00000028864","ENSMUSG00000028864")</f>
        <v>ENSMUSG00000028864</v>
      </c>
      <c r="I7523" s="7" t="str">
        <f>HYPERLINK("http://www.informatics.jax.org/marker/MGI:96079","MGI:96079")</f>
        <v>MGI:96079</v>
      </c>
      <c r="J7523" s="4" t="s">
        <v>12</v>
      </c>
    </row>
    <row r="7524" spans="1:10" x14ac:dyDescent="0.25">
      <c r="A7524" s="2">
        <v>710.42748961933</v>
      </c>
      <c r="B7524" s="3">
        <v>-1.05761704724165</v>
      </c>
      <c r="C7524" s="5">
        <v>3.4353427856613699E-11</v>
      </c>
      <c r="D7524" s="6">
        <v>2.0685483888012899E-10</v>
      </c>
      <c r="E7524" s="3" t="s">
        <v>6567</v>
      </c>
      <c r="F7524" s="3" t="s">
        <v>6568</v>
      </c>
      <c r="G7524" s="3">
        <v>170459</v>
      </c>
      <c r="H7524" s="7" t="str">
        <f>HYPERLINK("http://www.ensembl.org/Mus_musculus/Gene/Summary?db=core;g=ENSMUSG00000024378","ENSMUSG00000024378")</f>
        <v>ENSMUSG00000024378</v>
      </c>
      <c r="I7524" s="7" t="str">
        <f>HYPERLINK("http://www.informatics.jax.org/marker/MGI:2156764","MGI:2156764")</f>
        <v>MGI:2156764</v>
      </c>
      <c r="J7524" s="4" t="s">
        <v>12</v>
      </c>
    </row>
    <row r="7525" spans="1:10" x14ac:dyDescent="0.25">
      <c r="A7525" s="2">
        <v>4.9573723849465701</v>
      </c>
      <c r="B7525" s="3">
        <v>-1.05829490228849</v>
      </c>
      <c r="C7525" s="3">
        <v>1.37243035984975E-2</v>
      </c>
      <c r="D7525" s="4">
        <v>3.3199615672518501E-2</v>
      </c>
      <c r="E7525" s="3" t="s">
        <v>16309</v>
      </c>
      <c r="F7525" s="3" t="s">
        <v>16310</v>
      </c>
      <c r="G7525" s="3" t="s">
        <v>83</v>
      </c>
      <c r="H7525" s="7" t="str">
        <f>HYPERLINK("http://www.ensembl.org/Mus_musculus/Gene/Summary?db=core;g=ENSMUSG00000104569","ENSMUSG00000104569")</f>
        <v>ENSMUSG00000104569</v>
      </c>
      <c r="I7525" s="7" t="str">
        <f>HYPERLINK("http://www.informatics.jax.org/marker/MGI:5663191","MGI:5663191")</f>
        <v>MGI:5663191</v>
      </c>
      <c r="J7525" s="4" t="s">
        <v>1828</v>
      </c>
    </row>
    <row r="7526" spans="1:10" x14ac:dyDescent="0.25">
      <c r="A7526" s="2">
        <v>3.8578155674186201</v>
      </c>
      <c r="B7526" s="3">
        <v>-1.0589208025696499</v>
      </c>
      <c r="C7526" s="3">
        <v>1.67172249007984E-2</v>
      </c>
      <c r="D7526" s="4">
        <v>3.9713730278730798E-2</v>
      </c>
      <c r="E7526" s="3" t="s">
        <v>16606</v>
      </c>
      <c r="F7526" s="3" t="s">
        <v>16607</v>
      </c>
      <c r="G7526" s="3">
        <v>78617</v>
      </c>
      <c r="H7526" s="7" t="str">
        <f>HYPERLINK("http://www.ensembl.org/Mus_musculus/Gene/Summary?db=core;g=ENSMUSG00000047363","ENSMUSG00000047363")</f>
        <v>ENSMUSG00000047363</v>
      </c>
      <c r="I7526" s="7" t="str">
        <f>HYPERLINK("http://www.informatics.jax.org/marker/MGI:1925867","MGI:1925867")</f>
        <v>MGI:1925867</v>
      </c>
      <c r="J7526" s="4" t="s">
        <v>12</v>
      </c>
    </row>
    <row r="7527" spans="1:10" x14ac:dyDescent="0.25">
      <c r="A7527" s="2">
        <v>93.082383167722497</v>
      </c>
      <c r="B7527" s="3">
        <v>-1.0595984238143601</v>
      </c>
      <c r="C7527" s="5">
        <v>1.02660184986002E-11</v>
      </c>
      <c r="D7527" s="6">
        <v>6.4004389754156299E-11</v>
      </c>
      <c r="E7527" s="3" t="s">
        <v>6343</v>
      </c>
      <c r="F7527" s="3" t="s">
        <v>6344</v>
      </c>
      <c r="G7527" s="3" t="s">
        <v>83</v>
      </c>
      <c r="H7527" s="7" t="str">
        <f>HYPERLINK("http://www.ensembl.org/Mus_musculus/Gene/Summary?db=core;g=ENSMUSG00000050538","ENSMUSG00000050538")</f>
        <v>ENSMUSG00000050538</v>
      </c>
      <c r="I7527" s="7" t="str">
        <f>HYPERLINK("http://www.informatics.jax.org/marker/MGI:1915377","MGI:1915377")</f>
        <v>MGI:1915377</v>
      </c>
      <c r="J7527" s="4" t="s">
        <v>12</v>
      </c>
    </row>
    <row r="7528" spans="1:10" x14ac:dyDescent="0.25">
      <c r="A7528" s="2">
        <v>575.45639600637401</v>
      </c>
      <c r="B7528" s="3">
        <v>-1.0608015908706001</v>
      </c>
      <c r="C7528" s="5">
        <v>2.0897786193821399E-32</v>
      </c>
      <c r="D7528" s="6">
        <v>3.29156824075206E-31</v>
      </c>
      <c r="E7528" s="3" t="s">
        <v>2521</v>
      </c>
      <c r="F7528" s="3" t="s">
        <v>2522</v>
      </c>
      <c r="G7528" s="3">
        <v>69270</v>
      </c>
      <c r="H7528" s="7" t="str">
        <f>HYPERLINK("http://www.ensembl.org/Mus_musculus/Gene/Summary?db=core;g=ENSMUSG00000027454","ENSMUSG00000027454")</f>
        <v>ENSMUSG00000027454</v>
      </c>
      <c r="I7528" s="7" t="str">
        <f>HYPERLINK("http://www.informatics.jax.org/marker/MGI:1916520","MGI:1916520")</f>
        <v>MGI:1916520</v>
      </c>
      <c r="J7528" s="4" t="s">
        <v>12</v>
      </c>
    </row>
    <row r="7529" spans="1:10" x14ac:dyDescent="0.25">
      <c r="A7529" s="2">
        <v>47.279763230966402</v>
      </c>
      <c r="B7529" s="3">
        <v>-1.0615491456732</v>
      </c>
      <c r="C7529" s="5">
        <v>3.0584748388261399E-8</v>
      </c>
      <c r="D7529" s="6">
        <v>1.44983470725124E-7</v>
      </c>
      <c r="E7529" s="3" t="s">
        <v>8337</v>
      </c>
      <c r="F7529" s="3" t="s">
        <v>8338</v>
      </c>
      <c r="G7529" s="3">
        <v>15465</v>
      </c>
      <c r="H7529" s="7" t="str">
        <f>HYPERLINK("http://www.ensembl.org/Mus_musculus/Gene/Summary?db=core;g=ENSMUSG00000053004","ENSMUSG00000053004")</f>
        <v>ENSMUSG00000053004</v>
      </c>
      <c r="I7529" s="7" t="str">
        <f>HYPERLINK("http://www.informatics.jax.org/marker/MGI:107619","MGI:107619")</f>
        <v>MGI:107619</v>
      </c>
      <c r="J7529" s="4" t="s">
        <v>12</v>
      </c>
    </row>
    <row r="7530" spans="1:10" x14ac:dyDescent="0.25">
      <c r="A7530" s="2">
        <v>67.507089991304795</v>
      </c>
      <c r="B7530" s="3">
        <v>-1.06248121279538</v>
      </c>
      <c r="C7530" s="5">
        <v>8.6072482801523801E-11</v>
      </c>
      <c r="D7530" s="6">
        <v>5.0143260290872996E-10</v>
      </c>
      <c r="E7530" s="3" t="s">
        <v>6788</v>
      </c>
      <c r="F7530" s="3" t="s">
        <v>6789</v>
      </c>
      <c r="G7530" s="3">
        <v>16351</v>
      </c>
      <c r="H7530" s="7" t="str">
        <f>HYPERLINK("http://www.ensembl.org/Mus_musculus/Gene/Summary?db=core;g=ENSMUSG00000028696","ENSMUSG00000028696")</f>
        <v>ENSMUSG00000028696</v>
      </c>
      <c r="I7530" s="7" t="str">
        <f>HYPERLINK("http://www.informatics.jax.org/marker/MGI:96581","MGI:96581")</f>
        <v>MGI:96581</v>
      </c>
      <c r="J7530" s="4" t="s">
        <v>12</v>
      </c>
    </row>
    <row r="7531" spans="1:10" x14ac:dyDescent="0.25">
      <c r="A7531" s="2">
        <v>127.75953093866799</v>
      </c>
      <c r="B7531" s="3">
        <v>-1.06250742946202</v>
      </c>
      <c r="C7531" s="5">
        <v>2.7998725053145001E-16</v>
      </c>
      <c r="D7531" s="6">
        <v>2.2891163268989198E-15</v>
      </c>
      <c r="E7531" s="3" t="s">
        <v>4841</v>
      </c>
      <c r="F7531" s="3" t="s">
        <v>4842</v>
      </c>
      <c r="G7531" s="3">
        <v>19340</v>
      </c>
      <c r="H7531" s="7" t="str">
        <f>HYPERLINK("http://www.ensembl.org/Mus_musculus/Gene/Summary?db=core;g=ENSMUSG00000019066","ENSMUSG00000019066")</f>
        <v>ENSMUSG00000019066</v>
      </c>
      <c r="I7531" s="7" t="str">
        <f>HYPERLINK("http://www.informatics.jax.org/marker/MGI:97844","MGI:97844")</f>
        <v>MGI:97844</v>
      </c>
      <c r="J7531" s="4" t="s">
        <v>12</v>
      </c>
    </row>
    <row r="7532" spans="1:10" x14ac:dyDescent="0.25">
      <c r="A7532" s="2">
        <v>9.3030184888843692</v>
      </c>
      <c r="B7532" s="3">
        <v>-1.06311263640954</v>
      </c>
      <c r="C7532" s="3">
        <v>5.9145405105260904E-3</v>
      </c>
      <c r="D7532" s="4">
        <v>1.5405460159499999E-2</v>
      </c>
      <c r="E7532" s="3" t="s">
        <v>15146</v>
      </c>
      <c r="F7532" s="3" t="s">
        <v>15147</v>
      </c>
      <c r="G7532" s="3">
        <v>630146</v>
      </c>
      <c r="H7532" s="7" t="str">
        <f>HYPERLINK("http://www.ensembl.org/Mus_musculus/Gene/Summary?db=core;g=ENSMUSG00000086564","ENSMUSG00000086564")</f>
        <v>ENSMUSG00000086564</v>
      </c>
      <c r="I7532" s="7" t="str">
        <f>HYPERLINK("http://www.informatics.jax.org/marker/MGI:2685862","MGI:2685862")</f>
        <v>MGI:2685862</v>
      </c>
      <c r="J7532" s="4" t="s">
        <v>12</v>
      </c>
    </row>
    <row r="7533" spans="1:10" x14ac:dyDescent="0.25">
      <c r="A7533" s="2">
        <v>58.833097771434701</v>
      </c>
      <c r="B7533" s="3">
        <v>-1.0635014043181199</v>
      </c>
      <c r="C7533" s="5">
        <v>1.9764978899685302E-9</v>
      </c>
      <c r="D7533" s="6">
        <v>1.0352334233779401E-8</v>
      </c>
      <c r="E7533" s="3" t="s">
        <v>7548</v>
      </c>
      <c r="F7533" s="3" t="s">
        <v>7549</v>
      </c>
      <c r="G7533" s="3">
        <v>194655</v>
      </c>
      <c r="H7533" s="7" t="str">
        <f>HYPERLINK("http://www.ensembl.org/Mus_musculus/Gene/Summary?db=core;g=ENSMUSG00000020653","ENSMUSG00000020653")</f>
        <v>ENSMUSG00000020653</v>
      </c>
      <c r="I7533" s="7" t="str">
        <f>HYPERLINK("http://www.informatics.jax.org/marker/MGI:2653368","MGI:2653368")</f>
        <v>MGI:2653368</v>
      </c>
      <c r="J7533" s="4" t="s">
        <v>12</v>
      </c>
    </row>
    <row r="7534" spans="1:10" x14ac:dyDescent="0.25">
      <c r="A7534" s="2">
        <v>183.48405198094201</v>
      </c>
      <c r="B7534" s="3">
        <v>-1.0635194637643499</v>
      </c>
      <c r="C7534" s="5">
        <v>3.8065447302287202E-22</v>
      </c>
      <c r="D7534" s="6">
        <v>4.15642647176691E-21</v>
      </c>
      <c r="E7534" s="3" t="s">
        <v>3630</v>
      </c>
      <c r="F7534" s="3" t="s">
        <v>3631</v>
      </c>
      <c r="G7534" s="3">
        <v>69260</v>
      </c>
      <c r="H7534" s="7" t="str">
        <f>HYPERLINK("http://www.ensembl.org/Mus_musculus/Gene/Summary?db=core;g=ENSMUSG00000063049","ENSMUSG00000063049")</f>
        <v>ENSMUSG00000063049</v>
      </c>
      <c r="I7534" s="7" t="str">
        <f>HYPERLINK("http://www.informatics.jax.org/marker/MGI:1916510","MGI:1916510")</f>
        <v>MGI:1916510</v>
      </c>
      <c r="J7534" s="4" t="s">
        <v>12</v>
      </c>
    </row>
    <row r="7535" spans="1:10" x14ac:dyDescent="0.25">
      <c r="A7535" s="2">
        <v>109.718564085476</v>
      </c>
      <c r="B7535" s="3">
        <v>-1.06367377583652</v>
      </c>
      <c r="C7535" s="5">
        <v>1.12869178294659E-17</v>
      </c>
      <c r="D7535" s="6">
        <v>1.00080044782854E-16</v>
      </c>
      <c r="E7535" s="3" t="s">
        <v>4465</v>
      </c>
      <c r="F7535" s="3" t="s">
        <v>4466</v>
      </c>
      <c r="G7535" s="3">
        <v>13972</v>
      </c>
      <c r="H7535" s="7" t="str">
        <f>HYPERLINK("http://www.ensembl.org/Mus_musculus/Gene/Summary?db=core;g=ENSMUSG00000000884","ENSMUSG00000000884")</f>
        <v>ENSMUSG00000000884</v>
      </c>
      <c r="I7535" s="7" t="str">
        <f>HYPERLINK("http://www.informatics.jax.org/marker/MGI:1338057","MGI:1338057")</f>
        <v>MGI:1338057</v>
      </c>
      <c r="J7535" s="4" t="s">
        <v>12</v>
      </c>
    </row>
    <row r="7536" spans="1:10" x14ac:dyDescent="0.25">
      <c r="A7536" s="2">
        <v>233.62935414648999</v>
      </c>
      <c r="B7536" s="3">
        <v>-1.0638824347044</v>
      </c>
      <c r="C7536" s="5">
        <v>1.24488553972714E-20</v>
      </c>
      <c r="D7536" s="6">
        <v>1.2706595674647701E-19</v>
      </c>
      <c r="E7536" s="3" t="s">
        <v>3882</v>
      </c>
      <c r="F7536" s="3" t="s">
        <v>3883</v>
      </c>
      <c r="G7536" s="3">
        <v>21847</v>
      </c>
      <c r="H7536" s="7" t="str">
        <f>HYPERLINK("http://www.ensembl.org/Mus_musculus/Gene/Summary?db=core;g=ENSMUSG00000037465","ENSMUSG00000037465")</f>
        <v>ENSMUSG00000037465</v>
      </c>
      <c r="I7536" s="7" t="str">
        <f>HYPERLINK("http://www.informatics.jax.org/marker/MGI:1101353","MGI:1101353")</f>
        <v>MGI:1101353</v>
      </c>
      <c r="J7536" s="4" t="s">
        <v>12</v>
      </c>
    </row>
    <row r="7537" spans="1:10" x14ac:dyDescent="0.25">
      <c r="A7537" s="2">
        <v>699.27095459301199</v>
      </c>
      <c r="B7537" s="3">
        <v>-1.0648078032091599</v>
      </c>
      <c r="C7537" s="5">
        <v>2.3283402859571302E-53</v>
      </c>
      <c r="D7537" s="6">
        <v>6.7921405974962507E-52</v>
      </c>
      <c r="E7537" s="3" t="s">
        <v>1368</v>
      </c>
      <c r="F7537" s="3" t="s">
        <v>1369</v>
      </c>
      <c r="G7537" s="3">
        <v>50935</v>
      </c>
      <c r="H7537" s="7" t="str">
        <f>HYPERLINK("http://www.ensembl.org/Mus_musculus/Gene/Summary?db=core;g=ENSMUSG00000026811","ENSMUSG00000026811")</f>
        <v>ENSMUSG00000026811</v>
      </c>
      <c r="I7537" s="7" t="str">
        <f>HYPERLINK("http://www.informatics.jax.org/marker/MGI:1355316","MGI:1355316")</f>
        <v>MGI:1355316</v>
      </c>
      <c r="J7537" s="4" t="s">
        <v>12</v>
      </c>
    </row>
    <row r="7538" spans="1:10" x14ac:dyDescent="0.25">
      <c r="A7538" s="2">
        <v>99.233696600755195</v>
      </c>
      <c r="B7538" s="3">
        <v>-1.0657113455548299</v>
      </c>
      <c r="C7538" s="5">
        <v>8.5273922075026604E-14</v>
      </c>
      <c r="D7538" s="6">
        <v>6.1149154302528097E-13</v>
      </c>
      <c r="E7538" s="3" t="s">
        <v>5517</v>
      </c>
      <c r="F7538" s="3" t="s">
        <v>5518</v>
      </c>
      <c r="G7538" s="3">
        <v>66994</v>
      </c>
      <c r="H7538" s="7" t="str">
        <f>HYPERLINK("http://www.ensembl.org/Mus_musculus/Gene/Summary?db=core;g=ENSMUSG00000035790","ENSMUSG00000035790")</f>
        <v>ENSMUSG00000035790</v>
      </c>
      <c r="I7538" s="7" t="str">
        <f>HYPERLINK("http://www.informatics.jax.org/marker/MGI:1914244","MGI:1914244")</f>
        <v>MGI:1914244</v>
      </c>
      <c r="J7538" s="4" t="s">
        <v>12</v>
      </c>
    </row>
    <row r="7539" spans="1:10" x14ac:dyDescent="0.25">
      <c r="A7539" s="2">
        <v>29.9313333435828</v>
      </c>
      <c r="B7539" s="3">
        <v>-1.0658600660042901</v>
      </c>
      <c r="C7539" s="5">
        <v>2.6049062585905999E-6</v>
      </c>
      <c r="D7539" s="6">
        <v>1.03461734983699E-5</v>
      </c>
      <c r="E7539" s="3" t="s">
        <v>9945</v>
      </c>
      <c r="F7539" s="3" t="s">
        <v>9946</v>
      </c>
      <c r="G7539" s="3">
        <v>320869</v>
      </c>
      <c r="H7539" s="7" t="str">
        <f>HYPERLINK("http://www.ensembl.org/Mus_musculus/Gene/Summary?db=core;g=ENSMUSG00000048478","ENSMUSG00000048478")</f>
        <v>ENSMUSG00000048478</v>
      </c>
      <c r="I7539" s="7" t="str">
        <f>HYPERLINK("http://www.informatics.jax.org/marker/MGI:2444920","MGI:2444920")</f>
        <v>MGI:2444920</v>
      </c>
      <c r="J7539" s="4" t="s">
        <v>12</v>
      </c>
    </row>
    <row r="7540" spans="1:10" x14ac:dyDescent="0.25">
      <c r="A7540" s="2">
        <v>3.6024838458821402</v>
      </c>
      <c r="B7540" s="3">
        <v>-1.06656148012147</v>
      </c>
      <c r="C7540" s="3">
        <v>1.4996043814177001E-2</v>
      </c>
      <c r="D7540" s="4">
        <v>3.5962785360035297E-2</v>
      </c>
      <c r="E7540" s="3" t="s">
        <v>16451</v>
      </c>
      <c r="F7540" s="3" t="s">
        <v>16452</v>
      </c>
      <c r="G7540" s="3">
        <v>69034</v>
      </c>
      <c r="H7540" s="7" t="str">
        <f>HYPERLINK("http://www.ensembl.org/Mus_musculus/Gene/Summary?db=core;g=ENSMUSG00000095789","ENSMUSG00000095789")</f>
        <v>ENSMUSG00000095789</v>
      </c>
      <c r="I7540" s="7" t="str">
        <f>HYPERLINK("http://www.informatics.jax.org/marker/MGI:1923099","MGI:1923099")</f>
        <v>MGI:1923099</v>
      </c>
      <c r="J7540" s="4" t="s">
        <v>12</v>
      </c>
    </row>
    <row r="7541" spans="1:10" x14ac:dyDescent="0.25">
      <c r="A7541" s="2">
        <v>32.3589025225059</v>
      </c>
      <c r="B7541" s="3">
        <v>-1.0668406890901001</v>
      </c>
      <c r="C7541" s="3">
        <v>1.5791735396560399E-4</v>
      </c>
      <c r="D7541" s="4">
        <v>5.1910822140385196E-4</v>
      </c>
      <c r="E7541" s="3" t="s">
        <v>12009</v>
      </c>
      <c r="F7541" s="3" t="s">
        <v>12010</v>
      </c>
      <c r="G7541" s="3">
        <v>21827</v>
      </c>
      <c r="H7541" s="7" t="str">
        <f>HYPERLINK("http://www.ensembl.org/Mus_musculus/Gene/Summary?db=core;g=ENSMUSG00000028047","ENSMUSG00000028047")</f>
        <v>ENSMUSG00000028047</v>
      </c>
      <c r="I7541" s="7" t="str">
        <f>HYPERLINK("http://www.informatics.jax.org/marker/MGI:98739","MGI:98739")</f>
        <v>MGI:98739</v>
      </c>
      <c r="J7541" s="4" t="s">
        <v>12</v>
      </c>
    </row>
    <row r="7542" spans="1:10" x14ac:dyDescent="0.25">
      <c r="A7542" s="2">
        <v>3.4967537774172799</v>
      </c>
      <c r="B7542" s="3">
        <v>-1.0669750654532</v>
      </c>
      <c r="C7542" s="3">
        <v>2.0144898489720099E-2</v>
      </c>
      <c r="D7542" s="4">
        <v>4.6979351728628299E-2</v>
      </c>
      <c r="E7542" s="3" t="s">
        <v>16916</v>
      </c>
      <c r="F7542" s="3" t="s">
        <v>16917</v>
      </c>
      <c r="G7542" s="3" t="s">
        <v>83</v>
      </c>
      <c r="H7542" s="7" t="str">
        <f>HYPERLINK("http://www.ensembl.org/Mus_musculus/Gene/Summary?db=core;g=ENSMUSG00000087336","ENSMUSG00000087336")</f>
        <v>ENSMUSG00000087336</v>
      </c>
      <c r="I7542" s="7" t="str">
        <f>HYPERLINK("http://www.informatics.jax.org/marker/MGI:3801778","MGI:3801778")</f>
        <v>MGI:3801778</v>
      </c>
      <c r="J7542" s="4" t="s">
        <v>932</v>
      </c>
    </row>
    <row r="7543" spans="1:10" x14ac:dyDescent="0.25">
      <c r="A7543" s="2">
        <v>3.61854229565184</v>
      </c>
      <c r="B7543" s="3">
        <v>-1.0673800318720399</v>
      </c>
      <c r="C7543" s="3">
        <v>1.5312217279414401E-2</v>
      </c>
      <c r="D7543" s="4">
        <v>3.6667507559204802E-2</v>
      </c>
      <c r="E7543" s="3" t="s">
        <v>16473</v>
      </c>
      <c r="F7543" s="3" t="s">
        <v>16474</v>
      </c>
      <c r="G7543" s="3">
        <v>106369</v>
      </c>
      <c r="H7543" s="7" t="str">
        <f>HYPERLINK("http://www.ensembl.org/Mus_musculus/Gene/Summary?db=core;g=ENSMUSG00000022773","ENSMUSG00000022773")</f>
        <v>ENSMUSG00000022773</v>
      </c>
      <c r="I7543" s="7" t="str">
        <f>HYPERLINK("http://www.informatics.jax.org/marker/MGI:1913303","MGI:1913303")</f>
        <v>MGI:1913303</v>
      </c>
      <c r="J7543" s="4" t="s">
        <v>12</v>
      </c>
    </row>
    <row r="7544" spans="1:10" x14ac:dyDescent="0.25">
      <c r="A7544" s="2">
        <v>2043.5115000434</v>
      </c>
      <c r="B7544" s="3">
        <v>-1.06763501320565</v>
      </c>
      <c r="C7544" s="5">
        <v>5.4224082956753001E-55</v>
      </c>
      <c r="D7544" s="6">
        <v>1.66557463536942E-53</v>
      </c>
      <c r="E7544" s="3" t="s">
        <v>1300</v>
      </c>
      <c r="F7544" s="3" t="s">
        <v>1301</v>
      </c>
      <c r="G7544" s="3">
        <v>19687</v>
      </c>
      <c r="H7544" s="7" t="str">
        <f>HYPERLINK("http://www.ensembl.org/Mus_musculus/Gene/Summary?db=core;g=ENSMUSG00000029191","ENSMUSG00000029191")</f>
        <v>ENSMUSG00000029191</v>
      </c>
      <c r="I7544" s="7" t="str">
        <f>HYPERLINK("http://www.informatics.jax.org/marker/MGI:97891","MGI:97891")</f>
        <v>MGI:97891</v>
      </c>
      <c r="J7544" s="4" t="s">
        <v>12</v>
      </c>
    </row>
    <row r="7545" spans="1:10" x14ac:dyDescent="0.25">
      <c r="A7545" s="2">
        <v>35.480713795612502</v>
      </c>
      <c r="B7545" s="3">
        <v>-1.06850857642941</v>
      </c>
      <c r="C7545" s="5">
        <v>1.6251795219950499E-6</v>
      </c>
      <c r="D7545" s="6">
        <v>6.5848654558747597E-6</v>
      </c>
      <c r="E7545" s="3" t="s">
        <v>9749</v>
      </c>
      <c r="F7545" s="3" t="s">
        <v>9750</v>
      </c>
      <c r="G7545" s="3">
        <v>68695</v>
      </c>
      <c r="H7545" s="7" t="str">
        <f>HYPERLINK("http://www.ensembl.org/Mus_musculus/Gene/Summary?db=core;g=ENSMUSG00000030532","ENSMUSG00000030532")</f>
        <v>ENSMUSG00000030532</v>
      </c>
      <c r="I7545" s="7" t="str">
        <f>HYPERLINK("http://www.informatics.jax.org/marker/MGI:1915945","MGI:1915945")</f>
        <v>MGI:1915945</v>
      </c>
      <c r="J7545" s="4" t="s">
        <v>12</v>
      </c>
    </row>
    <row r="7546" spans="1:10" x14ac:dyDescent="0.25">
      <c r="A7546" s="2">
        <v>235.01791907942601</v>
      </c>
      <c r="B7546" s="3">
        <v>-1.0707423819333199</v>
      </c>
      <c r="C7546" s="5">
        <v>6.1755945667614998E-28</v>
      </c>
      <c r="D7546" s="6">
        <v>8.41040917517519E-27</v>
      </c>
      <c r="E7546" s="3" t="s">
        <v>2914</v>
      </c>
      <c r="F7546" s="3" t="s">
        <v>2915</v>
      </c>
      <c r="G7546" s="3">
        <v>214742</v>
      </c>
      <c r="H7546" s="7" t="str">
        <f>HYPERLINK("http://www.ensembl.org/Mus_musculus/Gene/Summary?db=core;g=ENSMUSG00000037395","ENSMUSG00000037395")</f>
        <v>ENSMUSG00000037395</v>
      </c>
      <c r="I7546" s="7" t="str">
        <f>HYPERLINK("http://www.informatics.jax.org/marker/MGI:2441920","MGI:2441920")</f>
        <v>MGI:2441920</v>
      </c>
      <c r="J7546" s="4" t="s">
        <v>12</v>
      </c>
    </row>
    <row r="7547" spans="1:10" x14ac:dyDescent="0.25">
      <c r="A7547" s="2">
        <v>5.7593348047407202</v>
      </c>
      <c r="B7547" s="3">
        <v>-1.0713013477870399</v>
      </c>
      <c r="C7547" s="3">
        <v>8.4668991082579893E-3</v>
      </c>
      <c r="D7547" s="4">
        <v>2.13322154612045E-2</v>
      </c>
      <c r="E7547" s="3" t="s">
        <v>15659</v>
      </c>
      <c r="F7547" s="3" t="s">
        <v>15660</v>
      </c>
      <c r="G7547" s="3" t="s">
        <v>83</v>
      </c>
      <c r="H7547" s="7" t="str">
        <f>HYPERLINK("http://www.ensembl.org/Mus_musculus/Gene/Summary?db=core;g=ENSMUSG00000042938","ENSMUSG00000042938")</f>
        <v>ENSMUSG00000042938</v>
      </c>
      <c r="I7547" s="7" t="str">
        <f>HYPERLINK("http://www.informatics.jax.org/marker/MGI:3651328","MGI:3651328")</f>
        <v>MGI:3651328</v>
      </c>
      <c r="J7547" s="4" t="s">
        <v>1043</v>
      </c>
    </row>
    <row r="7548" spans="1:10" x14ac:dyDescent="0.25">
      <c r="A7548" s="2">
        <v>19.2033154757879</v>
      </c>
      <c r="B7548" s="3">
        <v>-1.0713307222141899</v>
      </c>
      <c r="C7548" s="5">
        <v>6.9898554111674704E-5</v>
      </c>
      <c r="D7548" s="4">
        <v>2.3951337742523501E-4</v>
      </c>
      <c r="E7548" s="3" t="s">
        <v>11521</v>
      </c>
      <c r="F7548" s="3" t="s">
        <v>11522</v>
      </c>
      <c r="G7548" s="3" t="s">
        <v>83</v>
      </c>
      <c r="H7548" s="7" t="str">
        <f>HYPERLINK("http://www.ensembl.org/Mus_musculus/Gene/Summary?db=core;g=ENSMUSG00000086150","ENSMUSG00000086150")</f>
        <v>ENSMUSG00000086150</v>
      </c>
      <c r="I7548" s="7" t="str">
        <f>HYPERLINK("http://www.informatics.jax.org/marker/MGI:3041246","MGI:3041246")</f>
        <v>MGI:3041246</v>
      </c>
      <c r="J7548" s="4" t="s">
        <v>932</v>
      </c>
    </row>
    <row r="7549" spans="1:10" x14ac:dyDescent="0.25">
      <c r="A7549" s="2">
        <v>108.436345682173</v>
      </c>
      <c r="B7549" s="3">
        <v>-1.0717498525200799</v>
      </c>
      <c r="C7549" s="5">
        <v>1.03302380458086E-13</v>
      </c>
      <c r="D7549" s="6">
        <v>7.3728662418872803E-13</v>
      </c>
      <c r="E7549" s="3" t="s">
        <v>5543</v>
      </c>
      <c r="F7549" s="3" t="s">
        <v>5544</v>
      </c>
      <c r="G7549" s="3">
        <v>320683</v>
      </c>
      <c r="H7549" s="7" t="str">
        <f>HYPERLINK("http://www.ensembl.org/Mus_musculus/Gene/Summary?db=core;g=ENSMUSG00000045639","ENSMUSG00000045639")</f>
        <v>ENSMUSG00000045639</v>
      </c>
      <c r="I7549" s="7" t="str">
        <f>HYPERLINK("http://www.informatics.jax.org/marker/MGI:2444524","MGI:2444524")</f>
        <v>MGI:2444524</v>
      </c>
      <c r="J7549" s="4" t="s">
        <v>12</v>
      </c>
    </row>
    <row r="7550" spans="1:10" x14ac:dyDescent="0.25">
      <c r="A7550" s="2">
        <v>5.0391813342732599</v>
      </c>
      <c r="B7550" s="3">
        <v>-1.07179126791966</v>
      </c>
      <c r="C7550" s="3">
        <v>1.03787654924895E-2</v>
      </c>
      <c r="D7550" s="4">
        <v>2.5734849177906902E-2</v>
      </c>
      <c r="E7550" s="3" t="s">
        <v>15911</v>
      </c>
      <c r="F7550" s="3" t="s">
        <v>15912</v>
      </c>
      <c r="G7550" s="3">
        <v>67088</v>
      </c>
      <c r="H7550" s="7" t="str">
        <f>HYPERLINK("http://www.ensembl.org/Mus_musculus/Gene/Summary?db=core;g=ENSMUSG00000030319","ENSMUSG00000030319")</f>
        <v>ENSMUSG00000030319</v>
      </c>
      <c r="I7550" s="7" t="str">
        <f>HYPERLINK("http://www.informatics.jax.org/marker/MGI:1914338","MGI:1914338")</f>
        <v>MGI:1914338</v>
      </c>
      <c r="J7550" s="4" t="s">
        <v>12</v>
      </c>
    </row>
    <row r="7551" spans="1:10" x14ac:dyDescent="0.25">
      <c r="A7551" s="2">
        <v>0.73062362552431204</v>
      </c>
      <c r="B7551" s="3">
        <v>-1.07210417029338</v>
      </c>
      <c r="C7551" s="3">
        <v>1.3760520606371699E-2</v>
      </c>
      <c r="D7551" s="4">
        <v>3.3274980546615401E-2</v>
      </c>
      <c r="E7551" s="3" t="s">
        <v>16315</v>
      </c>
      <c r="F7551" s="3" t="s">
        <v>16316</v>
      </c>
      <c r="G7551" s="3" t="s">
        <v>83</v>
      </c>
      <c r="H7551" s="7" t="str">
        <f>HYPERLINK("http://www.ensembl.org/Mus_musculus/Gene/Summary?db=core;g=ENSMUSG00000083392","ENSMUSG00000083392")</f>
        <v>ENSMUSG00000083392</v>
      </c>
      <c r="I7551" s="7" t="str">
        <f>HYPERLINK("http://www.informatics.jax.org/marker/MGI:3644202","MGI:3644202")</f>
        <v>MGI:3644202</v>
      </c>
      <c r="J7551" s="4" t="s">
        <v>1043</v>
      </c>
    </row>
    <row r="7552" spans="1:10" x14ac:dyDescent="0.25">
      <c r="A7552" s="2">
        <v>3.9066540734145301</v>
      </c>
      <c r="B7552" s="3">
        <v>-1.07439371788058</v>
      </c>
      <c r="C7552" s="3">
        <v>1.54409013722039E-2</v>
      </c>
      <c r="D7552" s="4">
        <v>3.6948741058107103E-2</v>
      </c>
      <c r="E7552" s="3" t="s">
        <v>16485</v>
      </c>
      <c r="F7552" s="3" t="s">
        <v>16486</v>
      </c>
      <c r="G7552" s="3" t="s">
        <v>83</v>
      </c>
      <c r="H7552" s="7" t="str">
        <f>HYPERLINK("http://www.ensembl.org/Mus_musculus/Gene/Summary?db=core;g=ENSMUSG00000104950","ENSMUSG00000104950")</f>
        <v>ENSMUSG00000104950</v>
      </c>
      <c r="I7552" s="7" t="str">
        <f>HYPERLINK("http://www.informatics.jax.org/marker/MGI:1921834","MGI:1921834")</f>
        <v>MGI:1921834</v>
      </c>
      <c r="J7552" s="4" t="s">
        <v>932</v>
      </c>
    </row>
    <row r="7553" spans="1:10" x14ac:dyDescent="0.25">
      <c r="A7553" s="2">
        <v>294.34735318471502</v>
      </c>
      <c r="B7553" s="3">
        <v>-1.0744661327752201</v>
      </c>
      <c r="C7553" s="5">
        <v>3.9921904279492503E-12</v>
      </c>
      <c r="D7553" s="6">
        <v>2.5794887037732298E-11</v>
      </c>
      <c r="E7553" s="3" t="s">
        <v>6121</v>
      </c>
      <c r="F7553" s="3" t="s">
        <v>6122</v>
      </c>
      <c r="G7553" s="3">
        <v>12448</v>
      </c>
      <c r="H7553" s="7" t="str">
        <f>HYPERLINK("http://www.ensembl.org/Mus_musculus/Gene/Summary?db=core;g=ENSMUSG00000028212","ENSMUSG00000028212")</f>
        <v>ENSMUSG00000028212</v>
      </c>
      <c r="I7553" s="7" t="str">
        <f>HYPERLINK("http://www.informatics.jax.org/marker/MGI:1329034","MGI:1329034")</f>
        <v>MGI:1329034</v>
      </c>
      <c r="J7553" s="4" t="s">
        <v>12</v>
      </c>
    </row>
    <row r="7554" spans="1:10" x14ac:dyDescent="0.25">
      <c r="A7554" s="2">
        <v>691.64570994836004</v>
      </c>
      <c r="B7554" s="3">
        <v>-1.0747389802179199</v>
      </c>
      <c r="C7554" s="5">
        <v>3.35150414811785E-53</v>
      </c>
      <c r="D7554" s="6">
        <v>9.7193620295417804E-52</v>
      </c>
      <c r="E7554" s="3" t="s">
        <v>1376</v>
      </c>
      <c r="F7554" s="3" t="s">
        <v>1377</v>
      </c>
      <c r="G7554" s="3">
        <v>53902</v>
      </c>
      <c r="H7554" s="7" t="str">
        <f>HYPERLINK("http://www.ensembl.org/Mus_musculus/Gene/Summary?db=core;g=ENSMUSG00000059713","ENSMUSG00000059713")</f>
        <v>ENSMUSG00000059713</v>
      </c>
      <c r="I7554" s="7" t="str">
        <f>HYPERLINK("http://www.informatics.jax.org/marker/MGI:1858220","MGI:1858220")</f>
        <v>MGI:1858220</v>
      </c>
      <c r="J7554" s="4" t="s">
        <v>12</v>
      </c>
    </row>
    <row r="7555" spans="1:10" x14ac:dyDescent="0.25">
      <c r="A7555" s="2">
        <v>121.667963271373</v>
      </c>
      <c r="B7555" s="3">
        <v>-1.07480687252552</v>
      </c>
      <c r="C7555" s="5">
        <v>3.7729241301436302E-16</v>
      </c>
      <c r="D7555" s="6">
        <v>3.0643354137739899E-15</v>
      </c>
      <c r="E7555" s="3" t="s">
        <v>4873</v>
      </c>
      <c r="F7555" s="3" t="s">
        <v>4874</v>
      </c>
      <c r="G7555" s="3">
        <v>66910</v>
      </c>
      <c r="H7555" s="7" t="str">
        <f>HYPERLINK("http://www.ensembl.org/Mus_musculus/Gene/Summary?db=core;g=ENSMUSG00000020895","ENSMUSG00000020895")</f>
        <v>ENSMUSG00000020895</v>
      </c>
      <c r="I7555" s="7" t="str">
        <f>HYPERLINK("http://www.informatics.jax.org/marker/MGI:1914160","MGI:1914160")</f>
        <v>MGI:1914160</v>
      </c>
      <c r="J7555" s="4" t="s">
        <v>12</v>
      </c>
    </row>
    <row r="7556" spans="1:10" x14ac:dyDescent="0.25">
      <c r="A7556" s="2">
        <v>51.092940826796401</v>
      </c>
      <c r="B7556" s="3">
        <v>-1.07529603827455</v>
      </c>
      <c r="C7556" s="5">
        <v>9.6635013830403498E-10</v>
      </c>
      <c r="D7556" s="6">
        <v>5.18542169451852E-9</v>
      </c>
      <c r="E7556" s="3" t="s">
        <v>7368</v>
      </c>
      <c r="F7556" s="3" t="s">
        <v>7369</v>
      </c>
      <c r="G7556" s="3" t="s">
        <v>83</v>
      </c>
      <c r="H7556" s="7" t="str">
        <f>HYPERLINK("http://www.ensembl.org/Mus_musculus/Gene/Summary?db=core;g=ENSMUSG00000074203","ENSMUSG00000074203")</f>
        <v>ENSMUSG00000074203</v>
      </c>
      <c r="I7556" s="7" t="str">
        <f>HYPERLINK("http://www.informatics.jax.org/marker/MGI:3588227","MGI:3588227")</f>
        <v>MGI:3588227</v>
      </c>
      <c r="J7556" s="4" t="s">
        <v>12</v>
      </c>
    </row>
    <row r="7557" spans="1:10" x14ac:dyDescent="0.25">
      <c r="A7557" s="2">
        <v>3062.9246398425498</v>
      </c>
      <c r="B7557" s="3">
        <v>-1.07652673722505</v>
      </c>
      <c r="C7557" s="5">
        <v>1.3332151952469301E-60</v>
      </c>
      <c r="D7557" s="6">
        <v>4.9050379944532502E-59</v>
      </c>
      <c r="E7557" s="3" t="s">
        <v>1088</v>
      </c>
      <c r="F7557" s="3" t="s">
        <v>1089</v>
      </c>
      <c r="G7557" s="3">
        <v>17216</v>
      </c>
      <c r="H7557" s="7" t="str">
        <f>HYPERLINK("http://www.ensembl.org/Mus_musculus/Gene/Summary?db=core;g=ENSMUSG00000002870","ENSMUSG00000002870")</f>
        <v>ENSMUSG00000002870</v>
      </c>
      <c r="I7557" s="7" t="str">
        <f>HYPERLINK("http://www.informatics.jax.org/marker/MGI:105380","MGI:105380")</f>
        <v>MGI:105380</v>
      </c>
      <c r="J7557" s="4" t="s">
        <v>12</v>
      </c>
    </row>
    <row r="7558" spans="1:10" x14ac:dyDescent="0.25">
      <c r="A7558" s="2">
        <v>638.38248669223105</v>
      </c>
      <c r="B7558" s="3">
        <v>-1.07671500756117</v>
      </c>
      <c r="C7558" s="5">
        <v>3.5563688137523198E-54</v>
      </c>
      <c r="D7558" s="6">
        <v>1.06582968096042E-52</v>
      </c>
      <c r="E7558" s="3" t="s">
        <v>1332</v>
      </c>
      <c r="F7558" s="3" t="s">
        <v>1333</v>
      </c>
      <c r="G7558" s="3">
        <v>320484</v>
      </c>
      <c r="H7558" s="7" t="str">
        <f>HYPERLINK("http://www.ensembl.org/Mus_musculus/Gene/Summary?db=core;g=ENSMUSG00000052142","ENSMUSG00000052142")</f>
        <v>ENSMUSG00000052142</v>
      </c>
      <c r="I7558" s="7" t="str">
        <f>HYPERLINK("http://www.informatics.jax.org/marker/MGI:2444128","MGI:2444128")</f>
        <v>MGI:2444128</v>
      </c>
      <c r="J7558" s="4" t="s">
        <v>12</v>
      </c>
    </row>
    <row r="7559" spans="1:10" x14ac:dyDescent="0.25">
      <c r="A7559" s="2">
        <v>7.1938250701898401</v>
      </c>
      <c r="B7559" s="3">
        <v>-1.07752242155795</v>
      </c>
      <c r="C7559" s="3">
        <v>2.60316293355647E-3</v>
      </c>
      <c r="D7559" s="4">
        <v>7.2149505340454801E-3</v>
      </c>
      <c r="E7559" s="3" t="s">
        <v>14237</v>
      </c>
      <c r="F7559" s="3" t="s">
        <v>14238</v>
      </c>
      <c r="G7559" s="3" t="s">
        <v>83</v>
      </c>
      <c r="H7559" s="7" t="str">
        <f>HYPERLINK("http://www.ensembl.org/Mus_musculus/Gene/Summary?db=core;g=ENSMUSG00000106241","ENSMUSG00000106241")</f>
        <v>ENSMUSG00000106241</v>
      </c>
      <c r="I7559" s="7" t="str">
        <f>HYPERLINK("http://www.informatics.jax.org/marker/MGI:5663280","MGI:5663280")</f>
        <v>MGI:5663280</v>
      </c>
      <c r="J7559" s="4" t="s">
        <v>1828</v>
      </c>
    </row>
    <row r="7560" spans="1:10" x14ac:dyDescent="0.25">
      <c r="A7560" s="2">
        <v>1.1216309409512</v>
      </c>
      <c r="B7560" s="3">
        <v>-1.07785672219857</v>
      </c>
      <c r="C7560" s="3">
        <v>1.6015855134633002E-2</v>
      </c>
      <c r="D7560" s="4">
        <v>3.8204023618599599E-2</v>
      </c>
      <c r="E7560" s="3" t="s">
        <v>16537</v>
      </c>
      <c r="F7560" s="3" t="s">
        <v>16538</v>
      </c>
      <c r="G7560" s="3">
        <v>17285</v>
      </c>
      <c r="H7560" s="7" t="str">
        <f>HYPERLINK("http://www.ensembl.org/Mus_musculus/Gene/Summary?db=core;g=ENSMUSG00000001493","ENSMUSG00000001493")</f>
        <v>ENSMUSG00000001493</v>
      </c>
      <c r="I7560" s="7" t="str">
        <f>HYPERLINK("http://www.informatics.jax.org/marker/MGI:103220","MGI:103220")</f>
        <v>MGI:103220</v>
      </c>
      <c r="J7560" s="4" t="s">
        <v>12</v>
      </c>
    </row>
    <row r="7561" spans="1:10" x14ac:dyDescent="0.25">
      <c r="A7561" s="2">
        <v>19.1691939314744</v>
      </c>
      <c r="B7561" s="3">
        <v>-1.07842396954305</v>
      </c>
      <c r="C7561" s="5">
        <v>6.2971819394787296E-5</v>
      </c>
      <c r="D7561" s="4">
        <v>2.1713661102731399E-4</v>
      </c>
      <c r="E7561" s="3" t="s">
        <v>11449</v>
      </c>
      <c r="F7561" s="3" t="s">
        <v>11450</v>
      </c>
      <c r="G7561" s="3">
        <v>21418</v>
      </c>
      <c r="H7561" s="7" t="str">
        <f>HYPERLINK("http://www.ensembl.org/Mus_musculus/Gene/Summary?db=core;g=ENSMUSG00000021359","ENSMUSG00000021359")</f>
        <v>ENSMUSG00000021359</v>
      </c>
      <c r="I7561" s="7" t="str">
        <f>HYPERLINK("http://www.informatics.jax.org/marker/MGI:104671","MGI:104671")</f>
        <v>MGI:104671</v>
      </c>
      <c r="J7561" s="4" t="s">
        <v>12</v>
      </c>
    </row>
    <row r="7562" spans="1:10" x14ac:dyDescent="0.25">
      <c r="A7562" s="2">
        <v>89.741535890402503</v>
      </c>
      <c r="B7562" s="3">
        <v>-1.0786617791847399</v>
      </c>
      <c r="C7562" s="5">
        <v>6.8719830345235402E-16</v>
      </c>
      <c r="D7562" s="6">
        <v>5.5154865869273203E-15</v>
      </c>
      <c r="E7562" s="3" t="s">
        <v>4931</v>
      </c>
      <c r="F7562" s="3" t="s">
        <v>4932</v>
      </c>
      <c r="G7562" s="3">
        <v>67235</v>
      </c>
      <c r="H7562" s="7" t="str">
        <f>HYPERLINK("http://www.ensembl.org/Mus_musculus/Gene/Summary?db=core;g=ENSMUSG00000029627","ENSMUSG00000029627")</f>
        <v>ENSMUSG00000029627</v>
      </c>
      <c r="I7562" s="7" t="str">
        <f>HYPERLINK("http://www.informatics.jax.org/marker/MGI:1914485","MGI:1914485")</f>
        <v>MGI:1914485</v>
      </c>
      <c r="J7562" s="4" t="s">
        <v>12</v>
      </c>
    </row>
    <row r="7563" spans="1:10" x14ac:dyDescent="0.25">
      <c r="A7563" s="2">
        <v>1257.3368537470701</v>
      </c>
      <c r="B7563" s="3">
        <v>-1.07922172959358</v>
      </c>
      <c r="C7563" s="5">
        <v>1.8477798060904E-81</v>
      </c>
      <c r="D7563" s="6">
        <v>1.1008525007886001E-79</v>
      </c>
      <c r="E7563" s="3" t="s">
        <v>674</v>
      </c>
      <c r="F7563" s="3" t="s">
        <v>675</v>
      </c>
      <c r="G7563" s="3">
        <v>109299</v>
      </c>
      <c r="H7563" s="7" t="str">
        <f>HYPERLINK("http://www.ensembl.org/Mus_musculus/Gene/Summary?db=core;g=ENSMUSG00000087679","ENSMUSG00000087679")</f>
        <v>ENSMUSG00000087679</v>
      </c>
      <c r="I7563" s="7" t="str">
        <f>HYPERLINK("http://www.informatics.jax.org/marker/MGI:1924939","MGI:1924939")</f>
        <v>MGI:1924939</v>
      </c>
      <c r="J7563" s="4" t="s">
        <v>12</v>
      </c>
    </row>
    <row r="7564" spans="1:10" x14ac:dyDescent="0.25">
      <c r="A7564" s="2">
        <v>215.079517474997</v>
      </c>
      <c r="B7564" s="3">
        <v>-1.07924656271071</v>
      </c>
      <c r="C7564" s="5">
        <v>1.0563552720143001E-11</v>
      </c>
      <c r="D7564" s="6">
        <v>6.5817775558047694E-11</v>
      </c>
      <c r="E7564" s="3" t="s">
        <v>6347</v>
      </c>
      <c r="F7564" s="3" t="s">
        <v>6348</v>
      </c>
      <c r="G7564" s="3">
        <v>170720</v>
      </c>
      <c r="H7564" s="7" t="str">
        <f>HYPERLINK("http://www.ensembl.org/Mus_musculus/Gene/Summary?db=core;g=ENSMUSG00000013483","ENSMUSG00000013483")</f>
        <v>ENSMUSG00000013483</v>
      </c>
      <c r="I7564" s="7" t="str">
        <f>HYPERLINK("http://www.informatics.jax.org/marker/MGI:2386258","MGI:2386258")</f>
        <v>MGI:2386258</v>
      </c>
      <c r="J7564" s="4" t="s">
        <v>12</v>
      </c>
    </row>
    <row r="7565" spans="1:10" x14ac:dyDescent="0.25">
      <c r="A7565" s="2">
        <v>11.7167322913586</v>
      </c>
      <c r="B7565" s="3">
        <v>-1.07931580530833</v>
      </c>
      <c r="C7565" s="3">
        <v>7.9961761614821196E-4</v>
      </c>
      <c r="D7565" s="4">
        <v>2.3916971622088201E-3</v>
      </c>
      <c r="E7565" s="3" t="s">
        <v>13195</v>
      </c>
      <c r="F7565" s="3" t="s">
        <v>13196</v>
      </c>
      <c r="G7565" s="3" t="s">
        <v>83</v>
      </c>
      <c r="H7565" s="7" t="str">
        <f>HYPERLINK("http://www.ensembl.org/Mus_musculus/Gene/Summary?db=core;g=ENSMUSG00000097378","ENSMUSG00000097378")</f>
        <v>ENSMUSG00000097378</v>
      </c>
      <c r="I7565" s="7" t="str">
        <f>HYPERLINK("http://www.informatics.jax.org/marker/MGI:2443719","MGI:2443719")</f>
        <v>MGI:2443719</v>
      </c>
      <c r="J7565" s="4" t="s">
        <v>939</v>
      </c>
    </row>
    <row r="7566" spans="1:10" x14ac:dyDescent="0.25">
      <c r="A7566" s="2">
        <v>578.01700443002005</v>
      </c>
      <c r="B7566" s="3">
        <v>-1.08017873588933</v>
      </c>
      <c r="C7566" s="5">
        <v>2.91857987474987E-24</v>
      </c>
      <c r="D7566" s="6">
        <v>3.46922212960021E-23</v>
      </c>
      <c r="E7566" s="3" t="s">
        <v>3338</v>
      </c>
      <c r="F7566" s="3" t="s">
        <v>3339</v>
      </c>
      <c r="G7566" s="3">
        <v>210544</v>
      </c>
      <c r="H7566" s="7" t="str">
        <f>HYPERLINK("http://www.ensembl.org/Mus_musculus/Gene/Summary?db=core;g=ENSMUSG00000022364","ENSMUSG00000022364")</f>
        <v>ENSMUSG00000022364</v>
      </c>
      <c r="I7566" s="7" t="str">
        <f>HYPERLINK("http://www.informatics.jax.org/marker/MGI:2684931","MGI:2684931")</f>
        <v>MGI:2684931</v>
      </c>
      <c r="J7566" s="4" t="s">
        <v>12</v>
      </c>
    </row>
    <row r="7567" spans="1:10" x14ac:dyDescent="0.25">
      <c r="A7567" s="2">
        <v>28.178632554334701</v>
      </c>
      <c r="B7567" s="3">
        <v>-1.08018641939015</v>
      </c>
      <c r="C7567" s="5">
        <v>6.5944839359109602E-6</v>
      </c>
      <c r="D7567" s="6">
        <v>2.5163162387028699E-5</v>
      </c>
      <c r="E7567" s="3" t="s">
        <v>10350</v>
      </c>
      <c r="F7567" s="3" t="s">
        <v>10351</v>
      </c>
      <c r="G7567" s="3" t="s">
        <v>83</v>
      </c>
      <c r="H7567" s="7" t="str">
        <f>HYPERLINK("http://www.ensembl.org/Mus_musculus/Gene/Summary?db=core;g=ENSMUSG00000102549","ENSMUSG00000102549")</f>
        <v>ENSMUSG00000102549</v>
      </c>
      <c r="I7567" s="7" t="str">
        <f>HYPERLINK("http://www.informatics.jax.org/marker/MGI:5611365","MGI:5611365")</f>
        <v>MGI:5611365</v>
      </c>
      <c r="J7567" s="4" t="s">
        <v>1828</v>
      </c>
    </row>
    <row r="7568" spans="1:10" x14ac:dyDescent="0.25">
      <c r="A7568" s="2">
        <v>126.99321906594</v>
      </c>
      <c r="B7568" s="3">
        <v>-1.08022989627757</v>
      </c>
      <c r="C7568" s="5">
        <v>2.9648829647311399E-22</v>
      </c>
      <c r="D7568" s="6">
        <v>3.26087518485768E-21</v>
      </c>
      <c r="E7568" s="3" t="s">
        <v>3604</v>
      </c>
      <c r="F7568" s="3" t="s">
        <v>3605</v>
      </c>
      <c r="G7568" s="3">
        <v>24099</v>
      </c>
      <c r="H7568" s="7" t="str">
        <f>HYPERLINK("http://www.ensembl.org/Mus_musculus/Gene/Summary?db=core;g=ENSMUSG00000031497","ENSMUSG00000031497")</f>
        <v>ENSMUSG00000031497</v>
      </c>
      <c r="I7568" s="7" t="str">
        <f>HYPERLINK("http://www.informatics.jax.org/marker/MGI:1344376","MGI:1344376")</f>
        <v>MGI:1344376</v>
      </c>
      <c r="J7568" s="4" t="s">
        <v>12</v>
      </c>
    </row>
    <row r="7569" spans="1:10" x14ac:dyDescent="0.25">
      <c r="A7569" s="2">
        <v>696.37895482763395</v>
      </c>
      <c r="B7569" s="3">
        <v>-1.0807803288512901</v>
      </c>
      <c r="C7569" s="5">
        <v>9.5735962250496901E-35</v>
      </c>
      <c r="D7569" s="6">
        <v>1.6488324677552801E-33</v>
      </c>
      <c r="E7569" s="3" t="s">
        <v>2307</v>
      </c>
      <c r="F7569" s="3" t="s">
        <v>2308</v>
      </c>
      <c r="G7569" s="3">
        <v>57748</v>
      </c>
      <c r="H7569" s="7" t="str">
        <f>HYPERLINK("http://www.ensembl.org/Mus_musculus/Gene/Summary?db=core;g=ENSMUSG00000021690","ENSMUSG00000021690")</f>
        <v>ENSMUSG00000021690</v>
      </c>
      <c r="I7569" s="7" t="str">
        <f>HYPERLINK("http://www.informatics.jax.org/marker/MGI:1913096","MGI:1913096")</f>
        <v>MGI:1913096</v>
      </c>
      <c r="J7569" s="4" t="s">
        <v>12</v>
      </c>
    </row>
    <row r="7570" spans="1:10" x14ac:dyDescent="0.25">
      <c r="A7570" s="2">
        <v>66.366300455326595</v>
      </c>
      <c r="B7570" s="3">
        <v>-1.08163109695777</v>
      </c>
      <c r="C7570" s="5">
        <v>2.34270049088351E-12</v>
      </c>
      <c r="D7570" s="6">
        <v>1.53839672594815E-11</v>
      </c>
      <c r="E7570" s="3" t="s">
        <v>6023</v>
      </c>
      <c r="F7570" s="3" t="s">
        <v>6024</v>
      </c>
      <c r="G7570" s="3">
        <v>78767</v>
      </c>
      <c r="H7570" s="7" t="str">
        <f>HYPERLINK("http://www.ensembl.org/Mus_musculus/Gene/Summary?db=core;g=ENSMUSG00000021176","ENSMUSG00000021176")</f>
        <v>ENSMUSG00000021176</v>
      </c>
      <c r="I7570" s="7" t="str">
        <f>HYPERLINK("http://www.informatics.jax.org/marker/MGI:1926017","MGI:1926017")</f>
        <v>MGI:1926017</v>
      </c>
      <c r="J7570" s="4" t="s">
        <v>12</v>
      </c>
    </row>
    <row r="7571" spans="1:10" x14ac:dyDescent="0.25">
      <c r="A7571" s="2">
        <v>67.598135959531604</v>
      </c>
      <c r="B7571" s="3">
        <v>-1.08240717049508</v>
      </c>
      <c r="C7571" s="5">
        <v>6.0854947025889197E-11</v>
      </c>
      <c r="D7571" s="6">
        <v>3.5962228209485601E-10</v>
      </c>
      <c r="E7571" s="3" t="s">
        <v>6691</v>
      </c>
      <c r="F7571" s="3" t="s">
        <v>6692</v>
      </c>
      <c r="G7571" s="3">
        <v>239099</v>
      </c>
      <c r="H7571" s="7" t="str">
        <f>HYPERLINK("http://www.ensembl.org/Mus_musculus/Gene/Summary?db=core;g=ENSMUSG00000057156","ENSMUSG00000057156")</f>
        <v>ENSMUSG00000057156</v>
      </c>
      <c r="I7571" s="7" t="str">
        <f>HYPERLINK("http://www.informatics.jax.org/marker/MGI:2678023","MGI:2678023")</f>
        <v>MGI:2678023</v>
      </c>
      <c r="J7571" s="4" t="s">
        <v>12</v>
      </c>
    </row>
    <row r="7572" spans="1:10" x14ac:dyDescent="0.25">
      <c r="A7572" s="2">
        <v>707.24485879067197</v>
      </c>
      <c r="B7572" s="3">
        <v>-1.08270537039422</v>
      </c>
      <c r="C7572" s="5">
        <v>7.6125521814354708E-12</v>
      </c>
      <c r="D7572" s="6">
        <v>4.8038249285730401E-11</v>
      </c>
      <c r="E7572" s="3" t="s">
        <v>6267</v>
      </c>
      <c r="F7572" s="3" t="s">
        <v>6268</v>
      </c>
      <c r="G7572" s="3">
        <v>74205</v>
      </c>
      <c r="H7572" s="7" t="str">
        <f>HYPERLINK("http://www.ensembl.org/Mus_musculus/Gene/Summary?db=core;g=ENSMUSG00000032883","ENSMUSG00000032883")</f>
        <v>ENSMUSG00000032883</v>
      </c>
      <c r="I7572" s="7" t="str">
        <f>HYPERLINK("http://www.informatics.jax.org/marker/MGI:1921455","MGI:1921455")</f>
        <v>MGI:1921455</v>
      </c>
      <c r="J7572" s="4" t="s">
        <v>12</v>
      </c>
    </row>
    <row r="7573" spans="1:10" x14ac:dyDescent="0.25">
      <c r="A7573" s="2">
        <v>4.1207327747483999</v>
      </c>
      <c r="B7573" s="3">
        <v>-1.08376743301832</v>
      </c>
      <c r="C7573" s="3">
        <v>9.3394967429589505E-3</v>
      </c>
      <c r="D7573" s="4">
        <v>2.3363551410776399E-2</v>
      </c>
      <c r="E7573" s="3" t="s">
        <v>15771</v>
      </c>
      <c r="F7573" s="3" t="s">
        <v>15772</v>
      </c>
      <c r="G7573" s="3">
        <v>331004</v>
      </c>
      <c r="H7573" s="7" t="str">
        <f>HYPERLINK("http://www.ensembl.org/Mus_musculus/Gene/Summary?db=core;g=ENSMUSG00000031129","ENSMUSG00000031129")</f>
        <v>ENSMUSG00000031129</v>
      </c>
      <c r="I7573" s="7" t="str">
        <f>HYPERLINK("http://www.informatics.jax.org/marker/MGI:2679732","MGI:2679732")</f>
        <v>MGI:2679732</v>
      </c>
      <c r="J7573" s="4" t="s">
        <v>12</v>
      </c>
    </row>
    <row r="7574" spans="1:10" x14ac:dyDescent="0.25">
      <c r="A7574" s="2">
        <v>275.477103038255</v>
      </c>
      <c r="B7574" s="3">
        <v>-1.0841102557706901</v>
      </c>
      <c r="C7574" s="5">
        <v>9.4484049448445007E-13</v>
      </c>
      <c r="D7574" s="6">
        <v>6.3526268500625204E-12</v>
      </c>
      <c r="E7574" s="3" t="s">
        <v>5883</v>
      </c>
      <c r="F7574" s="3" t="s">
        <v>5884</v>
      </c>
      <c r="G7574" s="3">
        <v>15216</v>
      </c>
      <c r="H7574" s="7" t="str">
        <f>HYPERLINK("http://www.ensembl.org/Mus_musculus/Gene/Summary?db=core;g=ENSMUSG00000006611","ENSMUSG00000006611")</f>
        <v>ENSMUSG00000006611</v>
      </c>
      <c r="I7574" s="7" t="str">
        <f>HYPERLINK("http://www.informatics.jax.org/marker/MGI:109191","MGI:109191")</f>
        <v>MGI:109191</v>
      </c>
      <c r="J7574" s="4" t="s">
        <v>12</v>
      </c>
    </row>
    <row r="7575" spans="1:10" x14ac:dyDescent="0.25">
      <c r="A7575" s="2">
        <v>2.7794025809112699</v>
      </c>
      <c r="B7575" s="3">
        <v>-1.0844529375474601</v>
      </c>
      <c r="C7575" s="3">
        <v>1.7799981003709501E-2</v>
      </c>
      <c r="D7575" s="4">
        <v>4.2027732925425297E-2</v>
      </c>
      <c r="E7575" s="3" t="s">
        <v>16708</v>
      </c>
      <c r="F7575" s="3" t="s">
        <v>16709</v>
      </c>
      <c r="G7575" s="3" t="s">
        <v>83</v>
      </c>
      <c r="H7575" s="7" t="str">
        <f>HYPERLINK("http://www.ensembl.org/Mus_musculus/Gene/Summary?db=core;g=ENSMUSG00000116820","ENSMUSG00000116820")</f>
        <v>ENSMUSG00000116820</v>
      </c>
      <c r="I7575" s="7" t="str">
        <f>HYPERLINK("http://www.informatics.jax.org/marker/MGI:5010113","MGI:5010113")</f>
        <v>MGI:5010113</v>
      </c>
      <c r="J7575" s="4" t="s">
        <v>1043</v>
      </c>
    </row>
    <row r="7576" spans="1:10" x14ac:dyDescent="0.25">
      <c r="A7576" s="2">
        <v>612.02662771134203</v>
      </c>
      <c r="B7576" s="3">
        <v>-1.0850358669225799</v>
      </c>
      <c r="C7576" s="5">
        <v>3.2404481057294501E-30</v>
      </c>
      <c r="D7576" s="6">
        <v>4.8082495594420402E-29</v>
      </c>
      <c r="E7576" s="3" t="s">
        <v>2675</v>
      </c>
      <c r="F7576" s="3" t="s">
        <v>2676</v>
      </c>
      <c r="G7576" s="3">
        <v>333789</v>
      </c>
      <c r="H7576" s="7" t="str">
        <f>HYPERLINK("http://www.ensembl.org/Mus_musculus/Gene/Summary?db=core;g=ENSMUSG00000037795","ENSMUSG00000037795")</f>
        <v>ENSMUSG00000037795</v>
      </c>
      <c r="I7576" s="7" t="str">
        <f>HYPERLINK("http://www.informatics.jax.org/marker/MGI:2684414","MGI:2684414")</f>
        <v>MGI:2684414</v>
      </c>
      <c r="J7576" s="4" t="s">
        <v>12</v>
      </c>
    </row>
    <row r="7577" spans="1:10" x14ac:dyDescent="0.25">
      <c r="A7577" s="2">
        <v>3.7557663287479799</v>
      </c>
      <c r="B7577" s="3">
        <v>-1.08511185078848</v>
      </c>
      <c r="C7577" s="3">
        <v>1.62665388105253E-2</v>
      </c>
      <c r="D7577" s="4">
        <v>3.8717700101817701E-2</v>
      </c>
      <c r="E7577" s="3" t="s">
        <v>16574</v>
      </c>
      <c r="F7577" s="3" t="s">
        <v>16575</v>
      </c>
      <c r="G7577" s="3">
        <v>99151</v>
      </c>
      <c r="H7577" s="7" t="str">
        <f>HYPERLINK("http://www.ensembl.org/Mus_musculus/Gene/Summary?db=core;g=ENSMUSG00000039787","ENSMUSG00000039787")</f>
        <v>ENSMUSG00000039787</v>
      </c>
      <c r="I7577" s="7" t="str">
        <f>HYPERLINK("http://www.informatics.jax.org/marker/MGI:2139134","MGI:2139134")</f>
        <v>MGI:2139134</v>
      </c>
      <c r="J7577" s="4" t="s">
        <v>12</v>
      </c>
    </row>
    <row r="7578" spans="1:10" x14ac:dyDescent="0.25">
      <c r="A7578" s="2">
        <v>26.4915769727967</v>
      </c>
      <c r="B7578" s="3">
        <v>-1.0865178078183699</v>
      </c>
      <c r="C7578" s="5">
        <v>3.5947742517419299E-6</v>
      </c>
      <c r="D7578" s="6">
        <v>1.4073644678251099E-5</v>
      </c>
      <c r="E7578" s="3" t="s">
        <v>10090</v>
      </c>
      <c r="F7578" s="3" t="s">
        <v>10091</v>
      </c>
      <c r="G7578" s="3">
        <v>21953</v>
      </c>
      <c r="H7578" s="7" t="str">
        <f>HYPERLINK("http://www.ensembl.org/Mus_musculus/Gene/Summary?db=core;g=ENSMUSG00000031097","ENSMUSG00000031097")</f>
        <v>ENSMUSG00000031097</v>
      </c>
      <c r="I7578" s="7" t="str">
        <f>HYPERLINK("http://www.informatics.jax.org/marker/MGI:105070","MGI:105070")</f>
        <v>MGI:105070</v>
      </c>
      <c r="J7578" s="4" t="s">
        <v>12</v>
      </c>
    </row>
    <row r="7579" spans="1:10" x14ac:dyDescent="0.25">
      <c r="A7579" s="2">
        <v>176.85223820362401</v>
      </c>
      <c r="B7579" s="3">
        <v>-1.08707043153488</v>
      </c>
      <c r="C7579" s="5">
        <v>2.5322184703124602E-13</v>
      </c>
      <c r="D7579" s="6">
        <v>1.7638766596454101E-12</v>
      </c>
      <c r="E7579" s="3" t="s">
        <v>5679</v>
      </c>
      <c r="F7579" s="3" t="s">
        <v>5680</v>
      </c>
      <c r="G7579" s="3">
        <v>17427</v>
      </c>
      <c r="H7579" s="7" t="str">
        <f>HYPERLINK("http://www.ensembl.org/Mus_musculus/Gene/Summary?db=core;g=ENSMUSG00000032221","ENSMUSG00000032221")</f>
        <v>ENSMUSG00000032221</v>
      </c>
      <c r="I7579" s="7" t="str">
        <f>HYPERLINK("http://www.informatics.jax.org/marker/MGI:107933","MGI:107933")</f>
        <v>MGI:107933</v>
      </c>
      <c r="J7579" s="4" t="s">
        <v>12</v>
      </c>
    </row>
    <row r="7580" spans="1:10" x14ac:dyDescent="0.25">
      <c r="A7580" s="2">
        <v>1.38201315506712</v>
      </c>
      <c r="B7580" s="3">
        <v>-1.0871592042589799</v>
      </c>
      <c r="C7580" s="3">
        <v>2.0488536680817598E-2</v>
      </c>
      <c r="D7580" s="4">
        <v>4.7687007979645701E-2</v>
      </c>
      <c r="E7580" s="3" t="s">
        <v>16950</v>
      </c>
      <c r="F7580" s="3" t="s">
        <v>16951</v>
      </c>
      <c r="G7580" s="3">
        <v>15985</v>
      </c>
      <c r="H7580" s="7" t="str">
        <f>HYPERLINK("http://www.ensembl.org/Mus_musculus/Gene/Summary?db=core;g=ENSMUSG00000040592","ENSMUSG00000040592")</f>
        <v>ENSMUSG00000040592</v>
      </c>
      <c r="I7580" s="7" t="str">
        <f>HYPERLINK("http://www.informatics.jax.org/marker/MGI:96431","MGI:96431")</f>
        <v>MGI:96431</v>
      </c>
      <c r="J7580" s="4" t="s">
        <v>12</v>
      </c>
    </row>
    <row r="7581" spans="1:10" x14ac:dyDescent="0.25">
      <c r="A7581" s="2">
        <v>922.85563222909298</v>
      </c>
      <c r="B7581" s="3">
        <v>-1.0883457177528499</v>
      </c>
      <c r="C7581" s="5">
        <v>3.9741025504328703E-37</v>
      </c>
      <c r="D7581" s="6">
        <v>7.4213354445583605E-36</v>
      </c>
      <c r="E7581" s="3" t="s">
        <v>2129</v>
      </c>
      <c r="F7581" s="3" t="s">
        <v>2130</v>
      </c>
      <c r="G7581" s="3">
        <v>110749</v>
      </c>
      <c r="H7581" s="7" t="str">
        <f>HYPERLINK("http://www.ensembl.org/Mus_musculus/Gene/Summary?db=core;g=ENSMUSG00000022945","ENSMUSG00000022945")</f>
        <v>ENSMUSG00000022945</v>
      </c>
      <c r="I7581" s="7" t="str">
        <f>HYPERLINK("http://www.informatics.jax.org/marker/MGI:1314881","MGI:1314881")</f>
        <v>MGI:1314881</v>
      </c>
      <c r="J7581" s="4" t="s">
        <v>12</v>
      </c>
    </row>
    <row r="7582" spans="1:10" x14ac:dyDescent="0.25">
      <c r="A7582" s="2">
        <v>47.087225235556403</v>
      </c>
      <c r="B7582" s="3">
        <v>-1.0894393433866001</v>
      </c>
      <c r="C7582" s="5">
        <v>5.6323988152292403E-6</v>
      </c>
      <c r="D7582" s="6">
        <v>2.1642810724146701E-5</v>
      </c>
      <c r="E7582" s="3" t="s">
        <v>10278</v>
      </c>
      <c r="F7582" s="3" t="s">
        <v>10279</v>
      </c>
      <c r="G7582" s="3">
        <v>14132</v>
      </c>
      <c r="H7582" s="7" t="str">
        <f>HYPERLINK("http://www.ensembl.org/Mus_musculus/Gene/Summary?db=core;g=ENSMUSG00000003420","ENSMUSG00000003420")</f>
        <v>ENSMUSG00000003420</v>
      </c>
      <c r="I7582" s="7" t="str">
        <f>HYPERLINK("http://www.informatics.jax.org/marker/MGI:103017","MGI:103017")</f>
        <v>MGI:103017</v>
      </c>
      <c r="J7582" s="4" t="s">
        <v>12</v>
      </c>
    </row>
    <row r="7583" spans="1:10" x14ac:dyDescent="0.25">
      <c r="A7583" s="2">
        <v>6.6196609413621097</v>
      </c>
      <c r="B7583" s="3">
        <v>-1.0895595717320701</v>
      </c>
      <c r="C7583" s="3">
        <v>5.8101142482772702E-3</v>
      </c>
      <c r="D7583" s="4">
        <v>1.5157488156638199E-2</v>
      </c>
      <c r="E7583" s="3" t="s">
        <v>15122</v>
      </c>
      <c r="F7583" s="3" t="s">
        <v>15123</v>
      </c>
      <c r="G7583" s="3" t="s">
        <v>83</v>
      </c>
      <c r="H7583" s="7" t="str">
        <f>HYPERLINK("http://www.ensembl.org/Mus_musculus/Gene/Summary?db=core;g=ENSMUSG00000097915","ENSMUSG00000097915")</f>
        <v>ENSMUSG00000097915</v>
      </c>
      <c r="I7583" s="7" t="str">
        <f>HYPERLINK("http://www.informatics.jax.org/marker/MGI:2443491","MGI:2443491")</f>
        <v>MGI:2443491</v>
      </c>
      <c r="J7583" s="4" t="s">
        <v>932</v>
      </c>
    </row>
    <row r="7584" spans="1:10" x14ac:dyDescent="0.25">
      <c r="A7584" s="2">
        <v>422.17495977664902</v>
      </c>
      <c r="B7584" s="3">
        <v>-1.0897799572670701</v>
      </c>
      <c r="C7584" s="5">
        <v>1.1596539467562401E-48</v>
      </c>
      <c r="D7584" s="6">
        <v>3.03294109151632E-47</v>
      </c>
      <c r="E7584" s="3" t="s">
        <v>1524</v>
      </c>
      <c r="F7584" s="3" t="s">
        <v>1525</v>
      </c>
      <c r="G7584" s="3">
        <v>15893</v>
      </c>
      <c r="H7584" s="7" t="str">
        <f>HYPERLINK("http://www.ensembl.org/Mus_musculus/Gene/Summary?db=core;g=ENSMUSG00000062995","ENSMUSG00000062995")</f>
        <v>ENSMUSG00000062995</v>
      </c>
      <c r="I7584" s="7" t="str">
        <f>HYPERLINK("http://www.informatics.jax.org/marker/MGI:96391","MGI:96391")</f>
        <v>MGI:96391</v>
      </c>
      <c r="J7584" s="4" t="s">
        <v>12</v>
      </c>
    </row>
    <row r="7585" spans="1:10" x14ac:dyDescent="0.25">
      <c r="A7585" s="2">
        <v>12.4478504245591</v>
      </c>
      <c r="B7585" s="3">
        <v>-1.0899640641474599</v>
      </c>
      <c r="C7585" s="3">
        <v>5.87788603937995E-4</v>
      </c>
      <c r="D7585" s="4">
        <v>1.7945798528653399E-3</v>
      </c>
      <c r="E7585" s="3" t="s">
        <v>12927</v>
      </c>
      <c r="F7585" s="3" t="s">
        <v>12928</v>
      </c>
      <c r="G7585" s="3" t="s">
        <v>83</v>
      </c>
      <c r="H7585" s="7" t="str">
        <f>HYPERLINK("http://www.ensembl.org/Mus_musculus/Gene/Summary?db=core;g=ENSMUSG00000093677","ENSMUSG00000093677")</f>
        <v>ENSMUSG00000093677</v>
      </c>
      <c r="I7585" s="7" t="str">
        <f>HYPERLINK("http://www.informatics.jax.org/marker/MGI:5313159","MGI:5313159")</f>
        <v>MGI:5313159</v>
      </c>
      <c r="J7585" s="4" t="s">
        <v>7950</v>
      </c>
    </row>
    <row r="7586" spans="1:10" x14ac:dyDescent="0.25">
      <c r="A7586" s="2">
        <v>65.055923269205806</v>
      </c>
      <c r="B7586" s="3">
        <v>-1.0899732258505801</v>
      </c>
      <c r="C7586" s="5">
        <v>3.4719743936857498E-12</v>
      </c>
      <c r="D7586" s="6">
        <v>2.2581574882415199E-11</v>
      </c>
      <c r="E7586" s="3" t="s">
        <v>6081</v>
      </c>
      <c r="F7586" s="3" t="s">
        <v>6082</v>
      </c>
      <c r="G7586" s="3">
        <v>50776</v>
      </c>
      <c r="H7586" s="7" t="str">
        <f>HYPERLINK("http://www.ensembl.org/Mus_musculus/Gene/Summary?db=core;g=ENSMUSG00000020718","ENSMUSG00000020718")</f>
        <v>ENSMUSG00000020718</v>
      </c>
      <c r="I7586" s="7" t="str">
        <f>HYPERLINK("http://www.informatics.jax.org/marker/MGI:1354947","MGI:1354947")</f>
        <v>MGI:1354947</v>
      </c>
      <c r="J7586" s="4" t="s">
        <v>12</v>
      </c>
    </row>
    <row r="7587" spans="1:10" x14ac:dyDescent="0.25">
      <c r="A7587" s="2">
        <v>8.0369684616631805</v>
      </c>
      <c r="B7587" s="3">
        <v>-1.0904337926760601</v>
      </c>
      <c r="C7587" s="3">
        <v>7.2117525178702303E-3</v>
      </c>
      <c r="D7587" s="4">
        <v>1.8464783128070698E-2</v>
      </c>
      <c r="E7587" s="3" t="s">
        <v>15407</v>
      </c>
      <c r="F7587" s="3" t="s">
        <v>15408</v>
      </c>
      <c r="G7587" s="3">
        <v>13051</v>
      </c>
      <c r="H7587" s="7" t="str">
        <f>HYPERLINK("http://www.ensembl.org/Mus_musculus/Gene/Summary?db=core;g=ENSMUSG00000052336","ENSMUSG00000052336")</f>
        <v>ENSMUSG00000052336</v>
      </c>
      <c r="I7587" s="7" t="str">
        <f>HYPERLINK("http://www.informatics.jax.org/marker/MGI:1333815","MGI:1333815")</f>
        <v>MGI:1333815</v>
      </c>
      <c r="J7587" s="4" t="s">
        <v>12</v>
      </c>
    </row>
    <row r="7588" spans="1:10" x14ac:dyDescent="0.25">
      <c r="A7588" s="2">
        <v>274.97592197509402</v>
      </c>
      <c r="B7588" s="3">
        <v>-1.09074292624652</v>
      </c>
      <c r="C7588" s="5">
        <v>1.39039896548963E-29</v>
      </c>
      <c r="D7588" s="6">
        <v>2.01904768773605E-28</v>
      </c>
      <c r="E7588" s="3" t="s">
        <v>2734</v>
      </c>
      <c r="F7588" s="3" t="s">
        <v>2735</v>
      </c>
      <c r="G7588" s="3">
        <v>212937</v>
      </c>
      <c r="H7588" s="7" t="str">
        <f>HYPERLINK("http://www.ensembl.org/Mus_musculus/Gene/Summary?db=core;g=ENSMUSG00000049625","ENSMUSG00000049625")</f>
        <v>ENSMUSG00000049625</v>
      </c>
      <c r="I7588" s="7" t="str">
        <f>HYPERLINK("http://www.informatics.jax.org/marker/MGI:2385852","MGI:2385852")</f>
        <v>MGI:2385852</v>
      </c>
      <c r="J7588" s="4" t="s">
        <v>12</v>
      </c>
    </row>
    <row r="7589" spans="1:10" x14ac:dyDescent="0.25">
      <c r="A7589" s="2">
        <v>3.6126833923442101</v>
      </c>
      <c r="B7589" s="3">
        <v>-1.09124847615347</v>
      </c>
      <c r="C7589" s="3">
        <v>1.6783591345704101E-2</v>
      </c>
      <c r="D7589" s="4">
        <v>3.9852187999673203E-2</v>
      </c>
      <c r="E7589" s="3" t="s">
        <v>16614</v>
      </c>
      <c r="F7589" s="3" t="s">
        <v>16615</v>
      </c>
      <c r="G7589" s="3" t="s">
        <v>83</v>
      </c>
      <c r="H7589" s="7" t="str">
        <f>HYPERLINK("http://www.ensembl.org/Mus_musculus/Gene/Summary?db=core;g=ENSMUSG00000085260","ENSMUSG00000085260")</f>
        <v>ENSMUSG00000085260</v>
      </c>
      <c r="I7589" s="7" t="str">
        <f>HYPERLINK("http://www.informatics.jax.org/marker/MGI:1916628","MGI:1916628")</f>
        <v>MGI:1916628</v>
      </c>
      <c r="J7589" s="4" t="s">
        <v>932</v>
      </c>
    </row>
    <row r="7590" spans="1:10" x14ac:dyDescent="0.25">
      <c r="A7590" s="2">
        <v>16.963018455377501</v>
      </c>
      <c r="B7590" s="3">
        <v>-1.09137055864609</v>
      </c>
      <c r="C7590" s="3">
        <v>1.04949614779396E-4</v>
      </c>
      <c r="D7590" s="4">
        <v>3.5327986708815699E-4</v>
      </c>
      <c r="E7590" s="3" t="s">
        <v>11727</v>
      </c>
      <c r="F7590" s="3" t="s">
        <v>11728</v>
      </c>
      <c r="G7590" s="3">
        <v>269695</v>
      </c>
      <c r="H7590" s="7" t="str">
        <f>HYPERLINK("http://www.ensembl.org/Mus_musculus/Gene/Summary?db=core;g=ENSMUSG00000032850","ENSMUSG00000032850")</f>
        <v>ENSMUSG00000032850</v>
      </c>
      <c r="I7590" s="7" t="str">
        <f>HYPERLINK("http://www.informatics.jax.org/marker/MGI:2442859","MGI:2442859")</f>
        <v>MGI:2442859</v>
      </c>
      <c r="J7590" s="4" t="s">
        <v>12</v>
      </c>
    </row>
    <row r="7591" spans="1:10" x14ac:dyDescent="0.25">
      <c r="A7591" s="2">
        <v>21.037485393049401</v>
      </c>
      <c r="B7591" s="3">
        <v>-1.0915653922897599</v>
      </c>
      <c r="C7591" s="5">
        <v>8.1072465167100597E-5</v>
      </c>
      <c r="D7591" s="4">
        <v>2.76122454766015E-4</v>
      </c>
      <c r="E7591" s="3" t="s">
        <v>11591</v>
      </c>
      <c r="F7591" s="3" t="s">
        <v>11592</v>
      </c>
      <c r="G7591" s="3">
        <v>12481</v>
      </c>
      <c r="H7591" s="7" t="str">
        <f>HYPERLINK("http://www.ensembl.org/Mus_musculus/Gene/Summary?db=core;g=ENSMUSG00000027863","ENSMUSG00000027863")</f>
        <v>ENSMUSG00000027863</v>
      </c>
      <c r="I7591" s="7" t="str">
        <f>HYPERLINK("http://www.informatics.jax.org/marker/MGI:88320","MGI:88320")</f>
        <v>MGI:88320</v>
      </c>
      <c r="J7591" s="4" t="s">
        <v>12</v>
      </c>
    </row>
    <row r="7592" spans="1:10" x14ac:dyDescent="0.25">
      <c r="A7592" s="2">
        <v>379.24282717899001</v>
      </c>
      <c r="B7592" s="3">
        <v>-1.09174772863772</v>
      </c>
      <c r="C7592" s="5">
        <v>1.73635810425375E-40</v>
      </c>
      <c r="D7592" s="6">
        <v>3.58920144820586E-39</v>
      </c>
      <c r="E7592" s="3" t="s">
        <v>1925</v>
      </c>
      <c r="F7592" s="3" t="s">
        <v>1926</v>
      </c>
      <c r="G7592" s="3">
        <v>230809</v>
      </c>
      <c r="H7592" s="7" t="str">
        <f>HYPERLINK("http://www.ensembl.org/Mus_musculus/Gene/Summary?db=core;g=ENSMUSG00000050890","ENSMUSG00000050890")</f>
        <v>ENSMUSG00000050890</v>
      </c>
      <c r="I7592" s="7" t="str">
        <f>HYPERLINK("http://www.informatics.jax.org/marker/MGI:2385213","MGI:2385213")</f>
        <v>MGI:2385213</v>
      </c>
      <c r="J7592" s="4" t="s">
        <v>12</v>
      </c>
    </row>
    <row r="7593" spans="1:10" x14ac:dyDescent="0.25">
      <c r="A7593" s="2">
        <v>2508.8467091697698</v>
      </c>
      <c r="B7593" s="3">
        <v>-1.0924371349755899</v>
      </c>
      <c r="C7593" s="5">
        <v>9.7925711932889694E-80</v>
      </c>
      <c r="D7593" s="6">
        <v>5.6300146918850897E-78</v>
      </c>
      <c r="E7593" s="3" t="s">
        <v>698</v>
      </c>
      <c r="F7593" s="3" t="s">
        <v>699</v>
      </c>
      <c r="G7593" s="3">
        <v>235559</v>
      </c>
      <c r="H7593" s="7" t="str">
        <f>HYPERLINK("http://www.ensembl.org/Mus_musculus/Gene/Summary?db=core;g=ENSMUSG00000032555","ENSMUSG00000032555")</f>
        <v>ENSMUSG00000032555</v>
      </c>
      <c r="I7593" s="7" t="str">
        <f>HYPERLINK("http://www.informatics.jax.org/marker/MGI:1920018","MGI:1920018")</f>
        <v>MGI:1920018</v>
      </c>
      <c r="J7593" s="4" t="s">
        <v>12</v>
      </c>
    </row>
    <row r="7594" spans="1:10" x14ac:dyDescent="0.25">
      <c r="A7594" s="2">
        <v>29.324975864160798</v>
      </c>
      <c r="B7594" s="3">
        <v>-1.0935206080517601</v>
      </c>
      <c r="C7594" s="5">
        <v>2.07026254195287E-7</v>
      </c>
      <c r="D7594" s="6">
        <v>9.1557697527047804E-7</v>
      </c>
      <c r="E7594" s="3" t="s">
        <v>8935</v>
      </c>
      <c r="F7594" s="3" t="s">
        <v>8936</v>
      </c>
      <c r="G7594" s="3">
        <v>235050</v>
      </c>
      <c r="H7594" s="7" t="str">
        <f>HYPERLINK("http://www.ensembl.org/Mus_musculus/Gene/Summary?db=core;g=ENSMUSG00000066829","ENSMUSG00000066829")</f>
        <v>ENSMUSG00000066829</v>
      </c>
      <c r="I7594" s="7" t="str">
        <f>HYPERLINK("http://www.informatics.jax.org/marker/MGI:2384563","MGI:2384563")</f>
        <v>MGI:2384563</v>
      </c>
      <c r="J7594" s="4" t="s">
        <v>12</v>
      </c>
    </row>
    <row r="7595" spans="1:10" x14ac:dyDescent="0.25">
      <c r="A7595" s="2">
        <v>64.625424203288802</v>
      </c>
      <c r="B7595" s="3">
        <v>-1.0946458405166799</v>
      </c>
      <c r="C7595" s="3">
        <v>7.16909914166842E-3</v>
      </c>
      <c r="D7595" s="4">
        <v>1.83746601343516E-2</v>
      </c>
      <c r="E7595" s="3" t="s">
        <v>15393</v>
      </c>
      <c r="F7595" s="3" t="s">
        <v>15394</v>
      </c>
      <c r="G7595" s="3" t="s">
        <v>83</v>
      </c>
      <c r="H7595" s="7" t="str">
        <f>HYPERLINK("http://www.ensembl.org/Mus_musculus/Gene/Summary?db=core;g=ENSMUSG00000093315","ENSMUSG00000093315")</f>
        <v>ENSMUSG00000093315</v>
      </c>
      <c r="I7595" s="7" t="str">
        <f>HYPERLINK("http://www.informatics.jax.org/marker/MGI:4950434","MGI:4950434")</f>
        <v>MGI:4950434</v>
      </c>
      <c r="J7595" s="4" t="s">
        <v>6715</v>
      </c>
    </row>
    <row r="7596" spans="1:10" x14ac:dyDescent="0.25">
      <c r="A7596" s="2">
        <v>651.07989010353697</v>
      </c>
      <c r="B7596" s="3">
        <v>-1.09481467273127</v>
      </c>
      <c r="C7596" s="5">
        <v>8.9036210948807109E-62</v>
      </c>
      <c r="D7596" s="6">
        <v>3.38956386083103E-60</v>
      </c>
      <c r="E7596" s="3" t="s">
        <v>1052</v>
      </c>
      <c r="F7596" s="3" t="s">
        <v>1053</v>
      </c>
      <c r="G7596" s="3">
        <v>108645</v>
      </c>
      <c r="H7596" s="7" t="str">
        <f>HYPERLINK("http://www.ensembl.org/Mus_musculus/Gene/Summary?db=core;g=ENSMUSG00000042032","ENSMUSG00000042032")</f>
        <v>ENSMUSG00000042032</v>
      </c>
      <c r="I7596" s="7" t="str">
        <f>HYPERLINK("http://www.informatics.jax.org/marker/MGI:1913667","MGI:1913667")</f>
        <v>MGI:1913667</v>
      </c>
      <c r="J7596" s="4" t="s">
        <v>12</v>
      </c>
    </row>
    <row r="7597" spans="1:10" x14ac:dyDescent="0.25">
      <c r="A7597" s="2">
        <v>159.51616869560499</v>
      </c>
      <c r="B7597" s="3">
        <v>-1.0948411917505301</v>
      </c>
      <c r="C7597" s="5">
        <v>1.0193017481685201E-9</v>
      </c>
      <c r="D7597" s="6">
        <v>5.4680714020356801E-9</v>
      </c>
      <c r="E7597" s="3" t="s">
        <v>7370</v>
      </c>
      <c r="F7597" s="3" t="s">
        <v>7371</v>
      </c>
      <c r="G7597" s="3">
        <v>384783</v>
      </c>
      <c r="H7597" s="7" t="str">
        <f>HYPERLINK("http://www.ensembl.org/Mus_musculus/Gene/Summary?db=core;g=ENSMUSG00000038894","ENSMUSG00000038894")</f>
        <v>ENSMUSG00000038894</v>
      </c>
      <c r="I7597" s="7" t="str">
        <f>HYPERLINK("http://www.informatics.jax.org/marker/MGI:109334","MGI:109334")</f>
        <v>MGI:109334</v>
      </c>
      <c r="J7597" s="4" t="s">
        <v>12</v>
      </c>
    </row>
    <row r="7598" spans="1:10" x14ac:dyDescent="0.25">
      <c r="A7598" s="2">
        <v>1195.8499812083901</v>
      </c>
      <c r="B7598" s="3">
        <v>-1.0953878416885801</v>
      </c>
      <c r="C7598" s="5">
        <v>7.35127129762064E-27</v>
      </c>
      <c r="D7598" s="6">
        <v>9.6387679514015296E-26</v>
      </c>
      <c r="E7598" s="3" t="s">
        <v>3026</v>
      </c>
      <c r="F7598" s="3" t="s">
        <v>3027</v>
      </c>
      <c r="G7598" s="3">
        <v>666704</v>
      </c>
      <c r="H7598" s="7" t="str">
        <f>HYPERLINK("http://www.ensembl.org/Mus_musculus/Gene/Summary?db=core;g=ENSMUSG00000079003","ENSMUSG00000079003")</f>
        <v>ENSMUSG00000079003</v>
      </c>
      <c r="I7598" s="7" t="str">
        <f>HYPERLINK("http://www.informatics.jax.org/marker/MGI:2142433","MGI:2142433")</f>
        <v>MGI:2142433</v>
      </c>
      <c r="J7598" s="4" t="s">
        <v>12</v>
      </c>
    </row>
    <row r="7599" spans="1:10" x14ac:dyDescent="0.25">
      <c r="A7599" s="2">
        <v>1.2614203773683701</v>
      </c>
      <c r="B7599" s="3">
        <v>-1.0965049674049201</v>
      </c>
      <c r="C7599" s="3">
        <v>1.8933106947016401E-2</v>
      </c>
      <c r="D7599" s="4">
        <v>4.44107135714479E-2</v>
      </c>
      <c r="E7599" s="3" t="s">
        <v>16816</v>
      </c>
      <c r="F7599" s="3" t="s">
        <v>16817</v>
      </c>
      <c r="G7599" s="3">
        <v>18576</v>
      </c>
      <c r="H7599" s="7" t="str">
        <f>HYPERLINK("http://www.ensembl.org/Mus_musculus/Gene/Summary?db=core;g=ENSMUSG00000030671","ENSMUSG00000030671")</f>
        <v>ENSMUSG00000030671</v>
      </c>
      <c r="I7599" s="7" t="str">
        <f>HYPERLINK("http://www.informatics.jax.org/marker/MGI:1333863","MGI:1333863")</f>
        <v>MGI:1333863</v>
      </c>
      <c r="J7599" s="4" t="s">
        <v>12</v>
      </c>
    </row>
    <row r="7600" spans="1:10" x14ac:dyDescent="0.25">
      <c r="A7600" s="2">
        <v>568.56074517040201</v>
      </c>
      <c r="B7600" s="3">
        <v>-1.0971693845930299</v>
      </c>
      <c r="C7600" s="5">
        <v>1.17798535177054E-25</v>
      </c>
      <c r="D7600" s="6">
        <v>1.47866779993093E-24</v>
      </c>
      <c r="E7600" s="3" t="s">
        <v>3161</v>
      </c>
      <c r="F7600" s="3" t="s">
        <v>3162</v>
      </c>
      <c r="G7600" s="3">
        <v>68114</v>
      </c>
      <c r="H7600" s="7" t="str">
        <f>HYPERLINK("http://www.ensembl.org/Mus_musculus/Gene/Summary?db=core;g=ENSMUSG00000020156","ENSMUSG00000020156")</f>
        <v>ENSMUSG00000020156</v>
      </c>
      <c r="I7600" s="7" t="str">
        <f>HYPERLINK("http://www.informatics.jax.org/marker/MGI:1915364","MGI:1915364")</f>
        <v>MGI:1915364</v>
      </c>
      <c r="J7600" s="4" t="s">
        <v>12</v>
      </c>
    </row>
    <row r="7601" spans="1:10" x14ac:dyDescent="0.25">
      <c r="A7601" s="2">
        <v>183.04185771697601</v>
      </c>
      <c r="B7601" s="3">
        <v>-1.0973850412850801</v>
      </c>
      <c r="C7601" s="5">
        <v>5.0022053179975604E-24</v>
      </c>
      <c r="D7601" s="6">
        <v>5.8786346168600605E-23</v>
      </c>
      <c r="E7601" s="3" t="s">
        <v>3374</v>
      </c>
      <c r="F7601" s="3" t="s">
        <v>3375</v>
      </c>
      <c r="G7601" s="3">
        <v>213350</v>
      </c>
      <c r="H7601" s="7" t="str">
        <f>HYPERLINK("http://www.ensembl.org/Mus_musculus/Gene/Summary?db=core;g=ENSMUSG00000051007","ENSMUSG00000051007")</f>
        <v>ENSMUSG00000051007</v>
      </c>
      <c r="I7601" s="7" t="str">
        <f>HYPERLINK("http://www.informatics.jax.org/marker/MGI:2387178","MGI:2387178")</f>
        <v>MGI:2387178</v>
      </c>
      <c r="J7601" s="4" t="s">
        <v>12</v>
      </c>
    </row>
    <row r="7602" spans="1:10" x14ac:dyDescent="0.25">
      <c r="A7602" s="2">
        <v>1166.3934772068201</v>
      </c>
      <c r="B7602" s="3">
        <v>-1.0986449556356901</v>
      </c>
      <c r="C7602" s="5">
        <v>1.7424159130552401E-46</v>
      </c>
      <c r="D7602" s="6">
        <v>4.2843443647692403E-45</v>
      </c>
      <c r="E7602" s="3" t="s">
        <v>1620</v>
      </c>
      <c r="F7602" s="3" t="s">
        <v>1621</v>
      </c>
      <c r="G7602" s="3">
        <v>19891</v>
      </c>
      <c r="H7602" s="7" t="str">
        <f>HYPERLINK("http://www.ensembl.org/Mus_musculus/Gene/Summary?db=core;g=ENSMUSG00000028884","ENSMUSG00000028884")</f>
        <v>ENSMUSG00000028884</v>
      </c>
      <c r="I7602" s="7" t="str">
        <f>HYPERLINK("http://www.informatics.jax.org/marker/MGI:1339939","MGI:1339939")</f>
        <v>MGI:1339939</v>
      </c>
      <c r="J7602" s="4" t="s">
        <v>12</v>
      </c>
    </row>
    <row r="7603" spans="1:10" x14ac:dyDescent="0.25">
      <c r="A7603" s="2">
        <v>2647.9929723396399</v>
      </c>
      <c r="B7603" s="3">
        <v>-1.09884383664106</v>
      </c>
      <c r="C7603" s="5">
        <v>1.116079757301E-128</v>
      </c>
      <c r="D7603" s="6">
        <v>1.5609285683670698E-126</v>
      </c>
      <c r="E7603" s="3" t="s">
        <v>292</v>
      </c>
      <c r="F7603" s="3" t="s">
        <v>293</v>
      </c>
      <c r="G7603" s="3">
        <v>16973</v>
      </c>
      <c r="H7603" s="7" t="str">
        <f>HYPERLINK("http://www.ensembl.org/Mus_musculus/Gene/Summary?db=core;g=ENSMUSG00000024913","ENSMUSG00000024913")</f>
        <v>ENSMUSG00000024913</v>
      </c>
      <c r="I7603" s="7" t="str">
        <f>HYPERLINK("http://www.informatics.jax.org/marker/MGI:1278315","MGI:1278315")</f>
        <v>MGI:1278315</v>
      </c>
      <c r="J7603" s="4" t="s">
        <v>12</v>
      </c>
    </row>
    <row r="7604" spans="1:10" x14ac:dyDescent="0.25">
      <c r="A7604" s="2">
        <v>1.2917077151296801</v>
      </c>
      <c r="B7604" s="3">
        <v>-1.09923242923077</v>
      </c>
      <c r="C7604" s="3">
        <v>1.70600189257284E-2</v>
      </c>
      <c r="D7604" s="4">
        <v>4.0445598860906401E-2</v>
      </c>
      <c r="E7604" s="3" t="s">
        <v>16640</v>
      </c>
      <c r="F7604" s="3" t="s">
        <v>16641</v>
      </c>
      <c r="G7604" s="3">
        <v>330319</v>
      </c>
      <c r="H7604" s="7" t="str">
        <f>HYPERLINK("http://www.ensembl.org/Mus_musculus/Gene/Summary?db=core;g=ENSMUSG00000086040","ENSMUSG00000086040")</f>
        <v>ENSMUSG00000086040</v>
      </c>
      <c r="I7604" s="7" t="str">
        <f>HYPERLINK("http://www.informatics.jax.org/marker/MGI:3044681","MGI:3044681")</f>
        <v>MGI:3044681</v>
      </c>
      <c r="J7604" s="4" t="s">
        <v>12</v>
      </c>
    </row>
    <row r="7605" spans="1:10" x14ac:dyDescent="0.25">
      <c r="A7605" s="2">
        <v>2.08012578521243</v>
      </c>
      <c r="B7605" s="3">
        <v>-1.09935185020541</v>
      </c>
      <c r="C7605" s="3">
        <v>1.8453659298078701E-2</v>
      </c>
      <c r="D7605" s="4">
        <v>4.3394486210125399E-2</v>
      </c>
      <c r="E7605" s="3" t="s">
        <v>16776</v>
      </c>
      <c r="F7605" s="3" t="s">
        <v>16777</v>
      </c>
      <c r="G7605" s="3" t="s">
        <v>83</v>
      </c>
      <c r="H7605" s="7" t="str">
        <f>HYPERLINK("http://www.ensembl.org/Mus_musculus/Gene/Summary?db=core;g=ENSMUSG00000076218","ENSMUSG00000076218")</f>
        <v>ENSMUSG00000076218</v>
      </c>
      <c r="I7605" s="7" t="str">
        <f>HYPERLINK("http://www.informatics.jax.org/marker/MGI:3629930","MGI:3629930")</f>
        <v>MGI:3629930</v>
      </c>
      <c r="J7605" s="4" t="s">
        <v>6715</v>
      </c>
    </row>
    <row r="7606" spans="1:10" x14ac:dyDescent="0.25">
      <c r="A7606" s="2">
        <v>236.26496953594901</v>
      </c>
      <c r="B7606" s="3">
        <v>-1.1002976594224401</v>
      </c>
      <c r="C7606" s="5">
        <v>1.7010964459722601E-17</v>
      </c>
      <c r="D7606" s="6">
        <v>1.4935717682356599E-16</v>
      </c>
      <c r="E7606" s="3" t="s">
        <v>4509</v>
      </c>
      <c r="F7606" s="3" t="s">
        <v>4510</v>
      </c>
      <c r="G7606" s="3">
        <v>12576</v>
      </c>
      <c r="H7606" s="7" t="str">
        <f>HYPERLINK("http://www.ensembl.org/Mus_musculus/Gene/Summary?db=core;g=ENSMUSG00000003031","ENSMUSG00000003031")</f>
        <v>ENSMUSG00000003031</v>
      </c>
      <c r="I7606" s="7" t="str">
        <f>HYPERLINK("http://www.informatics.jax.org/marker/MGI:104565","MGI:104565")</f>
        <v>MGI:104565</v>
      </c>
      <c r="J7606" s="4" t="s">
        <v>12</v>
      </c>
    </row>
    <row r="7607" spans="1:10" x14ac:dyDescent="0.25">
      <c r="A7607" s="2">
        <v>2837.98098730627</v>
      </c>
      <c r="B7607" s="3">
        <v>-1.10103248626195</v>
      </c>
      <c r="C7607" s="5">
        <v>7.6722842847792698E-78</v>
      </c>
      <c r="D7607" s="6">
        <v>4.2261856451354003E-76</v>
      </c>
      <c r="E7607" s="3" t="s">
        <v>728</v>
      </c>
      <c r="F7607" s="3" t="s">
        <v>729</v>
      </c>
      <c r="G7607" s="3">
        <v>252972</v>
      </c>
      <c r="H7607" s="7" t="str">
        <f>HYPERLINK("http://www.ensembl.org/Mus_musculus/Gene/Summary?db=core;g=ENSMUSG00000032741","ENSMUSG00000032741")</f>
        <v>ENSMUSG00000032741</v>
      </c>
      <c r="I7607" s="7" t="str">
        <f>HYPERLINK("http://www.informatics.jax.org/marker/MGI:2182472","MGI:2182472")</f>
        <v>MGI:2182472</v>
      </c>
      <c r="J7607" s="4" t="s">
        <v>12</v>
      </c>
    </row>
    <row r="7608" spans="1:10" x14ac:dyDescent="0.25">
      <c r="A7608" s="2">
        <v>184.776299263845</v>
      </c>
      <c r="B7608" s="3">
        <v>-1.10159987443716</v>
      </c>
      <c r="C7608" s="5">
        <v>1.84900959704739E-17</v>
      </c>
      <c r="D7608" s="6">
        <v>1.61767831649399E-16</v>
      </c>
      <c r="E7608" s="3" t="s">
        <v>4525</v>
      </c>
      <c r="F7608" s="3" t="s">
        <v>4526</v>
      </c>
      <c r="G7608" s="3">
        <v>239796</v>
      </c>
      <c r="H7608" s="7" t="str">
        <f>HYPERLINK("http://www.ensembl.org/Mus_musculus/Gene/Summary?db=core;g=ENSMUSG00000051065","ENSMUSG00000051065")</f>
        <v>ENSMUSG00000051065</v>
      </c>
      <c r="I7608" s="7" t="str">
        <f>HYPERLINK("http://www.informatics.jax.org/marker/MGI:1917028","MGI:1917028")</f>
        <v>MGI:1917028</v>
      </c>
      <c r="J7608" s="4" t="s">
        <v>12</v>
      </c>
    </row>
    <row r="7609" spans="1:10" x14ac:dyDescent="0.25">
      <c r="A7609" s="2">
        <v>17.4081737015205</v>
      </c>
      <c r="B7609" s="3">
        <v>-1.1020266305955499</v>
      </c>
      <c r="C7609" s="5">
        <v>3.1505479885223001E-5</v>
      </c>
      <c r="D7609" s="4">
        <v>1.12159264366426E-4</v>
      </c>
      <c r="E7609" s="3" t="s">
        <v>11090</v>
      </c>
      <c r="F7609" s="3" t="s">
        <v>11091</v>
      </c>
      <c r="G7609" s="3">
        <v>101604</v>
      </c>
      <c r="H7609" s="7" t="str">
        <f>HYPERLINK("http://www.ensembl.org/Mus_musculus/Gene/Summary?db=core;g=ENSMUSG00000078580","ENSMUSG00000078580")</f>
        <v>ENSMUSG00000078580</v>
      </c>
      <c r="I7609" s="7" t="str">
        <f>HYPERLINK("http://www.informatics.jax.org/marker/MGI:2141981","MGI:2141981")</f>
        <v>MGI:2141981</v>
      </c>
      <c r="J7609" s="4" t="s">
        <v>12</v>
      </c>
    </row>
    <row r="7610" spans="1:10" x14ac:dyDescent="0.25">
      <c r="A7610" s="2">
        <v>5.6722405213351799</v>
      </c>
      <c r="B7610" s="3">
        <v>-1.10220588610656</v>
      </c>
      <c r="C7610" s="3">
        <v>5.1771012435359804E-3</v>
      </c>
      <c r="D7610" s="4">
        <v>1.3661506292322999E-2</v>
      </c>
      <c r="E7610" s="3" t="s">
        <v>14950</v>
      </c>
      <c r="F7610" s="3" t="s">
        <v>14951</v>
      </c>
      <c r="G7610" s="3">
        <v>107766</v>
      </c>
      <c r="H7610" s="7" t="str">
        <f>HYPERLINK("http://www.ensembl.org/Mus_musculus/Gene/Summary?db=core;g=ENSMUSG00000000673","ENSMUSG00000000673")</f>
        <v>ENSMUSG00000000673</v>
      </c>
      <c r="I7610" s="7" t="str">
        <f>HYPERLINK("http://www.informatics.jax.org/marker/MGI:1349444","MGI:1349444")</f>
        <v>MGI:1349444</v>
      </c>
      <c r="J7610" s="4" t="s">
        <v>12</v>
      </c>
    </row>
    <row r="7611" spans="1:10" x14ac:dyDescent="0.25">
      <c r="A7611" s="2">
        <v>527.571421110968</v>
      </c>
      <c r="B7611" s="3">
        <v>-1.10261986098662</v>
      </c>
      <c r="C7611" s="5">
        <v>2.95805427991316E-60</v>
      </c>
      <c r="D7611" s="6">
        <v>1.07625148339276E-58</v>
      </c>
      <c r="E7611" s="3" t="s">
        <v>1100</v>
      </c>
      <c r="F7611" s="3" t="s">
        <v>1101</v>
      </c>
      <c r="G7611" s="3">
        <v>18642</v>
      </c>
      <c r="H7611" s="7" t="str">
        <f>HYPERLINK("http://www.ensembl.org/Mus_musculus/Gene/Summary?db=core;g=ENSMUSG00000033065","ENSMUSG00000033065")</f>
        <v>ENSMUSG00000033065</v>
      </c>
      <c r="I7611" s="7" t="str">
        <f>HYPERLINK("http://www.informatics.jax.org/marker/MGI:97548","MGI:97548")</f>
        <v>MGI:97548</v>
      </c>
      <c r="J7611" s="4" t="s">
        <v>12</v>
      </c>
    </row>
    <row r="7612" spans="1:10" x14ac:dyDescent="0.25">
      <c r="A7612" s="2">
        <v>31.583749817508799</v>
      </c>
      <c r="B7612" s="3">
        <v>-1.10316999634238</v>
      </c>
      <c r="C7612" s="5">
        <v>6.9736940317920005E-7</v>
      </c>
      <c r="D7612" s="6">
        <v>2.93284807649687E-6</v>
      </c>
      <c r="E7612" s="3" t="s">
        <v>9393</v>
      </c>
      <c r="F7612" s="3" t="s">
        <v>9394</v>
      </c>
      <c r="G7612" s="3">
        <v>99470</v>
      </c>
      <c r="H7612" s="7" t="str">
        <f>HYPERLINK("http://www.ensembl.org/Mus_musculus/Gene/Summary?db=core;g=ENSMUSG00000052539","ENSMUSG00000052539")</f>
        <v>ENSMUSG00000052539</v>
      </c>
      <c r="I7612" s="7" t="str">
        <f>HYPERLINK("http://www.informatics.jax.org/marker/MGI:1923484","MGI:1923484")</f>
        <v>MGI:1923484</v>
      </c>
      <c r="J7612" s="4" t="s">
        <v>12</v>
      </c>
    </row>
    <row r="7613" spans="1:10" x14ac:dyDescent="0.25">
      <c r="A7613" s="2">
        <v>7.3829628634024802</v>
      </c>
      <c r="B7613" s="3">
        <v>-1.1046905148664099</v>
      </c>
      <c r="C7613" s="3">
        <v>4.8607462986066698E-3</v>
      </c>
      <c r="D7613" s="4">
        <v>1.28783980933123E-2</v>
      </c>
      <c r="E7613" s="3" t="s">
        <v>14890</v>
      </c>
      <c r="F7613" s="3" t="s">
        <v>14891</v>
      </c>
      <c r="G7613" s="3">
        <v>19228</v>
      </c>
      <c r="H7613" s="7" t="str">
        <f>HYPERLINK("http://www.ensembl.org/Mus_musculus/Gene/Summary?db=core;g=ENSMUSG00000032492","ENSMUSG00000032492")</f>
        <v>ENSMUSG00000032492</v>
      </c>
      <c r="I7613" s="7" t="str">
        <f>HYPERLINK("http://www.informatics.jax.org/marker/MGI:97801","MGI:97801")</f>
        <v>MGI:97801</v>
      </c>
      <c r="J7613" s="4" t="s">
        <v>12</v>
      </c>
    </row>
    <row r="7614" spans="1:10" x14ac:dyDescent="0.25">
      <c r="A7614" s="2">
        <v>56.078490944560102</v>
      </c>
      <c r="B7614" s="3">
        <v>-1.10519446411444</v>
      </c>
      <c r="C7614" s="5">
        <v>4.7047376891431499E-9</v>
      </c>
      <c r="D7614" s="6">
        <v>2.39425618657814E-8</v>
      </c>
      <c r="E7614" s="3" t="s">
        <v>7766</v>
      </c>
      <c r="F7614" s="3" t="s">
        <v>7767</v>
      </c>
      <c r="G7614" s="3">
        <v>319701</v>
      </c>
      <c r="H7614" s="7" t="str">
        <f>HYPERLINK("http://www.ensembl.org/Mus_musculus/Gene/Summary?db=core;g=ENSMUSG00000044966","ENSMUSG00000044966")</f>
        <v>ENSMUSG00000044966</v>
      </c>
      <c r="I7614" s="7" t="str">
        <f>HYPERLINK("http://www.informatics.jax.org/marker/MGI:2442569","MGI:2442569")</f>
        <v>MGI:2442569</v>
      </c>
      <c r="J7614" s="4" t="s">
        <v>12</v>
      </c>
    </row>
    <row r="7615" spans="1:10" x14ac:dyDescent="0.25">
      <c r="A7615" s="2">
        <v>61.777198055394997</v>
      </c>
      <c r="B7615" s="3">
        <v>-1.106983212212</v>
      </c>
      <c r="C7615" s="5">
        <v>1.8614689525379998E-11</v>
      </c>
      <c r="D7615" s="6">
        <v>1.14320049031608E-10</v>
      </c>
      <c r="E7615" s="3" t="s">
        <v>6439</v>
      </c>
      <c r="F7615" s="3" t="s">
        <v>6440</v>
      </c>
      <c r="G7615" s="3">
        <v>71970</v>
      </c>
      <c r="H7615" s="7" t="str">
        <f>HYPERLINK("http://www.ensembl.org/Mus_musculus/Gene/Summary?db=core;g=ENSMUSG00000034173","ENSMUSG00000034173")</f>
        <v>ENSMUSG00000034173</v>
      </c>
      <c r="I7615" s="7" t="str">
        <f>HYPERLINK("http://www.informatics.jax.org/marker/MGI:1919220","MGI:1919220")</f>
        <v>MGI:1919220</v>
      </c>
      <c r="J7615" s="4" t="s">
        <v>12</v>
      </c>
    </row>
    <row r="7616" spans="1:10" x14ac:dyDescent="0.25">
      <c r="A7616" s="2">
        <v>6.1340043995429401</v>
      </c>
      <c r="B7616" s="3">
        <v>-1.1073874642278201</v>
      </c>
      <c r="C7616" s="3">
        <v>1.25037730617588E-2</v>
      </c>
      <c r="D7616" s="4">
        <v>3.05015344851414E-2</v>
      </c>
      <c r="E7616" s="3" t="s">
        <v>16173</v>
      </c>
      <c r="F7616" s="3" t="s">
        <v>16174</v>
      </c>
      <c r="G7616" s="3">
        <v>54672</v>
      </c>
      <c r="H7616" s="7" t="str">
        <f>HYPERLINK("http://www.ensembl.org/Mus_musculus/Gene/Summary?db=core;g=ENSMUSG00000060470","ENSMUSG00000060470")</f>
        <v>ENSMUSG00000060470</v>
      </c>
      <c r="I7616" s="7" t="str">
        <f>HYPERLINK("http://www.informatics.jax.org/marker/MGI:1859670","MGI:1859670")</f>
        <v>MGI:1859670</v>
      </c>
      <c r="J7616" s="4" t="s">
        <v>12</v>
      </c>
    </row>
    <row r="7617" spans="1:10" x14ac:dyDescent="0.25">
      <c r="A7617" s="2">
        <v>19.731958241607899</v>
      </c>
      <c r="B7617" s="3">
        <v>-1.10798952095956</v>
      </c>
      <c r="C7617" s="5">
        <v>1.0986406580876899E-5</v>
      </c>
      <c r="D7617" s="6">
        <v>4.09859889850345E-5</v>
      </c>
      <c r="E7617" s="3" t="s">
        <v>10585</v>
      </c>
      <c r="F7617" s="3" t="s">
        <v>10586</v>
      </c>
      <c r="G7617" s="3">
        <v>15901</v>
      </c>
      <c r="H7617" s="7" t="str">
        <f>HYPERLINK("http://www.ensembl.org/Mus_musculus/Gene/Summary?db=core;g=ENSMUSG00000042745","ENSMUSG00000042745")</f>
        <v>ENSMUSG00000042745</v>
      </c>
      <c r="I7617" s="7" t="str">
        <f>HYPERLINK("http://www.informatics.jax.org/marker/MGI:96396","MGI:96396")</f>
        <v>MGI:96396</v>
      </c>
      <c r="J7617" s="4" t="s">
        <v>12</v>
      </c>
    </row>
    <row r="7618" spans="1:10" x14ac:dyDescent="0.25">
      <c r="A7618" s="2">
        <v>29.059187053696199</v>
      </c>
      <c r="B7618" s="3">
        <v>-1.1080283114324301</v>
      </c>
      <c r="C7618" s="5">
        <v>2.7337012244900801E-6</v>
      </c>
      <c r="D7618" s="6">
        <v>1.08380756226265E-5</v>
      </c>
      <c r="E7618" s="3" t="s">
        <v>9964</v>
      </c>
      <c r="F7618" s="3" t="s">
        <v>9965</v>
      </c>
      <c r="G7618" s="3">
        <v>70266</v>
      </c>
      <c r="H7618" s="7" t="str">
        <f>HYPERLINK("http://www.ensembl.org/Mus_musculus/Gene/Summary?db=core;g=ENSMUSG00000039648","ENSMUSG00000039648")</f>
        <v>ENSMUSG00000039648</v>
      </c>
      <c r="I7618" s="7" t="str">
        <f>HYPERLINK("http://www.informatics.jax.org/marker/MGI:1917516","MGI:1917516")</f>
        <v>MGI:1917516</v>
      </c>
      <c r="J7618" s="4" t="s">
        <v>12</v>
      </c>
    </row>
    <row r="7619" spans="1:10" x14ac:dyDescent="0.25">
      <c r="A7619" s="2">
        <v>488.14135504442299</v>
      </c>
      <c r="B7619" s="3">
        <v>-1.10811961511289</v>
      </c>
      <c r="C7619" s="5">
        <v>1.09755924093234E-49</v>
      </c>
      <c r="D7619" s="6">
        <v>2.93277347306041E-48</v>
      </c>
      <c r="E7619" s="3" t="s">
        <v>1492</v>
      </c>
      <c r="F7619" s="3" t="s">
        <v>1493</v>
      </c>
      <c r="G7619" s="3">
        <v>108099</v>
      </c>
      <c r="H7619" s="7" t="str">
        <f>HYPERLINK("http://www.ensembl.org/Mus_musculus/Gene/Summary?db=core;g=ENSMUSG00000028944","ENSMUSG00000028944")</f>
        <v>ENSMUSG00000028944</v>
      </c>
      <c r="I7619" s="7" t="str">
        <f>HYPERLINK("http://www.informatics.jax.org/marker/MGI:1336153","MGI:1336153")</f>
        <v>MGI:1336153</v>
      </c>
      <c r="J7619" s="4" t="s">
        <v>12</v>
      </c>
    </row>
    <row r="7620" spans="1:10" x14ac:dyDescent="0.25">
      <c r="A7620" s="2">
        <v>10.026852308356</v>
      </c>
      <c r="B7620" s="3">
        <v>-1.1085053825865601</v>
      </c>
      <c r="C7620" s="3">
        <v>4.6416270157229999E-3</v>
      </c>
      <c r="D7620" s="4">
        <v>1.23392942504796E-2</v>
      </c>
      <c r="E7620" s="3" t="s">
        <v>14840</v>
      </c>
      <c r="F7620" s="3" t="s">
        <v>14841</v>
      </c>
      <c r="G7620" s="3">
        <v>234740</v>
      </c>
      <c r="H7620" s="7" t="str">
        <f>HYPERLINK("http://www.ensembl.org/Mus_musculus/Gene/Summary?db=core;g=ENSMUSG00000031951","ENSMUSG00000031951")</f>
        <v>ENSMUSG00000031951</v>
      </c>
      <c r="I7620" s="7" t="str">
        <f>HYPERLINK("http://www.informatics.jax.org/marker/MGI:2685024","MGI:2685024")</f>
        <v>MGI:2685024</v>
      </c>
      <c r="J7620" s="4" t="s">
        <v>12</v>
      </c>
    </row>
    <row r="7621" spans="1:10" x14ac:dyDescent="0.25">
      <c r="A7621" s="2">
        <v>0.99443624571754197</v>
      </c>
      <c r="B7621" s="3">
        <v>-1.1091477949408901</v>
      </c>
      <c r="C7621" s="3">
        <v>1.4655068140274801E-2</v>
      </c>
      <c r="D7621" s="4">
        <v>3.5243651673929198E-2</v>
      </c>
      <c r="E7621" s="3" t="s">
        <v>16405</v>
      </c>
      <c r="F7621" s="3" t="s">
        <v>16406</v>
      </c>
      <c r="G7621" s="3">
        <v>319660</v>
      </c>
      <c r="H7621" s="7" t="str">
        <f>HYPERLINK("http://www.ensembl.org/Mus_musculus/Gene/Summary?db=core;g=ENSMUSG00000050103","ENSMUSG00000050103")</f>
        <v>ENSMUSG00000050103</v>
      </c>
      <c r="I7621" s="7" t="str">
        <f>HYPERLINK("http://www.informatics.jax.org/marker/MGI:2442495","MGI:2442495")</f>
        <v>MGI:2442495</v>
      </c>
      <c r="J7621" s="4" t="s">
        <v>12</v>
      </c>
    </row>
    <row r="7622" spans="1:10" x14ac:dyDescent="0.25">
      <c r="A7622" s="2">
        <v>19.389510685247298</v>
      </c>
      <c r="B7622" s="3">
        <v>-1.11017915971438</v>
      </c>
      <c r="C7622" s="5">
        <v>3.3254108710606703E-5</v>
      </c>
      <c r="D7622" s="4">
        <v>1.1819953564765E-4</v>
      </c>
      <c r="E7622" s="3" t="s">
        <v>11109</v>
      </c>
      <c r="F7622" s="3" t="s">
        <v>11110</v>
      </c>
      <c r="G7622" s="3">
        <v>115486418</v>
      </c>
      <c r="H7622" s="7" t="str">
        <f>HYPERLINK("http://www.ensembl.org/Mus_musculus/Gene/Summary?db=core;g=ENSMUSG00000072762","ENSMUSG00000072762")</f>
        <v>ENSMUSG00000072762</v>
      </c>
      <c r="I7622" s="7" t="str">
        <f>HYPERLINK("http://www.informatics.jax.org/marker/MGI:1925270","MGI:1925270")</f>
        <v>MGI:1925270</v>
      </c>
      <c r="J7622" s="4" t="s">
        <v>12</v>
      </c>
    </row>
    <row r="7623" spans="1:10" x14ac:dyDescent="0.25">
      <c r="A7623" s="2">
        <v>98.705501646623404</v>
      </c>
      <c r="B7623" s="3">
        <v>-1.1110776647010501</v>
      </c>
      <c r="C7623" s="5">
        <v>6.2848865434822402E-6</v>
      </c>
      <c r="D7623" s="6">
        <v>2.4037618820300599E-5</v>
      </c>
      <c r="E7623" s="3" t="s">
        <v>10326</v>
      </c>
      <c r="F7623" s="3" t="s">
        <v>10327</v>
      </c>
      <c r="G7623" s="3">
        <v>12495</v>
      </c>
      <c r="H7623" s="7" t="str">
        <f>HYPERLINK("http://www.ensembl.org/Mus_musculus/Gene/Summary?db=core;g=ENSMUSG00000048120","ENSMUSG00000048120")</f>
        <v>ENSMUSG00000048120</v>
      </c>
      <c r="I7623" s="7" t="str">
        <f>HYPERLINK("http://www.informatics.jax.org/marker/MGI:102805","MGI:102805")</f>
        <v>MGI:102805</v>
      </c>
      <c r="J7623" s="4" t="s">
        <v>12</v>
      </c>
    </row>
    <row r="7624" spans="1:10" x14ac:dyDescent="0.25">
      <c r="A7624" s="2">
        <v>13.0000935230929</v>
      </c>
      <c r="B7624" s="3">
        <v>-1.11116005590094</v>
      </c>
      <c r="C7624" s="3">
        <v>4.3898175909310903E-4</v>
      </c>
      <c r="D7624" s="4">
        <v>1.3600503203952999E-3</v>
      </c>
      <c r="E7624" s="3" t="s">
        <v>12741</v>
      </c>
      <c r="F7624" s="3" t="s">
        <v>12742</v>
      </c>
      <c r="G7624" s="3">
        <v>279029</v>
      </c>
      <c r="H7624" s="7" t="str">
        <f>HYPERLINK("http://www.ensembl.org/Mus_musculus/Gene/Summary?db=core;g=ENSMUSG00000049897","ENSMUSG00000049897")</f>
        <v>ENSMUSG00000049897</v>
      </c>
      <c r="I7624" s="7" t="str">
        <f>HYPERLINK("http://www.informatics.jax.org/marker/MGI:2685557","MGI:2685557")</f>
        <v>MGI:2685557</v>
      </c>
      <c r="J7624" s="4" t="s">
        <v>12</v>
      </c>
    </row>
    <row r="7625" spans="1:10" x14ac:dyDescent="0.25">
      <c r="A7625" s="2">
        <v>115.599943065506</v>
      </c>
      <c r="B7625" s="3">
        <v>-1.1114527991085299</v>
      </c>
      <c r="C7625" s="5">
        <v>6.5846246788300496E-19</v>
      </c>
      <c r="D7625" s="6">
        <v>6.2307484964745002E-18</v>
      </c>
      <c r="E7625" s="3" t="s">
        <v>4185</v>
      </c>
      <c r="F7625" s="3" t="s">
        <v>4186</v>
      </c>
      <c r="G7625" s="3">
        <v>74166</v>
      </c>
      <c r="H7625" s="7" t="str">
        <f>HYPERLINK("http://www.ensembl.org/Mus_musculus/Gene/Summary?db=core;g=ENSMUSG00000031791","ENSMUSG00000031791")</f>
        <v>ENSMUSG00000031791</v>
      </c>
      <c r="I7625" s="7" t="str">
        <f>HYPERLINK("http://www.informatics.jax.org/marker/MGI:1921416","MGI:1921416")</f>
        <v>MGI:1921416</v>
      </c>
      <c r="J7625" s="4" t="s">
        <v>12</v>
      </c>
    </row>
    <row r="7626" spans="1:10" x14ac:dyDescent="0.25">
      <c r="A7626" s="2">
        <v>150.35879544903099</v>
      </c>
      <c r="B7626" s="3">
        <v>-1.11167910585301</v>
      </c>
      <c r="C7626" s="5">
        <v>5.1361103382591399E-24</v>
      </c>
      <c r="D7626" s="6">
        <v>6.0324059482114502E-23</v>
      </c>
      <c r="E7626" s="3" t="s">
        <v>3376</v>
      </c>
      <c r="F7626" s="3" t="s">
        <v>3377</v>
      </c>
      <c r="G7626" s="3">
        <v>12368</v>
      </c>
      <c r="H7626" s="7" t="str">
        <f>HYPERLINK("http://www.ensembl.org/Mus_musculus/Gene/Summary?db=core;g=ENSMUSG00000027997","ENSMUSG00000027997")</f>
        <v>ENSMUSG00000027997</v>
      </c>
      <c r="I7626" s="7" t="str">
        <f>HYPERLINK("http://www.informatics.jax.org/marker/MGI:1312921","MGI:1312921")</f>
        <v>MGI:1312921</v>
      </c>
      <c r="J7626" s="4" t="s">
        <v>12</v>
      </c>
    </row>
    <row r="7627" spans="1:10" x14ac:dyDescent="0.25">
      <c r="A7627" s="2">
        <v>615.71352379440498</v>
      </c>
      <c r="B7627" s="3">
        <v>-1.1134048042562901</v>
      </c>
      <c r="C7627" s="5">
        <v>2.3839086340360099E-63</v>
      </c>
      <c r="D7627" s="6">
        <v>9.4971067198363695E-62</v>
      </c>
      <c r="E7627" s="3" t="s">
        <v>1005</v>
      </c>
      <c r="F7627" s="3" t="s">
        <v>1006</v>
      </c>
      <c r="G7627" s="3">
        <v>226525</v>
      </c>
      <c r="H7627" s="7" t="str">
        <f>HYPERLINK("http://www.ensembl.org/Mus_musculus/Gene/Summary?db=core;g=ENSMUSG00000070565","ENSMUSG00000070565")</f>
        <v>ENSMUSG00000070565</v>
      </c>
      <c r="I7627" s="7" t="str">
        <f>HYPERLINK("http://www.informatics.jax.org/marker/MGI:2443881","MGI:2443881")</f>
        <v>MGI:2443881</v>
      </c>
      <c r="J7627" s="4" t="s">
        <v>12</v>
      </c>
    </row>
    <row r="7628" spans="1:10" x14ac:dyDescent="0.25">
      <c r="A7628" s="2">
        <v>95.2563757924801</v>
      </c>
      <c r="B7628" s="3">
        <v>-1.1139981729514099</v>
      </c>
      <c r="C7628" s="5">
        <v>2.4335310240886098E-15</v>
      </c>
      <c r="D7628" s="6">
        <v>1.9020702257244301E-14</v>
      </c>
      <c r="E7628" s="3" t="s">
        <v>5063</v>
      </c>
      <c r="F7628" s="3" t="s">
        <v>5064</v>
      </c>
      <c r="G7628" s="3">
        <v>271221</v>
      </c>
      <c r="H7628" s="7" t="str">
        <f>HYPERLINK("http://www.ensembl.org/Mus_musculus/Gene/Summary?db=core;g=ENSMUSG00000034959","ENSMUSG00000034959")</f>
        <v>ENSMUSG00000034959</v>
      </c>
      <c r="I7628" s="7" t="str">
        <f>HYPERLINK("http://www.informatics.jax.org/marker/MGI:2685590","MGI:2685590")</f>
        <v>MGI:2685590</v>
      </c>
      <c r="J7628" s="4" t="s">
        <v>12</v>
      </c>
    </row>
    <row r="7629" spans="1:10" x14ac:dyDescent="0.25">
      <c r="A7629" s="2">
        <v>736.74633252369995</v>
      </c>
      <c r="B7629" s="3">
        <v>-1.1141283250560201</v>
      </c>
      <c r="C7629" s="5">
        <v>1.3027191940321999E-58</v>
      </c>
      <c r="D7629" s="6">
        <v>4.44457136787456E-57</v>
      </c>
      <c r="E7629" s="3" t="s">
        <v>1172</v>
      </c>
      <c r="F7629" s="3" t="s">
        <v>1173</v>
      </c>
      <c r="G7629" s="3">
        <v>22348</v>
      </c>
      <c r="H7629" s="7" t="str">
        <f>HYPERLINK("http://www.ensembl.org/Mus_musculus/Gene/Summary?db=core;g=ENSMUSG00000037771","ENSMUSG00000037771")</f>
        <v>ENSMUSG00000037771</v>
      </c>
      <c r="I7629" s="7" t="str">
        <f>HYPERLINK("http://www.informatics.jax.org/marker/MGI:1194488","MGI:1194488")</f>
        <v>MGI:1194488</v>
      </c>
      <c r="J7629" s="4" t="s">
        <v>12</v>
      </c>
    </row>
    <row r="7630" spans="1:10" x14ac:dyDescent="0.25">
      <c r="A7630" s="2">
        <v>8.2453944925371605</v>
      </c>
      <c r="B7630" s="3">
        <v>-1.11421920828634</v>
      </c>
      <c r="C7630" s="3">
        <v>9.3406454848041795E-4</v>
      </c>
      <c r="D7630" s="4">
        <v>2.76531345083829E-3</v>
      </c>
      <c r="E7630" s="3" t="s">
        <v>13330</v>
      </c>
      <c r="F7630" s="3" t="s">
        <v>13331</v>
      </c>
      <c r="G7630" s="3">
        <v>76654</v>
      </c>
      <c r="H7630" s="7" t="str">
        <f>HYPERLINK("http://www.ensembl.org/Mus_musculus/Gene/Summary?db=core;g=ENSMUSG00000026839","ENSMUSG00000026839")</f>
        <v>ENSMUSG00000026839</v>
      </c>
      <c r="I7630" s="7" t="str">
        <f>HYPERLINK("http://www.informatics.jax.org/marker/MGI:1923904","MGI:1923904")</f>
        <v>MGI:1923904</v>
      </c>
      <c r="J7630" s="4" t="s">
        <v>12</v>
      </c>
    </row>
    <row r="7631" spans="1:10" x14ac:dyDescent="0.25">
      <c r="A7631" s="2">
        <v>65.976519631908204</v>
      </c>
      <c r="B7631" s="3">
        <v>-1.1146607470832901</v>
      </c>
      <c r="C7631" s="5">
        <v>1.4558493106061E-9</v>
      </c>
      <c r="D7631" s="6">
        <v>7.7010054734850603E-9</v>
      </c>
      <c r="E7631" s="3" t="s">
        <v>7474</v>
      </c>
      <c r="F7631" s="3" t="s">
        <v>7475</v>
      </c>
      <c r="G7631" s="3">
        <v>233651</v>
      </c>
      <c r="H7631" s="7" t="str">
        <f>HYPERLINK("http://www.ensembl.org/Mus_musculus/Gene/Summary?db=core;g=ENSMUSG00000036862","ENSMUSG00000036862")</f>
        <v>ENSMUSG00000036862</v>
      </c>
      <c r="I7631" s="7" t="str">
        <f>HYPERLINK("http://www.informatics.jax.org/marker/MGI:2685011","MGI:2685011")</f>
        <v>MGI:2685011</v>
      </c>
      <c r="J7631" s="4" t="s">
        <v>12</v>
      </c>
    </row>
    <row r="7632" spans="1:10" x14ac:dyDescent="0.25">
      <c r="A7632" s="2">
        <v>360.97870158663397</v>
      </c>
      <c r="B7632" s="3">
        <v>-1.1146835398512001</v>
      </c>
      <c r="C7632" s="5">
        <v>2.31495024338022E-36</v>
      </c>
      <c r="D7632" s="6">
        <v>4.2074487372772301E-35</v>
      </c>
      <c r="E7632" s="3" t="s">
        <v>2187</v>
      </c>
      <c r="F7632" s="3" t="s">
        <v>2188</v>
      </c>
      <c r="G7632" s="3">
        <v>11781</v>
      </c>
      <c r="H7632" s="7" t="str">
        <f>HYPERLINK("http://www.ensembl.org/Mus_musculus/Gene/Summary?db=core;g=ENSMUSG00000019518","ENSMUSG00000019518")</f>
        <v>ENSMUSG00000019518</v>
      </c>
      <c r="I7632" s="7" t="str">
        <f>HYPERLINK("http://www.informatics.jax.org/marker/MGI:1337063","MGI:1337063")</f>
        <v>MGI:1337063</v>
      </c>
      <c r="J7632" s="4" t="s">
        <v>12</v>
      </c>
    </row>
    <row r="7633" spans="1:10" x14ac:dyDescent="0.25">
      <c r="A7633" s="2">
        <v>77.553203389652793</v>
      </c>
      <c r="B7633" s="3">
        <v>-1.11482575697749</v>
      </c>
      <c r="C7633" s="5">
        <v>3.2922100636258201E-11</v>
      </c>
      <c r="D7633" s="6">
        <v>1.98478699036078E-10</v>
      </c>
      <c r="E7633" s="3" t="s">
        <v>6559</v>
      </c>
      <c r="F7633" s="3" t="s">
        <v>6560</v>
      </c>
      <c r="G7633" s="3">
        <v>319504</v>
      </c>
      <c r="H7633" s="7" t="str">
        <f>HYPERLINK("http://www.ensembl.org/Mus_musculus/Gene/Summary?db=core;g=ENSMUSG00000020598","ENSMUSG00000020598")</f>
        <v>ENSMUSG00000020598</v>
      </c>
      <c r="I7633" s="7" t="str">
        <f>HYPERLINK("http://www.informatics.jax.org/marker/MGI:104750","MGI:104750")</f>
        <v>MGI:104750</v>
      </c>
      <c r="J7633" s="4" t="s">
        <v>12</v>
      </c>
    </row>
    <row r="7634" spans="1:10" x14ac:dyDescent="0.25">
      <c r="A7634" s="2">
        <v>36.985312811894403</v>
      </c>
      <c r="B7634" s="3">
        <v>-1.1159781269301601</v>
      </c>
      <c r="C7634" s="5">
        <v>7.5819738719152703E-5</v>
      </c>
      <c r="D7634" s="4">
        <v>2.5899276763237302E-4</v>
      </c>
      <c r="E7634" s="3" t="s">
        <v>11555</v>
      </c>
      <c r="F7634" s="3" t="s">
        <v>11556</v>
      </c>
      <c r="G7634" s="3">
        <v>16174</v>
      </c>
      <c r="H7634" s="7" t="str">
        <f>HYPERLINK("http://www.ensembl.org/Mus_musculus/Gene/Summary?db=core;g=ENSMUSG00000026068","ENSMUSG00000026068")</f>
        <v>ENSMUSG00000026068</v>
      </c>
      <c r="I7634" s="7" t="str">
        <f>HYPERLINK("http://www.informatics.jax.org/marker/MGI:1338888","MGI:1338888")</f>
        <v>MGI:1338888</v>
      </c>
      <c r="J7634" s="4" t="s">
        <v>12</v>
      </c>
    </row>
    <row r="7635" spans="1:10" x14ac:dyDescent="0.25">
      <c r="A7635" s="2">
        <v>2.17938766938122</v>
      </c>
      <c r="B7635" s="3">
        <v>-1.11639024645387</v>
      </c>
      <c r="C7635" s="3">
        <v>1.6826686600823801E-2</v>
      </c>
      <c r="D7635" s="4">
        <v>3.99352821962023E-2</v>
      </c>
      <c r="E7635" s="3" t="s">
        <v>16622</v>
      </c>
      <c r="F7635" s="3" t="s">
        <v>16623</v>
      </c>
      <c r="G7635" s="3">
        <v>381836</v>
      </c>
      <c r="H7635" s="7" t="str">
        <f>HYPERLINK("http://www.ensembl.org/Mus_musculus/Gene/Summary?db=core;g=ENSMUSG00000030433","ENSMUSG00000030433")</f>
        <v>ENSMUSG00000030433</v>
      </c>
      <c r="I7635" s="7" t="str">
        <f>HYPERLINK("http://www.informatics.jax.org/marker/MGI:2685925","MGI:2685925")</f>
        <v>MGI:2685925</v>
      </c>
      <c r="J7635" s="4" t="s">
        <v>12</v>
      </c>
    </row>
    <row r="7636" spans="1:10" x14ac:dyDescent="0.25">
      <c r="A7636" s="2">
        <v>2772.2997334522902</v>
      </c>
      <c r="B7636" s="3">
        <v>-1.1170181095429199</v>
      </c>
      <c r="C7636" s="5">
        <v>3.4991705311577099E-28</v>
      </c>
      <c r="D7636" s="6">
        <v>4.8154400272168003E-27</v>
      </c>
      <c r="E7636" s="3" t="s">
        <v>2882</v>
      </c>
      <c r="F7636" s="3" t="s">
        <v>2883</v>
      </c>
      <c r="G7636" s="3">
        <v>76267</v>
      </c>
      <c r="H7636" s="7" t="str">
        <f>HYPERLINK("http://www.ensembl.org/Mus_musculus/Gene/Summary?db=core;g=ENSMUSG00000010663","ENSMUSG00000010663")</f>
        <v>ENSMUSG00000010663</v>
      </c>
      <c r="I7636" s="7" t="str">
        <f>HYPERLINK("http://www.informatics.jax.org/marker/MGI:1923517","MGI:1923517")</f>
        <v>MGI:1923517</v>
      </c>
      <c r="J7636" s="4" t="s">
        <v>12</v>
      </c>
    </row>
    <row r="7637" spans="1:10" x14ac:dyDescent="0.25">
      <c r="A7637" s="2">
        <v>65.368962395515695</v>
      </c>
      <c r="B7637" s="3">
        <v>-1.1177401681819601</v>
      </c>
      <c r="C7637" s="5">
        <v>4.68741096048625E-8</v>
      </c>
      <c r="D7637" s="6">
        <v>2.1811171340441001E-7</v>
      </c>
      <c r="E7637" s="3" t="s">
        <v>8493</v>
      </c>
      <c r="F7637" s="3" t="s">
        <v>8494</v>
      </c>
      <c r="G7637" s="3">
        <v>17312</v>
      </c>
      <c r="H7637" s="7" t="str">
        <f>HYPERLINK("http://www.ensembl.org/Mus_musculus/Gene/Summary?db=core;g=ENSMUSG00000000318","ENSMUSG00000000318")</f>
        <v>ENSMUSG00000000318</v>
      </c>
      <c r="I7637" s="7" t="str">
        <f>HYPERLINK("http://www.informatics.jax.org/marker/MGI:96975","MGI:96975")</f>
        <v>MGI:96975</v>
      </c>
      <c r="J7637" s="4" t="s">
        <v>12</v>
      </c>
    </row>
    <row r="7638" spans="1:10" x14ac:dyDescent="0.25">
      <c r="A7638" s="2">
        <v>1937.7850583618799</v>
      </c>
      <c r="B7638" s="3">
        <v>-1.1178587817124499</v>
      </c>
      <c r="C7638" s="5">
        <v>3.5496203053988499E-39</v>
      </c>
      <c r="D7638" s="6">
        <v>7.0491956115272098E-38</v>
      </c>
      <c r="E7638" s="3" t="s">
        <v>2003</v>
      </c>
      <c r="F7638" s="3" t="s">
        <v>2004</v>
      </c>
      <c r="G7638" s="3">
        <v>27221</v>
      </c>
      <c r="H7638" s="7" t="str">
        <f>HYPERLINK("http://www.ensembl.org/Mus_musculus/Gene/Summary?db=core;g=ENSMUSG00000002835","ENSMUSG00000002835")</f>
        <v>ENSMUSG00000002835</v>
      </c>
      <c r="I7638" s="7" t="str">
        <f>HYPERLINK("http://www.informatics.jax.org/marker/MGI:1351331","MGI:1351331")</f>
        <v>MGI:1351331</v>
      </c>
      <c r="J7638" s="4" t="s">
        <v>12</v>
      </c>
    </row>
    <row r="7639" spans="1:10" x14ac:dyDescent="0.25">
      <c r="A7639" s="2">
        <v>7.3520791764154199</v>
      </c>
      <c r="B7639" s="3">
        <v>-1.1185749026537299</v>
      </c>
      <c r="C7639" s="3">
        <v>2.31065299089364E-3</v>
      </c>
      <c r="D7639" s="4">
        <v>6.45869269743766E-3</v>
      </c>
      <c r="E7639" s="3" t="s">
        <v>14117</v>
      </c>
      <c r="F7639" s="3" t="s">
        <v>14118</v>
      </c>
      <c r="G7639" s="3">
        <v>68939</v>
      </c>
      <c r="H7639" s="7" t="str">
        <f>HYPERLINK("http://www.ensembl.org/Mus_musculus/Gene/Summary?db=core;g=ENSMUSG00000049907","ENSMUSG00000049907")</f>
        <v>ENSMUSG00000049907</v>
      </c>
      <c r="I7639" s="7" t="str">
        <f>HYPERLINK("http://www.informatics.jax.org/marker/MGI:1916189","MGI:1916189")</f>
        <v>MGI:1916189</v>
      </c>
      <c r="J7639" s="4" t="s">
        <v>12</v>
      </c>
    </row>
    <row r="7640" spans="1:10" x14ac:dyDescent="0.25">
      <c r="A7640" s="2">
        <v>32.2442574359061</v>
      </c>
      <c r="B7640" s="3">
        <v>-1.11945290372536</v>
      </c>
      <c r="C7640" s="5">
        <v>2.67528801250367E-8</v>
      </c>
      <c r="D7640" s="6">
        <v>1.2773364495519001E-7</v>
      </c>
      <c r="E7640" s="3" t="s">
        <v>8277</v>
      </c>
      <c r="F7640" s="3" t="s">
        <v>8278</v>
      </c>
      <c r="G7640" s="3" t="s">
        <v>83</v>
      </c>
      <c r="H7640" s="7" t="str">
        <f>HYPERLINK("http://www.ensembl.org/Mus_musculus/Gene/Summary?db=core;g=ENSMUSG00000086111","ENSMUSG00000086111")</f>
        <v>ENSMUSG00000086111</v>
      </c>
      <c r="I7640" s="7" t="str">
        <f>HYPERLINK("http://www.informatics.jax.org/marker/MGI:3705205","MGI:3705205")</f>
        <v>MGI:3705205</v>
      </c>
      <c r="J7640" s="4" t="s">
        <v>939</v>
      </c>
    </row>
    <row r="7641" spans="1:10" x14ac:dyDescent="0.25">
      <c r="A7641" s="2">
        <v>4479.61387490174</v>
      </c>
      <c r="B7641" s="3">
        <v>-1.1195854702022401</v>
      </c>
      <c r="C7641" s="5">
        <v>8.6488586246076398E-40</v>
      </c>
      <c r="D7641" s="6">
        <v>1.7474947958735899E-38</v>
      </c>
      <c r="E7641" s="3" t="s">
        <v>1969</v>
      </c>
      <c r="F7641" s="3" t="s">
        <v>1970</v>
      </c>
      <c r="G7641" s="3">
        <v>12419</v>
      </c>
      <c r="H7641" s="7" t="str">
        <f>HYPERLINK("http://www.ensembl.org/Mus_musculus/Gene/Summary?db=core;g=ENSMUSG00000009575","ENSMUSG00000009575")</f>
        <v>ENSMUSG00000009575</v>
      </c>
      <c r="I7641" s="7" t="str">
        <f>HYPERLINK("http://www.informatics.jax.org/marker/MGI:109372","MGI:109372")</f>
        <v>MGI:109372</v>
      </c>
      <c r="J7641" s="4" t="s">
        <v>12</v>
      </c>
    </row>
    <row r="7642" spans="1:10" x14ac:dyDescent="0.25">
      <c r="A7642" s="2">
        <v>73.854899214528601</v>
      </c>
      <c r="B7642" s="3">
        <v>-1.12107331720998</v>
      </c>
      <c r="C7642" s="5">
        <v>8.1994477446498303E-10</v>
      </c>
      <c r="D7642" s="6">
        <v>4.4238880854854903E-9</v>
      </c>
      <c r="E7642" s="3" t="s">
        <v>7328</v>
      </c>
      <c r="F7642" s="3" t="s">
        <v>7329</v>
      </c>
      <c r="G7642" s="3">
        <v>67884</v>
      </c>
      <c r="H7642" s="7" t="str">
        <f>HYPERLINK("http://www.ensembl.org/Mus_musculus/Gene/Summary?db=core;g=ENSMUSG00000020284","ENSMUSG00000020284")</f>
        <v>ENSMUSG00000020284</v>
      </c>
      <c r="I7642" s="7" t="str">
        <f>HYPERLINK("http://www.informatics.jax.org/marker/MGI:1915134","MGI:1915134")</f>
        <v>MGI:1915134</v>
      </c>
      <c r="J7642" s="4" t="s">
        <v>12</v>
      </c>
    </row>
    <row r="7643" spans="1:10" x14ac:dyDescent="0.25">
      <c r="A7643" s="2">
        <v>2.97582614095362</v>
      </c>
      <c r="B7643" s="3">
        <v>-1.12132184466684</v>
      </c>
      <c r="C7643" s="3">
        <v>1.61853817693789E-2</v>
      </c>
      <c r="D7643" s="4">
        <v>3.85571066069283E-2</v>
      </c>
      <c r="E7643" s="3" t="s">
        <v>16556</v>
      </c>
      <c r="F7643" s="3" t="s">
        <v>16557</v>
      </c>
      <c r="G7643" s="3" t="s">
        <v>83</v>
      </c>
      <c r="H7643" s="7" t="str">
        <f>HYPERLINK("http://www.ensembl.org/Mus_musculus/Gene/Summary?db=core;g=ENSMUSG00000118314","ENSMUSG00000118314")</f>
        <v>ENSMUSG00000118314</v>
      </c>
      <c r="I7643" s="7" t="str">
        <f>HYPERLINK("http://www.informatics.jax.org/marker/MGI:1916569","MGI:1916569")</f>
        <v>MGI:1916569</v>
      </c>
      <c r="J7643" s="4" t="s">
        <v>939</v>
      </c>
    </row>
    <row r="7644" spans="1:10" x14ac:dyDescent="0.25">
      <c r="A7644" s="2">
        <v>167.34177192867099</v>
      </c>
      <c r="B7644" s="3">
        <v>-1.1227415203664699</v>
      </c>
      <c r="C7644" s="5">
        <v>2.02995444086969E-21</v>
      </c>
      <c r="D7644" s="6">
        <v>2.13839217809563E-20</v>
      </c>
      <c r="E7644" s="3" t="s">
        <v>3762</v>
      </c>
      <c r="F7644" s="3" t="s">
        <v>3763</v>
      </c>
      <c r="G7644" s="3">
        <v>100637</v>
      </c>
      <c r="H7644" s="7" t="str">
        <f>HYPERLINK("http://www.ensembl.org/Mus_musculus/Gene/Summary?db=core;g=ENSMUSG00000041132","ENSMUSG00000041132")</f>
        <v>ENSMUSG00000041132</v>
      </c>
      <c r="I7644" s="7" t="str">
        <f>HYPERLINK("http://www.informatics.jax.org/marker/MGI:2140872","MGI:2140872")</f>
        <v>MGI:2140872</v>
      </c>
      <c r="J7644" s="4" t="s">
        <v>12</v>
      </c>
    </row>
    <row r="7645" spans="1:10" x14ac:dyDescent="0.25">
      <c r="A7645" s="2">
        <v>321.66742985059898</v>
      </c>
      <c r="B7645" s="3">
        <v>-1.12287983793533</v>
      </c>
      <c r="C7645" s="5">
        <v>8.5708426061788502E-47</v>
      </c>
      <c r="D7645" s="6">
        <v>2.12332934916893E-45</v>
      </c>
      <c r="E7645" s="3" t="s">
        <v>1608</v>
      </c>
      <c r="F7645" s="3" t="s">
        <v>1609</v>
      </c>
      <c r="G7645" s="3">
        <v>50883</v>
      </c>
      <c r="H7645" s="7" t="str">
        <f>HYPERLINK("http://www.ensembl.org/Mus_musculus/Gene/Summary?db=core;g=ENSMUSG00000029521","ENSMUSG00000029521")</f>
        <v>ENSMUSG00000029521</v>
      </c>
      <c r="I7645" s="7" t="str">
        <f>HYPERLINK("http://www.informatics.jax.org/marker/MGI:1355321","MGI:1355321")</f>
        <v>MGI:1355321</v>
      </c>
      <c r="J7645" s="4" t="s">
        <v>12</v>
      </c>
    </row>
    <row r="7646" spans="1:10" x14ac:dyDescent="0.25">
      <c r="A7646" s="2">
        <v>13.413840282244299</v>
      </c>
      <c r="B7646" s="3">
        <v>-1.1238465843144201</v>
      </c>
      <c r="C7646" s="3">
        <v>4.0055203307788498E-4</v>
      </c>
      <c r="D7646" s="4">
        <v>1.2478493036802399E-3</v>
      </c>
      <c r="E7646" s="3" t="s">
        <v>12673</v>
      </c>
      <c r="F7646" s="3" t="s">
        <v>12674</v>
      </c>
      <c r="G7646" s="3" t="s">
        <v>83</v>
      </c>
      <c r="H7646" s="7" t="str">
        <f>HYPERLINK("http://www.ensembl.org/Mus_musculus/Gene/Summary?db=core;g=ENSMUSG00000087050","ENSMUSG00000087050")</f>
        <v>ENSMUSG00000087050</v>
      </c>
      <c r="I7646" s="7" t="str">
        <f>HYPERLINK("http://www.informatics.jax.org/marker/MGI:1924478","MGI:1924478")</f>
        <v>MGI:1924478</v>
      </c>
      <c r="J7646" s="4" t="s">
        <v>932</v>
      </c>
    </row>
    <row r="7647" spans="1:10" x14ac:dyDescent="0.25">
      <c r="A7647" s="2">
        <v>74.471822105351393</v>
      </c>
      <c r="B7647" s="3">
        <v>-1.12391494913138</v>
      </c>
      <c r="C7647" s="5">
        <v>4.9221461333582503E-6</v>
      </c>
      <c r="D7647" s="6">
        <v>1.9013657541591501E-5</v>
      </c>
      <c r="E7647" s="3" t="s">
        <v>10224</v>
      </c>
      <c r="F7647" s="3" t="s">
        <v>10225</v>
      </c>
      <c r="G7647" s="3">
        <v>102103</v>
      </c>
      <c r="H7647" s="7" t="str">
        <f>HYPERLINK("http://www.ensembl.org/Mus_musculus/Gene/Summary?db=core;g=ENSMUSG00000045636","ENSMUSG00000045636")</f>
        <v>ENSMUSG00000045636</v>
      </c>
      <c r="I7647" s="7" t="str">
        <f>HYPERLINK("http://www.informatics.jax.org/marker/MGI:2142572","MGI:2142572")</f>
        <v>MGI:2142572</v>
      </c>
      <c r="J7647" s="4" t="s">
        <v>12</v>
      </c>
    </row>
    <row r="7648" spans="1:10" x14ac:dyDescent="0.25">
      <c r="A7648" s="2">
        <v>674.85864819985602</v>
      </c>
      <c r="B7648" s="3">
        <v>-1.12426872607406</v>
      </c>
      <c r="C7648" s="5">
        <v>3.3737988022516899E-69</v>
      </c>
      <c r="D7648" s="6">
        <v>1.5224556608787901E-67</v>
      </c>
      <c r="E7648" s="3" t="s">
        <v>886</v>
      </c>
      <c r="F7648" s="3" t="s">
        <v>887</v>
      </c>
      <c r="G7648" s="3">
        <v>52588</v>
      </c>
      <c r="H7648" s="7" t="str">
        <f>HYPERLINK("http://www.ensembl.org/Mus_musculus/Gene/Summary?db=core;g=ENSMUSG00000037824","ENSMUSG00000037824")</f>
        <v>ENSMUSG00000037824</v>
      </c>
      <c r="I7648" s="7" t="str">
        <f>HYPERLINK("http://www.informatics.jax.org/marker/MGI:1196325","MGI:1196325")</f>
        <v>MGI:1196325</v>
      </c>
      <c r="J7648" s="4" t="s">
        <v>12</v>
      </c>
    </row>
    <row r="7649" spans="1:10" x14ac:dyDescent="0.25">
      <c r="A7649" s="2">
        <v>419.36507143516002</v>
      </c>
      <c r="B7649" s="3">
        <v>-1.1243817063220101</v>
      </c>
      <c r="C7649" s="5">
        <v>8.7665947247427392E-22</v>
      </c>
      <c r="D7649" s="6">
        <v>9.3955026071699301E-21</v>
      </c>
      <c r="E7649" s="3" t="s">
        <v>3698</v>
      </c>
      <c r="F7649" s="3" t="s">
        <v>3699</v>
      </c>
      <c r="G7649" s="3">
        <v>235086</v>
      </c>
      <c r="H7649" s="7" t="str">
        <f>HYPERLINK("http://www.ensembl.org/Mus_musculus/Gene/Summary?db=core;g=ENSMUSG00000034275","ENSMUSG00000034275")</f>
        <v>ENSMUSG00000034275</v>
      </c>
      <c r="I7649" s="7" t="str">
        <f>HYPERLINK("http://www.informatics.jax.org/marker/MGI:2685354","MGI:2685354")</f>
        <v>MGI:2685354</v>
      </c>
      <c r="J7649" s="4" t="s">
        <v>12</v>
      </c>
    </row>
    <row r="7650" spans="1:10" x14ac:dyDescent="0.25">
      <c r="A7650" s="2">
        <v>4.6435182084413897</v>
      </c>
      <c r="B7650" s="3">
        <v>-1.1248588759138201</v>
      </c>
      <c r="C7650" s="3">
        <v>7.2694170482588E-3</v>
      </c>
      <c r="D7650" s="4">
        <v>1.8581063407863099E-2</v>
      </c>
      <c r="E7650" s="3" t="s">
        <v>15435</v>
      </c>
      <c r="F7650" s="3" t="s">
        <v>15436</v>
      </c>
      <c r="G7650" s="3" t="s">
        <v>83</v>
      </c>
      <c r="H7650" s="7" t="str">
        <f>HYPERLINK("http://www.ensembl.org/Mus_musculus/Gene/Summary?db=core;g=ENSMUSG00000097055","ENSMUSG00000097055")</f>
        <v>ENSMUSG00000097055</v>
      </c>
      <c r="I7650" s="7" t="str">
        <f>HYPERLINK("http://www.informatics.jax.org/marker/MGI:3782604","MGI:3782604")</f>
        <v>MGI:3782604</v>
      </c>
      <c r="J7650" s="4" t="s">
        <v>932</v>
      </c>
    </row>
    <row r="7651" spans="1:10" x14ac:dyDescent="0.25">
      <c r="A7651" s="2">
        <v>179.25565324801701</v>
      </c>
      <c r="B7651" s="3">
        <v>-1.1251704526256401</v>
      </c>
      <c r="C7651" s="5">
        <v>4.2311577492008902E-30</v>
      </c>
      <c r="D7651" s="6">
        <v>6.2594471728613305E-29</v>
      </c>
      <c r="E7651" s="3" t="s">
        <v>2684</v>
      </c>
      <c r="F7651" s="3" t="s">
        <v>2685</v>
      </c>
      <c r="G7651" s="3">
        <v>77605</v>
      </c>
      <c r="H7651" s="7" t="str">
        <f>HYPERLINK("http://www.ensembl.org/Mus_musculus/Gene/Summary?db=core;g=ENSMUSG00000041126","ENSMUSG00000041126")</f>
        <v>ENSMUSG00000041126</v>
      </c>
      <c r="I7651" s="7" t="str">
        <f>HYPERLINK("http://www.informatics.jax.org/marker/MGI:1924855","MGI:1924855")</f>
        <v>MGI:1924855</v>
      </c>
      <c r="J7651" s="4" t="s">
        <v>12</v>
      </c>
    </row>
    <row r="7652" spans="1:10" x14ac:dyDescent="0.25">
      <c r="A7652" s="2">
        <v>45.840139484282503</v>
      </c>
      <c r="B7652" s="3">
        <v>-1.1252955322586</v>
      </c>
      <c r="C7652" s="5">
        <v>1.1457482234164001E-9</v>
      </c>
      <c r="D7652" s="6">
        <v>6.1214183055462998E-9</v>
      </c>
      <c r="E7652" s="3" t="s">
        <v>7400</v>
      </c>
      <c r="F7652" s="3" t="s">
        <v>7401</v>
      </c>
      <c r="G7652" s="3">
        <v>546336</v>
      </c>
      <c r="H7652" s="7" t="str">
        <f>HYPERLINK("http://www.ensembl.org/Mus_musculus/Gene/Summary?db=core;g=ENSMUSG00000047996","ENSMUSG00000047996")</f>
        <v>ENSMUSG00000047996</v>
      </c>
      <c r="I7652" s="7" t="str">
        <f>HYPERLINK("http://www.informatics.jax.org/marker/MGI:1917364","MGI:1917364")</f>
        <v>MGI:1917364</v>
      </c>
      <c r="J7652" s="4" t="s">
        <v>12</v>
      </c>
    </row>
    <row r="7653" spans="1:10" x14ac:dyDescent="0.25">
      <c r="A7653" s="2">
        <v>229.39529503558501</v>
      </c>
      <c r="B7653" s="3">
        <v>-1.12595997797699</v>
      </c>
      <c r="C7653" s="5">
        <v>5.4582053638756101E-27</v>
      </c>
      <c r="D7653" s="6">
        <v>7.18050765681301E-26</v>
      </c>
      <c r="E7653" s="3" t="s">
        <v>3016</v>
      </c>
      <c r="F7653" s="3" t="s">
        <v>3017</v>
      </c>
      <c r="G7653" s="3">
        <v>102693</v>
      </c>
      <c r="H7653" s="7" t="str">
        <f>HYPERLINK("http://www.ensembl.org/Mus_musculus/Gene/Summary?db=core;g=ENSMUSG00000048537","ENSMUSG00000048537")</f>
        <v>ENSMUSG00000048537</v>
      </c>
      <c r="I7653" s="7" t="str">
        <f>HYPERLINK("http://www.informatics.jax.org/marker/MGI:2143230","MGI:2143230")</f>
        <v>MGI:2143230</v>
      </c>
      <c r="J7653" s="4" t="s">
        <v>12</v>
      </c>
    </row>
    <row r="7654" spans="1:10" x14ac:dyDescent="0.25">
      <c r="A7654" s="2">
        <v>331.909576141652</v>
      </c>
      <c r="B7654" s="3">
        <v>-1.1269919836290501</v>
      </c>
      <c r="C7654" s="5">
        <v>1.4703057722341099E-32</v>
      </c>
      <c r="D7654" s="6">
        <v>2.3270007888006998E-31</v>
      </c>
      <c r="E7654" s="3" t="s">
        <v>2509</v>
      </c>
      <c r="F7654" s="3" t="s">
        <v>2510</v>
      </c>
      <c r="G7654" s="3">
        <v>66129</v>
      </c>
      <c r="H7654" s="7" t="str">
        <f>HYPERLINK("http://www.ensembl.org/Mus_musculus/Gene/Summary?db=core;g=ENSMUSG00000021482","ENSMUSG00000021482")</f>
        <v>ENSMUSG00000021482</v>
      </c>
      <c r="I7654" s="7" t="str">
        <f>HYPERLINK("http://www.informatics.jax.org/marker/MGI:1913379","MGI:1913379")</f>
        <v>MGI:1913379</v>
      </c>
      <c r="J7654" s="4" t="s">
        <v>12</v>
      </c>
    </row>
    <row r="7655" spans="1:10" x14ac:dyDescent="0.25">
      <c r="A7655" s="2">
        <v>829.61855690346101</v>
      </c>
      <c r="B7655" s="3">
        <v>-1.12706417043049</v>
      </c>
      <c r="C7655" s="5">
        <v>2.8124810719319598E-66</v>
      </c>
      <c r="D7655" s="6">
        <v>1.19530445557108E-64</v>
      </c>
      <c r="E7655" s="3" t="s">
        <v>942</v>
      </c>
      <c r="F7655" s="3" t="s">
        <v>943</v>
      </c>
      <c r="G7655" s="3">
        <v>268469</v>
      </c>
      <c r="H7655" s="7" t="str">
        <f>HYPERLINK("http://www.ensembl.org/Mus_musculus/Gene/Summary?db=core;g=ENSMUSG00000075595","ENSMUSG00000075595")</f>
        <v>ENSMUSG00000075595</v>
      </c>
      <c r="I7655" s="7" t="str">
        <f>HYPERLINK("http://www.informatics.jax.org/marker/MGI:2442221","MGI:2442221")</f>
        <v>MGI:2442221</v>
      </c>
      <c r="J7655" s="4" t="s">
        <v>12</v>
      </c>
    </row>
    <row r="7656" spans="1:10" x14ac:dyDescent="0.25">
      <c r="A7656" s="2">
        <v>22.141948376402201</v>
      </c>
      <c r="B7656" s="3">
        <v>-1.1278979956712201</v>
      </c>
      <c r="C7656" s="5">
        <v>2.1605365262050099E-5</v>
      </c>
      <c r="D7656" s="6">
        <v>7.8305054763394099E-5</v>
      </c>
      <c r="E7656" s="3" t="s">
        <v>10894</v>
      </c>
      <c r="F7656" s="3" t="s">
        <v>10895</v>
      </c>
      <c r="G7656" s="3">
        <v>73430</v>
      </c>
      <c r="H7656" s="7" t="str">
        <f>HYPERLINK("http://www.ensembl.org/Mus_musculus/Gene/Summary?db=core;g=ENSMUSG00000070709","ENSMUSG00000070709")</f>
        <v>ENSMUSG00000070709</v>
      </c>
      <c r="I7656" s="7" t="str">
        <f>HYPERLINK("http://www.informatics.jax.org/marker/MGI:1920680","MGI:1920680")</f>
        <v>MGI:1920680</v>
      </c>
      <c r="J7656" s="4" t="s">
        <v>12</v>
      </c>
    </row>
    <row r="7657" spans="1:10" x14ac:dyDescent="0.25">
      <c r="A7657" s="2">
        <v>4.0581262733410899</v>
      </c>
      <c r="B7657" s="3">
        <v>-1.1280367415944099</v>
      </c>
      <c r="C7657" s="3">
        <v>1.01924055154745E-2</v>
      </c>
      <c r="D7657" s="4">
        <v>2.5339666763131201E-2</v>
      </c>
      <c r="E7657" s="3" t="s">
        <v>15869</v>
      </c>
      <c r="F7657" s="3" t="s">
        <v>15870</v>
      </c>
      <c r="G7657" s="3" t="s">
        <v>83</v>
      </c>
      <c r="H7657" s="7" t="str">
        <f>HYPERLINK("http://www.ensembl.org/Mus_musculus/Gene/Summary?db=core;g=ENSMUSG00000101903","ENSMUSG00000101903")</f>
        <v>ENSMUSG00000101903</v>
      </c>
      <c r="I7657" s="7" t="str">
        <f>HYPERLINK("http://www.informatics.jax.org/marker/MGI:5579997","MGI:5579997")</f>
        <v>MGI:5579997</v>
      </c>
      <c r="J7657" s="4" t="s">
        <v>939</v>
      </c>
    </row>
    <row r="7658" spans="1:10" x14ac:dyDescent="0.25">
      <c r="A7658" s="2">
        <v>3.39608101343909</v>
      </c>
      <c r="B7658" s="3">
        <v>-1.12827777990434</v>
      </c>
      <c r="C7658" s="3">
        <v>1.18840736520594E-2</v>
      </c>
      <c r="D7658" s="4">
        <v>2.9123143086692099E-2</v>
      </c>
      <c r="E7658" s="3" t="s">
        <v>16099</v>
      </c>
      <c r="F7658" s="3" t="s">
        <v>16100</v>
      </c>
      <c r="G7658" s="3" t="s">
        <v>83</v>
      </c>
      <c r="H7658" s="7" t="str">
        <f>HYPERLINK("http://www.ensembl.org/Mus_musculus/Gene/Summary?db=core;g=ENSMUSG00000103940","ENSMUSG00000103940")</f>
        <v>ENSMUSG00000103940</v>
      </c>
      <c r="I7658" s="7" t="str">
        <f>HYPERLINK("http://www.informatics.jax.org/marker/MGI:5611455","MGI:5611455")</f>
        <v>MGI:5611455</v>
      </c>
      <c r="J7658" s="4" t="s">
        <v>1828</v>
      </c>
    </row>
    <row r="7659" spans="1:10" x14ac:dyDescent="0.25">
      <c r="A7659" s="2">
        <v>6.40444004687145</v>
      </c>
      <c r="B7659" s="3">
        <v>-1.13003146184443</v>
      </c>
      <c r="C7659" s="3">
        <v>3.7191911633733801E-3</v>
      </c>
      <c r="D7659" s="4">
        <v>1.00662159952955E-2</v>
      </c>
      <c r="E7659" s="3" t="s">
        <v>14575</v>
      </c>
      <c r="F7659" s="3" t="s">
        <v>14576</v>
      </c>
      <c r="G7659" s="3" t="s">
        <v>83</v>
      </c>
      <c r="H7659" s="7" t="str">
        <f>HYPERLINK("http://www.ensembl.org/Mus_musculus/Gene/Summary?db=core;g=ENSMUSG00000103183","ENSMUSG00000103183")</f>
        <v>ENSMUSG00000103183</v>
      </c>
      <c r="I7659" s="7" t="str">
        <f>HYPERLINK("http://www.informatics.jax.org/marker/MGI:5610318","MGI:5610318")</f>
        <v>MGI:5610318</v>
      </c>
      <c r="J7659" s="4" t="s">
        <v>1828</v>
      </c>
    </row>
    <row r="7660" spans="1:10" x14ac:dyDescent="0.25">
      <c r="A7660" s="2">
        <v>1.65749040476536</v>
      </c>
      <c r="B7660" s="3">
        <v>-1.13107474145856</v>
      </c>
      <c r="C7660" s="3">
        <v>1.6039177413018999E-2</v>
      </c>
      <c r="D7660" s="4">
        <v>3.8255028856402397E-2</v>
      </c>
      <c r="E7660" s="3" t="s">
        <v>16539</v>
      </c>
      <c r="F7660" s="3" t="s">
        <v>16540</v>
      </c>
      <c r="G7660" s="3" t="s">
        <v>83</v>
      </c>
      <c r="H7660" s="7" t="str">
        <f>HYPERLINK("http://www.ensembl.org/Mus_musculus/Gene/Summary?db=core;g=ENSMUSG00000087881","ENSMUSG00000087881")</f>
        <v>ENSMUSG00000087881</v>
      </c>
      <c r="I7660" s="7" t="str">
        <f>HYPERLINK("http://www.informatics.jax.org/marker/MGI:5452219","MGI:5452219")</f>
        <v>MGI:5452219</v>
      </c>
      <c r="J7660" s="4" t="s">
        <v>16541</v>
      </c>
    </row>
    <row r="7661" spans="1:10" x14ac:dyDescent="0.25">
      <c r="A7661" s="2">
        <v>420.919587933412</v>
      </c>
      <c r="B7661" s="3">
        <v>-1.1313172377988201</v>
      </c>
      <c r="C7661" s="5">
        <v>2.2362807411299602E-16</v>
      </c>
      <c r="D7661" s="6">
        <v>1.8397770636246402E-15</v>
      </c>
      <c r="E7661" s="3" t="s">
        <v>4811</v>
      </c>
      <c r="F7661" s="3" t="s">
        <v>4812</v>
      </c>
      <c r="G7661" s="3">
        <v>72324</v>
      </c>
      <c r="H7661" s="7" t="str">
        <f>HYPERLINK("http://www.ensembl.org/Mus_musculus/Gene/Summary?db=core;g=ENSMUSG00000017417","ENSMUSG00000017417")</f>
        <v>ENSMUSG00000017417</v>
      </c>
      <c r="I7661" s="7" t="str">
        <f>HYPERLINK("http://www.informatics.jax.org/marker/MGI:1919574","MGI:1919574")</f>
        <v>MGI:1919574</v>
      </c>
      <c r="J7661" s="4" t="s">
        <v>12</v>
      </c>
    </row>
    <row r="7662" spans="1:10" x14ac:dyDescent="0.25">
      <c r="A7662" s="2">
        <v>1.1934030903914199</v>
      </c>
      <c r="B7662" s="3">
        <v>-1.13175462718016</v>
      </c>
      <c r="C7662" s="3">
        <v>1.40687642279718E-2</v>
      </c>
      <c r="D7662" s="4">
        <v>3.3953742574422303E-2</v>
      </c>
      <c r="E7662" s="3" t="s">
        <v>16347</v>
      </c>
      <c r="F7662" s="3" t="s">
        <v>16348</v>
      </c>
      <c r="G7662" s="3">
        <v>269060</v>
      </c>
      <c r="H7662" s="7" t="str">
        <f>HYPERLINK("http://www.ensembl.org/Mus_musculus/Gene/Summary?db=core;g=ENSMUSG00000035735","ENSMUSG00000035735")</f>
        <v>ENSMUSG00000035735</v>
      </c>
      <c r="I7662" s="7" t="str">
        <f>HYPERLINK("http://www.informatics.jax.org/marker/MGI:2677061","MGI:2677061")</f>
        <v>MGI:2677061</v>
      </c>
      <c r="J7662" s="4" t="s">
        <v>12</v>
      </c>
    </row>
    <row r="7663" spans="1:10" x14ac:dyDescent="0.25">
      <c r="A7663" s="2">
        <v>57.789222529062897</v>
      </c>
      <c r="B7663" s="3">
        <v>-1.1318919615235501</v>
      </c>
      <c r="C7663" s="5">
        <v>4.9740493574745304E-10</v>
      </c>
      <c r="D7663" s="6">
        <v>2.72467370359438E-9</v>
      </c>
      <c r="E7663" s="3" t="s">
        <v>7218</v>
      </c>
      <c r="F7663" s="3" t="s">
        <v>7219</v>
      </c>
      <c r="G7663" s="3">
        <v>22117</v>
      </c>
      <c r="H7663" s="7" t="str">
        <f>HYPERLINK("http://www.ensembl.org/Mus_musculus/Gene/Summary?db=core;g=ENSMUSG00000044986","ENSMUSG00000044986")</f>
        <v>ENSMUSG00000044986</v>
      </c>
      <c r="I7663" s="7" t="str">
        <f>HYPERLINK("http://www.informatics.jax.org/marker/MGI:98852","MGI:98852")</f>
        <v>MGI:98852</v>
      </c>
      <c r="J7663" s="4" t="s">
        <v>12</v>
      </c>
    </row>
    <row r="7664" spans="1:10" x14ac:dyDescent="0.25">
      <c r="A7664" s="2">
        <v>130.77941000735399</v>
      </c>
      <c r="B7664" s="3">
        <v>-1.13199102512813</v>
      </c>
      <c r="C7664" s="5">
        <v>1.8129105906600198E-15</v>
      </c>
      <c r="D7664" s="6">
        <v>1.4271695348429401E-14</v>
      </c>
      <c r="E7664" s="3" t="s">
        <v>5027</v>
      </c>
      <c r="F7664" s="3" t="s">
        <v>5028</v>
      </c>
      <c r="G7664" s="3">
        <v>109270</v>
      </c>
      <c r="H7664" s="7" t="str">
        <f>HYPERLINK("http://www.ensembl.org/Mus_musculus/Gene/Summary?db=core;g=ENSMUSG00000036106","ENSMUSG00000036106")</f>
        <v>ENSMUSG00000036106</v>
      </c>
      <c r="I7664" s="7" t="str">
        <f>HYPERLINK("http://www.informatics.jax.org/marker/MGI:1924714","MGI:1924714")</f>
        <v>MGI:1924714</v>
      </c>
      <c r="J7664" s="4" t="s">
        <v>12</v>
      </c>
    </row>
    <row r="7665" spans="1:10" x14ac:dyDescent="0.25">
      <c r="A7665" s="2">
        <v>862.64696404786298</v>
      </c>
      <c r="B7665" s="3">
        <v>-1.13224526963254</v>
      </c>
      <c r="C7665" s="5">
        <v>2.0755038533486601E-64</v>
      </c>
      <c r="D7665" s="6">
        <v>8.45639173306521E-63</v>
      </c>
      <c r="E7665" s="3" t="s">
        <v>983</v>
      </c>
      <c r="F7665" s="3" t="s">
        <v>984</v>
      </c>
      <c r="G7665" s="3">
        <v>72750</v>
      </c>
      <c r="H7665" s="7" t="str">
        <f>HYPERLINK("http://www.ensembl.org/Mus_musculus/Gene/Summary?db=core;g=ENSMUSG00000041040","ENSMUSG00000041040")</f>
        <v>ENSMUSG00000041040</v>
      </c>
      <c r="I7665" s="7" t="str">
        <f>HYPERLINK("http://www.informatics.jax.org/marker/MGI:1920000","MGI:1920000")</f>
        <v>MGI:1920000</v>
      </c>
      <c r="J7665" s="4" t="s">
        <v>12</v>
      </c>
    </row>
    <row r="7666" spans="1:10" x14ac:dyDescent="0.25">
      <c r="A7666" s="2">
        <v>220.55421114132699</v>
      </c>
      <c r="B7666" s="3">
        <v>-1.1356713133015099</v>
      </c>
      <c r="C7666" s="5">
        <v>2.0247356201070301E-26</v>
      </c>
      <c r="D7666" s="6">
        <v>2.6182155035089E-25</v>
      </c>
      <c r="E7666" s="3" t="s">
        <v>3068</v>
      </c>
      <c r="F7666" s="3" t="s">
        <v>3069</v>
      </c>
      <c r="G7666" s="3">
        <v>240334</v>
      </c>
      <c r="H7666" s="7" t="str">
        <f>HYPERLINK("http://www.ensembl.org/Mus_musculus/Gene/Summary?db=core;g=ENSMUSG00000024579","ENSMUSG00000024579")</f>
        <v>ENSMUSG00000024579</v>
      </c>
      <c r="I7666" s="7" t="str">
        <f>HYPERLINK("http://www.informatics.jax.org/marker/MGI:3606062","MGI:3606062")</f>
        <v>MGI:3606062</v>
      </c>
      <c r="J7666" s="4" t="s">
        <v>12</v>
      </c>
    </row>
    <row r="7667" spans="1:10" x14ac:dyDescent="0.25">
      <c r="A7667" s="2">
        <v>257.154460756194</v>
      </c>
      <c r="B7667" s="3">
        <v>-1.1358078298132901</v>
      </c>
      <c r="C7667" s="5">
        <v>1.7342560400790499E-26</v>
      </c>
      <c r="D7667" s="6">
        <v>2.2514502376799701E-25</v>
      </c>
      <c r="E7667" s="3" t="s">
        <v>3056</v>
      </c>
      <c r="F7667" s="3" t="s">
        <v>3057</v>
      </c>
      <c r="G7667" s="3">
        <v>353187</v>
      </c>
      <c r="H7667" s="7" t="str">
        <f>HYPERLINK("http://www.ensembl.org/Mus_musculus/Gene/Summary?db=core;g=ENSMUSG00000021775","ENSMUSG00000021775")</f>
        <v>ENSMUSG00000021775</v>
      </c>
      <c r="I7667" s="7" t="str">
        <f>HYPERLINK("http://www.informatics.jax.org/marker/MGI:2449205","MGI:2449205")</f>
        <v>MGI:2449205</v>
      </c>
      <c r="J7667" s="4" t="s">
        <v>12</v>
      </c>
    </row>
    <row r="7668" spans="1:10" x14ac:dyDescent="0.25">
      <c r="A7668" s="2">
        <v>0.88372106793364202</v>
      </c>
      <c r="B7668" s="3">
        <v>-1.1367121679002501</v>
      </c>
      <c r="C7668" s="3">
        <v>1.0465154896035399E-2</v>
      </c>
      <c r="D7668" s="4">
        <v>2.5939272819233E-2</v>
      </c>
      <c r="E7668" s="3" t="s">
        <v>15917</v>
      </c>
      <c r="F7668" s="3" t="s">
        <v>15918</v>
      </c>
      <c r="G7668" s="3" t="s">
        <v>83</v>
      </c>
      <c r="H7668" s="7" t="str">
        <f>HYPERLINK("http://www.ensembl.org/Mus_musculus/Gene/Summary?db=core;g=ENSMUSG00000111167","ENSMUSG00000111167")</f>
        <v>ENSMUSG00000111167</v>
      </c>
      <c r="I7668" s="7" t="str">
        <f>HYPERLINK("http://www.informatics.jax.org/marker/MGI:5622206","MGI:5622206")</f>
        <v>MGI:5622206</v>
      </c>
      <c r="J7668" s="4" t="s">
        <v>939</v>
      </c>
    </row>
    <row r="7669" spans="1:10" x14ac:dyDescent="0.25">
      <c r="A7669" s="2">
        <v>56.800676896457098</v>
      </c>
      <c r="B7669" s="3">
        <v>-1.1369088753443799</v>
      </c>
      <c r="C7669" s="5">
        <v>5.2096956394225E-11</v>
      </c>
      <c r="D7669" s="6">
        <v>3.0981664055914302E-10</v>
      </c>
      <c r="E7669" s="3" t="s">
        <v>6649</v>
      </c>
      <c r="F7669" s="3" t="s">
        <v>6650</v>
      </c>
      <c r="G7669" s="3">
        <v>216560</v>
      </c>
      <c r="H7669" s="7" t="str">
        <f>HYPERLINK("http://www.ensembl.org/Mus_musculus/Gene/Summary?db=core;g=ENSMUSG00000020319","ENSMUSG00000020319")</f>
        <v>ENSMUSG00000020319</v>
      </c>
      <c r="I7669" s="7" t="str">
        <f>HYPERLINK("http://www.informatics.jax.org/marker/MGI:2144467","MGI:2144467")</f>
        <v>MGI:2144467</v>
      </c>
      <c r="J7669" s="4" t="s">
        <v>12</v>
      </c>
    </row>
    <row r="7670" spans="1:10" x14ac:dyDescent="0.25">
      <c r="A7670" s="2">
        <v>971.49539526724595</v>
      </c>
      <c r="B7670" s="3">
        <v>-1.1381288189396299</v>
      </c>
      <c r="C7670" s="5">
        <v>2.3235162126694999E-27</v>
      </c>
      <c r="D7670" s="6">
        <v>3.0980216168926698E-26</v>
      </c>
      <c r="E7670" s="3" t="s">
        <v>2976</v>
      </c>
      <c r="F7670" s="3" t="s">
        <v>2977</v>
      </c>
      <c r="G7670" s="3">
        <v>68026</v>
      </c>
      <c r="H7670" s="7" t="str">
        <f>HYPERLINK("http://www.ensembl.org/Mus_musculus/Gene/Summary?db=core;g=ENSMUSG00000040204","ENSMUSG00000040204")</f>
        <v>ENSMUSG00000040204</v>
      </c>
      <c r="I7670" s="7" t="str">
        <f>HYPERLINK("http://www.informatics.jax.org/marker/MGI:1915276","MGI:1915276")</f>
        <v>MGI:1915276</v>
      </c>
      <c r="J7670" s="4" t="s">
        <v>12</v>
      </c>
    </row>
    <row r="7671" spans="1:10" x14ac:dyDescent="0.25">
      <c r="A7671" s="2">
        <v>35.1366546767361</v>
      </c>
      <c r="B7671" s="3">
        <v>-1.14000350085616</v>
      </c>
      <c r="C7671" s="5">
        <v>1.2853594424322501E-6</v>
      </c>
      <c r="D7671" s="6">
        <v>5.2609564559493404E-6</v>
      </c>
      <c r="E7671" s="3" t="s">
        <v>9651</v>
      </c>
      <c r="F7671" s="3" t="s">
        <v>9652</v>
      </c>
      <c r="G7671" s="3">
        <v>114255</v>
      </c>
      <c r="H7671" s="7" t="str">
        <f>HYPERLINK("http://www.ensembl.org/Mus_musculus/Gene/Summary?db=core;g=ENSMUSG00000040631","ENSMUSG00000040631")</f>
        <v>ENSMUSG00000040631</v>
      </c>
      <c r="I7671" s="7" t="str">
        <f>HYPERLINK("http://www.informatics.jax.org/marker/MGI:2148865","MGI:2148865")</f>
        <v>MGI:2148865</v>
      </c>
      <c r="J7671" s="4" t="s">
        <v>12</v>
      </c>
    </row>
    <row r="7672" spans="1:10" x14ac:dyDescent="0.25">
      <c r="A7672" s="2">
        <v>2981.4919220523898</v>
      </c>
      <c r="B7672" s="3">
        <v>-1.14043995380375</v>
      </c>
      <c r="C7672" s="5">
        <v>5.6883004487786895E-47</v>
      </c>
      <c r="D7672" s="6">
        <v>1.4181199096070301E-45</v>
      </c>
      <c r="E7672" s="3" t="s">
        <v>1598</v>
      </c>
      <c r="F7672" s="3" t="s">
        <v>1599</v>
      </c>
      <c r="G7672" s="3">
        <v>17217</v>
      </c>
      <c r="H7672" s="7" t="str">
        <f>HYPERLINK("http://www.ensembl.org/Mus_musculus/Gene/Summary?db=core;g=ENSMUSG00000022673","ENSMUSG00000022673")</f>
        <v>ENSMUSG00000022673</v>
      </c>
      <c r="I7672" s="7" t="str">
        <f>HYPERLINK("http://www.informatics.jax.org/marker/MGI:103199","MGI:103199")</f>
        <v>MGI:103199</v>
      </c>
      <c r="J7672" s="4" t="s">
        <v>12</v>
      </c>
    </row>
    <row r="7673" spans="1:10" x14ac:dyDescent="0.25">
      <c r="A7673" s="2">
        <v>1.04565615411033</v>
      </c>
      <c r="B7673" s="3">
        <v>-1.1410047084496</v>
      </c>
      <c r="C7673" s="3">
        <v>8.9740438699232004E-3</v>
      </c>
      <c r="D7673" s="4">
        <v>2.25262720400046E-2</v>
      </c>
      <c r="E7673" s="3" t="s">
        <v>15717</v>
      </c>
      <c r="F7673" s="3" t="s">
        <v>15718</v>
      </c>
      <c r="G7673" s="3">
        <v>665119</v>
      </c>
      <c r="H7673" s="7" t="str">
        <f>HYPERLINK("http://www.ensembl.org/Mus_musculus/Gene/Summary?db=core;g=ENSMUSG00000091712","ENSMUSG00000091712")</f>
        <v>ENSMUSG00000091712</v>
      </c>
      <c r="I7673" s="7" t="str">
        <f>HYPERLINK("http://www.informatics.jax.org/marker/MGI:3616084","MGI:3616084")</f>
        <v>MGI:3616084</v>
      </c>
      <c r="J7673" s="4" t="s">
        <v>12</v>
      </c>
    </row>
    <row r="7674" spans="1:10" x14ac:dyDescent="0.25">
      <c r="A7674" s="2">
        <v>139.210745971883</v>
      </c>
      <c r="B7674" s="3">
        <v>-1.1438162787853501</v>
      </c>
      <c r="C7674" s="5">
        <v>4.7123020254353298E-23</v>
      </c>
      <c r="D7674" s="6">
        <v>5.3344773789658196E-22</v>
      </c>
      <c r="E7674" s="3" t="s">
        <v>3502</v>
      </c>
      <c r="F7674" s="3" t="s">
        <v>3503</v>
      </c>
      <c r="G7674" s="3">
        <v>623474</v>
      </c>
      <c r="H7674" s="7" t="str">
        <f>HYPERLINK("http://www.ensembl.org/Mus_musculus/Gene/Summary?db=core;g=ENSMUSG00000078773","ENSMUSG00000078773")</f>
        <v>ENSMUSG00000078773</v>
      </c>
      <c r="I7674" s="7" t="str">
        <f>HYPERLINK("http://www.informatics.jax.org/marker/MGI:3605986","MGI:3605986")</f>
        <v>MGI:3605986</v>
      </c>
      <c r="J7674" s="4" t="s">
        <v>12</v>
      </c>
    </row>
    <row r="7675" spans="1:10" x14ac:dyDescent="0.25">
      <c r="A7675" s="2">
        <v>373.08908199901902</v>
      </c>
      <c r="B7675" s="3">
        <v>-1.1446170828090001</v>
      </c>
      <c r="C7675" s="5">
        <v>1.6614965181185399E-16</v>
      </c>
      <c r="D7675" s="6">
        <v>1.3766685435839401E-15</v>
      </c>
      <c r="E7675" s="3" t="s">
        <v>4777</v>
      </c>
      <c r="F7675" s="3" t="s">
        <v>4778</v>
      </c>
      <c r="G7675" s="3">
        <v>83669</v>
      </c>
      <c r="H7675" s="7" t="str">
        <f>HYPERLINK("http://www.ensembl.org/Mus_musculus/Gene/Summary?db=core;g=ENSMUSG00000066357","ENSMUSG00000066357")</f>
        <v>ENSMUSG00000066357</v>
      </c>
      <c r="I7675" s="7" t="str">
        <f>HYPERLINK("http://www.informatics.jax.org/marker/MGI:1930140","MGI:1930140")</f>
        <v>MGI:1930140</v>
      </c>
      <c r="J7675" s="4" t="s">
        <v>12</v>
      </c>
    </row>
    <row r="7676" spans="1:10" x14ac:dyDescent="0.25">
      <c r="A7676" s="2">
        <v>81.424282026391197</v>
      </c>
      <c r="B7676" s="3">
        <v>-1.1458734897857801</v>
      </c>
      <c r="C7676" s="5">
        <v>7.0997764747016802E-16</v>
      </c>
      <c r="D7676" s="6">
        <v>5.6867421641396101E-15</v>
      </c>
      <c r="E7676" s="3" t="s">
        <v>4941</v>
      </c>
      <c r="F7676" s="3" t="s">
        <v>4942</v>
      </c>
      <c r="G7676" s="3">
        <v>12696</v>
      </c>
      <c r="H7676" s="7" t="str">
        <f>HYPERLINK("http://www.ensembl.org/Mus_musculus/Gene/Summary?db=core;g=ENSMUSG00000045193","ENSMUSG00000045193")</f>
        <v>ENSMUSG00000045193</v>
      </c>
      <c r="I7676" s="7" t="str">
        <f>HYPERLINK("http://www.informatics.jax.org/marker/MGI:893588","MGI:893588")</f>
        <v>MGI:893588</v>
      </c>
      <c r="J7676" s="4" t="s">
        <v>12</v>
      </c>
    </row>
    <row r="7677" spans="1:10" x14ac:dyDescent="0.25">
      <c r="A7677" s="2">
        <v>15.899796230810599</v>
      </c>
      <c r="B7677" s="3">
        <v>-1.1473014699748301</v>
      </c>
      <c r="C7677" s="3">
        <v>3.0429357782724999E-4</v>
      </c>
      <c r="D7677" s="4">
        <v>9.6288019171267096E-4</v>
      </c>
      <c r="E7677" s="3" t="s">
        <v>12477</v>
      </c>
      <c r="F7677" s="3" t="s">
        <v>12478</v>
      </c>
      <c r="G7677" s="3">
        <v>271697</v>
      </c>
      <c r="H7677" s="7" t="str">
        <f>HYPERLINK("http://www.ensembl.org/Mus_musculus/Gene/Summary?db=core;g=ENSMUSG00000026023","ENSMUSG00000026023")</f>
        <v>ENSMUSG00000026023</v>
      </c>
      <c r="I7677" s="7" t="str">
        <f>HYPERLINK("http://www.informatics.jax.org/marker/MGI:3583944","MGI:3583944")</f>
        <v>MGI:3583944</v>
      </c>
      <c r="J7677" s="4" t="s">
        <v>12</v>
      </c>
    </row>
    <row r="7678" spans="1:10" x14ac:dyDescent="0.25">
      <c r="A7678" s="2">
        <v>402.23768153662797</v>
      </c>
      <c r="B7678" s="3">
        <v>-1.1485147096057799</v>
      </c>
      <c r="C7678" s="5">
        <v>1.4929045226700801E-24</v>
      </c>
      <c r="D7678" s="6">
        <v>1.79403273534759E-23</v>
      </c>
      <c r="E7678" s="3" t="s">
        <v>3302</v>
      </c>
      <c r="F7678" s="3" t="s">
        <v>3303</v>
      </c>
      <c r="G7678" s="3">
        <v>67141</v>
      </c>
      <c r="H7678" s="7" t="str">
        <f>HYPERLINK("http://www.ensembl.org/Mus_musculus/Gene/Summary?db=core;g=ENSMUSG00000019773","ENSMUSG00000019773")</f>
        <v>ENSMUSG00000019773</v>
      </c>
      <c r="I7678" s="7" t="str">
        <f>HYPERLINK("http://www.informatics.jax.org/marker/MGI:1914391","MGI:1914391")</f>
        <v>MGI:1914391</v>
      </c>
      <c r="J7678" s="4" t="s">
        <v>12</v>
      </c>
    </row>
    <row r="7679" spans="1:10" x14ac:dyDescent="0.25">
      <c r="A7679" s="2">
        <v>93.894751219986702</v>
      </c>
      <c r="B7679" s="3">
        <v>-1.14857989134447</v>
      </c>
      <c r="C7679" s="5">
        <v>1.0545159238251E-11</v>
      </c>
      <c r="D7679" s="6">
        <v>6.5723938109452906E-11</v>
      </c>
      <c r="E7679" s="3" t="s">
        <v>6345</v>
      </c>
      <c r="F7679" s="3" t="s">
        <v>6346</v>
      </c>
      <c r="G7679" s="3">
        <v>14697</v>
      </c>
      <c r="H7679" s="7" t="str">
        <f>HYPERLINK("http://www.ensembl.org/Mus_musculus/Gene/Summary?db=core;g=ENSMUSG00000032192","ENSMUSG00000032192")</f>
        <v>ENSMUSG00000032192</v>
      </c>
      <c r="I7679" s="7" t="str">
        <f>HYPERLINK("http://www.informatics.jax.org/marker/MGI:101848","MGI:101848")</f>
        <v>MGI:101848</v>
      </c>
      <c r="J7679" s="4" t="s">
        <v>12</v>
      </c>
    </row>
    <row r="7680" spans="1:10" x14ac:dyDescent="0.25">
      <c r="A7680" s="2">
        <v>117.126774408779</v>
      </c>
      <c r="B7680" s="3">
        <v>-1.1487359627876801</v>
      </c>
      <c r="C7680" s="5">
        <v>4.8775471606733299E-12</v>
      </c>
      <c r="D7680" s="6">
        <v>3.1289925181677999E-11</v>
      </c>
      <c r="E7680" s="3" t="s">
        <v>6165</v>
      </c>
      <c r="F7680" s="3" t="s">
        <v>6166</v>
      </c>
      <c r="G7680" s="3">
        <v>26404</v>
      </c>
      <c r="H7680" s="7" t="str">
        <f>HYPERLINK("http://www.ensembl.org/Mus_musculus/Gene/Summary?db=core;g=ENSMUSG00000023050","ENSMUSG00000023050")</f>
        <v>ENSMUSG00000023050</v>
      </c>
      <c r="I7680" s="7" t="str">
        <f>HYPERLINK("http://www.informatics.jax.org/marker/MGI:1346881","MGI:1346881")</f>
        <v>MGI:1346881</v>
      </c>
      <c r="J7680" s="4" t="s">
        <v>12</v>
      </c>
    </row>
    <row r="7681" spans="1:10" x14ac:dyDescent="0.25">
      <c r="A7681" s="2">
        <v>644.69765008397201</v>
      </c>
      <c r="B7681" s="3">
        <v>-1.14942146934225</v>
      </c>
      <c r="C7681" s="5">
        <v>1.84776736607906E-73</v>
      </c>
      <c r="D7681" s="6">
        <v>9.0416805109377196E-72</v>
      </c>
      <c r="E7681" s="3" t="s">
        <v>818</v>
      </c>
      <c r="F7681" s="3" t="s">
        <v>819</v>
      </c>
      <c r="G7681" s="3">
        <v>78658</v>
      </c>
      <c r="H7681" s="7" t="str">
        <f>HYPERLINK("http://www.ensembl.org/Mus_musculus/Gene/Summary?db=core;g=ENSMUSG00000035024","ENSMUSG00000035024")</f>
        <v>ENSMUSG00000035024</v>
      </c>
      <c r="I7681" s="7" t="str">
        <f>HYPERLINK("http://www.informatics.jax.org/marker/MGI:2142989","MGI:2142989")</f>
        <v>MGI:2142989</v>
      </c>
      <c r="J7681" s="4" t="s">
        <v>12</v>
      </c>
    </row>
    <row r="7682" spans="1:10" x14ac:dyDescent="0.25">
      <c r="A7682" s="2">
        <v>0.84595057019183795</v>
      </c>
      <c r="B7682" s="3">
        <v>-1.1498701370336699</v>
      </c>
      <c r="C7682" s="3">
        <v>5.4722473703137401E-3</v>
      </c>
      <c r="D7682" s="4">
        <v>1.43615541845338E-2</v>
      </c>
      <c r="E7682" s="3" t="s">
        <v>15032</v>
      </c>
      <c r="F7682" s="3" t="s">
        <v>15033</v>
      </c>
      <c r="G7682" s="3">
        <v>110304</v>
      </c>
      <c r="H7682" s="7" t="str">
        <f>HYPERLINK("http://www.ensembl.org/Mus_musculus/Gene/Summary?db=core;g=ENSMUSG00000038257","ENSMUSG00000038257")</f>
        <v>ENSMUSG00000038257</v>
      </c>
      <c r="I7682" s="7" t="str">
        <f>HYPERLINK("http://www.informatics.jax.org/marker/MGI:95749","MGI:95749")</f>
        <v>MGI:95749</v>
      </c>
      <c r="J7682" s="4" t="s">
        <v>12</v>
      </c>
    </row>
    <row r="7683" spans="1:10" x14ac:dyDescent="0.25">
      <c r="A7683" s="2">
        <v>421.32137996165699</v>
      </c>
      <c r="B7683" s="3">
        <v>-1.1505365155960201</v>
      </c>
      <c r="C7683" s="5">
        <v>1.65758696948538E-57</v>
      </c>
      <c r="D7683" s="6">
        <v>5.4937168131515497E-56</v>
      </c>
      <c r="E7683" s="3" t="s">
        <v>1206</v>
      </c>
      <c r="F7683" s="3" t="s">
        <v>1207</v>
      </c>
      <c r="G7683" s="3">
        <v>71389</v>
      </c>
      <c r="H7683" s="7" t="str">
        <f>HYPERLINK("http://www.ensembl.org/Mus_musculus/Gene/Summary?db=core;g=ENSMUSG00000057133","ENSMUSG00000057133")</f>
        <v>ENSMUSG00000057133</v>
      </c>
      <c r="I7683" s="7" t="str">
        <f>HYPERLINK("http://www.informatics.jax.org/marker/MGI:1918639","MGI:1918639")</f>
        <v>MGI:1918639</v>
      </c>
      <c r="J7683" s="4" t="s">
        <v>12</v>
      </c>
    </row>
    <row r="7684" spans="1:10" x14ac:dyDescent="0.25">
      <c r="A7684" s="2">
        <v>369.228780340551</v>
      </c>
      <c r="B7684" s="3">
        <v>-1.1528620993233301</v>
      </c>
      <c r="C7684" s="5">
        <v>4.6870567606292498E-46</v>
      </c>
      <c r="D7684" s="6">
        <v>1.1327053838187399E-44</v>
      </c>
      <c r="E7684" s="3" t="s">
        <v>1648</v>
      </c>
      <c r="F7684" s="3" t="s">
        <v>1649</v>
      </c>
      <c r="G7684" s="3">
        <v>104732</v>
      </c>
      <c r="H7684" s="7" t="str">
        <f>HYPERLINK("http://www.ensembl.org/Mus_musculus/Gene/Summary?db=core;g=ENSMUSG00000037466","ENSMUSG00000037466")</f>
        <v>ENSMUSG00000037466</v>
      </c>
      <c r="I7684" s="7" t="str">
        <f>HYPERLINK("http://www.informatics.jax.org/marker/MGI:2144738","MGI:2144738")</f>
        <v>MGI:2144738</v>
      </c>
      <c r="J7684" s="4" t="s">
        <v>12</v>
      </c>
    </row>
    <row r="7685" spans="1:10" x14ac:dyDescent="0.25">
      <c r="A7685" s="2">
        <v>859.52089712895304</v>
      </c>
      <c r="B7685" s="3">
        <v>-1.1537895650139001</v>
      </c>
      <c r="C7685" s="5">
        <v>1.1233181524079601E-43</v>
      </c>
      <c r="D7685" s="6">
        <v>2.53163816748399E-42</v>
      </c>
      <c r="E7685" s="3" t="s">
        <v>1766</v>
      </c>
      <c r="F7685" s="3" t="s">
        <v>1767</v>
      </c>
      <c r="G7685" s="3">
        <v>17978</v>
      </c>
      <c r="H7685" s="7" t="str">
        <f>HYPERLINK("http://www.ensembl.org/Mus_musculus/Gene/Summary?db=core;g=ENSMUSG00000005886","ENSMUSG00000005886")</f>
        <v>ENSMUSG00000005886</v>
      </c>
      <c r="I7685" s="7" t="str">
        <f>HYPERLINK("http://www.informatics.jax.org/marker/MGI:1276533","MGI:1276533")</f>
        <v>MGI:1276533</v>
      </c>
      <c r="J7685" s="4" t="s">
        <v>12</v>
      </c>
    </row>
    <row r="7686" spans="1:10" x14ac:dyDescent="0.25">
      <c r="A7686" s="2">
        <v>1.2872338528859999</v>
      </c>
      <c r="B7686" s="3">
        <v>-1.1539634803144401</v>
      </c>
      <c r="C7686" s="3">
        <v>1.32721212738137E-2</v>
      </c>
      <c r="D7686" s="4">
        <v>3.2180773579196603E-2</v>
      </c>
      <c r="E7686" s="3" t="s">
        <v>16271</v>
      </c>
      <c r="F7686" s="3" t="s">
        <v>16272</v>
      </c>
      <c r="G7686" s="3">
        <v>56504</v>
      </c>
      <c r="H7686" s="7" t="str">
        <f>HYPERLINK("http://www.ensembl.org/Mus_musculus/Gene/Summary?db=core;g=ENSMUSG00000002007","ENSMUSG00000002007")</f>
        <v>ENSMUSG00000002007</v>
      </c>
      <c r="I7686" s="7" t="str">
        <f>HYPERLINK("http://www.informatics.jax.org/marker/MGI:1891338","MGI:1891338")</f>
        <v>MGI:1891338</v>
      </c>
      <c r="J7686" s="4" t="s">
        <v>12</v>
      </c>
    </row>
    <row r="7687" spans="1:10" x14ac:dyDescent="0.25">
      <c r="A7687" s="2">
        <v>375.38520865897999</v>
      </c>
      <c r="B7687" s="3">
        <v>-1.1543158530883899</v>
      </c>
      <c r="C7687" s="5">
        <v>3.5026701984329002E-26</v>
      </c>
      <c r="D7687" s="6">
        <v>4.4852374229283697E-25</v>
      </c>
      <c r="E7687" s="3" t="s">
        <v>3098</v>
      </c>
      <c r="F7687" s="3" t="s">
        <v>3099</v>
      </c>
      <c r="G7687" s="3">
        <v>19362</v>
      </c>
      <c r="H7687" s="7" t="str">
        <f>HYPERLINK("http://www.ensembl.org/Mus_musculus/Gene/Summary?db=core;g=ENSMUSG00000030346","ENSMUSG00000030346")</f>
        <v>ENSMUSG00000030346</v>
      </c>
      <c r="I7687" s="7" t="str">
        <f>HYPERLINK("http://www.informatics.jax.org/marker/MGI:1098224","MGI:1098224")</f>
        <v>MGI:1098224</v>
      </c>
      <c r="J7687" s="4" t="s">
        <v>12</v>
      </c>
    </row>
    <row r="7688" spans="1:10" x14ac:dyDescent="0.25">
      <c r="A7688" s="2">
        <v>13.9487788605306</v>
      </c>
      <c r="B7688" s="3">
        <v>-1.15562020099475</v>
      </c>
      <c r="C7688" s="3">
        <v>2.0822543560142099E-4</v>
      </c>
      <c r="D7688" s="4">
        <v>6.7436452456232803E-4</v>
      </c>
      <c r="E7688" s="3" t="s">
        <v>12189</v>
      </c>
      <c r="F7688" s="3" t="s">
        <v>12190</v>
      </c>
      <c r="G7688" s="3" t="s">
        <v>83</v>
      </c>
      <c r="H7688" s="7" t="str">
        <f>HYPERLINK("http://www.ensembl.org/Mus_musculus/Gene/Summary?db=core;g=ENSMUSG00000113047","ENSMUSG00000113047")</f>
        <v>ENSMUSG00000113047</v>
      </c>
      <c r="I7688" s="7" t="str">
        <f>HYPERLINK("http://www.informatics.jax.org/marker/MGI:6096437","MGI:6096437")</f>
        <v>MGI:6096437</v>
      </c>
      <c r="J7688" s="4" t="s">
        <v>939</v>
      </c>
    </row>
    <row r="7689" spans="1:10" x14ac:dyDescent="0.25">
      <c r="A7689" s="2">
        <v>322.05782123361797</v>
      </c>
      <c r="B7689" s="3">
        <v>-1.15885974519448</v>
      </c>
      <c r="C7689" s="5">
        <v>3.6339809276154502E-17</v>
      </c>
      <c r="D7689" s="6">
        <v>3.1279835832639301E-16</v>
      </c>
      <c r="E7689" s="3" t="s">
        <v>4599</v>
      </c>
      <c r="F7689" s="3" t="s">
        <v>4600</v>
      </c>
      <c r="G7689" s="3">
        <v>208836</v>
      </c>
      <c r="H7689" s="7" t="str">
        <f>HYPERLINK("http://www.ensembl.org/Mus_musculus/Gene/Summary?db=core;g=ENSMUSG00000039187","ENSMUSG00000039187")</f>
        <v>ENSMUSG00000039187</v>
      </c>
      <c r="I7689" s="7" t="str">
        <f>HYPERLINK("http://www.informatics.jax.org/marker/MGI:2384790","MGI:2384790")</f>
        <v>MGI:2384790</v>
      </c>
      <c r="J7689" s="4" t="s">
        <v>12</v>
      </c>
    </row>
    <row r="7690" spans="1:10" x14ac:dyDescent="0.25">
      <c r="A7690" s="2">
        <v>41.770893708007002</v>
      </c>
      <c r="B7690" s="3">
        <v>-1.1590558127472901</v>
      </c>
      <c r="C7690" s="5">
        <v>5.83487964376846E-9</v>
      </c>
      <c r="D7690" s="6">
        <v>2.9465768649196901E-8</v>
      </c>
      <c r="E7690" s="3" t="s">
        <v>7826</v>
      </c>
      <c r="F7690" s="3" t="s">
        <v>7827</v>
      </c>
      <c r="G7690" s="3">
        <v>67370</v>
      </c>
      <c r="H7690" s="7" t="str">
        <f>HYPERLINK("http://www.ensembl.org/Mus_musculus/Gene/Summary?db=core;g=ENSMUSG00000030386","ENSMUSG00000030386")</f>
        <v>ENSMUSG00000030386</v>
      </c>
      <c r="I7690" s="7" t="str">
        <f>HYPERLINK("http://www.informatics.jax.org/marker/MGI:1914620","MGI:1914620")</f>
        <v>MGI:1914620</v>
      </c>
      <c r="J7690" s="4" t="s">
        <v>12</v>
      </c>
    </row>
    <row r="7691" spans="1:10" x14ac:dyDescent="0.25">
      <c r="A7691" s="2">
        <v>67.875956737907103</v>
      </c>
      <c r="B7691" s="3">
        <v>-1.1592208812203999</v>
      </c>
      <c r="C7691" s="5">
        <v>7.0561407638828399E-12</v>
      </c>
      <c r="D7691" s="6">
        <v>4.46413525389059E-11</v>
      </c>
      <c r="E7691" s="3" t="s">
        <v>6251</v>
      </c>
      <c r="F7691" s="3" t="s">
        <v>6252</v>
      </c>
      <c r="G7691" s="3">
        <v>269529</v>
      </c>
      <c r="H7691" s="7" t="str">
        <f>HYPERLINK("http://www.ensembl.org/Mus_musculus/Gene/Summary?db=core;g=ENSMUSG00000048232","ENSMUSG00000048232")</f>
        <v>ENSMUSG00000048232</v>
      </c>
      <c r="I7691" s="7" t="str">
        <f>HYPERLINK("http://www.informatics.jax.org/marker/MGI:2686937","MGI:2686937")</f>
        <v>MGI:2686937</v>
      </c>
      <c r="J7691" s="4" t="s">
        <v>12</v>
      </c>
    </row>
    <row r="7692" spans="1:10" x14ac:dyDescent="0.25">
      <c r="A7692" s="2">
        <v>52.814203037794599</v>
      </c>
      <c r="B7692" s="3">
        <v>-1.1614970484626801</v>
      </c>
      <c r="C7692" s="5">
        <v>1.64915524494218E-9</v>
      </c>
      <c r="D7692" s="6">
        <v>8.6839362964645405E-9</v>
      </c>
      <c r="E7692" s="3" t="s">
        <v>7508</v>
      </c>
      <c r="F7692" s="3" t="s">
        <v>7509</v>
      </c>
      <c r="G7692" s="3">
        <v>22719</v>
      </c>
      <c r="H7692" s="7" t="str">
        <f>HYPERLINK("http://www.ensembl.org/Mus_musculus/Gene/Summary?db=core;g=ENSMUSG00000050605","ENSMUSG00000050605")</f>
        <v>ENSMUSG00000050605</v>
      </c>
      <c r="I7692" s="7" t="str">
        <f>HYPERLINK("http://www.informatics.jax.org/marker/MGI:99663","MGI:99663")</f>
        <v>MGI:99663</v>
      </c>
      <c r="J7692" s="4" t="s">
        <v>12</v>
      </c>
    </row>
    <row r="7693" spans="1:10" x14ac:dyDescent="0.25">
      <c r="A7693" s="2">
        <v>8.1465453115889108</v>
      </c>
      <c r="B7693" s="3">
        <v>-1.1618048916769701</v>
      </c>
      <c r="C7693" s="3">
        <v>1.3866902982819201E-3</v>
      </c>
      <c r="D7693" s="4">
        <v>4.0060844831701602E-3</v>
      </c>
      <c r="E7693" s="3" t="s">
        <v>13661</v>
      </c>
      <c r="F7693" s="3" t="s">
        <v>13662</v>
      </c>
      <c r="G7693" s="3" t="s">
        <v>83</v>
      </c>
      <c r="H7693" s="7" t="str">
        <f>HYPERLINK("http://www.ensembl.org/Mus_musculus/Gene/Summary?db=core;g=ENSMUSG00000030068","ENSMUSG00000030068")</f>
        <v>ENSMUSG00000030068</v>
      </c>
      <c r="I7693" s="7" t="str">
        <f>HYPERLINK("http://www.informatics.jax.org/marker/MGI:5313143","MGI:5313143")</f>
        <v>MGI:5313143</v>
      </c>
      <c r="J7693" s="4" t="s">
        <v>12</v>
      </c>
    </row>
    <row r="7694" spans="1:10" x14ac:dyDescent="0.25">
      <c r="A7694" s="2">
        <v>675.08766231293703</v>
      </c>
      <c r="B7694" s="3">
        <v>-1.16231838209234</v>
      </c>
      <c r="C7694" s="5">
        <v>3.37886408238163E-36</v>
      </c>
      <c r="D7694" s="6">
        <v>6.1185674659839902E-35</v>
      </c>
      <c r="E7694" s="3" t="s">
        <v>2195</v>
      </c>
      <c r="F7694" s="3" t="s">
        <v>2196</v>
      </c>
      <c r="G7694" s="3">
        <v>19366</v>
      </c>
      <c r="H7694" s="7" t="str">
        <f>HYPERLINK("http://www.ensembl.org/Mus_musculus/Gene/Summary?db=core;g=ENSMUSG00000028702","ENSMUSG00000028702")</f>
        <v>ENSMUSG00000028702</v>
      </c>
      <c r="I7694" s="7" t="str">
        <f>HYPERLINK("http://www.informatics.jax.org/marker/MGI:894697","MGI:894697")</f>
        <v>MGI:894697</v>
      </c>
      <c r="J7694" s="4" t="s">
        <v>12</v>
      </c>
    </row>
    <row r="7695" spans="1:10" x14ac:dyDescent="0.25">
      <c r="A7695" s="2">
        <v>641.28711613123801</v>
      </c>
      <c r="B7695" s="3">
        <v>-1.16328375527471</v>
      </c>
      <c r="C7695" s="5">
        <v>2.6535428284196599E-44</v>
      </c>
      <c r="D7695" s="6">
        <v>6.1130682916396796E-43</v>
      </c>
      <c r="E7695" s="3" t="s">
        <v>1728</v>
      </c>
      <c r="F7695" s="3" t="s">
        <v>1729</v>
      </c>
      <c r="G7695" s="3">
        <v>12524</v>
      </c>
      <c r="H7695" s="7" t="str">
        <f>HYPERLINK("http://www.ensembl.org/Mus_musculus/Gene/Summary?db=core;g=ENSMUSG00000022901","ENSMUSG00000022901")</f>
        <v>ENSMUSG00000022901</v>
      </c>
      <c r="I7695" s="7" t="str">
        <f>HYPERLINK("http://www.informatics.jax.org/marker/MGI:101773","MGI:101773")</f>
        <v>MGI:101773</v>
      </c>
      <c r="J7695" s="4" t="s">
        <v>12</v>
      </c>
    </row>
    <row r="7696" spans="1:10" x14ac:dyDescent="0.25">
      <c r="A7696" s="2">
        <v>31.661841830386599</v>
      </c>
      <c r="B7696" s="3">
        <v>-1.1633549295510099</v>
      </c>
      <c r="C7696" s="5">
        <v>2.5987800506542402E-7</v>
      </c>
      <c r="D7696" s="6">
        <v>1.1393495464406801E-6</v>
      </c>
      <c r="E7696" s="3" t="s">
        <v>9011</v>
      </c>
      <c r="F7696" s="3" t="s">
        <v>9012</v>
      </c>
      <c r="G7696" s="3">
        <v>268807</v>
      </c>
      <c r="H7696" s="7" t="str">
        <f>HYPERLINK("http://www.ensembl.org/Mus_musculus/Gene/Summary?db=core;g=ENSMUSG00000022357","ENSMUSG00000022357")</f>
        <v>ENSMUSG00000022357</v>
      </c>
      <c r="I7696" s="7" t="str">
        <f>HYPERLINK("http://www.informatics.jax.org/marker/MGI:3045310","MGI:3045310")</f>
        <v>MGI:3045310</v>
      </c>
      <c r="J7696" s="4" t="s">
        <v>12</v>
      </c>
    </row>
    <row r="7697" spans="1:10" x14ac:dyDescent="0.25">
      <c r="A7697" s="2">
        <v>2498.4148934836398</v>
      </c>
      <c r="B7697" s="3">
        <v>-1.1634740157104999</v>
      </c>
      <c r="C7697" s="5">
        <v>4.8441894712059098E-81</v>
      </c>
      <c r="D7697" s="6">
        <v>2.8601022865922303E-79</v>
      </c>
      <c r="E7697" s="3" t="s">
        <v>680</v>
      </c>
      <c r="F7697" s="3" t="s">
        <v>681</v>
      </c>
      <c r="G7697" s="3">
        <v>106572</v>
      </c>
      <c r="H7697" s="7" t="str">
        <f>HYPERLINK("http://www.ensembl.org/Mus_musculus/Gene/Summary?db=core;g=ENSMUSG00000056515","ENSMUSG00000056515")</f>
        <v>ENSMUSG00000056515</v>
      </c>
      <c r="I7697" s="7" t="str">
        <f>HYPERLINK("http://www.informatics.jax.org/marker/MGI:1914603","MGI:1914603")</f>
        <v>MGI:1914603</v>
      </c>
      <c r="J7697" s="4" t="s">
        <v>12</v>
      </c>
    </row>
    <row r="7698" spans="1:10" x14ac:dyDescent="0.25">
      <c r="A7698" s="2">
        <v>1.10957417697092</v>
      </c>
      <c r="B7698" s="3">
        <v>-1.16385542207827</v>
      </c>
      <c r="C7698" s="3">
        <v>6.09033433871698E-3</v>
      </c>
      <c r="D7698" s="4">
        <v>1.5813218322514699E-2</v>
      </c>
      <c r="E7698" s="3" t="s">
        <v>15195</v>
      </c>
      <c r="F7698" s="3" t="s">
        <v>15196</v>
      </c>
      <c r="G7698" s="3" t="s">
        <v>83</v>
      </c>
      <c r="H7698" s="7" t="str">
        <f>HYPERLINK("http://www.ensembl.org/Mus_musculus/Gene/Summary?db=core;g=ENSMUSG00000092868","ENSMUSG00000092868")</f>
        <v>ENSMUSG00000092868</v>
      </c>
      <c r="I7698" s="7" t="str">
        <f>HYPERLINK("http://www.informatics.jax.org/marker/MGI:4950433","MGI:4950433")</f>
        <v>MGI:4950433</v>
      </c>
      <c r="J7698" s="4" t="s">
        <v>6715</v>
      </c>
    </row>
    <row r="7699" spans="1:10" x14ac:dyDescent="0.25">
      <c r="A7699" s="2">
        <v>1.4343630895275601</v>
      </c>
      <c r="B7699" s="3">
        <v>-1.1653558672216</v>
      </c>
      <c r="C7699" s="3">
        <v>1.2443567497754E-2</v>
      </c>
      <c r="D7699" s="4">
        <v>3.03586097173521E-2</v>
      </c>
      <c r="E7699" s="3" t="s">
        <v>16171</v>
      </c>
      <c r="F7699" s="3" t="s">
        <v>16172</v>
      </c>
      <c r="G7699" s="3" t="s">
        <v>83</v>
      </c>
      <c r="H7699" s="7" t="str">
        <f>HYPERLINK("http://www.ensembl.org/Mus_musculus/Gene/Summary?db=core;g=ENSMUSG00000104184","ENSMUSG00000104184")</f>
        <v>ENSMUSG00000104184</v>
      </c>
      <c r="I7699" s="7" t="str">
        <f>HYPERLINK("http://www.informatics.jax.org/marker/MGI:5611046","MGI:5611046")</f>
        <v>MGI:5611046</v>
      </c>
      <c r="J7699" s="4" t="s">
        <v>1828</v>
      </c>
    </row>
    <row r="7700" spans="1:10" x14ac:dyDescent="0.25">
      <c r="A7700" s="2">
        <v>13.0053405801005</v>
      </c>
      <c r="B7700" s="3">
        <v>-1.16573982863335</v>
      </c>
      <c r="C7700" s="3">
        <v>2.4567643688527802E-4</v>
      </c>
      <c r="D7700" s="4">
        <v>7.8853179286746198E-4</v>
      </c>
      <c r="E7700" s="3" t="s">
        <v>12299</v>
      </c>
      <c r="F7700" s="3" t="s">
        <v>12300</v>
      </c>
      <c r="G7700" s="3" t="s">
        <v>83</v>
      </c>
      <c r="H7700" s="7" t="str">
        <f>HYPERLINK("http://www.ensembl.org/Mus_musculus/Gene/Summary?db=core;g=ENSMUSG00000054418","ENSMUSG00000054418")</f>
        <v>ENSMUSG00000054418</v>
      </c>
      <c r="I7700" s="7" t="str">
        <f>HYPERLINK("http://www.informatics.jax.org/marker/MGI:1925653","MGI:1925653")</f>
        <v>MGI:1925653</v>
      </c>
      <c r="J7700" s="4" t="s">
        <v>331</v>
      </c>
    </row>
    <row r="7701" spans="1:10" x14ac:dyDescent="0.25">
      <c r="A7701" s="2">
        <v>65.983444525910798</v>
      </c>
      <c r="B7701" s="3">
        <v>-1.1685324003317199</v>
      </c>
      <c r="C7701" s="5">
        <v>3.8725583531142002E-9</v>
      </c>
      <c r="D7701" s="6">
        <v>1.98406990707748E-8</v>
      </c>
      <c r="E7701" s="3" t="s">
        <v>7714</v>
      </c>
      <c r="F7701" s="3" t="s">
        <v>7715</v>
      </c>
      <c r="G7701" s="3" t="s">
        <v>83</v>
      </c>
      <c r="H7701" s="7" t="str">
        <f>HYPERLINK("http://www.ensembl.org/Mus_musculus/Gene/Summary?db=core;g=ENSMUSG00000114432","ENSMUSG00000114432")</f>
        <v>ENSMUSG00000114432</v>
      </c>
      <c r="I7701" s="7" t="str">
        <f>HYPERLINK("http://www.informatics.jax.org/marker/MGI:6121619","MGI:6121619")</f>
        <v>MGI:6121619</v>
      </c>
      <c r="J7701" s="4" t="s">
        <v>12</v>
      </c>
    </row>
    <row r="7702" spans="1:10" x14ac:dyDescent="0.25">
      <c r="A7702" s="2">
        <v>168.54340657324099</v>
      </c>
      <c r="B7702" s="3">
        <v>-1.1717408208129001</v>
      </c>
      <c r="C7702" s="5">
        <v>4.1868934596109298E-27</v>
      </c>
      <c r="D7702" s="6">
        <v>5.5301767597808201E-26</v>
      </c>
      <c r="E7702" s="3" t="s">
        <v>3004</v>
      </c>
      <c r="F7702" s="3" t="s">
        <v>3005</v>
      </c>
      <c r="G7702" s="3">
        <v>57080</v>
      </c>
      <c r="H7702" s="7" t="str">
        <f>HYPERLINK("http://www.ensembl.org/Mus_musculus/Gene/Summary?db=core;g=ENSMUSG00000023079","ENSMUSG00000023079")</f>
        <v>ENSMUSG00000023079</v>
      </c>
      <c r="I7702" s="7" t="str">
        <f>HYPERLINK("http://www.informatics.jax.org/marker/MGI:1861942","MGI:1861942")</f>
        <v>MGI:1861942</v>
      </c>
      <c r="J7702" s="4" t="s">
        <v>12</v>
      </c>
    </row>
    <row r="7703" spans="1:10" x14ac:dyDescent="0.25">
      <c r="A7703" s="2">
        <v>379.89271145942001</v>
      </c>
      <c r="B7703" s="3">
        <v>-1.17178784367967</v>
      </c>
      <c r="C7703" s="5">
        <v>2.13225629839415E-55</v>
      </c>
      <c r="D7703" s="6">
        <v>6.6321915148789604E-54</v>
      </c>
      <c r="E7703" s="3" t="s">
        <v>1284</v>
      </c>
      <c r="F7703" s="3" t="s">
        <v>1285</v>
      </c>
      <c r="G7703" s="3">
        <v>231670</v>
      </c>
      <c r="H7703" s="7" t="str">
        <f>HYPERLINK("http://www.ensembl.org/Mus_musculus/Gene/Summary?db=core;g=ENSMUSG00000032898","ENSMUSG00000032898")</f>
        <v>ENSMUSG00000032898</v>
      </c>
      <c r="I7703" s="7" t="str">
        <f>HYPERLINK("http://www.informatics.jax.org/marker/MGI:1924223","MGI:1924223")</f>
        <v>MGI:1924223</v>
      </c>
      <c r="J7703" s="4" t="s">
        <v>12</v>
      </c>
    </row>
    <row r="7704" spans="1:10" x14ac:dyDescent="0.25">
      <c r="A7704" s="2">
        <v>618.18437609786395</v>
      </c>
      <c r="B7704" s="3">
        <v>-1.17313049608964</v>
      </c>
      <c r="C7704" s="5">
        <v>1.30178225833376E-28</v>
      </c>
      <c r="D7704" s="6">
        <v>1.8245306420996301E-27</v>
      </c>
      <c r="E7704" s="3" t="s">
        <v>2832</v>
      </c>
      <c r="F7704" s="3" t="s">
        <v>2833</v>
      </c>
      <c r="G7704" s="3">
        <v>216543</v>
      </c>
      <c r="H7704" s="7" t="str">
        <f>HYPERLINK("http://www.ensembl.org/Mus_musculus/Gene/Summary?db=core;g=ENSMUSG00000044066","ENSMUSG00000044066")</f>
        <v>ENSMUSG00000044066</v>
      </c>
      <c r="I7704" s="7" t="str">
        <f>HYPERLINK("http://www.informatics.jax.org/marker/MGI:2667663","MGI:2667663")</f>
        <v>MGI:2667663</v>
      </c>
      <c r="J7704" s="4" t="s">
        <v>12</v>
      </c>
    </row>
    <row r="7705" spans="1:10" x14ac:dyDescent="0.25">
      <c r="A7705" s="2">
        <v>22.825512891531201</v>
      </c>
      <c r="B7705" s="3">
        <v>-1.17330969785971</v>
      </c>
      <c r="C7705" s="5">
        <v>1.2790611091592299E-5</v>
      </c>
      <c r="D7705" s="6">
        <v>4.7447488849924599E-5</v>
      </c>
      <c r="E7705" s="3" t="s">
        <v>10644</v>
      </c>
      <c r="F7705" s="3" t="s">
        <v>10645</v>
      </c>
      <c r="G7705" s="3">
        <v>54137</v>
      </c>
      <c r="H7705" s="7" t="str">
        <f>HYPERLINK("http://www.ensembl.org/Mus_musculus/Gene/Summary?db=core;g=ENSMUSG00000072770","ENSMUSG00000072770")</f>
        <v>ENSMUSG00000072770</v>
      </c>
      <c r="I7705" s="7" t="str">
        <f>HYPERLINK("http://www.informatics.jax.org/marker/MGI:1859515","MGI:1859515")</f>
        <v>MGI:1859515</v>
      </c>
      <c r="J7705" s="4" t="s">
        <v>12</v>
      </c>
    </row>
    <row r="7706" spans="1:10" x14ac:dyDescent="0.25">
      <c r="A7706" s="2">
        <v>3.9025336556018702</v>
      </c>
      <c r="B7706" s="3">
        <v>-1.17353502119939</v>
      </c>
      <c r="C7706" s="3">
        <v>6.2633183808716297E-3</v>
      </c>
      <c r="D7706" s="4">
        <v>1.6215391685806501E-2</v>
      </c>
      <c r="E7706" s="3" t="s">
        <v>15239</v>
      </c>
      <c r="F7706" s="3" t="s">
        <v>15240</v>
      </c>
      <c r="G7706" s="3">
        <v>12006</v>
      </c>
      <c r="H7706" s="7" t="str">
        <f>HYPERLINK("http://www.ensembl.org/Mus_musculus/Gene/Summary?db=core;g=ENSMUSG00000000142","ENSMUSG00000000142")</f>
        <v>ENSMUSG00000000142</v>
      </c>
      <c r="I7706" s="7" t="str">
        <f>HYPERLINK("http://www.informatics.jax.org/marker/MGI:1270862","MGI:1270862")</f>
        <v>MGI:1270862</v>
      </c>
      <c r="J7706" s="4" t="s">
        <v>12</v>
      </c>
    </row>
    <row r="7707" spans="1:10" x14ac:dyDescent="0.25">
      <c r="A7707" s="2">
        <v>206.22493267353801</v>
      </c>
      <c r="B7707" s="3">
        <v>-1.1736746035608301</v>
      </c>
      <c r="C7707" s="5">
        <v>2.4496008870687099E-23</v>
      </c>
      <c r="D7707" s="6">
        <v>2.80523400075464E-22</v>
      </c>
      <c r="E7707" s="3" t="s">
        <v>3462</v>
      </c>
      <c r="F7707" s="3" t="s">
        <v>3463</v>
      </c>
      <c r="G7707" s="3">
        <v>58245</v>
      </c>
      <c r="H7707" s="7" t="str">
        <f>HYPERLINK("http://www.ensembl.org/Mus_musculus/Gene/Summary?db=core;g=ENSMUSG00000022131","ENSMUSG00000022131")</f>
        <v>ENSMUSG00000022131</v>
      </c>
      <c r="I7707" s="7" t="str">
        <f>HYPERLINK("http://www.informatics.jax.org/marker/MGI:1930949","MGI:1930949")</f>
        <v>MGI:1930949</v>
      </c>
      <c r="J7707" s="4" t="s">
        <v>12</v>
      </c>
    </row>
    <row r="7708" spans="1:10" x14ac:dyDescent="0.25">
      <c r="A7708" s="2">
        <v>9.4692270429814407</v>
      </c>
      <c r="B7708" s="3">
        <v>-1.1746252098359</v>
      </c>
      <c r="C7708" s="3">
        <v>3.5820484260717797E-4</v>
      </c>
      <c r="D7708" s="4">
        <v>1.12445073164813E-3</v>
      </c>
      <c r="E7708" s="3" t="s">
        <v>12577</v>
      </c>
      <c r="F7708" s="3" t="s">
        <v>12578</v>
      </c>
      <c r="G7708" s="3">
        <v>80891</v>
      </c>
      <c r="H7708" s="7" t="str">
        <f>HYPERLINK("http://www.ensembl.org/Mus_musculus/Gene/Summary?db=core;g=ENSMUSG00000015852","ENSMUSG00000015852")</f>
        <v>ENSMUSG00000015852</v>
      </c>
      <c r="I7708" s="7" t="str">
        <f>HYPERLINK("http://www.informatics.jax.org/marker/MGI:1933397","MGI:1933397")</f>
        <v>MGI:1933397</v>
      </c>
      <c r="J7708" s="4" t="s">
        <v>12</v>
      </c>
    </row>
    <row r="7709" spans="1:10" x14ac:dyDescent="0.25">
      <c r="A7709" s="2">
        <v>457.79849296189002</v>
      </c>
      <c r="B7709" s="3">
        <v>-1.1749016202741001</v>
      </c>
      <c r="C7709" s="5">
        <v>1.2327824593793099E-54</v>
      </c>
      <c r="D7709" s="6">
        <v>3.7632306654736801E-53</v>
      </c>
      <c r="E7709" s="3" t="s">
        <v>1308</v>
      </c>
      <c r="F7709" s="3" t="s">
        <v>1309</v>
      </c>
      <c r="G7709" s="3">
        <v>54601</v>
      </c>
      <c r="H7709" s="7" t="str">
        <f>HYPERLINK("http://www.ensembl.org/Mus_musculus/Gene/Summary?db=core;g=ENSMUSG00000042903","ENSMUSG00000042903")</f>
        <v>ENSMUSG00000042903</v>
      </c>
      <c r="I7709" s="7" t="str">
        <f>HYPERLINK("http://www.informatics.jax.org/marker/MGI:1891915","MGI:1891915")</f>
        <v>MGI:1891915</v>
      </c>
      <c r="J7709" s="4" t="s">
        <v>12</v>
      </c>
    </row>
    <row r="7710" spans="1:10" x14ac:dyDescent="0.25">
      <c r="A7710" s="2">
        <v>306.58177583947003</v>
      </c>
      <c r="B7710" s="3">
        <v>-1.17522023419743</v>
      </c>
      <c r="C7710" s="5">
        <v>8.8587589727967703E-24</v>
      </c>
      <c r="D7710" s="6">
        <v>1.03186489629978E-22</v>
      </c>
      <c r="E7710" s="3" t="s">
        <v>3404</v>
      </c>
      <c r="F7710" s="3" t="s">
        <v>3405</v>
      </c>
      <c r="G7710" s="3" t="s">
        <v>83</v>
      </c>
      <c r="H7710" s="7" t="str">
        <f>HYPERLINK("http://www.ensembl.org/Mus_musculus/Gene/Summary?db=core;g=ENSMUSG00000043419","ENSMUSG00000043419")</f>
        <v>ENSMUSG00000043419</v>
      </c>
      <c r="I7710" s="7" t="str">
        <f>HYPERLINK("http://www.informatics.jax.org/marker/MGI:1915359","MGI:1915359")</f>
        <v>MGI:1915359</v>
      </c>
      <c r="J7710" s="4" t="s">
        <v>12</v>
      </c>
    </row>
    <row r="7711" spans="1:10" x14ac:dyDescent="0.25">
      <c r="A7711" s="2">
        <v>641.05086049517502</v>
      </c>
      <c r="B7711" s="3">
        <v>-1.1761697881972</v>
      </c>
      <c r="C7711" s="5">
        <v>3.4420902275261497E-36</v>
      </c>
      <c r="D7711" s="6">
        <v>6.2216332985165504E-35</v>
      </c>
      <c r="E7711" s="3" t="s">
        <v>2199</v>
      </c>
      <c r="F7711" s="3" t="s">
        <v>2200</v>
      </c>
      <c r="G7711" s="3">
        <v>74131</v>
      </c>
      <c r="H7711" s="7" t="str">
        <f>HYPERLINK("http://www.ensembl.org/Mus_musculus/Gene/Summary?db=core;g=ENSMUSG00000031101","ENSMUSG00000031101")</f>
        <v>ENSMUSG00000031101</v>
      </c>
      <c r="I7711" s="7" t="str">
        <f>HYPERLINK("http://www.informatics.jax.org/marker/MGI:1921381","MGI:1921381")</f>
        <v>MGI:1921381</v>
      </c>
      <c r="J7711" s="4" t="s">
        <v>12</v>
      </c>
    </row>
    <row r="7712" spans="1:10" x14ac:dyDescent="0.25">
      <c r="A7712" s="2">
        <v>24.662211749460099</v>
      </c>
      <c r="B7712" s="3">
        <v>-1.1767721361533301</v>
      </c>
      <c r="C7712" s="5">
        <v>1.59976439000394E-5</v>
      </c>
      <c r="D7712" s="6">
        <v>5.8782163904835302E-5</v>
      </c>
      <c r="E7712" s="3" t="s">
        <v>10746</v>
      </c>
      <c r="F7712" s="3" t="s">
        <v>10747</v>
      </c>
      <c r="G7712" s="3">
        <v>19301</v>
      </c>
      <c r="H7712" s="7" t="str">
        <f>HYPERLINK("http://www.ensembl.org/Mus_musculus/Gene/Summary?db=core;g=ENSMUSG00000029499","ENSMUSG00000029499")</f>
        <v>ENSMUSG00000029499</v>
      </c>
      <c r="I7712" s="7" t="str">
        <f>HYPERLINK("http://www.informatics.jax.org/marker/MGI:107487","MGI:107487")</f>
        <v>MGI:107487</v>
      </c>
      <c r="J7712" s="4" t="s">
        <v>12</v>
      </c>
    </row>
    <row r="7713" spans="1:10" x14ac:dyDescent="0.25">
      <c r="A7713" s="2">
        <v>178.01301619579201</v>
      </c>
      <c r="B7713" s="3">
        <v>-1.17679413832452</v>
      </c>
      <c r="C7713" s="5">
        <v>3.9173486473512102E-24</v>
      </c>
      <c r="D7713" s="6">
        <v>4.6313018780435198E-23</v>
      </c>
      <c r="E7713" s="3" t="s">
        <v>3356</v>
      </c>
      <c r="F7713" s="3" t="s">
        <v>3357</v>
      </c>
      <c r="G7713" s="3">
        <v>239839</v>
      </c>
      <c r="H7713" s="7" t="str">
        <f>HYPERLINK("http://www.ensembl.org/Mus_musculus/Gene/Summary?db=core;g=ENSMUSG00000022833","ENSMUSG00000022833")</f>
        <v>ENSMUSG00000022833</v>
      </c>
      <c r="I7713" s="7" t="str">
        <f>HYPERLINK("http://www.informatics.jax.org/marker/MGI:2443448","MGI:2443448")</f>
        <v>MGI:2443448</v>
      </c>
      <c r="J7713" s="4" t="s">
        <v>12</v>
      </c>
    </row>
    <row r="7714" spans="1:10" x14ac:dyDescent="0.25">
      <c r="A7714" s="2">
        <v>1.44860307072582</v>
      </c>
      <c r="B7714" s="3">
        <v>-1.17715785240662</v>
      </c>
      <c r="C7714" s="3">
        <v>1.12690786263631E-2</v>
      </c>
      <c r="D7714" s="4">
        <v>2.7712461717406101E-2</v>
      </c>
      <c r="E7714" s="3" t="s">
        <v>16043</v>
      </c>
      <c r="F7714" s="3" t="s">
        <v>16044</v>
      </c>
      <c r="G7714" s="3">
        <v>29811</v>
      </c>
      <c r="H7714" s="7" t="str">
        <f>HYPERLINK("http://www.ensembl.org/Mus_musculus/Gene/Summary?db=core;g=ENSMUSG00000004558","ENSMUSG00000004558")</f>
        <v>ENSMUSG00000004558</v>
      </c>
      <c r="I7714" s="7" t="str">
        <f>HYPERLINK("http://www.informatics.jax.org/marker/MGI:1352498","MGI:1352498")</f>
        <v>MGI:1352498</v>
      </c>
      <c r="J7714" s="4" t="s">
        <v>12</v>
      </c>
    </row>
    <row r="7715" spans="1:10" x14ac:dyDescent="0.25">
      <c r="A7715" s="2">
        <v>123.733726977168</v>
      </c>
      <c r="B7715" s="3">
        <v>-1.17727679052014</v>
      </c>
      <c r="C7715" s="5">
        <v>4.7867984639062697E-10</v>
      </c>
      <c r="D7715" s="6">
        <v>2.6250185124647301E-9</v>
      </c>
      <c r="E7715" s="3" t="s">
        <v>7210</v>
      </c>
      <c r="F7715" s="3" t="s">
        <v>7211</v>
      </c>
      <c r="G7715" s="3">
        <v>52685</v>
      </c>
      <c r="H7715" s="7" t="str">
        <f>HYPERLINK("http://www.ensembl.org/Mus_musculus/Gene/Summary?db=core;g=ENSMUSG00000017309","ENSMUSG00000017309")</f>
        <v>ENSMUSG00000017309</v>
      </c>
      <c r="I7715" s="7" t="str">
        <f>HYPERLINK("http://www.informatics.jax.org/marker/MGI:1289168","MGI:1289168")</f>
        <v>MGI:1289168</v>
      </c>
      <c r="J7715" s="4" t="s">
        <v>12</v>
      </c>
    </row>
    <row r="7716" spans="1:10" x14ac:dyDescent="0.25">
      <c r="A7716" s="2">
        <v>844.26021746042397</v>
      </c>
      <c r="B7716" s="3">
        <v>-1.1773785548119</v>
      </c>
      <c r="C7716" s="5">
        <v>1.43689549789466E-66</v>
      </c>
      <c r="D7716" s="6">
        <v>6.1465464682175102E-65</v>
      </c>
      <c r="E7716" s="3" t="s">
        <v>935</v>
      </c>
      <c r="F7716" s="3" t="s">
        <v>936</v>
      </c>
      <c r="G7716" s="3">
        <v>14087</v>
      </c>
      <c r="H7716" s="7" t="str">
        <f>HYPERLINK("http://www.ensembl.org/Mus_musculus/Gene/Summary?db=core;g=ENSMUSG00000032815","ENSMUSG00000032815")</f>
        <v>ENSMUSG00000032815</v>
      </c>
      <c r="I7716" s="7" t="str">
        <f>HYPERLINK("http://www.informatics.jax.org/marker/MGI:1341823","MGI:1341823")</f>
        <v>MGI:1341823</v>
      </c>
      <c r="J7716" s="4" t="s">
        <v>12</v>
      </c>
    </row>
    <row r="7717" spans="1:10" x14ac:dyDescent="0.25">
      <c r="A7717" s="2">
        <v>49.611450839460701</v>
      </c>
      <c r="B7717" s="3">
        <v>-1.17773413899336</v>
      </c>
      <c r="C7717" s="5">
        <v>8.5477270328781106E-11</v>
      </c>
      <c r="D7717" s="6">
        <v>4.9811222543840504E-10</v>
      </c>
      <c r="E7717" s="3" t="s">
        <v>6786</v>
      </c>
      <c r="F7717" s="3" t="s">
        <v>6787</v>
      </c>
      <c r="G7717" s="3">
        <v>72345</v>
      </c>
      <c r="H7717" s="7" t="str">
        <f>HYPERLINK("http://www.ensembl.org/Mus_musculus/Gene/Summary?db=core;g=ENSMUSG00000050332","ENSMUSG00000050332")</f>
        <v>ENSMUSG00000050332</v>
      </c>
      <c r="I7717" s="7" t="str">
        <f>HYPERLINK("http://www.informatics.jax.org/marker/MGI:1919595","MGI:1919595")</f>
        <v>MGI:1919595</v>
      </c>
      <c r="J7717" s="4" t="s">
        <v>12</v>
      </c>
    </row>
    <row r="7718" spans="1:10" x14ac:dyDescent="0.25">
      <c r="A7718" s="2">
        <v>5.7984408237854801</v>
      </c>
      <c r="B7718" s="3">
        <v>-1.1786897363556299</v>
      </c>
      <c r="C7718" s="3">
        <v>5.4067032205619399E-3</v>
      </c>
      <c r="D7718" s="4">
        <v>1.4204661272246399E-2</v>
      </c>
      <c r="E7718" s="3" t="s">
        <v>15016</v>
      </c>
      <c r="F7718" s="3" t="s">
        <v>15017</v>
      </c>
      <c r="G7718" s="3">
        <v>68895</v>
      </c>
      <c r="H7718" s="7" t="str">
        <f>HYPERLINK("http://www.ensembl.org/Mus_musculus/Gene/Summary?db=core;g=ENSMUSG00000029641","ENSMUSG00000029641")</f>
        <v>ENSMUSG00000029641</v>
      </c>
      <c r="I7718" s="7" t="str">
        <f>HYPERLINK("http://www.informatics.jax.org/marker/MGI:1916145","MGI:1916145")</f>
        <v>MGI:1916145</v>
      </c>
      <c r="J7718" s="4" t="s">
        <v>12</v>
      </c>
    </row>
    <row r="7719" spans="1:10" x14ac:dyDescent="0.25">
      <c r="A7719" s="2">
        <v>530.74682937213197</v>
      </c>
      <c r="B7719" s="3">
        <v>-1.1794223149065299</v>
      </c>
      <c r="C7719" s="5">
        <v>2.3809063265566799E-34</v>
      </c>
      <c r="D7719" s="6">
        <v>4.0336316803864103E-33</v>
      </c>
      <c r="E7719" s="3" t="s">
        <v>2345</v>
      </c>
      <c r="F7719" s="3" t="s">
        <v>2346</v>
      </c>
      <c r="G7719" s="3">
        <v>77011</v>
      </c>
      <c r="H7719" s="7" t="str">
        <f>HYPERLINK("http://www.ensembl.org/Mus_musculus/Gene/Summary?db=core;g=ENSMUSG00000046591","ENSMUSG00000046591")</f>
        <v>ENSMUSG00000046591</v>
      </c>
      <c r="I7719" s="7" t="str">
        <f>HYPERLINK("http://www.informatics.jax.org/marker/MGI:1924261","MGI:1924261")</f>
        <v>MGI:1924261</v>
      </c>
      <c r="J7719" s="4" t="s">
        <v>12</v>
      </c>
    </row>
    <row r="7720" spans="1:10" x14ac:dyDescent="0.25">
      <c r="A7720" s="2">
        <v>2414.8417693134502</v>
      </c>
      <c r="B7720" s="3">
        <v>-1.1795255495982</v>
      </c>
      <c r="C7720" s="5">
        <v>1.58621047128433E-53</v>
      </c>
      <c r="D7720" s="6">
        <v>4.6340845175891802E-52</v>
      </c>
      <c r="E7720" s="3" t="s">
        <v>1366</v>
      </c>
      <c r="F7720" s="3" t="s">
        <v>1367</v>
      </c>
      <c r="G7720" s="3">
        <v>241274</v>
      </c>
      <c r="H7720" s="7" t="str">
        <f>HYPERLINK("http://www.ensembl.org/Mus_musculus/Gene/Summary?db=core;g=ENSMUSG00000036833","ENSMUSG00000036833")</f>
        <v>ENSMUSG00000036833</v>
      </c>
      <c r="I7720" s="7" t="str">
        <f>HYPERLINK("http://www.informatics.jax.org/marker/MGI:2385325","MGI:2385325")</f>
        <v>MGI:2385325</v>
      </c>
      <c r="J7720" s="4" t="s">
        <v>12</v>
      </c>
    </row>
    <row r="7721" spans="1:10" x14ac:dyDescent="0.25">
      <c r="A7721" s="2">
        <v>95.902066449568494</v>
      </c>
      <c r="B7721" s="3">
        <v>-1.17952977406635</v>
      </c>
      <c r="C7721" s="5">
        <v>1.44493344124596E-15</v>
      </c>
      <c r="D7721" s="6">
        <v>1.1438814717531299E-14</v>
      </c>
      <c r="E7721" s="3" t="s">
        <v>4999</v>
      </c>
      <c r="F7721" s="3" t="s">
        <v>5000</v>
      </c>
      <c r="G7721" s="3">
        <v>234353</v>
      </c>
      <c r="H7721" s="7" t="str">
        <f>HYPERLINK("http://www.ensembl.org/Mus_musculus/Gene/Summary?db=core;g=ENSMUSG00000030465","ENSMUSG00000030465")</f>
        <v>ENSMUSG00000030465</v>
      </c>
      <c r="I7721" s="7" t="str">
        <f>HYPERLINK("http://www.informatics.jax.org/marker/MGI:1918215","MGI:1918215")</f>
        <v>MGI:1918215</v>
      </c>
      <c r="J7721" s="4" t="s">
        <v>12</v>
      </c>
    </row>
    <row r="7722" spans="1:10" x14ac:dyDescent="0.25">
      <c r="A7722" s="2">
        <v>926.64222353318996</v>
      </c>
      <c r="B7722" s="3">
        <v>-1.17997985540502</v>
      </c>
      <c r="C7722" s="5">
        <v>1.1468450788752399E-19</v>
      </c>
      <c r="D7722" s="6">
        <v>1.1207029214776899E-18</v>
      </c>
      <c r="E7722" s="3" t="s">
        <v>4053</v>
      </c>
      <c r="F7722" s="3" t="s">
        <v>4054</v>
      </c>
      <c r="G7722" s="3">
        <v>56644</v>
      </c>
      <c r="H7722" s="7" t="str">
        <f>HYPERLINK("http://www.ensembl.org/Mus_musculus/Gene/Summary?db=core;g=ENSMUSG00000079293","ENSMUSG00000079293")</f>
        <v>ENSMUSG00000079293</v>
      </c>
      <c r="I7722" s="7" t="str">
        <f>HYPERLINK("http://www.informatics.jax.org/marker/MGI:1861431","MGI:1861431")</f>
        <v>MGI:1861431</v>
      </c>
      <c r="J7722" s="4" t="s">
        <v>976</v>
      </c>
    </row>
    <row r="7723" spans="1:10" x14ac:dyDescent="0.25">
      <c r="A7723" s="2">
        <v>23.412798652674098</v>
      </c>
      <c r="B7723" s="3">
        <v>-1.18001178474692</v>
      </c>
      <c r="C7723" s="5">
        <v>2.3858856315485402E-6</v>
      </c>
      <c r="D7723" s="6">
        <v>9.5165179316620395E-6</v>
      </c>
      <c r="E7723" s="3" t="s">
        <v>9903</v>
      </c>
      <c r="F7723" s="3" t="s">
        <v>9904</v>
      </c>
      <c r="G7723" s="3">
        <v>381983</v>
      </c>
      <c r="H7723" s="7" t="str">
        <f>HYPERLINK("http://www.ensembl.org/Mus_musculus/Gene/Summary?db=core;g=ENSMUSG00000062044","ENSMUSG00000062044")</f>
        <v>ENSMUSG00000062044</v>
      </c>
      <c r="I7723" s="7" t="str">
        <f>HYPERLINK("http://www.informatics.jax.org/marker/MGI:3039582","MGI:3039582")</f>
        <v>MGI:3039582</v>
      </c>
      <c r="J7723" s="4" t="s">
        <v>12</v>
      </c>
    </row>
    <row r="7724" spans="1:10" x14ac:dyDescent="0.25">
      <c r="A7724" s="2">
        <v>33.264739221395899</v>
      </c>
      <c r="B7724" s="3">
        <v>-1.1804334844511899</v>
      </c>
      <c r="C7724" s="5">
        <v>1.6013883898704799E-9</v>
      </c>
      <c r="D7724" s="6">
        <v>8.4436842374989092E-9</v>
      </c>
      <c r="E7724" s="3" t="s">
        <v>7498</v>
      </c>
      <c r="F7724" s="3" t="s">
        <v>7499</v>
      </c>
      <c r="G7724" s="3">
        <v>68423</v>
      </c>
      <c r="H7724" s="7" t="str">
        <f>HYPERLINK("http://www.ensembl.org/Mus_musculus/Gene/Summary?db=core;g=ENSMUSG00000005986","ENSMUSG00000005986")</f>
        <v>ENSMUSG00000005986</v>
      </c>
      <c r="I7724" s="7" t="str">
        <f>HYPERLINK("http://www.informatics.jax.org/marker/MGI:1915673","MGI:1915673")</f>
        <v>MGI:1915673</v>
      </c>
      <c r="J7724" s="4" t="s">
        <v>12</v>
      </c>
    </row>
    <row r="7725" spans="1:10" x14ac:dyDescent="0.25">
      <c r="A7725" s="2">
        <v>5366.5290353230903</v>
      </c>
      <c r="B7725" s="3">
        <v>-1.18229222939358</v>
      </c>
      <c r="C7725" s="5">
        <v>1.32748813019591E-73</v>
      </c>
      <c r="D7725" s="6">
        <v>6.5119566983739699E-72</v>
      </c>
      <c r="E7725" s="3" t="s">
        <v>816</v>
      </c>
      <c r="F7725" s="3" t="s">
        <v>817</v>
      </c>
      <c r="G7725" s="3">
        <v>13433</v>
      </c>
      <c r="H7725" s="7" t="str">
        <f>HYPERLINK("http://www.ensembl.org/Mus_musculus/Gene/Summary?db=core;g=ENSMUSG00000004099","ENSMUSG00000004099")</f>
        <v>ENSMUSG00000004099</v>
      </c>
      <c r="I7725" s="7" t="str">
        <f>HYPERLINK("http://www.informatics.jax.org/marker/MGI:94912","MGI:94912")</f>
        <v>MGI:94912</v>
      </c>
      <c r="J7725" s="4" t="s">
        <v>12</v>
      </c>
    </row>
    <row r="7726" spans="1:10" x14ac:dyDescent="0.25">
      <c r="A7726" s="2">
        <v>1.57124524177172</v>
      </c>
      <c r="B7726" s="3">
        <v>-1.1824830575416301</v>
      </c>
      <c r="C7726" s="3">
        <v>1.1785163000905499E-2</v>
      </c>
      <c r="D7726" s="4">
        <v>2.8898708577201698E-2</v>
      </c>
      <c r="E7726" s="3" t="s">
        <v>16089</v>
      </c>
      <c r="F7726" s="3" t="s">
        <v>16090</v>
      </c>
      <c r="G7726" s="3" t="s">
        <v>83</v>
      </c>
      <c r="H7726" s="7" t="str">
        <f>HYPERLINK("http://www.ensembl.org/Mus_musculus/Gene/Summary?db=core;g=ENSMUSG00000070960","ENSMUSG00000070960")</f>
        <v>ENSMUSG00000070960</v>
      </c>
      <c r="I7726" s="7" t="str">
        <f>HYPERLINK("http://www.informatics.jax.org/marker/MGI:5011865","MGI:5011865")</f>
        <v>MGI:5011865</v>
      </c>
      <c r="J7726" s="4" t="s">
        <v>1043</v>
      </c>
    </row>
    <row r="7727" spans="1:10" x14ac:dyDescent="0.25">
      <c r="A7727" s="2">
        <v>3.4597465631189102</v>
      </c>
      <c r="B7727" s="3">
        <v>-1.18284436359072</v>
      </c>
      <c r="C7727" s="3">
        <v>7.9404274313991004E-3</v>
      </c>
      <c r="D7727" s="4">
        <v>2.0129223415244899E-2</v>
      </c>
      <c r="E7727" s="3" t="s">
        <v>15563</v>
      </c>
      <c r="F7727" s="3" t="s">
        <v>15564</v>
      </c>
      <c r="G7727" s="3">
        <v>666528</v>
      </c>
      <c r="H7727" s="7" t="str">
        <f>HYPERLINK("http://www.ensembl.org/Mus_musculus/Gene/Summary?db=core;g=ENSMUSG00000078796","ENSMUSG00000078796")</f>
        <v>ENSMUSG00000078796</v>
      </c>
      <c r="I7727" s="7" t="str">
        <f>HYPERLINK("http://www.informatics.jax.org/marker/MGI:3647699","MGI:3647699")</f>
        <v>MGI:3647699</v>
      </c>
      <c r="J7727" s="4" t="s">
        <v>12</v>
      </c>
    </row>
    <row r="7728" spans="1:10" x14ac:dyDescent="0.25">
      <c r="A7728" s="2">
        <v>358.41317419738499</v>
      </c>
      <c r="B7728" s="3">
        <v>-1.18330216060593</v>
      </c>
      <c r="C7728" s="5">
        <v>7.6443595395634106E-14</v>
      </c>
      <c r="D7728" s="6">
        <v>5.4954037086455598E-13</v>
      </c>
      <c r="E7728" s="3" t="s">
        <v>5503</v>
      </c>
      <c r="F7728" s="3" t="s">
        <v>5504</v>
      </c>
      <c r="G7728" s="3">
        <v>12337</v>
      </c>
      <c r="H7728" s="7" t="str">
        <f>HYPERLINK("http://www.ensembl.org/Mus_musculus/Gene/Summary?db=core;g=ENSMUSG00000035547","ENSMUSG00000035547")</f>
        <v>ENSMUSG00000035547</v>
      </c>
      <c r="I7728" s="7" t="str">
        <f>HYPERLINK("http://www.informatics.jax.org/marker/MGI:1100859","MGI:1100859")</f>
        <v>MGI:1100859</v>
      </c>
      <c r="J7728" s="4" t="s">
        <v>12</v>
      </c>
    </row>
    <row r="7729" spans="1:10" x14ac:dyDescent="0.25">
      <c r="A7729" s="2">
        <v>33.583495190397301</v>
      </c>
      <c r="B7729" s="3">
        <v>-1.18401725701475</v>
      </c>
      <c r="C7729" s="5">
        <v>1.84135293167688E-8</v>
      </c>
      <c r="D7729" s="6">
        <v>8.9086064309784501E-8</v>
      </c>
      <c r="E7729" s="3" t="s">
        <v>8169</v>
      </c>
      <c r="F7729" s="3" t="s">
        <v>8170</v>
      </c>
      <c r="G7729" s="3">
        <v>13845</v>
      </c>
      <c r="H7729" s="7" t="str">
        <f>HYPERLINK("http://www.ensembl.org/Mus_musculus/Gene/Summary?db=core;g=ENSMUSG00000005958","ENSMUSG00000005958")</f>
        <v>ENSMUSG00000005958</v>
      </c>
      <c r="I7729" s="7" t="str">
        <f>HYPERLINK("http://www.informatics.jax.org/marker/MGI:104770","MGI:104770")</f>
        <v>MGI:104770</v>
      </c>
      <c r="J7729" s="4" t="s">
        <v>12</v>
      </c>
    </row>
    <row r="7730" spans="1:10" x14ac:dyDescent="0.25">
      <c r="A7730" s="2">
        <v>115.987595303954</v>
      </c>
      <c r="B7730" s="3">
        <v>-1.18461874955776</v>
      </c>
      <c r="C7730" s="5">
        <v>1.8244489247399901E-13</v>
      </c>
      <c r="D7730" s="6">
        <v>1.2826428804232701E-12</v>
      </c>
      <c r="E7730" s="3" t="s">
        <v>5627</v>
      </c>
      <c r="F7730" s="3" t="s">
        <v>5628</v>
      </c>
      <c r="G7730" s="3">
        <v>333193</v>
      </c>
      <c r="H7730" s="7" t="str">
        <f>HYPERLINK("http://www.ensembl.org/Mus_musculus/Gene/Summary?db=core;g=ENSMUSG00000036864","ENSMUSG00000036864")</f>
        <v>ENSMUSG00000036864</v>
      </c>
      <c r="I7730" s="7" t="str">
        <f>HYPERLINK("http://www.informatics.jax.org/marker/MGI:2681861","MGI:2681861")</f>
        <v>MGI:2681861</v>
      </c>
      <c r="J7730" s="4" t="s">
        <v>12</v>
      </c>
    </row>
    <row r="7731" spans="1:10" x14ac:dyDescent="0.25">
      <c r="A7731" s="2">
        <v>63.094513929030001</v>
      </c>
      <c r="B7731" s="3">
        <v>-1.18498447775138</v>
      </c>
      <c r="C7731" s="5">
        <v>1.6274789583714699E-10</v>
      </c>
      <c r="D7731" s="6">
        <v>9.3214885446079994E-10</v>
      </c>
      <c r="E7731" s="3" t="s">
        <v>6904</v>
      </c>
      <c r="F7731" s="3" t="s">
        <v>6905</v>
      </c>
      <c r="G7731" s="3">
        <v>18628</v>
      </c>
      <c r="H7731" s="7" t="str">
        <f>HYPERLINK("http://www.ensembl.org/Mus_musculus/Gene/Summary?db=core;g=ENSMUSG00000028957","ENSMUSG00000028957")</f>
        <v>ENSMUSG00000028957</v>
      </c>
      <c r="I7731" s="7" t="str">
        <f>HYPERLINK("http://www.informatics.jax.org/marker/MGI:1277134","MGI:1277134")</f>
        <v>MGI:1277134</v>
      </c>
      <c r="J7731" s="4" t="s">
        <v>12</v>
      </c>
    </row>
    <row r="7732" spans="1:10" x14ac:dyDescent="0.25">
      <c r="A7732" s="2">
        <v>314.83325896475998</v>
      </c>
      <c r="B7732" s="3">
        <v>-1.18525532335419</v>
      </c>
      <c r="C7732" s="5">
        <v>1.1661714800776201E-30</v>
      </c>
      <c r="D7732" s="6">
        <v>1.75414962525786E-29</v>
      </c>
      <c r="E7732" s="3" t="s">
        <v>2639</v>
      </c>
      <c r="F7732" s="3" t="s">
        <v>2640</v>
      </c>
      <c r="G7732" s="3">
        <v>66049</v>
      </c>
      <c r="H7732" s="7" t="str">
        <f>HYPERLINK("http://www.ensembl.org/Mus_musculus/Gene/Summary?db=core;g=ENSMUSG00000022540","ENSMUSG00000022540")</f>
        <v>ENSMUSG00000022540</v>
      </c>
      <c r="I7732" s="7" t="str">
        <f>HYPERLINK("http://www.informatics.jax.org/marker/MGI:1913299","MGI:1913299")</f>
        <v>MGI:1913299</v>
      </c>
      <c r="J7732" s="4" t="s">
        <v>12</v>
      </c>
    </row>
    <row r="7733" spans="1:10" x14ac:dyDescent="0.25">
      <c r="A7733" s="2">
        <v>1.1464000899003599</v>
      </c>
      <c r="B7733" s="3">
        <v>-1.1854022956535299</v>
      </c>
      <c r="C7733" s="3">
        <v>9.9088928256918906E-3</v>
      </c>
      <c r="D7733" s="4">
        <v>2.4684609212057101E-2</v>
      </c>
      <c r="E7733" s="3" t="s">
        <v>15837</v>
      </c>
      <c r="F7733" s="3" t="s">
        <v>15838</v>
      </c>
      <c r="G7733" s="3" t="s">
        <v>83</v>
      </c>
      <c r="H7733" s="7" t="str">
        <f>HYPERLINK("http://www.ensembl.org/Mus_musculus/Gene/Summary?db=core;g=ENSMUSG00000093562","ENSMUSG00000093562")</f>
        <v>ENSMUSG00000093562</v>
      </c>
      <c r="I7733" s="7" t="str">
        <f>HYPERLINK("http://www.informatics.jax.org/marker/MGI:5452867","MGI:5452867")</f>
        <v>MGI:5452867</v>
      </c>
      <c r="J7733" s="4" t="s">
        <v>11100</v>
      </c>
    </row>
    <row r="7734" spans="1:10" x14ac:dyDescent="0.25">
      <c r="A7734" s="2">
        <v>98.151100413312307</v>
      </c>
      <c r="B7734" s="3">
        <v>-1.18912774130957</v>
      </c>
      <c r="C7734" s="5">
        <v>4.1245638379047498E-16</v>
      </c>
      <c r="D7734" s="6">
        <v>3.34580003634231E-15</v>
      </c>
      <c r="E7734" s="3" t="s">
        <v>4879</v>
      </c>
      <c r="F7734" s="3" t="s">
        <v>4880</v>
      </c>
      <c r="G7734" s="3">
        <v>74470</v>
      </c>
      <c r="H7734" s="7" t="str">
        <f>HYPERLINK("http://www.ensembl.org/Mus_musculus/Gene/Summary?db=core;g=ENSMUSG00000021572","ENSMUSG00000021572")</f>
        <v>ENSMUSG00000021572</v>
      </c>
      <c r="I7734" s="7" t="str">
        <f>HYPERLINK("http://www.informatics.jax.org/marker/MGI:1921720","MGI:1921720")</f>
        <v>MGI:1921720</v>
      </c>
      <c r="J7734" s="4" t="s">
        <v>12</v>
      </c>
    </row>
    <row r="7735" spans="1:10" x14ac:dyDescent="0.25">
      <c r="A7735" s="2">
        <v>4.1022602326319797</v>
      </c>
      <c r="B7735" s="3">
        <v>-1.18955023523728</v>
      </c>
      <c r="C7735" s="3">
        <v>6.9910959493726804E-3</v>
      </c>
      <c r="D7735" s="4">
        <v>1.7941750666531701E-2</v>
      </c>
      <c r="E7735" s="3" t="s">
        <v>15373</v>
      </c>
      <c r="F7735" s="3" t="s">
        <v>15374</v>
      </c>
      <c r="G7735" s="3">
        <v>71837</v>
      </c>
      <c r="H7735" s="7" t="str">
        <f>HYPERLINK("http://www.ensembl.org/Mus_musculus/Gene/Summary?db=core;g=ENSMUSG00000030030","ENSMUSG00000030030")</f>
        <v>ENSMUSG00000030030</v>
      </c>
      <c r="I7735" s="7" t="str">
        <f>HYPERLINK("http://www.informatics.jax.org/marker/MGI:1919087","MGI:1919087")</f>
        <v>MGI:1919087</v>
      </c>
      <c r="J7735" s="4" t="s">
        <v>12</v>
      </c>
    </row>
    <row r="7736" spans="1:10" x14ac:dyDescent="0.25">
      <c r="A7736" s="2">
        <v>1671.3465783888</v>
      </c>
      <c r="B7736" s="3">
        <v>-1.18977884005167</v>
      </c>
      <c r="C7736" s="5">
        <v>1.7130632904175499E-37</v>
      </c>
      <c r="D7736" s="6">
        <v>3.22651462149322E-36</v>
      </c>
      <c r="E7736" s="3" t="s">
        <v>2111</v>
      </c>
      <c r="F7736" s="3" t="s">
        <v>2112</v>
      </c>
      <c r="G7736" s="3">
        <v>17347</v>
      </c>
      <c r="H7736" s="7" t="str">
        <f>HYPERLINK("http://www.ensembl.org/Mus_musculus/Gene/Summary?db=core;g=ENSMUSG00000020190","ENSMUSG00000020190")</f>
        <v>ENSMUSG00000020190</v>
      </c>
      <c r="I7736" s="7" t="str">
        <f>HYPERLINK("http://www.informatics.jax.org/marker/MGI:894279","MGI:894279")</f>
        <v>MGI:894279</v>
      </c>
      <c r="J7736" s="4" t="s">
        <v>12</v>
      </c>
    </row>
    <row r="7737" spans="1:10" x14ac:dyDescent="0.25">
      <c r="A7737" s="2">
        <v>114.21291680502701</v>
      </c>
      <c r="B7737" s="3">
        <v>-1.1930469950203</v>
      </c>
      <c r="C7737" s="5">
        <v>3.0564615368397598E-17</v>
      </c>
      <c r="D7737" s="6">
        <v>2.6435711187052701E-16</v>
      </c>
      <c r="E7737" s="3" t="s">
        <v>4577</v>
      </c>
      <c r="F7737" s="3" t="s">
        <v>4578</v>
      </c>
      <c r="G7737" s="3">
        <v>228662</v>
      </c>
      <c r="H7737" s="7" t="str">
        <f>HYPERLINK("http://www.ensembl.org/Mus_musculus/Gene/Summary?db=core;g=ENSMUSG00000062098","ENSMUSG00000062098")</f>
        <v>ENSMUSG00000062098</v>
      </c>
      <c r="I7737" s="7" t="str">
        <f>HYPERLINK("http://www.informatics.jax.org/marker/MGI:2385155","MGI:2385155")</f>
        <v>MGI:2385155</v>
      </c>
      <c r="J7737" s="4" t="s">
        <v>12</v>
      </c>
    </row>
    <row r="7738" spans="1:10" x14ac:dyDescent="0.25">
      <c r="A7738" s="2">
        <v>72.191104239133693</v>
      </c>
      <c r="B7738" s="3">
        <v>-1.1938219744876399</v>
      </c>
      <c r="C7738" s="5">
        <v>4.2582918191042001E-16</v>
      </c>
      <c r="D7738" s="6">
        <v>3.4528583335828498E-15</v>
      </c>
      <c r="E7738" s="3" t="s">
        <v>4881</v>
      </c>
      <c r="F7738" s="3" t="s">
        <v>4882</v>
      </c>
      <c r="G7738" s="3">
        <v>30951</v>
      </c>
      <c r="H7738" s="7" t="str">
        <f>HYPERLINK("http://www.ensembl.org/Mus_musculus/Gene/Summary?db=core;g=ENSMUSG00000025578","ENSMUSG00000025578")</f>
        <v>ENSMUSG00000025578</v>
      </c>
      <c r="I7738" s="7" t="str">
        <f>HYPERLINK("http://www.informatics.jax.org/marker/MGI:1353589","MGI:1353589")</f>
        <v>MGI:1353589</v>
      </c>
      <c r="J7738" s="4" t="s">
        <v>12</v>
      </c>
    </row>
    <row r="7739" spans="1:10" x14ac:dyDescent="0.25">
      <c r="A7739" s="2">
        <v>1241.0095583009099</v>
      </c>
      <c r="B7739" s="3">
        <v>-1.19421810766061</v>
      </c>
      <c r="C7739" s="5">
        <v>1.75100260077781E-20</v>
      </c>
      <c r="D7739" s="6">
        <v>1.7753095777551899E-19</v>
      </c>
      <c r="E7739" s="3" t="s">
        <v>3908</v>
      </c>
      <c r="F7739" s="3" t="s">
        <v>3909</v>
      </c>
      <c r="G7739" s="3">
        <v>109689</v>
      </c>
      <c r="H7739" s="7" t="str">
        <f>HYPERLINK("http://www.ensembl.org/Mus_musculus/Gene/Summary?db=core;g=ENSMUSG00000018909","ENSMUSG00000018909")</f>
        <v>ENSMUSG00000018909</v>
      </c>
      <c r="I7739" s="7" t="str">
        <f>HYPERLINK("http://www.informatics.jax.org/marker/MGI:99473","MGI:99473")</f>
        <v>MGI:99473</v>
      </c>
      <c r="J7739" s="4" t="s">
        <v>12</v>
      </c>
    </row>
    <row r="7740" spans="1:10" x14ac:dyDescent="0.25">
      <c r="A7740" s="2">
        <v>840.282419755879</v>
      </c>
      <c r="B7740" s="3">
        <v>-1.19635715987556</v>
      </c>
      <c r="C7740" s="5">
        <v>3.4484502878542599E-83</v>
      </c>
      <c r="D7740" s="6">
        <v>2.1184872173360101E-81</v>
      </c>
      <c r="E7740" s="3" t="s">
        <v>654</v>
      </c>
      <c r="F7740" s="3" t="s">
        <v>655</v>
      </c>
      <c r="G7740" s="3">
        <v>26385</v>
      </c>
      <c r="H7740" s="7" t="str">
        <f>HYPERLINK("http://www.ensembl.org/Mus_musculus/Gene/Summary?db=core;g=ENSMUSG00000074886","ENSMUSG00000074886")</f>
        <v>ENSMUSG00000074886</v>
      </c>
      <c r="I7740" s="7" t="str">
        <f>HYPERLINK("http://www.informatics.jax.org/marker/MGI:1347078","MGI:1347078")</f>
        <v>MGI:1347078</v>
      </c>
      <c r="J7740" s="4" t="s">
        <v>12</v>
      </c>
    </row>
    <row r="7741" spans="1:10" x14ac:dyDescent="0.25">
      <c r="A7741" s="2">
        <v>115.68527364967601</v>
      </c>
      <c r="B7741" s="3">
        <v>-1.1964593573606901</v>
      </c>
      <c r="C7741" s="5">
        <v>5.2241384597795703E-18</v>
      </c>
      <c r="D7741" s="6">
        <v>4.7213570314781502E-17</v>
      </c>
      <c r="E7741" s="3" t="s">
        <v>4381</v>
      </c>
      <c r="F7741" s="3" t="s">
        <v>4382</v>
      </c>
      <c r="G7741" s="3">
        <v>67157</v>
      </c>
      <c r="H7741" s="7" t="str">
        <f>HYPERLINK("http://www.ensembl.org/Mus_musculus/Gene/Summary?db=core;g=ENSMUSG00000059482","ENSMUSG00000059482")</f>
        <v>ENSMUSG00000059482</v>
      </c>
      <c r="I7741" s="7" t="str">
        <f>HYPERLINK("http://www.informatics.jax.org/marker/MGI:1914407","MGI:1914407")</f>
        <v>MGI:1914407</v>
      </c>
      <c r="J7741" s="4" t="s">
        <v>12</v>
      </c>
    </row>
    <row r="7742" spans="1:10" x14ac:dyDescent="0.25">
      <c r="A7742" s="2">
        <v>877.116435341326</v>
      </c>
      <c r="B7742" s="3">
        <v>-1.1975799400625899</v>
      </c>
      <c r="C7742" s="5">
        <v>1.5930254002467699E-46</v>
      </c>
      <c r="D7742" s="6">
        <v>3.92190523007071E-45</v>
      </c>
      <c r="E7742" s="3" t="s">
        <v>1618</v>
      </c>
      <c r="F7742" s="3" t="s">
        <v>1619</v>
      </c>
      <c r="G7742" s="3">
        <v>68964</v>
      </c>
      <c r="H7742" s="7" t="str">
        <f>HYPERLINK("http://www.ensembl.org/Mus_musculus/Gene/Summary?db=core;g=ENSMUSG00000020898","ENSMUSG00000020898")</f>
        <v>ENSMUSG00000020898</v>
      </c>
      <c r="I7742" s="7" t="str">
        <f>HYPERLINK("http://www.informatics.jax.org/marker/MGI:1916214","MGI:1916214")</f>
        <v>MGI:1916214</v>
      </c>
      <c r="J7742" s="4" t="s">
        <v>12</v>
      </c>
    </row>
    <row r="7743" spans="1:10" x14ac:dyDescent="0.25">
      <c r="A7743" s="2">
        <v>79.653528751611702</v>
      </c>
      <c r="B7743" s="3">
        <v>-1.1981671639570499</v>
      </c>
      <c r="C7743" s="5">
        <v>3.01430429427021E-18</v>
      </c>
      <c r="D7743" s="6">
        <v>2.75577564594384E-17</v>
      </c>
      <c r="E7743" s="3" t="s">
        <v>4331</v>
      </c>
      <c r="F7743" s="3" t="s">
        <v>4332</v>
      </c>
      <c r="G7743" s="3">
        <v>73739</v>
      </c>
      <c r="H7743" s="7" t="str">
        <f>HYPERLINK("http://www.ensembl.org/Mus_musculus/Gene/Summary?db=core;g=ENSMUSG00000022428","ENSMUSG00000022428")</f>
        <v>ENSMUSG00000022428</v>
      </c>
      <c r="I7743" s="7" t="str">
        <f>HYPERLINK("http://www.informatics.jax.org/marker/MGI:1920989","MGI:1920989")</f>
        <v>MGI:1920989</v>
      </c>
      <c r="J7743" s="4" t="s">
        <v>12</v>
      </c>
    </row>
    <row r="7744" spans="1:10" x14ac:dyDescent="0.25">
      <c r="A7744" s="2">
        <v>4.7785359459752899</v>
      </c>
      <c r="B7744" s="3">
        <v>-1.19844729344459</v>
      </c>
      <c r="C7744" s="3">
        <v>4.3458490226439004E-3</v>
      </c>
      <c r="D7744" s="4">
        <v>1.1625087184825999E-2</v>
      </c>
      <c r="E7744" s="3" t="s">
        <v>14748</v>
      </c>
      <c r="F7744" s="3" t="s">
        <v>14749</v>
      </c>
      <c r="G7744" s="3" t="s">
        <v>83</v>
      </c>
      <c r="H7744" s="7" t="str">
        <f>HYPERLINK("http://www.ensembl.org/Mus_musculus/Gene/Summary?db=core;g=ENSMUSG00000087589","ENSMUSG00000087589")</f>
        <v>ENSMUSG00000087589</v>
      </c>
      <c r="I7744" s="7" t="str">
        <f>HYPERLINK("http://www.informatics.jax.org/marker/MGI:2442526","MGI:2442526")</f>
        <v>MGI:2442526</v>
      </c>
      <c r="J7744" s="4" t="s">
        <v>331</v>
      </c>
    </row>
    <row r="7745" spans="1:10" x14ac:dyDescent="0.25">
      <c r="A7745" s="2">
        <v>11.572533619298699</v>
      </c>
      <c r="B7745" s="3">
        <v>-1.19860312977356</v>
      </c>
      <c r="C7745" s="3">
        <v>2.5456308135605001E-4</v>
      </c>
      <c r="D7745" s="4">
        <v>8.1546198251158301E-4</v>
      </c>
      <c r="E7745" s="3" t="s">
        <v>12323</v>
      </c>
      <c r="F7745" s="3" t="s">
        <v>12324</v>
      </c>
      <c r="G7745" s="3">
        <v>18132</v>
      </c>
      <c r="H7745" s="7" t="str">
        <f>HYPERLINK("http://www.ensembl.org/Mus_musculus/Gene/Summary?db=core;g=ENSMUSG00000015468","ENSMUSG00000015468")</f>
        <v>ENSMUSG00000015468</v>
      </c>
      <c r="I7745" s="7" t="str">
        <f>HYPERLINK("http://www.informatics.jax.org/marker/MGI:107471","MGI:107471")</f>
        <v>MGI:107471</v>
      </c>
      <c r="J7745" s="4" t="s">
        <v>12</v>
      </c>
    </row>
    <row r="7746" spans="1:10" x14ac:dyDescent="0.25">
      <c r="A7746" s="2">
        <v>1.19076219442631</v>
      </c>
      <c r="B7746" s="3">
        <v>-1.1986196159541</v>
      </c>
      <c r="C7746" s="3">
        <v>9.1621610063231697E-3</v>
      </c>
      <c r="D7746" s="4">
        <v>2.2960708481979002E-2</v>
      </c>
      <c r="E7746" s="3" t="s">
        <v>15743</v>
      </c>
      <c r="F7746" s="3" t="s">
        <v>15744</v>
      </c>
      <c r="G7746" s="3">
        <v>269642</v>
      </c>
      <c r="H7746" s="7" t="str">
        <f>HYPERLINK("http://www.ensembl.org/Mus_musculus/Gene/Summary?db=core;g=ENSMUSG00000048142","ENSMUSG00000048142")</f>
        <v>ENSMUSG00000048142</v>
      </c>
      <c r="I7746" s="7" t="str">
        <f>HYPERLINK("http://www.informatics.jax.org/marker/MGI:2447776","MGI:2447776")</f>
        <v>MGI:2447776</v>
      </c>
      <c r="J7746" s="4" t="s">
        <v>12</v>
      </c>
    </row>
    <row r="7747" spans="1:10" x14ac:dyDescent="0.25">
      <c r="A7747" s="2">
        <v>5.8198563811532704</v>
      </c>
      <c r="B7747" s="3">
        <v>-1.1990480249898701</v>
      </c>
      <c r="C7747" s="3">
        <v>4.38696389771954E-3</v>
      </c>
      <c r="D7747" s="4">
        <v>1.17191720486358E-2</v>
      </c>
      <c r="E7747" s="3" t="s">
        <v>14768</v>
      </c>
      <c r="F7747" s="3" t="s">
        <v>14769</v>
      </c>
      <c r="G7747" s="3" t="s">
        <v>83</v>
      </c>
      <c r="H7747" s="7" t="str">
        <f>HYPERLINK("http://www.ensembl.org/Mus_musculus/Gene/Summary?db=core;g=ENSMUSG00000052563","ENSMUSG00000052563")</f>
        <v>ENSMUSG00000052563</v>
      </c>
      <c r="I7747" s="7" t="str">
        <f>HYPERLINK("http://www.informatics.jax.org/marker/MGI:2144709","MGI:2144709")</f>
        <v>MGI:2144709</v>
      </c>
      <c r="J7747" s="4" t="s">
        <v>12</v>
      </c>
    </row>
    <row r="7748" spans="1:10" x14ac:dyDescent="0.25">
      <c r="A7748" s="2">
        <v>242.13325310615599</v>
      </c>
      <c r="B7748" s="3">
        <v>-1.19979712082449</v>
      </c>
      <c r="C7748" s="5">
        <v>2.4299724928018599E-47</v>
      </c>
      <c r="D7748" s="6">
        <v>6.1356027603140403E-46</v>
      </c>
      <c r="E7748" s="3" t="s">
        <v>1578</v>
      </c>
      <c r="F7748" s="3" t="s">
        <v>1579</v>
      </c>
      <c r="G7748" s="3">
        <v>11992</v>
      </c>
      <c r="H7748" s="7" t="str">
        <f>HYPERLINK("http://www.ensembl.org/Mus_musculus/Gene/Summary?db=core;g=ENSMUSG00000021460","ENSMUSG00000021460")</f>
        <v>ENSMUSG00000021460</v>
      </c>
      <c r="I7748" s="7" t="str">
        <f>HYPERLINK("http://www.informatics.jax.org/marker/MGI:1338011","MGI:1338011")</f>
        <v>MGI:1338011</v>
      </c>
      <c r="J7748" s="4" t="s">
        <v>12</v>
      </c>
    </row>
    <row r="7749" spans="1:10" x14ac:dyDescent="0.25">
      <c r="A7749" s="2">
        <v>8.9350672102439805</v>
      </c>
      <c r="B7749" s="3">
        <v>-1.19997788154715</v>
      </c>
      <c r="C7749" s="3">
        <v>9.6542156002934196E-4</v>
      </c>
      <c r="D7749" s="4">
        <v>2.85215178483575E-3</v>
      </c>
      <c r="E7749" s="3" t="s">
        <v>13359</v>
      </c>
      <c r="F7749" s="3" t="s">
        <v>13360</v>
      </c>
      <c r="G7749" s="3">
        <v>192188</v>
      </c>
      <c r="H7749" s="7" t="str">
        <f>HYPERLINK("http://www.ensembl.org/Mus_musculus/Gene/Summary?db=core;g=ENSMUSG00000035459","ENSMUSG00000035459")</f>
        <v>ENSMUSG00000035459</v>
      </c>
      <c r="I7749" s="7" t="str">
        <f>HYPERLINK("http://www.informatics.jax.org/marker/MGI:2178743","MGI:2178743")</f>
        <v>MGI:2178743</v>
      </c>
      <c r="J7749" s="4" t="s">
        <v>12</v>
      </c>
    </row>
    <row r="7750" spans="1:10" x14ac:dyDescent="0.25">
      <c r="A7750" s="2">
        <v>45.106954115721898</v>
      </c>
      <c r="B7750" s="3">
        <v>-1.2003928940209201</v>
      </c>
      <c r="C7750" s="5">
        <v>4.8764039617164604E-7</v>
      </c>
      <c r="D7750" s="6">
        <v>2.0818940490376399E-6</v>
      </c>
      <c r="E7750" s="3" t="s">
        <v>9253</v>
      </c>
      <c r="F7750" s="3" t="s">
        <v>9254</v>
      </c>
      <c r="G7750" s="3">
        <v>11636</v>
      </c>
      <c r="H7750" s="7" t="str">
        <f>HYPERLINK("http://www.ensembl.org/Mus_musculus/Gene/Summary?db=core;g=ENSMUSG00000026817","ENSMUSG00000026817")</f>
        <v>ENSMUSG00000026817</v>
      </c>
      <c r="I7750" s="7" t="str">
        <f>HYPERLINK("http://www.informatics.jax.org/marker/MGI:87977","MGI:87977")</f>
        <v>MGI:87977</v>
      </c>
      <c r="J7750" s="4" t="s">
        <v>12</v>
      </c>
    </row>
    <row r="7751" spans="1:10" x14ac:dyDescent="0.25">
      <c r="A7751" s="2">
        <v>2.3592641131601302</v>
      </c>
      <c r="B7751" s="3">
        <v>-1.2012491696422001</v>
      </c>
      <c r="C7751" s="3">
        <v>9.3744341373066392E-3</v>
      </c>
      <c r="D7751" s="4">
        <v>2.3447975797525E-2</v>
      </c>
      <c r="E7751" s="3" t="s">
        <v>15773</v>
      </c>
      <c r="F7751" s="3" t="s">
        <v>15774</v>
      </c>
      <c r="G7751" s="3" t="s">
        <v>83</v>
      </c>
      <c r="H7751" s="7" t="str">
        <f>HYPERLINK("http://www.ensembl.org/Mus_musculus/Gene/Summary?db=core;g=ENSMUSG00000102493","ENSMUSG00000102493")</f>
        <v>ENSMUSG00000102493</v>
      </c>
      <c r="I7751" s="7" t="str">
        <f>HYPERLINK("http://www.informatics.jax.org/marker/MGI:3648648","MGI:3648648")</f>
        <v>MGI:3648648</v>
      </c>
      <c r="J7751" s="4" t="s">
        <v>2683</v>
      </c>
    </row>
    <row r="7752" spans="1:10" x14ac:dyDescent="0.25">
      <c r="A7752" s="2">
        <v>352.39595100157999</v>
      </c>
      <c r="B7752" s="3">
        <v>-1.20142291813035</v>
      </c>
      <c r="C7752" s="5">
        <v>7.2699680903046802E-38</v>
      </c>
      <c r="D7752" s="6">
        <v>1.3798245499596601E-36</v>
      </c>
      <c r="E7752" s="3" t="s">
        <v>2095</v>
      </c>
      <c r="F7752" s="3" t="s">
        <v>2096</v>
      </c>
      <c r="G7752" s="3">
        <v>102448</v>
      </c>
      <c r="H7752" s="7" t="str">
        <f>HYPERLINK("http://www.ensembl.org/Mus_musculus/Gene/Summary?db=core;g=ENSMUSG00000035769","ENSMUSG00000035769")</f>
        <v>ENSMUSG00000035769</v>
      </c>
      <c r="I7752" s="7" t="str">
        <f>HYPERLINK("http://www.informatics.jax.org/marker/MGI:2142985","MGI:2142985")</f>
        <v>MGI:2142985</v>
      </c>
      <c r="J7752" s="4" t="s">
        <v>12</v>
      </c>
    </row>
    <row r="7753" spans="1:10" x14ac:dyDescent="0.25">
      <c r="A7753" s="2">
        <v>3.7900633578509999</v>
      </c>
      <c r="B7753" s="3">
        <v>-1.2015463502424799</v>
      </c>
      <c r="C7753" s="3">
        <v>6.7211143318074897E-3</v>
      </c>
      <c r="D7753" s="4">
        <v>1.72938902170203E-2</v>
      </c>
      <c r="E7753" s="3" t="s">
        <v>15333</v>
      </c>
      <c r="F7753" s="3" t="s">
        <v>15334</v>
      </c>
      <c r="G7753" s="3">
        <v>73102</v>
      </c>
      <c r="H7753" s="7" t="str">
        <f>HYPERLINK("http://www.ensembl.org/Mus_musculus/Gene/Summary?db=core;g=ENSMUSG00000038267","ENSMUSG00000038267")</f>
        <v>ENSMUSG00000038267</v>
      </c>
      <c r="I7753" s="7" t="str">
        <f>HYPERLINK("http://www.informatics.jax.org/marker/MGI:1920352","MGI:1920352")</f>
        <v>MGI:1920352</v>
      </c>
      <c r="J7753" s="4" t="s">
        <v>12</v>
      </c>
    </row>
    <row r="7754" spans="1:10" x14ac:dyDescent="0.25">
      <c r="A7754" s="2">
        <v>142.75858935961099</v>
      </c>
      <c r="B7754" s="3">
        <v>-1.2015491998999099</v>
      </c>
      <c r="C7754" s="5">
        <v>2.5333667113600499E-25</v>
      </c>
      <c r="D7754" s="6">
        <v>3.1204242066221199E-24</v>
      </c>
      <c r="E7754" s="3" t="s">
        <v>3222</v>
      </c>
      <c r="F7754" s="3" t="s">
        <v>3223</v>
      </c>
      <c r="G7754" s="3">
        <v>17268</v>
      </c>
      <c r="H7754" s="7" t="str">
        <f>HYPERLINK("http://www.ensembl.org/Mus_musculus/Gene/Summary?db=core;g=ENSMUSG00000020160","ENSMUSG00000020160")</f>
        <v>ENSMUSG00000020160</v>
      </c>
      <c r="I7754" s="7" t="str">
        <f>HYPERLINK("http://www.informatics.jax.org/marker/MGI:104717","MGI:104717")</f>
        <v>MGI:104717</v>
      </c>
      <c r="J7754" s="4" t="s">
        <v>12</v>
      </c>
    </row>
    <row r="7755" spans="1:10" x14ac:dyDescent="0.25">
      <c r="A7755" s="2">
        <v>324.98311180640798</v>
      </c>
      <c r="B7755" s="3">
        <v>-1.20205919918343</v>
      </c>
      <c r="C7755" s="5">
        <v>1.12484300267879E-20</v>
      </c>
      <c r="D7755" s="6">
        <v>1.15170841188088E-19</v>
      </c>
      <c r="E7755" s="3" t="s">
        <v>3870</v>
      </c>
      <c r="F7755" s="3" t="s">
        <v>3871</v>
      </c>
      <c r="G7755" s="3">
        <v>277973</v>
      </c>
      <c r="H7755" s="7" t="str">
        <f>HYPERLINK("http://www.ensembl.org/Mus_musculus/Gene/Summary?db=core;g=ENSMUSG00000014786","ENSMUSG00000014786")</f>
        <v>ENSMUSG00000014786</v>
      </c>
      <c r="I7755" s="7" t="str">
        <f>HYPERLINK("http://www.informatics.jax.org/marker/MGI:2685542","MGI:2685542")</f>
        <v>MGI:2685542</v>
      </c>
      <c r="J7755" s="4" t="s">
        <v>12</v>
      </c>
    </row>
    <row r="7756" spans="1:10" x14ac:dyDescent="0.25">
      <c r="A7756" s="2">
        <v>1078.91199745418</v>
      </c>
      <c r="B7756" s="3">
        <v>-1.20389284336386</v>
      </c>
      <c r="C7756" s="5">
        <v>9.6020064956529203E-15</v>
      </c>
      <c r="D7756" s="6">
        <v>7.2827526190105994E-14</v>
      </c>
      <c r="E7756" s="3" t="s">
        <v>5217</v>
      </c>
      <c r="F7756" s="3" t="s">
        <v>5218</v>
      </c>
      <c r="G7756" s="3">
        <v>14131</v>
      </c>
      <c r="H7756" s="7" t="str">
        <f>HYPERLINK("http://www.ensembl.org/Mus_musculus/Gene/Summary?db=core;g=ENSMUSG00000059498","ENSMUSG00000059498")</f>
        <v>ENSMUSG00000059498</v>
      </c>
      <c r="I7756" s="7" t="str">
        <f>HYPERLINK("http://www.informatics.jax.org/marker/MGI:95500","MGI:95500")</f>
        <v>MGI:95500</v>
      </c>
      <c r="J7756" s="4" t="s">
        <v>12</v>
      </c>
    </row>
    <row r="7757" spans="1:10" x14ac:dyDescent="0.25">
      <c r="A7757" s="2">
        <v>2094.3736059468001</v>
      </c>
      <c r="B7757" s="3">
        <v>-1.20455821623015</v>
      </c>
      <c r="C7757" s="5">
        <v>6.0188272276136897E-42</v>
      </c>
      <c r="D7757" s="6">
        <v>1.2915263648372299E-40</v>
      </c>
      <c r="E7757" s="3" t="s">
        <v>1855</v>
      </c>
      <c r="F7757" s="3" t="s">
        <v>1856</v>
      </c>
      <c r="G7757" s="3">
        <v>11513</v>
      </c>
      <c r="H7757" s="7" t="str">
        <f>HYPERLINK("http://www.ensembl.org/Mus_musculus/Gene/Summary?db=core;g=ENSMUSG00000031659","ENSMUSG00000031659")</f>
        <v>ENSMUSG00000031659</v>
      </c>
      <c r="I7757" s="7" t="str">
        <f>HYPERLINK("http://www.informatics.jax.org/marker/MGI:102891","MGI:102891")</f>
        <v>MGI:102891</v>
      </c>
      <c r="J7757" s="4" t="s">
        <v>12</v>
      </c>
    </row>
    <row r="7758" spans="1:10" x14ac:dyDescent="0.25">
      <c r="A7758" s="2">
        <v>2.2484410904840302</v>
      </c>
      <c r="B7758" s="3">
        <v>-1.20539898192631</v>
      </c>
      <c r="C7758" s="3">
        <v>9.2513058543392101E-3</v>
      </c>
      <c r="D7758" s="4">
        <v>2.3166444628262801E-2</v>
      </c>
      <c r="E7758" s="3" t="s">
        <v>15755</v>
      </c>
      <c r="F7758" s="3" t="s">
        <v>15756</v>
      </c>
      <c r="G7758" s="3" t="s">
        <v>83</v>
      </c>
      <c r="H7758" s="7" t="str">
        <f>HYPERLINK("http://www.ensembl.org/Mus_musculus/Gene/Summary?db=core;g=ENSMUSG00000102664","ENSMUSG00000102664")</f>
        <v>ENSMUSG00000102664</v>
      </c>
      <c r="I7758" s="7" t="str">
        <f>HYPERLINK("http://www.informatics.jax.org/marker/MGI:5611608","MGI:5611608")</f>
        <v>MGI:5611608</v>
      </c>
      <c r="J7758" s="4" t="s">
        <v>1828</v>
      </c>
    </row>
    <row r="7759" spans="1:10" x14ac:dyDescent="0.25">
      <c r="A7759" s="2">
        <v>514.11709273142606</v>
      </c>
      <c r="B7759" s="3">
        <v>-1.20552857172577</v>
      </c>
      <c r="C7759" s="5">
        <v>7.6629441794746502E-36</v>
      </c>
      <c r="D7759" s="6">
        <v>1.3675408074139401E-34</v>
      </c>
      <c r="E7759" s="3" t="s">
        <v>2227</v>
      </c>
      <c r="F7759" s="3" t="s">
        <v>2228</v>
      </c>
      <c r="G7759" s="3">
        <v>67849</v>
      </c>
      <c r="H7759" s="7" t="str">
        <f>HYPERLINK("http://www.ensembl.org/Mus_musculus/Gene/Summary?db=core;g=ENSMUSG00000024791","ENSMUSG00000024791")</f>
        <v>ENSMUSG00000024791</v>
      </c>
      <c r="I7759" s="7" t="str">
        <f>HYPERLINK("http://www.informatics.jax.org/marker/MGI:1915099","MGI:1915099")</f>
        <v>MGI:1915099</v>
      </c>
      <c r="J7759" s="4" t="s">
        <v>12</v>
      </c>
    </row>
    <row r="7760" spans="1:10" x14ac:dyDescent="0.25">
      <c r="A7760" s="2">
        <v>7.8882584665441504</v>
      </c>
      <c r="B7760" s="3">
        <v>-1.2059457823547599</v>
      </c>
      <c r="C7760" s="3">
        <v>1.4668333020067799E-3</v>
      </c>
      <c r="D7760" s="4">
        <v>4.2227584239198299E-3</v>
      </c>
      <c r="E7760" s="3" t="s">
        <v>13711</v>
      </c>
      <c r="F7760" s="3" t="s">
        <v>13712</v>
      </c>
      <c r="G7760" s="3" t="s">
        <v>83</v>
      </c>
      <c r="H7760" s="7" t="str">
        <f>HYPERLINK("http://www.ensembl.org/Mus_musculus/Gene/Summary?db=core;g=ENSMUSG00000087179","ENSMUSG00000087179")</f>
        <v>ENSMUSG00000087179</v>
      </c>
      <c r="I7760" s="7" t="str">
        <f>HYPERLINK("http://www.informatics.jax.org/marker/MGI:3652157","MGI:3652157")</f>
        <v>MGI:3652157</v>
      </c>
      <c r="J7760" s="4" t="s">
        <v>939</v>
      </c>
    </row>
    <row r="7761" spans="1:10" x14ac:dyDescent="0.25">
      <c r="A7761" s="2">
        <v>11.800581525224599</v>
      </c>
      <c r="B7761" s="3">
        <v>-1.2068024615473301</v>
      </c>
      <c r="C7761" s="3">
        <v>1.04962816494397E-4</v>
      </c>
      <c r="D7761" s="4">
        <v>3.5327986708815699E-4</v>
      </c>
      <c r="E7761" s="3" t="s">
        <v>11729</v>
      </c>
      <c r="F7761" s="3" t="s">
        <v>11730</v>
      </c>
      <c r="G7761" s="3">
        <v>80981</v>
      </c>
      <c r="H7761" s="7" t="str">
        <f>HYPERLINK("http://www.ensembl.org/Mus_musculus/Gene/Summary?db=core;g=ENSMUSG00000034936","ENSMUSG00000034936")</f>
        <v>ENSMUSG00000034936</v>
      </c>
      <c r="I7761" s="7" t="str">
        <f>HYPERLINK("http://www.informatics.jax.org/marker/MGI:1933155","MGI:1933155")</f>
        <v>MGI:1933155</v>
      </c>
      <c r="J7761" s="4" t="s">
        <v>12</v>
      </c>
    </row>
    <row r="7762" spans="1:10" x14ac:dyDescent="0.25">
      <c r="A7762" s="2">
        <v>6.9287264261393497</v>
      </c>
      <c r="B7762" s="3">
        <v>-1.2072850624036999</v>
      </c>
      <c r="C7762" s="3">
        <v>2.3956534961596301E-3</v>
      </c>
      <c r="D7762" s="4">
        <v>6.6823880973819602E-3</v>
      </c>
      <c r="E7762" s="3" t="s">
        <v>14147</v>
      </c>
      <c r="F7762" s="3" t="s">
        <v>14148</v>
      </c>
      <c r="G7762" s="3">
        <v>74134</v>
      </c>
      <c r="H7762" s="7" t="str">
        <f>HYPERLINK("http://www.ensembl.org/Mus_musculus/Gene/Summary?db=core;g=ENSMUSG00000040703","ENSMUSG00000040703")</f>
        <v>ENSMUSG00000040703</v>
      </c>
      <c r="I7762" s="7" t="str">
        <f>HYPERLINK("http://www.informatics.jax.org/marker/MGI:1921384","MGI:1921384")</f>
        <v>MGI:1921384</v>
      </c>
      <c r="J7762" s="4" t="s">
        <v>12</v>
      </c>
    </row>
    <row r="7763" spans="1:10" x14ac:dyDescent="0.25">
      <c r="A7763" s="2">
        <v>1.9833361476978599</v>
      </c>
      <c r="B7763" s="3">
        <v>-1.20832300725382</v>
      </c>
      <c r="C7763" s="3">
        <v>1.01665768881138E-2</v>
      </c>
      <c r="D7763" s="4">
        <v>2.5285016551091499E-2</v>
      </c>
      <c r="E7763" s="3" t="s">
        <v>15863</v>
      </c>
      <c r="F7763" s="3" t="s">
        <v>15864</v>
      </c>
      <c r="G7763" s="3">
        <v>68891</v>
      </c>
      <c r="H7763" s="7" t="str">
        <f>HYPERLINK("http://www.ensembl.org/Mus_musculus/Gene/Summary?db=core;g=ENSMUSG00000052212","ENSMUSG00000052212")</f>
        <v>ENSMUSG00000052212</v>
      </c>
      <c r="I7763" s="7" t="str">
        <f>HYPERLINK("http://www.informatics.jax.org/marker/MGI:1916141","MGI:1916141")</f>
        <v>MGI:1916141</v>
      </c>
      <c r="J7763" s="4" t="s">
        <v>12</v>
      </c>
    </row>
    <row r="7764" spans="1:10" x14ac:dyDescent="0.25">
      <c r="A7764" s="2">
        <v>710.90472680589198</v>
      </c>
      <c r="B7764" s="3">
        <v>-1.2087876428122899</v>
      </c>
      <c r="C7764" s="5">
        <v>2.31361488036646E-55</v>
      </c>
      <c r="D7764" s="6">
        <v>7.1849583371380296E-54</v>
      </c>
      <c r="E7764" s="3" t="s">
        <v>1286</v>
      </c>
      <c r="F7764" s="3" t="s">
        <v>1287</v>
      </c>
      <c r="G7764" s="3">
        <v>57266</v>
      </c>
      <c r="H7764" s="7" t="str">
        <f>HYPERLINK("http://www.ensembl.org/Mus_musculus/Gene/Summary?db=core;g=ENSMUSG00000021508","ENSMUSG00000021508")</f>
        <v>ENSMUSG00000021508</v>
      </c>
      <c r="I7764" s="7" t="str">
        <f>HYPERLINK("http://www.informatics.jax.org/marker/MGI:1888514","MGI:1888514")</f>
        <v>MGI:1888514</v>
      </c>
      <c r="J7764" s="4" t="s">
        <v>12</v>
      </c>
    </row>
    <row r="7765" spans="1:10" x14ac:dyDescent="0.25">
      <c r="A7765" s="2">
        <v>562.28160954502096</v>
      </c>
      <c r="B7765" s="3">
        <v>-1.20991227046179</v>
      </c>
      <c r="C7765" s="5">
        <v>2.2749910445637401E-21</v>
      </c>
      <c r="D7765" s="6">
        <v>2.39140849673758E-20</v>
      </c>
      <c r="E7765" s="3" t="s">
        <v>3770</v>
      </c>
      <c r="F7765" s="3" t="s">
        <v>3771</v>
      </c>
      <c r="G7765" s="3">
        <v>14958</v>
      </c>
      <c r="H7765" s="7" t="str">
        <f>HYPERLINK("http://www.ensembl.org/Mus_musculus/Gene/Summary?db=core;g=ENSMUSG00000096210","ENSMUSG00000096210")</f>
        <v>ENSMUSG00000096210</v>
      </c>
      <c r="I7765" s="7" t="str">
        <f>HYPERLINK("http://www.informatics.jax.org/marker/MGI:95893","MGI:95893")</f>
        <v>MGI:95893</v>
      </c>
      <c r="J7765" s="4" t="s">
        <v>12</v>
      </c>
    </row>
    <row r="7766" spans="1:10" x14ac:dyDescent="0.25">
      <c r="A7766" s="2">
        <v>2.0172404805496198</v>
      </c>
      <c r="B7766" s="3">
        <v>-1.2101593811981399</v>
      </c>
      <c r="C7766" s="3">
        <v>1.0086869082029701E-2</v>
      </c>
      <c r="D7766" s="4">
        <v>2.5099439532823498E-2</v>
      </c>
      <c r="E7766" s="3" t="s">
        <v>15855</v>
      </c>
      <c r="F7766" s="3" t="s">
        <v>15856</v>
      </c>
      <c r="G7766" s="3" t="s">
        <v>83</v>
      </c>
      <c r="H7766" s="7" t="str">
        <f>HYPERLINK("http://www.ensembl.org/Mus_musculus/Gene/Summary?db=core;g=ENSMUSG00000111617","ENSMUSG00000111617")</f>
        <v>ENSMUSG00000111617</v>
      </c>
      <c r="I7766" s="7" t="str">
        <f>HYPERLINK("http://www.informatics.jax.org/marker/MGI:6095912","MGI:6095912")</f>
        <v>MGI:6095912</v>
      </c>
      <c r="J7766" s="4" t="s">
        <v>1828</v>
      </c>
    </row>
    <row r="7767" spans="1:10" x14ac:dyDescent="0.25">
      <c r="A7767" s="2">
        <v>620.89905391795298</v>
      </c>
      <c r="B7767" s="3">
        <v>-1.2116294415243201</v>
      </c>
      <c r="C7767" s="5">
        <v>2.5173040249223403E-38</v>
      </c>
      <c r="D7767" s="6">
        <v>4.8383270342561998E-37</v>
      </c>
      <c r="E7767" s="3" t="s">
        <v>2069</v>
      </c>
      <c r="F7767" s="3" t="s">
        <v>2070</v>
      </c>
      <c r="G7767" s="3">
        <v>263406</v>
      </c>
      <c r="H7767" s="7" t="str">
        <f>HYPERLINK("http://www.ensembl.org/Mus_musculus/Gene/Summary?db=core;g=ENSMUSG00000052609","ENSMUSG00000052609")</f>
        <v>ENSMUSG00000052609</v>
      </c>
      <c r="I7767" s="7" t="str">
        <f>HYPERLINK("http://www.informatics.jax.org/marker/MGI:2388284","MGI:2388284")</f>
        <v>MGI:2388284</v>
      </c>
      <c r="J7767" s="4" t="s">
        <v>12</v>
      </c>
    </row>
    <row r="7768" spans="1:10" x14ac:dyDescent="0.25">
      <c r="A7768" s="2">
        <v>124.414008143255</v>
      </c>
      <c r="B7768" s="3">
        <v>-1.21170396846911</v>
      </c>
      <c r="C7768" s="5">
        <v>2.31842996795329E-17</v>
      </c>
      <c r="D7768" s="6">
        <v>2.0176274919699499E-16</v>
      </c>
      <c r="E7768" s="3" t="s">
        <v>4549</v>
      </c>
      <c r="F7768" s="3" t="s">
        <v>4550</v>
      </c>
      <c r="G7768" s="3">
        <v>382913</v>
      </c>
      <c r="H7768" s="7" t="str">
        <f>HYPERLINK("http://www.ensembl.org/Mus_musculus/Gene/Summary?db=core;g=ENSMUSG00000035121","ENSMUSG00000035121")</f>
        <v>ENSMUSG00000035121</v>
      </c>
      <c r="I7768" s="7" t="str">
        <f>HYPERLINK("http://www.informatics.jax.org/marker/MGI:2686058","MGI:2686058")</f>
        <v>MGI:2686058</v>
      </c>
      <c r="J7768" s="4" t="s">
        <v>12</v>
      </c>
    </row>
    <row r="7769" spans="1:10" x14ac:dyDescent="0.25">
      <c r="A7769" s="2">
        <v>609.63378029770001</v>
      </c>
      <c r="B7769" s="3">
        <v>-1.21226907725972</v>
      </c>
      <c r="C7769" s="5">
        <v>1.44118954718318E-46</v>
      </c>
      <c r="D7769" s="6">
        <v>3.5525322338065298E-45</v>
      </c>
      <c r="E7769" s="3" t="s">
        <v>1616</v>
      </c>
      <c r="F7769" s="3" t="s">
        <v>1617</v>
      </c>
      <c r="G7769" s="3">
        <v>108671</v>
      </c>
      <c r="H7769" s="7" t="str">
        <f>HYPERLINK("http://www.ensembl.org/Mus_musculus/Gene/Summary?db=core;g=ENSMUSG00000021811","ENSMUSG00000021811")</f>
        <v>ENSMUSG00000021811</v>
      </c>
      <c r="I7769" s="7" t="str">
        <f>HYPERLINK("http://www.informatics.jax.org/marker/MGI:1915326","MGI:1915326")</f>
        <v>MGI:1915326</v>
      </c>
      <c r="J7769" s="4" t="s">
        <v>12</v>
      </c>
    </row>
    <row r="7770" spans="1:10" x14ac:dyDescent="0.25">
      <c r="A7770" s="2">
        <v>3.5535151539591499</v>
      </c>
      <c r="B7770" s="3">
        <v>-1.21241673232094</v>
      </c>
      <c r="C7770" s="3">
        <v>6.4488411724943802E-3</v>
      </c>
      <c r="D7770" s="4">
        <v>1.66716240065009E-2</v>
      </c>
      <c r="E7770" s="3" t="s">
        <v>15261</v>
      </c>
      <c r="F7770" s="3" t="s">
        <v>15262</v>
      </c>
      <c r="G7770" s="3">
        <v>213573</v>
      </c>
      <c r="H7770" s="7" t="str">
        <f>HYPERLINK("http://www.ensembl.org/Mus_musculus/Gene/Summary?db=core;g=ENSMUSG00000048200","ENSMUSG00000048200")</f>
        <v>ENSMUSG00000048200</v>
      </c>
      <c r="I7770" s="7" t="str">
        <f>HYPERLINK("http://www.informatics.jax.org/marker/MGI:2446129","MGI:2446129")</f>
        <v>MGI:2446129</v>
      </c>
      <c r="J7770" s="4" t="s">
        <v>12</v>
      </c>
    </row>
    <row r="7771" spans="1:10" x14ac:dyDescent="0.25">
      <c r="A7771" s="2">
        <v>250.06205551160599</v>
      </c>
      <c r="B7771" s="3">
        <v>-1.2124601000252</v>
      </c>
      <c r="C7771" s="5">
        <v>2.7185794319027699E-36</v>
      </c>
      <c r="D7771" s="6">
        <v>4.9364996682433397E-35</v>
      </c>
      <c r="E7771" s="3" t="s">
        <v>2189</v>
      </c>
      <c r="F7771" s="3" t="s">
        <v>2190</v>
      </c>
      <c r="G7771" s="3">
        <v>213452</v>
      </c>
      <c r="H7771" s="7" t="str">
        <f>HYPERLINK("http://www.ensembl.org/Mus_musculus/Gene/Summary?db=core;g=ENSMUSG00000042046","ENSMUSG00000042046")</f>
        <v>ENSMUSG00000042046</v>
      </c>
      <c r="I7771" s="7" t="str">
        <f>HYPERLINK("http://www.informatics.jax.org/marker/MGI:1925064","MGI:1925064")</f>
        <v>MGI:1925064</v>
      </c>
      <c r="J7771" s="4" t="s">
        <v>12</v>
      </c>
    </row>
    <row r="7772" spans="1:10" x14ac:dyDescent="0.25">
      <c r="A7772" s="2">
        <v>1195.9901239784001</v>
      </c>
      <c r="B7772" s="3">
        <v>-1.21286509617979</v>
      </c>
      <c r="C7772" s="5">
        <v>4.0287987022731098E-55</v>
      </c>
      <c r="D7772" s="6">
        <v>1.2413736001379E-53</v>
      </c>
      <c r="E7772" s="3" t="s">
        <v>1296</v>
      </c>
      <c r="F7772" s="3" t="s">
        <v>1297</v>
      </c>
      <c r="G7772" s="3">
        <v>16450</v>
      </c>
      <c r="H7772" s="7" t="str">
        <f>HYPERLINK("http://www.ensembl.org/Mus_musculus/Gene/Summary?db=core;g=ENSMUSG00000002799","ENSMUSG00000002799")</f>
        <v>ENSMUSG00000002799</v>
      </c>
      <c r="I7772" s="7" t="str">
        <f>HYPERLINK("http://www.informatics.jax.org/marker/MGI:1098270","MGI:1098270")</f>
        <v>MGI:1098270</v>
      </c>
      <c r="J7772" s="4" t="s">
        <v>12</v>
      </c>
    </row>
    <row r="7773" spans="1:10" x14ac:dyDescent="0.25">
      <c r="A7773" s="2">
        <v>4.4229389952000497</v>
      </c>
      <c r="B7773" s="3">
        <v>-1.2137845860343801</v>
      </c>
      <c r="C7773" s="3">
        <v>5.0480053568807103E-3</v>
      </c>
      <c r="D7773" s="4">
        <v>1.33440570559903E-2</v>
      </c>
      <c r="E7773" s="3" t="s">
        <v>14924</v>
      </c>
      <c r="F7773" s="3" t="s">
        <v>14925</v>
      </c>
      <c r="G7773" s="3" t="s">
        <v>83</v>
      </c>
      <c r="H7773" s="7" t="str">
        <f>HYPERLINK("http://www.ensembl.org/Mus_musculus/Gene/Summary?db=core;g=ENSMUSG00000074284","ENSMUSG00000074284")</f>
        <v>ENSMUSG00000074284</v>
      </c>
      <c r="I7773" s="7" t="str">
        <f>HYPERLINK("http://www.informatics.jax.org/marker/MGI:3642856","MGI:3642856")</f>
        <v>MGI:3642856</v>
      </c>
      <c r="J7773" s="4" t="s">
        <v>932</v>
      </c>
    </row>
    <row r="7774" spans="1:10" x14ac:dyDescent="0.25">
      <c r="A7774" s="2">
        <v>47.271267081658102</v>
      </c>
      <c r="B7774" s="3">
        <v>-1.21384464682127</v>
      </c>
      <c r="C7774" s="5">
        <v>9.8961096606366098E-12</v>
      </c>
      <c r="D7774" s="6">
        <v>6.1815420496596102E-11</v>
      </c>
      <c r="E7774" s="3" t="s">
        <v>6331</v>
      </c>
      <c r="F7774" s="3" t="s">
        <v>6332</v>
      </c>
      <c r="G7774" s="3">
        <v>76467</v>
      </c>
      <c r="H7774" s="7" t="str">
        <f>HYPERLINK("http://www.ensembl.org/Mus_musculus/Gene/Summary?db=core;g=ENSMUSG00000023094","ENSMUSG00000023094")</f>
        <v>ENSMUSG00000023094</v>
      </c>
      <c r="I7774" s="7" t="str">
        <f>HYPERLINK("http://www.informatics.jax.org/marker/MGI:1923717","MGI:1923717")</f>
        <v>MGI:1923717</v>
      </c>
      <c r="J7774" s="4" t="s">
        <v>12</v>
      </c>
    </row>
    <row r="7775" spans="1:10" x14ac:dyDescent="0.25">
      <c r="A7775" s="2">
        <v>231.42407154066899</v>
      </c>
      <c r="B7775" s="3">
        <v>-1.2139972913707</v>
      </c>
      <c r="C7775" s="5">
        <v>8.8438106523107796E-40</v>
      </c>
      <c r="D7775" s="6">
        <v>1.7850557427182E-38</v>
      </c>
      <c r="E7775" s="3" t="s">
        <v>1971</v>
      </c>
      <c r="F7775" s="3" t="s">
        <v>1972</v>
      </c>
      <c r="G7775" s="3">
        <v>74525</v>
      </c>
      <c r="H7775" s="7" t="str">
        <f>HYPERLINK("http://www.ensembl.org/Mus_musculus/Gene/Summary?db=core;g=ENSMUSG00000030207","ENSMUSG00000030207")</f>
        <v>ENSMUSG00000030207</v>
      </c>
      <c r="I7775" s="7" t="str">
        <f>HYPERLINK("http://www.informatics.jax.org/marker/MGI:1921775","MGI:1921775")</f>
        <v>MGI:1921775</v>
      </c>
      <c r="J7775" s="4" t="s">
        <v>12</v>
      </c>
    </row>
    <row r="7776" spans="1:10" x14ac:dyDescent="0.25">
      <c r="A7776" s="2">
        <v>1.5688816887241099</v>
      </c>
      <c r="B7776" s="3">
        <v>-1.2143225215011699</v>
      </c>
      <c r="C7776" s="3">
        <v>9.5107010222662703E-3</v>
      </c>
      <c r="D7776" s="4">
        <v>2.37647014900014E-2</v>
      </c>
      <c r="E7776" s="3" t="s">
        <v>15789</v>
      </c>
      <c r="F7776" s="3" t="s">
        <v>15790</v>
      </c>
      <c r="G7776" s="3">
        <v>71519</v>
      </c>
      <c r="H7776" s="7" t="str">
        <f>HYPERLINK("http://www.ensembl.org/Mus_musculus/Gene/Summary?db=core;g=ENSMUSG00000027983","ENSMUSG00000027983")</f>
        <v>ENSMUSG00000027983</v>
      </c>
      <c r="I7776" s="7" t="str">
        <f>HYPERLINK("http://www.informatics.jax.org/marker/MGI:1918769","MGI:1918769")</f>
        <v>MGI:1918769</v>
      </c>
      <c r="J7776" s="4" t="s">
        <v>12</v>
      </c>
    </row>
    <row r="7777" spans="1:10" x14ac:dyDescent="0.25">
      <c r="A7777" s="2">
        <v>488.96089059908098</v>
      </c>
      <c r="B7777" s="3">
        <v>-1.2160379606338001</v>
      </c>
      <c r="C7777" s="5">
        <v>4.1293897141769098E-12</v>
      </c>
      <c r="D7777" s="6">
        <v>2.66551768129521E-11</v>
      </c>
      <c r="E7777" s="3" t="s">
        <v>6127</v>
      </c>
      <c r="F7777" s="3" t="s">
        <v>6128</v>
      </c>
      <c r="G7777" s="3">
        <v>80911</v>
      </c>
      <c r="H7777" s="7" t="str">
        <f>HYPERLINK("http://www.ensembl.org/Mus_musculus/Gene/Summary?db=core;g=ENSMUSG00000029098","ENSMUSG00000029098")</f>
        <v>ENSMUSG00000029098</v>
      </c>
      <c r="I7777" s="7" t="str">
        <f>HYPERLINK("http://www.informatics.jax.org/marker/MGI:1933156","MGI:1933156")</f>
        <v>MGI:1933156</v>
      </c>
      <c r="J7777" s="4" t="s">
        <v>12</v>
      </c>
    </row>
    <row r="7778" spans="1:10" x14ac:dyDescent="0.25">
      <c r="A7778" s="2">
        <v>88.526425589559807</v>
      </c>
      <c r="B7778" s="3">
        <v>-1.2161475957494501</v>
      </c>
      <c r="C7778" s="5">
        <v>1.2050527453697E-16</v>
      </c>
      <c r="D7778" s="6">
        <v>1.0073607519580499E-15</v>
      </c>
      <c r="E7778" s="3" t="s">
        <v>4735</v>
      </c>
      <c r="F7778" s="3" t="s">
        <v>4736</v>
      </c>
      <c r="G7778" s="3">
        <v>20688</v>
      </c>
      <c r="H7778" s="7" t="str">
        <f>HYPERLINK("http://www.ensembl.org/Mus_musculus/Gene/Summary?db=core;g=ENSMUSG00000025323","ENSMUSG00000025323")</f>
        <v>ENSMUSG00000025323</v>
      </c>
      <c r="I7778" s="7" t="str">
        <f>HYPERLINK("http://www.informatics.jax.org/marker/MGI:107595","MGI:107595")</f>
        <v>MGI:107595</v>
      </c>
      <c r="J7778" s="4" t="s">
        <v>12</v>
      </c>
    </row>
    <row r="7779" spans="1:10" x14ac:dyDescent="0.25">
      <c r="A7779" s="2">
        <v>18.955841407945002</v>
      </c>
      <c r="B7779" s="3">
        <v>-1.2172789387661</v>
      </c>
      <c r="C7779" s="5">
        <v>8.9603075510715908E-6</v>
      </c>
      <c r="D7779" s="6">
        <v>3.3745926836413698E-5</v>
      </c>
      <c r="E7779" s="3" t="s">
        <v>10488</v>
      </c>
      <c r="F7779" s="3" t="s">
        <v>10489</v>
      </c>
      <c r="G7779" s="3" t="s">
        <v>83</v>
      </c>
      <c r="H7779" s="7" t="str">
        <f>HYPERLINK("http://www.ensembl.org/Mus_musculus/Gene/Summary?db=core;g=ENSMUSG00000053749","ENSMUSG00000053749")</f>
        <v>ENSMUSG00000053749</v>
      </c>
      <c r="I7779" s="7" t="str">
        <f>HYPERLINK("http://www.informatics.jax.org/marker/MGI:3642228","MGI:3642228")</f>
        <v>MGI:3642228</v>
      </c>
      <c r="J7779" s="4" t="s">
        <v>331</v>
      </c>
    </row>
    <row r="7780" spans="1:10" x14ac:dyDescent="0.25">
      <c r="A7780" s="2">
        <v>823.20965478384301</v>
      </c>
      <c r="B7780" s="3">
        <v>-1.2175420529327801</v>
      </c>
      <c r="C7780" s="5">
        <v>6.5262579503891698E-56</v>
      </c>
      <c r="D7780" s="6">
        <v>2.0690965720526399E-54</v>
      </c>
      <c r="E7780" s="3" t="s">
        <v>1260</v>
      </c>
      <c r="F7780" s="3" t="s">
        <v>1261</v>
      </c>
      <c r="G7780" s="3">
        <v>14007</v>
      </c>
      <c r="H7780" s="7" t="str">
        <f>HYPERLINK("http://www.ensembl.org/Mus_musculus/Gene/Summary?db=core;g=ENSMUSG00000002107","ENSMUSG00000002107")</f>
        <v>ENSMUSG00000002107</v>
      </c>
      <c r="I7780" s="7" t="str">
        <f>HYPERLINK("http://www.informatics.jax.org/marker/MGI:1338822","MGI:1338822")</f>
        <v>MGI:1338822</v>
      </c>
      <c r="J7780" s="4" t="s">
        <v>12</v>
      </c>
    </row>
    <row r="7781" spans="1:10" x14ac:dyDescent="0.25">
      <c r="A7781" s="2">
        <v>19.524756835209899</v>
      </c>
      <c r="B7781" s="3">
        <v>-1.2176203223078099</v>
      </c>
      <c r="C7781" s="5">
        <v>2.4950469798589699E-5</v>
      </c>
      <c r="D7781" s="6">
        <v>8.98508517947753E-5</v>
      </c>
      <c r="E7781" s="3" t="s">
        <v>10964</v>
      </c>
      <c r="F7781" s="3" t="s">
        <v>10965</v>
      </c>
      <c r="G7781" s="3">
        <v>13637</v>
      </c>
      <c r="H7781" s="7" t="str">
        <f>HYPERLINK("http://www.ensembl.org/Mus_musculus/Gene/Summary?db=core;g=ENSMUSG00000003070","ENSMUSG00000003070")</f>
        <v>ENSMUSG00000003070</v>
      </c>
      <c r="I7781" s="7" t="str">
        <f>HYPERLINK("http://www.informatics.jax.org/marker/MGI:102707","MGI:102707")</f>
        <v>MGI:102707</v>
      </c>
      <c r="J7781" s="4" t="s">
        <v>12</v>
      </c>
    </row>
    <row r="7782" spans="1:10" x14ac:dyDescent="0.25">
      <c r="A7782" s="2">
        <v>683.71324606979499</v>
      </c>
      <c r="B7782" s="3">
        <v>-1.2202550488961701</v>
      </c>
      <c r="C7782" s="5">
        <v>2.3932937691241301E-31</v>
      </c>
      <c r="D7782" s="6">
        <v>3.6642665471372602E-30</v>
      </c>
      <c r="E7782" s="3" t="s">
        <v>2593</v>
      </c>
      <c r="F7782" s="3" t="s">
        <v>2594</v>
      </c>
      <c r="G7782" s="3">
        <v>333433</v>
      </c>
      <c r="H7782" s="7" t="str">
        <f>HYPERLINK("http://www.ensembl.org/Mus_musculus/Gene/Summary?db=core;g=ENSMUSG00000050627","ENSMUSG00000050627")</f>
        <v>ENSMUSG00000050627</v>
      </c>
      <c r="I7782" s="7" t="str">
        <f>HYPERLINK("http://www.informatics.jax.org/marker/MGI:1289257","MGI:1289257")</f>
        <v>MGI:1289257</v>
      </c>
      <c r="J7782" s="4" t="s">
        <v>12</v>
      </c>
    </row>
    <row r="7783" spans="1:10" x14ac:dyDescent="0.25">
      <c r="A7783" s="2">
        <v>210.864489003074</v>
      </c>
      <c r="B7783" s="3">
        <v>-1.22111562519749</v>
      </c>
      <c r="C7783" s="5">
        <v>4.9902109989826597E-36</v>
      </c>
      <c r="D7783" s="6">
        <v>8.9787373083885102E-35</v>
      </c>
      <c r="E7783" s="3" t="s">
        <v>2209</v>
      </c>
      <c r="F7783" s="3" t="s">
        <v>2210</v>
      </c>
      <c r="G7783" s="3">
        <v>320799</v>
      </c>
      <c r="H7783" s="7" t="str">
        <f>HYPERLINK("http://www.ensembl.org/Mus_musculus/Gene/Summary?db=core;g=ENSMUSG00000035877","ENSMUSG00000035877")</f>
        <v>ENSMUSG00000035877</v>
      </c>
      <c r="I7783" s="7" t="str">
        <f>HYPERLINK("http://www.informatics.jax.org/marker/MGI:2444772","MGI:2444772")</f>
        <v>MGI:2444772</v>
      </c>
      <c r="J7783" s="4" t="s">
        <v>12</v>
      </c>
    </row>
    <row r="7784" spans="1:10" x14ac:dyDescent="0.25">
      <c r="A7784" s="2">
        <v>247.39082436912199</v>
      </c>
      <c r="B7784" s="3">
        <v>-1.22171436976575</v>
      </c>
      <c r="C7784" s="5">
        <v>4.3199308807118396E-22</v>
      </c>
      <c r="D7784" s="6">
        <v>4.6961982892854099E-21</v>
      </c>
      <c r="E7784" s="3" t="s">
        <v>3646</v>
      </c>
      <c r="F7784" s="3" t="s">
        <v>3647</v>
      </c>
      <c r="G7784" s="3">
        <v>71643</v>
      </c>
      <c r="H7784" s="7" t="str">
        <f>HYPERLINK("http://www.ensembl.org/Mus_musculus/Gene/Summary?db=core;g=ENSMUSG00000051278","ENSMUSG00000051278")</f>
        <v>ENSMUSG00000051278</v>
      </c>
      <c r="I7784" s="7" t="str">
        <f>HYPERLINK("http://www.informatics.jax.org/marker/MGI:1918893","MGI:1918893")</f>
        <v>MGI:1918893</v>
      </c>
      <c r="J7784" s="4" t="s">
        <v>12</v>
      </c>
    </row>
    <row r="7785" spans="1:10" x14ac:dyDescent="0.25">
      <c r="A7785" s="2">
        <v>1.2211776574973601</v>
      </c>
      <c r="B7785" s="3">
        <v>-1.22336112705939</v>
      </c>
      <c r="C7785" s="3">
        <v>7.9356151480497496E-3</v>
      </c>
      <c r="D7785" s="4">
        <v>2.0122197597986499E-2</v>
      </c>
      <c r="E7785" s="3" t="s">
        <v>15559</v>
      </c>
      <c r="F7785" s="3" t="s">
        <v>15560</v>
      </c>
      <c r="G7785" s="3" t="s">
        <v>83</v>
      </c>
      <c r="H7785" s="7" t="str">
        <f>HYPERLINK("http://www.ensembl.org/Mus_musculus/Gene/Summary?db=core;g=ENSMUSG00000090358","ENSMUSG00000090358")</f>
        <v>ENSMUSG00000090358</v>
      </c>
      <c r="I7785" s="7" t="str">
        <f>HYPERLINK("http://www.informatics.jax.org/marker/MGI:3780992","MGI:3780992")</f>
        <v>MGI:3780992</v>
      </c>
      <c r="J7785" s="4" t="s">
        <v>331</v>
      </c>
    </row>
    <row r="7786" spans="1:10" x14ac:dyDescent="0.25">
      <c r="A7786" s="2">
        <v>473.58640237371299</v>
      </c>
      <c r="B7786" s="3">
        <v>-1.2236521181920399</v>
      </c>
      <c r="C7786" s="5">
        <v>6.7741939466259498E-17</v>
      </c>
      <c r="D7786" s="6">
        <v>5.7235263336531202E-16</v>
      </c>
      <c r="E7786" s="3" t="s">
        <v>4685</v>
      </c>
      <c r="F7786" s="3" t="s">
        <v>4686</v>
      </c>
      <c r="G7786" s="3">
        <v>13400</v>
      </c>
      <c r="H7786" s="7" t="str">
        <f>HYPERLINK("http://www.ensembl.org/Mus_musculus/Gene/Summary?db=core;g=ENSMUSG00000030409","ENSMUSG00000030409")</f>
        <v>ENSMUSG00000030409</v>
      </c>
      <c r="I7786" s="7" t="str">
        <f>HYPERLINK("http://www.informatics.jax.org/marker/MGI:94906","MGI:94906")</f>
        <v>MGI:94906</v>
      </c>
      <c r="J7786" s="4" t="s">
        <v>12</v>
      </c>
    </row>
    <row r="7787" spans="1:10" x14ac:dyDescent="0.25">
      <c r="A7787" s="2">
        <v>267.99554025103902</v>
      </c>
      <c r="B7787" s="3">
        <v>-1.22383620548647</v>
      </c>
      <c r="C7787" s="5">
        <v>9.0821999742908904E-38</v>
      </c>
      <c r="D7787" s="6">
        <v>1.71881941931877E-36</v>
      </c>
      <c r="E7787" s="3" t="s">
        <v>2101</v>
      </c>
      <c r="F7787" s="3" t="s">
        <v>2102</v>
      </c>
      <c r="G7787" s="3">
        <v>260409</v>
      </c>
      <c r="H7787" s="7" t="str">
        <f>HYPERLINK("http://www.ensembl.org/Mus_musculus/Gene/Summary?db=core;g=ENSMUSG00000036533","ENSMUSG00000036533")</f>
        <v>ENSMUSG00000036533</v>
      </c>
      <c r="I7787" s="7" t="str">
        <f>HYPERLINK("http://www.informatics.jax.org/marker/MGI:2384718","MGI:2384718")</f>
        <v>MGI:2384718</v>
      </c>
      <c r="J7787" s="4" t="s">
        <v>12</v>
      </c>
    </row>
    <row r="7788" spans="1:10" x14ac:dyDescent="0.25">
      <c r="A7788" s="2">
        <v>758.21434132276295</v>
      </c>
      <c r="B7788" s="3">
        <v>-1.22626984527812</v>
      </c>
      <c r="C7788" s="5">
        <v>2.1003965948701501E-41</v>
      </c>
      <c r="D7788" s="6">
        <v>4.4299273637261297E-40</v>
      </c>
      <c r="E7788" s="3" t="s">
        <v>1887</v>
      </c>
      <c r="F7788" s="3" t="s">
        <v>1888</v>
      </c>
      <c r="G7788" s="3">
        <v>12544</v>
      </c>
      <c r="H7788" s="7" t="str">
        <f>HYPERLINK("http://www.ensembl.org/Mus_musculus/Gene/Summary?db=core;g=ENSMUSG00000000028","ENSMUSG00000000028")</f>
        <v>ENSMUSG00000000028</v>
      </c>
      <c r="I7788" s="7" t="str">
        <f>HYPERLINK("http://www.informatics.jax.org/marker/MGI:1338073","MGI:1338073")</f>
        <v>MGI:1338073</v>
      </c>
      <c r="J7788" s="4" t="s">
        <v>12</v>
      </c>
    </row>
    <row r="7789" spans="1:10" x14ac:dyDescent="0.25">
      <c r="A7789" s="2">
        <v>2.6398443343485898</v>
      </c>
      <c r="B7789" s="3">
        <v>-1.2266473650869301</v>
      </c>
      <c r="C7789" s="3">
        <v>7.2113394502700103E-3</v>
      </c>
      <c r="D7789" s="4">
        <v>1.8464783128070698E-2</v>
      </c>
      <c r="E7789" s="3" t="s">
        <v>15409</v>
      </c>
      <c r="F7789" s="3" t="s">
        <v>15410</v>
      </c>
      <c r="G7789" s="3" t="s">
        <v>83</v>
      </c>
      <c r="H7789" s="7" t="str">
        <f>HYPERLINK("http://www.ensembl.org/Mus_musculus/Gene/Summary?db=core;g=ENSMUSG00000082279","ENSMUSG00000082279")</f>
        <v>ENSMUSG00000082279</v>
      </c>
      <c r="I7789" s="7" t="str">
        <f>HYPERLINK("http://www.informatics.jax.org/marker/MGI:3649408","MGI:3649408")</f>
        <v>MGI:3649408</v>
      </c>
      <c r="J7789" s="4" t="s">
        <v>1043</v>
      </c>
    </row>
    <row r="7790" spans="1:10" x14ac:dyDescent="0.25">
      <c r="A7790" s="2">
        <v>39.379497728590401</v>
      </c>
      <c r="B7790" s="3">
        <v>-1.2293937083308699</v>
      </c>
      <c r="C7790" s="5">
        <v>8.1206748799215297E-8</v>
      </c>
      <c r="D7790" s="6">
        <v>3.70522231911274E-7</v>
      </c>
      <c r="E7790" s="3" t="s">
        <v>8661</v>
      </c>
      <c r="F7790" s="3" t="s">
        <v>8662</v>
      </c>
      <c r="G7790" s="3">
        <v>29856</v>
      </c>
      <c r="H7790" s="7" t="str">
        <f>HYPERLINK("http://www.ensembl.org/Mus_musculus/Gene/Summary?db=core;g=ENSMUSG00000020439","ENSMUSG00000020439")</f>
        <v>ENSMUSG00000020439</v>
      </c>
      <c r="I7790" s="7" t="str">
        <f>HYPERLINK("http://www.informatics.jax.org/marker/MGI:1354727","MGI:1354727")</f>
        <v>MGI:1354727</v>
      </c>
      <c r="J7790" s="4" t="s">
        <v>12</v>
      </c>
    </row>
    <row r="7791" spans="1:10" x14ac:dyDescent="0.25">
      <c r="A7791" s="2">
        <v>31.127231034576798</v>
      </c>
      <c r="B7791" s="3">
        <v>-1.22948521510104</v>
      </c>
      <c r="C7791" s="5">
        <v>1.21113727271461E-6</v>
      </c>
      <c r="D7791" s="6">
        <v>4.9705779433781803E-6</v>
      </c>
      <c r="E7791" s="3" t="s">
        <v>9625</v>
      </c>
      <c r="F7791" s="3" t="s">
        <v>9626</v>
      </c>
      <c r="G7791" s="3">
        <v>18125</v>
      </c>
      <c r="H7791" s="7" t="str">
        <f>HYPERLINK("http://www.ensembl.org/Mus_musculus/Gene/Summary?db=core;g=ENSMUSG00000029361","ENSMUSG00000029361")</f>
        <v>ENSMUSG00000029361</v>
      </c>
      <c r="I7791" s="7" t="str">
        <f>HYPERLINK("http://www.informatics.jax.org/marker/MGI:97360","MGI:97360")</f>
        <v>MGI:97360</v>
      </c>
      <c r="J7791" s="4" t="s">
        <v>12</v>
      </c>
    </row>
    <row r="7792" spans="1:10" x14ac:dyDescent="0.25">
      <c r="A7792" s="2">
        <v>19.8900822908961</v>
      </c>
      <c r="B7792" s="3">
        <v>-1.2302811236923801</v>
      </c>
      <c r="C7792" s="5">
        <v>1.3218654967970999E-6</v>
      </c>
      <c r="D7792" s="6">
        <v>5.4014064643263197E-6</v>
      </c>
      <c r="E7792" s="3" t="s">
        <v>9667</v>
      </c>
      <c r="F7792" s="3" t="s">
        <v>9668</v>
      </c>
      <c r="G7792" s="3" t="s">
        <v>83</v>
      </c>
      <c r="H7792" s="7" t="str">
        <f>HYPERLINK("http://www.ensembl.org/Mus_musculus/Gene/Summary?db=core;g=ENSMUSG00000086328","ENSMUSG00000086328")</f>
        <v>ENSMUSG00000086328</v>
      </c>
      <c r="I7792" s="7" t="str">
        <f>HYPERLINK("http://www.informatics.jax.org/marker/MGI:1919853","MGI:1919853")</f>
        <v>MGI:1919853</v>
      </c>
      <c r="J7792" s="4" t="s">
        <v>939</v>
      </c>
    </row>
    <row r="7793" spans="1:10" x14ac:dyDescent="0.25">
      <c r="A7793" s="2">
        <v>12.127905921565199</v>
      </c>
      <c r="B7793" s="3">
        <v>-1.2305147309153599</v>
      </c>
      <c r="C7793" s="3">
        <v>1.4541047262822001E-4</v>
      </c>
      <c r="D7793" s="4">
        <v>4.8015648362834899E-4</v>
      </c>
      <c r="E7793" s="3" t="s">
        <v>11955</v>
      </c>
      <c r="F7793" s="3" t="s">
        <v>11956</v>
      </c>
      <c r="G7793" s="3">
        <v>214639</v>
      </c>
      <c r="H7793" s="7" t="str">
        <f>HYPERLINK("http://www.ensembl.org/Mus_musculus/Gene/Summary?db=core;g=ENSMUSG00000050345","ENSMUSG00000050345")</f>
        <v>ENSMUSG00000050345</v>
      </c>
      <c r="I7793" s="7" t="str">
        <f>HYPERLINK("http://www.informatics.jax.org/marker/MGI:1922258","MGI:1922258")</f>
        <v>MGI:1922258</v>
      </c>
      <c r="J7793" s="4" t="s">
        <v>12</v>
      </c>
    </row>
    <row r="7794" spans="1:10" x14ac:dyDescent="0.25">
      <c r="A7794" s="2">
        <v>274.16913547018999</v>
      </c>
      <c r="B7794" s="3">
        <v>-1.2309321049275499</v>
      </c>
      <c r="C7794" s="5">
        <v>4.6955329337584301E-28</v>
      </c>
      <c r="D7794" s="6">
        <v>6.4258091223953E-27</v>
      </c>
      <c r="E7794" s="3" t="s">
        <v>2900</v>
      </c>
      <c r="F7794" s="3" t="s">
        <v>2901</v>
      </c>
      <c r="G7794" s="3">
        <v>216011</v>
      </c>
      <c r="H7794" s="7" t="str">
        <f>HYPERLINK("http://www.ensembl.org/Mus_musculus/Gene/Summary?db=core;g=ENSMUSG00000037151","ENSMUSG00000037151")</f>
        <v>ENSMUSG00000037151</v>
      </c>
      <c r="I7794" s="7" t="str">
        <f>HYPERLINK("http://www.informatics.jax.org/marker/MGI:2387182","MGI:2387182")</f>
        <v>MGI:2387182</v>
      </c>
      <c r="J7794" s="4" t="s">
        <v>12</v>
      </c>
    </row>
    <row r="7795" spans="1:10" x14ac:dyDescent="0.25">
      <c r="A7795" s="2">
        <v>1.7731867465476101</v>
      </c>
      <c r="B7795" s="3">
        <v>-1.2311068969288801</v>
      </c>
      <c r="C7795" s="3">
        <v>8.2328034757717505E-3</v>
      </c>
      <c r="D7795" s="4">
        <v>2.07982173382294E-2</v>
      </c>
      <c r="E7795" s="3" t="s">
        <v>15617</v>
      </c>
      <c r="F7795" s="3" t="s">
        <v>15618</v>
      </c>
      <c r="G7795" s="3">
        <v>19016</v>
      </c>
      <c r="H7795" s="7" t="str">
        <f>HYPERLINK("http://www.ensembl.org/Mus_musculus/Gene/Summary?db=core;g=ENSMUSG00000000440","ENSMUSG00000000440")</f>
        <v>ENSMUSG00000000440</v>
      </c>
      <c r="I7795" s="7" t="str">
        <f>HYPERLINK("http://www.informatics.jax.org/marker/MGI:97747","MGI:97747")</f>
        <v>MGI:97747</v>
      </c>
      <c r="J7795" s="4" t="s">
        <v>12</v>
      </c>
    </row>
    <row r="7796" spans="1:10" x14ac:dyDescent="0.25">
      <c r="A7796" s="2">
        <v>59.555086656135003</v>
      </c>
      <c r="B7796" s="3">
        <v>-1.23244553280464</v>
      </c>
      <c r="C7796" s="5">
        <v>4.1672732708059097E-12</v>
      </c>
      <c r="D7796" s="6">
        <v>2.6873325343457401E-11</v>
      </c>
      <c r="E7796" s="3" t="s">
        <v>6133</v>
      </c>
      <c r="F7796" s="3" t="s">
        <v>6134</v>
      </c>
      <c r="G7796" s="3">
        <v>243963</v>
      </c>
      <c r="H7796" s="7" t="str">
        <f>HYPERLINK("http://www.ensembl.org/Mus_musculus/Gene/Summary?db=core;g=ENSMUSG00000048012","ENSMUSG00000048012")</f>
        <v>ENSMUSG00000048012</v>
      </c>
      <c r="I7796" s="7" t="str">
        <f>HYPERLINK("http://www.informatics.jax.org/marker/MGI:2442697","MGI:2442697")</f>
        <v>MGI:2442697</v>
      </c>
      <c r="J7796" s="4" t="s">
        <v>12</v>
      </c>
    </row>
    <row r="7797" spans="1:10" x14ac:dyDescent="0.25">
      <c r="A7797" s="2">
        <v>171.03741635674601</v>
      </c>
      <c r="B7797" s="3">
        <v>-1.2327219092484101</v>
      </c>
      <c r="C7797" s="5">
        <v>1.9477476440918301E-33</v>
      </c>
      <c r="D7797" s="6">
        <v>3.1901647459710002E-32</v>
      </c>
      <c r="E7797" s="3" t="s">
        <v>2425</v>
      </c>
      <c r="F7797" s="3" t="s">
        <v>2426</v>
      </c>
      <c r="G7797" s="3">
        <v>67266</v>
      </c>
      <c r="H7797" s="7" t="str">
        <f>HYPERLINK("http://www.ensembl.org/Mus_musculus/Gene/Summary?db=core;g=ENSMUSG00000029270","ENSMUSG00000029270")</f>
        <v>ENSMUSG00000029270</v>
      </c>
      <c r="I7797" s="7" t="str">
        <f>HYPERLINK("http://www.informatics.jax.org/marker/MGI:1914516","MGI:1914516")</f>
        <v>MGI:1914516</v>
      </c>
      <c r="J7797" s="4" t="s">
        <v>12</v>
      </c>
    </row>
    <row r="7798" spans="1:10" x14ac:dyDescent="0.25">
      <c r="A7798" s="2">
        <v>3.8178754965772899</v>
      </c>
      <c r="B7798" s="3">
        <v>-1.23348945534663</v>
      </c>
      <c r="C7798" s="3">
        <v>6.4830017546981403E-3</v>
      </c>
      <c r="D7798" s="4">
        <v>1.6746763767703399E-2</v>
      </c>
      <c r="E7798" s="3" t="s">
        <v>15273</v>
      </c>
      <c r="F7798" s="3" t="s">
        <v>15274</v>
      </c>
      <c r="G7798" s="3">
        <v>16581</v>
      </c>
      <c r="H7798" s="7" t="str">
        <f>HYPERLINK("http://www.ensembl.org/Mus_musculus/Gene/Summary?db=core;g=ENSMUSG00000004187","ENSMUSG00000004187")</f>
        <v>ENSMUSG00000004187</v>
      </c>
      <c r="I7798" s="7" t="str">
        <f>HYPERLINK("http://www.informatics.jax.org/marker/MGI:109187","MGI:109187")</f>
        <v>MGI:109187</v>
      </c>
      <c r="J7798" s="4" t="s">
        <v>12</v>
      </c>
    </row>
    <row r="7799" spans="1:10" x14ac:dyDescent="0.25">
      <c r="A7799" s="2">
        <v>312.61312737362101</v>
      </c>
      <c r="B7799" s="3">
        <v>-1.2336754853310701</v>
      </c>
      <c r="C7799" s="5">
        <v>7.9169765717157799E-24</v>
      </c>
      <c r="D7799" s="6">
        <v>9.2380342008423104E-23</v>
      </c>
      <c r="E7799" s="3" t="s">
        <v>3398</v>
      </c>
      <c r="F7799" s="3" t="s">
        <v>3399</v>
      </c>
      <c r="G7799" s="3">
        <v>21685</v>
      </c>
      <c r="H7799" s="7" t="str">
        <f>HYPERLINK("http://www.ensembl.org/Mus_musculus/Gene/Summary?db=core;g=ENSMUSG00000022389","ENSMUSG00000022389")</f>
        <v>ENSMUSG00000022389</v>
      </c>
      <c r="I7799" s="7" t="str">
        <f>HYPERLINK("http://www.informatics.jax.org/marker/MGI:98663","MGI:98663")</f>
        <v>MGI:98663</v>
      </c>
      <c r="J7799" s="4" t="s">
        <v>12</v>
      </c>
    </row>
    <row r="7800" spans="1:10" x14ac:dyDescent="0.25">
      <c r="A7800" s="2">
        <v>7.0143616980593704</v>
      </c>
      <c r="B7800" s="3">
        <v>-1.2350154530503801</v>
      </c>
      <c r="C7800" s="3">
        <v>8.1157893180721795E-4</v>
      </c>
      <c r="D7800" s="4">
        <v>2.4252669397239498E-3</v>
      </c>
      <c r="E7800" s="3" t="s">
        <v>13207</v>
      </c>
      <c r="F7800" s="3" t="s">
        <v>13208</v>
      </c>
      <c r="G7800" s="3">
        <v>21810</v>
      </c>
      <c r="H7800" s="7" t="str">
        <f>HYPERLINK("http://www.ensembl.org/Mus_musculus/Gene/Summary?db=core;g=ENSMUSG00000035493","ENSMUSG00000035493")</f>
        <v>ENSMUSG00000035493</v>
      </c>
      <c r="I7800" s="7" t="str">
        <f>HYPERLINK("http://www.informatics.jax.org/marker/MGI:99959","MGI:99959")</f>
        <v>MGI:99959</v>
      </c>
      <c r="J7800" s="4" t="s">
        <v>12</v>
      </c>
    </row>
    <row r="7801" spans="1:10" x14ac:dyDescent="0.25">
      <c r="A7801" s="2">
        <v>30.547305695024601</v>
      </c>
      <c r="B7801" s="3">
        <v>-1.23554515415087</v>
      </c>
      <c r="C7801" s="5">
        <v>1.17066672686873E-8</v>
      </c>
      <c r="D7801" s="6">
        <v>5.77427410051307E-8</v>
      </c>
      <c r="E7801" s="3" t="s">
        <v>8013</v>
      </c>
      <c r="F7801" s="3" t="s">
        <v>8014</v>
      </c>
      <c r="G7801" s="3">
        <v>20341</v>
      </c>
      <c r="H7801" s="7" t="str">
        <f>HYPERLINK("http://www.ensembl.org/Mus_musculus/Gene/Summary?db=core;g=ENSMUSG00000068874","ENSMUSG00000068874")</f>
        <v>ENSMUSG00000068874</v>
      </c>
      <c r="I7801" s="7" t="str">
        <f>HYPERLINK("http://www.informatics.jax.org/marker/MGI:96825","MGI:96825")</f>
        <v>MGI:96825</v>
      </c>
      <c r="J7801" s="4" t="s">
        <v>12</v>
      </c>
    </row>
    <row r="7802" spans="1:10" x14ac:dyDescent="0.25">
      <c r="A7802" s="2">
        <v>1.5399551506373601</v>
      </c>
      <c r="B7802" s="3">
        <v>-1.23970256823892</v>
      </c>
      <c r="C7802" s="3">
        <v>8.04481729045913E-3</v>
      </c>
      <c r="D7802" s="4">
        <v>2.0370287232646899E-2</v>
      </c>
      <c r="E7802" s="3" t="s">
        <v>15581</v>
      </c>
      <c r="F7802" s="3" t="s">
        <v>15582</v>
      </c>
      <c r="G7802" s="3" t="s">
        <v>83</v>
      </c>
      <c r="H7802" s="7" t="str">
        <f>HYPERLINK("http://www.ensembl.org/Mus_musculus/Gene/Summary?db=core;g=ENSMUSG00000115148","ENSMUSG00000115148")</f>
        <v>ENSMUSG00000115148</v>
      </c>
      <c r="I7802" s="7" t="str">
        <f>HYPERLINK("http://www.informatics.jax.org/marker/MGI:6118530","MGI:6118530")</f>
        <v>MGI:6118530</v>
      </c>
      <c r="J7802" s="4" t="s">
        <v>1828</v>
      </c>
    </row>
    <row r="7803" spans="1:10" x14ac:dyDescent="0.25">
      <c r="A7803" s="2">
        <v>289.40839481452701</v>
      </c>
      <c r="B7803" s="3">
        <v>-1.23980170649781</v>
      </c>
      <c r="C7803" s="5">
        <v>2.5310444887120701E-33</v>
      </c>
      <c r="D7803" s="6">
        <v>4.12497498490926E-32</v>
      </c>
      <c r="E7803" s="3" t="s">
        <v>2437</v>
      </c>
      <c r="F7803" s="3" t="s">
        <v>2438</v>
      </c>
      <c r="G7803" s="3">
        <v>13385</v>
      </c>
      <c r="H7803" s="7" t="str">
        <f>HYPERLINK("http://www.ensembl.org/Mus_musculus/Gene/Summary?db=core;g=ENSMUSG00000020886","ENSMUSG00000020886")</f>
        <v>ENSMUSG00000020886</v>
      </c>
      <c r="I7803" s="7" t="str">
        <f>HYPERLINK("http://www.informatics.jax.org/marker/MGI:1277959","MGI:1277959")</f>
        <v>MGI:1277959</v>
      </c>
      <c r="J7803" s="4" t="s">
        <v>12</v>
      </c>
    </row>
    <row r="7804" spans="1:10" x14ac:dyDescent="0.25">
      <c r="A7804" s="2">
        <v>4.7463867305626204</v>
      </c>
      <c r="B7804" s="3">
        <v>-1.24009719545945</v>
      </c>
      <c r="C7804" s="3">
        <v>3.83129184303672E-3</v>
      </c>
      <c r="D7804" s="4">
        <v>1.03469015536407E-2</v>
      </c>
      <c r="E7804" s="3" t="s">
        <v>14607</v>
      </c>
      <c r="F7804" s="3" t="s">
        <v>14608</v>
      </c>
      <c r="G7804" s="3">
        <v>74407</v>
      </c>
      <c r="H7804" s="7" t="str">
        <f>HYPERLINK("http://www.ensembl.org/Mus_musculus/Gene/Summary?db=core;g=ENSMUSG00000006784","ENSMUSG00000006784")</f>
        <v>ENSMUSG00000006784</v>
      </c>
      <c r="I7804" s="7" t="str">
        <f>HYPERLINK("http://www.informatics.jax.org/marker/MGI:1921657","MGI:1921657")</f>
        <v>MGI:1921657</v>
      </c>
      <c r="J7804" s="4" t="s">
        <v>12</v>
      </c>
    </row>
    <row r="7805" spans="1:10" x14ac:dyDescent="0.25">
      <c r="A7805" s="2">
        <v>1335.2485377912001</v>
      </c>
      <c r="B7805" s="3">
        <v>-1.24013411643739</v>
      </c>
      <c r="C7805" s="5">
        <v>3.0072619238231901E-55</v>
      </c>
      <c r="D7805" s="6">
        <v>9.2951732190898499E-54</v>
      </c>
      <c r="E7805" s="3" t="s">
        <v>1292</v>
      </c>
      <c r="F7805" s="3" t="s">
        <v>1293</v>
      </c>
      <c r="G7805" s="3">
        <v>11305</v>
      </c>
      <c r="H7805" s="7" t="str">
        <f>HYPERLINK("http://www.ensembl.org/Mus_musculus/Gene/Summary?db=core;g=ENSMUSG00000026944","ENSMUSG00000026944")</f>
        <v>ENSMUSG00000026944</v>
      </c>
      <c r="I7805" s="7" t="str">
        <f>HYPERLINK("http://www.informatics.jax.org/marker/MGI:99606","MGI:99606")</f>
        <v>MGI:99606</v>
      </c>
      <c r="J7805" s="4" t="s">
        <v>12</v>
      </c>
    </row>
    <row r="7806" spans="1:10" x14ac:dyDescent="0.25">
      <c r="A7806" s="2">
        <v>4.5204455766016398</v>
      </c>
      <c r="B7806" s="3">
        <v>-1.2408576977497701</v>
      </c>
      <c r="C7806" s="3">
        <v>4.8039958857864096E-3</v>
      </c>
      <c r="D7806" s="4">
        <v>1.2734879882833601E-2</v>
      </c>
      <c r="E7806" s="3" t="s">
        <v>14884</v>
      </c>
      <c r="F7806" s="3" t="s">
        <v>14885</v>
      </c>
      <c r="G7806" s="3">
        <v>22678</v>
      </c>
      <c r="H7806" s="7" t="str">
        <f>HYPERLINK("http://www.ensembl.org/Mus_musculus/Gene/Summary?db=core;g=ENSMUSG00000049321","ENSMUSG00000049321")</f>
        <v>ENSMUSG00000049321</v>
      </c>
      <c r="I7806" s="7" t="str">
        <f>HYPERLINK("http://www.informatics.jax.org/marker/MGI:99167","MGI:99167")</f>
        <v>MGI:99167</v>
      </c>
      <c r="J7806" s="4" t="s">
        <v>12</v>
      </c>
    </row>
    <row r="7807" spans="1:10" x14ac:dyDescent="0.25">
      <c r="A7807" s="2">
        <v>4.7223102348020696</v>
      </c>
      <c r="B7807" s="3">
        <v>-1.2417441263897699</v>
      </c>
      <c r="C7807" s="3">
        <v>3.1428762461478401E-3</v>
      </c>
      <c r="D7807" s="4">
        <v>8.5889023799938305E-3</v>
      </c>
      <c r="E7807" s="3" t="s">
        <v>14437</v>
      </c>
      <c r="F7807" s="3" t="s">
        <v>14438</v>
      </c>
      <c r="G7807" s="3">
        <v>320256</v>
      </c>
      <c r="H7807" s="7" t="str">
        <f>HYPERLINK("http://www.ensembl.org/Mus_musculus/Gene/Summary?db=core;g=ENSMUSG00000038060","ENSMUSG00000038060")</f>
        <v>ENSMUSG00000038060</v>
      </c>
      <c r="I7807" s="7" t="str">
        <f>HYPERLINK("http://www.informatics.jax.org/marker/MGI:2443671","MGI:2443671")</f>
        <v>MGI:2443671</v>
      </c>
      <c r="J7807" s="4" t="s">
        <v>12</v>
      </c>
    </row>
    <row r="7808" spans="1:10" x14ac:dyDescent="0.25">
      <c r="A7808" s="2">
        <v>4.0236928056053998</v>
      </c>
      <c r="B7808" s="3">
        <v>-1.2418256509518499</v>
      </c>
      <c r="C7808" s="3">
        <v>6.4776322078848401E-3</v>
      </c>
      <c r="D7808" s="4">
        <v>1.67416654180195E-2</v>
      </c>
      <c r="E7808" s="3" t="s">
        <v>15265</v>
      </c>
      <c r="F7808" s="3" t="s">
        <v>15266</v>
      </c>
      <c r="G7808" s="3" t="s">
        <v>83</v>
      </c>
      <c r="H7808" s="7" t="str">
        <f>HYPERLINK("http://www.ensembl.org/Mus_musculus/Gene/Summary?db=core;g=ENSMUSG00000102615","ENSMUSG00000102615")</f>
        <v>ENSMUSG00000102615</v>
      </c>
      <c r="I7808" s="7" t="str">
        <f>HYPERLINK("http://www.informatics.jax.org/marker/MGI:5611072","MGI:5611072")</f>
        <v>MGI:5611072</v>
      </c>
      <c r="J7808" s="4" t="s">
        <v>1828</v>
      </c>
    </row>
    <row r="7809" spans="1:10" x14ac:dyDescent="0.25">
      <c r="A7809" s="2">
        <v>3.1328052799624202</v>
      </c>
      <c r="B7809" s="3">
        <v>-1.2426008286988199</v>
      </c>
      <c r="C7809" s="3">
        <v>5.3194257937872504E-3</v>
      </c>
      <c r="D7809" s="4">
        <v>1.39977417471957E-2</v>
      </c>
      <c r="E7809" s="3" t="s">
        <v>14992</v>
      </c>
      <c r="F7809" s="3" t="s">
        <v>14993</v>
      </c>
      <c r="G7809" s="3">
        <v>237256</v>
      </c>
      <c r="H7809" s="7" t="str">
        <f>HYPERLINK("http://www.ensembl.org/Mus_musculus/Gene/Summary?db=core;g=ENSMUSG00000039981","ENSMUSG00000039981")</f>
        <v>ENSMUSG00000039981</v>
      </c>
      <c r="I7809" s="7" t="str">
        <f>HYPERLINK("http://www.informatics.jax.org/marker/MGI:3045313","MGI:3045313")</f>
        <v>MGI:3045313</v>
      </c>
      <c r="J7809" s="4" t="s">
        <v>12</v>
      </c>
    </row>
    <row r="7810" spans="1:10" x14ac:dyDescent="0.25">
      <c r="A7810" s="2">
        <v>1.69260898661807</v>
      </c>
      <c r="B7810" s="3">
        <v>-1.2431216682631501</v>
      </c>
      <c r="C7810" s="3">
        <v>7.9724352427815396E-3</v>
      </c>
      <c r="D7810" s="4">
        <v>2.0197382192658299E-2</v>
      </c>
      <c r="E7810" s="3" t="s">
        <v>15571</v>
      </c>
      <c r="F7810" s="3" t="s">
        <v>15572</v>
      </c>
      <c r="G7810" s="3">
        <v>85030</v>
      </c>
      <c r="H7810" s="7" t="str">
        <f>HYPERLINK("http://www.ensembl.org/Mus_musculus/Gene/Summary?db=core;g=ENSMUSG00000024793","ENSMUSG00000024793")</f>
        <v>ENSMUSG00000024793</v>
      </c>
      <c r="I7810" s="7" t="str">
        <f>HYPERLINK("http://www.informatics.jax.org/marker/MGI:1934667","MGI:1934667")</f>
        <v>MGI:1934667</v>
      </c>
      <c r="J7810" s="4" t="s">
        <v>12</v>
      </c>
    </row>
    <row r="7811" spans="1:10" x14ac:dyDescent="0.25">
      <c r="A7811" s="2">
        <v>221.21834538507801</v>
      </c>
      <c r="B7811" s="3">
        <v>-1.2434221774010601</v>
      </c>
      <c r="C7811" s="5">
        <v>1.2562668789307601E-34</v>
      </c>
      <c r="D7811" s="6">
        <v>2.1448989482696598E-33</v>
      </c>
      <c r="E7811" s="3" t="s">
        <v>2327</v>
      </c>
      <c r="F7811" s="3" t="s">
        <v>2328</v>
      </c>
      <c r="G7811" s="3">
        <v>230145</v>
      </c>
      <c r="H7811" s="7" t="str">
        <f>HYPERLINK("http://www.ensembl.org/Mus_musculus/Gene/Summary?db=core;g=ENSMUSG00000039774","ENSMUSG00000039774")</f>
        <v>ENSMUSG00000039774</v>
      </c>
      <c r="I7811" s="7" t="str">
        <f>HYPERLINK("http://www.informatics.jax.org/marker/MGI:2444664","MGI:2444664")</f>
        <v>MGI:2444664</v>
      </c>
      <c r="J7811" s="4" t="s">
        <v>12</v>
      </c>
    </row>
    <row r="7812" spans="1:10" x14ac:dyDescent="0.25">
      <c r="A7812" s="2">
        <v>104.423584746011</v>
      </c>
      <c r="B7812" s="3">
        <v>-1.2443326258110601</v>
      </c>
      <c r="C7812" s="5">
        <v>1.22100666177361E-22</v>
      </c>
      <c r="D7812" s="6">
        <v>1.36343439242217E-21</v>
      </c>
      <c r="E7812" s="3" t="s">
        <v>3550</v>
      </c>
      <c r="F7812" s="3" t="s">
        <v>3551</v>
      </c>
      <c r="G7812" s="3">
        <v>229615</v>
      </c>
      <c r="H7812" s="7" t="str">
        <f>HYPERLINK("http://www.ensembl.org/Mus_musculus/Gene/Summary?db=core;g=ENSMUSG00000028101","ENSMUSG00000028101")</f>
        <v>ENSMUSG00000028101</v>
      </c>
      <c r="I7812" s="7" t="str">
        <f>HYPERLINK("http://www.informatics.jax.org/marker/MGI:1913126","MGI:1913126")</f>
        <v>MGI:1913126</v>
      </c>
      <c r="J7812" s="4" t="s">
        <v>12</v>
      </c>
    </row>
    <row r="7813" spans="1:10" x14ac:dyDescent="0.25">
      <c r="A7813" s="2">
        <v>398.051841197302</v>
      </c>
      <c r="B7813" s="3">
        <v>-1.24441736443234</v>
      </c>
      <c r="C7813" s="5">
        <v>2.2959461967706802E-59</v>
      </c>
      <c r="D7813" s="6">
        <v>8.1139890681573307E-58</v>
      </c>
      <c r="E7813" s="3" t="s">
        <v>1132</v>
      </c>
      <c r="F7813" s="3" t="s">
        <v>1133</v>
      </c>
      <c r="G7813" s="3">
        <v>117599</v>
      </c>
      <c r="H7813" s="7" t="str">
        <f>HYPERLINK("http://www.ensembl.org/Mus_musculus/Gene/Summary?db=core;g=ENSMUSG00000020228","ENSMUSG00000020228")</f>
        <v>ENSMUSG00000020228</v>
      </c>
      <c r="I7813" s="7" t="str">
        <f>HYPERLINK("http://www.informatics.jax.org/marker/MGI:2152895","MGI:2152895")</f>
        <v>MGI:2152895</v>
      </c>
      <c r="J7813" s="4" t="s">
        <v>12</v>
      </c>
    </row>
    <row r="7814" spans="1:10" x14ac:dyDescent="0.25">
      <c r="A7814" s="2">
        <v>11.6771908404497</v>
      </c>
      <c r="B7814" s="3">
        <v>-1.24479059988664</v>
      </c>
      <c r="C7814" s="3">
        <v>1.0853237801052501E-4</v>
      </c>
      <c r="D7814" s="4">
        <v>3.6460962425341698E-4</v>
      </c>
      <c r="E7814" s="3" t="s">
        <v>11751</v>
      </c>
      <c r="F7814" s="3" t="s">
        <v>11752</v>
      </c>
      <c r="G7814" s="3">
        <v>14555</v>
      </c>
      <c r="H7814" s="7" t="str">
        <f>HYPERLINK("http://www.ensembl.org/Mus_musculus/Gene/Summary?db=core;g=ENSMUSG00000023019","ENSMUSG00000023019")</f>
        <v>ENSMUSG00000023019</v>
      </c>
      <c r="I7814" s="7" t="str">
        <f>HYPERLINK("http://www.informatics.jax.org/marker/MGI:95679","MGI:95679")</f>
        <v>MGI:95679</v>
      </c>
      <c r="J7814" s="4" t="s">
        <v>12</v>
      </c>
    </row>
    <row r="7815" spans="1:10" x14ac:dyDescent="0.25">
      <c r="A7815" s="2">
        <v>19.9357214295045</v>
      </c>
      <c r="B7815" s="3">
        <v>-1.2449544128646</v>
      </c>
      <c r="C7815" s="5">
        <v>3.2820668952190401E-7</v>
      </c>
      <c r="D7815" s="6">
        <v>1.42717440294861E-6</v>
      </c>
      <c r="E7815" s="3" t="s">
        <v>9085</v>
      </c>
      <c r="F7815" s="3" t="s">
        <v>9086</v>
      </c>
      <c r="G7815" s="3">
        <v>19339</v>
      </c>
      <c r="H7815" s="7" t="str">
        <f>HYPERLINK("http://www.ensembl.org/Mus_musculus/Gene/Summary?db=core;g=ENSMUSG00000031840","ENSMUSG00000031840")</f>
        <v>ENSMUSG00000031840</v>
      </c>
      <c r="I7815" s="7" t="str">
        <f>HYPERLINK("http://www.informatics.jax.org/marker/MGI:97843","MGI:97843")</f>
        <v>MGI:97843</v>
      </c>
      <c r="J7815" s="4" t="s">
        <v>12</v>
      </c>
    </row>
    <row r="7816" spans="1:10" x14ac:dyDescent="0.25">
      <c r="A7816" s="2">
        <v>5.3421840166265797</v>
      </c>
      <c r="B7816" s="3">
        <v>-1.2449955853376899</v>
      </c>
      <c r="C7816" s="3">
        <v>2.5344680767777801E-3</v>
      </c>
      <c r="D7816" s="4">
        <v>7.0413793285513896E-3</v>
      </c>
      <c r="E7816" s="3" t="s">
        <v>14203</v>
      </c>
      <c r="F7816" s="3" t="s">
        <v>14204</v>
      </c>
      <c r="G7816" s="3">
        <v>14772</v>
      </c>
      <c r="H7816" s="7" t="str">
        <f>HYPERLINK("http://www.ensembl.org/Mus_musculus/Gene/Summary?db=core;g=ENSMUSG00000052783","ENSMUSG00000052783")</f>
        <v>ENSMUSG00000052783</v>
      </c>
      <c r="I7816" s="7" t="str">
        <f>HYPERLINK("http://www.informatics.jax.org/marker/MGI:95801","MGI:95801")</f>
        <v>MGI:95801</v>
      </c>
      <c r="J7816" s="4" t="s">
        <v>12</v>
      </c>
    </row>
    <row r="7817" spans="1:10" x14ac:dyDescent="0.25">
      <c r="A7817" s="2">
        <v>30.111399402495099</v>
      </c>
      <c r="B7817" s="3">
        <v>-1.2456794702560201</v>
      </c>
      <c r="C7817" s="5">
        <v>4.5650435103704101E-7</v>
      </c>
      <c r="D7817" s="6">
        <v>1.95361671060123E-6</v>
      </c>
      <c r="E7817" s="3" t="s">
        <v>9231</v>
      </c>
      <c r="F7817" s="3" t="s">
        <v>9232</v>
      </c>
      <c r="G7817" s="3" t="s">
        <v>83</v>
      </c>
      <c r="H7817" s="7" t="str">
        <f>HYPERLINK("http://www.ensembl.org/Mus_musculus/Gene/Summary?db=core;g=ENSMUSG00000089671","ENSMUSG00000089671")</f>
        <v>ENSMUSG00000089671</v>
      </c>
      <c r="I7817" s="7" t="str">
        <f>HYPERLINK("http://www.informatics.jax.org/marker/MGI:4414957","MGI:4414957")</f>
        <v>MGI:4414957</v>
      </c>
      <c r="J7817" s="4" t="s">
        <v>932</v>
      </c>
    </row>
    <row r="7818" spans="1:10" x14ac:dyDescent="0.25">
      <c r="A7818" s="2">
        <v>452.132258904504</v>
      </c>
      <c r="B7818" s="3">
        <v>-1.2459584494431299</v>
      </c>
      <c r="C7818" s="5">
        <v>4.7412834850826898E-84</v>
      </c>
      <c r="D7818" s="6">
        <v>2.9681939785977997E-82</v>
      </c>
      <c r="E7818" s="3" t="s">
        <v>642</v>
      </c>
      <c r="F7818" s="3" t="s">
        <v>643</v>
      </c>
      <c r="G7818" s="3">
        <v>228983</v>
      </c>
      <c r="H7818" s="7" t="str">
        <f>HYPERLINK("http://www.ensembl.org/Mus_musculus/Gene/Summary?db=core;g=ENSMUSG00000039050","ENSMUSG00000039050")</f>
        <v>ENSMUSG00000039050</v>
      </c>
      <c r="I7818" s="7" t="str">
        <f>HYPERLINK("http://www.informatics.jax.org/marker/MGI:2442832","MGI:2442832")</f>
        <v>MGI:2442832</v>
      </c>
      <c r="J7818" s="4" t="s">
        <v>12</v>
      </c>
    </row>
    <row r="7819" spans="1:10" x14ac:dyDescent="0.25">
      <c r="A7819" s="2">
        <v>10.0522988734305</v>
      </c>
      <c r="B7819" s="3">
        <v>-1.2459962469789201</v>
      </c>
      <c r="C7819" s="5">
        <v>7.1416313561533694E-5</v>
      </c>
      <c r="D7819" s="4">
        <v>2.4450168462386199E-4</v>
      </c>
      <c r="E7819" s="3" t="s">
        <v>11531</v>
      </c>
      <c r="F7819" s="3" t="s">
        <v>11532</v>
      </c>
      <c r="G7819" s="3">
        <v>100038947</v>
      </c>
      <c r="H7819" s="7" t="str">
        <f>HYPERLINK("http://www.ensembl.org/Mus_musculus/Gene/Summary?db=core;g=ENSMUSG00000074677","ENSMUSG00000074677")</f>
        <v>ENSMUSG00000074677</v>
      </c>
      <c r="I7819" s="7" t="str">
        <f>HYPERLINK("http://www.informatics.jax.org/marker/MGI:3807521","MGI:3807521")</f>
        <v>MGI:3807521</v>
      </c>
      <c r="J7819" s="4" t="s">
        <v>12</v>
      </c>
    </row>
    <row r="7820" spans="1:10" x14ac:dyDescent="0.25">
      <c r="A7820" s="2">
        <v>1132.4070586191201</v>
      </c>
      <c r="B7820" s="3">
        <v>-1.2469937707550001</v>
      </c>
      <c r="C7820" s="5">
        <v>2.6036647810133501E-40</v>
      </c>
      <c r="D7820" s="6">
        <v>5.3595270857602497E-39</v>
      </c>
      <c r="E7820" s="3" t="s">
        <v>1933</v>
      </c>
      <c r="F7820" s="3" t="s">
        <v>1934</v>
      </c>
      <c r="G7820" s="3">
        <v>18973</v>
      </c>
      <c r="H7820" s="7" t="str">
        <f>HYPERLINK("http://www.ensembl.org/Mus_musculus/Gene/Summary?db=core;g=ENSMUSG00000007080","ENSMUSG00000007080")</f>
        <v>ENSMUSG00000007080</v>
      </c>
      <c r="I7820" s="7" t="str">
        <f>HYPERLINK("http://www.informatics.jax.org/marker/MGI:1196391","MGI:1196391")</f>
        <v>MGI:1196391</v>
      </c>
      <c r="J7820" s="4" t="s">
        <v>12</v>
      </c>
    </row>
    <row r="7821" spans="1:10" x14ac:dyDescent="0.25">
      <c r="A7821" s="2">
        <v>298.22887873089297</v>
      </c>
      <c r="B7821" s="3">
        <v>-1.2471060036003101</v>
      </c>
      <c r="C7821" s="5">
        <v>1.26408809268064E-37</v>
      </c>
      <c r="D7821" s="6">
        <v>2.3877219528412199E-36</v>
      </c>
      <c r="E7821" s="3" t="s">
        <v>2105</v>
      </c>
      <c r="F7821" s="3" t="s">
        <v>2106</v>
      </c>
      <c r="G7821" s="3">
        <v>66514</v>
      </c>
      <c r="H7821" s="7" t="str">
        <f>HYPERLINK("http://www.ensembl.org/Mus_musculus/Gene/Summary?db=core;g=ENSMUSG00000024654","ENSMUSG00000024654")</f>
        <v>ENSMUSG00000024654</v>
      </c>
      <c r="I7821" s="7" t="str">
        <f>HYPERLINK("http://www.informatics.jax.org/marker/MGI:1913764","MGI:1913764")</f>
        <v>MGI:1913764</v>
      </c>
      <c r="J7821" s="4" t="s">
        <v>12</v>
      </c>
    </row>
    <row r="7822" spans="1:10" x14ac:dyDescent="0.25">
      <c r="A7822" s="2">
        <v>75.179334164019295</v>
      </c>
      <c r="B7822" s="3">
        <v>-1.2473677008811901</v>
      </c>
      <c r="C7822" s="5">
        <v>3.0257941298354897E-11</v>
      </c>
      <c r="D7822" s="6">
        <v>1.82976572340864E-10</v>
      </c>
      <c r="E7822" s="3" t="s">
        <v>6539</v>
      </c>
      <c r="F7822" s="3" t="s">
        <v>6540</v>
      </c>
      <c r="G7822" s="3">
        <v>13025</v>
      </c>
      <c r="H7822" s="7" t="str">
        <f>HYPERLINK("http://www.ensembl.org/Mus_musculus/Gene/Summary?db=core;g=ENSMUSG00000074874","ENSMUSG00000074874")</f>
        <v>ENSMUSG00000074874</v>
      </c>
      <c r="I7822" s="7" t="str">
        <f>HYPERLINK("http://www.informatics.jax.org/marker/MGI:88555","MGI:88555")</f>
        <v>MGI:88555</v>
      </c>
      <c r="J7822" s="4" t="s">
        <v>12</v>
      </c>
    </row>
    <row r="7823" spans="1:10" x14ac:dyDescent="0.25">
      <c r="A7823" s="2">
        <v>30.041096911198402</v>
      </c>
      <c r="B7823" s="3">
        <v>-1.2486758367759301</v>
      </c>
      <c r="C7823" s="5">
        <v>3.4659599810834301E-8</v>
      </c>
      <c r="D7823" s="6">
        <v>1.6339643994015101E-7</v>
      </c>
      <c r="E7823" s="3" t="s">
        <v>8383</v>
      </c>
      <c r="F7823" s="3" t="s">
        <v>8384</v>
      </c>
      <c r="G7823" s="3">
        <v>213402</v>
      </c>
      <c r="H7823" s="7" t="str">
        <f>HYPERLINK("http://www.ensembl.org/Mus_musculus/Gene/Summary?db=core;g=ENSMUSG00000071324","ENSMUSG00000071324")</f>
        <v>ENSMUSG00000071324</v>
      </c>
      <c r="I7823" s="7" t="str">
        <f>HYPERLINK("http://www.informatics.jax.org/marker/MGI:1916449","MGI:1916449")</f>
        <v>MGI:1916449</v>
      </c>
      <c r="J7823" s="4" t="s">
        <v>12</v>
      </c>
    </row>
    <row r="7824" spans="1:10" x14ac:dyDescent="0.25">
      <c r="A7824" s="2">
        <v>30.992719601443401</v>
      </c>
      <c r="B7824" s="3">
        <v>-1.2487708425169299</v>
      </c>
      <c r="C7824" s="5">
        <v>1.9361032036557298E-9</v>
      </c>
      <c r="D7824" s="6">
        <v>1.0151543519301E-8</v>
      </c>
      <c r="E7824" s="3" t="s">
        <v>7540</v>
      </c>
      <c r="F7824" s="3" t="s">
        <v>7541</v>
      </c>
      <c r="G7824" s="3">
        <v>52028</v>
      </c>
      <c r="H7824" s="7" t="str">
        <f>HYPERLINK("http://www.ensembl.org/Mus_musculus/Gene/Summary?db=core;g=ENSMUSG00000006464","ENSMUSG00000006464")</f>
        <v>ENSMUSG00000006464</v>
      </c>
      <c r="I7824" s="7" t="str">
        <f>HYPERLINK("http://www.informatics.jax.org/marker/MGI:1277215","MGI:1277215")</f>
        <v>MGI:1277215</v>
      </c>
      <c r="J7824" s="4" t="s">
        <v>12</v>
      </c>
    </row>
    <row r="7825" spans="1:10" x14ac:dyDescent="0.25">
      <c r="A7825" s="2">
        <v>377.24645619544702</v>
      </c>
      <c r="B7825" s="3">
        <v>-1.24890768412359</v>
      </c>
      <c r="C7825" s="5">
        <v>3.9549426412688702E-54</v>
      </c>
      <c r="D7825" s="6">
        <v>1.18348207717484E-52</v>
      </c>
      <c r="E7825" s="3" t="s">
        <v>1334</v>
      </c>
      <c r="F7825" s="3" t="s">
        <v>1335</v>
      </c>
      <c r="G7825" s="3">
        <v>18974</v>
      </c>
      <c r="H7825" s="7" t="str">
        <f>HYPERLINK("http://www.ensembl.org/Mus_musculus/Gene/Summary?db=core;g=ENSMUSG00000020974","ENSMUSG00000020974")</f>
        <v>ENSMUSG00000020974</v>
      </c>
      <c r="I7825" s="7" t="str">
        <f>HYPERLINK("http://www.informatics.jax.org/marker/MGI:1197514","MGI:1197514")</f>
        <v>MGI:1197514</v>
      </c>
      <c r="J7825" s="4" t="s">
        <v>12</v>
      </c>
    </row>
    <row r="7826" spans="1:10" x14ac:dyDescent="0.25">
      <c r="A7826" s="2">
        <v>1624.3032265069901</v>
      </c>
      <c r="B7826" s="3">
        <v>-1.2498171838202901</v>
      </c>
      <c r="C7826" s="5">
        <v>2.0227729972933101E-31</v>
      </c>
      <c r="D7826" s="6">
        <v>3.1042088332003101E-30</v>
      </c>
      <c r="E7826" s="3" t="s">
        <v>2587</v>
      </c>
      <c r="F7826" s="3" t="s">
        <v>2588</v>
      </c>
      <c r="G7826" s="3">
        <v>74030</v>
      </c>
      <c r="H7826" s="7" t="str">
        <f>HYPERLINK("http://www.ensembl.org/Mus_musculus/Gene/Summary?db=core;g=ENSMUSG00000001768","ENSMUSG00000001768")</f>
        <v>ENSMUSG00000001768</v>
      </c>
      <c r="I7826" s="7" t="str">
        <f>HYPERLINK("http://www.informatics.jax.org/marker/MGI:1921280","MGI:1921280")</f>
        <v>MGI:1921280</v>
      </c>
      <c r="J7826" s="4" t="s">
        <v>12</v>
      </c>
    </row>
    <row r="7827" spans="1:10" x14ac:dyDescent="0.25">
      <c r="A7827" s="2">
        <v>26.930440959569101</v>
      </c>
      <c r="B7827" s="3">
        <v>-1.25171381671568</v>
      </c>
      <c r="C7827" s="5">
        <v>1.66113481775096E-6</v>
      </c>
      <c r="D7827" s="6">
        <v>6.7264021778334502E-6</v>
      </c>
      <c r="E7827" s="3" t="s">
        <v>9755</v>
      </c>
      <c r="F7827" s="3" t="s">
        <v>9756</v>
      </c>
      <c r="G7827" s="3" t="s">
        <v>83</v>
      </c>
      <c r="H7827" s="7" t="str">
        <f>HYPERLINK("http://www.ensembl.org/Mus_musculus/Gene/Summary?db=core;g=ENSMUSG00000114635","ENSMUSG00000114635")</f>
        <v>ENSMUSG00000114635</v>
      </c>
      <c r="I7827" s="7" t="str">
        <f>HYPERLINK("http://www.informatics.jax.org/marker/MGI:6121621","MGI:6121621")</f>
        <v>MGI:6121621</v>
      </c>
      <c r="J7827" s="4" t="s">
        <v>12</v>
      </c>
    </row>
    <row r="7828" spans="1:10" x14ac:dyDescent="0.25">
      <c r="A7828" s="2">
        <v>58.345676517900898</v>
      </c>
      <c r="B7828" s="3">
        <v>-1.2528086016036399</v>
      </c>
      <c r="C7828" s="5">
        <v>2.1207615361826301E-12</v>
      </c>
      <c r="D7828" s="6">
        <v>1.3968409316473399E-11</v>
      </c>
      <c r="E7828" s="3" t="s">
        <v>6005</v>
      </c>
      <c r="F7828" s="3" t="s">
        <v>6006</v>
      </c>
      <c r="G7828" s="3">
        <v>320204</v>
      </c>
      <c r="H7828" s="7" t="str">
        <f>HYPERLINK("http://www.ensembl.org/Mus_musculus/Gene/Summary?db=core;g=ENSMUSG00000039958","ENSMUSG00000039958")</f>
        <v>ENSMUSG00000039958</v>
      </c>
      <c r="I7828" s="7" t="str">
        <f>HYPERLINK("http://www.informatics.jax.org/marker/MGI:2443575","MGI:2443575")</f>
        <v>MGI:2443575</v>
      </c>
      <c r="J7828" s="4" t="s">
        <v>12</v>
      </c>
    </row>
    <row r="7829" spans="1:10" x14ac:dyDescent="0.25">
      <c r="A7829" s="2">
        <v>2536.5729405164798</v>
      </c>
      <c r="B7829" s="3">
        <v>-1.25343271530172</v>
      </c>
      <c r="C7829" s="5">
        <v>5.7453546771939701E-50</v>
      </c>
      <c r="D7829" s="6">
        <v>1.5477922709599101E-48</v>
      </c>
      <c r="E7829" s="3" t="s">
        <v>1480</v>
      </c>
      <c r="F7829" s="3" t="s">
        <v>1481</v>
      </c>
      <c r="G7829" s="3">
        <v>70472</v>
      </c>
      <c r="H7829" s="7" t="str">
        <f>HYPERLINK("http://www.ensembl.org/Mus_musculus/Gene/Summary?db=core;g=ENSMUSG00000022360","ENSMUSG00000022360")</f>
        <v>ENSMUSG00000022360</v>
      </c>
      <c r="I7829" s="7" t="str">
        <f>HYPERLINK("http://www.informatics.jax.org/marker/MGI:1917722","MGI:1917722")</f>
        <v>MGI:1917722</v>
      </c>
      <c r="J7829" s="4" t="s">
        <v>12</v>
      </c>
    </row>
    <row r="7830" spans="1:10" x14ac:dyDescent="0.25">
      <c r="A7830" s="2">
        <v>24.633646253769701</v>
      </c>
      <c r="B7830" s="3">
        <v>-1.25382068070287</v>
      </c>
      <c r="C7830" s="5">
        <v>6.82256392358612E-8</v>
      </c>
      <c r="D7830" s="6">
        <v>3.1339613457516501E-7</v>
      </c>
      <c r="E7830" s="3" t="s">
        <v>8603</v>
      </c>
      <c r="F7830" s="3" t="s">
        <v>8604</v>
      </c>
      <c r="G7830" s="3">
        <v>630579</v>
      </c>
      <c r="H7830" s="7" t="str">
        <f>HYPERLINK("http://www.ensembl.org/Mus_musculus/Gene/Summary?db=core;g=ENSMUSG00000074867","ENSMUSG00000074867")</f>
        <v>ENSMUSG00000074867</v>
      </c>
      <c r="I7830" s="7" t="str">
        <f>HYPERLINK("http://www.informatics.jax.org/marker/MGI:3704127","MGI:3704127")</f>
        <v>MGI:3704127</v>
      </c>
      <c r="J7830" s="4" t="s">
        <v>12</v>
      </c>
    </row>
    <row r="7831" spans="1:10" x14ac:dyDescent="0.25">
      <c r="A7831" s="2">
        <v>52.552119527696298</v>
      </c>
      <c r="B7831" s="3">
        <v>-1.2538685978561701</v>
      </c>
      <c r="C7831" s="5">
        <v>3.3856252647776702E-13</v>
      </c>
      <c r="D7831" s="6">
        <v>2.3376936352036299E-12</v>
      </c>
      <c r="E7831" s="3" t="s">
        <v>5729</v>
      </c>
      <c r="F7831" s="3" t="s">
        <v>5730</v>
      </c>
      <c r="G7831" s="3">
        <v>13641</v>
      </c>
      <c r="H7831" s="7" t="str">
        <f>HYPERLINK("http://www.ensembl.org/Mus_musculus/Gene/Summary?db=core;g=ENSMUSG00000031217","ENSMUSG00000031217")</f>
        <v>ENSMUSG00000031217</v>
      </c>
      <c r="I7831" s="7" t="str">
        <f>HYPERLINK("http://www.informatics.jax.org/marker/MGI:102708","MGI:102708")</f>
        <v>MGI:102708</v>
      </c>
      <c r="J7831" s="4" t="s">
        <v>12</v>
      </c>
    </row>
    <row r="7832" spans="1:10" x14ac:dyDescent="0.25">
      <c r="A7832" s="2">
        <v>176.57982177772399</v>
      </c>
      <c r="B7832" s="3">
        <v>-1.25559894055651</v>
      </c>
      <c r="C7832" s="5">
        <v>6.4138512220156397E-39</v>
      </c>
      <c r="D7832" s="6">
        <v>1.2535296937378399E-37</v>
      </c>
      <c r="E7832" s="3" t="s">
        <v>2035</v>
      </c>
      <c r="F7832" s="3" t="s">
        <v>2036</v>
      </c>
      <c r="G7832" s="3">
        <v>60455</v>
      </c>
      <c r="H7832" s="7" t="str">
        <f>HYPERLINK("http://www.ensembl.org/Mus_musculus/Gene/Summary?db=core;g=ENSMUSG00000024180","ENSMUSG00000024180")</f>
        <v>ENSMUSG00000024180</v>
      </c>
      <c r="I7832" s="7" t="str">
        <f>HYPERLINK("http://www.informatics.jax.org/marker/MGI:1926283","MGI:1926283")</f>
        <v>MGI:1926283</v>
      </c>
      <c r="J7832" s="4" t="s">
        <v>12</v>
      </c>
    </row>
    <row r="7833" spans="1:10" x14ac:dyDescent="0.25">
      <c r="A7833" s="2">
        <v>43.933447202501803</v>
      </c>
      <c r="B7833" s="3">
        <v>-1.25570371961254</v>
      </c>
      <c r="C7833" s="5">
        <v>7.4772005710353096E-10</v>
      </c>
      <c r="D7833" s="6">
        <v>4.0452783336300802E-9</v>
      </c>
      <c r="E7833" s="3" t="s">
        <v>7308</v>
      </c>
      <c r="F7833" s="3" t="s">
        <v>7309</v>
      </c>
      <c r="G7833" s="3">
        <v>18223</v>
      </c>
      <c r="H7833" s="7" t="str">
        <f>HYPERLINK("http://www.ensembl.org/Mus_musculus/Gene/Summary?db=core;g=ENSMUSG00000063160","ENSMUSG00000063160")</f>
        <v>ENSMUSG00000063160</v>
      </c>
      <c r="I7833" s="7" t="str">
        <f>HYPERLINK("http://www.informatics.jax.org/marker/MGI:894702","MGI:894702")</f>
        <v>MGI:894702</v>
      </c>
      <c r="J7833" s="4" t="s">
        <v>12</v>
      </c>
    </row>
    <row r="7834" spans="1:10" x14ac:dyDescent="0.25">
      <c r="A7834" s="2">
        <v>205.381244011739</v>
      </c>
      <c r="B7834" s="3">
        <v>-1.25572300186812</v>
      </c>
      <c r="C7834" s="5">
        <v>1.03252963126199E-34</v>
      </c>
      <c r="D7834" s="6">
        <v>1.7721048153600001E-33</v>
      </c>
      <c r="E7834" s="3" t="s">
        <v>2315</v>
      </c>
      <c r="F7834" s="3" t="s">
        <v>2316</v>
      </c>
      <c r="G7834" s="3">
        <v>228839</v>
      </c>
      <c r="H7834" s="7" t="str">
        <f>HYPERLINK("http://www.ensembl.org/Mus_musculus/Gene/Summary?db=core;g=ENSMUSG00000062175","ENSMUSG00000062175")</f>
        <v>ENSMUSG00000062175</v>
      </c>
      <c r="I7834" s="7" t="str">
        <f>HYPERLINK("http://www.informatics.jax.org/marker/MGI:1915299","MGI:1915299")</f>
        <v>MGI:1915299</v>
      </c>
      <c r="J7834" s="4" t="s">
        <v>12</v>
      </c>
    </row>
    <row r="7835" spans="1:10" x14ac:dyDescent="0.25">
      <c r="A7835" s="2">
        <v>184.47474181046601</v>
      </c>
      <c r="B7835" s="3">
        <v>-1.2565752770338099</v>
      </c>
      <c r="C7835" s="5">
        <v>8.4446102396524997E-24</v>
      </c>
      <c r="D7835" s="6">
        <v>9.8420634708006597E-23</v>
      </c>
      <c r="E7835" s="3" t="s">
        <v>3402</v>
      </c>
      <c r="F7835" s="3" t="s">
        <v>3403</v>
      </c>
      <c r="G7835" s="3">
        <v>223970</v>
      </c>
      <c r="H7835" s="7" t="str">
        <f>HYPERLINK("http://www.ensembl.org/Mus_musculus/Gene/Summary?db=core;g=ENSMUSG00000037991","ENSMUSG00000037991")</f>
        <v>ENSMUSG00000037991</v>
      </c>
      <c r="I7835" s="7" t="str">
        <f>HYPERLINK("http://www.informatics.jax.org/marker/MGI:2685383","MGI:2685383")</f>
        <v>MGI:2685383</v>
      </c>
      <c r="J7835" s="4" t="s">
        <v>12</v>
      </c>
    </row>
    <row r="7836" spans="1:10" x14ac:dyDescent="0.25">
      <c r="A7836" s="2">
        <v>584.86361306516699</v>
      </c>
      <c r="B7836" s="3">
        <v>-1.2589066875402899</v>
      </c>
      <c r="C7836" s="5">
        <v>9.2863481075712498E-79</v>
      </c>
      <c r="D7836" s="6">
        <v>5.23219384803729E-77</v>
      </c>
      <c r="E7836" s="3" t="s">
        <v>712</v>
      </c>
      <c r="F7836" s="3" t="s">
        <v>713</v>
      </c>
      <c r="G7836" s="3">
        <v>78177</v>
      </c>
      <c r="H7836" s="7" t="str">
        <f>HYPERLINK("http://www.ensembl.org/Mus_musculus/Gene/Summary?db=core;g=ENSMUSG00000068115","ENSMUSG00000068115")</f>
        <v>ENSMUSG00000068115</v>
      </c>
      <c r="I7836" s="7" t="str">
        <f>HYPERLINK("http://www.informatics.jax.org/marker/MGI:1925427","MGI:1925427")</f>
        <v>MGI:1925427</v>
      </c>
      <c r="J7836" s="4" t="s">
        <v>12</v>
      </c>
    </row>
    <row r="7837" spans="1:10" x14ac:dyDescent="0.25">
      <c r="A7837" s="2">
        <v>59.735432371815598</v>
      </c>
      <c r="B7837" s="3">
        <v>-1.25903153057496</v>
      </c>
      <c r="C7837" s="5">
        <v>9.4285005770197E-12</v>
      </c>
      <c r="D7837" s="6">
        <v>5.9025406786929603E-11</v>
      </c>
      <c r="E7837" s="3" t="s">
        <v>6317</v>
      </c>
      <c r="F7837" s="3" t="s">
        <v>6318</v>
      </c>
      <c r="G7837" s="3">
        <v>107986</v>
      </c>
      <c r="H7837" s="7" t="str">
        <f>HYPERLINK("http://www.ensembl.org/Mus_musculus/Gene/Summary?db=core;g=ENSMUSG00000002109","ENSMUSG00000002109")</f>
        <v>ENSMUSG00000002109</v>
      </c>
      <c r="I7837" s="7" t="str">
        <f>HYPERLINK("http://www.informatics.jax.org/marker/MGI:1355314","MGI:1355314")</f>
        <v>MGI:1355314</v>
      </c>
      <c r="J7837" s="4" t="s">
        <v>12</v>
      </c>
    </row>
    <row r="7838" spans="1:10" x14ac:dyDescent="0.25">
      <c r="A7838" s="2">
        <v>214.28036560494601</v>
      </c>
      <c r="B7838" s="3">
        <v>-1.2595232282909501</v>
      </c>
      <c r="C7838" s="5">
        <v>1.01824486002455E-25</v>
      </c>
      <c r="D7838" s="6">
        <v>1.2830535872002699E-24</v>
      </c>
      <c r="E7838" s="3" t="s">
        <v>3148</v>
      </c>
      <c r="F7838" s="3" t="s">
        <v>3149</v>
      </c>
      <c r="G7838" s="3" t="s">
        <v>83</v>
      </c>
      <c r="H7838" s="7" t="str">
        <f>HYPERLINK("http://www.ensembl.org/Mus_musculus/Gene/Summary?db=core;g=ENSMUSG00000107476","ENSMUSG00000107476")</f>
        <v>ENSMUSG00000107476</v>
      </c>
      <c r="I7838" s="7" t="str">
        <f>HYPERLINK("http://www.informatics.jax.org/marker/MGI:1889827","MGI:1889827")</f>
        <v>MGI:1889827</v>
      </c>
      <c r="J7838" s="4" t="s">
        <v>3150</v>
      </c>
    </row>
    <row r="7839" spans="1:10" x14ac:dyDescent="0.25">
      <c r="A7839" s="2">
        <v>3425.1453253534301</v>
      </c>
      <c r="B7839" s="3">
        <v>-1.2600218373413501</v>
      </c>
      <c r="C7839" s="5">
        <v>5.5513160248733702E-36</v>
      </c>
      <c r="D7839" s="6">
        <v>9.9610511383533005E-35</v>
      </c>
      <c r="E7839" s="3" t="s">
        <v>2215</v>
      </c>
      <c r="F7839" s="3" t="s">
        <v>2216</v>
      </c>
      <c r="G7839" s="3">
        <v>16658</v>
      </c>
      <c r="H7839" s="7" t="str">
        <f>HYPERLINK("http://www.ensembl.org/Mus_musculus/Gene/Summary?db=core;g=ENSMUSG00000074622","ENSMUSG00000074622")</f>
        <v>ENSMUSG00000074622</v>
      </c>
      <c r="I7839" s="7" t="str">
        <f>HYPERLINK("http://www.informatics.jax.org/marker/MGI:104555","MGI:104555")</f>
        <v>MGI:104555</v>
      </c>
      <c r="J7839" s="4" t="s">
        <v>12</v>
      </c>
    </row>
    <row r="7840" spans="1:10" x14ac:dyDescent="0.25">
      <c r="A7840" s="2">
        <v>77.958285067347504</v>
      </c>
      <c r="B7840" s="3">
        <v>-1.2602575240752201</v>
      </c>
      <c r="C7840" s="5">
        <v>3.0518904374833901E-13</v>
      </c>
      <c r="D7840" s="6">
        <v>2.1139191930864999E-12</v>
      </c>
      <c r="E7840" s="3" t="s">
        <v>5711</v>
      </c>
      <c r="F7840" s="3" t="s">
        <v>5712</v>
      </c>
      <c r="G7840" s="3">
        <v>14544</v>
      </c>
      <c r="H7840" s="7" t="str">
        <f>HYPERLINK("http://www.ensembl.org/Mus_musculus/Gene/Summary?db=core;g=ENSMUSG00000058624","ENSMUSG00000058624")</f>
        <v>ENSMUSG00000058624</v>
      </c>
      <c r="I7840" s="7" t="str">
        <f>HYPERLINK("http://www.informatics.jax.org/marker/MGI:95678","MGI:95678")</f>
        <v>MGI:95678</v>
      </c>
      <c r="J7840" s="4" t="s">
        <v>12</v>
      </c>
    </row>
    <row r="7841" spans="1:10" x14ac:dyDescent="0.25">
      <c r="A7841" s="2">
        <v>9.2937156560165395</v>
      </c>
      <c r="B7841" s="3">
        <v>-1.2606075280373801</v>
      </c>
      <c r="C7841" s="3">
        <v>6.6462199445389998E-4</v>
      </c>
      <c r="D7841" s="4">
        <v>2.0104840820111798E-3</v>
      </c>
      <c r="E7841" s="3" t="s">
        <v>13047</v>
      </c>
      <c r="F7841" s="3" t="s">
        <v>13048</v>
      </c>
      <c r="G7841" s="3">
        <v>271375</v>
      </c>
      <c r="H7841" s="7" t="str">
        <f>HYPERLINK("http://www.ensembl.org/Mus_musculus/Gene/Summary?db=core;g=ENSMUSG00000090176","ENSMUSG00000090176")</f>
        <v>ENSMUSG00000090176</v>
      </c>
      <c r="I7841" s="7" t="str">
        <f>HYPERLINK("http://www.informatics.jax.org/marker/MGI:3042847","MGI:3042847")</f>
        <v>MGI:3042847</v>
      </c>
      <c r="J7841" s="4" t="s">
        <v>12</v>
      </c>
    </row>
    <row r="7842" spans="1:10" x14ac:dyDescent="0.25">
      <c r="A7842" s="2">
        <v>33.100486997793098</v>
      </c>
      <c r="B7842" s="3">
        <v>-1.2607282198243399</v>
      </c>
      <c r="C7842" s="5">
        <v>1.41543457009538E-9</v>
      </c>
      <c r="D7842" s="6">
        <v>7.4952657686039006E-9</v>
      </c>
      <c r="E7842" s="3" t="s">
        <v>7466</v>
      </c>
      <c r="F7842" s="3" t="s">
        <v>7467</v>
      </c>
      <c r="G7842" s="3">
        <v>15372</v>
      </c>
      <c r="H7842" s="7" t="str">
        <f>HYPERLINK("http://www.ensembl.org/Mus_musculus/Gene/Summary?db=core;g=ENSMUSG00000050100","ENSMUSG00000050100")</f>
        <v>ENSMUSG00000050100</v>
      </c>
      <c r="I7842" s="7" t="str">
        <f>HYPERLINK("http://www.informatics.jax.org/marker/MGI:107159","MGI:107159")</f>
        <v>MGI:107159</v>
      </c>
      <c r="J7842" s="4" t="s">
        <v>12</v>
      </c>
    </row>
    <row r="7843" spans="1:10" x14ac:dyDescent="0.25">
      <c r="A7843" s="2">
        <v>2.1099390268881901</v>
      </c>
      <c r="B7843" s="3">
        <v>-1.26123557412238</v>
      </c>
      <c r="C7843" s="3">
        <v>7.0923968579833596E-3</v>
      </c>
      <c r="D7843" s="4">
        <v>1.8194622874909801E-2</v>
      </c>
      <c r="E7843" s="3" t="s">
        <v>15379</v>
      </c>
      <c r="F7843" s="3" t="s">
        <v>15380</v>
      </c>
      <c r="G7843" s="3" t="s">
        <v>83</v>
      </c>
      <c r="H7843" s="7" t="str">
        <f>HYPERLINK("http://www.ensembl.org/Mus_musculus/Gene/Summary?db=core;g=ENSMUSG00000089991","ENSMUSG00000089991")</f>
        <v>ENSMUSG00000089991</v>
      </c>
      <c r="I7843" s="7" t="str">
        <f>HYPERLINK("http://www.informatics.jax.org/marker/MGI:3840155","MGI:3840155")</f>
        <v>MGI:3840155</v>
      </c>
      <c r="J7843" s="4" t="s">
        <v>2683</v>
      </c>
    </row>
    <row r="7844" spans="1:10" x14ac:dyDescent="0.25">
      <c r="A7844" s="2">
        <v>116.399545402687</v>
      </c>
      <c r="B7844" s="3">
        <v>-1.26181757995054</v>
      </c>
      <c r="C7844" s="5">
        <v>4.9146952980049203E-26</v>
      </c>
      <c r="D7844" s="6">
        <v>6.2527607275262602E-25</v>
      </c>
      <c r="E7844" s="3" t="s">
        <v>3118</v>
      </c>
      <c r="F7844" s="3" t="s">
        <v>3119</v>
      </c>
      <c r="G7844" s="3">
        <v>17245</v>
      </c>
      <c r="H7844" s="7" t="str">
        <f>HYPERLINK("http://www.ensembl.org/Mus_musculus/Gene/Summary?db=core;g=ENSMUSG00000020212","ENSMUSG00000020212")</f>
        <v>ENSMUSG00000020212</v>
      </c>
      <c r="I7844" s="7" t="str">
        <f>HYPERLINK("http://www.informatics.jax.org/marker/MGI:96951","MGI:96951")</f>
        <v>MGI:96951</v>
      </c>
      <c r="J7844" s="4" t="s">
        <v>12</v>
      </c>
    </row>
    <row r="7845" spans="1:10" x14ac:dyDescent="0.25">
      <c r="A7845" s="2">
        <v>1428.92191704168</v>
      </c>
      <c r="B7845" s="3">
        <v>-1.2628770423248299</v>
      </c>
      <c r="C7845" s="5">
        <v>3.2467449375510899E-59</v>
      </c>
      <c r="D7845" s="6">
        <v>1.13320017997358E-57</v>
      </c>
      <c r="E7845" s="3" t="s">
        <v>1146</v>
      </c>
      <c r="F7845" s="3" t="s">
        <v>1147</v>
      </c>
      <c r="G7845" s="3">
        <v>229706</v>
      </c>
      <c r="H7845" s="7" t="str">
        <f>HYPERLINK("http://www.ensembl.org/Mus_musculus/Gene/Summary?db=core;g=ENSMUSG00000027894","ENSMUSG00000027894")</f>
        <v>ENSMUSG00000027894</v>
      </c>
      <c r="I7845" s="7" t="str">
        <f>HYPERLINK("http://www.informatics.jax.org/marker/MGI:2442535","MGI:2442535")</f>
        <v>MGI:2442535</v>
      </c>
      <c r="J7845" s="4" t="s">
        <v>12</v>
      </c>
    </row>
    <row r="7846" spans="1:10" x14ac:dyDescent="0.25">
      <c r="A7846" s="2">
        <v>4.0731844924074601</v>
      </c>
      <c r="B7846" s="3">
        <v>-1.2632555605026199</v>
      </c>
      <c r="C7846" s="3">
        <v>3.3390165726329998E-3</v>
      </c>
      <c r="D7846" s="4">
        <v>9.0858847540116992E-3</v>
      </c>
      <c r="E7846" s="3" t="s">
        <v>14497</v>
      </c>
      <c r="F7846" s="3" t="s">
        <v>14498</v>
      </c>
      <c r="G7846" s="3">
        <v>18106</v>
      </c>
      <c r="H7846" s="7" t="str">
        <f>HYPERLINK("http://www.ensembl.org/Mus_musculus/Gene/Summary?db=core;g=ENSMUSG00000004709","ENSMUSG00000004709")</f>
        <v>ENSMUSG00000004709</v>
      </c>
      <c r="I7846" s="7" t="str">
        <f>HYPERLINK("http://www.informatics.jax.org/marker/MGI:109294","MGI:109294")</f>
        <v>MGI:109294</v>
      </c>
      <c r="J7846" s="4" t="s">
        <v>12</v>
      </c>
    </row>
    <row r="7847" spans="1:10" x14ac:dyDescent="0.25">
      <c r="A7847" s="2">
        <v>566.76189996077403</v>
      </c>
      <c r="B7847" s="3">
        <v>-1.26348711967853</v>
      </c>
      <c r="C7847" s="5">
        <v>8.4577142224813202E-66</v>
      </c>
      <c r="D7847" s="6">
        <v>3.5486409461134402E-64</v>
      </c>
      <c r="E7847" s="3" t="s">
        <v>954</v>
      </c>
      <c r="F7847" s="3" t="s">
        <v>955</v>
      </c>
      <c r="G7847" s="3">
        <v>105445</v>
      </c>
      <c r="H7847" s="7" t="str">
        <f>HYPERLINK("http://www.ensembl.org/Mus_musculus/Gene/Summary?db=core;g=ENSMUSG00000025558","ENSMUSG00000025558")</f>
        <v>ENSMUSG00000025558</v>
      </c>
      <c r="I7847" s="7" t="str">
        <f>HYPERLINK("http://www.informatics.jax.org/marker/MGI:106321","MGI:106321")</f>
        <v>MGI:106321</v>
      </c>
      <c r="J7847" s="4" t="s">
        <v>12</v>
      </c>
    </row>
    <row r="7848" spans="1:10" x14ac:dyDescent="0.25">
      <c r="A7848" s="2">
        <v>2.2771939021302998</v>
      </c>
      <c r="B7848" s="3">
        <v>-1.26549614320038</v>
      </c>
      <c r="C7848" s="3">
        <v>6.0462151711701299E-3</v>
      </c>
      <c r="D7848" s="4">
        <v>1.5711076976607601E-2</v>
      </c>
      <c r="E7848" s="3" t="s">
        <v>15183</v>
      </c>
      <c r="F7848" s="3" t="s">
        <v>15184</v>
      </c>
      <c r="G7848" s="3" t="s">
        <v>83</v>
      </c>
      <c r="H7848" s="7" t="str">
        <f>HYPERLINK("http://www.ensembl.org/Mus_musculus/Gene/Summary?db=core;g=ENSMUSG00000113216","ENSMUSG00000113216")</f>
        <v>ENSMUSG00000113216</v>
      </c>
      <c r="I7848" s="7" t="str">
        <f>HYPERLINK("http://www.informatics.jax.org/marker/MGI:5623726","MGI:5623726")</f>
        <v>MGI:5623726</v>
      </c>
      <c r="J7848" s="4" t="s">
        <v>939</v>
      </c>
    </row>
    <row r="7849" spans="1:10" x14ac:dyDescent="0.25">
      <c r="A7849" s="2">
        <v>75.797360555019196</v>
      </c>
      <c r="B7849" s="3">
        <v>-1.2675319024112901</v>
      </c>
      <c r="C7849" s="5">
        <v>6.3275295884911104E-17</v>
      </c>
      <c r="D7849" s="6">
        <v>5.3530194545278702E-16</v>
      </c>
      <c r="E7849" s="3" t="s">
        <v>4679</v>
      </c>
      <c r="F7849" s="3" t="s">
        <v>4680</v>
      </c>
      <c r="G7849" s="3">
        <v>109169</v>
      </c>
      <c r="H7849" s="7" t="str">
        <f>HYPERLINK("http://www.ensembl.org/Mus_musculus/Gene/Summary?db=core;g=ENSMUSG00000110185","ENSMUSG00000110185")</f>
        <v>ENSMUSG00000110185</v>
      </c>
      <c r="I7849" s="7" t="str">
        <f>HYPERLINK("http://www.informatics.jax.org/marker/MGI:1924271","MGI:1924271")</f>
        <v>MGI:1924271</v>
      </c>
      <c r="J7849" s="4" t="s">
        <v>12</v>
      </c>
    </row>
    <row r="7850" spans="1:10" x14ac:dyDescent="0.25">
      <c r="A7850" s="2">
        <v>1711.7222522647201</v>
      </c>
      <c r="B7850" s="3">
        <v>-1.26841197621403</v>
      </c>
      <c r="C7850" s="5">
        <v>2.25294615855021E-128</v>
      </c>
      <c r="D7850" s="6">
        <v>3.1068600172454703E-126</v>
      </c>
      <c r="E7850" s="3" t="s">
        <v>296</v>
      </c>
      <c r="F7850" s="3" t="s">
        <v>297</v>
      </c>
      <c r="G7850" s="3">
        <v>14673</v>
      </c>
      <c r="H7850" s="7" t="str">
        <f>HYPERLINK("http://www.ensembl.org/Mus_musculus/Gene/Summary?db=core;g=ENSMUSG00000000149","ENSMUSG00000000149")</f>
        <v>ENSMUSG00000000149</v>
      </c>
      <c r="I7850" s="7" t="str">
        <f>HYPERLINK("http://www.informatics.jax.org/marker/MGI:95767","MGI:95767")</f>
        <v>MGI:95767</v>
      </c>
      <c r="J7850" s="4" t="s">
        <v>12</v>
      </c>
    </row>
    <row r="7851" spans="1:10" x14ac:dyDescent="0.25">
      <c r="A7851" s="2">
        <v>610.73914292864697</v>
      </c>
      <c r="B7851" s="3">
        <v>-1.2695129613770899</v>
      </c>
      <c r="C7851" s="5">
        <v>7.2009983306754504E-11</v>
      </c>
      <c r="D7851" s="6">
        <v>4.2212748834994002E-10</v>
      </c>
      <c r="E7851" s="3" t="s">
        <v>6746</v>
      </c>
      <c r="F7851" s="3" t="s">
        <v>6747</v>
      </c>
      <c r="G7851" s="3">
        <v>12523</v>
      </c>
      <c r="H7851" s="7" t="str">
        <f>HYPERLINK("http://www.ensembl.org/Mus_musculus/Gene/Summary?db=core;g=ENSMUSG00000038147","ENSMUSG00000038147")</f>
        <v>ENSMUSG00000038147</v>
      </c>
      <c r="I7851" s="7" t="str">
        <f>HYPERLINK("http://www.informatics.jax.org/marker/MGI:1336885","MGI:1336885")</f>
        <v>MGI:1336885</v>
      </c>
      <c r="J7851" s="4" t="s">
        <v>12</v>
      </c>
    </row>
    <row r="7852" spans="1:10" x14ac:dyDescent="0.25">
      <c r="A7852" s="2">
        <v>2.3117646286990401</v>
      </c>
      <c r="B7852" s="3">
        <v>-1.2698771208824</v>
      </c>
      <c r="C7852" s="3">
        <v>6.6046764742772801E-3</v>
      </c>
      <c r="D7852" s="4">
        <v>1.7020938326287E-2</v>
      </c>
      <c r="E7852" s="3" t="s">
        <v>15309</v>
      </c>
      <c r="F7852" s="3" t="s">
        <v>15310</v>
      </c>
      <c r="G7852" s="3">
        <v>68810</v>
      </c>
      <c r="H7852" s="7" t="str">
        <f>HYPERLINK("http://www.ensembl.org/Mus_musculus/Gene/Summary?db=core;g=ENSMUSG00000039103","ENSMUSG00000039103")</f>
        <v>ENSMUSG00000039103</v>
      </c>
      <c r="I7852" s="7" t="str">
        <f>HYPERLINK("http://www.informatics.jax.org/marker/MGI:1916060","MGI:1916060")</f>
        <v>MGI:1916060</v>
      </c>
      <c r="J7852" s="4" t="s">
        <v>12</v>
      </c>
    </row>
    <row r="7853" spans="1:10" x14ac:dyDescent="0.25">
      <c r="A7853" s="2">
        <v>551.06089102560099</v>
      </c>
      <c r="B7853" s="3">
        <v>-1.27015550297524</v>
      </c>
      <c r="C7853" s="5">
        <v>1.0621168219914701E-23</v>
      </c>
      <c r="D7853" s="6">
        <v>1.2335066978605301E-22</v>
      </c>
      <c r="E7853" s="3" t="s">
        <v>3414</v>
      </c>
      <c r="F7853" s="3" t="s">
        <v>3415</v>
      </c>
      <c r="G7853" s="3">
        <v>67484</v>
      </c>
      <c r="H7853" s="7" t="str">
        <f>HYPERLINK("http://www.ensembl.org/Mus_musculus/Gene/Summary?db=core;g=ENSMUSG00000036611","ENSMUSG00000036611")</f>
        <v>ENSMUSG00000036611</v>
      </c>
      <c r="I7853" s="7" t="str">
        <f>HYPERLINK("http://www.informatics.jax.org/marker/MGI:1914734","MGI:1914734")</f>
        <v>MGI:1914734</v>
      </c>
      <c r="J7853" s="4" t="s">
        <v>12</v>
      </c>
    </row>
    <row r="7854" spans="1:10" x14ac:dyDescent="0.25">
      <c r="A7854" s="2">
        <v>1.8022626801997099</v>
      </c>
      <c r="B7854" s="3">
        <v>-1.2711996669391401</v>
      </c>
      <c r="C7854" s="3">
        <v>6.5439738575501297E-3</v>
      </c>
      <c r="D7854" s="4">
        <v>1.6879943030855299E-2</v>
      </c>
      <c r="E7854" s="3" t="s">
        <v>15295</v>
      </c>
      <c r="F7854" s="3" t="s">
        <v>15296</v>
      </c>
      <c r="G7854" s="3" t="s">
        <v>83</v>
      </c>
      <c r="H7854" s="7" t="str">
        <f>HYPERLINK("http://www.ensembl.org/Mus_musculus/Gene/Summary?db=core;g=ENSMUSG00000105137","ENSMUSG00000105137")</f>
        <v>ENSMUSG00000105137</v>
      </c>
      <c r="I7854" s="7" t="str">
        <f>HYPERLINK("http://www.informatics.jax.org/marker/MGI:5663006","MGI:5663006")</f>
        <v>MGI:5663006</v>
      </c>
      <c r="J7854" s="4" t="s">
        <v>4024</v>
      </c>
    </row>
    <row r="7855" spans="1:10" x14ac:dyDescent="0.25">
      <c r="A7855" s="2">
        <v>59.840876043073997</v>
      </c>
      <c r="B7855" s="3">
        <v>-1.2712685493570399</v>
      </c>
      <c r="C7855" s="5">
        <v>7.0059983009095499E-9</v>
      </c>
      <c r="D7855" s="6">
        <v>3.5181636489415902E-8</v>
      </c>
      <c r="E7855" s="3" t="s">
        <v>7870</v>
      </c>
      <c r="F7855" s="3" t="s">
        <v>7871</v>
      </c>
      <c r="G7855" s="3">
        <v>77864</v>
      </c>
      <c r="H7855" s="7" t="str">
        <f>HYPERLINK("http://www.ensembl.org/Mus_musculus/Gene/Summary?db=core;g=ENSMUSG00000018427","ENSMUSG00000018427")</f>
        <v>ENSMUSG00000018427</v>
      </c>
      <c r="I7855" s="7" t="str">
        <f>HYPERLINK("http://www.informatics.jax.org/marker/MGI:1925114","MGI:1925114")</f>
        <v>MGI:1925114</v>
      </c>
      <c r="J7855" s="4" t="s">
        <v>12</v>
      </c>
    </row>
    <row r="7856" spans="1:10" x14ac:dyDescent="0.25">
      <c r="A7856" s="2">
        <v>2.9033375325031501</v>
      </c>
      <c r="B7856" s="3">
        <v>-1.27145388348832</v>
      </c>
      <c r="C7856" s="3">
        <v>5.5480231638931196E-3</v>
      </c>
      <c r="D7856" s="4">
        <v>1.45468710001293E-2</v>
      </c>
      <c r="E7856" s="3" t="s">
        <v>15046</v>
      </c>
      <c r="F7856" s="3" t="s">
        <v>15047</v>
      </c>
      <c r="G7856" s="3" t="s">
        <v>83</v>
      </c>
      <c r="H7856" s="7" t="str">
        <f>HYPERLINK("http://www.ensembl.org/Mus_musculus/Gene/Summary?db=core;g=ENSMUSG00000114190","ENSMUSG00000114190")</f>
        <v>ENSMUSG00000114190</v>
      </c>
      <c r="I7856" s="7" t="str">
        <f>HYPERLINK("http://www.informatics.jax.org/marker/MGI:1923092","MGI:1923092")</f>
        <v>MGI:1923092</v>
      </c>
      <c r="J7856" s="4" t="s">
        <v>1828</v>
      </c>
    </row>
    <row r="7857" spans="1:10" x14ac:dyDescent="0.25">
      <c r="A7857" s="2">
        <v>1.18934483421024</v>
      </c>
      <c r="B7857" s="3">
        <v>-1.27210848912809</v>
      </c>
      <c r="C7857" s="3">
        <v>5.8042372506931202E-3</v>
      </c>
      <c r="D7857" s="4">
        <v>1.51461636342025E-2</v>
      </c>
      <c r="E7857" s="3" t="s">
        <v>15118</v>
      </c>
      <c r="F7857" s="3" t="s">
        <v>15119</v>
      </c>
      <c r="G7857" s="3" t="s">
        <v>83</v>
      </c>
      <c r="H7857" s="7" t="str">
        <f>HYPERLINK("http://www.ensembl.org/Mus_musculus/Gene/Summary?db=core;g=ENSMUSG00000117545","ENSMUSG00000117545")</f>
        <v>ENSMUSG00000117545</v>
      </c>
      <c r="I7857" s="7" t="str">
        <f>HYPERLINK("http://www.informatics.jax.org/marker/MGI:5589953","MGI:5589953")</f>
        <v>MGI:5589953</v>
      </c>
      <c r="J7857" s="4" t="s">
        <v>939</v>
      </c>
    </row>
    <row r="7858" spans="1:10" x14ac:dyDescent="0.25">
      <c r="A7858" s="2">
        <v>7.1299242671347498</v>
      </c>
      <c r="B7858" s="3">
        <v>-1.27230949307564</v>
      </c>
      <c r="C7858" s="3">
        <v>9.4608215619192701E-4</v>
      </c>
      <c r="D7858" s="4">
        <v>2.7979514277301702E-3</v>
      </c>
      <c r="E7858" s="3" t="s">
        <v>13345</v>
      </c>
      <c r="F7858" s="3" t="s">
        <v>13346</v>
      </c>
      <c r="G7858" s="3">
        <v>278795</v>
      </c>
      <c r="H7858" s="7" t="str">
        <f>HYPERLINK("http://www.ensembl.org/Mus_musculus/Gene/Summary?db=core;g=ENSMUSG00000090291","ENSMUSG00000090291")</f>
        <v>ENSMUSG00000090291</v>
      </c>
      <c r="I7858" s="7" t="str">
        <f>HYPERLINK("http://www.informatics.jax.org/marker/MGI:2685551","MGI:2685551")</f>
        <v>MGI:2685551</v>
      </c>
      <c r="J7858" s="4" t="s">
        <v>12</v>
      </c>
    </row>
    <row r="7859" spans="1:10" x14ac:dyDescent="0.25">
      <c r="A7859" s="2">
        <v>462.59689946485503</v>
      </c>
      <c r="B7859" s="3">
        <v>-1.27233661257579</v>
      </c>
      <c r="C7859" s="5">
        <v>1.24381738454855E-47</v>
      </c>
      <c r="D7859" s="6">
        <v>3.16083489990947E-46</v>
      </c>
      <c r="E7859" s="3" t="s">
        <v>1568</v>
      </c>
      <c r="F7859" s="3" t="s">
        <v>1569</v>
      </c>
      <c r="G7859" s="3">
        <v>56199</v>
      </c>
      <c r="H7859" s="7" t="str">
        <f>HYPERLINK("http://www.ensembl.org/Mus_musculus/Gene/Summary?db=core;g=ENSMUSG00000031974","ENSMUSG00000031974")</f>
        <v>ENSMUSG00000031974</v>
      </c>
      <c r="I7859" s="7" t="str">
        <f>HYPERLINK("http://www.informatics.jax.org/marker/MGI:1860508","MGI:1860508")</f>
        <v>MGI:1860508</v>
      </c>
      <c r="J7859" s="4" t="s">
        <v>12</v>
      </c>
    </row>
    <row r="7860" spans="1:10" x14ac:dyDescent="0.25">
      <c r="A7860" s="2">
        <v>2.8277685688782999</v>
      </c>
      <c r="B7860" s="3">
        <v>-1.27349213091696</v>
      </c>
      <c r="C7860" s="3">
        <v>6.2808946277446301E-3</v>
      </c>
      <c r="D7860" s="4">
        <v>1.6258761099911302E-2</v>
      </c>
      <c r="E7860" s="3" t="s">
        <v>15241</v>
      </c>
      <c r="F7860" s="3" t="s">
        <v>15242</v>
      </c>
      <c r="G7860" s="3">
        <v>217258</v>
      </c>
      <c r="H7860" s="7" t="str">
        <f>HYPERLINK("http://www.ensembl.org/Mus_musculus/Gene/Summary?db=core;g=ENSMUSG00000041828","ENSMUSG00000041828")</f>
        <v>ENSMUSG00000041828</v>
      </c>
      <c r="I7860" s="7" t="str">
        <f>HYPERLINK("http://www.informatics.jax.org/marker/MGI:2386846","MGI:2386846")</f>
        <v>MGI:2386846</v>
      </c>
      <c r="J7860" s="4" t="s">
        <v>12</v>
      </c>
    </row>
    <row r="7861" spans="1:10" x14ac:dyDescent="0.25">
      <c r="A7861" s="2">
        <v>117.350899627884</v>
      </c>
      <c r="B7861" s="3">
        <v>-1.2741715806907401</v>
      </c>
      <c r="C7861" s="5">
        <v>1.33256166655056E-5</v>
      </c>
      <c r="D7861" s="6">
        <v>4.9339309170816901E-5</v>
      </c>
      <c r="E7861" s="3" t="s">
        <v>10664</v>
      </c>
      <c r="F7861" s="3" t="s">
        <v>10665</v>
      </c>
      <c r="G7861" s="3">
        <v>12259</v>
      </c>
      <c r="H7861" s="7" t="str">
        <f>HYPERLINK("http://www.ensembl.org/Mus_musculus/Gene/Summary?db=core;g=ENSMUSG00000036887","ENSMUSG00000036887")</f>
        <v>ENSMUSG00000036887</v>
      </c>
      <c r="I7861" s="7" t="str">
        <f>HYPERLINK("http://www.informatics.jax.org/marker/MGI:88223","MGI:88223")</f>
        <v>MGI:88223</v>
      </c>
      <c r="J7861" s="4" t="s">
        <v>12</v>
      </c>
    </row>
    <row r="7862" spans="1:10" x14ac:dyDescent="0.25">
      <c r="A7862" s="2">
        <v>16.259166235566202</v>
      </c>
      <c r="B7862" s="3">
        <v>-1.27460864763</v>
      </c>
      <c r="C7862" s="5">
        <v>6.7755393716979406E-5</v>
      </c>
      <c r="D7862" s="4">
        <v>2.32654773480556E-4</v>
      </c>
      <c r="E7862" s="3" t="s">
        <v>11497</v>
      </c>
      <c r="F7862" s="3" t="s">
        <v>11498</v>
      </c>
      <c r="G7862" s="3">
        <v>66985</v>
      </c>
      <c r="H7862" s="7" t="str">
        <f>HYPERLINK("http://www.ensembl.org/Mus_musculus/Gene/Summary?db=core;g=ENSMUSG00000038618","ENSMUSG00000038618")</f>
        <v>ENSMUSG00000038618</v>
      </c>
      <c r="I7862" s="7" t="str">
        <f>HYPERLINK("http://www.informatics.jax.org/marker/MGI:1914235","MGI:1914235")</f>
        <v>MGI:1914235</v>
      </c>
      <c r="J7862" s="4" t="s">
        <v>12</v>
      </c>
    </row>
    <row r="7863" spans="1:10" x14ac:dyDescent="0.25">
      <c r="A7863" s="2">
        <v>33.149404159117303</v>
      </c>
      <c r="B7863" s="3">
        <v>-1.27465817889081</v>
      </c>
      <c r="C7863" s="5">
        <v>2.4189734158864502E-8</v>
      </c>
      <c r="D7863" s="6">
        <v>1.15781931459419E-7</v>
      </c>
      <c r="E7863" s="3" t="s">
        <v>8257</v>
      </c>
      <c r="F7863" s="3" t="s">
        <v>8258</v>
      </c>
      <c r="G7863" s="3">
        <v>20621</v>
      </c>
      <c r="H7863" s="7" t="str">
        <f>HYPERLINK("http://www.ensembl.org/Mus_musculus/Gene/Summary?db=core;g=ENSMUSG00000037972","ENSMUSG00000037972")</f>
        <v>ENSMUSG00000037972</v>
      </c>
      <c r="I7863" s="7" t="str">
        <f>HYPERLINK("http://www.informatics.jax.org/marker/MGI:1276549","MGI:1276549")</f>
        <v>MGI:1276549</v>
      </c>
      <c r="J7863" s="4" t="s">
        <v>12</v>
      </c>
    </row>
    <row r="7864" spans="1:10" x14ac:dyDescent="0.25">
      <c r="A7864" s="2">
        <v>381.701880867814</v>
      </c>
      <c r="B7864" s="3">
        <v>-1.27552086526339</v>
      </c>
      <c r="C7864" s="5">
        <v>5.9608125719103496E-32</v>
      </c>
      <c r="D7864" s="6">
        <v>9.2484047142464304E-31</v>
      </c>
      <c r="E7864" s="3" t="s">
        <v>2559</v>
      </c>
      <c r="F7864" s="3" t="s">
        <v>2560</v>
      </c>
      <c r="G7864" s="3">
        <v>216846</v>
      </c>
      <c r="H7864" s="7" t="str">
        <f>HYPERLINK("http://www.ensembl.org/Mus_musculus/Gene/Summary?db=core;g=ENSMUSG00000032782","ENSMUSG00000032782")</f>
        <v>ENSMUSG00000032782</v>
      </c>
      <c r="I7864" s="7" t="str">
        <f>HYPERLINK("http://www.informatics.jax.org/marker/MGI:2443290","MGI:2443290")</f>
        <v>MGI:2443290</v>
      </c>
      <c r="J7864" s="4" t="s">
        <v>12</v>
      </c>
    </row>
    <row r="7865" spans="1:10" x14ac:dyDescent="0.25">
      <c r="A7865" s="2">
        <v>466.70237368695098</v>
      </c>
      <c r="B7865" s="3">
        <v>-1.2759171397006801</v>
      </c>
      <c r="C7865" s="5">
        <v>1.33586076249911E-39</v>
      </c>
      <c r="D7865" s="6">
        <v>2.6880790037227003E-38</v>
      </c>
      <c r="E7865" s="3" t="s">
        <v>1977</v>
      </c>
      <c r="F7865" s="3" t="s">
        <v>1978</v>
      </c>
      <c r="G7865" s="3">
        <v>329154</v>
      </c>
      <c r="H7865" s="7" t="str">
        <f>HYPERLINK("http://www.ensembl.org/Mus_musculus/Gene/Summary?db=core;g=ENSMUSG00000052331","ENSMUSG00000052331")</f>
        <v>ENSMUSG00000052331</v>
      </c>
      <c r="I7865" s="7" t="str">
        <f>HYPERLINK("http://www.informatics.jax.org/marker/MGI:3045243","MGI:3045243")</f>
        <v>MGI:3045243</v>
      </c>
      <c r="J7865" s="4" t="s">
        <v>12</v>
      </c>
    </row>
    <row r="7866" spans="1:10" x14ac:dyDescent="0.25">
      <c r="A7866" s="2">
        <v>2.4488397048347799</v>
      </c>
      <c r="B7866" s="3">
        <v>-1.27690681658161</v>
      </c>
      <c r="C7866" s="3">
        <v>5.5692576456653703E-3</v>
      </c>
      <c r="D7866" s="4">
        <v>1.4592846236051201E-2</v>
      </c>
      <c r="E7866" s="3" t="s">
        <v>15056</v>
      </c>
      <c r="F7866" s="3" t="s">
        <v>15057</v>
      </c>
      <c r="G7866" s="3" t="s">
        <v>83</v>
      </c>
      <c r="H7866" s="7" t="str">
        <f>HYPERLINK("http://www.ensembl.org/Mus_musculus/Gene/Summary?db=core;g=ENSMUSG00000117250","ENSMUSG00000117250")</f>
        <v>ENSMUSG00000117250</v>
      </c>
      <c r="I7866" s="7" t="str">
        <f>HYPERLINK("http://www.informatics.jax.org/marker/MGI:6270547","MGI:6270547")</f>
        <v>MGI:6270547</v>
      </c>
      <c r="J7866" s="4" t="s">
        <v>939</v>
      </c>
    </row>
    <row r="7867" spans="1:10" x14ac:dyDescent="0.25">
      <c r="A7867" s="2">
        <v>63.001327568569302</v>
      </c>
      <c r="B7867" s="3">
        <v>-1.27835940709297</v>
      </c>
      <c r="C7867" s="5">
        <v>3.4288765084922E-14</v>
      </c>
      <c r="D7867" s="6">
        <v>2.5127255573194402E-13</v>
      </c>
      <c r="E7867" s="3" t="s">
        <v>5399</v>
      </c>
      <c r="F7867" s="3" t="s">
        <v>5400</v>
      </c>
      <c r="G7867" s="3">
        <v>67856</v>
      </c>
      <c r="H7867" s="7" t="str">
        <f>HYPERLINK("http://www.ensembl.org/Mus_musculus/Gene/Summary?db=core;g=ENSMUSG00000039063","ENSMUSG00000039063")</f>
        <v>ENSMUSG00000039063</v>
      </c>
      <c r="I7867" s="7" t="str">
        <f>HYPERLINK("http://www.informatics.jax.org/marker/MGI:1915106","MGI:1915106")</f>
        <v>MGI:1915106</v>
      </c>
      <c r="J7867" s="4" t="s">
        <v>12</v>
      </c>
    </row>
    <row r="7868" spans="1:10" x14ac:dyDescent="0.25">
      <c r="A7868" s="2">
        <v>243.471146532679</v>
      </c>
      <c r="B7868" s="3">
        <v>-1.2791291453159099</v>
      </c>
      <c r="C7868" s="5">
        <v>1.23814252302118E-36</v>
      </c>
      <c r="D7868" s="6">
        <v>2.2712716794397901E-35</v>
      </c>
      <c r="E7868" s="3" t="s">
        <v>2167</v>
      </c>
      <c r="F7868" s="3" t="s">
        <v>2168</v>
      </c>
      <c r="G7868" s="3">
        <v>102124</v>
      </c>
      <c r="H7868" s="7" t="str">
        <f>HYPERLINK("http://www.ensembl.org/Mus_musculus/Gene/Summary?db=core;g=ENSMUSG00000013155","ENSMUSG00000013155")</f>
        <v>ENSMUSG00000013155</v>
      </c>
      <c r="I7868" s="7" t="str">
        <f>HYPERLINK("http://www.informatics.jax.org/marker/MGI:2142593","MGI:2142593")</f>
        <v>MGI:2142593</v>
      </c>
      <c r="J7868" s="4" t="s">
        <v>12</v>
      </c>
    </row>
    <row r="7869" spans="1:10" x14ac:dyDescent="0.25">
      <c r="A7869" s="2">
        <v>2.3703214167913198</v>
      </c>
      <c r="B7869" s="3">
        <v>-1.2797611441372001</v>
      </c>
      <c r="C7869" s="3">
        <v>5.9715685325109303E-3</v>
      </c>
      <c r="D7869" s="4">
        <v>1.55375816679134E-2</v>
      </c>
      <c r="E7869" s="3" t="s">
        <v>15162</v>
      </c>
      <c r="F7869" s="3" t="s">
        <v>15163</v>
      </c>
      <c r="G7869" s="3" t="s">
        <v>83</v>
      </c>
      <c r="H7869" s="7" t="str">
        <f>HYPERLINK("http://www.ensembl.org/Mus_musculus/Gene/Summary?db=core;g=ENSMUSG00000064366","ENSMUSG00000064366")</f>
        <v>ENSMUSG00000064366</v>
      </c>
      <c r="I7869" s="7" t="str">
        <f>HYPERLINK("http://www.informatics.jax.org/marker/MGI:102481","MGI:102481")</f>
        <v>MGI:102481</v>
      </c>
      <c r="J7869" s="4" t="s">
        <v>15164</v>
      </c>
    </row>
    <row r="7870" spans="1:10" x14ac:dyDescent="0.25">
      <c r="A7870" s="2">
        <v>1165.94998691711</v>
      </c>
      <c r="B7870" s="3">
        <v>-1.2809917661474299</v>
      </c>
      <c r="C7870" s="5">
        <v>4.8918911337154501E-60</v>
      </c>
      <c r="D7870" s="6">
        <v>1.7733105359718501E-58</v>
      </c>
      <c r="E7870" s="3" t="s">
        <v>1104</v>
      </c>
      <c r="F7870" s="3" t="s">
        <v>1105</v>
      </c>
      <c r="G7870" s="3">
        <v>18032</v>
      </c>
      <c r="H7870" s="7" t="str">
        <f>HYPERLINK("http://www.ensembl.org/Mus_musculus/Gene/Summary?db=core;g=ENSMUSG00000001911","ENSMUSG00000001911")</f>
        <v>ENSMUSG00000001911</v>
      </c>
      <c r="I7870" s="7" t="str">
        <f>HYPERLINK("http://www.informatics.jax.org/marker/MGI:97311","MGI:97311")</f>
        <v>MGI:97311</v>
      </c>
      <c r="J7870" s="4" t="s">
        <v>12</v>
      </c>
    </row>
    <row r="7871" spans="1:10" x14ac:dyDescent="0.25">
      <c r="A7871" s="2">
        <v>146.93408474360501</v>
      </c>
      <c r="B7871" s="3">
        <v>-1.2828050878628601</v>
      </c>
      <c r="C7871" s="5">
        <v>7.4480871118960501E-16</v>
      </c>
      <c r="D7871" s="6">
        <v>5.9633080733491703E-15</v>
      </c>
      <c r="E7871" s="3" t="s">
        <v>4943</v>
      </c>
      <c r="F7871" s="3" t="s">
        <v>4944</v>
      </c>
      <c r="G7871" s="3" t="s">
        <v>83</v>
      </c>
      <c r="H7871" s="7" t="str">
        <f>HYPERLINK("http://www.ensembl.org/Mus_musculus/Gene/Summary?db=core;g=ENSMUSG00000106825","ENSMUSG00000106825")</f>
        <v>ENSMUSG00000106825</v>
      </c>
      <c r="I7871" s="7" t="str">
        <f>HYPERLINK("http://www.informatics.jax.org/marker/MGI:1917539","MGI:1917539")</f>
        <v>MGI:1917539</v>
      </c>
      <c r="J7871" s="4" t="s">
        <v>1828</v>
      </c>
    </row>
    <row r="7872" spans="1:10" x14ac:dyDescent="0.25">
      <c r="A7872" s="2">
        <v>1340.7142308699099</v>
      </c>
      <c r="B7872" s="3">
        <v>-1.2836135510606199</v>
      </c>
      <c r="C7872" s="5">
        <v>7.8289661001493293E-21</v>
      </c>
      <c r="D7872" s="6">
        <v>8.0410005986950401E-20</v>
      </c>
      <c r="E7872" s="3" t="s">
        <v>3858</v>
      </c>
      <c r="F7872" s="3" t="s">
        <v>3859</v>
      </c>
      <c r="G7872" s="3">
        <v>78286</v>
      </c>
      <c r="H7872" s="7" t="str">
        <f>HYPERLINK("http://www.ensembl.org/Mus_musculus/Gene/Summary?db=core;g=ENSMUSG00000052512","ENSMUSG00000052512")</f>
        <v>ENSMUSG00000052512</v>
      </c>
      <c r="I7872" s="7" t="str">
        <f>HYPERLINK("http://www.informatics.jax.org/marker/MGI:2183691","MGI:2183691")</f>
        <v>MGI:2183691</v>
      </c>
      <c r="J7872" s="4" t="s">
        <v>12</v>
      </c>
    </row>
    <row r="7873" spans="1:10" x14ac:dyDescent="0.25">
      <c r="A7873" s="2">
        <v>137.915164783177</v>
      </c>
      <c r="B7873" s="3">
        <v>-1.28420206205489</v>
      </c>
      <c r="C7873" s="5">
        <v>3.06994823327383E-21</v>
      </c>
      <c r="D7873" s="6">
        <v>3.2014478667456401E-20</v>
      </c>
      <c r="E7873" s="3" t="s">
        <v>3798</v>
      </c>
      <c r="F7873" s="3" t="s">
        <v>3799</v>
      </c>
      <c r="G7873" s="3">
        <v>66300</v>
      </c>
      <c r="H7873" s="7" t="str">
        <f>HYPERLINK("http://www.ensembl.org/Mus_musculus/Gene/Summary?db=core;g=ENSMUSG00000091811","ENSMUSG00000091811")</f>
        <v>ENSMUSG00000091811</v>
      </c>
      <c r="I7873" s="7" t="str">
        <f>HYPERLINK("http://www.informatics.jax.org/marker/MGI:1913550","MGI:1913550")</f>
        <v>MGI:1913550</v>
      </c>
      <c r="J7873" s="4" t="s">
        <v>12</v>
      </c>
    </row>
    <row r="7874" spans="1:10" x14ac:dyDescent="0.25">
      <c r="A7874" s="2">
        <v>44.3807311067985</v>
      </c>
      <c r="B7874" s="3">
        <v>-1.2854896052998801</v>
      </c>
      <c r="C7874" s="5">
        <v>2.8023710497561701E-11</v>
      </c>
      <c r="D7874" s="6">
        <v>1.6998694894245399E-10</v>
      </c>
      <c r="E7874" s="3" t="s">
        <v>6519</v>
      </c>
      <c r="F7874" s="3" t="s">
        <v>6520</v>
      </c>
      <c r="G7874" s="3">
        <v>230909</v>
      </c>
      <c r="H7874" s="7" t="str">
        <f>HYPERLINK("http://www.ensembl.org/Mus_musculus/Gene/Summary?db=core;g=ENSMUSG00000070577","ENSMUSG00000070577")</f>
        <v>ENSMUSG00000070577</v>
      </c>
      <c r="I7874" s="7" t="str">
        <f>HYPERLINK("http://www.informatics.jax.org/marker/MGI:2685418","MGI:2685418")</f>
        <v>MGI:2685418</v>
      </c>
      <c r="J7874" s="4" t="s">
        <v>12</v>
      </c>
    </row>
    <row r="7875" spans="1:10" x14ac:dyDescent="0.25">
      <c r="A7875" s="2">
        <v>0.93301582237117697</v>
      </c>
      <c r="B7875" s="3">
        <v>-1.2857925076641299</v>
      </c>
      <c r="C7875" s="3">
        <v>4.9054508275417803E-3</v>
      </c>
      <c r="D7875" s="4">
        <v>1.2988116315671899E-2</v>
      </c>
      <c r="E7875" s="3" t="s">
        <v>14900</v>
      </c>
      <c r="F7875" s="3" t="s">
        <v>14901</v>
      </c>
      <c r="G7875" s="3">
        <v>228852</v>
      </c>
      <c r="H7875" s="7" t="str">
        <f>HYPERLINK("http://www.ensembl.org/Mus_musculus/Gene/Summary?db=core;g=ENSMUSG00000037754","ENSMUSG00000037754")</f>
        <v>ENSMUSG00000037754</v>
      </c>
      <c r="I7875" s="7" t="str">
        <f>HYPERLINK("http://www.informatics.jax.org/marker/MGI:2151841","MGI:2151841")</f>
        <v>MGI:2151841</v>
      </c>
      <c r="J7875" s="4" t="s">
        <v>12</v>
      </c>
    </row>
    <row r="7876" spans="1:10" x14ac:dyDescent="0.25">
      <c r="A7876" s="2">
        <v>2127.4397201647798</v>
      </c>
      <c r="B7876" s="3">
        <v>-1.2864828592553199</v>
      </c>
      <c r="C7876" s="5">
        <v>9.3449855609218898E-31</v>
      </c>
      <c r="D7876" s="6">
        <v>1.4088923185120799E-29</v>
      </c>
      <c r="E7876" s="3" t="s">
        <v>2633</v>
      </c>
      <c r="F7876" s="3" t="s">
        <v>2634</v>
      </c>
      <c r="G7876" s="3">
        <v>68298</v>
      </c>
      <c r="H7876" s="7" t="str">
        <f>HYPERLINK("http://www.ensembl.org/Mus_musculus/Gene/Summary?db=core;g=ENSMUSG00000038252","ENSMUSG00000038252")</f>
        <v>ENSMUSG00000038252</v>
      </c>
      <c r="I7876" s="7" t="str">
        <f>HYPERLINK("http://www.informatics.jax.org/marker/MGI:1915548","MGI:1915548")</f>
        <v>MGI:1915548</v>
      </c>
      <c r="J7876" s="4" t="s">
        <v>12</v>
      </c>
    </row>
    <row r="7877" spans="1:10" x14ac:dyDescent="0.25">
      <c r="A7877" s="2">
        <v>29.514799829107101</v>
      </c>
      <c r="B7877" s="3">
        <v>-1.2877723032397499</v>
      </c>
      <c r="C7877" s="5">
        <v>5.1859315771042203E-9</v>
      </c>
      <c r="D7877" s="6">
        <v>2.63098972730885E-8</v>
      </c>
      <c r="E7877" s="3" t="s">
        <v>7790</v>
      </c>
      <c r="F7877" s="3" t="s">
        <v>7791</v>
      </c>
      <c r="G7877" s="3" t="s">
        <v>83</v>
      </c>
      <c r="H7877" s="7" t="str">
        <f>HYPERLINK("http://www.ensembl.org/Mus_musculus/Gene/Summary?db=core;g=ENSMUSG00000115022","ENSMUSG00000115022")</f>
        <v>ENSMUSG00000115022</v>
      </c>
      <c r="I7877" s="7" t="str">
        <f>HYPERLINK("http://www.informatics.jax.org/marker/MGI:6121612","MGI:6121612")</f>
        <v>MGI:6121612</v>
      </c>
      <c r="J7877" s="4" t="s">
        <v>12</v>
      </c>
    </row>
    <row r="7878" spans="1:10" x14ac:dyDescent="0.25">
      <c r="A7878" s="2">
        <v>442.98812231872301</v>
      </c>
      <c r="B7878" s="3">
        <v>-1.28839648475191</v>
      </c>
      <c r="C7878" s="5">
        <v>1.0703414424883101E-22</v>
      </c>
      <c r="D7878" s="6">
        <v>1.19722820453031E-21</v>
      </c>
      <c r="E7878" s="3" t="s">
        <v>3544</v>
      </c>
      <c r="F7878" s="3" t="s">
        <v>3545</v>
      </c>
      <c r="G7878" s="3">
        <v>76408</v>
      </c>
      <c r="H7878" s="7" t="str">
        <f>HYPERLINK("http://www.ensembl.org/Mus_musculus/Gene/Summary?db=core;g=ENSMUSG00000020865","ENSMUSG00000020865")</f>
        <v>ENSMUSG00000020865</v>
      </c>
      <c r="I7878" s="7" t="str">
        <f>HYPERLINK("http://www.informatics.jax.org/marker/MGI:1923658","MGI:1923658")</f>
        <v>MGI:1923658</v>
      </c>
      <c r="J7878" s="4" t="s">
        <v>12</v>
      </c>
    </row>
    <row r="7879" spans="1:10" x14ac:dyDescent="0.25">
      <c r="A7879" s="2">
        <v>21.677270755012501</v>
      </c>
      <c r="B7879" s="3">
        <v>-1.28890665359388</v>
      </c>
      <c r="C7879" s="5">
        <v>8.0396463539602198E-7</v>
      </c>
      <c r="D7879" s="6">
        <v>3.3575143180875799E-6</v>
      </c>
      <c r="E7879" s="3" t="s">
        <v>9459</v>
      </c>
      <c r="F7879" s="3" t="s">
        <v>9460</v>
      </c>
      <c r="G7879" s="3" t="s">
        <v>83</v>
      </c>
      <c r="H7879" s="7" t="str">
        <f>HYPERLINK("http://www.ensembl.org/Mus_musculus/Gene/Summary?db=core;g=ENSMUSG00000086075","ENSMUSG00000086075")</f>
        <v>ENSMUSG00000086075</v>
      </c>
      <c r="I7879" s="7" t="str">
        <f>HYPERLINK("http://www.informatics.jax.org/marker/MGI:3783171","MGI:3783171")</f>
        <v>MGI:3783171</v>
      </c>
      <c r="J7879" s="4" t="s">
        <v>939</v>
      </c>
    </row>
    <row r="7880" spans="1:10" x14ac:dyDescent="0.25">
      <c r="A7880" s="2">
        <v>51.061339477148998</v>
      </c>
      <c r="B7880" s="3">
        <v>-1.28996252685322</v>
      </c>
      <c r="C7880" s="5">
        <v>9.7480360325718299E-11</v>
      </c>
      <c r="D7880" s="6">
        <v>5.6655252155118299E-10</v>
      </c>
      <c r="E7880" s="3" t="s">
        <v>6804</v>
      </c>
      <c r="F7880" s="3" t="s">
        <v>6805</v>
      </c>
      <c r="G7880" s="3">
        <v>224813</v>
      </c>
      <c r="H7880" s="7" t="str">
        <f>HYPERLINK("http://www.ensembl.org/Mus_musculus/Gene/Summary?db=core;g=ENSMUSG00000071073","ENSMUSG00000071073")</f>
        <v>ENSMUSG00000071073</v>
      </c>
      <c r="I7880" s="7" t="str">
        <f>HYPERLINK("http://www.informatics.jax.org/marker/MGI:2684934","MGI:2684934")</f>
        <v>MGI:2684934</v>
      </c>
      <c r="J7880" s="4" t="s">
        <v>12</v>
      </c>
    </row>
    <row r="7881" spans="1:10" x14ac:dyDescent="0.25">
      <c r="A7881" s="2">
        <v>4.3255304473015803</v>
      </c>
      <c r="B7881" s="3">
        <v>-1.29004736727689</v>
      </c>
      <c r="C7881" s="3">
        <v>2.7696503688998402E-3</v>
      </c>
      <c r="D7881" s="4">
        <v>7.6441574912113099E-3</v>
      </c>
      <c r="E7881" s="3" t="s">
        <v>14295</v>
      </c>
      <c r="F7881" s="3" t="s">
        <v>14296</v>
      </c>
      <c r="G7881" s="3" t="s">
        <v>83</v>
      </c>
      <c r="H7881" s="7" t="str">
        <f>HYPERLINK("http://www.ensembl.org/Mus_musculus/Gene/Summary?db=core;g=ENSMUSG00000111348","ENSMUSG00000111348")</f>
        <v>ENSMUSG00000111348</v>
      </c>
      <c r="I7881" s="7" t="str">
        <f>HYPERLINK("http://www.informatics.jax.org/marker/MGI:5011716","MGI:5011716")</f>
        <v>MGI:5011716</v>
      </c>
      <c r="J7881" s="4" t="s">
        <v>932</v>
      </c>
    </row>
    <row r="7882" spans="1:10" x14ac:dyDescent="0.25">
      <c r="A7882" s="2">
        <v>92.483078533858006</v>
      </c>
      <c r="B7882" s="3">
        <v>-1.29048925194135</v>
      </c>
      <c r="C7882" s="5">
        <v>3.93256714314666E-12</v>
      </c>
      <c r="D7882" s="6">
        <v>2.5451337073466401E-11</v>
      </c>
      <c r="E7882" s="3" t="s">
        <v>6111</v>
      </c>
      <c r="F7882" s="3" t="s">
        <v>6112</v>
      </c>
      <c r="G7882" s="3" t="s">
        <v>83</v>
      </c>
      <c r="H7882" s="7" t="str">
        <f>HYPERLINK("http://www.ensembl.org/Mus_musculus/Gene/Summary?db=core;g=ENSMUSG00000109675","ENSMUSG00000109675")</f>
        <v>ENSMUSG00000109675</v>
      </c>
      <c r="I7882" s="7" t="str">
        <f>HYPERLINK("http://www.informatics.jax.org/marker/MGI:3646632","MGI:3646632")</f>
        <v>MGI:3646632</v>
      </c>
      <c r="J7882" s="4" t="s">
        <v>320</v>
      </c>
    </row>
    <row r="7883" spans="1:10" x14ac:dyDescent="0.25">
      <c r="A7883" s="2">
        <v>3119.1988077956998</v>
      </c>
      <c r="B7883" s="3">
        <v>-1.2905051276889501</v>
      </c>
      <c r="C7883" s="5">
        <v>6.40592760845016E-33</v>
      </c>
      <c r="D7883" s="6">
        <v>1.0261973390628499E-31</v>
      </c>
      <c r="E7883" s="3" t="s">
        <v>2479</v>
      </c>
      <c r="F7883" s="3" t="s">
        <v>2480</v>
      </c>
      <c r="G7883" s="3">
        <v>16010</v>
      </c>
      <c r="H7883" s="7" t="str">
        <f>HYPERLINK("http://www.ensembl.org/Mus_musculus/Gene/Summary?db=core;g=ENSMUSG00000017493","ENSMUSG00000017493")</f>
        <v>ENSMUSG00000017493</v>
      </c>
      <c r="I7883" s="7" t="str">
        <f>HYPERLINK("http://www.informatics.jax.org/marker/MGI:96439","MGI:96439")</f>
        <v>MGI:96439</v>
      </c>
      <c r="J7883" s="4" t="s">
        <v>12</v>
      </c>
    </row>
    <row r="7884" spans="1:10" x14ac:dyDescent="0.25">
      <c r="A7884" s="2">
        <v>10.6457024597026</v>
      </c>
      <c r="B7884" s="3">
        <v>-1.29124934348815</v>
      </c>
      <c r="C7884" s="3">
        <v>3.3307821854970801E-4</v>
      </c>
      <c r="D7884" s="4">
        <v>1.04874700140511E-3</v>
      </c>
      <c r="E7884" s="3" t="s">
        <v>12539</v>
      </c>
      <c r="F7884" s="3" t="s">
        <v>12540</v>
      </c>
      <c r="G7884" s="3">
        <v>240892</v>
      </c>
      <c r="H7884" s="7" t="str">
        <f>HYPERLINK("http://www.ensembl.org/Mus_musculus/Gene/Summary?db=core;g=ENSMUSG00000026564","ENSMUSG00000026564")</f>
        <v>ENSMUSG00000026564</v>
      </c>
      <c r="I7884" s="7" t="str">
        <f>HYPERLINK("http://www.informatics.jax.org/marker/MGI:2685055","MGI:2685055")</f>
        <v>MGI:2685055</v>
      </c>
      <c r="J7884" s="4" t="s">
        <v>12</v>
      </c>
    </row>
    <row r="7885" spans="1:10" x14ac:dyDescent="0.25">
      <c r="A7885" s="2">
        <v>426.42783581333998</v>
      </c>
      <c r="B7885" s="3">
        <v>-1.2936884219150599</v>
      </c>
      <c r="C7885" s="5">
        <v>6.6305209145586296E-55</v>
      </c>
      <c r="D7885" s="6">
        <v>2.03033963408535E-53</v>
      </c>
      <c r="E7885" s="3" t="s">
        <v>1304</v>
      </c>
      <c r="F7885" s="3" t="s">
        <v>1305</v>
      </c>
      <c r="G7885" s="3">
        <v>320782</v>
      </c>
      <c r="H7885" s="7" t="str">
        <f>HYPERLINK("http://www.ensembl.org/Mus_musculus/Gene/Summary?db=core;g=ENSMUSG00000056498","ENSMUSG00000056498")</f>
        <v>ENSMUSG00000056498</v>
      </c>
      <c r="I7885" s="7" t="str">
        <f>HYPERLINK("http://www.informatics.jax.org/marker/MGI:2444725","MGI:2444725")</f>
        <v>MGI:2444725</v>
      </c>
      <c r="J7885" s="4" t="s">
        <v>12</v>
      </c>
    </row>
    <row r="7886" spans="1:10" x14ac:dyDescent="0.25">
      <c r="A7886" s="2">
        <v>128.116768605321</v>
      </c>
      <c r="B7886" s="3">
        <v>-1.2952866440389601</v>
      </c>
      <c r="C7886" s="5">
        <v>7.9215806174515101E-18</v>
      </c>
      <c r="D7886" s="6">
        <v>7.08773002614083E-17</v>
      </c>
      <c r="E7886" s="3" t="s">
        <v>4425</v>
      </c>
      <c r="F7886" s="3" t="s">
        <v>4426</v>
      </c>
      <c r="G7886" s="3">
        <v>67900</v>
      </c>
      <c r="H7886" s="7" t="str">
        <f>HYPERLINK("http://www.ensembl.org/Mus_musculus/Gene/Summary?db=core;g=ENSMUSG00000004748","ENSMUSG00000004748")</f>
        <v>ENSMUSG00000004748</v>
      </c>
      <c r="I7886" s="7" t="str">
        <f>HYPERLINK("http://www.informatics.jax.org/marker/MGI:1916686","MGI:1916686")</f>
        <v>MGI:1916686</v>
      </c>
      <c r="J7886" s="4" t="s">
        <v>12</v>
      </c>
    </row>
    <row r="7887" spans="1:10" x14ac:dyDescent="0.25">
      <c r="A7887" s="2">
        <v>178.67384363221399</v>
      </c>
      <c r="B7887" s="3">
        <v>-1.29542848724691</v>
      </c>
      <c r="C7887" s="5">
        <v>2.5103236829084701E-20</v>
      </c>
      <c r="D7887" s="6">
        <v>2.52698228825702E-19</v>
      </c>
      <c r="E7887" s="3" t="s">
        <v>3936</v>
      </c>
      <c r="F7887" s="3" t="s">
        <v>3937</v>
      </c>
      <c r="G7887" s="3" t="s">
        <v>83</v>
      </c>
      <c r="H7887" s="7" t="str">
        <f>HYPERLINK("http://www.ensembl.org/Mus_musculus/Gene/Summary?db=core;g=ENSMUSG00000089865","ENSMUSG00000089865")</f>
        <v>ENSMUSG00000089865</v>
      </c>
      <c r="I7887" s="7" t="str">
        <f>HYPERLINK("http://www.informatics.jax.org/marker/MGI:5141975","MGI:5141975")</f>
        <v>MGI:5141975</v>
      </c>
      <c r="J7887" s="4" t="s">
        <v>12</v>
      </c>
    </row>
    <row r="7888" spans="1:10" x14ac:dyDescent="0.25">
      <c r="A7888" s="2">
        <v>20.942720500227999</v>
      </c>
      <c r="B7888" s="3">
        <v>-1.29568885054738</v>
      </c>
      <c r="C7888" s="5">
        <v>8.5376365713159907E-6</v>
      </c>
      <c r="D7888" s="6">
        <v>3.2228597470587901E-5</v>
      </c>
      <c r="E7888" s="3" t="s">
        <v>10462</v>
      </c>
      <c r="F7888" s="3" t="s">
        <v>10463</v>
      </c>
      <c r="G7888" s="3">
        <v>381199</v>
      </c>
      <c r="H7888" s="7" t="str">
        <f>HYPERLINK("http://www.ensembl.org/Mus_musculus/Gene/Summary?db=core;g=ENSMUSG00000061451","ENSMUSG00000061451")</f>
        <v>ENSMUSG00000061451</v>
      </c>
      <c r="I7888" s="7" t="str">
        <f>HYPERLINK("http://www.informatics.jax.org/marker/MGI:2147713","MGI:2147713")</f>
        <v>MGI:2147713</v>
      </c>
      <c r="J7888" s="4" t="s">
        <v>12</v>
      </c>
    </row>
    <row r="7889" spans="1:10" x14ac:dyDescent="0.25">
      <c r="A7889" s="2">
        <v>86.565225720522605</v>
      </c>
      <c r="B7889" s="3">
        <v>-1.2960741699093099</v>
      </c>
      <c r="C7889" s="5">
        <v>1.53991873074248E-18</v>
      </c>
      <c r="D7889" s="6">
        <v>1.4290445821290201E-17</v>
      </c>
      <c r="E7889" s="3" t="s">
        <v>4267</v>
      </c>
      <c r="F7889" s="3" t="s">
        <v>4268</v>
      </c>
      <c r="G7889" s="3">
        <v>20913</v>
      </c>
      <c r="H7889" s="7" t="str">
        <f>HYPERLINK("http://www.ensembl.org/Mus_musculus/Gene/Summary?db=core;g=ENSMUSG00000020546","ENSMUSG00000020546")</f>
        <v>ENSMUSG00000020546</v>
      </c>
      <c r="I7889" s="7" t="str">
        <f>HYPERLINK("http://www.informatics.jax.org/marker/MGI:1342296","MGI:1342296")</f>
        <v>MGI:1342296</v>
      </c>
      <c r="J7889" s="4" t="s">
        <v>12</v>
      </c>
    </row>
    <row r="7890" spans="1:10" x14ac:dyDescent="0.25">
      <c r="A7890" s="2">
        <v>56.199531175983502</v>
      </c>
      <c r="B7890" s="3">
        <v>-1.29655888647576</v>
      </c>
      <c r="C7890" s="5">
        <v>1.33935536437005E-17</v>
      </c>
      <c r="D7890" s="6">
        <v>1.1833372663699599E-16</v>
      </c>
      <c r="E7890" s="3" t="s">
        <v>4481</v>
      </c>
      <c r="F7890" s="3" t="s">
        <v>4482</v>
      </c>
      <c r="G7890" s="3">
        <v>110891</v>
      </c>
      <c r="H7890" s="7" t="str">
        <f>HYPERLINK("http://www.ensembl.org/Mus_musculus/Gene/Summary?db=core;g=ENSMUSG00000030376","ENSMUSG00000030376")</f>
        <v>ENSMUSG00000030376</v>
      </c>
      <c r="I7890" s="7" t="str">
        <f>HYPERLINK("http://www.informatics.jax.org/marker/MGI:107996","MGI:107996")</f>
        <v>MGI:107996</v>
      </c>
      <c r="J7890" s="4" t="s">
        <v>12</v>
      </c>
    </row>
    <row r="7891" spans="1:10" x14ac:dyDescent="0.25">
      <c r="A7891" s="2">
        <v>1105.6001602625399</v>
      </c>
      <c r="B7891" s="3">
        <v>-1.29683126628901</v>
      </c>
      <c r="C7891" s="5">
        <v>9.0905632415916098E-13</v>
      </c>
      <c r="D7891" s="6">
        <v>6.1182903455353799E-12</v>
      </c>
      <c r="E7891" s="3" t="s">
        <v>5877</v>
      </c>
      <c r="F7891" s="3" t="s">
        <v>5878</v>
      </c>
      <c r="G7891" s="3">
        <v>12316</v>
      </c>
      <c r="H7891" s="7" t="str">
        <f>HYPERLINK("http://www.ensembl.org/Mus_musculus/Gene/Summary?db=core;g=ENSMUSG00000033952","ENSMUSG00000033952")</f>
        <v>ENSMUSG00000033952</v>
      </c>
      <c r="I7891" s="7" t="str">
        <f>HYPERLINK("http://www.informatics.jax.org/marker/MGI:1334448","MGI:1334448")</f>
        <v>MGI:1334448</v>
      </c>
      <c r="J7891" s="4" t="s">
        <v>12</v>
      </c>
    </row>
    <row r="7892" spans="1:10" x14ac:dyDescent="0.25">
      <c r="A7892" s="2">
        <v>57.827186064407897</v>
      </c>
      <c r="B7892" s="3">
        <v>-1.29798349337784</v>
      </c>
      <c r="C7892" s="5">
        <v>7.4167031758412305E-13</v>
      </c>
      <c r="D7892" s="6">
        <v>5.0122476568741997E-12</v>
      </c>
      <c r="E7892" s="3" t="s">
        <v>5853</v>
      </c>
      <c r="F7892" s="3" t="s">
        <v>5854</v>
      </c>
      <c r="G7892" s="3">
        <v>269023</v>
      </c>
      <c r="H7892" s="7" t="str">
        <f>HYPERLINK("http://www.ensembl.org/Mus_musculus/Gene/Summary?db=core;g=ENSMUSG00000052713","ENSMUSG00000052713")</f>
        <v>ENSMUSG00000052713</v>
      </c>
      <c r="I7892" s="7" t="str">
        <f>HYPERLINK("http://www.informatics.jax.org/marker/MGI:2442338","MGI:2442338")</f>
        <v>MGI:2442338</v>
      </c>
      <c r="J7892" s="4" t="s">
        <v>12</v>
      </c>
    </row>
    <row r="7893" spans="1:10" x14ac:dyDescent="0.25">
      <c r="A7893" s="2">
        <v>261.020234933366</v>
      </c>
      <c r="B7893" s="3">
        <v>-1.29846045533652</v>
      </c>
      <c r="C7893" s="5">
        <v>9.2010165378432003E-47</v>
      </c>
      <c r="D7893" s="6">
        <v>2.2765877807561901E-45</v>
      </c>
      <c r="E7893" s="3" t="s">
        <v>1610</v>
      </c>
      <c r="F7893" s="3" t="s">
        <v>1611</v>
      </c>
      <c r="G7893" s="3">
        <v>504193</v>
      </c>
      <c r="H7893" s="7" t="str">
        <f>HYPERLINK("http://www.ensembl.org/Mus_musculus/Gene/Summary?db=core;g=ENSMUSG00000089837","ENSMUSG00000089837")</f>
        <v>ENSMUSG00000089837</v>
      </c>
      <c r="I7893" s="7" t="str">
        <f>HYPERLINK("http://www.informatics.jax.org/marker/MGI:3845555","MGI:3845555")</f>
        <v>MGI:3845555</v>
      </c>
      <c r="J7893" s="4" t="s">
        <v>12</v>
      </c>
    </row>
    <row r="7894" spans="1:10" x14ac:dyDescent="0.25">
      <c r="A7894" s="2">
        <v>2.6611346865638801</v>
      </c>
      <c r="B7894" s="3">
        <v>-1.2985918293266501</v>
      </c>
      <c r="C7894" s="3">
        <v>5.8313296049551898E-3</v>
      </c>
      <c r="D7894" s="4">
        <v>1.5208810978669E-2</v>
      </c>
      <c r="E7894" s="3" t="s">
        <v>15126</v>
      </c>
      <c r="F7894" s="3" t="s">
        <v>15127</v>
      </c>
      <c r="G7894" s="3">
        <v>77799</v>
      </c>
      <c r="H7894" s="7" t="str">
        <f>HYPERLINK("http://www.ensembl.org/Mus_musculus/Gene/Summary?db=core;g=ENSMUSG00000027636","ENSMUSG00000027636")</f>
        <v>ENSMUSG00000027636</v>
      </c>
      <c r="I7894" s="7" t="str">
        <f>HYPERLINK("http://www.informatics.jax.org/marker/MGI:1925049","MGI:1925049")</f>
        <v>MGI:1925049</v>
      </c>
      <c r="J7894" s="4" t="s">
        <v>12</v>
      </c>
    </row>
    <row r="7895" spans="1:10" x14ac:dyDescent="0.25">
      <c r="A7895" s="2">
        <v>404.969975862034</v>
      </c>
      <c r="B7895" s="3">
        <v>-1.2996189333074799</v>
      </c>
      <c r="C7895" s="5">
        <v>3.6751832272108803E-58</v>
      </c>
      <c r="D7895" s="6">
        <v>1.23888227761707E-56</v>
      </c>
      <c r="E7895" s="3" t="s">
        <v>1186</v>
      </c>
      <c r="F7895" s="3" t="s">
        <v>1187</v>
      </c>
      <c r="G7895" s="3">
        <v>236266</v>
      </c>
      <c r="H7895" s="7" t="str">
        <f>HYPERLINK("http://www.ensembl.org/Mus_musculus/Gene/Summary?db=core;g=ENSMUSG00000063810","ENSMUSG00000063810")</f>
        <v>ENSMUSG00000063810</v>
      </c>
      <c r="I7895" s="7" t="str">
        <f>HYPERLINK("http://www.informatics.jax.org/marker/MGI:1934606","MGI:1934606")</f>
        <v>MGI:1934606</v>
      </c>
      <c r="J7895" s="4" t="s">
        <v>12</v>
      </c>
    </row>
    <row r="7896" spans="1:10" x14ac:dyDescent="0.25">
      <c r="A7896" s="2">
        <v>1.6571732307773801</v>
      </c>
      <c r="B7896" s="3">
        <v>-1.2996437692479501</v>
      </c>
      <c r="C7896" s="3">
        <v>5.5259272270616298E-3</v>
      </c>
      <c r="D7896" s="4">
        <v>1.44947173340856E-2</v>
      </c>
      <c r="E7896" s="3" t="s">
        <v>15040</v>
      </c>
      <c r="F7896" s="3" t="s">
        <v>15041</v>
      </c>
      <c r="G7896" s="3">
        <v>102639598</v>
      </c>
      <c r="H7896" s="7" t="str">
        <f>HYPERLINK("http://www.ensembl.org/Mus_musculus/Gene/Summary?db=core;g=ENSMUSG00000074527","ENSMUSG00000074527")</f>
        <v>ENSMUSG00000074527</v>
      </c>
      <c r="I7896" s="7" t="str">
        <f>HYPERLINK("http://www.informatics.jax.org/marker/MGI:3708667","MGI:3708667")</f>
        <v>MGI:3708667</v>
      </c>
      <c r="J7896" s="4" t="s">
        <v>12</v>
      </c>
    </row>
    <row r="7897" spans="1:10" x14ac:dyDescent="0.25">
      <c r="A7897" s="2">
        <v>438.75292974182599</v>
      </c>
      <c r="B7897" s="3">
        <v>-1.3023360352891</v>
      </c>
      <c r="C7897" s="5">
        <v>7.8377284484058302E-44</v>
      </c>
      <c r="D7897" s="6">
        <v>1.7745121125437799E-42</v>
      </c>
      <c r="E7897" s="3" t="s">
        <v>1758</v>
      </c>
      <c r="F7897" s="3" t="s">
        <v>1759</v>
      </c>
      <c r="G7897" s="3">
        <v>104806</v>
      </c>
      <c r="H7897" s="7" t="str">
        <f>HYPERLINK("http://www.ensembl.org/Mus_musculus/Gene/Summary?db=core;g=ENSMUSG00000055884","ENSMUSG00000055884")</f>
        <v>ENSMUSG00000055884</v>
      </c>
      <c r="I7897" s="7" t="str">
        <f>HYPERLINK("http://www.informatics.jax.org/marker/MGI:2442306","MGI:2442306")</f>
        <v>MGI:2442306</v>
      </c>
      <c r="J7897" s="4" t="s">
        <v>12</v>
      </c>
    </row>
    <row r="7898" spans="1:10" x14ac:dyDescent="0.25">
      <c r="A7898" s="2">
        <v>1.51704969860463</v>
      </c>
      <c r="B7898" s="3">
        <v>-1.3034348960223201</v>
      </c>
      <c r="C7898" s="3">
        <v>5.2991713614375701E-3</v>
      </c>
      <c r="D7898" s="4">
        <v>1.3948165943346099E-2</v>
      </c>
      <c r="E7898" s="3" t="s">
        <v>14988</v>
      </c>
      <c r="F7898" s="3" t="s">
        <v>14989</v>
      </c>
      <c r="G7898" s="3">
        <v>27028</v>
      </c>
      <c r="H7898" s="7" t="str">
        <f>HYPERLINK("http://www.ensembl.org/Mus_musculus/Gene/Summary?db=core;g=ENSMUSG00000028644","ENSMUSG00000028644")</f>
        <v>ENSMUSG00000028644</v>
      </c>
      <c r="I7898" s="7" t="str">
        <f>HYPERLINK("http://www.informatics.jax.org/marker/MGI:1349816","MGI:1349816")</f>
        <v>MGI:1349816</v>
      </c>
      <c r="J7898" s="4" t="s">
        <v>12</v>
      </c>
    </row>
    <row r="7899" spans="1:10" x14ac:dyDescent="0.25">
      <c r="A7899" s="2">
        <v>196.461860732215</v>
      </c>
      <c r="B7899" s="3">
        <v>-1.30351939383251</v>
      </c>
      <c r="C7899" s="5">
        <v>4.2878963273437697E-42</v>
      </c>
      <c r="D7899" s="6">
        <v>9.2716354797389494E-41</v>
      </c>
      <c r="E7899" s="3" t="s">
        <v>1841</v>
      </c>
      <c r="F7899" s="3" t="s">
        <v>1842</v>
      </c>
      <c r="G7899" s="3">
        <v>319757</v>
      </c>
      <c r="H7899" s="7" t="str">
        <f>HYPERLINK("http://www.ensembl.org/Mus_musculus/Gene/Summary?db=core;g=ENSMUSG00000001761","ENSMUSG00000001761")</f>
        <v>ENSMUSG00000001761</v>
      </c>
      <c r="I7899" s="7" t="str">
        <f>HYPERLINK("http://www.informatics.jax.org/marker/MGI:108075","MGI:108075")</f>
        <v>MGI:108075</v>
      </c>
      <c r="J7899" s="4" t="s">
        <v>12</v>
      </c>
    </row>
    <row r="7900" spans="1:10" x14ac:dyDescent="0.25">
      <c r="A7900" s="2">
        <v>205.06302764941699</v>
      </c>
      <c r="B7900" s="3">
        <v>-1.30355269024091</v>
      </c>
      <c r="C7900" s="5">
        <v>6.06978496899864E-22</v>
      </c>
      <c r="D7900" s="6">
        <v>6.54434989549772E-21</v>
      </c>
      <c r="E7900" s="3" t="s">
        <v>3676</v>
      </c>
      <c r="F7900" s="3" t="s">
        <v>3677</v>
      </c>
      <c r="G7900" s="3">
        <v>72278</v>
      </c>
      <c r="H7900" s="7" t="str">
        <f>HYPERLINK("http://www.ensembl.org/Mus_musculus/Gene/Summary?db=core;g=ENSMUSG00000034563","ENSMUSG00000034563")</f>
        <v>ENSMUSG00000034563</v>
      </c>
      <c r="I7900" s="7" t="str">
        <f>HYPERLINK("http://www.informatics.jax.org/marker/MGI:1196419","MGI:1196419")</f>
        <v>MGI:1196419</v>
      </c>
      <c r="J7900" s="4" t="s">
        <v>12</v>
      </c>
    </row>
    <row r="7901" spans="1:10" x14ac:dyDescent="0.25">
      <c r="A7901" s="2">
        <v>1.32788099993405</v>
      </c>
      <c r="B7901" s="3">
        <v>-1.3068898257949</v>
      </c>
      <c r="C7901" s="3">
        <v>5.0704815197201297E-3</v>
      </c>
      <c r="D7901" s="4">
        <v>1.3399878795079199E-2</v>
      </c>
      <c r="E7901" s="3" t="s">
        <v>14928</v>
      </c>
      <c r="F7901" s="3" t="s">
        <v>14929</v>
      </c>
      <c r="G7901" s="3">
        <v>76373</v>
      </c>
      <c r="H7901" s="7" t="str">
        <f>HYPERLINK("http://www.ensembl.org/Mus_musculus/Gene/Summary?db=core;g=ENSMUSG00000063535","ENSMUSG00000063535")</f>
        <v>ENSMUSG00000063535</v>
      </c>
      <c r="I7901" s="7" t="str">
        <f>HYPERLINK("http://www.informatics.jax.org/marker/MGI:1923623","MGI:1923623")</f>
        <v>MGI:1923623</v>
      </c>
      <c r="J7901" s="4" t="s">
        <v>12</v>
      </c>
    </row>
    <row r="7902" spans="1:10" x14ac:dyDescent="0.25">
      <c r="A7902" s="2">
        <v>1.72804605698532</v>
      </c>
      <c r="B7902" s="3">
        <v>-1.3071275454292399</v>
      </c>
      <c r="C7902" s="3">
        <v>5.2553691039805197E-3</v>
      </c>
      <c r="D7902" s="4">
        <v>1.38495093853396E-2</v>
      </c>
      <c r="E7902" s="3" t="s">
        <v>14970</v>
      </c>
      <c r="F7902" s="3" t="s">
        <v>14971</v>
      </c>
      <c r="G7902" s="3">
        <v>58994</v>
      </c>
      <c r="H7902" s="7" t="str">
        <f>HYPERLINK("http://www.ensembl.org/Mus_musculus/Gene/Summary?db=core;g=ENSMUSG00000031906","ENSMUSG00000031906")</f>
        <v>ENSMUSG00000031906</v>
      </c>
      <c r="I7902" s="7" t="str">
        <f>HYPERLINK("http://www.informatics.jax.org/marker/MGI:1927578","MGI:1927578")</f>
        <v>MGI:1927578</v>
      </c>
      <c r="J7902" s="4" t="s">
        <v>12</v>
      </c>
    </row>
    <row r="7903" spans="1:10" x14ac:dyDescent="0.25">
      <c r="A7903" s="2">
        <v>790.29311949687803</v>
      </c>
      <c r="B7903" s="3">
        <v>-1.3082860309128399</v>
      </c>
      <c r="C7903" s="5">
        <v>5.9312107962748296E-28</v>
      </c>
      <c r="D7903" s="6">
        <v>8.0887605050165702E-27</v>
      </c>
      <c r="E7903" s="3" t="s">
        <v>2910</v>
      </c>
      <c r="F7903" s="3" t="s">
        <v>2911</v>
      </c>
      <c r="G7903" s="3">
        <v>66881</v>
      </c>
      <c r="H7903" s="7" t="str">
        <f>HYPERLINK("http://www.ensembl.org/Mus_musculus/Gene/Summary?db=core;g=ENSMUSG00000029998","ENSMUSG00000029998")</f>
        <v>ENSMUSG00000029998</v>
      </c>
      <c r="I7903" s="7" t="str">
        <f>HYPERLINK("http://www.informatics.jax.org/marker/MGI:1914131","MGI:1914131")</f>
        <v>MGI:1914131</v>
      </c>
      <c r="J7903" s="4" t="s">
        <v>12</v>
      </c>
    </row>
    <row r="7904" spans="1:10" x14ac:dyDescent="0.25">
      <c r="A7904" s="2">
        <v>272.88032222479598</v>
      </c>
      <c r="B7904" s="3">
        <v>-1.30832293484197</v>
      </c>
      <c r="C7904" s="5">
        <v>1.8957735352316599E-27</v>
      </c>
      <c r="D7904" s="6">
        <v>2.5362723280032801E-26</v>
      </c>
      <c r="E7904" s="3" t="s">
        <v>2966</v>
      </c>
      <c r="F7904" s="3" t="s">
        <v>2967</v>
      </c>
      <c r="G7904" s="3">
        <v>230872</v>
      </c>
      <c r="H7904" s="7" t="str">
        <f>HYPERLINK("http://www.ensembl.org/Mus_musculus/Gene/Summary?db=core;g=ENSMUSG00000040860","ENSMUSG00000040860")</f>
        <v>ENSMUSG00000040860</v>
      </c>
      <c r="I7904" s="7" t="str">
        <f>HYPERLINK("http://www.informatics.jax.org/marker/MGI:3529431","MGI:3529431")</f>
        <v>MGI:3529431</v>
      </c>
      <c r="J7904" s="4" t="s">
        <v>12</v>
      </c>
    </row>
    <row r="7905" spans="1:10" x14ac:dyDescent="0.25">
      <c r="A7905" s="2">
        <v>1049.8878771560001</v>
      </c>
      <c r="B7905" s="3">
        <v>-1.30856412216322</v>
      </c>
      <c r="C7905" s="5">
        <v>7.1964832487397201E-60</v>
      </c>
      <c r="D7905" s="6">
        <v>2.5944177269679602E-58</v>
      </c>
      <c r="E7905" s="3" t="s">
        <v>1110</v>
      </c>
      <c r="F7905" s="3" t="s">
        <v>1111</v>
      </c>
      <c r="G7905" s="3" t="s">
        <v>83</v>
      </c>
      <c r="H7905" s="7" t="str">
        <f>HYPERLINK("http://www.ensembl.org/Mus_musculus/Gene/Summary?db=core;g=ENSMUSG00000097415","ENSMUSG00000097415")</f>
        <v>ENSMUSG00000097415</v>
      </c>
      <c r="I7905" s="7" t="str">
        <f>HYPERLINK("http://www.informatics.jax.org/marker/MGI:2142134","MGI:2142134")</f>
        <v>MGI:2142134</v>
      </c>
      <c r="J7905" s="4" t="s">
        <v>939</v>
      </c>
    </row>
    <row r="7906" spans="1:10" x14ac:dyDescent="0.25">
      <c r="A7906" s="2">
        <v>362.45610417337002</v>
      </c>
      <c r="B7906" s="3">
        <v>-1.30918564063745</v>
      </c>
      <c r="C7906" s="5">
        <v>3.2941617726565899E-35</v>
      </c>
      <c r="D7906" s="6">
        <v>5.7589423897861697E-34</v>
      </c>
      <c r="E7906" s="3" t="s">
        <v>2273</v>
      </c>
      <c r="F7906" s="3" t="s">
        <v>2274</v>
      </c>
      <c r="G7906" s="3">
        <v>246102</v>
      </c>
      <c r="H7906" s="7" t="str">
        <f>HYPERLINK("http://www.ensembl.org/Mus_musculus/Gene/Summary?db=core;g=ENSMUSG00000023066","ENSMUSG00000023066")</f>
        <v>ENSMUSG00000023066</v>
      </c>
      <c r="I7906" s="7" t="str">
        <f>HYPERLINK("http://www.informatics.jax.org/marker/MGI:2179288","MGI:2179288")</f>
        <v>MGI:2179288</v>
      </c>
      <c r="J7906" s="4" t="s">
        <v>12</v>
      </c>
    </row>
    <row r="7907" spans="1:10" x14ac:dyDescent="0.25">
      <c r="A7907" s="2">
        <v>316.78688035773098</v>
      </c>
      <c r="B7907" s="3">
        <v>-1.30918733337571</v>
      </c>
      <c r="C7907" s="5">
        <v>1.72008640697646E-41</v>
      </c>
      <c r="D7907" s="6">
        <v>3.6317027778988999E-40</v>
      </c>
      <c r="E7907" s="3" t="s">
        <v>1885</v>
      </c>
      <c r="F7907" s="3" t="s">
        <v>1886</v>
      </c>
      <c r="G7907" s="3">
        <v>69993</v>
      </c>
      <c r="H7907" s="7" t="str">
        <f>HYPERLINK("http://www.ensembl.org/Mus_musculus/Gene/Summary?db=core;g=ENSMUSG00000004633","ENSMUSG00000004633")</f>
        <v>ENSMUSG00000004633</v>
      </c>
      <c r="I7907" s="7" t="str">
        <f>HYPERLINK("http://www.informatics.jax.org/marker/MGI:1917243","MGI:1917243")</f>
        <v>MGI:1917243</v>
      </c>
      <c r="J7907" s="4" t="s">
        <v>12</v>
      </c>
    </row>
    <row r="7908" spans="1:10" x14ac:dyDescent="0.25">
      <c r="A7908" s="2">
        <v>7.0628700756362903</v>
      </c>
      <c r="B7908" s="3">
        <v>-1.3096678846718499</v>
      </c>
      <c r="C7908" s="3">
        <v>1.3654649788099201E-3</v>
      </c>
      <c r="D7908" s="4">
        <v>3.9470784787645399E-3</v>
      </c>
      <c r="E7908" s="3" t="s">
        <v>13653</v>
      </c>
      <c r="F7908" s="3" t="s">
        <v>13654</v>
      </c>
      <c r="G7908" s="3">
        <v>70552</v>
      </c>
      <c r="H7908" s="7" t="str">
        <f>HYPERLINK("http://www.ensembl.org/Mus_musculus/Gene/Summary?db=core;g=ENSMUSG00000038637","ENSMUSG00000038637")</f>
        <v>ENSMUSG00000038637</v>
      </c>
      <c r="I7908" s="7" t="str">
        <f>HYPERLINK("http://www.informatics.jax.org/marker/MGI:1917802","MGI:1917802")</f>
        <v>MGI:1917802</v>
      </c>
      <c r="J7908" s="4" t="s">
        <v>12</v>
      </c>
    </row>
    <row r="7909" spans="1:10" x14ac:dyDescent="0.25">
      <c r="A7909" s="2">
        <v>242.501268294851</v>
      </c>
      <c r="B7909" s="3">
        <v>-1.30994676441888</v>
      </c>
      <c r="C7909" s="5">
        <v>2.5868426797721601E-28</v>
      </c>
      <c r="D7909" s="6">
        <v>3.5848585836336599E-27</v>
      </c>
      <c r="E7909" s="3" t="s">
        <v>2864</v>
      </c>
      <c r="F7909" s="3" t="s">
        <v>2865</v>
      </c>
      <c r="G7909" s="3">
        <v>17127</v>
      </c>
      <c r="H7909" s="7" t="str">
        <f>HYPERLINK("http://www.ensembl.org/Mus_musculus/Gene/Summary?db=core;g=ENSMUSG00000032402","ENSMUSG00000032402")</f>
        <v>ENSMUSG00000032402</v>
      </c>
      <c r="I7909" s="7" t="str">
        <f>HYPERLINK("http://www.informatics.jax.org/marker/MGI:1201674","MGI:1201674")</f>
        <v>MGI:1201674</v>
      </c>
      <c r="J7909" s="4" t="s">
        <v>12</v>
      </c>
    </row>
    <row r="7910" spans="1:10" x14ac:dyDescent="0.25">
      <c r="A7910" s="2">
        <v>13.270415879661501</v>
      </c>
      <c r="B7910" s="3">
        <v>-1.3100794568177201</v>
      </c>
      <c r="C7910" s="3">
        <v>1.10945326390496E-4</v>
      </c>
      <c r="D7910" s="4">
        <v>3.7233523424448297E-4</v>
      </c>
      <c r="E7910" s="3" t="s">
        <v>11763</v>
      </c>
      <c r="F7910" s="3" t="s">
        <v>11764</v>
      </c>
      <c r="G7910" s="3" t="s">
        <v>83</v>
      </c>
      <c r="H7910" s="7" t="str">
        <f>HYPERLINK("http://www.ensembl.org/Mus_musculus/Gene/Summary?db=core;g=ENSMUSG00000087624","ENSMUSG00000087624")</f>
        <v>ENSMUSG00000087624</v>
      </c>
      <c r="I7910" s="7" t="str">
        <f>HYPERLINK("http://www.informatics.jax.org/marker/MGI:1924998","MGI:1924998")</f>
        <v>MGI:1924998</v>
      </c>
      <c r="J7910" s="4" t="s">
        <v>939</v>
      </c>
    </row>
    <row r="7911" spans="1:10" x14ac:dyDescent="0.25">
      <c r="A7911" s="2">
        <v>25.471371070045699</v>
      </c>
      <c r="B7911" s="3">
        <v>-1.3114575755669999</v>
      </c>
      <c r="C7911" s="5">
        <v>1.3386324663789199E-7</v>
      </c>
      <c r="D7911" s="6">
        <v>6.0008711609439001E-7</v>
      </c>
      <c r="E7911" s="3" t="s">
        <v>8815</v>
      </c>
      <c r="F7911" s="3" t="s">
        <v>8816</v>
      </c>
      <c r="G7911" s="3">
        <v>56219</v>
      </c>
      <c r="H7911" s="7" t="str">
        <f>HYPERLINK("http://www.ensembl.org/Mus_musculus/Gene/Summary?db=core;g=ENSMUSG00000028838","ENSMUSG00000028838")</f>
        <v>ENSMUSG00000028838</v>
      </c>
      <c r="I7911" s="7" t="str">
        <f>HYPERLINK("http://www.informatics.jax.org/marker/MGI:1888742","MGI:1888742")</f>
        <v>MGI:1888742</v>
      </c>
      <c r="J7911" s="4" t="s">
        <v>12</v>
      </c>
    </row>
    <row r="7912" spans="1:10" x14ac:dyDescent="0.25">
      <c r="A7912" s="2">
        <v>3.6224699723518201</v>
      </c>
      <c r="B7912" s="3">
        <v>-1.3138178681025201</v>
      </c>
      <c r="C7912" s="3">
        <v>2.2840935276983699E-3</v>
      </c>
      <c r="D7912" s="4">
        <v>6.3917020528184796E-3</v>
      </c>
      <c r="E7912" s="3" t="s">
        <v>14101</v>
      </c>
      <c r="F7912" s="3" t="s">
        <v>14102</v>
      </c>
      <c r="G7912" s="3" t="s">
        <v>83</v>
      </c>
      <c r="H7912" s="7" t="str">
        <f>HYPERLINK("http://www.ensembl.org/Mus_musculus/Gene/Summary?db=core;g=ENSMUSG00000081564","ENSMUSG00000081564")</f>
        <v>ENSMUSG00000081564</v>
      </c>
      <c r="I7912" s="7" t="str">
        <f>HYPERLINK("http://www.informatics.jax.org/marker/MGI:3650430","MGI:3650430")</f>
        <v>MGI:3650430</v>
      </c>
      <c r="J7912" s="4" t="s">
        <v>1043</v>
      </c>
    </row>
    <row r="7913" spans="1:10" x14ac:dyDescent="0.25">
      <c r="A7913" s="2">
        <v>47.565331331800003</v>
      </c>
      <c r="B7913" s="3">
        <v>-1.31395111834904</v>
      </c>
      <c r="C7913" s="5">
        <v>1.2424512938571199E-7</v>
      </c>
      <c r="D7913" s="6">
        <v>5.5849417631325203E-7</v>
      </c>
      <c r="E7913" s="3" t="s">
        <v>8791</v>
      </c>
      <c r="F7913" s="3" t="s">
        <v>8792</v>
      </c>
      <c r="G7913" s="3">
        <v>231125</v>
      </c>
      <c r="H7913" s="7" t="str">
        <f>HYPERLINK("http://www.ensembl.org/Mus_musculus/Gene/Summary?db=core;g=ENSMUSG00000037224","ENSMUSG00000037224")</f>
        <v>ENSMUSG00000037224</v>
      </c>
      <c r="I7913" s="7" t="str">
        <f>HYPERLINK("http://www.informatics.jax.org/marker/MGI:2684992","MGI:2684992")</f>
        <v>MGI:2684992</v>
      </c>
      <c r="J7913" s="4" t="s">
        <v>12</v>
      </c>
    </row>
    <row r="7914" spans="1:10" x14ac:dyDescent="0.25">
      <c r="A7914" s="2">
        <v>25.031508747334399</v>
      </c>
      <c r="B7914" s="3">
        <v>-1.31617279967039</v>
      </c>
      <c r="C7914" s="5">
        <v>4.5963399920239103E-5</v>
      </c>
      <c r="D7914" s="4">
        <v>1.6070890894097801E-4</v>
      </c>
      <c r="E7914" s="3" t="s">
        <v>11291</v>
      </c>
      <c r="F7914" s="3" t="s">
        <v>11292</v>
      </c>
      <c r="G7914" s="3">
        <v>69574</v>
      </c>
      <c r="H7914" s="7" t="str">
        <f>HYPERLINK("http://www.ensembl.org/Mus_musculus/Gene/Summary?db=core;g=ENSMUSG00000022235","ENSMUSG00000022235")</f>
        <v>ENSMUSG00000022235</v>
      </c>
      <c r="I7914" s="7" t="str">
        <f>HYPERLINK("http://www.informatics.jax.org/marker/MGI:1916824","MGI:1916824")</f>
        <v>MGI:1916824</v>
      </c>
      <c r="J7914" s="4" t="s">
        <v>12</v>
      </c>
    </row>
    <row r="7915" spans="1:10" x14ac:dyDescent="0.25">
      <c r="A7915" s="2">
        <v>38.674921995302</v>
      </c>
      <c r="B7915" s="3">
        <v>-1.3166833876373401</v>
      </c>
      <c r="C7915" s="5">
        <v>3.3058883341557701E-13</v>
      </c>
      <c r="D7915" s="6">
        <v>2.28343670576363E-12</v>
      </c>
      <c r="E7915" s="3" t="s">
        <v>5727</v>
      </c>
      <c r="F7915" s="3" t="s">
        <v>5728</v>
      </c>
      <c r="G7915" s="3" t="s">
        <v>83</v>
      </c>
      <c r="H7915" s="7" t="str">
        <f>HYPERLINK("http://www.ensembl.org/Mus_musculus/Gene/Summary?db=core;g=ENSMUSG00000059277","ENSMUSG00000059277")</f>
        <v>ENSMUSG00000059277</v>
      </c>
      <c r="I7915" s="7" t="str">
        <f>HYPERLINK("http://www.informatics.jax.org/marker/MGI:2142382","MGI:2142382")</f>
        <v>MGI:2142382</v>
      </c>
      <c r="J7915" s="4" t="s">
        <v>331</v>
      </c>
    </row>
    <row r="7916" spans="1:10" x14ac:dyDescent="0.25">
      <c r="A7916" s="2">
        <v>2.4395013022509699</v>
      </c>
      <c r="B7916" s="3">
        <v>-1.3171772937828901</v>
      </c>
      <c r="C7916" s="3">
        <v>4.6382480129770901E-3</v>
      </c>
      <c r="D7916" s="4">
        <v>1.23319739538773E-2</v>
      </c>
      <c r="E7916" s="3" t="s">
        <v>14838</v>
      </c>
      <c r="F7916" s="3" t="s">
        <v>14839</v>
      </c>
      <c r="G7916" s="3" t="s">
        <v>83</v>
      </c>
      <c r="H7916" s="7" t="str">
        <f>HYPERLINK("http://www.ensembl.org/Mus_musculus/Gene/Summary?db=core;g=ENSMUSG00000086938","ENSMUSG00000086938")</f>
        <v>ENSMUSG00000086938</v>
      </c>
      <c r="I7916" s="7" t="str">
        <f>HYPERLINK("http://www.informatics.jax.org/marker/MGI:1922181","MGI:1922181")</f>
        <v>MGI:1922181</v>
      </c>
      <c r="J7916" s="4" t="s">
        <v>932</v>
      </c>
    </row>
    <row r="7917" spans="1:10" x14ac:dyDescent="0.25">
      <c r="A7917" s="2">
        <v>39.194683111399598</v>
      </c>
      <c r="B7917" s="3">
        <v>-1.31723059399109</v>
      </c>
      <c r="C7917" s="5">
        <v>2.6797525317206102E-10</v>
      </c>
      <c r="D7917" s="6">
        <v>1.5055475762259401E-9</v>
      </c>
      <c r="E7917" s="3" t="s">
        <v>7038</v>
      </c>
      <c r="F7917" s="3" t="s">
        <v>7039</v>
      </c>
      <c r="G7917" s="3" t="s">
        <v>83</v>
      </c>
      <c r="H7917" s="7" t="str">
        <f>HYPERLINK("http://www.ensembl.org/Mus_musculus/Gene/Summary?db=core;g=ENSMUSG00000106820","ENSMUSG00000106820")</f>
        <v>ENSMUSG00000106820</v>
      </c>
      <c r="I7917" s="7" t="str">
        <f>HYPERLINK("http://www.informatics.jax.org/marker/MGI:1277165","MGI:1277165")</f>
        <v>MGI:1277165</v>
      </c>
      <c r="J7917" s="4" t="s">
        <v>939</v>
      </c>
    </row>
    <row r="7918" spans="1:10" x14ac:dyDescent="0.25">
      <c r="A7918" s="2">
        <v>200.88577239706899</v>
      </c>
      <c r="B7918" s="3">
        <v>-1.31771907468983</v>
      </c>
      <c r="C7918" s="5">
        <v>7.7939753055790502E-39</v>
      </c>
      <c r="D7918" s="6">
        <v>1.5202491891792199E-37</v>
      </c>
      <c r="E7918" s="3" t="s">
        <v>2039</v>
      </c>
      <c r="F7918" s="3" t="s">
        <v>2040</v>
      </c>
      <c r="G7918" s="3">
        <v>71795</v>
      </c>
      <c r="H7918" s="7" t="str">
        <f>HYPERLINK("http://www.ensembl.org/Mus_musculus/Gene/Summary?db=core;g=ENSMUSG00000040430","ENSMUSG00000040430")</f>
        <v>ENSMUSG00000040430</v>
      </c>
      <c r="I7918" s="7" t="str">
        <f>HYPERLINK("http://www.informatics.jax.org/marker/MGI:1919045","MGI:1919045")</f>
        <v>MGI:1919045</v>
      </c>
      <c r="J7918" s="4" t="s">
        <v>12</v>
      </c>
    </row>
    <row r="7919" spans="1:10" x14ac:dyDescent="0.25">
      <c r="A7919" s="2">
        <v>3.16535753604935</v>
      </c>
      <c r="B7919" s="3">
        <v>-1.31787966491525</v>
      </c>
      <c r="C7919" s="3">
        <v>3.2450384084123599E-3</v>
      </c>
      <c r="D7919" s="4">
        <v>8.8448040654998897E-3</v>
      </c>
      <c r="E7919" s="3" t="s">
        <v>14473</v>
      </c>
      <c r="F7919" s="3" t="s">
        <v>14474</v>
      </c>
      <c r="G7919" s="3" t="s">
        <v>83</v>
      </c>
      <c r="H7919" s="7" t="str">
        <f>HYPERLINK("http://www.ensembl.org/Mus_musculus/Gene/Summary?db=core;g=ENSMUSG00000060380","ENSMUSG00000060380")</f>
        <v>ENSMUSG00000060380</v>
      </c>
      <c r="I7919" s="7" t="str">
        <f>HYPERLINK("http://www.informatics.jax.org/marker/MGI:1924631","MGI:1924631")</f>
        <v>MGI:1924631</v>
      </c>
      <c r="J7919" s="4" t="s">
        <v>939</v>
      </c>
    </row>
    <row r="7920" spans="1:10" x14ac:dyDescent="0.25">
      <c r="A7920" s="2">
        <v>565.43214023182895</v>
      </c>
      <c r="B7920" s="3">
        <v>-1.3187506286614801</v>
      </c>
      <c r="C7920" s="5">
        <v>9.0834296450820495E-19</v>
      </c>
      <c r="D7920" s="6">
        <v>8.5257131176115195E-18</v>
      </c>
      <c r="E7920" s="3" t="s">
        <v>4219</v>
      </c>
      <c r="F7920" s="3" t="s">
        <v>4220</v>
      </c>
      <c r="G7920" s="3">
        <v>241303</v>
      </c>
      <c r="H7920" s="7" t="str">
        <f>HYPERLINK("http://www.ensembl.org/Mus_musculus/Gene/Summary?db=core;g=ENSMUSG00000050592","ENSMUSG00000050592")</f>
        <v>ENSMUSG00000050592</v>
      </c>
      <c r="I7920" s="7" t="str">
        <f>HYPERLINK("http://www.informatics.jax.org/marker/MGI:2443569","MGI:2443569")</f>
        <v>MGI:2443569</v>
      </c>
      <c r="J7920" s="4" t="s">
        <v>12</v>
      </c>
    </row>
    <row r="7921" spans="1:10" x14ac:dyDescent="0.25">
      <c r="A7921" s="2">
        <v>110.31511072121999</v>
      </c>
      <c r="B7921" s="3">
        <v>-1.32021330492415</v>
      </c>
      <c r="C7921" s="5">
        <v>2.0226750897598701E-18</v>
      </c>
      <c r="D7921" s="6">
        <v>1.8656292221732699E-17</v>
      </c>
      <c r="E7921" s="3" t="s">
        <v>4293</v>
      </c>
      <c r="F7921" s="3" t="s">
        <v>4294</v>
      </c>
      <c r="G7921" s="3">
        <v>216343</v>
      </c>
      <c r="H7921" s="7" t="str">
        <f>HYPERLINK("http://www.ensembl.org/Mus_musculus/Gene/Summary?db=core;g=ENSMUSG00000006764","ENSMUSG00000006764")</f>
        <v>ENSMUSG00000006764</v>
      </c>
      <c r="I7921" s="7" t="str">
        <f>HYPERLINK("http://www.informatics.jax.org/marker/MGI:2651811","MGI:2651811")</f>
        <v>MGI:2651811</v>
      </c>
      <c r="J7921" s="4" t="s">
        <v>12</v>
      </c>
    </row>
    <row r="7922" spans="1:10" x14ac:dyDescent="0.25">
      <c r="A7922" s="2">
        <v>1310.55557195201</v>
      </c>
      <c r="B7922" s="3">
        <v>-1.3202824346011499</v>
      </c>
      <c r="C7922" s="5">
        <v>2.7911905382488702E-119</v>
      </c>
      <c r="D7922" s="6">
        <v>3.2569394919685098E-117</v>
      </c>
      <c r="E7922" s="3" t="s">
        <v>350</v>
      </c>
      <c r="F7922" s="3" t="s">
        <v>351</v>
      </c>
      <c r="G7922" s="3">
        <v>18709</v>
      </c>
      <c r="H7922" s="7" t="str">
        <f>HYPERLINK("http://www.ensembl.org/Mus_musculus/Gene/Summary?db=core;g=ENSMUSG00000031834","ENSMUSG00000031834")</f>
        <v>ENSMUSG00000031834</v>
      </c>
      <c r="I7922" s="7" t="str">
        <f>HYPERLINK("http://www.informatics.jax.org/marker/MGI:1098772","MGI:1098772")</f>
        <v>MGI:1098772</v>
      </c>
      <c r="J7922" s="4" t="s">
        <v>12</v>
      </c>
    </row>
    <row r="7923" spans="1:10" x14ac:dyDescent="0.25">
      <c r="A7923" s="2">
        <v>15.1617227219398</v>
      </c>
      <c r="B7923" s="3">
        <v>-1.32149369600685</v>
      </c>
      <c r="C7923" s="5">
        <v>4.7269196358891201E-6</v>
      </c>
      <c r="D7923" s="6">
        <v>1.8288180345248899E-5</v>
      </c>
      <c r="E7923" s="3" t="s">
        <v>10208</v>
      </c>
      <c r="F7923" s="3" t="s">
        <v>10209</v>
      </c>
      <c r="G7923" s="3">
        <v>378460</v>
      </c>
      <c r="H7923" s="7" t="str">
        <f>HYPERLINK("http://www.ensembl.org/Mus_musculus/Gene/Summary?db=core;g=ENSMUSG00000032739","ENSMUSG00000032739")</f>
        <v>ENSMUSG00000032739</v>
      </c>
      <c r="I7923" s="7" t="str">
        <f>HYPERLINK("http://www.informatics.jax.org/marker/MGI:3576625","MGI:3576625")</f>
        <v>MGI:3576625</v>
      </c>
      <c r="J7923" s="4" t="s">
        <v>12</v>
      </c>
    </row>
    <row r="7924" spans="1:10" x14ac:dyDescent="0.25">
      <c r="A7924" s="2">
        <v>105.417924623076</v>
      </c>
      <c r="B7924" s="3">
        <v>-1.32155198406645</v>
      </c>
      <c r="C7924" s="5">
        <v>2.3695245653001501E-14</v>
      </c>
      <c r="D7924" s="6">
        <v>1.75797684077197E-13</v>
      </c>
      <c r="E7924" s="3" t="s">
        <v>5333</v>
      </c>
      <c r="F7924" s="3" t="s">
        <v>5334</v>
      </c>
      <c r="G7924" s="3">
        <v>230991</v>
      </c>
      <c r="H7924" s="7" t="str">
        <f>HYPERLINK("http://www.ensembl.org/Mus_musculus/Gene/Summary?db=core;g=ENSMUSG00000074738","ENSMUSG00000074738")</f>
        <v>ENSMUSG00000074738</v>
      </c>
      <c r="I7924" s="7" t="str">
        <f>HYPERLINK("http://www.informatics.jax.org/marker/MGI:2444790","MGI:2444790")</f>
        <v>MGI:2444790</v>
      </c>
      <c r="J7924" s="4" t="s">
        <v>12</v>
      </c>
    </row>
    <row r="7925" spans="1:10" x14ac:dyDescent="0.25">
      <c r="A7925" s="2">
        <v>355.44434911582402</v>
      </c>
      <c r="B7925" s="3">
        <v>-1.3219058635149701</v>
      </c>
      <c r="C7925" s="5">
        <v>2.4776010508935099E-63</v>
      </c>
      <c r="D7925" s="6">
        <v>9.8306423991186993E-62</v>
      </c>
      <c r="E7925" s="3" t="s">
        <v>1009</v>
      </c>
      <c r="F7925" s="3" t="s">
        <v>1010</v>
      </c>
      <c r="G7925" s="3">
        <v>28019</v>
      </c>
      <c r="H7925" s="7" t="str">
        <f>HYPERLINK("http://www.ensembl.org/Mus_musculus/Gene/Summary?db=core;g=ENSMUSG00000030330","ENSMUSG00000030330")</f>
        <v>ENSMUSG00000030330</v>
      </c>
      <c r="I7925" s="7" t="str">
        <f>HYPERLINK("http://www.informatics.jax.org/marker/MGI:107307","MGI:107307")</f>
        <v>MGI:107307</v>
      </c>
      <c r="J7925" s="4" t="s">
        <v>12</v>
      </c>
    </row>
    <row r="7926" spans="1:10" x14ac:dyDescent="0.25">
      <c r="A7926" s="2">
        <v>7.5097501797229604</v>
      </c>
      <c r="B7926" s="3">
        <v>-1.32370874978779</v>
      </c>
      <c r="C7926" s="3">
        <v>3.98698475262643E-4</v>
      </c>
      <c r="D7926" s="4">
        <v>1.2424674355529901E-3</v>
      </c>
      <c r="E7926" s="3" t="s">
        <v>12669</v>
      </c>
      <c r="F7926" s="3" t="s">
        <v>12670</v>
      </c>
      <c r="G7926" s="3">
        <v>57265</v>
      </c>
      <c r="H7926" s="7" t="str">
        <f>HYPERLINK("http://www.ensembl.org/Mus_musculus/Gene/Summary?db=core;g=ENSMUSG00000050288","ENSMUSG00000050288")</f>
        <v>ENSMUSG00000050288</v>
      </c>
      <c r="I7926" s="7" t="str">
        <f>HYPERLINK("http://www.informatics.jax.org/marker/MGI:1888513","MGI:1888513")</f>
        <v>MGI:1888513</v>
      </c>
      <c r="J7926" s="4" t="s">
        <v>12</v>
      </c>
    </row>
    <row r="7927" spans="1:10" x14ac:dyDescent="0.25">
      <c r="A7927" s="2">
        <v>164.579662528131</v>
      </c>
      <c r="B7927" s="3">
        <v>-1.3240382093093399</v>
      </c>
      <c r="C7927" s="5">
        <v>3.7822633058739301E-27</v>
      </c>
      <c r="D7927" s="6">
        <v>5.00243007322829E-26</v>
      </c>
      <c r="E7927" s="3" t="s">
        <v>3000</v>
      </c>
      <c r="F7927" s="3" t="s">
        <v>3001</v>
      </c>
      <c r="G7927" s="3">
        <v>228730</v>
      </c>
      <c r="H7927" s="7" t="str">
        <f>HYPERLINK("http://www.ensembl.org/Mus_musculus/Gene/Summary?db=core;g=ENSMUSG00000074749","ENSMUSG00000074749")</f>
        <v>ENSMUSG00000074749</v>
      </c>
      <c r="I7927" s="7" t="str">
        <f>HYPERLINK("http://www.informatics.jax.org/marker/MGI:2684960","MGI:2684960")</f>
        <v>MGI:2684960</v>
      </c>
      <c r="J7927" s="4" t="s">
        <v>12</v>
      </c>
    </row>
    <row r="7928" spans="1:10" x14ac:dyDescent="0.25">
      <c r="A7928" s="2">
        <v>1142.6166548055401</v>
      </c>
      <c r="B7928" s="3">
        <v>-1.3247886374076301</v>
      </c>
      <c r="C7928" s="5">
        <v>2.2704256845836899E-29</v>
      </c>
      <c r="D7928" s="6">
        <v>3.2776569912145301E-28</v>
      </c>
      <c r="E7928" s="3" t="s">
        <v>2750</v>
      </c>
      <c r="F7928" s="3" t="s">
        <v>2751</v>
      </c>
      <c r="G7928" s="3">
        <v>74136</v>
      </c>
      <c r="H7928" s="7" t="str">
        <f>HYPERLINK("http://www.ensembl.org/Mus_musculus/Gene/Summary?db=core;g=ENSMUSG00000020823","ENSMUSG00000020823")</f>
        <v>ENSMUSG00000020823</v>
      </c>
      <c r="I7928" s="7" t="str">
        <f>HYPERLINK("http://www.informatics.jax.org/marker/MGI:1921386","MGI:1921386")</f>
        <v>MGI:1921386</v>
      </c>
      <c r="J7928" s="4" t="s">
        <v>12</v>
      </c>
    </row>
    <row r="7929" spans="1:10" x14ac:dyDescent="0.25">
      <c r="A7929" s="2">
        <v>806.32866729847399</v>
      </c>
      <c r="B7929" s="3">
        <v>-1.3251598327793199</v>
      </c>
      <c r="C7929" s="5">
        <v>9.98592748188745E-59</v>
      </c>
      <c r="D7929" s="6">
        <v>3.4247389555273098E-57</v>
      </c>
      <c r="E7929" s="3" t="s">
        <v>1166</v>
      </c>
      <c r="F7929" s="3" t="s">
        <v>1167</v>
      </c>
      <c r="G7929" s="3">
        <v>26909</v>
      </c>
      <c r="H7929" s="7" t="str">
        <f>HYPERLINK("http://www.ensembl.org/Mus_musculus/Gene/Summary?db=core;g=ENSMUSG00000039748","ENSMUSG00000039748")</f>
        <v>ENSMUSG00000039748</v>
      </c>
      <c r="I7929" s="7" t="str">
        <f>HYPERLINK("http://www.informatics.jax.org/marker/MGI:1349427","MGI:1349427")</f>
        <v>MGI:1349427</v>
      </c>
      <c r="J7929" s="4" t="s">
        <v>12</v>
      </c>
    </row>
    <row r="7930" spans="1:10" x14ac:dyDescent="0.25">
      <c r="A7930" s="2">
        <v>111.675123764209</v>
      </c>
      <c r="B7930" s="3">
        <v>-1.3258679891962299</v>
      </c>
      <c r="C7930" s="5">
        <v>4.7396122814493303E-17</v>
      </c>
      <c r="D7930" s="6">
        <v>4.0443597659100298E-16</v>
      </c>
      <c r="E7930" s="3" t="s">
        <v>4639</v>
      </c>
      <c r="F7930" s="3" t="s">
        <v>4640</v>
      </c>
      <c r="G7930" s="3">
        <v>16576</v>
      </c>
      <c r="H7930" s="7" t="str">
        <f>HYPERLINK("http://www.ensembl.org/Mus_musculus/Gene/Summary?db=core;g=ENSMUSG00000050382","ENSMUSG00000050382")</f>
        <v>ENSMUSG00000050382</v>
      </c>
      <c r="I7930" s="7" t="str">
        <f>HYPERLINK("http://www.informatics.jax.org/marker/MGI:1098239","MGI:1098239")</f>
        <v>MGI:1098239</v>
      </c>
      <c r="J7930" s="4" t="s">
        <v>12</v>
      </c>
    </row>
    <row r="7931" spans="1:10" x14ac:dyDescent="0.25">
      <c r="A7931" s="2">
        <v>16.053943159508101</v>
      </c>
      <c r="B7931" s="3">
        <v>-1.3261507214086401</v>
      </c>
      <c r="C7931" s="5">
        <v>6.4397033661368798E-6</v>
      </c>
      <c r="D7931" s="6">
        <v>2.4591586053489401E-5</v>
      </c>
      <c r="E7931" s="3" t="s">
        <v>10342</v>
      </c>
      <c r="F7931" s="3" t="s">
        <v>10343</v>
      </c>
      <c r="G7931" s="3" t="s">
        <v>83</v>
      </c>
      <c r="H7931" s="7" t="str">
        <f>HYPERLINK("http://www.ensembl.org/Mus_musculus/Gene/Summary?db=core;g=ENSMUSG00000093482","ENSMUSG00000093482")</f>
        <v>ENSMUSG00000093482</v>
      </c>
      <c r="I7931" s="7" t="str">
        <f>HYPERLINK("http://www.informatics.jax.org/marker/MGI:5313066","MGI:5313066")</f>
        <v>MGI:5313066</v>
      </c>
      <c r="J7931" s="4" t="s">
        <v>939</v>
      </c>
    </row>
    <row r="7932" spans="1:10" x14ac:dyDescent="0.25">
      <c r="A7932" s="2">
        <v>3074.89224700984</v>
      </c>
      <c r="B7932" s="3">
        <v>-1.32650447069255</v>
      </c>
      <c r="C7932" s="5">
        <v>5.7733029123905399E-93</v>
      </c>
      <c r="D7932" s="6">
        <v>4.1399830339033301E-91</v>
      </c>
      <c r="E7932" s="3" t="s">
        <v>562</v>
      </c>
      <c r="F7932" s="3" t="s">
        <v>563</v>
      </c>
      <c r="G7932" s="3">
        <v>17220</v>
      </c>
      <c r="H7932" s="7" t="str">
        <f>HYPERLINK("http://www.ensembl.org/Mus_musculus/Gene/Summary?db=core;g=ENSMUSG00000029730","ENSMUSG00000029730")</f>
        <v>ENSMUSG00000029730</v>
      </c>
      <c r="I7932" s="7" t="str">
        <f>HYPERLINK("http://www.informatics.jax.org/marker/MGI:1298398","MGI:1298398")</f>
        <v>MGI:1298398</v>
      </c>
      <c r="J7932" s="4" t="s">
        <v>12</v>
      </c>
    </row>
    <row r="7933" spans="1:10" x14ac:dyDescent="0.25">
      <c r="A7933" s="2">
        <v>252.38568128960301</v>
      </c>
      <c r="B7933" s="3">
        <v>-1.3284123325563899</v>
      </c>
      <c r="C7933" s="5">
        <v>1.83355521934297E-18</v>
      </c>
      <c r="D7933" s="6">
        <v>1.69595257624031E-17</v>
      </c>
      <c r="E7933" s="3" t="s">
        <v>4281</v>
      </c>
      <c r="F7933" s="3" t="s">
        <v>4282</v>
      </c>
      <c r="G7933" s="3">
        <v>66355</v>
      </c>
      <c r="H7933" s="7" t="str">
        <f>HYPERLINK("http://www.ensembl.org/Mus_musculus/Gene/Summary?db=core;g=ENSMUSG00000000253","ENSMUSG00000000253")</f>
        <v>ENSMUSG00000000253</v>
      </c>
      <c r="I7933" s="7" t="str">
        <f>HYPERLINK("http://www.informatics.jax.org/marker/MGI:1913605","MGI:1913605")</f>
        <v>MGI:1913605</v>
      </c>
      <c r="J7933" s="4" t="s">
        <v>12</v>
      </c>
    </row>
    <row r="7934" spans="1:10" x14ac:dyDescent="0.25">
      <c r="A7934" s="2">
        <v>109.206921576829</v>
      </c>
      <c r="B7934" s="3">
        <v>-1.32869444284428</v>
      </c>
      <c r="C7934" s="5">
        <v>1.27900111024632E-11</v>
      </c>
      <c r="D7934" s="6">
        <v>7.9339106304049797E-11</v>
      </c>
      <c r="E7934" s="3" t="s">
        <v>6375</v>
      </c>
      <c r="F7934" s="3" t="s">
        <v>6376</v>
      </c>
      <c r="G7934" s="3">
        <v>12452</v>
      </c>
      <c r="H7934" s="7" t="str">
        <f>HYPERLINK("http://www.ensembl.org/Mus_musculus/Gene/Summary?db=core;g=ENSMUSG00000029385","ENSMUSG00000029385")</f>
        <v>ENSMUSG00000029385</v>
      </c>
      <c r="I7934" s="7" t="str">
        <f>HYPERLINK("http://www.informatics.jax.org/marker/MGI:1095734","MGI:1095734")</f>
        <v>MGI:1095734</v>
      </c>
      <c r="J7934" s="4" t="s">
        <v>12</v>
      </c>
    </row>
    <row r="7935" spans="1:10" x14ac:dyDescent="0.25">
      <c r="A7935" s="2">
        <v>344.79232041139898</v>
      </c>
      <c r="B7935" s="3">
        <v>-1.3290505503723899</v>
      </c>
      <c r="C7935" s="5">
        <v>6.3360770979015996E-36</v>
      </c>
      <c r="D7935" s="6">
        <v>1.1338243227823901E-34</v>
      </c>
      <c r="E7935" s="3" t="s">
        <v>2221</v>
      </c>
      <c r="F7935" s="3" t="s">
        <v>2222</v>
      </c>
      <c r="G7935" s="3">
        <v>12021</v>
      </c>
      <c r="H7935" s="7" t="str">
        <f>HYPERLINK("http://www.ensembl.org/Mus_musculus/Gene/Summary?db=core;g=ENSMUSG00000026196","ENSMUSG00000026196")</f>
        <v>ENSMUSG00000026196</v>
      </c>
      <c r="I7935" s="7" t="str">
        <f>HYPERLINK("http://www.informatics.jax.org/marker/MGI:1328361","MGI:1328361")</f>
        <v>MGI:1328361</v>
      </c>
      <c r="J7935" s="4" t="s">
        <v>12</v>
      </c>
    </row>
    <row r="7936" spans="1:10" x14ac:dyDescent="0.25">
      <c r="A7936" s="2">
        <v>32.460648909289603</v>
      </c>
      <c r="B7936" s="3">
        <v>-1.33004240164539</v>
      </c>
      <c r="C7936" s="5">
        <v>4.29864272582512E-10</v>
      </c>
      <c r="D7936" s="6">
        <v>2.3711674000915099E-9</v>
      </c>
      <c r="E7936" s="3" t="s">
        <v>7166</v>
      </c>
      <c r="F7936" s="3" t="s">
        <v>7167</v>
      </c>
      <c r="G7936" s="3" t="s">
        <v>83</v>
      </c>
      <c r="H7936" s="7" t="str">
        <f>HYPERLINK("http://www.ensembl.org/Mus_musculus/Gene/Summary?db=core;g=ENSMUSG00000113836","ENSMUSG00000113836")</f>
        <v>ENSMUSG00000113836</v>
      </c>
      <c r="I7936" s="7" t="str">
        <f>HYPERLINK("http://www.informatics.jax.org/marker/MGI:3781503","MGI:3781503")</f>
        <v>MGI:3781503</v>
      </c>
      <c r="J7936" s="4" t="s">
        <v>5705</v>
      </c>
    </row>
    <row r="7937" spans="1:10" x14ac:dyDescent="0.25">
      <c r="A7937" s="2">
        <v>357.052985375817</v>
      </c>
      <c r="B7937" s="3">
        <v>-1.33006210152445</v>
      </c>
      <c r="C7937" s="5">
        <v>9.92802217076875E-64</v>
      </c>
      <c r="D7937" s="6">
        <v>4.0036931944286199E-62</v>
      </c>
      <c r="E7937" s="3" t="s">
        <v>993</v>
      </c>
      <c r="F7937" s="3" t="s">
        <v>994</v>
      </c>
      <c r="G7937" s="3" t="s">
        <v>83</v>
      </c>
      <c r="H7937" s="7" t="str">
        <f>HYPERLINK("http://www.ensembl.org/Mus_musculus/Gene/Summary?db=core;g=ENSMUSG00000108037","ENSMUSG00000108037")</f>
        <v>ENSMUSG00000108037</v>
      </c>
      <c r="I7937" s="7" t="str">
        <f>HYPERLINK("http://www.informatics.jax.org/marker/MGI:5753173","MGI:5753173")</f>
        <v>MGI:5753173</v>
      </c>
      <c r="J7937" s="4" t="s">
        <v>331</v>
      </c>
    </row>
    <row r="7938" spans="1:10" x14ac:dyDescent="0.25">
      <c r="A7938" s="2">
        <v>181.91977789180299</v>
      </c>
      <c r="B7938" s="3">
        <v>-1.3306509792472601</v>
      </c>
      <c r="C7938" s="5">
        <v>6.00792682217375E-32</v>
      </c>
      <c r="D7938" s="6">
        <v>9.3141758595335203E-31</v>
      </c>
      <c r="E7938" s="3" t="s">
        <v>2561</v>
      </c>
      <c r="F7938" s="3" t="s">
        <v>2562</v>
      </c>
      <c r="G7938" s="3">
        <v>75939</v>
      </c>
      <c r="H7938" s="7" t="str">
        <f>HYPERLINK("http://www.ensembl.org/Mus_musculus/Gene/Summary?db=core;g=ENSMUSG00000027811","ENSMUSG00000027811")</f>
        <v>ENSMUSG00000027811</v>
      </c>
      <c r="I7938" s="7" t="str">
        <f>HYPERLINK("http://www.informatics.jax.org/marker/MGI:1923189","MGI:1923189")</f>
        <v>MGI:1923189</v>
      </c>
      <c r="J7938" s="4" t="s">
        <v>12</v>
      </c>
    </row>
    <row r="7939" spans="1:10" x14ac:dyDescent="0.25">
      <c r="A7939" s="2">
        <v>32.355640113335603</v>
      </c>
      <c r="B7939" s="3">
        <v>-1.3308892171545199</v>
      </c>
      <c r="C7939" s="5">
        <v>4.0081278376864502E-10</v>
      </c>
      <c r="D7939" s="6">
        <v>2.2146338178530898E-9</v>
      </c>
      <c r="E7939" s="3" t="s">
        <v>7156</v>
      </c>
      <c r="F7939" s="3" t="s">
        <v>7157</v>
      </c>
      <c r="G7939" s="3">
        <v>69519</v>
      </c>
      <c r="H7939" s="7" t="str">
        <f>HYPERLINK("http://www.ensembl.org/Mus_musculus/Gene/Summary?db=core;g=ENSMUSG00000032417","ENSMUSG00000032417")</f>
        <v>ENSMUSG00000032417</v>
      </c>
      <c r="I7939" s="7" t="str">
        <f>HYPERLINK("http://www.informatics.jax.org/marker/MGI:1916769","MGI:1916769")</f>
        <v>MGI:1916769</v>
      </c>
      <c r="J7939" s="4" t="s">
        <v>12</v>
      </c>
    </row>
    <row r="7940" spans="1:10" x14ac:dyDescent="0.25">
      <c r="A7940" s="2">
        <v>65.144532805980404</v>
      </c>
      <c r="B7940" s="3">
        <v>-1.3318964820017001</v>
      </c>
      <c r="C7940" s="5">
        <v>7.9710539354197103E-17</v>
      </c>
      <c r="D7940" s="6">
        <v>6.7117499404985797E-16</v>
      </c>
      <c r="E7940" s="3" t="s">
        <v>4701</v>
      </c>
      <c r="F7940" s="3" t="s">
        <v>4702</v>
      </c>
      <c r="G7940" s="3">
        <v>59038</v>
      </c>
      <c r="H7940" s="7" t="str">
        <f>HYPERLINK("http://www.ensembl.org/Mus_musculus/Gene/Summary?db=core;g=ENSMUSG00000000876","ENSMUSG00000000876")</f>
        <v>ENSMUSG00000000876</v>
      </c>
      <c r="I7940" s="7" t="str">
        <f>HYPERLINK("http://www.informatics.jax.org/marker/MGI:1891701","MGI:1891701")</f>
        <v>MGI:1891701</v>
      </c>
      <c r="J7940" s="4" t="s">
        <v>12</v>
      </c>
    </row>
    <row r="7941" spans="1:10" x14ac:dyDescent="0.25">
      <c r="A7941" s="2">
        <v>247.297358315049</v>
      </c>
      <c r="B7941" s="3">
        <v>-1.33213120684603</v>
      </c>
      <c r="C7941" s="5">
        <v>6.8764879232038097E-16</v>
      </c>
      <c r="D7941" s="6">
        <v>5.5168568692261701E-15</v>
      </c>
      <c r="E7941" s="3" t="s">
        <v>4933</v>
      </c>
      <c r="F7941" s="3" t="s">
        <v>4934</v>
      </c>
      <c r="G7941" s="3">
        <v>12416</v>
      </c>
      <c r="H7941" s="7" t="str">
        <f>HYPERLINK("http://www.ensembl.org/Mus_musculus/Gene/Summary?db=core;g=ENSMUSG00000025577","ENSMUSG00000025577")</f>
        <v>ENSMUSG00000025577</v>
      </c>
      <c r="I7941" s="7" t="str">
        <f>HYPERLINK("http://www.informatics.jax.org/marker/MGI:88289","MGI:88289")</f>
        <v>MGI:88289</v>
      </c>
      <c r="J7941" s="4" t="s">
        <v>12</v>
      </c>
    </row>
    <row r="7942" spans="1:10" x14ac:dyDescent="0.25">
      <c r="A7942" s="2">
        <v>571.35502048658202</v>
      </c>
      <c r="B7942" s="3">
        <v>-1.3326479908647499</v>
      </c>
      <c r="C7942" s="5">
        <v>1.8223043369227999E-42</v>
      </c>
      <c r="D7942" s="6">
        <v>3.9840179073301101E-41</v>
      </c>
      <c r="E7942" s="3" t="s">
        <v>1820</v>
      </c>
      <c r="F7942" s="3" t="s">
        <v>1821</v>
      </c>
      <c r="G7942" s="3">
        <v>79456</v>
      </c>
      <c r="H7942" s="7" t="str">
        <f>HYPERLINK("http://www.ensembl.org/Mus_musculus/Gene/Summary?db=core;g=ENSMUSG00000033762","ENSMUSG00000033762")</f>
        <v>ENSMUSG00000033762</v>
      </c>
      <c r="I7942" s="7" t="str">
        <f>HYPERLINK("http://www.informatics.jax.org/marker/MGI:1931028","MGI:1931028")</f>
        <v>MGI:1931028</v>
      </c>
      <c r="J7942" s="4" t="s">
        <v>12</v>
      </c>
    </row>
    <row r="7943" spans="1:10" x14ac:dyDescent="0.25">
      <c r="A7943" s="2">
        <v>569.96258249366099</v>
      </c>
      <c r="B7943" s="3">
        <v>-1.3350325376494701</v>
      </c>
      <c r="C7943" s="5">
        <v>4.1038036156020002E-100</v>
      </c>
      <c r="D7943" s="6">
        <v>3.2631857782125597E-98</v>
      </c>
      <c r="E7943" s="3" t="s">
        <v>508</v>
      </c>
      <c r="F7943" s="3" t="s">
        <v>509</v>
      </c>
      <c r="G7943" s="3">
        <v>57314</v>
      </c>
      <c r="H7943" s="7" t="str">
        <f>HYPERLINK("http://www.ensembl.org/Mus_musculus/Gene/Summary?db=core;g=ENSMUSG00000016253","ENSMUSG00000016253")</f>
        <v>ENSMUSG00000016253</v>
      </c>
      <c r="I7943" s="7" t="str">
        <f>HYPERLINK("http://www.informatics.jax.org/marker/MGI:1926424","MGI:1926424")</f>
        <v>MGI:1926424</v>
      </c>
      <c r="J7943" s="4" t="s">
        <v>12</v>
      </c>
    </row>
    <row r="7944" spans="1:10" x14ac:dyDescent="0.25">
      <c r="A7944" s="2">
        <v>56.042342687387098</v>
      </c>
      <c r="B7944" s="3">
        <v>-1.3367630787450799</v>
      </c>
      <c r="C7944" s="5">
        <v>2.4439395418606098E-15</v>
      </c>
      <c r="D7944" s="6">
        <v>1.9094488021193001E-14</v>
      </c>
      <c r="E7944" s="3" t="s">
        <v>5065</v>
      </c>
      <c r="F7944" s="3" t="s">
        <v>5066</v>
      </c>
      <c r="G7944" s="3">
        <v>67525</v>
      </c>
      <c r="H7944" s="7" t="str">
        <f>HYPERLINK("http://www.ensembl.org/Mus_musculus/Gene/Summary?db=core;g=ENSMUSG00000041000","ENSMUSG00000041000")</f>
        <v>ENSMUSG00000041000</v>
      </c>
      <c r="I7944" s="7" t="str">
        <f>HYPERLINK("http://www.informatics.jax.org/marker/MGI:1914775","MGI:1914775")</f>
        <v>MGI:1914775</v>
      </c>
      <c r="J7944" s="4" t="s">
        <v>12</v>
      </c>
    </row>
    <row r="7945" spans="1:10" x14ac:dyDescent="0.25">
      <c r="A7945" s="2">
        <v>310.74767434227999</v>
      </c>
      <c r="B7945" s="3">
        <v>-1.33828063016256</v>
      </c>
      <c r="C7945" s="5">
        <v>1.05367615993424E-44</v>
      </c>
      <c r="D7945" s="6">
        <v>2.4589933578583799E-43</v>
      </c>
      <c r="E7945" s="3" t="s">
        <v>1706</v>
      </c>
      <c r="F7945" s="3" t="s">
        <v>1707</v>
      </c>
      <c r="G7945" s="3">
        <v>106393</v>
      </c>
      <c r="H7945" s="7" t="str">
        <f>HYPERLINK("http://www.ensembl.org/Mus_musculus/Gene/Summary?db=core;g=ENSMUSG00000022519","ENSMUSG00000022519")</f>
        <v>ENSMUSG00000022519</v>
      </c>
      <c r="I7945" s="7" t="str">
        <f>HYPERLINK("http://www.informatics.jax.org/marker/MGI:2146620","MGI:2146620")</f>
        <v>MGI:2146620</v>
      </c>
      <c r="J7945" s="4" t="s">
        <v>12</v>
      </c>
    </row>
    <row r="7946" spans="1:10" x14ac:dyDescent="0.25">
      <c r="A7946" s="2">
        <v>4.9538225222352903</v>
      </c>
      <c r="B7946" s="3">
        <v>-1.34070983325366</v>
      </c>
      <c r="C7946" s="3">
        <v>1.97982681146955E-3</v>
      </c>
      <c r="D7946" s="4">
        <v>5.5974458383053196E-3</v>
      </c>
      <c r="E7946" s="3" t="s">
        <v>13957</v>
      </c>
      <c r="F7946" s="3" t="s">
        <v>13958</v>
      </c>
      <c r="G7946" s="3" t="s">
        <v>83</v>
      </c>
      <c r="H7946" s="7" t="str">
        <f>HYPERLINK("http://www.ensembl.org/Mus_musculus/Gene/Summary?db=core;g=ENSMUSG00000086264","ENSMUSG00000086264")</f>
        <v>ENSMUSG00000086264</v>
      </c>
      <c r="I7946" s="7" t="str">
        <f>HYPERLINK("http://www.informatics.jax.org/marker/MGI:3801986","MGI:3801986")</f>
        <v>MGI:3801986</v>
      </c>
      <c r="J7946" s="4" t="s">
        <v>331</v>
      </c>
    </row>
    <row r="7947" spans="1:10" x14ac:dyDescent="0.25">
      <c r="A7947" s="2">
        <v>99.620390418889698</v>
      </c>
      <c r="B7947" s="3">
        <v>-1.34474787603581</v>
      </c>
      <c r="C7947" s="5">
        <v>1.153093378548E-18</v>
      </c>
      <c r="D7947" s="6">
        <v>1.0781887825968001E-17</v>
      </c>
      <c r="E7947" s="3" t="s">
        <v>4235</v>
      </c>
      <c r="F7947" s="3" t="s">
        <v>4236</v>
      </c>
      <c r="G7947" s="3">
        <v>239833</v>
      </c>
      <c r="H7947" s="7" t="str">
        <f>HYPERLINK("http://www.ensembl.org/Mus_musculus/Gene/Summary?db=core;g=ENSMUSG00000022802","ENSMUSG00000022802")</f>
        <v>ENSMUSG00000022802</v>
      </c>
      <c r="I7947" s="7" t="str">
        <f>HYPERLINK("http://www.informatics.jax.org/marker/MGI:2444736","MGI:2444736")</f>
        <v>MGI:2444736</v>
      </c>
      <c r="J7947" s="4" t="s">
        <v>12</v>
      </c>
    </row>
    <row r="7948" spans="1:10" x14ac:dyDescent="0.25">
      <c r="A7948" s="2">
        <v>1.09534713191486</v>
      </c>
      <c r="B7948" s="3">
        <v>-1.3447560560093501</v>
      </c>
      <c r="C7948" s="3">
        <v>3.492460909101E-3</v>
      </c>
      <c r="D7948" s="4">
        <v>9.4824905861863804E-3</v>
      </c>
      <c r="E7948" s="3" t="s">
        <v>14529</v>
      </c>
      <c r="F7948" s="3" t="s">
        <v>14530</v>
      </c>
      <c r="G7948" s="3" t="s">
        <v>83</v>
      </c>
      <c r="H7948" s="7" t="str">
        <f>HYPERLINK("http://www.ensembl.org/Mus_musculus/Gene/Summary?db=core;g=ENSMUSG00000080413","ENSMUSG00000080413")</f>
        <v>ENSMUSG00000080413</v>
      </c>
      <c r="I7948" s="7" t="str">
        <f>HYPERLINK("http://www.informatics.jax.org/marker/MGI:5456250","MGI:5456250")</f>
        <v>MGI:5456250</v>
      </c>
      <c r="J7948" s="4" t="s">
        <v>13342</v>
      </c>
    </row>
    <row r="7949" spans="1:10" x14ac:dyDescent="0.25">
      <c r="A7949" s="2">
        <v>2143.6951373627098</v>
      </c>
      <c r="B7949" s="3">
        <v>-1.3452626174659199</v>
      </c>
      <c r="C7949" s="5">
        <v>1.17224620090932E-107</v>
      </c>
      <c r="D7949" s="6">
        <v>1.0751951200898499E-105</v>
      </c>
      <c r="E7949" s="3" t="s">
        <v>442</v>
      </c>
      <c r="F7949" s="3" t="s">
        <v>443</v>
      </c>
      <c r="G7949" s="3">
        <v>223753</v>
      </c>
      <c r="H7949" s="7" t="str">
        <f>HYPERLINK("http://www.ensembl.org/Mus_musculus/Gene/Summary?db=core;g=ENSMUSG00000035891","ENSMUSG00000035891")</f>
        <v>ENSMUSG00000035891</v>
      </c>
      <c r="I7949" s="7" t="str">
        <f>HYPERLINK("http://www.informatics.jax.org/marker/MGI:2386052","MGI:2386052")</f>
        <v>MGI:2386052</v>
      </c>
      <c r="J7949" s="4" t="s">
        <v>12</v>
      </c>
    </row>
    <row r="7950" spans="1:10" x14ac:dyDescent="0.25">
      <c r="A7950" s="2">
        <v>46.108386866422997</v>
      </c>
      <c r="B7950" s="3">
        <v>-1.34549145991314</v>
      </c>
      <c r="C7950" s="5">
        <v>9.3914547301638705E-8</v>
      </c>
      <c r="D7950" s="6">
        <v>4.26825276051697E-7</v>
      </c>
      <c r="E7950" s="3" t="s">
        <v>8695</v>
      </c>
      <c r="F7950" s="3" t="s">
        <v>8696</v>
      </c>
      <c r="G7950" s="3">
        <v>216152</v>
      </c>
      <c r="H7950" s="7" t="str">
        <f>HYPERLINK("http://www.ensembl.org/Mus_musculus/Gene/Summary?db=core;g=ENSMUSG00000035835","ENSMUSG00000035835")</f>
        <v>ENSMUSG00000035835</v>
      </c>
      <c r="I7950" s="7" t="str">
        <f>HYPERLINK("http://www.informatics.jax.org/marker/MGI:2388640","MGI:2388640")</f>
        <v>MGI:2388640</v>
      </c>
      <c r="J7950" s="4" t="s">
        <v>12</v>
      </c>
    </row>
    <row r="7951" spans="1:10" x14ac:dyDescent="0.25">
      <c r="A7951" s="2">
        <v>1.48429498503024</v>
      </c>
      <c r="B7951" s="3">
        <v>-1.3455385027578799</v>
      </c>
      <c r="C7951" s="3">
        <v>4.0905421388258596E-3</v>
      </c>
      <c r="D7951" s="4">
        <v>1.1001840013317801E-2</v>
      </c>
      <c r="E7951" s="3" t="s">
        <v>14667</v>
      </c>
      <c r="F7951" s="3" t="s">
        <v>14668</v>
      </c>
      <c r="G7951" s="3" t="s">
        <v>83</v>
      </c>
      <c r="H7951" s="7" t="str">
        <f>HYPERLINK("http://www.ensembl.org/Mus_musculus/Gene/Summary?db=core;g=ENSMUSG00000084960","ENSMUSG00000084960")</f>
        <v>ENSMUSG00000084960</v>
      </c>
      <c r="I7951" s="7" t="str">
        <f>HYPERLINK("http://www.informatics.jax.org/marker/MGI:1926099","MGI:1926099")</f>
        <v>MGI:1926099</v>
      </c>
      <c r="J7951" s="4" t="s">
        <v>932</v>
      </c>
    </row>
    <row r="7952" spans="1:10" x14ac:dyDescent="0.25">
      <c r="A7952" s="2">
        <v>59.137774983063402</v>
      </c>
      <c r="B7952" s="3">
        <v>-1.34674921641045</v>
      </c>
      <c r="C7952" s="5">
        <v>3.1728004247039798E-11</v>
      </c>
      <c r="D7952" s="6">
        <v>1.91514001760522E-10</v>
      </c>
      <c r="E7952" s="3" t="s">
        <v>6551</v>
      </c>
      <c r="F7952" s="3" t="s">
        <v>6552</v>
      </c>
      <c r="G7952" s="3">
        <v>320398</v>
      </c>
      <c r="H7952" s="7" t="str">
        <f>HYPERLINK("http://www.ensembl.org/Mus_musculus/Gene/Summary?db=core;g=ENSMUSG00000020105","ENSMUSG00000020105")</f>
        <v>ENSMUSG00000020105</v>
      </c>
      <c r="I7952" s="7" t="str">
        <f>HYPERLINK("http://www.informatics.jax.org/marker/MGI:2443955","MGI:2443955")</f>
        <v>MGI:2443955</v>
      </c>
      <c r="J7952" s="4" t="s">
        <v>12</v>
      </c>
    </row>
    <row r="7953" spans="1:10" x14ac:dyDescent="0.25">
      <c r="A7953" s="2">
        <v>5.45315640706563</v>
      </c>
      <c r="B7953" s="3">
        <v>-1.3479580877255299</v>
      </c>
      <c r="C7953" s="3">
        <v>1.8139842885058701E-3</v>
      </c>
      <c r="D7953" s="4">
        <v>5.1507228465566199E-3</v>
      </c>
      <c r="E7953" s="3" t="s">
        <v>13897</v>
      </c>
      <c r="F7953" s="3" t="s">
        <v>13898</v>
      </c>
      <c r="G7953" s="3" t="s">
        <v>83</v>
      </c>
      <c r="H7953" s="7" t="str">
        <f>HYPERLINK("http://www.ensembl.org/Mus_musculus/Gene/Summary?db=core;g=ENSMUSG00000072837","ENSMUSG00000072837")</f>
        <v>ENSMUSG00000072837</v>
      </c>
      <c r="I7953" s="7" t="str">
        <f>HYPERLINK("http://www.informatics.jax.org/marker/MGI:3619433","MGI:3619433")</f>
        <v>MGI:3619433</v>
      </c>
      <c r="J7953" s="4" t="s">
        <v>6715</v>
      </c>
    </row>
    <row r="7954" spans="1:10" x14ac:dyDescent="0.25">
      <c r="A7954" s="2">
        <v>44.618330239128198</v>
      </c>
      <c r="B7954" s="3">
        <v>-1.34857373355372</v>
      </c>
      <c r="C7954" s="5">
        <v>1.9720850722172201E-8</v>
      </c>
      <c r="D7954" s="6">
        <v>9.5154190418702303E-8</v>
      </c>
      <c r="E7954" s="3" t="s">
        <v>8191</v>
      </c>
      <c r="F7954" s="3" t="s">
        <v>8192</v>
      </c>
      <c r="G7954" s="3">
        <v>381605</v>
      </c>
      <c r="H7954" s="7" t="str">
        <f>HYPERLINK("http://www.ensembl.org/Mus_musculus/Gene/Summary?db=core;g=ENSMUSG00000039813","ENSMUSG00000039813")</f>
        <v>ENSMUSG00000039813</v>
      </c>
      <c r="I7954" s="7" t="str">
        <f>HYPERLINK("http://www.informatics.jax.org/marker/MGI:2652885","MGI:2652885")</f>
        <v>MGI:2652885</v>
      </c>
      <c r="J7954" s="4" t="s">
        <v>12</v>
      </c>
    </row>
    <row r="7955" spans="1:10" x14ac:dyDescent="0.25">
      <c r="A7955" s="2">
        <v>6.4406026577750497</v>
      </c>
      <c r="B7955" s="3">
        <v>-1.3492106690810399</v>
      </c>
      <c r="C7955" s="3">
        <v>5.6860607310780305E-4</v>
      </c>
      <c r="D7955" s="4">
        <v>1.73897514914483E-3</v>
      </c>
      <c r="E7955" s="3" t="s">
        <v>12905</v>
      </c>
      <c r="F7955" s="3" t="s">
        <v>12906</v>
      </c>
      <c r="G7955" s="3">
        <v>69528</v>
      </c>
      <c r="H7955" s="7" t="str">
        <f>HYPERLINK("http://www.ensembl.org/Mus_musculus/Gene/Summary?db=core;g=ENSMUSG00000031847","ENSMUSG00000031847")</f>
        <v>ENSMUSG00000031847</v>
      </c>
      <c r="I7955" s="7" t="str">
        <f>HYPERLINK("http://www.informatics.jax.org/marker/MGI:1916778","MGI:1916778")</f>
        <v>MGI:1916778</v>
      </c>
      <c r="J7955" s="4" t="s">
        <v>12</v>
      </c>
    </row>
    <row r="7956" spans="1:10" x14ac:dyDescent="0.25">
      <c r="A7956" s="2">
        <v>723.70579070389294</v>
      </c>
      <c r="B7956" s="3">
        <v>-1.3498710238823799</v>
      </c>
      <c r="C7956" s="5">
        <v>1.3526425241463299E-20</v>
      </c>
      <c r="D7956" s="6">
        <v>1.37921978160112E-19</v>
      </c>
      <c r="E7956" s="3" t="s">
        <v>3886</v>
      </c>
      <c r="F7956" s="3" t="s">
        <v>3887</v>
      </c>
      <c r="G7956" s="3">
        <v>170439</v>
      </c>
      <c r="H7956" s="7" t="str">
        <f>HYPERLINK("http://www.ensembl.org/Mus_musculus/Gene/Summary?db=core;g=ENSMUSG00000041220","ENSMUSG00000041220")</f>
        <v>ENSMUSG00000041220</v>
      </c>
      <c r="I7956" s="7" t="str">
        <f>HYPERLINK("http://www.informatics.jax.org/marker/MGI:2156528","MGI:2156528")</f>
        <v>MGI:2156528</v>
      </c>
      <c r="J7956" s="4" t="s">
        <v>12</v>
      </c>
    </row>
    <row r="7957" spans="1:10" x14ac:dyDescent="0.25">
      <c r="A7957" s="2">
        <v>5.8127214860362502</v>
      </c>
      <c r="B7957" s="3">
        <v>-1.3516147334688999</v>
      </c>
      <c r="C7957" s="3">
        <v>5.9608873234149305E-4</v>
      </c>
      <c r="D7957" s="4">
        <v>1.81823198790012E-3</v>
      </c>
      <c r="E7957" s="3" t="s">
        <v>12939</v>
      </c>
      <c r="F7957" s="3" t="s">
        <v>12940</v>
      </c>
      <c r="G7957" s="3">
        <v>69379</v>
      </c>
      <c r="H7957" s="7" t="str">
        <f>HYPERLINK("http://www.ensembl.org/Mus_musculus/Gene/Summary?db=core;g=ENSMUSG00000015083","ENSMUSG00000015083")</f>
        <v>ENSMUSG00000015083</v>
      </c>
      <c r="I7957" s="7" t="str">
        <f>HYPERLINK("http://www.informatics.jax.org/marker/MGI:88237","MGI:88237")</f>
        <v>MGI:88237</v>
      </c>
      <c r="J7957" s="4" t="s">
        <v>12</v>
      </c>
    </row>
    <row r="7958" spans="1:10" x14ac:dyDescent="0.25">
      <c r="A7958" s="2">
        <v>125.007216058986</v>
      </c>
      <c r="B7958" s="3">
        <v>-1.3521650700743899</v>
      </c>
      <c r="C7958" s="5">
        <v>1.13700285651308E-22</v>
      </c>
      <c r="D7958" s="6">
        <v>1.2710712205463601E-21</v>
      </c>
      <c r="E7958" s="3" t="s">
        <v>3546</v>
      </c>
      <c r="F7958" s="3" t="s">
        <v>3547</v>
      </c>
      <c r="G7958" s="3">
        <v>17082</v>
      </c>
      <c r="H7958" s="7" t="str">
        <f>HYPERLINK("http://www.ensembl.org/Mus_musculus/Gene/Summary?db=core;g=ENSMUSG00000026069","ENSMUSG00000026069")</f>
        <v>ENSMUSG00000026069</v>
      </c>
      <c r="I7958" s="7" t="str">
        <f>HYPERLINK("http://www.informatics.jax.org/marker/MGI:98427","MGI:98427")</f>
        <v>MGI:98427</v>
      </c>
      <c r="J7958" s="4" t="s">
        <v>12</v>
      </c>
    </row>
    <row r="7959" spans="1:10" x14ac:dyDescent="0.25">
      <c r="A7959" s="2">
        <v>165.53277977414399</v>
      </c>
      <c r="B7959" s="3">
        <v>-1.3524122434089001</v>
      </c>
      <c r="C7959" s="5">
        <v>2.09968104503958E-35</v>
      </c>
      <c r="D7959" s="6">
        <v>3.6903485034028898E-34</v>
      </c>
      <c r="E7959" s="3" t="s">
        <v>2261</v>
      </c>
      <c r="F7959" s="3" t="s">
        <v>2262</v>
      </c>
      <c r="G7959" s="3">
        <v>29869</v>
      </c>
      <c r="H7959" s="7" t="str">
        <f>HYPERLINK("http://www.ensembl.org/Mus_musculus/Gene/Summary?db=core;g=ENSMUSG00000004798","ENSMUSG00000004798")</f>
        <v>ENSMUSG00000004798</v>
      </c>
      <c r="I7959" s="7" t="str">
        <f>HYPERLINK("http://www.informatics.jax.org/marker/MGI:1352758","MGI:1352758")</f>
        <v>MGI:1352758</v>
      </c>
      <c r="J7959" s="4" t="s">
        <v>12</v>
      </c>
    </row>
    <row r="7960" spans="1:10" x14ac:dyDescent="0.25">
      <c r="A7960" s="2">
        <v>229.66072048343099</v>
      </c>
      <c r="B7960" s="3">
        <v>-1.35256054468528</v>
      </c>
      <c r="C7960" s="5">
        <v>8.2751452382478395E-36</v>
      </c>
      <c r="D7960" s="6">
        <v>1.4727966073849E-34</v>
      </c>
      <c r="E7960" s="3" t="s">
        <v>2233</v>
      </c>
      <c r="F7960" s="3" t="s">
        <v>2234</v>
      </c>
      <c r="G7960" s="3">
        <v>213948</v>
      </c>
      <c r="H7960" s="7" t="str">
        <f>HYPERLINK("http://www.ensembl.org/Mus_musculus/Gene/Summary?db=core;g=ENSMUSG00000038295","ENSMUSG00000038295")</f>
        <v>ENSMUSG00000038295</v>
      </c>
      <c r="I7960" s="7" t="str">
        <f>HYPERLINK("http://www.informatics.jax.org/marker/MGI:2685420","MGI:2685420")</f>
        <v>MGI:2685420</v>
      </c>
      <c r="J7960" s="4" t="s">
        <v>12</v>
      </c>
    </row>
    <row r="7961" spans="1:10" x14ac:dyDescent="0.25">
      <c r="A7961" s="2">
        <v>78.558081540820694</v>
      </c>
      <c r="B7961" s="3">
        <v>-1.35736447286252</v>
      </c>
      <c r="C7961" s="5">
        <v>4.3169347412406696E-18</v>
      </c>
      <c r="D7961" s="6">
        <v>3.91042503891897E-17</v>
      </c>
      <c r="E7961" s="3" t="s">
        <v>4371</v>
      </c>
      <c r="F7961" s="3" t="s">
        <v>4372</v>
      </c>
      <c r="G7961" s="3">
        <v>214345</v>
      </c>
      <c r="H7961" s="7" t="str">
        <f>HYPERLINK("http://www.ensembl.org/Mus_musculus/Gene/Summary?db=core;g=ENSMUSG00000032352","ENSMUSG00000032352")</f>
        <v>ENSMUSG00000032352</v>
      </c>
      <c r="I7961" s="7" t="str">
        <f>HYPERLINK("http://www.informatics.jax.org/marker/MGI:2442313","MGI:2442313")</f>
        <v>MGI:2442313</v>
      </c>
      <c r="J7961" s="4" t="s">
        <v>12</v>
      </c>
    </row>
    <row r="7962" spans="1:10" x14ac:dyDescent="0.25">
      <c r="A7962" s="2">
        <v>112.18142605682</v>
      </c>
      <c r="B7962" s="3">
        <v>-1.35794351727319</v>
      </c>
      <c r="C7962" s="5">
        <v>4.2637553915635204E-25</v>
      </c>
      <c r="D7962" s="6">
        <v>5.1998303229210003E-24</v>
      </c>
      <c r="E7962" s="3" t="s">
        <v>3254</v>
      </c>
      <c r="F7962" s="3" t="s">
        <v>3255</v>
      </c>
      <c r="G7962" s="3">
        <v>329470</v>
      </c>
      <c r="H7962" s="7" t="str">
        <f>HYPERLINK("http://www.ensembl.org/Mus_musculus/Gene/Summary?db=core;g=ENSMUSG00000040272","ENSMUSG00000040272")</f>
        <v>ENSMUSG00000040272</v>
      </c>
      <c r="I7962" s="7" t="str">
        <f>HYPERLINK("http://www.informatics.jax.org/marker/MGI:1919717","MGI:1919717")</f>
        <v>MGI:1919717</v>
      </c>
      <c r="J7962" s="4" t="s">
        <v>12</v>
      </c>
    </row>
    <row r="7963" spans="1:10" x14ac:dyDescent="0.25">
      <c r="A7963" s="2">
        <v>89.453708405944397</v>
      </c>
      <c r="B7963" s="3">
        <v>-1.35824652619227</v>
      </c>
      <c r="C7963" s="5">
        <v>6.3879950284242003E-17</v>
      </c>
      <c r="D7963" s="6">
        <v>5.4018551441048496E-16</v>
      </c>
      <c r="E7963" s="3" t="s">
        <v>4681</v>
      </c>
      <c r="F7963" s="3" t="s">
        <v>4682</v>
      </c>
      <c r="G7963" s="3">
        <v>15166</v>
      </c>
      <c r="H7963" s="7" t="str">
        <f>HYPERLINK("http://www.ensembl.org/Mus_musculus/Gene/Summary?db=core;g=ENSMUSG00000020331","ENSMUSG00000020331")</f>
        <v>ENSMUSG00000020331</v>
      </c>
      <c r="I7963" s="7" t="str">
        <f>HYPERLINK("http://www.informatics.jax.org/marker/MGI:1298210","MGI:1298210")</f>
        <v>MGI:1298210</v>
      </c>
      <c r="J7963" s="4" t="s">
        <v>12</v>
      </c>
    </row>
    <row r="7964" spans="1:10" x14ac:dyDescent="0.25">
      <c r="A7964" s="2">
        <v>2.6541061370957801</v>
      </c>
      <c r="B7964" s="3">
        <v>-1.3601985317608101</v>
      </c>
      <c r="C7964" s="3">
        <v>2.8900391809291602E-3</v>
      </c>
      <c r="D7964" s="4">
        <v>7.9408628463039001E-3</v>
      </c>
      <c r="E7964" s="3" t="s">
        <v>14359</v>
      </c>
      <c r="F7964" s="3" t="s">
        <v>14360</v>
      </c>
      <c r="G7964" s="3">
        <v>329065</v>
      </c>
      <c r="H7964" s="7" t="str">
        <f>HYPERLINK("http://www.ensembl.org/Mus_musculus/Gene/Summary?db=core;g=ENSMUSG00000050195","ENSMUSG00000050195")</f>
        <v>ENSMUSG00000050195</v>
      </c>
      <c r="I7964" s="7" t="str">
        <f>HYPERLINK("http://www.informatics.jax.org/marker/MGI:2670997","MGI:2670997")</f>
        <v>MGI:2670997</v>
      </c>
      <c r="J7964" s="4" t="s">
        <v>12</v>
      </c>
    </row>
    <row r="7965" spans="1:10" x14ac:dyDescent="0.25">
      <c r="A7965" s="2">
        <v>8.7216780983933209</v>
      </c>
      <c r="B7965" s="3">
        <v>-1.3617725143861199</v>
      </c>
      <c r="C7965" s="3">
        <v>2.5455283784381398E-4</v>
      </c>
      <c r="D7965" s="4">
        <v>8.1546198251158301E-4</v>
      </c>
      <c r="E7965" s="3" t="s">
        <v>12321</v>
      </c>
      <c r="F7965" s="3" t="s">
        <v>12322</v>
      </c>
      <c r="G7965" s="3">
        <v>320277</v>
      </c>
      <c r="H7965" s="7" t="str">
        <f>HYPERLINK("http://www.ensembl.org/Mus_musculus/Gene/Summary?db=core;g=ENSMUSG00000072663","ENSMUSG00000072663")</f>
        <v>ENSMUSG00000072663</v>
      </c>
      <c r="I7965" s="7" t="str">
        <f>HYPERLINK("http://www.informatics.jax.org/marker/MGI:2443727","MGI:2443727")</f>
        <v>MGI:2443727</v>
      </c>
      <c r="J7965" s="4" t="s">
        <v>12</v>
      </c>
    </row>
    <row r="7966" spans="1:10" x14ac:dyDescent="0.25">
      <c r="A7966" s="2">
        <v>797.89568304089698</v>
      </c>
      <c r="B7966" s="3">
        <v>-1.3634074223525401</v>
      </c>
      <c r="C7966" s="5">
        <v>1.53175296350311E-117</v>
      </c>
      <c r="D7966" s="6">
        <v>1.68749544359114E-115</v>
      </c>
      <c r="E7966" s="3" t="s">
        <v>370</v>
      </c>
      <c r="F7966" s="3" t="s">
        <v>371</v>
      </c>
      <c r="G7966" s="3">
        <v>18803</v>
      </c>
      <c r="H7966" s="7" t="str">
        <f>HYPERLINK("http://www.ensembl.org/Mus_musculus/Gene/Summary?db=core;g=ENSMUSG00000016933","ENSMUSG00000016933")</f>
        <v>ENSMUSG00000016933</v>
      </c>
      <c r="I7966" s="7" t="str">
        <f>HYPERLINK("http://www.informatics.jax.org/marker/MGI:97615","MGI:97615")</f>
        <v>MGI:97615</v>
      </c>
      <c r="J7966" s="4" t="s">
        <v>12</v>
      </c>
    </row>
    <row r="7967" spans="1:10" x14ac:dyDescent="0.25">
      <c r="A7967" s="2">
        <v>1462.7273756675199</v>
      </c>
      <c r="B7967" s="3">
        <v>-1.3638906663605099</v>
      </c>
      <c r="C7967" s="5">
        <v>5.2508781907628599E-23</v>
      </c>
      <c r="D7967" s="6">
        <v>5.9373462111148896E-22</v>
      </c>
      <c r="E7967" s="3" t="s">
        <v>3506</v>
      </c>
      <c r="F7967" s="3" t="s">
        <v>3507</v>
      </c>
      <c r="G7967" s="3">
        <v>16419</v>
      </c>
      <c r="H7967" s="7" t="str">
        <f>HYPERLINK("http://www.ensembl.org/Mus_musculus/Gene/Summary?db=core;g=ENSMUSG00000022817","ENSMUSG00000022817")</f>
        <v>ENSMUSG00000022817</v>
      </c>
      <c r="I7967" s="7" t="str">
        <f>HYPERLINK("http://www.informatics.jax.org/marker/MGI:96614","MGI:96614")</f>
        <v>MGI:96614</v>
      </c>
      <c r="J7967" s="4" t="s">
        <v>12</v>
      </c>
    </row>
    <row r="7968" spans="1:10" x14ac:dyDescent="0.25">
      <c r="A7968" s="2">
        <v>6.0623792775357304</v>
      </c>
      <c r="B7968" s="3">
        <v>-1.36687040327843</v>
      </c>
      <c r="C7968" s="3">
        <v>1.4807654786208101E-3</v>
      </c>
      <c r="D7968" s="4">
        <v>4.2597658991105E-3</v>
      </c>
      <c r="E7968" s="3" t="s">
        <v>13719</v>
      </c>
      <c r="F7968" s="3" t="s">
        <v>13720</v>
      </c>
      <c r="G7968" s="3">
        <v>218630</v>
      </c>
      <c r="H7968" s="7" t="str">
        <f>HYPERLINK("http://www.ensembl.org/Mus_musculus/Gene/Summary?db=core;g=ENSMUSG00000042417","ENSMUSG00000042417")</f>
        <v>ENSMUSG00000042417</v>
      </c>
      <c r="I7968" s="7" t="str">
        <f>HYPERLINK("http://www.informatics.jax.org/marker/MGI:2145534","MGI:2145534")</f>
        <v>MGI:2145534</v>
      </c>
      <c r="J7968" s="4" t="s">
        <v>12</v>
      </c>
    </row>
    <row r="7969" spans="1:10" x14ac:dyDescent="0.25">
      <c r="A7969" s="2">
        <v>113.383542649094</v>
      </c>
      <c r="B7969" s="3">
        <v>-1.3679718153151801</v>
      </c>
      <c r="C7969" s="5">
        <v>1.7860253000565099E-25</v>
      </c>
      <c r="D7969" s="6">
        <v>2.2221084490293E-24</v>
      </c>
      <c r="E7969" s="3" t="s">
        <v>3190</v>
      </c>
      <c r="F7969" s="3" t="s">
        <v>3191</v>
      </c>
      <c r="G7969" s="3">
        <v>209032</v>
      </c>
      <c r="H7969" s="7" t="str">
        <f>HYPERLINK("http://www.ensembl.org/Mus_musculus/Gene/Summary?db=core;g=ENSMUSG00000047749","ENSMUSG00000047749")</f>
        <v>ENSMUSG00000047749</v>
      </c>
      <c r="I7969" s="7" t="str">
        <f>HYPERLINK("http://www.informatics.jax.org/marker/MGI:2443387","MGI:2443387")</f>
        <v>MGI:2443387</v>
      </c>
      <c r="J7969" s="4" t="s">
        <v>12</v>
      </c>
    </row>
    <row r="7970" spans="1:10" x14ac:dyDescent="0.25">
      <c r="A7970" s="2">
        <v>57.6672928547355</v>
      </c>
      <c r="B7970" s="3">
        <v>-1.3700049600928299</v>
      </c>
      <c r="C7970" s="5">
        <v>5.54412969600059E-13</v>
      </c>
      <c r="D7970" s="6">
        <v>3.7688066645075101E-12</v>
      </c>
      <c r="E7970" s="3" t="s">
        <v>5817</v>
      </c>
      <c r="F7970" s="3" t="s">
        <v>5818</v>
      </c>
      <c r="G7970" s="3">
        <v>333050</v>
      </c>
      <c r="H7970" s="7" t="str">
        <f>HYPERLINK("http://www.ensembl.org/Mus_musculus/Gene/Summary?db=core;g=ENSMUSG00000061578","ENSMUSG00000061578")</f>
        <v>ENSMUSG00000061578</v>
      </c>
      <c r="I7970" s="7" t="str">
        <f>HYPERLINK("http://www.informatics.jax.org/marker/MGI:3610315","MGI:3610315")</f>
        <v>MGI:3610315</v>
      </c>
      <c r="J7970" s="4" t="s">
        <v>12</v>
      </c>
    </row>
    <row r="7971" spans="1:10" x14ac:dyDescent="0.25">
      <c r="A7971" s="2">
        <v>46.202574619828802</v>
      </c>
      <c r="B7971" s="3">
        <v>-1.37012747099248</v>
      </c>
      <c r="C7971" s="5">
        <v>1.6715118941505199E-13</v>
      </c>
      <c r="D7971" s="6">
        <v>1.1768016620010099E-12</v>
      </c>
      <c r="E7971" s="3" t="s">
        <v>5619</v>
      </c>
      <c r="F7971" s="3" t="s">
        <v>5620</v>
      </c>
      <c r="G7971" s="3">
        <v>100503583</v>
      </c>
      <c r="H7971" s="7" t="str">
        <f>HYPERLINK("http://www.ensembl.org/Mus_musculus/Gene/Summary?db=core;g=ENSMUSG00000094595","ENSMUSG00000094595")</f>
        <v>ENSMUSG00000094595</v>
      </c>
      <c r="I7971" s="7" t="str">
        <f>HYPERLINK("http://www.informatics.jax.org/marker/MGI:5301008","MGI:5301008")</f>
        <v>MGI:5301008</v>
      </c>
      <c r="J7971" s="4" t="s">
        <v>12</v>
      </c>
    </row>
    <row r="7972" spans="1:10" x14ac:dyDescent="0.25">
      <c r="A7972" s="2">
        <v>4.4170748950166496</v>
      </c>
      <c r="B7972" s="3">
        <v>-1.3714400341750601</v>
      </c>
      <c r="C7972" s="3">
        <v>1.29351108039898E-3</v>
      </c>
      <c r="D7972" s="4">
        <v>3.7556004866707701E-3</v>
      </c>
      <c r="E7972" s="3" t="s">
        <v>13593</v>
      </c>
      <c r="F7972" s="3" t="s">
        <v>13594</v>
      </c>
      <c r="G7972" s="3">
        <v>384059</v>
      </c>
      <c r="H7972" s="7" t="str">
        <f>HYPERLINK("http://www.ensembl.org/Mus_musculus/Gene/Summary?db=core;g=ENSMUSG00000062545","ENSMUSG00000062545")</f>
        <v>ENSMUSG00000062545</v>
      </c>
      <c r="I7972" s="7" t="str">
        <f>HYPERLINK("http://www.informatics.jax.org/marker/MGI:3045221","MGI:3045221")</f>
        <v>MGI:3045221</v>
      </c>
      <c r="J7972" s="4" t="s">
        <v>12</v>
      </c>
    </row>
    <row r="7973" spans="1:10" x14ac:dyDescent="0.25">
      <c r="A7973" s="2">
        <v>9.3298685818020601</v>
      </c>
      <c r="B7973" s="3">
        <v>-1.37316829899454</v>
      </c>
      <c r="C7973" s="3">
        <v>1.88674945155326E-4</v>
      </c>
      <c r="D7973" s="4">
        <v>6.1376936959139298E-4</v>
      </c>
      <c r="E7973" s="3" t="s">
        <v>12135</v>
      </c>
      <c r="F7973" s="3" t="s">
        <v>12136</v>
      </c>
      <c r="G7973" s="3" t="s">
        <v>83</v>
      </c>
      <c r="H7973" s="7" t="str">
        <f>HYPERLINK("http://www.ensembl.org/Mus_musculus/Gene/Summary?db=core;g=ENSMUSG00000118426","ENSMUSG00000118426")</f>
        <v>ENSMUSG00000118426</v>
      </c>
      <c r="I7973" s="7" t="str">
        <f>HYPERLINK("http://www.informatics.jax.org/marker/MGI:3780270","MGI:3780270")</f>
        <v>MGI:3780270</v>
      </c>
      <c r="J7973" s="4" t="s">
        <v>1043</v>
      </c>
    </row>
    <row r="7974" spans="1:10" x14ac:dyDescent="0.25">
      <c r="A7974" s="2">
        <v>60.745301101120297</v>
      </c>
      <c r="B7974" s="3">
        <v>-1.3745681529912499</v>
      </c>
      <c r="C7974" s="5">
        <v>5.8779702566623603E-18</v>
      </c>
      <c r="D7974" s="6">
        <v>5.3001176708450702E-17</v>
      </c>
      <c r="E7974" s="3" t="s">
        <v>4391</v>
      </c>
      <c r="F7974" s="3" t="s">
        <v>4392</v>
      </c>
      <c r="G7974" s="3">
        <v>114714</v>
      </c>
      <c r="H7974" s="7" t="str">
        <f>HYPERLINK("http://www.ensembl.org/Mus_musculus/Gene/Summary?db=core;g=ENSMUSG00000007646","ENSMUSG00000007646")</f>
        <v>ENSMUSG00000007646</v>
      </c>
      <c r="I7974" s="7" t="str">
        <f>HYPERLINK("http://www.informatics.jax.org/marker/MGI:2150020","MGI:2150020")</f>
        <v>MGI:2150020</v>
      </c>
      <c r="J7974" s="4" t="s">
        <v>12</v>
      </c>
    </row>
    <row r="7975" spans="1:10" x14ac:dyDescent="0.25">
      <c r="A7975" s="2">
        <v>1155.61310712207</v>
      </c>
      <c r="B7975" s="3">
        <v>-1.3761817364447699</v>
      </c>
      <c r="C7975" s="5">
        <v>3.2492044288755501E-54</v>
      </c>
      <c r="D7975" s="6">
        <v>9.7525588032611695E-53</v>
      </c>
      <c r="E7975" s="3" t="s">
        <v>1330</v>
      </c>
      <c r="F7975" s="3" t="s">
        <v>1331</v>
      </c>
      <c r="G7975" s="3">
        <v>78339</v>
      </c>
      <c r="H7975" s="7" t="str">
        <f>HYPERLINK("http://www.ensembl.org/Mus_musculus/Gene/Summary?db=core;g=ENSMUSG00000036565","ENSMUSG00000036565")</f>
        <v>ENSMUSG00000036565</v>
      </c>
      <c r="I7975" s="7" t="str">
        <f>HYPERLINK("http://www.informatics.jax.org/marker/MGI:1925589","MGI:1925589")</f>
        <v>MGI:1925589</v>
      </c>
      <c r="J7975" s="4" t="s">
        <v>12</v>
      </c>
    </row>
    <row r="7976" spans="1:10" x14ac:dyDescent="0.25">
      <c r="A7976" s="2">
        <v>26.094327263309701</v>
      </c>
      <c r="B7976" s="3">
        <v>-1.38081305225916</v>
      </c>
      <c r="C7976" s="5">
        <v>2.5019275097959E-6</v>
      </c>
      <c r="D7976" s="6">
        <v>9.9592269869146606E-6</v>
      </c>
      <c r="E7976" s="3" t="s">
        <v>9923</v>
      </c>
      <c r="F7976" s="3" t="s">
        <v>9924</v>
      </c>
      <c r="G7976" s="3">
        <v>74191</v>
      </c>
      <c r="H7976" s="7" t="str">
        <f>HYPERLINK("http://www.ensembl.org/Mus_musculus/Gene/Summary?db=core;g=ENSMUSG00000036362","ENSMUSG00000036362")</f>
        <v>ENSMUSG00000036362</v>
      </c>
      <c r="I7976" s="7" t="str">
        <f>HYPERLINK("http://www.informatics.jax.org/marker/MGI:1921441","MGI:1921441")</f>
        <v>MGI:1921441</v>
      </c>
      <c r="J7976" s="4" t="s">
        <v>12</v>
      </c>
    </row>
    <row r="7977" spans="1:10" x14ac:dyDescent="0.25">
      <c r="A7977" s="2">
        <v>6.3014570405535499</v>
      </c>
      <c r="B7977" s="3">
        <v>-1.38129563640964</v>
      </c>
      <c r="C7977" s="3">
        <v>4.0096994857487798E-4</v>
      </c>
      <c r="D7977" s="4">
        <v>1.2489539386979301E-3</v>
      </c>
      <c r="E7977" s="3" t="s">
        <v>12675</v>
      </c>
      <c r="F7977" s="3" t="s">
        <v>12676</v>
      </c>
      <c r="G7977" s="3">
        <v>100503280</v>
      </c>
      <c r="H7977" s="7" t="str">
        <f>HYPERLINK("http://www.ensembl.org/Mus_musculus/Gene/Summary?db=core;g=ENSMUSG00000032750","ENSMUSG00000032750")</f>
        <v>ENSMUSG00000032750</v>
      </c>
      <c r="I7977" s="7" t="str">
        <f>HYPERLINK("http://www.informatics.jax.org/marker/MGI:2387324","MGI:2387324")</f>
        <v>MGI:2387324</v>
      </c>
      <c r="J7977" s="4" t="s">
        <v>12</v>
      </c>
    </row>
    <row r="7978" spans="1:10" x14ac:dyDescent="0.25">
      <c r="A7978" s="2">
        <v>10.238763074323799</v>
      </c>
      <c r="B7978" s="3">
        <v>-1.3815467871662499</v>
      </c>
      <c r="C7978" s="3">
        <v>1.41843353298368E-4</v>
      </c>
      <c r="D7978" s="4">
        <v>4.69241893481599E-4</v>
      </c>
      <c r="E7978" s="3" t="s">
        <v>11933</v>
      </c>
      <c r="F7978" s="3" t="s">
        <v>11934</v>
      </c>
      <c r="G7978" s="3">
        <v>104027</v>
      </c>
      <c r="H7978" s="7" t="str">
        <f>HYPERLINK("http://www.ensembl.org/Mus_musculus/Gene/Summary?db=core;g=ENSMUSG00000043079","ENSMUSG00000043079")</f>
        <v>ENSMUSG00000043079</v>
      </c>
      <c r="I7978" s="7" t="str">
        <f>HYPERLINK("http://www.informatics.jax.org/marker/MGI:1099446","MGI:1099446")</f>
        <v>MGI:1099446</v>
      </c>
      <c r="J7978" s="4" t="s">
        <v>12</v>
      </c>
    </row>
    <row r="7979" spans="1:10" x14ac:dyDescent="0.25">
      <c r="A7979" s="2">
        <v>146.041706004253</v>
      </c>
      <c r="B7979" s="3">
        <v>-1.3816616844754901</v>
      </c>
      <c r="C7979" s="5">
        <v>4.0932966803819504E-28</v>
      </c>
      <c r="D7979" s="6">
        <v>5.6133387021649597E-27</v>
      </c>
      <c r="E7979" s="3" t="s">
        <v>2894</v>
      </c>
      <c r="F7979" s="3" t="s">
        <v>2895</v>
      </c>
      <c r="G7979" s="3">
        <v>69706</v>
      </c>
      <c r="H7979" s="7" t="str">
        <f>HYPERLINK("http://www.ensembl.org/Mus_musculus/Gene/Summary?db=core;g=ENSMUSG00000034883","ENSMUSG00000034883")</f>
        <v>ENSMUSG00000034883</v>
      </c>
      <c r="I7979" s="7" t="str">
        <f>HYPERLINK("http://www.informatics.jax.org/marker/MGI:1916956","MGI:1916956")</f>
        <v>MGI:1916956</v>
      </c>
      <c r="J7979" s="4" t="s">
        <v>12</v>
      </c>
    </row>
    <row r="7980" spans="1:10" x14ac:dyDescent="0.25">
      <c r="A7980" s="2">
        <v>2.4581863517309599</v>
      </c>
      <c r="B7980" s="3">
        <v>-1.3819387303532</v>
      </c>
      <c r="C7980" s="3">
        <v>2.4416726478094001E-3</v>
      </c>
      <c r="D7980" s="4">
        <v>6.8017777390593798E-3</v>
      </c>
      <c r="E7980" s="3" t="s">
        <v>14165</v>
      </c>
      <c r="F7980" s="3" t="s">
        <v>14166</v>
      </c>
      <c r="G7980" s="3">
        <v>17196</v>
      </c>
      <c r="H7980" s="7" t="str">
        <f>HYPERLINK("http://www.ensembl.org/Mus_musculus/Gene/Summary?db=core;g=ENSMUSG00000041607","ENSMUSG00000041607")</f>
        <v>ENSMUSG00000041607</v>
      </c>
      <c r="I7980" s="7" t="str">
        <f>HYPERLINK("http://www.informatics.jax.org/marker/MGI:96925","MGI:96925")</f>
        <v>MGI:96925</v>
      </c>
      <c r="J7980" s="4" t="s">
        <v>12</v>
      </c>
    </row>
    <row r="7981" spans="1:10" x14ac:dyDescent="0.25">
      <c r="A7981" s="2">
        <v>555.88692807043606</v>
      </c>
      <c r="B7981" s="3">
        <v>-1.3841842063001299</v>
      </c>
      <c r="C7981" s="5">
        <v>6.0869720614873598E-37</v>
      </c>
      <c r="D7981" s="6">
        <v>1.13027390821592E-35</v>
      </c>
      <c r="E7981" s="3" t="s">
        <v>2141</v>
      </c>
      <c r="F7981" s="3" t="s">
        <v>2142</v>
      </c>
      <c r="G7981" s="3">
        <v>12190</v>
      </c>
      <c r="H7981" s="7" t="str">
        <f>HYPERLINK("http://www.ensembl.org/Mus_musculus/Gene/Summary?db=core;g=ENSMUSG00000041147","ENSMUSG00000041147")</f>
        <v>ENSMUSG00000041147</v>
      </c>
      <c r="I7981" s="7" t="str">
        <f>HYPERLINK("http://www.informatics.jax.org/marker/MGI:109337","MGI:109337")</f>
        <v>MGI:109337</v>
      </c>
      <c r="J7981" s="4" t="s">
        <v>12</v>
      </c>
    </row>
    <row r="7982" spans="1:10" x14ac:dyDescent="0.25">
      <c r="A7982" s="2">
        <v>210.05449295977101</v>
      </c>
      <c r="B7982" s="3">
        <v>-1.38436535112005</v>
      </c>
      <c r="C7982" s="5">
        <v>2.98384451432526E-13</v>
      </c>
      <c r="D7982" s="6">
        <v>2.0675127836435098E-12</v>
      </c>
      <c r="E7982" s="3" t="s">
        <v>5709</v>
      </c>
      <c r="F7982" s="3" t="s">
        <v>5710</v>
      </c>
      <c r="G7982" s="3">
        <v>56742</v>
      </c>
      <c r="H7982" s="7" t="str">
        <f>HYPERLINK("http://www.ensembl.org/Mus_musculus/Gene/Summary?db=core;g=ENSMUSG00000068744","ENSMUSG00000068744")</f>
        <v>ENSMUSG00000068744</v>
      </c>
      <c r="I7982" s="7" t="str">
        <f>HYPERLINK("http://www.informatics.jax.org/marker/MGI:1913099","MGI:1913099")</f>
        <v>MGI:1913099</v>
      </c>
      <c r="J7982" s="4" t="s">
        <v>12</v>
      </c>
    </row>
    <row r="7983" spans="1:10" x14ac:dyDescent="0.25">
      <c r="A7983" s="2">
        <v>890.10720233731001</v>
      </c>
      <c r="B7983" s="3">
        <v>-1.38462934123711</v>
      </c>
      <c r="C7983" s="5">
        <v>3.2598173942866101E-39</v>
      </c>
      <c r="D7983" s="6">
        <v>6.4802015136423301E-38</v>
      </c>
      <c r="E7983" s="3" t="s">
        <v>2001</v>
      </c>
      <c r="F7983" s="3" t="s">
        <v>2002</v>
      </c>
      <c r="G7983" s="3">
        <v>30838</v>
      </c>
      <c r="H7983" s="7" t="str">
        <f>HYPERLINK("http://www.ensembl.org/Mus_musculus/Gene/Summary?db=core;g=ENSMUSG00000040913","ENSMUSG00000040913")</f>
        <v>ENSMUSG00000040913</v>
      </c>
      <c r="I7983" s="7" t="str">
        <f>HYPERLINK("http://www.informatics.jax.org/marker/MGI:1354698","MGI:1354698")</f>
        <v>MGI:1354698</v>
      </c>
      <c r="J7983" s="4" t="s">
        <v>12</v>
      </c>
    </row>
    <row r="7984" spans="1:10" x14ac:dyDescent="0.25">
      <c r="A7984" s="2">
        <v>4.3314390576119903</v>
      </c>
      <c r="B7984" s="3">
        <v>-1.3870856648921399</v>
      </c>
      <c r="C7984" s="3">
        <v>1.2327951896456599E-3</v>
      </c>
      <c r="D7984" s="4">
        <v>3.5893579122711298E-3</v>
      </c>
      <c r="E7984" s="3" t="s">
        <v>13555</v>
      </c>
      <c r="F7984" s="3" t="s">
        <v>13556</v>
      </c>
      <c r="G7984" s="3" t="s">
        <v>83</v>
      </c>
      <c r="H7984" s="7" t="str">
        <f>HYPERLINK("http://www.ensembl.org/Mus_musculus/Gene/Summary?db=core;g=ENSMUSG00000085867","ENSMUSG00000085867")</f>
        <v>ENSMUSG00000085867</v>
      </c>
      <c r="I7984" s="7" t="str">
        <f>HYPERLINK("http://www.informatics.jax.org/marker/MGI:3643955","MGI:3643955")</f>
        <v>MGI:3643955</v>
      </c>
      <c r="J7984" s="4" t="s">
        <v>2683</v>
      </c>
    </row>
    <row r="7985" spans="1:10" x14ac:dyDescent="0.25">
      <c r="A7985" s="2">
        <v>65.267368241912706</v>
      </c>
      <c r="B7985" s="3">
        <v>-1.38751433091771</v>
      </c>
      <c r="C7985" s="5">
        <v>9.1509263548130005E-18</v>
      </c>
      <c r="D7985" s="6">
        <v>8.1691384208652001E-17</v>
      </c>
      <c r="E7985" s="3" t="s">
        <v>4435</v>
      </c>
      <c r="F7985" s="3" t="s">
        <v>4436</v>
      </c>
      <c r="G7985" s="3">
        <v>21778</v>
      </c>
      <c r="H7985" s="7" t="str">
        <f>HYPERLINK("http://www.ensembl.org/Mus_musculus/Gene/Summary?db=core;g=ENSMUSG00000090626","ENSMUSG00000090626")</f>
        <v>ENSMUSG00000090626</v>
      </c>
      <c r="I7985" s="7" t="str">
        <f>HYPERLINK("http://www.informatics.jax.org/marker/MGI:1201610","MGI:1201610")</f>
        <v>MGI:1201610</v>
      </c>
      <c r="J7985" s="4" t="s">
        <v>12</v>
      </c>
    </row>
    <row r="7986" spans="1:10" x14ac:dyDescent="0.25">
      <c r="A7986" s="2">
        <v>1160.92314803823</v>
      </c>
      <c r="B7986" s="3">
        <v>-1.38859243307687</v>
      </c>
      <c r="C7986" s="5">
        <v>5.0419095545076801E-36</v>
      </c>
      <c r="D7986" s="6">
        <v>9.0634873668998497E-35</v>
      </c>
      <c r="E7986" s="3" t="s">
        <v>2211</v>
      </c>
      <c r="F7986" s="3" t="s">
        <v>2212</v>
      </c>
      <c r="G7986" s="3">
        <v>71904</v>
      </c>
      <c r="H7986" s="7" t="str">
        <f>HYPERLINK("http://www.ensembl.org/Mus_musculus/Gene/Summary?db=core;g=ENSMUSG00000037348","ENSMUSG00000037348")</f>
        <v>ENSMUSG00000037348</v>
      </c>
      <c r="I7986" s="7" t="str">
        <f>HYPERLINK("http://www.informatics.jax.org/marker/MGI:1919154","MGI:1919154")</f>
        <v>MGI:1919154</v>
      </c>
      <c r="J7986" s="4" t="s">
        <v>12</v>
      </c>
    </row>
    <row r="7987" spans="1:10" x14ac:dyDescent="0.25">
      <c r="A7987" s="2">
        <v>401.15308830159699</v>
      </c>
      <c r="B7987" s="3">
        <v>-1.38867293287037</v>
      </c>
      <c r="C7987" s="5">
        <v>3.7255212931478801E-40</v>
      </c>
      <c r="D7987" s="6">
        <v>7.6131896270338E-39</v>
      </c>
      <c r="E7987" s="3" t="s">
        <v>1947</v>
      </c>
      <c r="F7987" s="3" t="s">
        <v>1948</v>
      </c>
      <c r="G7987" s="3">
        <v>70083</v>
      </c>
      <c r="H7987" s="7" t="str">
        <f>HYPERLINK("http://www.ensembl.org/Mus_musculus/Gene/Summary?db=core;g=ENSMUSG00000002274","ENSMUSG00000002274")</f>
        <v>ENSMUSG00000002274</v>
      </c>
      <c r="I7987" s="7" t="str">
        <f>HYPERLINK("http://www.informatics.jax.org/marker/MGI:1917333","MGI:1917333")</f>
        <v>MGI:1917333</v>
      </c>
      <c r="J7987" s="4" t="s">
        <v>12</v>
      </c>
    </row>
    <row r="7988" spans="1:10" x14ac:dyDescent="0.25">
      <c r="A7988" s="2">
        <v>785.45659488092099</v>
      </c>
      <c r="B7988" s="3">
        <v>-1.3890980714163099</v>
      </c>
      <c r="C7988" s="5">
        <v>3.5937175626925702E-57</v>
      </c>
      <c r="D7988" s="6">
        <v>1.1791698891230899E-55</v>
      </c>
      <c r="E7988" s="3" t="s">
        <v>1218</v>
      </c>
      <c r="F7988" s="3" t="s">
        <v>1219</v>
      </c>
      <c r="G7988" s="3">
        <v>69399</v>
      </c>
      <c r="H7988" s="7" t="str">
        <f>HYPERLINK("http://www.ensembl.org/Mus_musculus/Gene/Summary?db=core;g=ENSMUSG00000032666","ENSMUSG00000032666")</f>
        <v>ENSMUSG00000032666</v>
      </c>
      <c r="I7988" s="7" t="str">
        <f>HYPERLINK("http://www.informatics.jax.org/marker/MGI:1916649","MGI:1916649")</f>
        <v>MGI:1916649</v>
      </c>
      <c r="J7988" s="4" t="s">
        <v>12</v>
      </c>
    </row>
    <row r="7989" spans="1:10" x14ac:dyDescent="0.25">
      <c r="A7989" s="2">
        <v>18.432556303132099</v>
      </c>
      <c r="B7989" s="3">
        <v>-1.38951862838514</v>
      </c>
      <c r="C7989" s="5">
        <v>2.3606238881207001E-7</v>
      </c>
      <c r="D7989" s="6">
        <v>1.03932804362001E-6</v>
      </c>
      <c r="E7989" s="3" t="s">
        <v>8975</v>
      </c>
      <c r="F7989" s="3" t="s">
        <v>8976</v>
      </c>
      <c r="G7989" s="3" t="s">
        <v>83</v>
      </c>
      <c r="H7989" s="7" t="str">
        <f>HYPERLINK("http://www.ensembl.org/Mus_musculus/Gene/Summary?db=core;g=ENSMUSG00000116912","ENSMUSG00000116912")</f>
        <v>ENSMUSG00000116912</v>
      </c>
      <c r="I7989" s="7" t="str">
        <f>HYPERLINK("http://www.informatics.jax.org/marker/MGI:3647872","MGI:3647872")</f>
        <v>MGI:3647872</v>
      </c>
      <c r="J7989" s="4" t="s">
        <v>1043</v>
      </c>
    </row>
    <row r="7990" spans="1:10" x14ac:dyDescent="0.25">
      <c r="A7990" s="2">
        <v>1749.72596440858</v>
      </c>
      <c r="B7990" s="3">
        <v>-1.3896095770130199</v>
      </c>
      <c r="C7990" s="5">
        <v>1.43571224004258E-45</v>
      </c>
      <c r="D7990" s="6">
        <v>3.4070090702334101E-44</v>
      </c>
      <c r="E7990" s="3" t="s">
        <v>1678</v>
      </c>
      <c r="F7990" s="3" t="s">
        <v>1679</v>
      </c>
      <c r="G7990" s="3">
        <v>19775</v>
      </c>
      <c r="H7990" s="7" t="str">
        <f>HYPERLINK("http://www.ensembl.org/Mus_musculus/Gene/Summary?db=core;g=ENSMUSG00000026469","ENSMUSG00000026469")</f>
        <v>ENSMUSG00000026469</v>
      </c>
      <c r="I7990" s="7" t="str">
        <f>HYPERLINK("http://www.informatics.jax.org/marker/MGI:97932","MGI:97932")</f>
        <v>MGI:97932</v>
      </c>
      <c r="J7990" s="4" t="s">
        <v>12</v>
      </c>
    </row>
    <row r="7991" spans="1:10" x14ac:dyDescent="0.25">
      <c r="A7991" s="2">
        <v>320.74990643438798</v>
      </c>
      <c r="B7991" s="3">
        <v>-1.3897027630568299</v>
      </c>
      <c r="C7991" s="5">
        <v>1.4717615168759501E-32</v>
      </c>
      <c r="D7991" s="6">
        <v>2.3274368173852299E-31</v>
      </c>
      <c r="E7991" s="3" t="s">
        <v>2511</v>
      </c>
      <c r="F7991" s="3" t="s">
        <v>2512</v>
      </c>
      <c r="G7991" s="3">
        <v>329540</v>
      </c>
      <c r="H7991" s="7" t="str">
        <f>HYPERLINK("http://www.ensembl.org/Mus_musculus/Gene/Summary?db=core;g=ENSMUSG00000061411","ENSMUSG00000061411")</f>
        <v>ENSMUSG00000061411</v>
      </c>
      <c r="I7991" s="7" t="str">
        <f>HYPERLINK("http://www.informatics.jax.org/marker/MGI:1918765","MGI:1918765")</f>
        <v>MGI:1918765</v>
      </c>
      <c r="J7991" s="4" t="s">
        <v>12</v>
      </c>
    </row>
    <row r="7992" spans="1:10" x14ac:dyDescent="0.25">
      <c r="A7992" s="2">
        <v>127.64699943258999</v>
      </c>
      <c r="B7992" s="3">
        <v>-1.3900385105409601</v>
      </c>
      <c r="C7992" s="5">
        <v>3.37524216745075E-24</v>
      </c>
      <c r="D7992" s="6">
        <v>4.0096250326583602E-23</v>
      </c>
      <c r="E7992" s="3" t="s">
        <v>3340</v>
      </c>
      <c r="F7992" s="3" t="s">
        <v>3341</v>
      </c>
      <c r="G7992" s="3">
        <v>83767</v>
      </c>
      <c r="H7992" s="7" t="str">
        <f>HYPERLINK("http://www.ensembl.org/Mus_musculus/Gene/Summary?db=core;g=ENSMUSG00000019831","ENSMUSG00000019831")</f>
        <v>ENSMUSG00000019831</v>
      </c>
      <c r="I7992" s="7" t="str">
        <f>HYPERLINK("http://www.informatics.jax.org/marker/MGI:1890563","MGI:1890563")</f>
        <v>MGI:1890563</v>
      </c>
      <c r="J7992" s="4" t="s">
        <v>12</v>
      </c>
    </row>
    <row r="7993" spans="1:10" x14ac:dyDescent="0.25">
      <c r="A7993" s="2">
        <v>519.78172190152395</v>
      </c>
      <c r="B7993" s="3">
        <v>-1.3928884281718501</v>
      </c>
      <c r="C7993" s="5">
        <v>6.9672428338891698E-56</v>
      </c>
      <c r="D7993" s="6">
        <v>2.2018273827611301E-54</v>
      </c>
      <c r="E7993" s="3" t="s">
        <v>1264</v>
      </c>
      <c r="F7993" s="3" t="s">
        <v>1265</v>
      </c>
      <c r="G7993" s="3">
        <v>244668</v>
      </c>
      <c r="H7993" s="7" t="str">
        <f>HYPERLINK("http://www.ensembl.org/Mus_musculus/Gene/Summary?db=core;g=ENSMUSG00000001995","ENSMUSG00000001995")</f>
        <v>ENSMUSG00000001995</v>
      </c>
      <c r="I7993" s="7" t="str">
        <f>HYPERLINK("http://www.informatics.jax.org/marker/MGI:2676970","MGI:2676970")</f>
        <v>MGI:2676970</v>
      </c>
      <c r="J7993" s="4" t="s">
        <v>12</v>
      </c>
    </row>
    <row r="7994" spans="1:10" x14ac:dyDescent="0.25">
      <c r="A7994" s="2">
        <v>1.2887356814281099</v>
      </c>
      <c r="B7994" s="3">
        <v>-1.39329765365236</v>
      </c>
      <c r="C7994" s="3">
        <v>2.6856748575639099E-3</v>
      </c>
      <c r="D7994" s="4">
        <v>7.4290234522598397E-3</v>
      </c>
      <c r="E7994" s="3" t="s">
        <v>14265</v>
      </c>
      <c r="F7994" s="3" t="s">
        <v>14266</v>
      </c>
      <c r="G7994" s="3">
        <v>11421</v>
      </c>
      <c r="H7994" s="7" t="str">
        <f>HYPERLINK("http://www.ensembl.org/Mus_musculus/Gene/Summary?db=core;g=ENSMUSG00000020681","ENSMUSG00000020681")</f>
        <v>ENSMUSG00000020681</v>
      </c>
      <c r="I7994" s="7" t="str">
        <f>HYPERLINK("http://www.informatics.jax.org/marker/MGI:87874","MGI:87874")</f>
        <v>MGI:87874</v>
      </c>
      <c r="J7994" s="4" t="s">
        <v>12</v>
      </c>
    </row>
    <row r="7995" spans="1:10" x14ac:dyDescent="0.25">
      <c r="A7995" s="2">
        <v>1.5349004289571799</v>
      </c>
      <c r="B7995" s="3">
        <v>-1.3944773312564001</v>
      </c>
      <c r="C7995" s="3">
        <v>2.8349197007122599E-3</v>
      </c>
      <c r="D7995" s="4">
        <v>7.80790733212928E-3</v>
      </c>
      <c r="E7995" s="3" t="s">
        <v>14325</v>
      </c>
      <c r="F7995" s="3" t="s">
        <v>14326</v>
      </c>
      <c r="G7995" s="3" t="s">
        <v>83</v>
      </c>
      <c r="H7995" s="7" t="str">
        <f>HYPERLINK("http://www.ensembl.org/Mus_musculus/Gene/Summary?db=core;g=ENSMUSG00000052295","ENSMUSG00000052295")</f>
        <v>ENSMUSG00000052295</v>
      </c>
      <c r="I7995" s="7" t="str">
        <f>HYPERLINK("http://www.informatics.jax.org/marker/MGI:2443206","MGI:2443206")</f>
        <v>MGI:2443206</v>
      </c>
      <c r="J7995" s="4" t="s">
        <v>939</v>
      </c>
    </row>
    <row r="7996" spans="1:10" x14ac:dyDescent="0.25">
      <c r="A7996" s="2">
        <v>610.63414237143002</v>
      </c>
      <c r="B7996" s="3">
        <v>-1.3971911816876501</v>
      </c>
      <c r="C7996" s="5">
        <v>4.25675669540072E-64</v>
      </c>
      <c r="D7996" s="6">
        <v>1.7307884955319999E-62</v>
      </c>
      <c r="E7996" s="3" t="s">
        <v>985</v>
      </c>
      <c r="F7996" s="3" t="s">
        <v>986</v>
      </c>
      <c r="G7996" s="3">
        <v>237877</v>
      </c>
      <c r="H7996" s="7" t="str">
        <f>HYPERLINK("http://www.ensembl.org/Mus_musculus/Gene/Summary?db=core;g=ENSMUSG00000017550","ENSMUSG00000017550")</f>
        <v>ENSMUSG00000017550</v>
      </c>
      <c r="I7996" s="7" t="str">
        <f>HYPERLINK("http://www.informatics.jax.org/marker/MGI:2442925","MGI:2442925")</f>
        <v>MGI:2442925</v>
      </c>
      <c r="J7996" s="4" t="s">
        <v>12</v>
      </c>
    </row>
    <row r="7997" spans="1:10" x14ac:dyDescent="0.25">
      <c r="A7997" s="2">
        <v>40.430744399272001</v>
      </c>
      <c r="B7997" s="3">
        <v>-1.3973397187427701</v>
      </c>
      <c r="C7997" s="5">
        <v>4.5040065561688399E-10</v>
      </c>
      <c r="D7997" s="6">
        <v>2.4775176928214698E-9</v>
      </c>
      <c r="E7997" s="3" t="s">
        <v>7188</v>
      </c>
      <c r="F7997" s="3" t="s">
        <v>7189</v>
      </c>
      <c r="G7997" s="3">
        <v>71206</v>
      </c>
      <c r="H7997" s="7" t="str">
        <f>HYPERLINK("http://www.ensembl.org/Mus_musculus/Gene/Summary?db=core;g=ENSMUSG00000025420","ENSMUSG00000025420")</f>
        <v>ENSMUSG00000025420</v>
      </c>
      <c r="I7997" s="7" t="str">
        <f>HYPERLINK("http://www.informatics.jax.org/marker/MGI:1924234","MGI:1924234")</f>
        <v>MGI:1924234</v>
      </c>
      <c r="J7997" s="4" t="s">
        <v>12</v>
      </c>
    </row>
    <row r="7998" spans="1:10" x14ac:dyDescent="0.25">
      <c r="A7998" s="2">
        <v>101.33948812298399</v>
      </c>
      <c r="B7998" s="3">
        <v>-1.3974086912508199</v>
      </c>
      <c r="C7998" s="5">
        <v>1.2965139786618701E-21</v>
      </c>
      <c r="D7998" s="6">
        <v>1.37680428967216E-20</v>
      </c>
      <c r="E7998" s="3" t="s">
        <v>3732</v>
      </c>
      <c r="F7998" s="3" t="s">
        <v>3733</v>
      </c>
      <c r="G7998" s="3">
        <v>66775</v>
      </c>
      <c r="H7998" s="7" t="str">
        <f>HYPERLINK("http://www.ensembl.org/Mus_musculus/Gene/Summary?db=core;g=ENSMUSG00000028497","ENSMUSG00000028497")</f>
        <v>ENSMUSG00000028497</v>
      </c>
      <c r="I7998" s="7" t="str">
        <f>HYPERLINK("http://www.informatics.jax.org/marker/MGI:1914025","MGI:1914025")</f>
        <v>MGI:1914025</v>
      </c>
      <c r="J7998" s="4" t="s">
        <v>12</v>
      </c>
    </row>
    <row r="7999" spans="1:10" x14ac:dyDescent="0.25">
      <c r="A7999" s="2">
        <v>252.66021789953899</v>
      </c>
      <c r="B7999" s="3">
        <v>-1.3990544327249099</v>
      </c>
      <c r="C7999" s="5">
        <v>5.4092591787864498E-24</v>
      </c>
      <c r="D7999" s="6">
        <v>6.3494399408136199E-23</v>
      </c>
      <c r="E7999" s="3" t="s">
        <v>3378</v>
      </c>
      <c r="F7999" s="3" t="s">
        <v>3379</v>
      </c>
      <c r="G7999" s="3">
        <v>218581</v>
      </c>
      <c r="H7999" s="7" t="str">
        <f>HYPERLINK("http://www.ensembl.org/Mus_musculus/Gene/Summary?db=core;g=ENSMUSG00000021697","ENSMUSG00000021697")</f>
        <v>ENSMUSG00000021697</v>
      </c>
      <c r="I7999" s="7" t="str">
        <f>HYPERLINK("http://www.informatics.jax.org/marker/MGI:2145425","MGI:2145425")</f>
        <v>MGI:2145425</v>
      </c>
      <c r="J7999" s="4" t="s">
        <v>12</v>
      </c>
    </row>
    <row r="8000" spans="1:10" x14ac:dyDescent="0.25">
      <c r="A8000" s="2">
        <v>298.17532850899897</v>
      </c>
      <c r="B8000" s="3">
        <v>-1.39995391384046</v>
      </c>
      <c r="C8000" s="5">
        <v>3.7502713062988697E-58</v>
      </c>
      <c r="D8000" s="6">
        <v>1.2620366921538201E-56</v>
      </c>
      <c r="E8000" s="3" t="s">
        <v>1188</v>
      </c>
      <c r="F8000" s="3" t="s">
        <v>1189</v>
      </c>
      <c r="G8000" s="3">
        <v>100201</v>
      </c>
      <c r="H8000" s="7" t="str">
        <f>HYPERLINK("http://www.ensembl.org/Mus_musculus/Gene/Summary?db=core;g=ENSMUSG00000043252","ENSMUSG00000043252")</f>
        <v>ENSMUSG00000043252</v>
      </c>
      <c r="I8000" s="7" t="str">
        <f>HYPERLINK("http://www.informatics.jax.org/marker/MGI:2140359","MGI:2140359")</f>
        <v>MGI:2140359</v>
      </c>
      <c r="J8000" s="4" t="s">
        <v>12</v>
      </c>
    </row>
    <row r="8001" spans="1:10" x14ac:dyDescent="0.25">
      <c r="A8001" s="2">
        <v>1108.62698172453</v>
      </c>
      <c r="B8001" s="3">
        <v>-1.4009503694083201</v>
      </c>
      <c r="C8001" s="5">
        <v>4.4241776690978498E-69</v>
      </c>
      <c r="D8001" s="6">
        <v>1.9873527023829099E-67</v>
      </c>
      <c r="E8001" s="3" t="s">
        <v>890</v>
      </c>
      <c r="F8001" s="3" t="s">
        <v>891</v>
      </c>
      <c r="G8001" s="3">
        <v>76843</v>
      </c>
      <c r="H8001" s="7" t="str">
        <f>HYPERLINK("http://www.ensembl.org/Mus_musculus/Gene/Summary?db=core;g=ENSMUSG00000037474","ENSMUSG00000037474")</f>
        <v>ENSMUSG00000037474</v>
      </c>
      <c r="I8001" s="7" t="str">
        <f>HYPERLINK("http://www.informatics.jax.org/marker/MGI:1924093","MGI:1924093")</f>
        <v>MGI:1924093</v>
      </c>
      <c r="J8001" s="4" t="s">
        <v>12</v>
      </c>
    </row>
    <row r="8002" spans="1:10" x14ac:dyDescent="0.25">
      <c r="A8002" s="2">
        <v>83.871894344683795</v>
      </c>
      <c r="B8002" s="3">
        <v>-1.4012540485349301</v>
      </c>
      <c r="C8002" s="5">
        <v>2.5805633441947699E-21</v>
      </c>
      <c r="D8002" s="6">
        <v>2.7082868093411899E-20</v>
      </c>
      <c r="E8002" s="3" t="s">
        <v>3776</v>
      </c>
      <c r="F8002" s="3" t="s">
        <v>3777</v>
      </c>
      <c r="G8002" s="3">
        <v>12322</v>
      </c>
      <c r="H8002" s="7" t="str">
        <f>HYPERLINK("http://www.ensembl.org/Mus_musculus/Gene/Summary?db=core;g=ENSMUSG00000024617","ENSMUSG00000024617")</f>
        <v>ENSMUSG00000024617</v>
      </c>
      <c r="I8002" s="7" t="str">
        <f>HYPERLINK("http://www.informatics.jax.org/marker/MGI:88256","MGI:88256")</f>
        <v>MGI:88256</v>
      </c>
      <c r="J8002" s="4" t="s">
        <v>12</v>
      </c>
    </row>
    <row r="8003" spans="1:10" x14ac:dyDescent="0.25">
      <c r="A8003" s="2">
        <v>184.541273072124</v>
      </c>
      <c r="B8003" s="3">
        <v>-1.40194419482026</v>
      </c>
      <c r="C8003" s="5">
        <v>4.8931957329784901E-20</v>
      </c>
      <c r="D8003" s="6">
        <v>4.8513735472265396E-19</v>
      </c>
      <c r="E8003" s="3" t="s">
        <v>3996</v>
      </c>
      <c r="F8003" s="3" t="s">
        <v>3997</v>
      </c>
      <c r="G8003" s="3">
        <v>11727</v>
      </c>
      <c r="H8003" s="7" t="str">
        <f>HYPERLINK("http://www.ensembl.org/Mus_musculus/Gene/Summary?db=core;g=ENSMUSG00000072115","ENSMUSG00000072115")</f>
        <v>ENSMUSG00000072115</v>
      </c>
      <c r="I8003" s="7" t="str">
        <f>HYPERLINK("http://www.informatics.jax.org/marker/MGI:88022","MGI:88022")</f>
        <v>MGI:88022</v>
      </c>
      <c r="J8003" s="4" t="s">
        <v>12</v>
      </c>
    </row>
    <row r="8004" spans="1:10" x14ac:dyDescent="0.25">
      <c r="A8004" s="2">
        <v>25.216373906864199</v>
      </c>
      <c r="B8004" s="3">
        <v>-1.40207873195988</v>
      </c>
      <c r="C8004" s="5">
        <v>6.8788028795839202E-9</v>
      </c>
      <c r="D8004" s="6">
        <v>3.45605077160242E-8</v>
      </c>
      <c r="E8004" s="3" t="s">
        <v>7866</v>
      </c>
      <c r="F8004" s="3" t="s">
        <v>7867</v>
      </c>
      <c r="G8004" s="3" t="s">
        <v>83</v>
      </c>
      <c r="H8004" s="7" t="str">
        <f>HYPERLINK("http://www.ensembl.org/Mus_musculus/Gene/Summary?db=core;g=ENSMUSG00000110235","ENSMUSG00000110235")</f>
        <v>ENSMUSG00000110235</v>
      </c>
      <c r="I8004" s="7" t="str">
        <f>HYPERLINK("http://www.informatics.jax.org/marker/MGI:3644417","MGI:3644417")</f>
        <v>MGI:3644417</v>
      </c>
      <c r="J8004" s="4" t="s">
        <v>939</v>
      </c>
    </row>
    <row r="8005" spans="1:10" x14ac:dyDescent="0.25">
      <c r="A8005" s="2">
        <v>326.20856721985598</v>
      </c>
      <c r="B8005" s="3">
        <v>-1.40241950911506</v>
      </c>
      <c r="C8005" s="5">
        <v>3.34454337832237E-40</v>
      </c>
      <c r="D8005" s="6">
        <v>6.8559662599290196E-39</v>
      </c>
      <c r="E8005" s="3" t="s">
        <v>1941</v>
      </c>
      <c r="F8005" s="3" t="s">
        <v>1942</v>
      </c>
      <c r="G8005" s="3">
        <v>243621</v>
      </c>
      <c r="H8005" s="7" t="str">
        <f>HYPERLINK("http://www.ensembl.org/Mus_musculus/Gene/Summary?db=core;g=ENSMUSG00000040797","ENSMUSG00000040797")</f>
        <v>ENSMUSG00000040797</v>
      </c>
      <c r="I8005" s="7" t="str">
        <f>HYPERLINK("http://www.informatics.jax.org/marker/MGI:2677208","MGI:2677208")</f>
        <v>MGI:2677208</v>
      </c>
      <c r="J8005" s="4" t="s">
        <v>12</v>
      </c>
    </row>
    <row r="8006" spans="1:10" x14ac:dyDescent="0.25">
      <c r="A8006" s="2">
        <v>85.945104686876405</v>
      </c>
      <c r="B8006" s="3">
        <v>-1.4032576724823</v>
      </c>
      <c r="C8006" s="5">
        <v>6.7358300332633499E-19</v>
      </c>
      <c r="D8006" s="6">
        <v>6.3677165990389899E-18</v>
      </c>
      <c r="E8006" s="3" t="s">
        <v>4189</v>
      </c>
      <c r="F8006" s="3" t="s">
        <v>4190</v>
      </c>
      <c r="G8006" s="3">
        <v>18003</v>
      </c>
      <c r="H8006" s="7" t="str">
        <f>HYPERLINK("http://www.ensembl.org/Mus_musculus/Gene/Summary?db=core;g=ENSMUSG00000021365","ENSMUSG00000021365")</f>
        <v>ENSMUSG00000021365</v>
      </c>
      <c r="I8006" s="7" t="str">
        <f>HYPERLINK("http://www.informatics.jax.org/marker/MGI:97302","MGI:97302")</f>
        <v>MGI:97302</v>
      </c>
      <c r="J8006" s="4" t="s">
        <v>12</v>
      </c>
    </row>
    <row r="8007" spans="1:10" x14ac:dyDescent="0.25">
      <c r="A8007" s="2">
        <v>3853.2638837487202</v>
      </c>
      <c r="B8007" s="3">
        <v>-1.4042003357455699</v>
      </c>
      <c r="C8007" s="5">
        <v>1.53439807317719E-88</v>
      </c>
      <c r="D8007" s="6">
        <v>1.0362441781867899E-86</v>
      </c>
      <c r="E8007" s="3" t="s">
        <v>596</v>
      </c>
      <c r="F8007" s="3" t="s">
        <v>597</v>
      </c>
      <c r="G8007" s="3">
        <v>71085</v>
      </c>
      <c r="H8007" s="7" t="str">
        <f>HYPERLINK("http://www.ensembl.org/Mus_musculus/Gene/Summary?db=core;g=ENSMUSG00000025154","ENSMUSG00000025154")</f>
        <v>ENSMUSG00000025154</v>
      </c>
      <c r="I8007" s="7" t="str">
        <f>HYPERLINK("http://www.informatics.jax.org/marker/MGI:1918335","MGI:1918335")</f>
        <v>MGI:1918335</v>
      </c>
      <c r="J8007" s="4" t="s">
        <v>12</v>
      </c>
    </row>
    <row r="8008" spans="1:10" x14ac:dyDescent="0.25">
      <c r="A8008" s="2">
        <v>834.513372674263</v>
      </c>
      <c r="B8008" s="3">
        <v>-1.40518299846133</v>
      </c>
      <c r="C8008" s="5">
        <v>9.6450271346408101E-97</v>
      </c>
      <c r="D8008" s="6">
        <v>7.28735383506195E-95</v>
      </c>
      <c r="E8008" s="3" t="s">
        <v>534</v>
      </c>
      <c r="F8008" s="3" t="s">
        <v>535</v>
      </c>
      <c r="G8008" s="3">
        <v>223433</v>
      </c>
      <c r="H8008" s="7" t="str">
        <f>HYPERLINK("http://www.ensembl.org/Mus_musculus/Gene/Summary?db=core;g=ENSMUSG00000056069","ENSMUSG00000056069")</f>
        <v>ENSMUSG00000056069</v>
      </c>
      <c r="I8008" s="7" t="str">
        <f>HYPERLINK("http://www.informatics.jax.org/marker/MGI:2687281","MGI:2687281")</f>
        <v>MGI:2687281</v>
      </c>
      <c r="J8008" s="4" t="s">
        <v>12</v>
      </c>
    </row>
    <row r="8009" spans="1:10" x14ac:dyDescent="0.25">
      <c r="A8009" s="2">
        <v>17.916047241528801</v>
      </c>
      <c r="B8009" s="3">
        <v>-1.4068808792923999</v>
      </c>
      <c r="C8009" s="5">
        <v>3.5757637355773402E-6</v>
      </c>
      <c r="D8009" s="6">
        <v>1.40075607599494E-5</v>
      </c>
      <c r="E8009" s="3" t="s">
        <v>10084</v>
      </c>
      <c r="F8009" s="3" t="s">
        <v>10085</v>
      </c>
      <c r="G8009" s="3">
        <v>68107</v>
      </c>
      <c r="H8009" s="7" t="str">
        <f>HYPERLINK("http://www.ensembl.org/Mus_musculus/Gene/Summary?db=core;g=ENSMUSG00000078653","ENSMUSG00000078653")</f>
        <v>ENSMUSG00000078653</v>
      </c>
      <c r="I8009" s="7" t="str">
        <f>HYPERLINK("http://www.informatics.jax.org/marker/MGI:1923965","MGI:1923965")</f>
        <v>MGI:1923965</v>
      </c>
      <c r="J8009" s="4" t="s">
        <v>12</v>
      </c>
    </row>
    <row r="8010" spans="1:10" x14ac:dyDescent="0.25">
      <c r="A8010" s="2">
        <v>459.54765895709301</v>
      </c>
      <c r="B8010" s="3">
        <v>-1.40773974932457</v>
      </c>
      <c r="C8010" s="5">
        <v>7.2515272748937601E-30</v>
      </c>
      <c r="D8010" s="6">
        <v>1.0631979023115599E-28</v>
      </c>
      <c r="E8010" s="3" t="s">
        <v>2708</v>
      </c>
      <c r="F8010" s="3" t="s">
        <v>2709</v>
      </c>
      <c r="G8010" s="3">
        <v>208869</v>
      </c>
      <c r="H8010" s="7" t="str">
        <f>HYPERLINK("http://www.ensembl.org/Mus_musculus/Gene/Summary?db=core;g=ENSMUSG00000039716","ENSMUSG00000039716")</f>
        <v>ENSMUSG00000039716</v>
      </c>
      <c r="I8010" s="7" t="str">
        <f>HYPERLINK("http://www.informatics.jax.org/marker/MGI:2429763","MGI:2429763")</f>
        <v>MGI:2429763</v>
      </c>
      <c r="J8010" s="4" t="s">
        <v>12</v>
      </c>
    </row>
    <row r="8011" spans="1:10" x14ac:dyDescent="0.25">
      <c r="A8011" s="2">
        <v>377.48009206072601</v>
      </c>
      <c r="B8011" s="3">
        <v>-1.4090326876607999</v>
      </c>
      <c r="C8011" s="5">
        <v>1.3102897872592599E-54</v>
      </c>
      <c r="D8011" s="6">
        <v>3.9874868217210701E-53</v>
      </c>
      <c r="E8011" s="3" t="s">
        <v>1312</v>
      </c>
      <c r="F8011" s="3" t="s">
        <v>1313</v>
      </c>
      <c r="G8011" s="3">
        <v>237911</v>
      </c>
      <c r="H8011" s="7" t="str">
        <f>HYPERLINK("http://www.ensembl.org/Mus_musculus/Gene/Summary?db=core;g=ENSMUSG00000034329","ENSMUSG00000034329")</f>
        <v>ENSMUSG00000034329</v>
      </c>
      <c r="I8011" s="7" t="str">
        <f>HYPERLINK("http://www.informatics.jax.org/marker/MGI:2442836","MGI:2442836")</f>
        <v>MGI:2442836</v>
      </c>
      <c r="J8011" s="4" t="s">
        <v>12</v>
      </c>
    </row>
    <row r="8012" spans="1:10" x14ac:dyDescent="0.25">
      <c r="A8012" s="2">
        <v>42.349510604070701</v>
      </c>
      <c r="B8012" s="3">
        <v>-1.4091141271508401</v>
      </c>
      <c r="C8012" s="5">
        <v>1.4855874700494099E-10</v>
      </c>
      <c r="D8012" s="6">
        <v>8.52913175934651E-10</v>
      </c>
      <c r="E8012" s="3" t="s">
        <v>6886</v>
      </c>
      <c r="F8012" s="3" t="s">
        <v>6887</v>
      </c>
      <c r="G8012" s="3">
        <v>73095</v>
      </c>
      <c r="H8012" s="7" t="str">
        <f>HYPERLINK("http://www.ensembl.org/Mus_musculus/Gene/Summary?db=core;g=ENSMUSG00000002346","ENSMUSG00000002346")</f>
        <v>ENSMUSG00000002346</v>
      </c>
      <c r="I8012" s="7" t="str">
        <f>HYPERLINK("http://www.informatics.jax.org/marker/MGI:1920345","MGI:1920345")</f>
        <v>MGI:1920345</v>
      </c>
      <c r="J8012" s="4" t="s">
        <v>12</v>
      </c>
    </row>
    <row r="8013" spans="1:10" x14ac:dyDescent="0.25">
      <c r="A8013" s="2">
        <v>5.2320196876539402</v>
      </c>
      <c r="B8013" s="3">
        <v>-1.4116208977625999</v>
      </c>
      <c r="C8013" s="3">
        <v>1.2214639869814799E-3</v>
      </c>
      <c r="D8013" s="4">
        <v>3.55794236680573E-3</v>
      </c>
      <c r="E8013" s="3" t="s">
        <v>13549</v>
      </c>
      <c r="F8013" s="3" t="s">
        <v>13550</v>
      </c>
      <c r="G8013" s="3">
        <v>12765</v>
      </c>
      <c r="H8013" s="7" t="str">
        <f>HYPERLINK("http://www.ensembl.org/Mus_musculus/Gene/Summary?db=core;g=ENSMUSG00000026180","ENSMUSG00000026180")</f>
        <v>ENSMUSG00000026180</v>
      </c>
      <c r="I8013" s="7" t="str">
        <f>HYPERLINK("http://www.informatics.jax.org/marker/MGI:105303","MGI:105303")</f>
        <v>MGI:105303</v>
      </c>
      <c r="J8013" s="4" t="s">
        <v>12</v>
      </c>
    </row>
    <row r="8014" spans="1:10" x14ac:dyDescent="0.25">
      <c r="A8014" s="2">
        <v>1463.37379785895</v>
      </c>
      <c r="B8014" s="3">
        <v>-1.4119142009696199</v>
      </c>
      <c r="C8014" s="5">
        <v>7.72385640310353E-78</v>
      </c>
      <c r="D8014" s="6">
        <v>4.2427422916212099E-76</v>
      </c>
      <c r="E8014" s="3" t="s">
        <v>730</v>
      </c>
      <c r="F8014" s="3" t="s">
        <v>731</v>
      </c>
      <c r="G8014" s="3">
        <v>228355</v>
      </c>
      <c r="H8014" s="7" t="str">
        <f>HYPERLINK("http://www.ensembl.org/Mus_musculus/Gene/Summary?db=core;g=ENSMUSG00000040687","ENSMUSG00000040687")</f>
        <v>ENSMUSG00000040687</v>
      </c>
      <c r="I8014" s="7" t="str">
        <f>HYPERLINK("http://www.informatics.jax.org/marker/MGI:2444672","MGI:2444672")</f>
        <v>MGI:2444672</v>
      </c>
      <c r="J8014" s="4" t="s">
        <v>12</v>
      </c>
    </row>
    <row r="8015" spans="1:10" x14ac:dyDescent="0.25">
      <c r="A8015" s="2">
        <v>69.152771589735295</v>
      </c>
      <c r="B8015" s="3">
        <v>-1.4119569682645801</v>
      </c>
      <c r="C8015" s="5">
        <v>7.0156365566150803E-13</v>
      </c>
      <c r="D8015" s="6">
        <v>4.7493427015602201E-12</v>
      </c>
      <c r="E8015" s="3" t="s">
        <v>5843</v>
      </c>
      <c r="F8015" s="3" t="s">
        <v>5844</v>
      </c>
      <c r="G8015" s="3">
        <v>272347</v>
      </c>
      <c r="H8015" s="7" t="str">
        <f>HYPERLINK("http://www.ensembl.org/Mus_musculus/Gene/Summary?db=core;g=ENSMUSG00000062519","ENSMUSG00000062519")</f>
        <v>ENSMUSG00000062519</v>
      </c>
      <c r="I8015" s="7" t="str">
        <f>HYPERLINK("http://www.informatics.jax.org/marker/MGI:1917856","MGI:1917856")</f>
        <v>MGI:1917856</v>
      </c>
      <c r="J8015" s="4" t="s">
        <v>12</v>
      </c>
    </row>
    <row r="8016" spans="1:10" x14ac:dyDescent="0.25">
      <c r="A8016" s="2">
        <v>3.8319491728005102</v>
      </c>
      <c r="B8016" s="3">
        <v>-1.4123491554306999</v>
      </c>
      <c r="C8016" s="3">
        <v>1.0987890706489799E-3</v>
      </c>
      <c r="D8016" s="4">
        <v>3.2215463088310801E-3</v>
      </c>
      <c r="E8016" s="3" t="s">
        <v>13461</v>
      </c>
      <c r="F8016" s="3" t="s">
        <v>13462</v>
      </c>
      <c r="G8016" s="3">
        <v>244723</v>
      </c>
      <c r="H8016" s="7" t="str">
        <f>HYPERLINK("http://www.ensembl.org/Mus_musculus/Gene/Summary?db=core;g=ENSMUSG00000032172","ENSMUSG00000032172")</f>
        <v>ENSMUSG00000032172</v>
      </c>
      <c r="I8016" s="7" t="str">
        <f>HYPERLINK("http://www.informatics.jax.org/marker/MGI:3045350","MGI:3045350")</f>
        <v>MGI:3045350</v>
      </c>
      <c r="J8016" s="4" t="s">
        <v>12</v>
      </c>
    </row>
    <row r="8017" spans="1:10" x14ac:dyDescent="0.25">
      <c r="A8017" s="2">
        <v>58.393536983584802</v>
      </c>
      <c r="B8017" s="3">
        <v>-1.4130298419832099</v>
      </c>
      <c r="C8017" s="5">
        <v>5.0415703637826204E-12</v>
      </c>
      <c r="D8017" s="6">
        <v>3.2247735184493501E-11</v>
      </c>
      <c r="E8017" s="3" t="s">
        <v>6183</v>
      </c>
      <c r="F8017" s="3" t="s">
        <v>6184</v>
      </c>
      <c r="G8017" s="3">
        <v>56017</v>
      </c>
      <c r="H8017" s="7" t="str">
        <f>HYPERLINK("http://www.ensembl.org/Mus_musculus/Gene/Summary?db=core;g=ENSMUSG00000026791","ENSMUSG00000026791")</f>
        <v>ENSMUSG00000026791</v>
      </c>
      <c r="I8017" s="7" t="str">
        <f>HYPERLINK("http://www.informatics.jax.org/marker/MGI:1860103","MGI:1860103")</f>
        <v>MGI:1860103</v>
      </c>
      <c r="J8017" s="4" t="s">
        <v>12</v>
      </c>
    </row>
    <row r="8018" spans="1:10" x14ac:dyDescent="0.25">
      <c r="A8018" s="2">
        <v>97.7798059798682</v>
      </c>
      <c r="B8018" s="3">
        <v>-1.41361975921494</v>
      </c>
      <c r="C8018" s="5">
        <v>2.34437486512519E-20</v>
      </c>
      <c r="D8018" s="6">
        <v>2.3647607335175799E-19</v>
      </c>
      <c r="E8018" s="3" t="s">
        <v>3928</v>
      </c>
      <c r="F8018" s="3" t="s">
        <v>3929</v>
      </c>
      <c r="G8018" s="3">
        <v>171210</v>
      </c>
      <c r="H8018" s="7" t="str">
        <f>HYPERLINK("http://www.ensembl.org/Mus_musculus/Gene/Summary?db=core;g=ENSMUSG00000021226","ENSMUSG00000021226")</f>
        <v>ENSMUSG00000021226</v>
      </c>
      <c r="I8018" s="7" t="str">
        <f>HYPERLINK("http://www.informatics.jax.org/marker/MGI:2159605","MGI:2159605")</f>
        <v>MGI:2159605</v>
      </c>
      <c r="J8018" s="4" t="s">
        <v>12</v>
      </c>
    </row>
    <row r="8019" spans="1:10" x14ac:dyDescent="0.25">
      <c r="A8019" s="2">
        <v>218.57250934428501</v>
      </c>
      <c r="B8019" s="3">
        <v>-1.4139023711057701</v>
      </c>
      <c r="C8019" s="5">
        <v>3.0041458526903998E-36</v>
      </c>
      <c r="D8019" s="6">
        <v>5.4500235708421997E-35</v>
      </c>
      <c r="E8019" s="3" t="s">
        <v>2191</v>
      </c>
      <c r="F8019" s="3" t="s">
        <v>2192</v>
      </c>
      <c r="G8019" s="3">
        <v>57913</v>
      </c>
      <c r="H8019" s="7" t="str">
        <f>HYPERLINK("http://www.ensembl.org/Mus_musculus/Gene/Summary?db=core;g=ENSMUSG00000025507","ENSMUSG00000025507")</f>
        <v>ENSMUSG00000025507</v>
      </c>
      <c r="I8019" s="7" t="str">
        <f>HYPERLINK("http://www.informatics.jax.org/marker/MGI:1889507","MGI:1889507")</f>
        <v>MGI:1889507</v>
      </c>
      <c r="J8019" s="4" t="s">
        <v>12</v>
      </c>
    </row>
    <row r="8020" spans="1:10" x14ac:dyDescent="0.25">
      <c r="A8020" s="2">
        <v>517.85767111852795</v>
      </c>
      <c r="B8020" s="3">
        <v>-1.41885384431726</v>
      </c>
      <c r="C8020" s="5">
        <v>2.69219161762006E-21</v>
      </c>
      <c r="D8020" s="6">
        <v>2.8194380615755502E-20</v>
      </c>
      <c r="E8020" s="3" t="s">
        <v>3784</v>
      </c>
      <c r="F8020" s="3" t="s">
        <v>3785</v>
      </c>
      <c r="G8020" s="3">
        <v>72080</v>
      </c>
      <c r="H8020" s="7" t="str">
        <f>HYPERLINK("http://www.ensembl.org/Mus_musculus/Gene/Summary?db=core;g=ENSMUSG00000026955","ENSMUSG00000026955")</f>
        <v>ENSMUSG00000026955</v>
      </c>
      <c r="I8020" s="7" t="str">
        <f>HYPERLINK("http://www.informatics.jax.org/marker/MGI:1919330","MGI:1919330")</f>
        <v>MGI:1919330</v>
      </c>
      <c r="J8020" s="4" t="s">
        <v>12</v>
      </c>
    </row>
    <row r="8021" spans="1:10" x14ac:dyDescent="0.25">
      <c r="A8021" s="2">
        <v>15.459194895001501</v>
      </c>
      <c r="B8021" s="3">
        <v>-1.4195911970777699</v>
      </c>
      <c r="C8021" s="5">
        <v>2.5314287828230598E-6</v>
      </c>
      <c r="D8021" s="6">
        <v>1.0065662101245899E-5</v>
      </c>
      <c r="E8021" s="3" t="s">
        <v>9935</v>
      </c>
      <c r="F8021" s="3" t="s">
        <v>9936</v>
      </c>
      <c r="G8021" s="3">
        <v>77945</v>
      </c>
      <c r="H8021" s="7" t="str">
        <f>HYPERLINK("http://www.ensembl.org/Mus_musculus/Gene/Summary?db=core;g=ENSMUSG00000057132","ENSMUSG00000057132")</f>
        <v>ENSMUSG00000057132</v>
      </c>
      <c r="I8021" s="7" t="str">
        <f>HYPERLINK("http://www.informatics.jax.org/marker/MGI:1932134","MGI:1932134")</f>
        <v>MGI:1932134</v>
      </c>
      <c r="J8021" s="4" t="s">
        <v>12</v>
      </c>
    </row>
    <row r="8022" spans="1:10" x14ac:dyDescent="0.25">
      <c r="A8022" s="2">
        <v>851.48110930136102</v>
      </c>
      <c r="B8022" s="3">
        <v>-1.42080652638675</v>
      </c>
      <c r="C8022" s="5">
        <v>3.7251978003421998E-72</v>
      </c>
      <c r="D8022" s="6">
        <v>1.7961100396759999E-70</v>
      </c>
      <c r="E8022" s="3" t="s">
        <v>830</v>
      </c>
      <c r="F8022" s="3" t="s">
        <v>831</v>
      </c>
      <c r="G8022" s="3">
        <v>213988</v>
      </c>
      <c r="H8022" s="7" t="str">
        <f>HYPERLINK("http://www.ensembl.org/Mus_musculus/Gene/Summary?db=core;g=ENSMUSG00000047888","ENSMUSG00000047888")</f>
        <v>ENSMUSG00000047888</v>
      </c>
      <c r="I8022" s="7" t="str">
        <f>HYPERLINK("http://www.informatics.jax.org/marker/MGI:2443730","MGI:2443730")</f>
        <v>MGI:2443730</v>
      </c>
      <c r="J8022" s="4" t="s">
        <v>12</v>
      </c>
    </row>
    <row r="8023" spans="1:10" x14ac:dyDescent="0.25">
      <c r="A8023" s="2">
        <v>545.41380285129503</v>
      </c>
      <c r="B8023" s="3">
        <v>-1.4228245749492201</v>
      </c>
      <c r="C8023" s="5">
        <v>1.2555710098036301E-28</v>
      </c>
      <c r="D8023" s="6">
        <v>1.7622676379592701E-27</v>
      </c>
      <c r="E8023" s="3" t="s">
        <v>2828</v>
      </c>
      <c r="F8023" s="3" t="s">
        <v>2829</v>
      </c>
      <c r="G8023" s="3">
        <v>23834</v>
      </c>
      <c r="H8023" s="7" t="str">
        <f>HYPERLINK("http://www.ensembl.org/Mus_musculus/Gene/Summary?db=core;g=ENSMUSG00000017499","ENSMUSG00000017499")</f>
        <v>ENSMUSG00000017499</v>
      </c>
      <c r="I8023" s="7" t="str">
        <f>HYPERLINK("http://www.informatics.jax.org/marker/MGI:1345150","MGI:1345150")</f>
        <v>MGI:1345150</v>
      </c>
      <c r="J8023" s="4" t="s">
        <v>12</v>
      </c>
    </row>
    <row r="8024" spans="1:10" x14ac:dyDescent="0.25">
      <c r="A8024" s="2">
        <v>120.219955675294</v>
      </c>
      <c r="B8024" s="3">
        <v>-1.4231752486262099</v>
      </c>
      <c r="C8024" s="5">
        <v>4.2141602848909197E-24</v>
      </c>
      <c r="D8024" s="6">
        <v>4.9762419651526402E-23</v>
      </c>
      <c r="E8024" s="3" t="s">
        <v>3360</v>
      </c>
      <c r="F8024" s="3" t="s">
        <v>3361</v>
      </c>
      <c r="G8024" s="3">
        <v>12289</v>
      </c>
      <c r="H8024" s="7" t="str">
        <f>HYPERLINK("http://www.ensembl.org/Mus_musculus/Gene/Summary?db=core;g=ENSMUSG00000015968","ENSMUSG00000015968")</f>
        <v>ENSMUSG00000015968</v>
      </c>
      <c r="I8024" s="7" t="str">
        <f>HYPERLINK("http://www.informatics.jax.org/marker/MGI:88293","MGI:88293")</f>
        <v>MGI:88293</v>
      </c>
      <c r="J8024" s="4" t="s">
        <v>12</v>
      </c>
    </row>
    <row r="8025" spans="1:10" x14ac:dyDescent="0.25">
      <c r="A8025" s="2">
        <v>361.78092131641199</v>
      </c>
      <c r="B8025" s="3">
        <v>-1.4249492226157301</v>
      </c>
      <c r="C8025" s="5">
        <v>6.8929476537861299E-25</v>
      </c>
      <c r="D8025" s="6">
        <v>8.34431723343539E-24</v>
      </c>
      <c r="E8025" s="3" t="s">
        <v>3278</v>
      </c>
      <c r="F8025" s="3" t="s">
        <v>3279</v>
      </c>
      <c r="G8025" s="3">
        <v>268903</v>
      </c>
      <c r="H8025" s="7" t="str">
        <f>HYPERLINK("http://www.ensembl.org/Mus_musculus/Gene/Summary?db=core;g=ENSMUSG00000048490","ENSMUSG00000048490")</f>
        <v>ENSMUSG00000048490</v>
      </c>
      <c r="I8025" s="7" t="str">
        <f>HYPERLINK("http://www.informatics.jax.org/marker/MGI:1315213","MGI:1315213")</f>
        <v>MGI:1315213</v>
      </c>
      <c r="J8025" s="4" t="s">
        <v>12</v>
      </c>
    </row>
    <row r="8026" spans="1:10" x14ac:dyDescent="0.25">
      <c r="A8026" s="2">
        <v>42.779603457477201</v>
      </c>
      <c r="B8026" s="3">
        <v>-1.42632007772138</v>
      </c>
      <c r="C8026" s="5">
        <v>2.01726077704065E-9</v>
      </c>
      <c r="D8026" s="6">
        <v>1.05518256029819E-8</v>
      </c>
      <c r="E8026" s="3" t="s">
        <v>7558</v>
      </c>
      <c r="F8026" s="3" t="s">
        <v>7559</v>
      </c>
      <c r="G8026" s="3">
        <v>216859</v>
      </c>
      <c r="H8026" s="7" t="str">
        <f>HYPERLINK("http://www.ensembl.org/Mus_musculus/Gene/Summary?db=core;g=ENSMUSG00000001588","ENSMUSG00000001588")</f>
        <v>ENSMUSG00000001588</v>
      </c>
      <c r="I8026" s="7" t="str">
        <f>HYPERLINK("http://www.informatics.jax.org/marker/MGI:2388270","MGI:2388270")</f>
        <v>MGI:2388270</v>
      </c>
      <c r="J8026" s="4" t="s">
        <v>12</v>
      </c>
    </row>
    <row r="8027" spans="1:10" x14ac:dyDescent="0.25">
      <c r="A8027" s="2">
        <v>404.03481766201099</v>
      </c>
      <c r="B8027" s="3">
        <v>-1.42765156891112</v>
      </c>
      <c r="C8027" s="5">
        <v>3.4175805151521101E-51</v>
      </c>
      <c r="D8027" s="6">
        <v>9.4258304557761801E-50</v>
      </c>
      <c r="E8027" s="3" t="s">
        <v>1446</v>
      </c>
      <c r="F8027" s="3" t="s">
        <v>1447</v>
      </c>
      <c r="G8027" s="3">
        <v>19157</v>
      </c>
      <c r="H8027" s="7" t="str">
        <f>HYPERLINK("http://www.ensembl.org/Mus_musculus/Gene/Summary?db=core;g=ENSMUSG00000017132","ENSMUSG00000017132")</f>
        <v>ENSMUSG00000017132</v>
      </c>
      <c r="I8027" s="7" t="str">
        <f>HYPERLINK("http://www.informatics.jax.org/marker/MGI:1334257","MGI:1334257")</f>
        <v>MGI:1334257</v>
      </c>
      <c r="J8027" s="4" t="s">
        <v>12</v>
      </c>
    </row>
    <row r="8028" spans="1:10" x14ac:dyDescent="0.25">
      <c r="A8028" s="2">
        <v>173.97270065511901</v>
      </c>
      <c r="B8028" s="3">
        <v>-1.4296369642195701</v>
      </c>
      <c r="C8028" s="5">
        <v>4.5899420211692499E-21</v>
      </c>
      <c r="D8028" s="6">
        <v>4.7538685219253002E-20</v>
      </c>
      <c r="E8028" s="3" t="s">
        <v>3826</v>
      </c>
      <c r="F8028" s="3" t="s">
        <v>3827</v>
      </c>
      <c r="G8028" s="3">
        <v>107449</v>
      </c>
      <c r="H8028" s="7" t="str">
        <f>HYPERLINK("http://www.ensembl.org/Mus_musculus/Gene/Summary?db=core;g=ENSMUSG00000020099","ENSMUSG00000020099")</f>
        <v>ENSMUSG00000020099</v>
      </c>
      <c r="I8028" s="7" t="str">
        <f>HYPERLINK("http://www.informatics.jax.org/marker/MGI:894703","MGI:894703")</f>
        <v>MGI:894703</v>
      </c>
      <c r="J8028" s="4" t="s">
        <v>12</v>
      </c>
    </row>
    <row r="8029" spans="1:10" x14ac:dyDescent="0.25">
      <c r="A8029" s="2">
        <v>421.97181635159302</v>
      </c>
      <c r="B8029" s="3">
        <v>-1.42994581805023</v>
      </c>
      <c r="C8029" s="5">
        <v>2.6905061429369798E-44</v>
      </c>
      <c r="D8029" s="6">
        <v>6.1909896311222098E-43</v>
      </c>
      <c r="E8029" s="3" t="s">
        <v>1730</v>
      </c>
      <c r="F8029" s="3" t="s">
        <v>1731</v>
      </c>
      <c r="G8029" s="3">
        <v>14537</v>
      </c>
      <c r="H8029" s="7" t="str">
        <f>HYPERLINK("http://www.ensembl.org/Mus_musculus/Gene/Summary?db=core;g=ENSMUSG00000038843","ENSMUSG00000038843")</f>
        <v>ENSMUSG00000038843</v>
      </c>
      <c r="I8029" s="7" t="str">
        <f>HYPERLINK("http://www.informatics.jax.org/marker/MGI:95676","MGI:95676")</f>
        <v>MGI:95676</v>
      </c>
      <c r="J8029" s="4" t="s">
        <v>12</v>
      </c>
    </row>
    <row r="8030" spans="1:10" x14ac:dyDescent="0.25">
      <c r="A8030" s="2">
        <v>59.0272581343932</v>
      </c>
      <c r="B8030" s="3">
        <v>-1.4303842259191399</v>
      </c>
      <c r="C8030" s="5">
        <v>1.4124835079606101E-14</v>
      </c>
      <c r="D8030" s="6">
        <v>1.06151580704967E-13</v>
      </c>
      <c r="E8030" s="3" t="s">
        <v>5265</v>
      </c>
      <c r="F8030" s="3" t="s">
        <v>5266</v>
      </c>
      <c r="G8030" s="3">
        <v>22775</v>
      </c>
      <c r="H8030" s="7" t="str">
        <f>HYPERLINK("http://www.ensembl.org/Mus_musculus/Gene/Summary?db=core;g=ENSMUSG00000030393","ENSMUSG00000030393")</f>
        <v>ENSMUSG00000030393</v>
      </c>
      <c r="I8030" s="7" t="str">
        <f>HYPERLINK("http://www.informatics.jax.org/marker/MGI:108070","MGI:108070")</f>
        <v>MGI:108070</v>
      </c>
      <c r="J8030" s="4" t="s">
        <v>12</v>
      </c>
    </row>
    <row r="8031" spans="1:10" x14ac:dyDescent="0.25">
      <c r="A8031" s="2">
        <v>245.9759953274</v>
      </c>
      <c r="B8031" s="3">
        <v>-1.4305374737216201</v>
      </c>
      <c r="C8031" s="5">
        <v>1.21046018205108E-45</v>
      </c>
      <c r="D8031" s="6">
        <v>2.87593672169244E-44</v>
      </c>
      <c r="E8031" s="3" t="s">
        <v>1676</v>
      </c>
      <c r="F8031" s="3" t="s">
        <v>1677</v>
      </c>
      <c r="G8031" s="3">
        <v>14051</v>
      </c>
      <c r="H8031" s="7" t="str">
        <f>HYPERLINK("http://www.ensembl.org/Mus_musculus/Gene/Summary?db=core;g=ENSMUSG00000010461","ENSMUSG00000010461")</f>
        <v>ENSMUSG00000010461</v>
      </c>
      <c r="I8031" s="7" t="str">
        <f>HYPERLINK("http://www.informatics.jax.org/marker/MGI:1337104","MGI:1337104")</f>
        <v>MGI:1337104</v>
      </c>
      <c r="J8031" s="4" t="s">
        <v>12</v>
      </c>
    </row>
    <row r="8032" spans="1:10" x14ac:dyDescent="0.25">
      <c r="A8032" s="2">
        <v>44.469004551250002</v>
      </c>
      <c r="B8032" s="3">
        <v>-1.4312562214461799</v>
      </c>
      <c r="C8032" s="5">
        <v>4.84271930189249E-11</v>
      </c>
      <c r="D8032" s="6">
        <v>2.886893126763E-10</v>
      </c>
      <c r="E8032" s="3" t="s">
        <v>6633</v>
      </c>
      <c r="F8032" s="3" t="s">
        <v>6634</v>
      </c>
      <c r="G8032" s="3" t="s">
        <v>83</v>
      </c>
      <c r="H8032" s="7" t="str">
        <f>HYPERLINK("http://www.ensembl.org/Mus_musculus/Gene/Summary?db=core;g=ENSMUSG00000085873","ENSMUSG00000085873")</f>
        <v>ENSMUSG00000085873</v>
      </c>
      <c r="I8032" s="7" t="str">
        <f>HYPERLINK("http://www.informatics.jax.org/marker/MGI:3651956","MGI:3651956")</f>
        <v>MGI:3651956</v>
      </c>
      <c r="J8032" s="4" t="s">
        <v>932</v>
      </c>
    </row>
    <row r="8033" spans="1:10" x14ac:dyDescent="0.25">
      <c r="A8033" s="2">
        <v>294.745165303161</v>
      </c>
      <c r="B8033" s="3">
        <v>-1.4319428945086601</v>
      </c>
      <c r="C8033" s="5">
        <v>1.5416851357207499E-54</v>
      </c>
      <c r="D8033" s="6">
        <v>4.6844423538386997E-53</v>
      </c>
      <c r="E8033" s="3" t="s">
        <v>1314</v>
      </c>
      <c r="F8033" s="3" t="s">
        <v>1315</v>
      </c>
      <c r="G8033" s="3">
        <v>207952</v>
      </c>
      <c r="H8033" s="7" t="str">
        <f>HYPERLINK("http://www.ensembl.org/Mus_musculus/Gene/Summary?db=core;g=ENSMUSG00000055652","ENSMUSG00000055652")</f>
        <v>ENSMUSG00000055652</v>
      </c>
      <c r="I8033" s="7" t="str">
        <f>HYPERLINK("http://www.informatics.jax.org/marker/MGI:2668031","MGI:2668031")</f>
        <v>MGI:2668031</v>
      </c>
      <c r="J8033" s="4" t="s">
        <v>12</v>
      </c>
    </row>
    <row r="8034" spans="1:10" x14ac:dyDescent="0.25">
      <c r="A8034" s="2">
        <v>155.43826926517701</v>
      </c>
      <c r="B8034" s="3">
        <v>-1.43300481234149</v>
      </c>
      <c r="C8034" s="5">
        <v>3.4339517350568103E-27</v>
      </c>
      <c r="D8034" s="6">
        <v>4.5478528015661701E-26</v>
      </c>
      <c r="E8034" s="3" t="s">
        <v>2996</v>
      </c>
      <c r="F8034" s="3" t="s">
        <v>2997</v>
      </c>
      <c r="G8034" s="3">
        <v>225115</v>
      </c>
      <c r="H8034" s="7" t="str">
        <f>HYPERLINK("http://www.ensembl.org/Mus_musculus/Gene/Summary?db=core;g=ENSMUSG00000024236","ENSMUSG00000024236")</f>
        <v>ENSMUSG00000024236</v>
      </c>
      <c r="I8034" s="7" t="str">
        <f>HYPERLINK("http://www.informatics.jax.org/marker/MGI:2147319","MGI:2147319")</f>
        <v>MGI:2147319</v>
      </c>
      <c r="J8034" s="4" t="s">
        <v>12</v>
      </c>
    </row>
    <row r="8035" spans="1:10" x14ac:dyDescent="0.25">
      <c r="A8035" s="2">
        <v>30.168655657779201</v>
      </c>
      <c r="B8035" s="3">
        <v>-1.43455557718001</v>
      </c>
      <c r="C8035" s="5">
        <v>8.0878098831025694E-11</v>
      </c>
      <c r="D8035" s="6">
        <v>4.7200831871791303E-10</v>
      </c>
      <c r="E8035" s="3" t="s">
        <v>6776</v>
      </c>
      <c r="F8035" s="3" t="s">
        <v>6777</v>
      </c>
      <c r="G8035" s="3">
        <v>72128</v>
      </c>
      <c r="H8035" s="7" t="str">
        <f>HYPERLINK("http://www.ensembl.org/Mus_musculus/Gene/Summary?db=core;g=ENSMUSG00000060301","ENSMUSG00000060301")</f>
        <v>ENSMUSG00000060301</v>
      </c>
      <c r="I8035" s="7" t="str">
        <f>HYPERLINK("http://www.informatics.jax.org/marker/MGI:1919378","MGI:1919378")</f>
        <v>MGI:1919378</v>
      </c>
      <c r="J8035" s="4" t="s">
        <v>12</v>
      </c>
    </row>
    <row r="8036" spans="1:10" x14ac:dyDescent="0.25">
      <c r="A8036" s="2">
        <v>80.290756152546393</v>
      </c>
      <c r="B8036" s="3">
        <v>-1.4353873823138299</v>
      </c>
      <c r="C8036" s="5">
        <v>1.1525098109364201E-18</v>
      </c>
      <c r="D8036" s="6">
        <v>1.0781543392631101E-17</v>
      </c>
      <c r="E8036" s="3" t="s">
        <v>4233</v>
      </c>
      <c r="F8036" s="3" t="s">
        <v>4234</v>
      </c>
      <c r="G8036" s="3">
        <v>67893</v>
      </c>
      <c r="H8036" s="7" t="str">
        <f>HYPERLINK("http://www.ensembl.org/Mus_musculus/Gene/Summary?db=core;g=ENSMUSG00000010307","ENSMUSG00000010307")</f>
        <v>ENSMUSG00000010307</v>
      </c>
      <c r="I8036" s="7" t="str">
        <f>HYPERLINK("http://www.informatics.jax.org/marker/MGI:1915143","MGI:1915143")</f>
        <v>MGI:1915143</v>
      </c>
      <c r="J8036" s="4" t="s">
        <v>12</v>
      </c>
    </row>
    <row r="8037" spans="1:10" x14ac:dyDescent="0.25">
      <c r="A8037" s="2">
        <v>4.7630858614482898</v>
      </c>
      <c r="B8037" s="3">
        <v>-1.43615837969321</v>
      </c>
      <c r="C8037" s="3">
        <v>7.7230358260075801E-4</v>
      </c>
      <c r="D8037" s="4">
        <v>2.31597120573098E-3</v>
      </c>
      <c r="E8037" s="3" t="s">
        <v>13161</v>
      </c>
      <c r="F8037" s="3" t="s">
        <v>13162</v>
      </c>
      <c r="G8037" s="3">
        <v>108075</v>
      </c>
      <c r="H8037" s="7" t="str">
        <f>HYPERLINK("http://www.ensembl.org/Mus_musculus/Gene/Summary?db=core;g=ENSMUSG00000040488","ENSMUSG00000040488")</f>
        <v>ENSMUSG00000040488</v>
      </c>
      <c r="I8037" s="7" t="str">
        <f>HYPERLINK("http://www.informatics.jax.org/marker/MGI:1321395","MGI:1321395")</f>
        <v>MGI:1321395</v>
      </c>
      <c r="J8037" s="4" t="s">
        <v>12</v>
      </c>
    </row>
    <row r="8038" spans="1:10" x14ac:dyDescent="0.25">
      <c r="A8038" s="2">
        <v>228.86152342255801</v>
      </c>
      <c r="B8038" s="3">
        <v>-1.43624512209737</v>
      </c>
      <c r="C8038" s="5">
        <v>7.1898795336975996E-28</v>
      </c>
      <c r="D8038" s="6">
        <v>9.7580471028573094E-27</v>
      </c>
      <c r="E8038" s="3" t="s">
        <v>2924</v>
      </c>
      <c r="F8038" s="3" t="s">
        <v>2925</v>
      </c>
      <c r="G8038" s="3">
        <v>12393</v>
      </c>
      <c r="H8038" s="7" t="str">
        <f>HYPERLINK("http://www.ensembl.org/Mus_musculus/Gene/Summary?db=core;g=ENSMUSG00000039153","ENSMUSG00000039153")</f>
        <v>ENSMUSG00000039153</v>
      </c>
      <c r="I8038" s="7" t="str">
        <f>HYPERLINK("http://www.informatics.jax.org/marker/MGI:99829","MGI:99829")</f>
        <v>MGI:99829</v>
      </c>
      <c r="J8038" s="4" t="s">
        <v>12</v>
      </c>
    </row>
    <row r="8039" spans="1:10" x14ac:dyDescent="0.25">
      <c r="A8039" s="2">
        <v>35.922215338156903</v>
      </c>
      <c r="B8039" s="3">
        <v>-1.4363242941199399</v>
      </c>
      <c r="C8039" s="5">
        <v>2.45114169573769E-11</v>
      </c>
      <c r="D8039" s="6">
        <v>1.49278919826891E-10</v>
      </c>
      <c r="E8039" s="3" t="s">
        <v>6493</v>
      </c>
      <c r="F8039" s="3" t="s">
        <v>6494</v>
      </c>
      <c r="G8039" s="3">
        <v>17001</v>
      </c>
      <c r="H8039" s="7" t="str">
        <f>HYPERLINK("http://www.ensembl.org/Mus_musculus/Gene/Summary?db=core;g=ENSMUSG00000020377","ENSMUSG00000020377")</f>
        <v>ENSMUSG00000020377</v>
      </c>
      <c r="I8039" s="7" t="str">
        <f>HYPERLINK("http://www.informatics.jax.org/marker/MGI:107498","MGI:107498")</f>
        <v>MGI:107498</v>
      </c>
      <c r="J8039" s="4" t="s">
        <v>12</v>
      </c>
    </row>
    <row r="8040" spans="1:10" x14ac:dyDescent="0.25">
      <c r="A8040" s="2">
        <v>294.103061596776</v>
      </c>
      <c r="B8040" s="3">
        <v>-1.4371681148837601</v>
      </c>
      <c r="C8040" s="5">
        <v>1.83375626154183E-59</v>
      </c>
      <c r="D8040" s="6">
        <v>6.5038981074828897E-58</v>
      </c>
      <c r="E8040" s="3" t="s">
        <v>1128</v>
      </c>
      <c r="F8040" s="3" t="s">
        <v>1129</v>
      </c>
      <c r="G8040" s="3">
        <v>320472</v>
      </c>
      <c r="H8040" s="7" t="str">
        <f>HYPERLINK("http://www.ensembl.org/Mus_musculus/Gene/Summary?db=core;g=ENSMUSG00000046442","ENSMUSG00000046442")</f>
        <v>ENSMUSG00000046442</v>
      </c>
      <c r="I8040" s="7" t="str">
        <f>HYPERLINK("http://www.informatics.jax.org/marker/MGI:2444096","MGI:2444096")</f>
        <v>MGI:2444096</v>
      </c>
      <c r="J8040" s="4" t="s">
        <v>12</v>
      </c>
    </row>
    <row r="8041" spans="1:10" x14ac:dyDescent="0.25">
      <c r="A8041" s="2">
        <v>633.84837252320301</v>
      </c>
      <c r="B8041" s="3">
        <v>-1.4377612782979701</v>
      </c>
      <c r="C8041" s="5">
        <v>2.8213976791417602E-32</v>
      </c>
      <c r="D8041" s="6">
        <v>4.4227314970330297E-31</v>
      </c>
      <c r="E8041" s="3" t="s">
        <v>2533</v>
      </c>
      <c r="F8041" s="3" t="s">
        <v>2534</v>
      </c>
      <c r="G8041" s="3">
        <v>12447</v>
      </c>
      <c r="H8041" s="7" t="str">
        <f>HYPERLINK("http://www.ensembl.org/Mus_musculus/Gene/Summary?db=core;g=ENSMUSG00000002068","ENSMUSG00000002068")</f>
        <v>ENSMUSG00000002068</v>
      </c>
      <c r="I8041" s="7" t="str">
        <f>HYPERLINK("http://www.informatics.jax.org/marker/MGI:88316","MGI:88316")</f>
        <v>MGI:88316</v>
      </c>
      <c r="J8041" s="4" t="s">
        <v>12</v>
      </c>
    </row>
    <row r="8042" spans="1:10" x14ac:dyDescent="0.25">
      <c r="A8042" s="2">
        <v>6.0108966104068999</v>
      </c>
      <c r="B8042" s="3">
        <v>-1.43948086574189</v>
      </c>
      <c r="C8042" s="3">
        <v>3.3645482843829998E-4</v>
      </c>
      <c r="D8042" s="4">
        <v>1.0592096450835399E-3</v>
      </c>
      <c r="E8042" s="3" t="s">
        <v>12541</v>
      </c>
      <c r="F8042" s="3" t="s">
        <v>12542</v>
      </c>
      <c r="G8042" s="3">
        <v>330863</v>
      </c>
      <c r="H8042" s="7" t="str">
        <f>HYPERLINK("http://www.ensembl.org/Mus_musculus/Gene/Summary?db=core;g=ENSMUSG00000036913","ENSMUSG00000036913")</f>
        <v>ENSMUSG00000036913</v>
      </c>
      <c r="I8042" s="7" t="str">
        <f>HYPERLINK("http://www.informatics.jax.org/marker/MGI:3045323","MGI:3045323")</f>
        <v>MGI:3045323</v>
      </c>
      <c r="J8042" s="4" t="s">
        <v>12</v>
      </c>
    </row>
    <row r="8043" spans="1:10" x14ac:dyDescent="0.25">
      <c r="A8043" s="2">
        <v>7.1357037434128001</v>
      </c>
      <c r="B8043" s="3">
        <v>-1.4402202481006801</v>
      </c>
      <c r="C8043" s="3">
        <v>1.06958538418144E-4</v>
      </c>
      <c r="D8043" s="4">
        <v>3.5962870888419599E-4</v>
      </c>
      <c r="E8043" s="3" t="s">
        <v>11741</v>
      </c>
      <c r="F8043" s="3" t="s">
        <v>11742</v>
      </c>
      <c r="G8043" s="3">
        <v>666048</v>
      </c>
      <c r="H8043" s="7" t="str">
        <f>HYPERLINK("http://www.ensembl.org/Mus_musculus/Gene/Summary?db=core;g=ENSMUSG00000070867","ENSMUSG00000070867")</f>
        <v>ENSMUSG00000070867</v>
      </c>
      <c r="I8043" s="7" t="str">
        <f>HYPERLINK("http://www.informatics.jax.org/marker/MGI:3650152","MGI:3650152")</f>
        <v>MGI:3650152</v>
      </c>
      <c r="J8043" s="4" t="s">
        <v>12</v>
      </c>
    </row>
    <row r="8044" spans="1:10" x14ac:dyDescent="0.25">
      <c r="A8044" s="2">
        <v>394.01882724448598</v>
      </c>
      <c r="B8044" s="3">
        <v>-1.44071071193466</v>
      </c>
      <c r="C8044" s="5">
        <v>1.7255435312946699E-39</v>
      </c>
      <c r="D8044" s="6">
        <v>3.4475905204793302E-38</v>
      </c>
      <c r="E8044" s="3" t="s">
        <v>1991</v>
      </c>
      <c r="F8044" s="3" t="s">
        <v>1992</v>
      </c>
      <c r="G8044" s="3">
        <v>385658</v>
      </c>
      <c r="H8044" s="7" t="str">
        <f>HYPERLINK("http://www.ensembl.org/Mus_musculus/Gene/Summary?db=core;g=ENSMUSG00000075033","ENSMUSG00000075033")</f>
        <v>ENSMUSG00000075033</v>
      </c>
      <c r="I8044" s="7" t="str">
        <f>HYPERLINK("http://www.informatics.jax.org/marker/MGI:2686598","MGI:2686598")</f>
        <v>MGI:2686598</v>
      </c>
      <c r="J8044" s="4" t="s">
        <v>12</v>
      </c>
    </row>
    <row r="8045" spans="1:10" x14ac:dyDescent="0.25">
      <c r="A8045" s="2">
        <v>89.644857772491306</v>
      </c>
      <c r="B8045" s="3">
        <v>-1.44102589874916</v>
      </c>
      <c r="C8045" s="5">
        <v>1.4616889838142899E-16</v>
      </c>
      <c r="D8045" s="6">
        <v>1.21519843005134E-15</v>
      </c>
      <c r="E8045" s="3" t="s">
        <v>4761</v>
      </c>
      <c r="F8045" s="3" t="s">
        <v>4762</v>
      </c>
      <c r="G8045" s="3">
        <v>241950</v>
      </c>
      <c r="H8045" s="7" t="str">
        <f>HYPERLINK("http://www.ensembl.org/Mus_musculus/Gene/Summary?db=core;g=ENSMUSG00000051444","ENSMUSG00000051444")</f>
        <v>ENSMUSG00000051444</v>
      </c>
      <c r="I8045" s="7" t="str">
        <f>HYPERLINK("http://www.informatics.jax.org/marker/MGI:2686651","MGI:2686651")</f>
        <v>MGI:2686651</v>
      </c>
      <c r="J8045" s="4" t="s">
        <v>12</v>
      </c>
    </row>
    <row r="8046" spans="1:10" x14ac:dyDescent="0.25">
      <c r="A8046" s="2">
        <v>1.6213515085939501</v>
      </c>
      <c r="B8046" s="3">
        <v>-1.4418944607638999</v>
      </c>
      <c r="C8046" s="3">
        <v>2.1019495217786399E-3</v>
      </c>
      <c r="D8046" s="4">
        <v>5.9172654631655698E-3</v>
      </c>
      <c r="E8046" s="3" t="s">
        <v>14017</v>
      </c>
      <c r="F8046" s="3" t="s">
        <v>14018</v>
      </c>
      <c r="G8046" s="3" t="s">
        <v>83</v>
      </c>
      <c r="H8046" s="7" t="str">
        <f>HYPERLINK("http://www.ensembl.org/Mus_musculus/Gene/Summary?db=core;g=ENSMUSG00000087036","ENSMUSG00000087036")</f>
        <v>ENSMUSG00000087036</v>
      </c>
      <c r="I8046" s="7" t="str">
        <f>HYPERLINK("http://www.informatics.jax.org/marker/MGI:3704384","MGI:3704384")</f>
        <v>MGI:3704384</v>
      </c>
      <c r="J8046" s="4" t="s">
        <v>331</v>
      </c>
    </row>
    <row r="8047" spans="1:10" x14ac:dyDescent="0.25">
      <c r="A8047" s="2">
        <v>264.41824717591902</v>
      </c>
      <c r="B8047" s="3">
        <v>-1.44244926888491</v>
      </c>
      <c r="C8047" s="5">
        <v>1.06389153926617E-58</v>
      </c>
      <c r="D8047" s="6">
        <v>3.6423508948487599E-57</v>
      </c>
      <c r="E8047" s="3" t="s">
        <v>1168</v>
      </c>
      <c r="F8047" s="3" t="s">
        <v>1169</v>
      </c>
      <c r="G8047" s="3">
        <v>20623</v>
      </c>
      <c r="H8047" s="7" t="str">
        <f>HYPERLINK("http://www.ensembl.org/Mus_musculus/Gene/Summary?db=core;g=ENSMUSG00000038145","ENSMUSG00000038145")</f>
        <v>ENSMUSG00000038145</v>
      </c>
      <c r="I8047" s="7" t="str">
        <f>HYPERLINK("http://www.informatics.jax.org/marker/MGI:108104","MGI:108104")</f>
        <v>MGI:108104</v>
      </c>
      <c r="J8047" s="4" t="s">
        <v>12</v>
      </c>
    </row>
    <row r="8048" spans="1:10" x14ac:dyDescent="0.25">
      <c r="A8048" s="2">
        <v>196.55955069555199</v>
      </c>
      <c r="B8048" s="3">
        <v>-1.44293856603556</v>
      </c>
      <c r="C8048" s="5">
        <v>5.7296950918705298E-34</v>
      </c>
      <c r="D8048" s="6">
        <v>9.57538874675313E-33</v>
      </c>
      <c r="E8048" s="3" t="s">
        <v>2377</v>
      </c>
      <c r="F8048" s="3" t="s">
        <v>2378</v>
      </c>
      <c r="G8048" s="3">
        <v>26427</v>
      </c>
      <c r="H8048" s="7" t="str">
        <f>HYPERLINK("http://www.ensembl.org/Mus_musculus/Gene/Summary?db=core;g=ENSMUSG00000027230","ENSMUSG00000027230")</f>
        <v>ENSMUSG00000027230</v>
      </c>
      <c r="I8048" s="7" t="str">
        <f>HYPERLINK("http://www.informatics.jax.org/marker/MGI:1347062","MGI:1347062")</f>
        <v>MGI:1347062</v>
      </c>
      <c r="J8048" s="4" t="s">
        <v>12</v>
      </c>
    </row>
    <row r="8049" spans="1:10" x14ac:dyDescent="0.25">
      <c r="A8049" s="2">
        <v>3.8286044595851099</v>
      </c>
      <c r="B8049" s="3">
        <v>-1.44311114315373</v>
      </c>
      <c r="C8049" s="3">
        <v>1.0097901141345E-3</v>
      </c>
      <c r="D8049" s="4">
        <v>2.9729861228325201E-3</v>
      </c>
      <c r="E8049" s="3" t="s">
        <v>13405</v>
      </c>
      <c r="F8049" s="3" t="s">
        <v>13406</v>
      </c>
      <c r="G8049" s="3">
        <v>232790</v>
      </c>
      <c r="H8049" s="7" t="str">
        <f>HYPERLINK("http://www.ensembl.org/Mus_musculus/Gene/Summary?db=core;g=ENSMUSG00000054594","ENSMUSG00000054594")</f>
        <v>ENSMUSG00000054594</v>
      </c>
      <c r="I8049" s="7" t="str">
        <f>HYPERLINK("http://www.informatics.jax.org/marker/MGI:2179720","MGI:2179720")</f>
        <v>MGI:2179720</v>
      </c>
      <c r="J8049" s="4" t="s">
        <v>12</v>
      </c>
    </row>
    <row r="8050" spans="1:10" x14ac:dyDescent="0.25">
      <c r="A8050" s="2">
        <v>21.874969874264799</v>
      </c>
      <c r="B8050" s="3">
        <v>-1.4442136285923399</v>
      </c>
      <c r="C8050" s="5">
        <v>1.3124466980389499E-7</v>
      </c>
      <c r="D8050" s="6">
        <v>5.89017953694311E-7</v>
      </c>
      <c r="E8050" s="3" t="s">
        <v>8805</v>
      </c>
      <c r="F8050" s="3" t="s">
        <v>8806</v>
      </c>
      <c r="G8050" s="3">
        <v>72421</v>
      </c>
      <c r="H8050" s="7" t="str">
        <f>HYPERLINK("http://www.ensembl.org/Mus_musculus/Gene/Summary?db=core;g=ENSMUSG00000075273","ENSMUSG00000075273")</f>
        <v>ENSMUSG00000075273</v>
      </c>
      <c r="I8050" s="7" t="str">
        <f>HYPERLINK("http://www.informatics.jax.org/marker/MGI:1919671","MGI:1919671")</f>
        <v>MGI:1919671</v>
      </c>
      <c r="J8050" s="4" t="s">
        <v>12</v>
      </c>
    </row>
    <row r="8051" spans="1:10" x14ac:dyDescent="0.25">
      <c r="A8051" s="2">
        <v>512.23368126993398</v>
      </c>
      <c r="B8051" s="3">
        <v>-1.44480977735543</v>
      </c>
      <c r="C8051" s="5">
        <v>5.71485518663664E-54</v>
      </c>
      <c r="D8051" s="6">
        <v>1.7023707595237802E-52</v>
      </c>
      <c r="E8051" s="3" t="s">
        <v>1340</v>
      </c>
      <c r="F8051" s="3" t="s">
        <v>1341</v>
      </c>
      <c r="G8051" s="3">
        <v>77045</v>
      </c>
      <c r="H8051" s="7" t="str">
        <f>HYPERLINK("http://www.ensembl.org/Mus_musculus/Gene/Summary?db=core;g=ENSMUSG00000029438","ENSMUSG00000029438")</f>
        <v>ENSMUSG00000029438</v>
      </c>
      <c r="I8051" s="7" t="str">
        <f>HYPERLINK("http://www.informatics.jax.org/marker/MGI:1924295","MGI:1924295")</f>
        <v>MGI:1924295</v>
      </c>
      <c r="J8051" s="4" t="s">
        <v>12</v>
      </c>
    </row>
    <row r="8052" spans="1:10" x14ac:dyDescent="0.25">
      <c r="A8052" s="2">
        <v>281.083449388362</v>
      </c>
      <c r="B8052" s="3">
        <v>-1.4451716566135899</v>
      </c>
      <c r="C8052" s="5">
        <v>5.7954514459586703E-37</v>
      </c>
      <c r="D8052" s="6">
        <v>1.07817266522929E-35</v>
      </c>
      <c r="E8052" s="3" t="s">
        <v>2137</v>
      </c>
      <c r="F8052" s="3" t="s">
        <v>2138</v>
      </c>
      <c r="G8052" s="3">
        <v>75735</v>
      </c>
      <c r="H8052" s="7" t="str">
        <f>HYPERLINK("http://www.ensembl.org/Mus_musculus/Gene/Summary?db=core;g=ENSMUSG00000033610","ENSMUSG00000033610")</f>
        <v>ENSMUSG00000033610</v>
      </c>
      <c r="I8052" s="7" t="str">
        <f>HYPERLINK("http://www.informatics.jax.org/marker/MGI:1922985","MGI:1922985")</f>
        <v>MGI:1922985</v>
      </c>
      <c r="J8052" s="4" t="s">
        <v>12</v>
      </c>
    </row>
    <row r="8053" spans="1:10" x14ac:dyDescent="0.25">
      <c r="A8053" s="2">
        <v>2.6858940837288001</v>
      </c>
      <c r="B8053" s="3">
        <v>-1.44557318574083</v>
      </c>
      <c r="C8053" s="3">
        <v>2.1762805052390598E-3</v>
      </c>
      <c r="D8053" s="4">
        <v>6.1125554142307604E-3</v>
      </c>
      <c r="E8053" s="3" t="s">
        <v>14049</v>
      </c>
      <c r="F8053" s="3" t="s">
        <v>14050</v>
      </c>
      <c r="G8053" s="3">
        <v>23966</v>
      </c>
      <c r="H8053" s="7" t="str">
        <f>HYPERLINK("http://www.ensembl.org/Mus_musculus/Gene/Summary?db=core;g=ENSMUSG00000048078","ENSMUSG00000048078")</f>
        <v>ENSMUSG00000048078</v>
      </c>
      <c r="I8053" s="7" t="str">
        <f>HYPERLINK("http://www.informatics.jax.org/marker/MGI:2447063","MGI:2447063")</f>
        <v>MGI:2447063</v>
      </c>
      <c r="J8053" s="4" t="s">
        <v>12</v>
      </c>
    </row>
    <row r="8054" spans="1:10" x14ac:dyDescent="0.25">
      <c r="A8054" s="2">
        <v>74.964188158881697</v>
      </c>
      <c r="B8054" s="3">
        <v>-1.44652528821599</v>
      </c>
      <c r="C8054" s="5">
        <v>2.8907626868267798E-21</v>
      </c>
      <c r="D8054" s="6">
        <v>3.0241825031418601E-20</v>
      </c>
      <c r="E8054" s="3" t="s">
        <v>3788</v>
      </c>
      <c r="F8054" s="3" t="s">
        <v>3789</v>
      </c>
      <c r="G8054" s="3">
        <v>212503</v>
      </c>
      <c r="H8054" s="7" t="str">
        <f>HYPERLINK("http://www.ensembl.org/Mus_musculus/Gene/Summary?db=core;g=ENSMUSG00000025464","ENSMUSG00000025464")</f>
        <v>ENSMUSG00000025464</v>
      </c>
      <c r="I8054" s="7" t="str">
        <f>HYPERLINK("http://www.informatics.jax.org/marker/MGI:1916983","MGI:1916983")</f>
        <v>MGI:1916983</v>
      </c>
      <c r="J8054" s="4" t="s">
        <v>12</v>
      </c>
    </row>
    <row r="8055" spans="1:10" x14ac:dyDescent="0.25">
      <c r="A8055" s="2">
        <v>3.98122620952432</v>
      </c>
      <c r="B8055" s="3">
        <v>-1.4468990997414899</v>
      </c>
      <c r="C8055" s="3">
        <v>1.1036330183373899E-3</v>
      </c>
      <c r="D8055" s="4">
        <v>3.2347864330578699E-3</v>
      </c>
      <c r="E8055" s="3" t="s">
        <v>13465</v>
      </c>
      <c r="F8055" s="3" t="s">
        <v>13466</v>
      </c>
      <c r="G8055" s="3">
        <v>213980</v>
      </c>
      <c r="H8055" s="7" t="str">
        <f>HYPERLINK("http://www.ensembl.org/Mus_musculus/Gene/Summary?db=core;g=ENSMUSG00000090173","ENSMUSG00000090173")</f>
        <v>ENSMUSG00000090173</v>
      </c>
      <c r="I8055" s="7" t="str">
        <f>HYPERLINK("http://www.informatics.jax.org/marker/MGI:3052463","MGI:3052463")</f>
        <v>MGI:3052463</v>
      </c>
      <c r="J8055" s="4" t="s">
        <v>12</v>
      </c>
    </row>
    <row r="8056" spans="1:10" x14ac:dyDescent="0.25">
      <c r="A8056" s="2">
        <v>6.5842535169671503</v>
      </c>
      <c r="B8056" s="3">
        <v>-1.4497035655924599</v>
      </c>
      <c r="C8056" s="3">
        <v>1.58300613231104E-4</v>
      </c>
      <c r="D8056" s="4">
        <v>5.2019464971127802E-4</v>
      </c>
      <c r="E8056" s="3" t="s">
        <v>12013</v>
      </c>
      <c r="F8056" s="3" t="s">
        <v>12014</v>
      </c>
      <c r="G8056" s="3" t="s">
        <v>83</v>
      </c>
      <c r="H8056" s="7" t="str">
        <f>HYPERLINK("http://www.ensembl.org/Mus_musculus/Gene/Summary?db=core;g=ENSMUSG00000085213","ENSMUSG00000085213")</f>
        <v>ENSMUSG00000085213</v>
      </c>
      <c r="I8056" s="7" t="str">
        <f>HYPERLINK("http://www.informatics.jax.org/marker/MGI:3649653","MGI:3649653")</f>
        <v>MGI:3649653</v>
      </c>
      <c r="J8056" s="4" t="s">
        <v>932</v>
      </c>
    </row>
    <row r="8057" spans="1:10" x14ac:dyDescent="0.25">
      <c r="A8057" s="2">
        <v>340.75113661558697</v>
      </c>
      <c r="B8057" s="3">
        <v>-1.4515471993048199</v>
      </c>
      <c r="C8057" s="5">
        <v>2.5480396598421598E-46</v>
      </c>
      <c r="D8057" s="6">
        <v>6.2264364426378404E-45</v>
      </c>
      <c r="E8057" s="3" t="s">
        <v>1630</v>
      </c>
      <c r="F8057" s="3" t="s">
        <v>1631</v>
      </c>
      <c r="G8057" s="3">
        <v>214552</v>
      </c>
      <c r="H8057" s="7" t="str">
        <f>HYPERLINK("http://www.ensembl.org/Mus_musculus/Gene/Summary?db=core;g=ENSMUSG00000043987","ENSMUSG00000043987")</f>
        <v>ENSMUSG00000043987</v>
      </c>
      <c r="I8057" s="7" t="str">
        <f>HYPERLINK("http://www.informatics.jax.org/marker/MGI:2384878","MGI:2384878")</f>
        <v>MGI:2384878</v>
      </c>
      <c r="J8057" s="4" t="s">
        <v>12</v>
      </c>
    </row>
    <row r="8058" spans="1:10" x14ac:dyDescent="0.25">
      <c r="A8058" s="2">
        <v>4.0329657174050997</v>
      </c>
      <c r="B8058" s="3">
        <v>-1.4524265571878201</v>
      </c>
      <c r="C8058" s="3">
        <v>6.9927521156950201E-4</v>
      </c>
      <c r="D8058" s="4">
        <v>2.1056202736525502E-3</v>
      </c>
      <c r="E8058" s="3" t="s">
        <v>13107</v>
      </c>
      <c r="F8058" s="3" t="s">
        <v>13108</v>
      </c>
      <c r="G8058" s="3" t="s">
        <v>83</v>
      </c>
      <c r="H8058" s="7" t="str">
        <f>HYPERLINK("http://www.ensembl.org/Mus_musculus/Gene/Summary?db=core;g=ENSMUSG00000108624","ENSMUSG00000108624")</f>
        <v>ENSMUSG00000108624</v>
      </c>
      <c r="I8058" s="7" t="str">
        <f>HYPERLINK("http://www.informatics.jax.org/marker/MGI:5753667","MGI:5753667")</f>
        <v>MGI:5753667</v>
      </c>
      <c r="J8058" s="4" t="s">
        <v>932</v>
      </c>
    </row>
    <row r="8059" spans="1:10" x14ac:dyDescent="0.25">
      <c r="A8059" s="2">
        <v>810.63883882487505</v>
      </c>
      <c r="B8059" s="3">
        <v>-1.4524796827601001</v>
      </c>
      <c r="C8059" s="5">
        <v>2.1814660329227201E-76</v>
      </c>
      <c r="D8059" s="6">
        <v>1.1595285759901901E-74</v>
      </c>
      <c r="E8059" s="3" t="s">
        <v>754</v>
      </c>
      <c r="F8059" s="3" t="s">
        <v>755</v>
      </c>
      <c r="G8059" s="3">
        <v>330814</v>
      </c>
      <c r="H8059" s="7" t="str">
        <f>HYPERLINK("http://www.ensembl.org/Mus_musculus/Gene/Summary?db=core;g=ENSMUSG00000013033","ENSMUSG00000013033")</f>
        <v>ENSMUSG00000013033</v>
      </c>
      <c r="I8059" s="7" t="str">
        <f>HYPERLINK("http://www.informatics.jax.org/marker/MGI:1929461","MGI:1929461")</f>
        <v>MGI:1929461</v>
      </c>
      <c r="J8059" s="4" t="s">
        <v>12</v>
      </c>
    </row>
    <row r="8060" spans="1:10" x14ac:dyDescent="0.25">
      <c r="A8060" s="2">
        <v>17631.252769667899</v>
      </c>
      <c r="B8060" s="3">
        <v>-1.4536287783013799</v>
      </c>
      <c r="C8060" s="5">
        <v>2.04999664316044E-6</v>
      </c>
      <c r="D8060" s="6">
        <v>8.2384213986394901E-6</v>
      </c>
      <c r="E8060" s="3" t="s">
        <v>9829</v>
      </c>
      <c r="F8060" s="3" t="s">
        <v>9830</v>
      </c>
      <c r="G8060" s="3">
        <v>20250</v>
      </c>
      <c r="H8060" s="7" t="str">
        <f>HYPERLINK("http://www.ensembl.org/Mus_musculus/Gene/Summary?db=core;g=ENSMUSG00000025203","ENSMUSG00000025203")</f>
        <v>ENSMUSG00000025203</v>
      </c>
      <c r="I8060" s="7" t="str">
        <f>HYPERLINK("http://www.informatics.jax.org/marker/MGI:98240","MGI:98240")</f>
        <v>MGI:98240</v>
      </c>
      <c r="J8060" s="4" t="s">
        <v>12</v>
      </c>
    </row>
    <row r="8061" spans="1:10" x14ac:dyDescent="0.25">
      <c r="A8061" s="2">
        <v>3.1464799343255301</v>
      </c>
      <c r="B8061" s="3">
        <v>-1.45406258311922</v>
      </c>
      <c r="C8061" s="3">
        <v>1.29567707529754E-3</v>
      </c>
      <c r="D8061" s="4">
        <v>3.7607818552940001E-3</v>
      </c>
      <c r="E8061" s="3" t="s">
        <v>13597</v>
      </c>
      <c r="F8061" s="3" t="s">
        <v>13598</v>
      </c>
      <c r="G8061" s="3">
        <v>56229</v>
      </c>
      <c r="H8061" s="7" t="str">
        <f>HYPERLINK("http://www.ensembl.org/Mus_musculus/Gene/Summary?db=core;g=ENSMUSG00000031480","ENSMUSG00000031480")</f>
        <v>ENSMUSG00000031480</v>
      </c>
      <c r="I8061" s="7" t="str">
        <f>HYPERLINK("http://www.informatics.jax.org/marker/MGI:1929096","MGI:1929096")</f>
        <v>MGI:1929096</v>
      </c>
      <c r="J8061" s="4" t="s">
        <v>12</v>
      </c>
    </row>
    <row r="8062" spans="1:10" x14ac:dyDescent="0.25">
      <c r="A8062" s="2">
        <v>1.49614602520261</v>
      </c>
      <c r="B8062" s="3">
        <v>-1.4564145073489101</v>
      </c>
      <c r="C8062" s="3">
        <v>1.8734290969095999E-3</v>
      </c>
      <c r="D8062" s="4">
        <v>5.3088118682364403E-3</v>
      </c>
      <c r="E8062" s="3" t="s">
        <v>13925</v>
      </c>
      <c r="F8062" s="3" t="s">
        <v>13926</v>
      </c>
      <c r="G8062" s="3" t="s">
        <v>83</v>
      </c>
      <c r="H8062" s="7" t="str">
        <f>HYPERLINK("http://www.ensembl.org/Mus_musculus/Gene/Summary?db=core;g=ENSMUSG00000101641","ENSMUSG00000101641")</f>
        <v>ENSMUSG00000101641</v>
      </c>
      <c r="I8062" s="7" t="str">
        <f>HYPERLINK("http://www.informatics.jax.org/marker/MGI:5580266","MGI:5580266")</f>
        <v>MGI:5580266</v>
      </c>
      <c r="J8062" s="4" t="s">
        <v>1828</v>
      </c>
    </row>
    <row r="8063" spans="1:10" x14ac:dyDescent="0.25">
      <c r="A8063" s="2">
        <v>2.6155568044367401</v>
      </c>
      <c r="B8063" s="3">
        <v>-1.4565046610816901</v>
      </c>
      <c r="C8063" s="3">
        <v>1.95058342638839E-3</v>
      </c>
      <c r="D8063" s="4">
        <v>5.5218927890294299E-3</v>
      </c>
      <c r="E8063" s="3" t="s">
        <v>13939</v>
      </c>
      <c r="F8063" s="3" t="s">
        <v>13940</v>
      </c>
      <c r="G8063" s="3">
        <v>442827</v>
      </c>
      <c r="H8063" s="7" t="str">
        <f>HYPERLINK("http://www.ensembl.org/Mus_musculus/Gene/Summary?db=core;g=ENSMUSG00000064147","ENSMUSG00000064147")</f>
        <v>ENSMUSG00000064147</v>
      </c>
      <c r="I8063" s="7" t="str">
        <f>HYPERLINK("http://www.informatics.jax.org/marker/MGI:3045302","MGI:3045302")</f>
        <v>MGI:3045302</v>
      </c>
      <c r="J8063" s="4" t="s">
        <v>12</v>
      </c>
    </row>
    <row r="8064" spans="1:10" x14ac:dyDescent="0.25">
      <c r="A8064" s="2">
        <v>18.391702325063399</v>
      </c>
      <c r="B8064" s="3">
        <v>-1.45844282747763</v>
      </c>
      <c r="C8064" s="5">
        <v>7.9507471709653602E-7</v>
      </c>
      <c r="D8064" s="6">
        <v>3.3224991356523999E-6</v>
      </c>
      <c r="E8064" s="3" t="s">
        <v>9453</v>
      </c>
      <c r="F8064" s="3" t="s">
        <v>9454</v>
      </c>
      <c r="G8064" s="3">
        <v>109245</v>
      </c>
      <c r="H8064" s="7" t="str">
        <f>HYPERLINK("http://www.ensembl.org/Mus_musculus/Gene/Summary?db=core;g=ENSMUSG00000027961","ENSMUSG00000027961")</f>
        <v>ENSMUSG00000027961</v>
      </c>
      <c r="I8064" s="7" t="str">
        <f>HYPERLINK("http://www.informatics.jax.org/marker/MGI:1924557","MGI:1924557")</f>
        <v>MGI:1924557</v>
      </c>
      <c r="J8064" s="4" t="s">
        <v>12</v>
      </c>
    </row>
    <row r="8065" spans="1:10" x14ac:dyDescent="0.25">
      <c r="A8065" s="2">
        <v>887.94518252557998</v>
      </c>
      <c r="B8065" s="3">
        <v>-1.46004148281899</v>
      </c>
      <c r="C8065" s="5">
        <v>4.96895055091656E-23</v>
      </c>
      <c r="D8065" s="6">
        <v>5.6217845590404203E-22</v>
      </c>
      <c r="E8065" s="3" t="s">
        <v>3504</v>
      </c>
      <c r="F8065" s="3" t="s">
        <v>3505</v>
      </c>
      <c r="G8065" s="3">
        <v>81535</v>
      </c>
      <c r="H8065" s="7" t="str">
        <f>HYPERLINK("http://www.ensembl.org/Mus_musculus/Gene/Summary?db=core;g=ENSMUSG00000021054","ENSMUSG00000021054")</f>
        <v>ENSMUSG00000021054</v>
      </c>
      <c r="I8065" s="7" t="str">
        <f>HYPERLINK("http://www.informatics.jax.org/marker/MGI:2135760","MGI:2135760")</f>
        <v>MGI:2135760</v>
      </c>
      <c r="J8065" s="4" t="s">
        <v>12</v>
      </c>
    </row>
    <row r="8066" spans="1:10" x14ac:dyDescent="0.25">
      <c r="A8066" s="2">
        <v>1.6082976862207601</v>
      </c>
      <c r="B8066" s="3">
        <v>-1.46054790909854</v>
      </c>
      <c r="C8066" s="3">
        <v>1.8529285581337001E-3</v>
      </c>
      <c r="D8066" s="4">
        <v>5.2544939842387901E-3</v>
      </c>
      <c r="E8066" s="3" t="s">
        <v>13915</v>
      </c>
      <c r="F8066" s="3" t="s">
        <v>13916</v>
      </c>
      <c r="G8066" s="3" t="s">
        <v>83</v>
      </c>
      <c r="H8066" s="7" t="str">
        <f>HYPERLINK("http://www.ensembl.org/Mus_musculus/Gene/Summary?db=core;g=ENSMUSG00000113919","ENSMUSG00000113919")</f>
        <v>ENSMUSG00000113919</v>
      </c>
      <c r="I8066" s="7" t="str">
        <f>HYPERLINK("http://www.informatics.jax.org/marker/MGI:5593625","MGI:5593625")</f>
        <v>MGI:5593625</v>
      </c>
      <c r="J8066" s="4" t="s">
        <v>939</v>
      </c>
    </row>
    <row r="8067" spans="1:10" x14ac:dyDescent="0.25">
      <c r="A8067" s="2">
        <v>101.969587836896</v>
      </c>
      <c r="B8067" s="3">
        <v>-1.4608438360295199</v>
      </c>
      <c r="C8067" s="5">
        <v>2.2345058514839898E-22</v>
      </c>
      <c r="D8067" s="6">
        <v>2.4672147475512002E-21</v>
      </c>
      <c r="E8067" s="3" t="s">
        <v>3590</v>
      </c>
      <c r="F8067" s="3" t="s">
        <v>3591</v>
      </c>
      <c r="G8067" s="3">
        <v>11481</v>
      </c>
      <c r="H8067" s="7" t="str">
        <f>HYPERLINK("http://www.ensembl.org/Mus_musculus/Gene/Summary?db=core;g=ENSMUSG00000061393","ENSMUSG00000061393")</f>
        <v>ENSMUSG00000061393</v>
      </c>
      <c r="I8067" s="7" t="str">
        <f>HYPERLINK("http://www.informatics.jax.org/marker/MGI:87912","MGI:87912")</f>
        <v>MGI:87912</v>
      </c>
      <c r="J8067" s="4" t="s">
        <v>12</v>
      </c>
    </row>
    <row r="8068" spans="1:10" x14ac:dyDescent="0.25">
      <c r="A8068" s="2">
        <v>6.9843251039969099</v>
      </c>
      <c r="B8068" s="3">
        <v>-1.46090740990206</v>
      </c>
      <c r="C8068" s="3">
        <v>1.7916780430810399E-4</v>
      </c>
      <c r="D8068" s="4">
        <v>5.8448124085290596E-4</v>
      </c>
      <c r="E8068" s="3" t="s">
        <v>12101</v>
      </c>
      <c r="F8068" s="3" t="s">
        <v>12102</v>
      </c>
      <c r="G8068" s="3">
        <v>12745</v>
      </c>
      <c r="H8068" s="7" t="str">
        <f>HYPERLINK("http://www.ensembl.org/Mus_musculus/Gene/Summary?db=core;g=ENSMUSG00000002190","ENSMUSG00000002190")</f>
        <v>ENSMUSG00000002190</v>
      </c>
      <c r="I8068" s="7" t="str">
        <f>HYPERLINK("http://www.informatics.jax.org/marker/MGI:107472","MGI:107472")</f>
        <v>MGI:107472</v>
      </c>
      <c r="J8068" s="4" t="s">
        <v>12</v>
      </c>
    </row>
    <row r="8069" spans="1:10" x14ac:dyDescent="0.25">
      <c r="A8069" s="2">
        <v>15.915579862874299</v>
      </c>
      <c r="B8069" s="3">
        <v>-1.46252934833439</v>
      </c>
      <c r="C8069" s="5">
        <v>3.8372752584540699E-7</v>
      </c>
      <c r="D8069" s="6">
        <v>1.6554598139731899E-6</v>
      </c>
      <c r="E8069" s="3" t="s">
        <v>9157</v>
      </c>
      <c r="F8069" s="3" t="s">
        <v>9158</v>
      </c>
      <c r="G8069" s="3" t="s">
        <v>83</v>
      </c>
      <c r="H8069" s="7" t="str">
        <f>HYPERLINK("http://www.ensembl.org/Mus_musculus/Gene/Summary?db=core;g=ENSMUSG00000086496","ENSMUSG00000086496")</f>
        <v>ENSMUSG00000086496</v>
      </c>
      <c r="I8069" s="7" t="str">
        <f>HYPERLINK("http://www.informatics.jax.org/marker/MGI:3651576","MGI:3651576")</f>
        <v>MGI:3651576</v>
      </c>
      <c r="J8069" s="4" t="s">
        <v>331</v>
      </c>
    </row>
    <row r="8070" spans="1:10" x14ac:dyDescent="0.25">
      <c r="A8070" s="2">
        <v>3.2876782895477898</v>
      </c>
      <c r="B8070" s="3">
        <v>-1.4636733230615899</v>
      </c>
      <c r="C8070" s="3">
        <v>1.0509102679097399E-3</v>
      </c>
      <c r="D8070" s="4">
        <v>3.0880569934704201E-3</v>
      </c>
      <c r="E8070" s="3" t="s">
        <v>13431</v>
      </c>
      <c r="F8070" s="3" t="s">
        <v>13432</v>
      </c>
      <c r="G8070" s="3">
        <v>210027</v>
      </c>
      <c r="H8070" s="7" t="str">
        <f>HYPERLINK("http://www.ensembl.org/Mus_musculus/Gene/Summary?db=core;g=ENSMUSG00000057060","ENSMUSG00000057060")</f>
        <v>ENSMUSG00000057060</v>
      </c>
      <c r="I8070" s="7" t="str">
        <f>HYPERLINK("http://www.informatics.jax.org/marker/MGI:2444426","MGI:2444426")</f>
        <v>MGI:2444426</v>
      </c>
      <c r="J8070" s="4" t="s">
        <v>12</v>
      </c>
    </row>
    <row r="8071" spans="1:10" x14ac:dyDescent="0.25">
      <c r="A8071" s="2">
        <v>64.325590843822098</v>
      </c>
      <c r="B8071" s="3">
        <v>-1.4642989938383</v>
      </c>
      <c r="C8071" s="5">
        <v>1.8891485270918301E-18</v>
      </c>
      <c r="D8071" s="6">
        <v>1.74573612719076E-17</v>
      </c>
      <c r="E8071" s="3" t="s">
        <v>4285</v>
      </c>
      <c r="F8071" s="3" t="s">
        <v>4286</v>
      </c>
      <c r="G8071" s="3">
        <v>74201</v>
      </c>
      <c r="H8071" s="7" t="str">
        <f>HYPERLINK("http://www.ensembl.org/Mus_musculus/Gene/Summary?db=core;g=ENSMUSG00000022604","ENSMUSG00000022604")</f>
        <v>ENSMUSG00000022604</v>
      </c>
      <c r="I8071" s="7" t="str">
        <f>HYPERLINK("http://www.informatics.jax.org/marker/MGI:1921451","MGI:1921451")</f>
        <v>MGI:1921451</v>
      </c>
      <c r="J8071" s="4" t="s">
        <v>12</v>
      </c>
    </row>
    <row r="8072" spans="1:10" x14ac:dyDescent="0.25">
      <c r="A8072" s="2">
        <v>46.030665302116397</v>
      </c>
      <c r="B8072" s="3">
        <v>-1.4671327205853699</v>
      </c>
      <c r="C8072" s="5">
        <v>1.46295721919682E-11</v>
      </c>
      <c r="D8072" s="6">
        <v>9.04090139848365E-11</v>
      </c>
      <c r="E8072" s="3" t="s">
        <v>6399</v>
      </c>
      <c r="F8072" s="3" t="s">
        <v>6400</v>
      </c>
      <c r="G8072" s="3" t="s">
        <v>83</v>
      </c>
      <c r="H8072" s="7" t="str">
        <f>HYPERLINK("http://www.ensembl.org/Mus_musculus/Gene/Summary?db=core;g=ENSMUSG00000072893","ENSMUSG00000072893")</f>
        <v>ENSMUSG00000072893</v>
      </c>
      <c r="I8072" s="7" t="str">
        <f>HYPERLINK("http://www.informatics.jax.org/marker/MGI:1921726","MGI:1921726")</f>
        <v>MGI:1921726</v>
      </c>
      <c r="J8072" s="4" t="s">
        <v>331</v>
      </c>
    </row>
    <row r="8073" spans="1:10" x14ac:dyDescent="0.25">
      <c r="A8073" s="2">
        <v>30.757081391069601</v>
      </c>
      <c r="B8073" s="3">
        <v>-1.4684330185735199</v>
      </c>
      <c r="C8073" s="5">
        <v>1.87597225265326E-9</v>
      </c>
      <c r="D8073" s="6">
        <v>9.8519767835745194E-9</v>
      </c>
      <c r="E8073" s="3" t="s">
        <v>7528</v>
      </c>
      <c r="F8073" s="3" t="s">
        <v>7529</v>
      </c>
      <c r="G8073" s="3">
        <v>54366</v>
      </c>
      <c r="H8073" s="7" t="str">
        <f>HYPERLINK("http://www.ensembl.org/Mus_musculus/Gene/Summary?db=core;g=ENSMUSG00000038816","ENSMUSG00000038816")</f>
        <v>ENSMUSG00000038816</v>
      </c>
      <c r="I8073" s="7" t="str">
        <f>HYPERLINK("http://www.informatics.jax.org/marker/MGI:1859649","MGI:1859649")</f>
        <v>MGI:1859649</v>
      </c>
      <c r="J8073" s="4" t="s">
        <v>12</v>
      </c>
    </row>
    <row r="8074" spans="1:10" x14ac:dyDescent="0.25">
      <c r="A8074" s="2">
        <v>1703.66812505395</v>
      </c>
      <c r="B8074" s="3">
        <v>-1.47038270619434</v>
      </c>
      <c r="C8074" s="5">
        <v>4.5988912712123601E-42</v>
      </c>
      <c r="D8074" s="6">
        <v>9.9114902588314493E-41</v>
      </c>
      <c r="E8074" s="3" t="s">
        <v>1847</v>
      </c>
      <c r="F8074" s="3" t="s">
        <v>1848</v>
      </c>
      <c r="G8074" s="3">
        <v>20135</v>
      </c>
      <c r="H8074" s="7" t="str">
        <f>HYPERLINK("http://www.ensembl.org/Mus_musculus/Gene/Summary?db=core;g=ENSMUSG00000020649","ENSMUSG00000020649")</f>
        <v>ENSMUSG00000020649</v>
      </c>
      <c r="I8074" s="7" t="str">
        <f>HYPERLINK("http://www.informatics.jax.org/marker/MGI:98181","MGI:98181")</f>
        <v>MGI:98181</v>
      </c>
      <c r="J8074" s="4" t="s">
        <v>12</v>
      </c>
    </row>
    <row r="8075" spans="1:10" x14ac:dyDescent="0.25">
      <c r="A8075" s="2">
        <v>12.998281024173499</v>
      </c>
      <c r="B8075" s="3">
        <v>-1.47056267643665</v>
      </c>
      <c r="C8075" s="5">
        <v>7.8021187714578897E-6</v>
      </c>
      <c r="D8075" s="6">
        <v>2.9599419425384702E-5</v>
      </c>
      <c r="E8075" s="3" t="s">
        <v>10410</v>
      </c>
      <c r="F8075" s="3" t="s">
        <v>10411</v>
      </c>
      <c r="G8075" s="3" t="s">
        <v>83</v>
      </c>
      <c r="H8075" s="7" t="str">
        <f>HYPERLINK("http://www.ensembl.org/Mus_musculus/Gene/Summary?db=core;g=ENSMUSG00000059659","ENSMUSG00000059659")</f>
        <v>ENSMUSG00000059659</v>
      </c>
      <c r="I8075" s="7" t="str">
        <f>HYPERLINK("http://www.informatics.jax.org/marker/MGI:3641875","MGI:3641875")</f>
        <v>MGI:3641875</v>
      </c>
      <c r="J8075" s="4" t="s">
        <v>932</v>
      </c>
    </row>
    <row r="8076" spans="1:10" x14ac:dyDescent="0.25">
      <c r="A8076" s="2">
        <v>1204.5475557193599</v>
      </c>
      <c r="B8076" s="3">
        <v>-1.4723078236061899</v>
      </c>
      <c r="C8076" s="5">
        <v>5.5997946971111195E-104</v>
      </c>
      <c r="D8076" s="6">
        <v>4.8221812850232002E-102</v>
      </c>
      <c r="E8076" s="3" t="s">
        <v>470</v>
      </c>
      <c r="F8076" s="3" t="s">
        <v>471</v>
      </c>
      <c r="G8076" s="3">
        <v>17859</v>
      </c>
      <c r="H8076" s="7" t="str">
        <f>HYPERLINK("http://www.ensembl.org/Mus_musculus/Gene/Summary?db=core;g=ENSMUSG00000025025","ENSMUSG00000025025")</f>
        <v>ENSMUSG00000025025</v>
      </c>
      <c r="I8076" s="7" t="str">
        <f>HYPERLINK("http://www.informatics.jax.org/marker/MGI:97245","MGI:97245")</f>
        <v>MGI:97245</v>
      </c>
      <c r="J8076" s="4" t="s">
        <v>12</v>
      </c>
    </row>
    <row r="8077" spans="1:10" x14ac:dyDescent="0.25">
      <c r="A8077" s="2">
        <v>12.782391469559199</v>
      </c>
      <c r="B8077" s="3">
        <v>-1.47348726461049</v>
      </c>
      <c r="C8077" s="5">
        <v>1.79624933739224E-6</v>
      </c>
      <c r="D8077" s="6">
        <v>7.2452519806453296E-6</v>
      </c>
      <c r="E8077" s="3" t="s">
        <v>9793</v>
      </c>
      <c r="F8077" s="3" t="s">
        <v>9794</v>
      </c>
      <c r="G8077" s="3" t="s">
        <v>83</v>
      </c>
      <c r="H8077" s="7" t="str">
        <f>HYPERLINK("http://www.ensembl.org/Mus_musculus/Gene/Summary?db=core;g=ENSMUSG00000073492","ENSMUSG00000073492")</f>
        <v>ENSMUSG00000073492</v>
      </c>
      <c r="I8077" s="7" t="str">
        <f>HYPERLINK("http://www.informatics.jax.org/marker/MGI:3642358","MGI:3642358")</f>
        <v>MGI:3642358</v>
      </c>
      <c r="J8077" s="4" t="s">
        <v>12</v>
      </c>
    </row>
    <row r="8078" spans="1:10" x14ac:dyDescent="0.25">
      <c r="A8078" s="2">
        <v>46.546911218383798</v>
      </c>
      <c r="B8078" s="3">
        <v>-1.4738437446483501</v>
      </c>
      <c r="C8078" s="5">
        <v>4.0791018441389899E-14</v>
      </c>
      <c r="D8078" s="6">
        <v>2.97045378014848E-13</v>
      </c>
      <c r="E8078" s="3" t="s">
        <v>5433</v>
      </c>
      <c r="F8078" s="3" t="s">
        <v>5434</v>
      </c>
      <c r="G8078" s="3" t="s">
        <v>83</v>
      </c>
      <c r="H8078" s="7" t="str">
        <f>HYPERLINK("http://www.ensembl.org/Mus_musculus/Gene/Summary?db=core;g=ENSMUSG00000087060","ENSMUSG00000087060")</f>
        <v>ENSMUSG00000087060</v>
      </c>
      <c r="I8078" s="7" t="str">
        <f>HYPERLINK("http://www.informatics.jax.org/marker/MGI:1919985","MGI:1919985")</f>
        <v>MGI:1919985</v>
      </c>
      <c r="J8078" s="4" t="s">
        <v>331</v>
      </c>
    </row>
    <row r="8079" spans="1:10" x14ac:dyDescent="0.25">
      <c r="A8079" s="2">
        <v>168.959000160996</v>
      </c>
      <c r="B8079" s="3">
        <v>-1.47451379803314</v>
      </c>
      <c r="C8079" s="5">
        <v>8.7763909141752798E-35</v>
      </c>
      <c r="D8079" s="6">
        <v>1.5128533988421001E-33</v>
      </c>
      <c r="E8079" s="3" t="s">
        <v>2305</v>
      </c>
      <c r="F8079" s="3" t="s">
        <v>2306</v>
      </c>
      <c r="G8079" s="3" t="s">
        <v>83</v>
      </c>
      <c r="H8079" s="7" t="str">
        <f>HYPERLINK("http://www.ensembl.org/Mus_musculus/Gene/Summary?db=core;g=ENSMUSG00000109715","ENSMUSG00000109715")</f>
        <v>ENSMUSG00000109715</v>
      </c>
      <c r="I8079" s="7" t="str">
        <f>HYPERLINK("http://www.informatics.jax.org/marker/MGI:5791442","MGI:5791442")</f>
        <v>MGI:5791442</v>
      </c>
      <c r="J8079" s="4" t="s">
        <v>932</v>
      </c>
    </row>
    <row r="8080" spans="1:10" x14ac:dyDescent="0.25">
      <c r="A8080" s="2">
        <v>10.037137679872799</v>
      </c>
      <c r="B8080" s="3">
        <v>-1.4753818942127299</v>
      </c>
      <c r="C8080" s="5">
        <v>1.02760821074378E-5</v>
      </c>
      <c r="D8080" s="6">
        <v>3.8415988466099402E-5</v>
      </c>
      <c r="E8080" s="3" t="s">
        <v>10563</v>
      </c>
      <c r="F8080" s="3" t="s">
        <v>10564</v>
      </c>
      <c r="G8080" s="3" t="s">
        <v>83</v>
      </c>
      <c r="H8080" s="7" t="str">
        <f>HYPERLINK("http://www.ensembl.org/Mus_musculus/Gene/Summary?db=core;g=ENSMUSG00000107278","ENSMUSG00000107278")</f>
        <v>ENSMUSG00000107278</v>
      </c>
      <c r="I8080" s="7" t="str">
        <f>HYPERLINK("http://www.informatics.jax.org/marker/MGI:5662737","MGI:5662737")</f>
        <v>MGI:5662737</v>
      </c>
      <c r="J8080" s="4" t="s">
        <v>1828</v>
      </c>
    </row>
    <row r="8081" spans="1:10" x14ac:dyDescent="0.25">
      <c r="A8081" s="2">
        <v>294.301253056831</v>
      </c>
      <c r="B8081" s="3">
        <v>-1.47741146123642</v>
      </c>
      <c r="C8081" s="5">
        <v>3.2239885261955402E-50</v>
      </c>
      <c r="D8081" s="6">
        <v>8.7211321998046598E-49</v>
      </c>
      <c r="E8081" s="3" t="s">
        <v>1474</v>
      </c>
      <c r="F8081" s="3" t="s">
        <v>1475</v>
      </c>
      <c r="G8081" s="3">
        <v>74239</v>
      </c>
      <c r="H8081" s="7" t="str">
        <f>HYPERLINK("http://www.ensembl.org/Mus_musculus/Gene/Summary?db=core;g=ENSMUSG00000036555","ENSMUSG00000036555")</f>
        <v>ENSMUSG00000036555</v>
      </c>
      <c r="I8081" s="7" t="str">
        <f>HYPERLINK("http://www.informatics.jax.org/marker/MGI:1921489","MGI:1921489")</f>
        <v>MGI:1921489</v>
      </c>
      <c r="J8081" s="4" t="s">
        <v>12</v>
      </c>
    </row>
    <row r="8082" spans="1:10" x14ac:dyDescent="0.25">
      <c r="A8082" s="2">
        <v>19.220867322946798</v>
      </c>
      <c r="B8082" s="3">
        <v>-1.47812221467435</v>
      </c>
      <c r="C8082" s="5">
        <v>1.1326975640716E-8</v>
      </c>
      <c r="D8082" s="6">
        <v>5.5939884706967003E-8</v>
      </c>
      <c r="E8082" s="3" t="s">
        <v>8003</v>
      </c>
      <c r="F8082" s="3" t="s">
        <v>8004</v>
      </c>
      <c r="G8082" s="3">
        <v>70789</v>
      </c>
      <c r="H8082" s="7" t="str">
        <f>HYPERLINK("http://www.ensembl.org/Mus_musculus/Gene/Summary?db=core;g=ENSMUSG00000026866","ENSMUSG00000026866")</f>
        <v>ENSMUSG00000026866</v>
      </c>
      <c r="I8082" s="7" t="str">
        <f>HYPERLINK("http://www.informatics.jax.org/marker/MGI:1918039","MGI:1918039")</f>
        <v>MGI:1918039</v>
      </c>
      <c r="J8082" s="4" t="s">
        <v>12</v>
      </c>
    </row>
    <row r="8083" spans="1:10" x14ac:dyDescent="0.25">
      <c r="A8083" s="2">
        <v>1098.07565128693</v>
      </c>
      <c r="B8083" s="3">
        <v>-1.47846699870757</v>
      </c>
      <c r="C8083" s="5">
        <v>1.6330732559839001E-62</v>
      </c>
      <c r="D8083" s="6">
        <v>6.3021926825836505E-61</v>
      </c>
      <c r="E8083" s="3" t="s">
        <v>1037</v>
      </c>
      <c r="F8083" s="3" t="s">
        <v>1038</v>
      </c>
      <c r="G8083" s="3">
        <v>15184</v>
      </c>
      <c r="H8083" s="7" t="str">
        <f>HYPERLINK("http://www.ensembl.org/Mus_musculus/Gene/Summary?db=core;g=ENSMUSG00000008855","ENSMUSG00000008855")</f>
        <v>ENSMUSG00000008855</v>
      </c>
      <c r="I8083" s="7" t="str">
        <f>HYPERLINK("http://www.informatics.jax.org/marker/MGI:1333784","MGI:1333784")</f>
        <v>MGI:1333784</v>
      </c>
      <c r="J8083" s="4" t="s">
        <v>12</v>
      </c>
    </row>
    <row r="8084" spans="1:10" x14ac:dyDescent="0.25">
      <c r="A8084" s="2">
        <v>29.644561288923001</v>
      </c>
      <c r="B8084" s="3">
        <v>-1.4789514747083701</v>
      </c>
      <c r="C8084" s="5">
        <v>7.3965499593447498E-10</v>
      </c>
      <c r="D8084" s="6">
        <v>4.0049413838077597E-9</v>
      </c>
      <c r="E8084" s="3" t="s">
        <v>7302</v>
      </c>
      <c r="F8084" s="3" t="s">
        <v>7303</v>
      </c>
      <c r="G8084" s="3">
        <v>22410</v>
      </c>
      <c r="H8084" s="7" t="str">
        <f>HYPERLINK("http://www.ensembl.org/Mus_musculus/Gene/Summary?db=core;g=ENSMUSG00000022996","ENSMUSG00000022996")</f>
        <v>ENSMUSG00000022996</v>
      </c>
      <c r="I8084" s="7" t="str">
        <f>HYPERLINK("http://www.informatics.jax.org/marker/MGI:108061","MGI:108061")</f>
        <v>MGI:108061</v>
      </c>
      <c r="J8084" s="4" t="s">
        <v>12</v>
      </c>
    </row>
    <row r="8085" spans="1:10" x14ac:dyDescent="0.25">
      <c r="A8085" s="2">
        <v>7.9121081070142703</v>
      </c>
      <c r="B8085" s="3">
        <v>-1.4808828037159001</v>
      </c>
      <c r="C8085" s="5">
        <v>6.5509309278015998E-5</v>
      </c>
      <c r="D8085" s="4">
        <v>2.2537396702066901E-4</v>
      </c>
      <c r="E8085" s="3" t="s">
        <v>11475</v>
      </c>
      <c r="F8085" s="3" t="s">
        <v>11476</v>
      </c>
      <c r="G8085" s="3" t="s">
        <v>83</v>
      </c>
      <c r="H8085" s="7" t="str">
        <f>HYPERLINK("http://www.ensembl.org/Mus_musculus/Gene/Summary?db=core;g=ENSMUSG00000092569","ENSMUSG00000092569")</f>
        <v>ENSMUSG00000092569</v>
      </c>
      <c r="I8085" s="7" t="str">
        <f>HYPERLINK("http://www.informatics.jax.org/marker/MGI:5142009","MGI:5142009")</f>
        <v>MGI:5142009</v>
      </c>
      <c r="J8085" s="4" t="s">
        <v>331</v>
      </c>
    </row>
    <row r="8086" spans="1:10" x14ac:dyDescent="0.25">
      <c r="A8086" s="2">
        <v>8.4581198043759205</v>
      </c>
      <c r="B8086" s="3">
        <v>-1.4809770485185001</v>
      </c>
      <c r="C8086" s="5">
        <v>4.7541363308014503E-5</v>
      </c>
      <c r="D8086" s="4">
        <v>1.65931979545849E-4</v>
      </c>
      <c r="E8086" s="3" t="s">
        <v>11311</v>
      </c>
      <c r="F8086" s="3" t="s">
        <v>11312</v>
      </c>
      <c r="G8086" s="3" t="s">
        <v>83</v>
      </c>
      <c r="H8086" s="7" t="str">
        <f>HYPERLINK("http://www.ensembl.org/Mus_musculus/Gene/Summary?db=core;g=ENSMUSG00000109366","ENSMUSG00000109366")</f>
        <v>ENSMUSG00000109366</v>
      </c>
      <c r="I8086" s="7" t="str">
        <f>HYPERLINK("http://www.informatics.jax.org/marker/MGI:5753274","MGI:5753274")</f>
        <v>MGI:5753274</v>
      </c>
      <c r="J8086" s="4" t="s">
        <v>939</v>
      </c>
    </row>
    <row r="8087" spans="1:10" x14ac:dyDescent="0.25">
      <c r="A8087" s="2">
        <v>61.003658515270999</v>
      </c>
      <c r="B8087" s="3">
        <v>-1.48201756160305</v>
      </c>
      <c r="C8087" s="5">
        <v>6.0226273005695801E-19</v>
      </c>
      <c r="D8087" s="6">
        <v>5.71540954606507E-18</v>
      </c>
      <c r="E8087" s="3" t="s">
        <v>4173</v>
      </c>
      <c r="F8087" s="3" t="s">
        <v>4174</v>
      </c>
      <c r="G8087" s="3">
        <v>68067</v>
      </c>
      <c r="H8087" s="7" t="str">
        <f>HYPERLINK("http://www.ensembl.org/Mus_musculus/Gene/Summary?db=core;g=ENSMUSG00000020381","ENSMUSG00000020381")</f>
        <v>ENSMUSG00000020381</v>
      </c>
      <c r="I8087" s="7" t="str">
        <f>HYPERLINK("http://www.informatics.jax.org/marker/MGI:1915317","MGI:1915317")</f>
        <v>MGI:1915317</v>
      </c>
      <c r="J8087" s="4" t="s">
        <v>12</v>
      </c>
    </row>
    <row r="8088" spans="1:10" x14ac:dyDescent="0.25">
      <c r="A8088" s="2">
        <v>217.60360647533099</v>
      </c>
      <c r="B8088" s="3">
        <v>-1.4826583491843299</v>
      </c>
      <c r="C8088" s="5">
        <v>4.5649489244651597E-42</v>
      </c>
      <c r="D8088" s="6">
        <v>9.8491020558482407E-41</v>
      </c>
      <c r="E8088" s="3" t="s">
        <v>1845</v>
      </c>
      <c r="F8088" s="3" t="s">
        <v>1846</v>
      </c>
      <c r="G8088" s="3">
        <v>12520</v>
      </c>
      <c r="H8088" s="7" t="str">
        <f>HYPERLINK("http://www.ensembl.org/Mus_musculus/Gene/Summary?db=core;g=ENSMUSG00000037706","ENSMUSG00000037706")</f>
        <v>ENSMUSG00000037706</v>
      </c>
      <c r="I8088" s="7" t="str">
        <f>HYPERLINK("http://www.informatics.jax.org/marker/MGI:1096398","MGI:1096398")</f>
        <v>MGI:1096398</v>
      </c>
      <c r="J8088" s="4" t="s">
        <v>12</v>
      </c>
    </row>
    <row r="8089" spans="1:10" x14ac:dyDescent="0.25">
      <c r="A8089" s="2">
        <v>4.8995602499775197</v>
      </c>
      <c r="B8089" s="3">
        <v>-1.48368764015875</v>
      </c>
      <c r="C8089" s="3">
        <v>4.9522653157364597E-4</v>
      </c>
      <c r="D8089" s="4">
        <v>1.5261552121631999E-3</v>
      </c>
      <c r="E8089" s="3" t="s">
        <v>12807</v>
      </c>
      <c r="F8089" s="3" t="s">
        <v>12808</v>
      </c>
      <c r="G8089" s="3" t="s">
        <v>83</v>
      </c>
      <c r="H8089" s="7" t="str">
        <f>HYPERLINK("http://www.ensembl.org/Mus_musculus/Gene/Summary?db=core;g=ENSMUSG00000105607","ENSMUSG00000105607")</f>
        <v>ENSMUSG00000105607</v>
      </c>
      <c r="I8089" s="7" t="str">
        <f>HYPERLINK("http://www.informatics.jax.org/marker/MGI:5663650","MGI:5663650")</f>
        <v>MGI:5663650</v>
      </c>
      <c r="J8089" s="4" t="s">
        <v>1828</v>
      </c>
    </row>
    <row r="8090" spans="1:10" x14ac:dyDescent="0.25">
      <c r="A8090" s="2">
        <v>79.211829116205095</v>
      </c>
      <c r="B8090" s="3">
        <v>-1.4856961148112</v>
      </c>
      <c r="C8090" s="5">
        <v>1.4299162593356399E-16</v>
      </c>
      <c r="D8090" s="6">
        <v>1.18978686219826E-15</v>
      </c>
      <c r="E8090" s="3" t="s">
        <v>4757</v>
      </c>
      <c r="F8090" s="3" t="s">
        <v>4758</v>
      </c>
      <c r="G8090" s="3">
        <v>214239</v>
      </c>
      <c r="H8090" s="7" t="str">
        <f>HYPERLINK("http://www.ensembl.org/Mus_musculus/Gene/Summary?db=core;g=ENSMUSG00000045838","ENSMUSG00000045838")</f>
        <v>ENSMUSG00000045838</v>
      </c>
      <c r="I8090" s="7" t="str">
        <f>HYPERLINK("http://www.informatics.jax.org/marker/MGI:2685199","MGI:2685199")</f>
        <v>MGI:2685199</v>
      </c>
      <c r="J8090" s="4" t="s">
        <v>12</v>
      </c>
    </row>
    <row r="8091" spans="1:10" x14ac:dyDescent="0.25">
      <c r="A8091" s="2">
        <v>248.91977889457701</v>
      </c>
      <c r="B8091" s="3">
        <v>-1.4865541996327201</v>
      </c>
      <c r="C8091" s="5">
        <v>3.09348039574559E-30</v>
      </c>
      <c r="D8091" s="6">
        <v>4.5936320334414902E-29</v>
      </c>
      <c r="E8091" s="3" t="s">
        <v>2673</v>
      </c>
      <c r="F8091" s="3" t="s">
        <v>2674</v>
      </c>
      <c r="G8091" s="3">
        <v>24014</v>
      </c>
      <c r="H8091" s="7" t="str">
        <f>HYPERLINK("http://www.ensembl.org/Mus_musculus/Gene/Summary?db=core;g=ENSMUSG00000066800","ENSMUSG00000066800")</f>
        <v>ENSMUSG00000066800</v>
      </c>
      <c r="I8091" s="7" t="str">
        <f>HYPERLINK("http://www.informatics.jax.org/marker/MGI:1098272","MGI:1098272")</f>
        <v>MGI:1098272</v>
      </c>
      <c r="J8091" s="4" t="s">
        <v>12</v>
      </c>
    </row>
    <row r="8092" spans="1:10" x14ac:dyDescent="0.25">
      <c r="A8092" s="2">
        <v>159.50945699110599</v>
      </c>
      <c r="B8092" s="3">
        <v>-1.48767850112803</v>
      </c>
      <c r="C8092" s="5">
        <v>1.63523544015058E-39</v>
      </c>
      <c r="D8092" s="6">
        <v>3.2771181788383597E-38</v>
      </c>
      <c r="E8092" s="3" t="s">
        <v>1985</v>
      </c>
      <c r="F8092" s="3" t="s">
        <v>1986</v>
      </c>
      <c r="G8092" s="3">
        <v>74335</v>
      </c>
      <c r="H8092" s="7" t="str">
        <f>HYPERLINK("http://www.ensembl.org/Mus_musculus/Gene/Summary?db=core;g=ENSMUSG00000021287","ENSMUSG00000021287")</f>
        <v>ENSMUSG00000021287</v>
      </c>
      <c r="I8092" s="7" t="str">
        <f>HYPERLINK("http://www.informatics.jax.org/marker/MGI:1921585","MGI:1921585")</f>
        <v>MGI:1921585</v>
      </c>
      <c r="J8092" s="4" t="s">
        <v>12</v>
      </c>
    </row>
    <row r="8093" spans="1:10" x14ac:dyDescent="0.25">
      <c r="A8093" s="2">
        <v>7.1371351379817103</v>
      </c>
      <c r="B8093" s="3">
        <v>-1.48966552192183</v>
      </c>
      <c r="C8093" s="5">
        <v>9.3856466791308505E-5</v>
      </c>
      <c r="D8093" s="4">
        <v>3.1757884782508699E-4</v>
      </c>
      <c r="E8093" s="3" t="s">
        <v>11667</v>
      </c>
      <c r="F8093" s="3" t="s">
        <v>11668</v>
      </c>
      <c r="G8093" s="3" t="s">
        <v>83</v>
      </c>
      <c r="H8093" s="7" t="str">
        <f>HYPERLINK("http://www.ensembl.org/Mus_musculus/Gene/Summary?db=core;g=ENSMUSG00000087142","ENSMUSG00000087142")</f>
        <v>ENSMUSG00000087142</v>
      </c>
      <c r="I8093" s="7" t="str">
        <f>HYPERLINK("http://www.informatics.jax.org/marker/MGI:3649695","MGI:3649695")</f>
        <v>MGI:3649695</v>
      </c>
      <c r="J8093" s="4" t="s">
        <v>932</v>
      </c>
    </row>
    <row r="8094" spans="1:10" x14ac:dyDescent="0.25">
      <c r="A8094" s="2">
        <v>502.98129112050299</v>
      </c>
      <c r="B8094" s="3">
        <v>-1.49029432351601</v>
      </c>
      <c r="C8094" s="5">
        <v>7.8898795859449598E-81</v>
      </c>
      <c r="D8094" s="6">
        <v>4.6306078998462701E-79</v>
      </c>
      <c r="E8094" s="3" t="s">
        <v>684</v>
      </c>
      <c r="F8094" s="3" t="s">
        <v>685</v>
      </c>
      <c r="G8094" s="3">
        <v>218215</v>
      </c>
      <c r="H8094" s="7" t="str">
        <f>HYPERLINK("http://www.ensembl.org/Mus_musculus/Gene/Summary?db=core;g=ENSMUSG00000038068","ENSMUSG00000038068")</f>
        <v>ENSMUSG00000038068</v>
      </c>
      <c r="I8094" s="7" t="str">
        <f>HYPERLINK("http://www.informatics.jax.org/marker/MGI:2384986","MGI:2384986")</f>
        <v>MGI:2384986</v>
      </c>
      <c r="J8094" s="4" t="s">
        <v>12</v>
      </c>
    </row>
    <row r="8095" spans="1:10" x14ac:dyDescent="0.25">
      <c r="A8095" s="2">
        <v>380.13350472446399</v>
      </c>
      <c r="B8095" s="3">
        <v>-1.4911467483858001</v>
      </c>
      <c r="C8095" s="5">
        <v>4.79904521389781E-61</v>
      </c>
      <c r="D8095" s="6">
        <v>1.7889824502469699E-59</v>
      </c>
      <c r="E8095" s="3" t="s">
        <v>1074</v>
      </c>
      <c r="F8095" s="3" t="s">
        <v>1075</v>
      </c>
      <c r="G8095" s="3">
        <v>72749</v>
      </c>
      <c r="H8095" s="7" t="str">
        <f>HYPERLINK("http://www.ensembl.org/Mus_musculus/Gene/Summary?db=core;g=ENSMUSG00000059323","ENSMUSG00000059323")</f>
        <v>ENSMUSG00000059323</v>
      </c>
      <c r="I8095" s="7" t="str">
        <f>HYPERLINK("http://www.informatics.jax.org/marker/MGI:1919999","MGI:1919999")</f>
        <v>MGI:1919999</v>
      </c>
      <c r="J8095" s="4" t="s">
        <v>12</v>
      </c>
    </row>
    <row r="8096" spans="1:10" x14ac:dyDescent="0.25">
      <c r="A8096" s="2">
        <v>571.50243127496299</v>
      </c>
      <c r="B8096" s="3">
        <v>-1.4929155366632401</v>
      </c>
      <c r="C8096" s="5">
        <v>8.7187628204360598E-29</v>
      </c>
      <c r="D8096" s="6">
        <v>1.23427137702081E-27</v>
      </c>
      <c r="E8096" s="3" t="s">
        <v>2804</v>
      </c>
      <c r="F8096" s="3" t="s">
        <v>2805</v>
      </c>
      <c r="G8096" s="3">
        <v>327762</v>
      </c>
      <c r="H8096" s="7" t="str">
        <f>HYPERLINK("http://www.ensembl.org/Mus_musculus/Gene/Summary?db=core;g=ENSMUSG00000036875","ENSMUSG00000036875")</f>
        <v>ENSMUSG00000036875</v>
      </c>
      <c r="I8096" s="7" t="str">
        <f>HYPERLINK("http://www.informatics.jax.org/marker/MGI:2443732","MGI:2443732")</f>
        <v>MGI:2443732</v>
      </c>
      <c r="J8096" s="4" t="s">
        <v>12</v>
      </c>
    </row>
    <row r="8097" spans="1:10" x14ac:dyDescent="0.25">
      <c r="A8097" s="2">
        <v>11.7901978975985</v>
      </c>
      <c r="B8097" s="3">
        <v>-1.49402557606706</v>
      </c>
      <c r="C8097" s="5">
        <v>3.7313403121821799E-7</v>
      </c>
      <c r="D8097" s="6">
        <v>1.61152060788946E-6</v>
      </c>
      <c r="E8097" s="3" t="s">
        <v>9147</v>
      </c>
      <c r="F8097" s="3" t="s">
        <v>9148</v>
      </c>
      <c r="G8097" s="3">
        <v>11622</v>
      </c>
      <c r="H8097" s="7" t="str">
        <f>HYPERLINK("http://www.ensembl.org/Mus_musculus/Gene/Summary?db=core;g=ENSMUSG00000019256","ENSMUSG00000019256")</f>
        <v>ENSMUSG00000019256</v>
      </c>
      <c r="I8097" s="7" t="str">
        <f>HYPERLINK("http://www.informatics.jax.org/marker/MGI:105043","MGI:105043")</f>
        <v>MGI:105043</v>
      </c>
      <c r="J8097" s="4" t="s">
        <v>12</v>
      </c>
    </row>
    <row r="8098" spans="1:10" x14ac:dyDescent="0.25">
      <c r="A8098" s="2">
        <v>36.523867835167202</v>
      </c>
      <c r="B8098" s="3">
        <v>-1.494732114187</v>
      </c>
      <c r="C8098" s="5">
        <v>8.4058472809594205E-12</v>
      </c>
      <c r="D8098" s="6">
        <v>5.2858197825420901E-11</v>
      </c>
      <c r="E8098" s="3" t="s">
        <v>6289</v>
      </c>
      <c r="F8098" s="3" t="s">
        <v>6290</v>
      </c>
      <c r="G8098" s="3">
        <v>212706</v>
      </c>
      <c r="H8098" s="7" t="str">
        <f>HYPERLINK("http://www.ensembl.org/Mus_musculus/Gene/Summary?db=core;g=ENSMUSG00000001053","ENSMUSG00000001053")</f>
        <v>ENSMUSG00000001053</v>
      </c>
      <c r="I8098" s="7" t="str">
        <f>HYPERLINK("http://www.informatics.jax.org/marker/MGI:2442218","MGI:2442218")</f>
        <v>MGI:2442218</v>
      </c>
      <c r="J8098" s="4" t="s">
        <v>12</v>
      </c>
    </row>
    <row r="8099" spans="1:10" x14ac:dyDescent="0.25">
      <c r="A8099" s="2">
        <v>468.88036953756</v>
      </c>
      <c r="B8099" s="3">
        <v>-1.4960340986874101</v>
      </c>
      <c r="C8099" s="5">
        <v>3.7626456591734302E-47</v>
      </c>
      <c r="D8099" s="6">
        <v>9.45214935017834E-46</v>
      </c>
      <c r="E8099" s="3" t="s">
        <v>1586</v>
      </c>
      <c r="F8099" s="3" t="s">
        <v>1587</v>
      </c>
      <c r="G8099" s="3">
        <v>27360</v>
      </c>
      <c r="H8099" s="7" t="str">
        <f>HYPERLINK("http://www.ensembl.org/Mus_musculus/Gene/Summary?db=core;g=ENSMUSG00000025026","ENSMUSG00000025026")</f>
        <v>ENSMUSG00000025026</v>
      </c>
      <c r="I8099" s="7" t="str">
        <f>HYPERLINK("http://www.informatics.jax.org/marker/MGI:1351615","MGI:1351615")</f>
        <v>MGI:1351615</v>
      </c>
      <c r="J8099" s="4" t="s">
        <v>12</v>
      </c>
    </row>
    <row r="8100" spans="1:10" x14ac:dyDescent="0.25">
      <c r="A8100" s="2">
        <v>3.7797407599544299</v>
      </c>
      <c r="B8100" s="3">
        <v>-1.4981836737680201</v>
      </c>
      <c r="C8100" s="3">
        <v>7.7317171908245397E-4</v>
      </c>
      <c r="D8100" s="4">
        <v>2.3182220313677998E-3</v>
      </c>
      <c r="E8100" s="3" t="s">
        <v>13163</v>
      </c>
      <c r="F8100" s="3" t="s">
        <v>13164</v>
      </c>
      <c r="G8100" s="3" t="s">
        <v>83</v>
      </c>
      <c r="H8100" s="7" t="str">
        <f>HYPERLINK("http://www.ensembl.org/Mus_musculus/Gene/Summary?db=core;g=ENSMUSG00000102246","ENSMUSG00000102246")</f>
        <v>ENSMUSG00000102246</v>
      </c>
      <c r="I8100" s="7" t="str">
        <f>HYPERLINK("http://www.informatics.jax.org/marker/MGI:1924535","MGI:1924535")</f>
        <v>MGI:1924535</v>
      </c>
      <c r="J8100" s="4" t="s">
        <v>1828</v>
      </c>
    </row>
    <row r="8101" spans="1:10" x14ac:dyDescent="0.25">
      <c r="A8101" s="2">
        <v>104.699227651398</v>
      </c>
      <c r="B8101" s="3">
        <v>-1.4992654928665401</v>
      </c>
      <c r="C8101" s="5">
        <v>2.7843432229800199E-22</v>
      </c>
      <c r="D8101" s="6">
        <v>3.06744404229977E-21</v>
      </c>
      <c r="E8101" s="3" t="s">
        <v>3598</v>
      </c>
      <c r="F8101" s="3" t="s">
        <v>3599</v>
      </c>
      <c r="G8101" s="3">
        <v>14538</v>
      </c>
      <c r="H8101" s="7" t="str">
        <f>HYPERLINK("http://www.ensembl.org/Mus_musculus/Gene/Summary?db=core;g=ENSMUSG00000021360","ENSMUSG00000021360")</f>
        <v>ENSMUSG00000021360</v>
      </c>
      <c r="I8101" s="7" t="str">
        <f>HYPERLINK("http://www.informatics.jax.org/marker/MGI:1100870","MGI:1100870")</f>
        <v>MGI:1100870</v>
      </c>
      <c r="J8101" s="4" t="s">
        <v>12</v>
      </c>
    </row>
    <row r="8102" spans="1:10" x14ac:dyDescent="0.25">
      <c r="A8102" s="2">
        <v>3.6620420055633298</v>
      </c>
      <c r="B8102" s="3">
        <v>-1.4995384114260499</v>
      </c>
      <c r="C8102" s="3">
        <v>7.4975173563486801E-4</v>
      </c>
      <c r="D8102" s="4">
        <v>2.252110316332E-3</v>
      </c>
      <c r="E8102" s="3" t="s">
        <v>13139</v>
      </c>
      <c r="F8102" s="3" t="s">
        <v>13140</v>
      </c>
      <c r="G8102" s="3">
        <v>18604</v>
      </c>
      <c r="H8102" s="7" t="str">
        <f>HYPERLINK("http://www.ensembl.org/Mus_musculus/Gene/Summary?db=core;g=ENSMUSG00000038967","ENSMUSG00000038967")</f>
        <v>ENSMUSG00000038967</v>
      </c>
      <c r="I8102" s="7" t="str">
        <f>HYPERLINK("http://www.informatics.jax.org/marker/MGI:1343087","MGI:1343087")</f>
        <v>MGI:1343087</v>
      </c>
      <c r="J8102" s="4" t="s">
        <v>12</v>
      </c>
    </row>
    <row r="8103" spans="1:10" x14ac:dyDescent="0.25">
      <c r="A8103" s="2">
        <v>13.8064493390564</v>
      </c>
      <c r="B8103" s="3">
        <v>-1.4996037475655699</v>
      </c>
      <c r="C8103" s="5">
        <v>4.2178497634173598E-7</v>
      </c>
      <c r="D8103" s="6">
        <v>1.8129031677112099E-6</v>
      </c>
      <c r="E8103" s="3" t="s">
        <v>9191</v>
      </c>
      <c r="F8103" s="3" t="s">
        <v>9192</v>
      </c>
      <c r="G8103" s="3">
        <v>109889</v>
      </c>
      <c r="H8103" s="7" t="str">
        <f>HYPERLINK("http://www.ensembl.org/Mus_musculus/Gene/Summary?db=core;g=ENSMUSG00000030380","ENSMUSG00000030380")</f>
        <v>ENSMUSG00000030380</v>
      </c>
      <c r="I8103" s="7" t="str">
        <f>HYPERLINK("http://www.informatics.jax.org/marker/MGI:107457","MGI:107457")</f>
        <v>MGI:107457</v>
      </c>
      <c r="J8103" s="4" t="s">
        <v>12</v>
      </c>
    </row>
    <row r="8104" spans="1:10" x14ac:dyDescent="0.25">
      <c r="A8104" s="2">
        <v>56.325826635218398</v>
      </c>
      <c r="B8104" s="3">
        <v>-1.5018552578730799</v>
      </c>
      <c r="C8104" s="5">
        <v>4.1230040144921198E-17</v>
      </c>
      <c r="D8104" s="6">
        <v>3.5365654269588702E-16</v>
      </c>
      <c r="E8104" s="3" t="s">
        <v>4615</v>
      </c>
      <c r="F8104" s="3" t="s">
        <v>4616</v>
      </c>
      <c r="G8104" s="3" t="s">
        <v>83</v>
      </c>
      <c r="H8104" s="7" t="str">
        <f>HYPERLINK("http://www.ensembl.org/Mus_musculus/Gene/Summary?db=core;g=ENSMUSG00000107761","ENSMUSG00000107761")</f>
        <v>ENSMUSG00000107761</v>
      </c>
      <c r="I8104" s="7" t="str">
        <f>HYPERLINK("http://www.informatics.jax.org/marker/MGI:1917109","MGI:1917109")</f>
        <v>MGI:1917109</v>
      </c>
      <c r="J8104" s="4" t="s">
        <v>1828</v>
      </c>
    </row>
    <row r="8105" spans="1:10" x14ac:dyDescent="0.25">
      <c r="A8105" s="2">
        <v>235.04304042938699</v>
      </c>
      <c r="B8105" s="3">
        <v>-1.5027104599355099</v>
      </c>
      <c r="C8105" s="5">
        <v>2.0902666497515499E-22</v>
      </c>
      <c r="D8105" s="6">
        <v>2.3105413863845599E-21</v>
      </c>
      <c r="E8105" s="3" t="s">
        <v>3586</v>
      </c>
      <c r="F8105" s="3" t="s">
        <v>3587</v>
      </c>
      <c r="G8105" s="3">
        <v>319190</v>
      </c>
      <c r="H8105" s="7" t="str">
        <f>HYPERLINK("http://www.ensembl.org/Mus_musculus/Gene/Summary?db=core;g=ENSMUSG00000068854","ENSMUSG00000068854")</f>
        <v>ENSMUSG00000068854</v>
      </c>
      <c r="I8105" s="7" t="str">
        <f>HYPERLINK("http://www.informatics.jax.org/marker/MGI:2448415","MGI:2448415")</f>
        <v>MGI:2448415</v>
      </c>
      <c r="J8105" s="4" t="s">
        <v>12</v>
      </c>
    </row>
    <row r="8106" spans="1:10" x14ac:dyDescent="0.25">
      <c r="A8106" s="2">
        <v>748.65495382749396</v>
      </c>
      <c r="B8106" s="3">
        <v>-1.50346172464719</v>
      </c>
      <c r="C8106" s="5">
        <v>8.7019285680093896E-63</v>
      </c>
      <c r="D8106" s="6">
        <v>3.4183671585885501E-61</v>
      </c>
      <c r="E8106" s="3" t="s">
        <v>1019</v>
      </c>
      <c r="F8106" s="3" t="s">
        <v>1020</v>
      </c>
      <c r="G8106" s="3">
        <v>21887</v>
      </c>
      <c r="H8106" s="7" t="str">
        <f>HYPERLINK("http://www.ensembl.org/Mus_musculus/Gene/Summary?db=core;g=ENSMUSG00000032280","ENSMUSG00000032280")</f>
        <v>ENSMUSG00000032280</v>
      </c>
      <c r="I8106" s="7" t="str">
        <f>HYPERLINK("http://www.informatics.jax.org/marker/MGI:104634","MGI:104634")</f>
        <v>MGI:104634</v>
      </c>
      <c r="J8106" s="4" t="s">
        <v>12</v>
      </c>
    </row>
    <row r="8107" spans="1:10" x14ac:dyDescent="0.25">
      <c r="A8107" s="2">
        <v>1906.67618495138</v>
      </c>
      <c r="B8107" s="3">
        <v>-1.5040571819394299</v>
      </c>
      <c r="C8107" s="5">
        <v>5.9950787617111499E-28</v>
      </c>
      <c r="D8107" s="6">
        <v>8.1702110007563205E-27</v>
      </c>
      <c r="E8107" s="3" t="s">
        <v>2912</v>
      </c>
      <c r="F8107" s="3" t="s">
        <v>2913</v>
      </c>
      <c r="G8107" s="3">
        <v>12487</v>
      </c>
      <c r="H8107" s="7" t="str">
        <f>HYPERLINK("http://www.ensembl.org/Mus_musculus/Gene/Summary?db=core;g=ENSMUSG00000026012","ENSMUSG00000026012")</f>
        <v>ENSMUSG00000026012</v>
      </c>
      <c r="I8107" s="7" t="str">
        <f>HYPERLINK("http://www.informatics.jax.org/marker/MGI:88327","MGI:88327")</f>
        <v>MGI:88327</v>
      </c>
      <c r="J8107" s="4" t="s">
        <v>12</v>
      </c>
    </row>
    <row r="8108" spans="1:10" x14ac:dyDescent="0.25">
      <c r="A8108" s="2">
        <v>60.753708660947197</v>
      </c>
      <c r="B8108" s="3">
        <v>-1.5081051615876599</v>
      </c>
      <c r="C8108" s="5">
        <v>2.7939156568964599E-14</v>
      </c>
      <c r="D8108" s="6">
        <v>2.0642943707005701E-13</v>
      </c>
      <c r="E8108" s="3" t="s">
        <v>5355</v>
      </c>
      <c r="F8108" s="3" t="s">
        <v>5356</v>
      </c>
      <c r="G8108" s="3">
        <v>244238</v>
      </c>
      <c r="H8108" s="7" t="str">
        <f>HYPERLINK("http://www.ensembl.org/Mus_musculus/Gene/Summary?db=core;g=ENSMUSG00000048965","ENSMUSG00000048965")</f>
        <v>ENSMUSG00000048965</v>
      </c>
      <c r="I8108" s="7" t="str">
        <f>HYPERLINK("http://www.informatics.jax.org/marker/MGI:2441884","MGI:2441884")</f>
        <v>MGI:2441884</v>
      </c>
      <c r="J8108" s="4" t="s">
        <v>12</v>
      </c>
    </row>
    <row r="8109" spans="1:10" x14ac:dyDescent="0.25">
      <c r="A8109" s="2">
        <v>1.1834514352118199</v>
      </c>
      <c r="B8109" s="3">
        <v>-1.5082694046792</v>
      </c>
      <c r="C8109" s="3">
        <v>1.15121017205491E-3</v>
      </c>
      <c r="D8109" s="4">
        <v>3.36623140464456E-3</v>
      </c>
      <c r="E8109" s="3" t="s">
        <v>13497</v>
      </c>
      <c r="F8109" s="3" t="s">
        <v>13498</v>
      </c>
      <c r="G8109" s="3">
        <v>320609</v>
      </c>
      <c r="H8109" s="7" t="str">
        <f>HYPERLINK("http://www.ensembl.org/Mus_musculus/Gene/Summary?db=core;g=ENSMUSG00000039629","ENSMUSG00000039629")</f>
        <v>ENSMUSG00000039629</v>
      </c>
      <c r="I8109" s="7" t="str">
        <f>HYPERLINK("http://www.informatics.jax.org/marker/MGI:2444363","MGI:2444363")</f>
        <v>MGI:2444363</v>
      </c>
      <c r="J8109" s="4" t="s">
        <v>12</v>
      </c>
    </row>
    <row r="8110" spans="1:10" x14ac:dyDescent="0.25">
      <c r="A8110" s="2">
        <v>15.239581170566799</v>
      </c>
      <c r="B8110" s="3">
        <v>-1.50858959445037</v>
      </c>
      <c r="C8110" s="5">
        <v>6.4616321444913003E-7</v>
      </c>
      <c r="D8110" s="6">
        <v>2.7291365579217902E-6</v>
      </c>
      <c r="E8110" s="3" t="s">
        <v>9353</v>
      </c>
      <c r="F8110" s="3" t="s">
        <v>9354</v>
      </c>
      <c r="G8110" s="3">
        <v>240055</v>
      </c>
      <c r="H8110" s="7" t="str">
        <f>HYPERLINK("http://www.ensembl.org/Mus_musculus/Gene/Summary?db=core;g=ENSMUSG00000034413","ENSMUSG00000034413")</f>
        <v>ENSMUSG00000034413</v>
      </c>
      <c r="I8110" s="7" t="str">
        <f>HYPERLINK("http://www.informatics.jax.org/marker/MGI:3643092","MGI:3643092")</f>
        <v>MGI:3643092</v>
      </c>
      <c r="J8110" s="4" t="s">
        <v>12</v>
      </c>
    </row>
    <row r="8111" spans="1:10" x14ac:dyDescent="0.25">
      <c r="A8111" s="2">
        <v>71.477572883001301</v>
      </c>
      <c r="B8111" s="3">
        <v>-1.51081513070415</v>
      </c>
      <c r="C8111" s="5">
        <v>2.2654152269417901E-14</v>
      </c>
      <c r="D8111" s="6">
        <v>1.6832700932664701E-13</v>
      </c>
      <c r="E8111" s="3" t="s">
        <v>5325</v>
      </c>
      <c r="F8111" s="3" t="s">
        <v>5326</v>
      </c>
      <c r="G8111" s="3">
        <v>241289</v>
      </c>
      <c r="H8111" s="7" t="str">
        <f>HYPERLINK("http://www.ensembl.org/Mus_musculus/Gene/Summary?db=core;g=ENSMUSG00000035829","ENSMUSG00000035829")</f>
        <v>ENSMUSG00000035829</v>
      </c>
      <c r="I8111" s="7" t="str">
        <f>HYPERLINK("http://www.informatics.jax.org/marker/MGI:2685193","MGI:2685193")</f>
        <v>MGI:2685193</v>
      </c>
      <c r="J8111" s="4" t="s">
        <v>12</v>
      </c>
    </row>
    <row r="8112" spans="1:10" x14ac:dyDescent="0.25">
      <c r="A8112" s="2">
        <v>1258.7895607375599</v>
      </c>
      <c r="B8112" s="3">
        <v>-1.5114649641422699</v>
      </c>
      <c r="C8112" s="5">
        <v>2.2723854587251299E-128</v>
      </c>
      <c r="D8112" s="6">
        <v>3.1119056420874601E-126</v>
      </c>
      <c r="E8112" s="3" t="s">
        <v>298</v>
      </c>
      <c r="F8112" s="3" t="s">
        <v>299</v>
      </c>
      <c r="G8112" s="3">
        <v>68477</v>
      </c>
      <c r="H8112" s="7" t="str">
        <f>HYPERLINK("http://www.ensembl.org/Mus_musculus/Gene/Summary?db=core;g=ENSMUSG00000002222","ENSMUSG00000002222")</f>
        <v>ENSMUSG00000002222</v>
      </c>
      <c r="I8112" s="7" t="str">
        <f>HYPERLINK("http://www.informatics.jax.org/marker/MGI:1915727","MGI:1915727")</f>
        <v>MGI:1915727</v>
      </c>
      <c r="J8112" s="4" t="s">
        <v>12</v>
      </c>
    </row>
    <row r="8113" spans="1:10" x14ac:dyDescent="0.25">
      <c r="A8113" s="2">
        <v>78.332189600345203</v>
      </c>
      <c r="B8113" s="3">
        <v>-1.5135219905378601</v>
      </c>
      <c r="C8113" s="5">
        <v>8.6729267933253201E-23</v>
      </c>
      <c r="D8113" s="6">
        <v>9.7286755611135004E-22</v>
      </c>
      <c r="E8113" s="3" t="s">
        <v>3534</v>
      </c>
      <c r="F8113" s="3" t="s">
        <v>3535</v>
      </c>
      <c r="G8113" s="3">
        <v>433766</v>
      </c>
      <c r="H8113" s="7" t="str">
        <f>HYPERLINK("http://www.ensembl.org/Mus_musculus/Gene/Summary?db=core;g=ENSMUSG00000028834","ENSMUSG00000028834")</f>
        <v>ENSMUSG00000028834</v>
      </c>
      <c r="I8113" s="7" t="str">
        <f>HYPERLINK("http://www.informatics.jax.org/marker/MGI:2447992","MGI:2447992")</f>
        <v>MGI:2447992</v>
      </c>
      <c r="J8113" s="4" t="s">
        <v>12</v>
      </c>
    </row>
    <row r="8114" spans="1:10" x14ac:dyDescent="0.25">
      <c r="A8114" s="2">
        <v>157.43863015264699</v>
      </c>
      <c r="B8114" s="3">
        <v>-1.51356070290161</v>
      </c>
      <c r="C8114" s="5">
        <v>8.4555895344822997E-37</v>
      </c>
      <c r="D8114" s="6">
        <v>1.5627387593251301E-35</v>
      </c>
      <c r="E8114" s="3" t="s">
        <v>2151</v>
      </c>
      <c r="F8114" s="3" t="s">
        <v>2152</v>
      </c>
      <c r="G8114" s="3">
        <v>215707</v>
      </c>
      <c r="H8114" s="7" t="str">
        <f>HYPERLINK("http://www.ensembl.org/Mus_musculus/Gene/Summary?db=core;g=ENSMUSG00000037979","ENSMUSG00000037979")</f>
        <v>ENSMUSG00000037979</v>
      </c>
      <c r="I8114" s="7" t="str">
        <f>HYPERLINK("http://www.informatics.jax.org/marker/MGI:106485","MGI:106485")</f>
        <v>MGI:106485</v>
      </c>
      <c r="J8114" s="4" t="s">
        <v>12</v>
      </c>
    </row>
    <row r="8115" spans="1:10" x14ac:dyDescent="0.25">
      <c r="A8115" s="2">
        <v>4.6341479735033397</v>
      </c>
      <c r="B8115" s="3">
        <v>-1.51474652712053</v>
      </c>
      <c r="C8115" s="3">
        <v>5.6768708796922E-4</v>
      </c>
      <c r="D8115" s="4">
        <v>1.7364339033275999E-3</v>
      </c>
      <c r="E8115" s="3" t="s">
        <v>12903</v>
      </c>
      <c r="F8115" s="3" t="s">
        <v>12904</v>
      </c>
      <c r="G8115" s="3">
        <v>14282</v>
      </c>
      <c r="H8115" s="7" t="str">
        <f>HYPERLINK("http://www.ensembl.org/Mus_musculus/Gene/Summary?db=core;g=ENSMUSG00000003545","ENSMUSG00000003545")</f>
        <v>ENSMUSG00000003545</v>
      </c>
      <c r="I8115" s="7" t="str">
        <f>HYPERLINK("http://www.informatics.jax.org/marker/MGI:95575","MGI:95575")</f>
        <v>MGI:95575</v>
      </c>
      <c r="J8115" s="4" t="s">
        <v>12</v>
      </c>
    </row>
    <row r="8116" spans="1:10" x14ac:dyDescent="0.25">
      <c r="A8116" s="2">
        <v>4.6255180870375803</v>
      </c>
      <c r="B8116" s="3">
        <v>-1.5150259931879599</v>
      </c>
      <c r="C8116" s="3">
        <v>1.9658602089358201E-4</v>
      </c>
      <c r="D8116" s="4">
        <v>6.3855647043673696E-4</v>
      </c>
      <c r="E8116" s="3" t="s">
        <v>12153</v>
      </c>
      <c r="F8116" s="3" t="s">
        <v>12154</v>
      </c>
      <c r="G8116" s="3">
        <v>102640920</v>
      </c>
      <c r="H8116" s="7" t="str">
        <f>HYPERLINK("http://www.ensembl.org/Mus_musculus/Gene/Summary?db=core;g=ENSMUSG00000109713","ENSMUSG00000109713")</f>
        <v>ENSMUSG00000109713</v>
      </c>
      <c r="I8116" s="7" t="str">
        <f>HYPERLINK("http://www.informatics.jax.org/marker/MGI:5596028","MGI:5596028")</f>
        <v>MGI:5596028</v>
      </c>
      <c r="J8116" s="4" t="s">
        <v>12</v>
      </c>
    </row>
    <row r="8117" spans="1:10" x14ac:dyDescent="0.25">
      <c r="A8117" s="2">
        <v>4.3059126903161999</v>
      </c>
      <c r="B8117" s="3">
        <v>-1.5159897017244699</v>
      </c>
      <c r="C8117" s="3">
        <v>3.8194341961968702E-4</v>
      </c>
      <c r="D8117" s="4">
        <v>1.19308161490579E-3</v>
      </c>
      <c r="E8117" s="3" t="s">
        <v>12639</v>
      </c>
      <c r="F8117" s="3" t="s">
        <v>12640</v>
      </c>
      <c r="G8117" s="3">
        <v>238871</v>
      </c>
      <c r="H8117" s="7" t="str">
        <f>HYPERLINK("http://www.ensembl.org/Mus_musculus/Gene/Summary?db=core;g=ENSMUSG00000021699","ENSMUSG00000021699")</f>
        <v>ENSMUSG00000021699</v>
      </c>
      <c r="I8117" s="7" t="str">
        <f>HYPERLINK("http://www.informatics.jax.org/marker/MGI:99555","MGI:99555")</f>
        <v>MGI:99555</v>
      </c>
      <c r="J8117" s="4" t="s">
        <v>12</v>
      </c>
    </row>
    <row r="8118" spans="1:10" x14ac:dyDescent="0.25">
      <c r="A8118" s="2">
        <v>1093.0239451376599</v>
      </c>
      <c r="B8118" s="3">
        <v>-1.51859546608287</v>
      </c>
      <c r="C8118" s="5">
        <v>1.5251216683626001E-38</v>
      </c>
      <c r="D8118" s="6">
        <v>2.9514621491766802E-37</v>
      </c>
      <c r="E8118" s="3" t="s">
        <v>2055</v>
      </c>
      <c r="F8118" s="3" t="s">
        <v>2056</v>
      </c>
      <c r="G8118" s="3">
        <v>320982</v>
      </c>
      <c r="H8118" s="7" t="str">
        <f>HYPERLINK("http://www.ensembl.org/Mus_musculus/Gene/Summary?db=core;g=ENSMUSG00000049866","ENSMUSG00000049866")</f>
        <v>ENSMUSG00000049866</v>
      </c>
      <c r="I8118" s="7" t="str">
        <f>HYPERLINK("http://www.informatics.jax.org/marker/MGI:2445172","MGI:2445172")</f>
        <v>MGI:2445172</v>
      </c>
      <c r="J8118" s="4" t="s">
        <v>12</v>
      </c>
    </row>
    <row r="8119" spans="1:10" x14ac:dyDescent="0.25">
      <c r="A8119" s="2">
        <v>569.05955208476303</v>
      </c>
      <c r="B8119" s="3">
        <v>-1.52011646302994</v>
      </c>
      <c r="C8119" s="5">
        <v>5.30629074092626E-41</v>
      </c>
      <c r="D8119" s="6">
        <v>1.1096506194174501E-39</v>
      </c>
      <c r="E8119" s="3" t="s">
        <v>1903</v>
      </c>
      <c r="F8119" s="3" t="s">
        <v>1904</v>
      </c>
      <c r="G8119" s="3">
        <v>77777</v>
      </c>
      <c r="H8119" s="7" t="str">
        <f>HYPERLINK("http://www.ensembl.org/Mus_musculus/Gene/Summary?db=core;g=ENSMUSG00000079685","ENSMUSG00000079685")</f>
        <v>ENSMUSG00000079685</v>
      </c>
      <c r="I8119" s="7" t="str">
        <f>HYPERLINK("http://www.informatics.jax.org/marker/MGI:1925027","MGI:1925027")</f>
        <v>MGI:1925027</v>
      </c>
      <c r="J8119" s="4" t="s">
        <v>12</v>
      </c>
    </row>
    <row r="8120" spans="1:10" x14ac:dyDescent="0.25">
      <c r="A8120" s="2">
        <v>398.46923233625199</v>
      </c>
      <c r="B8120" s="3">
        <v>-1.5216031082952399</v>
      </c>
      <c r="C8120" s="5">
        <v>1.03495736116499E-45</v>
      </c>
      <c r="D8120" s="6">
        <v>2.47086672665541E-44</v>
      </c>
      <c r="E8120" s="3" t="s">
        <v>1668</v>
      </c>
      <c r="F8120" s="3" t="s">
        <v>1669</v>
      </c>
      <c r="G8120" s="3">
        <v>319518</v>
      </c>
      <c r="H8120" s="7" t="str">
        <f>HYPERLINK("http://www.ensembl.org/Mus_musculus/Gene/Summary?db=core;g=ENSMUSG00000033624","ENSMUSG00000033624")</f>
        <v>ENSMUSG00000033624</v>
      </c>
      <c r="I8120" s="7" t="str">
        <f>HYPERLINK("http://www.informatics.jax.org/marker/MGI:2442188","MGI:2442188")</f>
        <v>MGI:2442188</v>
      </c>
      <c r="J8120" s="4" t="s">
        <v>12</v>
      </c>
    </row>
    <row r="8121" spans="1:10" x14ac:dyDescent="0.25">
      <c r="A8121" s="2">
        <v>1402.8211656783701</v>
      </c>
      <c r="B8121" s="3">
        <v>-1.52193581418937</v>
      </c>
      <c r="C8121" s="5">
        <v>8.1453287032524698E-106</v>
      </c>
      <c r="D8121" s="6">
        <v>7.1707983048276195E-104</v>
      </c>
      <c r="E8121" s="3" t="s">
        <v>460</v>
      </c>
      <c r="F8121" s="3" t="s">
        <v>461</v>
      </c>
      <c r="G8121" s="3">
        <v>140481</v>
      </c>
      <c r="H8121" s="7" t="str">
        <f>HYPERLINK("http://www.ensembl.org/Mus_musculus/Gene/Summary?db=core;g=ENSMUSG00000038886","ENSMUSG00000038886")</f>
        <v>ENSMUSG00000038886</v>
      </c>
      <c r="I8121" s="7" t="str">
        <f>HYPERLINK("http://www.informatics.jax.org/marker/MGI:2150656","MGI:2150656")</f>
        <v>MGI:2150656</v>
      </c>
      <c r="J8121" s="4" t="s">
        <v>12</v>
      </c>
    </row>
    <row r="8122" spans="1:10" x14ac:dyDescent="0.25">
      <c r="A8122" s="2">
        <v>785.87185146741899</v>
      </c>
      <c r="B8122" s="3">
        <v>-1.52231659662287</v>
      </c>
      <c r="C8122" s="5">
        <v>3.1717298450510802E-59</v>
      </c>
      <c r="D8122" s="6">
        <v>1.10898071887247E-57</v>
      </c>
      <c r="E8122" s="3" t="s">
        <v>1144</v>
      </c>
      <c r="F8122" s="3" t="s">
        <v>1145</v>
      </c>
      <c r="G8122" s="3">
        <v>16970</v>
      </c>
      <c r="H8122" s="7" t="str">
        <f>HYPERLINK("http://www.ensembl.org/Mus_musculus/Gene/Summary?db=core;g=ENSMUSG00000030263","ENSMUSG00000030263")</f>
        <v>ENSMUSG00000030263</v>
      </c>
      <c r="I8122" s="7" t="str">
        <f>HYPERLINK("http://www.informatics.jax.org/marker/MGI:108424","MGI:108424")</f>
        <v>MGI:108424</v>
      </c>
      <c r="J8122" s="4" t="s">
        <v>12</v>
      </c>
    </row>
    <row r="8123" spans="1:10" x14ac:dyDescent="0.25">
      <c r="A8123" s="2">
        <v>17.5176677763308</v>
      </c>
      <c r="B8123" s="3">
        <v>-1.5226911960590399</v>
      </c>
      <c r="C8123" s="5">
        <v>1.27687572870983E-6</v>
      </c>
      <c r="D8123" s="6">
        <v>5.2305752742330199E-6</v>
      </c>
      <c r="E8123" s="3" t="s">
        <v>9643</v>
      </c>
      <c r="F8123" s="3" t="s">
        <v>9644</v>
      </c>
      <c r="G8123" s="3">
        <v>637515</v>
      </c>
      <c r="H8123" s="7" t="str">
        <f>HYPERLINK("http://www.ensembl.org/Mus_musculus/Gene/Summary?db=core;g=ENSMUSG00000070390","ENSMUSG00000070390")</f>
        <v>ENSMUSG00000070390</v>
      </c>
      <c r="I8123" s="7" t="str">
        <f>HYPERLINK("http://www.informatics.jax.org/marker/MGI:3582959","MGI:3582959")</f>
        <v>MGI:3582959</v>
      </c>
      <c r="J8123" s="4" t="s">
        <v>12</v>
      </c>
    </row>
    <row r="8124" spans="1:10" x14ac:dyDescent="0.25">
      <c r="A8124" s="2">
        <v>490.849202859743</v>
      </c>
      <c r="B8124" s="3">
        <v>-1.5272207248312</v>
      </c>
      <c r="C8124" s="5">
        <v>7.7855401535253306E-33</v>
      </c>
      <c r="D8124" s="6">
        <v>1.2411548247980599E-31</v>
      </c>
      <c r="E8124" s="3" t="s">
        <v>2491</v>
      </c>
      <c r="F8124" s="3" t="s">
        <v>2492</v>
      </c>
      <c r="G8124" s="3">
        <v>13631</v>
      </c>
      <c r="H8124" s="7" t="str">
        <f>HYPERLINK("http://www.ensembl.org/Mus_musculus/Gene/Summary?db=core;g=ENSMUSG00000035064","ENSMUSG00000035064")</f>
        <v>ENSMUSG00000035064</v>
      </c>
      <c r="I8124" s="7" t="str">
        <f>HYPERLINK("http://www.informatics.jax.org/marker/MGI:1195261","MGI:1195261")</f>
        <v>MGI:1195261</v>
      </c>
      <c r="J8124" s="4" t="s">
        <v>12</v>
      </c>
    </row>
    <row r="8125" spans="1:10" x14ac:dyDescent="0.25">
      <c r="A8125" s="2">
        <v>57.561887933219502</v>
      </c>
      <c r="B8125" s="3">
        <v>-1.5286566091324501</v>
      </c>
      <c r="C8125" s="5">
        <v>1.0161789101712099E-12</v>
      </c>
      <c r="D8125" s="6">
        <v>6.8183219151331597E-12</v>
      </c>
      <c r="E8125" s="3" t="s">
        <v>5895</v>
      </c>
      <c r="F8125" s="3" t="s">
        <v>5896</v>
      </c>
      <c r="G8125" s="3">
        <v>71093</v>
      </c>
      <c r="H8125" s="7" t="str">
        <f>HYPERLINK("http://www.ensembl.org/Mus_musculus/Gene/Summary?db=core;g=ENSMUSG00000037621","ENSMUSG00000037621")</f>
        <v>ENSMUSG00000037621</v>
      </c>
      <c r="I8125" s="7" t="str">
        <f>HYPERLINK("http://www.informatics.jax.org/marker/MGI:1918343","MGI:1918343")</f>
        <v>MGI:1918343</v>
      </c>
      <c r="J8125" s="4" t="s">
        <v>12</v>
      </c>
    </row>
    <row r="8126" spans="1:10" x14ac:dyDescent="0.25">
      <c r="A8126" s="2">
        <v>73.475061118434297</v>
      </c>
      <c r="B8126" s="3">
        <v>-1.53032666665081</v>
      </c>
      <c r="C8126" s="5">
        <v>4.0086444377364198E-17</v>
      </c>
      <c r="D8126" s="6">
        <v>3.44146575150902E-16</v>
      </c>
      <c r="E8126" s="3" t="s">
        <v>4611</v>
      </c>
      <c r="F8126" s="3" t="s">
        <v>4612</v>
      </c>
      <c r="G8126" s="3">
        <v>260305</v>
      </c>
      <c r="H8126" s="7" t="str">
        <f>HYPERLINK("http://www.ensembl.org/Mus_musculus/Gene/Summary?db=core;g=ENSMUSG00000039577","ENSMUSG00000039577")</f>
        <v>ENSMUSG00000039577</v>
      </c>
      <c r="I8126" s="7" t="str">
        <f>HYPERLINK("http://www.informatics.jax.org/marker/MGI:2384210","MGI:2384210")</f>
        <v>MGI:2384210</v>
      </c>
      <c r="J8126" s="4" t="s">
        <v>12</v>
      </c>
    </row>
    <row r="8127" spans="1:10" x14ac:dyDescent="0.25">
      <c r="A8127" s="2">
        <v>274.61904541107998</v>
      </c>
      <c r="B8127" s="3">
        <v>-1.5305782068921101</v>
      </c>
      <c r="C8127" s="5">
        <v>9.4139040590324904E-12</v>
      </c>
      <c r="D8127" s="6">
        <v>5.8952743107056404E-11</v>
      </c>
      <c r="E8127" s="3" t="s">
        <v>6315</v>
      </c>
      <c r="F8127" s="3" t="s">
        <v>6316</v>
      </c>
      <c r="G8127" s="3">
        <v>75580</v>
      </c>
      <c r="H8127" s="7" t="str">
        <f>HYPERLINK("http://www.ensembl.org/Mus_musculus/Gene/Summary?db=core;g=ENSMUSG00000018750","ENSMUSG00000018750")</f>
        <v>ENSMUSG00000018750</v>
      </c>
      <c r="I8127" s="7" t="str">
        <f>HYPERLINK("http://www.informatics.jax.org/marker/MGI:1922830","MGI:1922830")</f>
        <v>MGI:1922830</v>
      </c>
      <c r="J8127" s="4" t="s">
        <v>12</v>
      </c>
    </row>
    <row r="8128" spans="1:10" x14ac:dyDescent="0.25">
      <c r="A8128" s="2">
        <v>440.210972925421</v>
      </c>
      <c r="B8128" s="3">
        <v>-1.53117696527251</v>
      </c>
      <c r="C8128" s="5">
        <v>1.79357719448484E-92</v>
      </c>
      <c r="D8128" s="6">
        <v>1.2677183611197501E-90</v>
      </c>
      <c r="E8128" s="3" t="s">
        <v>570</v>
      </c>
      <c r="F8128" s="3" t="s">
        <v>571</v>
      </c>
      <c r="G8128" s="3">
        <v>14166</v>
      </c>
      <c r="H8128" s="7" t="str">
        <f>HYPERLINK("http://www.ensembl.org/Mus_musculus/Gene/Summary?db=core;g=ENSMUSG00000042826","ENSMUSG00000042826")</f>
        <v>ENSMUSG00000042826</v>
      </c>
      <c r="I8128" s="7" t="str">
        <f>HYPERLINK("http://www.informatics.jax.org/marker/MGI:109167","MGI:109167")</f>
        <v>MGI:109167</v>
      </c>
      <c r="J8128" s="4" t="s">
        <v>12</v>
      </c>
    </row>
    <row r="8129" spans="1:10" x14ac:dyDescent="0.25">
      <c r="A8129" s="2">
        <v>4.7023809837909196</v>
      </c>
      <c r="B8129" s="3">
        <v>-1.53122581262809</v>
      </c>
      <c r="C8129" s="3">
        <v>3.5040008073840799E-4</v>
      </c>
      <c r="D8129" s="4">
        <v>1.10117762424883E-3</v>
      </c>
      <c r="E8129" s="3" t="s">
        <v>12563</v>
      </c>
      <c r="F8129" s="3" t="s">
        <v>12564</v>
      </c>
      <c r="G8129" s="3">
        <v>378435</v>
      </c>
      <c r="H8129" s="7" t="str">
        <f>HYPERLINK("http://www.ensembl.org/Mus_musculus/Gene/Summary?db=core;g=ENSMUSG00000047591","ENSMUSG00000047591")</f>
        <v>ENSMUSG00000047591</v>
      </c>
      <c r="I8129" s="7" t="str">
        <f>HYPERLINK("http://www.informatics.jax.org/marker/MGI:2673307","MGI:2673307")</f>
        <v>MGI:2673307</v>
      </c>
      <c r="J8129" s="4" t="s">
        <v>12</v>
      </c>
    </row>
    <row r="8130" spans="1:10" x14ac:dyDescent="0.25">
      <c r="A8130" s="2">
        <v>98.644373146874898</v>
      </c>
      <c r="B8130" s="3">
        <v>-1.53299460871049</v>
      </c>
      <c r="C8130" s="5">
        <v>2.3518368333965799E-33</v>
      </c>
      <c r="D8130" s="6">
        <v>3.8360812534805999E-32</v>
      </c>
      <c r="E8130" s="3" t="s">
        <v>2435</v>
      </c>
      <c r="F8130" s="3" t="s">
        <v>2436</v>
      </c>
      <c r="G8130" s="3">
        <v>17193</v>
      </c>
      <c r="H8130" s="7" t="str">
        <f>HYPERLINK("http://www.ensembl.org/Mus_musculus/Gene/Summary?db=core;g=ENSMUSG00000030322","ENSMUSG00000030322")</f>
        <v>ENSMUSG00000030322</v>
      </c>
      <c r="I8130" s="7" t="str">
        <f>HYPERLINK("http://www.informatics.jax.org/marker/MGI:1333850","MGI:1333850")</f>
        <v>MGI:1333850</v>
      </c>
      <c r="J8130" s="4" t="s">
        <v>12</v>
      </c>
    </row>
    <row r="8131" spans="1:10" x14ac:dyDescent="0.25">
      <c r="A8131" s="2">
        <v>3.9670247115957902</v>
      </c>
      <c r="B8131" s="3">
        <v>-1.5355072731094599</v>
      </c>
      <c r="C8131" s="3">
        <v>2.87537995843862E-4</v>
      </c>
      <c r="D8131" s="4">
        <v>9.1337778318958604E-4</v>
      </c>
      <c r="E8131" s="3" t="s">
        <v>12429</v>
      </c>
      <c r="F8131" s="3" t="s">
        <v>12430</v>
      </c>
      <c r="G8131" s="3">
        <v>54678</v>
      </c>
      <c r="H8131" s="7" t="str">
        <f>HYPERLINK("http://www.ensembl.org/Mus_musculus/Gene/Summary?db=core;g=ENSMUSG00000030486","ENSMUSG00000030486")</f>
        <v>ENSMUSG00000030486</v>
      </c>
      <c r="I8131" s="7" t="str">
        <f>HYPERLINK("http://www.informatics.jax.org/marker/MGI:1891198","MGI:1891198")</f>
        <v>MGI:1891198</v>
      </c>
      <c r="J8131" s="4" t="s">
        <v>12</v>
      </c>
    </row>
    <row r="8132" spans="1:10" x14ac:dyDescent="0.25">
      <c r="A8132" s="2">
        <v>34.484477756855199</v>
      </c>
      <c r="B8132" s="3">
        <v>-1.53551464419976</v>
      </c>
      <c r="C8132" s="5">
        <v>1.9530532939006199E-6</v>
      </c>
      <c r="D8132" s="6">
        <v>7.8600430521877906E-6</v>
      </c>
      <c r="E8132" s="3" t="s">
        <v>9815</v>
      </c>
      <c r="F8132" s="3" t="s">
        <v>9816</v>
      </c>
      <c r="G8132" s="3">
        <v>19400</v>
      </c>
      <c r="H8132" s="7" t="str">
        <f>HYPERLINK("http://www.ensembl.org/Mus_musculus/Gene/Summary?db=core;g=ENSMUSG00000002104","ENSMUSG00000002104")</f>
        <v>ENSMUSG00000002104</v>
      </c>
      <c r="I8132" s="7" t="str">
        <f>HYPERLINK("http://www.informatics.jax.org/marker/MGI:99422","MGI:99422")</f>
        <v>MGI:99422</v>
      </c>
      <c r="J8132" s="4" t="s">
        <v>12</v>
      </c>
    </row>
    <row r="8133" spans="1:10" x14ac:dyDescent="0.25">
      <c r="A8133" s="2">
        <v>84.993097327899505</v>
      </c>
      <c r="B8133" s="3">
        <v>-1.5436594253235101</v>
      </c>
      <c r="C8133" s="5">
        <v>1.5275677837147301E-25</v>
      </c>
      <c r="D8133" s="6">
        <v>1.9041489693334002E-24</v>
      </c>
      <c r="E8133" s="3" t="s">
        <v>3183</v>
      </c>
      <c r="F8133" s="3" t="s">
        <v>3184</v>
      </c>
      <c r="G8133" s="3">
        <v>74478</v>
      </c>
      <c r="H8133" s="7" t="str">
        <f>HYPERLINK("http://www.ensembl.org/Mus_musculus/Gene/Summary?db=core;g=ENSMUSG00000071669","ENSMUSG00000071669")</f>
        <v>ENSMUSG00000071669</v>
      </c>
      <c r="I8133" s="7" t="str">
        <f>HYPERLINK("http://www.informatics.jax.org/marker/MGI:1921728","MGI:1921728")</f>
        <v>MGI:1921728</v>
      </c>
      <c r="J8133" s="4" t="s">
        <v>12</v>
      </c>
    </row>
    <row r="8134" spans="1:10" x14ac:dyDescent="0.25">
      <c r="A8134" s="2">
        <v>37.9836094332736</v>
      </c>
      <c r="B8134" s="3">
        <v>-1.5445494454628099</v>
      </c>
      <c r="C8134" s="5">
        <v>4.1339993784461801E-13</v>
      </c>
      <c r="D8134" s="6">
        <v>2.8395147245893002E-12</v>
      </c>
      <c r="E8134" s="3" t="s">
        <v>5759</v>
      </c>
      <c r="F8134" s="3" t="s">
        <v>5760</v>
      </c>
      <c r="G8134" s="3" t="s">
        <v>83</v>
      </c>
      <c r="H8134" s="7" t="str">
        <f>HYPERLINK("http://www.ensembl.org/Mus_musculus/Gene/Summary?db=core;g=ENSMUSG00000110611","ENSMUSG00000110611")</f>
        <v>ENSMUSG00000110611</v>
      </c>
      <c r="I8134" s="7" t="str">
        <f>HYPERLINK("http://www.informatics.jax.org/marker/MGI:5012348","MGI:5012348")</f>
        <v>MGI:5012348</v>
      </c>
      <c r="J8134" s="4" t="s">
        <v>932</v>
      </c>
    </row>
    <row r="8135" spans="1:10" x14ac:dyDescent="0.25">
      <c r="A8135" s="2">
        <v>1135.8361421618399</v>
      </c>
      <c r="B8135" s="3">
        <v>-1.54608190028439</v>
      </c>
      <c r="C8135" s="5">
        <v>7.9964734643404704E-43</v>
      </c>
      <c r="D8135" s="6">
        <v>1.7619045443217199E-41</v>
      </c>
      <c r="E8135" s="3" t="s">
        <v>1806</v>
      </c>
      <c r="F8135" s="3" t="s">
        <v>1807</v>
      </c>
      <c r="G8135" s="3">
        <v>13730</v>
      </c>
      <c r="H8135" s="7" t="str">
        <f>HYPERLINK("http://www.ensembl.org/Mus_musculus/Gene/Summary?db=core;g=ENSMUSG00000030208","ENSMUSG00000030208")</f>
        <v>ENSMUSG00000030208</v>
      </c>
      <c r="I8135" s="7" t="str">
        <f>HYPERLINK("http://www.informatics.jax.org/marker/MGI:107941","MGI:107941")</f>
        <v>MGI:107941</v>
      </c>
      <c r="J8135" s="4" t="s">
        <v>12</v>
      </c>
    </row>
    <row r="8136" spans="1:10" x14ac:dyDescent="0.25">
      <c r="A8136" s="2">
        <v>2.9091354841800201</v>
      </c>
      <c r="B8136" s="3">
        <v>-1.5472906295136599</v>
      </c>
      <c r="C8136" s="3">
        <v>6.0895047854715798E-4</v>
      </c>
      <c r="D8136" s="4">
        <v>1.8534501368961201E-3</v>
      </c>
      <c r="E8136" s="3" t="s">
        <v>12967</v>
      </c>
      <c r="F8136" s="3" t="s">
        <v>12968</v>
      </c>
      <c r="G8136" s="3">
        <v>381582</v>
      </c>
      <c r="H8136" s="7" t="str">
        <f>HYPERLINK("http://www.ensembl.org/Mus_musculus/Gene/Summary?db=core;g=ENSMUSG00000084845","ENSMUSG00000084845")</f>
        <v>ENSMUSG00000084845</v>
      </c>
      <c r="I8136" s="7" t="str">
        <f>HYPERLINK("http://www.informatics.jax.org/marker/MGI:3648074","MGI:3648074")</f>
        <v>MGI:3648074</v>
      </c>
      <c r="J8136" s="4" t="s">
        <v>12</v>
      </c>
    </row>
    <row r="8137" spans="1:10" x14ac:dyDescent="0.25">
      <c r="A8137" s="2">
        <v>2144.74382700672</v>
      </c>
      <c r="B8137" s="3">
        <v>-1.5507879464065399</v>
      </c>
      <c r="C8137" s="5">
        <v>2.4914584492750199E-148</v>
      </c>
      <c r="D8137" s="6">
        <v>4.7700544290974204E-146</v>
      </c>
      <c r="E8137" s="3" t="s">
        <v>216</v>
      </c>
      <c r="F8137" s="3" t="s">
        <v>217</v>
      </c>
      <c r="G8137" s="3">
        <v>215114</v>
      </c>
      <c r="H8137" s="7" t="str">
        <f>HYPERLINK("http://www.ensembl.org/Mus_musculus/Gene/Summary?db=core;g=ENSMUSG00000039959","ENSMUSG00000039959")</f>
        <v>ENSMUSG00000039959</v>
      </c>
      <c r="I8137" s="7" t="str">
        <f>HYPERLINK("http://www.informatics.jax.org/marker/MGI:1099804","MGI:1099804")</f>
        <v>MGI:1099804</v>
      </c>
      <c r="J8137" s="4" t="s">
        <v>12</v>
      </c>
    </row>
    <row r="8138" spans="1:10" x14ac:dyDescent="0.25">
      <c r="A8138" s="2">
        <v>498.98524242289898</v>
      </c>
      <c r="B8138" s="3">
        <v>-1.55082584308737</v>
      </c>
      <c r="C8138" s="5">
        <v>3.8530995779899197E-24</v>
      </c>
      <c r="D8138" s="6">
        <v>4.5635509716493301E-23</v>
      </c>
      <c r="E8138" s="3" t="s">
        <v>3350</v>
      </c>
      <c r="F8138" s="3" t="s">
        <v>3351</v>
      </c>
      <c r="G8138" s="3">
        <v>234396</v>
      </c>
      <c r="H8138" s="7" t="str">
        <f>HYPERLINK("http://www.ensembl.org/Mus_musculus/Gene/Summary?db=core;g=ENSMUSG00000046295","ENSMUSG00000046295")</f>
        <v>ENSMUSG00000046295</v>
      </c>
      <c r="I8138" s="7" t="str">
        <f>HYPERLINK("http://www.informatics.jax.org/marker/MGI:1918775","MGI:1918775")</f>
        <v>MGI:1918775</v>
      </c>
      <c r="J8138" s="4" t="s">
        <v>12</v>
      </c>
    </row>
    <row r="8139" spans="1:10" x14ac:dyDescent="0.25">
      <c r="A8139" s="2">
        <v>106.994363184758</v>
      </c>
      <c r="B8139" s="3">
        <v>-1.5510774088219099</v>
      </c>
      <c r="C8139" s="5">
        <v>1.7034109473259199E-27</v>
      </c>
      <c r="D8139" s="6">
        <v>2.2820152093252099E-26</v>
      </c>
      <c r="E8139" s="3" t="s">
        <v>2962</v>
      </c>
      <c r="F8139" s="3" t="s">
        <v>2963</v>
      </c>
      <c r="G8139" s="3">
        <v>74559</v>
      </c>
      <c r="H8139" s="7" t="str">
        <f>HYPERLINK("http://www.ensembl.org/Mus_musculus/Gene/Summary?db=core;g=ENSMUSG00000021696","ENSMUSG00000021696")</f>
        <v>ENSMUSG00000021696</v>
      </c>
      <c r="I8139" s="7" t="str">
        <f>HYPERLINK("http://www.informatics.jax.org/marker/MGI:1921809","MGI:1921809")</f>
        <v>MGI:1921809</v>
      </c>
      <c r="J8139" s="4" t="s">
        <v>12</v>
      </c>
    </row>
    <row r="8140" spans="1:10" x14ac:dyDescent="0.25">
      <c r="A8140" s="2">
        <v>9.0404055081097798</v>
      </c>
      <c r="B8140" s="3">
        <v>-1.5512943652160001</v>
      </c>
      <c r="C8140" s="5">
        <v>9.8154922032039995E-6</v>
      </c>
      <c r="D8140" s="6">
        <v>3.67708028585074E-5</v>
      </c>
      <c r="E8140" s="3" t="s">
        <v>10542</v>
      </c>
      <c r="F8140" s="3" t="s">
        <v>8624</v>
      </c>
      <c r="G8140" s="3" t="s">
        <v>83</v>
      </c>
      <c r="H8140" s="7" t="str">
        <f>HYPERLINK("http://www.ensembl.org/Mus_musculus/Gene/Summary?db=core;g=ENSMUSG00000118623","ENSMUSG00000118623")</f>
        <v>ENSMUSG00000118623</v>
      </c>
      <c r="I8140" s="3" t="s">
        <v>83</v>
      </c>
      <c r="J8140" s="4" t="s">
        <v>12</v>
      </c>
    </row>
    <row r="8141" spans="1:10" x14ac:dyDescent="0.25">
      <c r="A8141" s="2">
        <v>4.0259549609017498</v>
      </c>
      <c r="B8141" s="3">
        <v>-1.5533387606190601</v>
      </c>
      <c r="C8141" s="3">
        <v>3.69582499385482E-4</v>
      </c>
      <c r="D8141" s="4">
        <v>1.1568518869653501E-3</v>
      </c>
      <c r="E8141" s="3" t="s">
        <v>12613</v>
      </c>
      <c r="F8141" s="3" t="s">
        <v>12614</v>
      </c>
      <c r="G8141" s="3">
        <v>13865</v>
      </c>
      <c r="H8141" s="7" t="str">
        <f>HYPERLINK("http://www.ensembl.org/Mus_musculus/Gene/Summary?db=core;g=ENSMUSG00000069171","ENSMUSG00000069171")</f>
        <v>ENSMUSG00000069171</v>
      </c>
      <c r="I8141" s="7" t="str">
        <f>HYPERLINK("http://www.informatics.jax.org/marker/MGI:1352451","MGI:1352451")</f>
        <v>MGI:1352451</v>
      </c>
      <c r="J8141" s="4" t="s">
        <v>12</v>
      </c>
    </row>
    <row r="8142" spans="1:10" x14ac:dyDescent="0.25">
      <c r="A8142" s="2">
        <v>4.7843664012346601</v>
      </c>
      <c r="B8142" s="3">
        <v>-1.5538657203648301</v>
      </c>
      <c r="C8142" s="3">
        <v>2.3547584105983101E-4</v>
      </c>
      <c r="D8142" s="4">
        <v>7.5801233850797596E-4</v>
      </c>
      <c r="E8142" s="3" t="s">
        <v>12263</v>
      </c>
      <c r="F8142" s="3" t="s">
        <v>12264</v>
      </c>
      <c r="G8142" s="3" t="s">
        <v>83</v>
      </c>
      <c r="H8142" s="7" t="str">
        <f>HYPERLINK("http://www.ensembl.org/Mus_musculus/Gene/Summary?db=core;g=ENSMUSG00000085262","ENSMUSG00000085262")</f>
        <v>ENSMUSG00000085262</v>
      </c>
      <c r="I8142" s="7" t="str">
        <f>HYPERLINK("http://www.informatics.jax.org/marker/MGI:3705166","MGI:3705166")</f>
        <v>MGI:3705166</v>
      </c>
      <c r="J8142" s="4" t="s">
        <v>331</v>
      </c>
    </row>
    <row r="8143" spans="1:10" x14ac:dyDescent="0.25">
      <c r="A8143" s="2">
        <v>8.5844848881586096</v>
      </c>
      <c r="B8143" s="3">
        <v>-1.55437743024827</v>
      </c>
      <c r="C8143" s="5">
        <v>2.62569763940788E-5</v>
      </c>
      <c r="D8143" s="6">
        <v>9.4349047830035194E-5</v>
      </c>
      <c r="E8143" s="3" t="s">
        <v>10988</v>
      </c>
      <c r="F8143" s="3" t="s">
        <v>10989</v>
      </c>
      <c r="G8143" s="3" t="s">
        <v>83</v>
      </c>
      <c r="H8143" s="7" t="str">
        <f>HYPERLINK("http://www.ensembl.org/Mus_musculus/Gene/Summary?db=core;g=ENSMUSG00000097773","ENSMUSG00000097773")</f>
        <v>ENSMUSG00000097773</v>
      </c>
      <c r="I8143" s="7" t="str">
        <f>HYPERLINK("http://www.informatics.jax.org/marker/MGI:3642104","MGI:3642104")</f>
        <v>MGI:3642104</v>
      </c>
      <c r="J8143" s="4" t="s">
        <v>3187</v>
      </c>
    </row>
    <row r="8144" spans="1:10" x14ac:dyDescent="0.25">
      <c r="A8144" s="2">
        <v>18.255687308706602</v>
      </c>
      <c r="B8144" s="3">
        <v>-1.55580532970927</v>
      </c>
      <c r="C8144" s="5">
        <v>1.4638205388284999E-6</v>
      </c>
      <c r="D8144" s="6">
        <v>5.9481848394185103E-6</v>
      </c>
      <c r="E8144" s="3" t="s">
        <v>9721</v>
      </c>
      <c r="F8144" s="3" t="s">
        <v>9722</v>
      </c>
      <c r="G8144" s="3">
        <v>11838</v>
      </c>
      <c r="H8144" s="7" t="str">
        <f>HYPERLINK("http://www.ensembl.org/Mus_musculus/Gene/Summary?db=core;g=ENSMUSG00000022602","ENSMUSG00000022602")</f>
        <v>ENSMUSG00000022602</v>
      </c>
      <c r="I8144" s="7" t="str">
        <f>HYPERLINK("http://www.informatics.jax.org/marker/MGI:88067","MGI:88067")</f>
        <v>MGI:88067</v>
      </c>
      <c r="J8144" s="4" t="s">
        <v>12</v>
      </c>
    </row>
    <row r="8145" spans="1:10" x14ac:dyDescent="0.25">
      <c r="A8145" s="2">
        <v>276.07897545160898</v>
      </c>
      <c r="B8145" s="3">
        <v>-1.5572439273913901</v>
      </c>
      <c r="C8145" s="5">
        <v>2.8287691503228399E-31</v>
      </c>
      <c r="D8145" s="6">
        <v>4.3276437272588297E-30</v>
      </c>
      <c r="E8145" s="3" t="s">
        <v>2595</v>
      </c>
      <c r="F8145" s="3" t="s">
        <v>2596</v>
      </c>
      <c r="G8145" s="3">
        <v>214359</v>
      </c>
      <c r="H8145" s="7" t="str">
        <f>HYPERLINK("http://www.ensembl.org/Mus_musculus/Gene/Summary?db=core;g=ENSMUSG00000040616","ENSMUSG00000040616")</f>
        <v>ENSMUSG00000040616</v>
      </c>
      <c r="I8145" s="7" t="str">
        <f>HYPERLINK("http://www.informatics.jax.org/marker/MGI:2384874","MGI:2384874")</f>
        <v>MGI:2384874</v>
      </c>
      <c r="J8145" s="4" t="s">
        <v>12</v>
      </c>
    </row>
    <row r="8146" spans="1:10" x14ac:dyDescent="0.25">
      <c r="A8146" s="2">
        <v>758.75127558705503</v>
      </c>
      <c r="B8146" s="3">
        <v>-1.5584985750886</v>
      </c>
      <c r="C8146" s="5">
        <v>2.4650705060589698E-143</v>
      </c>
      <c r="D8146" s="6">
        <v>4.3018752548215001E-141</v>
      </c>
      <c r="E8146" s="3" t="s">
        <v>236</v>
      </c>
      <c r="F8146" s="3" t="s">
        <v>237</v>
      </c>
      <c r="G8146" s="3">
        <v>241062</v>
      </c>
      <c r="H8146" s="7" t="str">
        <f>HYPERLINK("http://www.ensembl.org/Mus_musculus/Gene/Summary?db=core;g=ENSMUSG00000073678","ENSMUSG00000073678")</f>
        <v>ENSMUSG00000073678</v>
      </c>
      <c r="I8146" s="7" t="str">
        <f>HYPERLINK("http://www.informatics.jax.org/marker/MGI:2443342","MGI:2443342")</f>
        <v>MGI:2443342</v>
      </c>
      <c r="J8146" s="4" t="s">
        <v>12</v>
      </c>
    </row>
    <row r="8147" spans="1:10" x14ac:dyDescent="0.25">
      <c r="A8147" s="2">
        <v>30.133927324041899</v>
      </c>
      <c r="B8147" s="3">
        <v>-1.5592845727665501</v>
      </c>
      <c r="C8147" s="5">
        <v>5.3636268700448897E-11</v>
      </c>
      <c r="D8147" s="6">
        <v>3.18778546947816E-10</v>
      </c>
      <c r="E8147" s="3" t="s">
        <v>6653</v>
      </c>
      <c r="F8147" s="3" t="s">
        <v>6654</v>
      </c>
      <c r="G8147" s="3">
        <v>230661</v>
      </c>
      <c r="H8147" s="7" t="str">
        <f>HYPERLINK("http://www.ensembl.org/Mus_musculus/Gene/Summary?db=core;g=ENSMUSG00000033985","ENSMUSG00000033985")</f>
        <v>ENSMUSG00000033985</v>
      </c>
      <c r="I8147" s="7" t="str">
        <f>HYPERLINK("http://www.informatics.jax.org/marker/MGI:2385204","MGI:2385204")</f>
        <v>MGI:2385204</v>
      </c>
      <c r="J8147" s="4" t="s">
        <v>12</v>
      </c>
    </row>
    <row r="8148" spans="1:10" x14ac:dyDescent="0.25">
      <c r="A8148" s="2">
        <v>4.2182588382984703</v>
      </c>
      <c r="B8148" s="3">
        <v>-1.5603072292482001</v>
      </c>
      <c r="C8148" s="3">
        <v>3.6429971287538102E-4</v>
      </c>
      <c r="D8148" s="4">
        <v>1.1417657879692501E-3</v>
      </c>
      <c r="E8148" s="3" t="s">
        <v>12597</v>
      </c>
      <c r="F8148" s="3" t="s">
        <v>12598</v>
      </c>
      <c r="G8148" s="3">
        <v>107971</v>
      </c>
      <c r="H8148" s="7" t="str">
        <f>HYPERLINK("http://www.ensembl.org/Mus_musculus/Gene/Summary?db=core;g=ENSMUSG00000023266","ENSMUSG00000023266")</f>
        <v>ENSMUSG00000023266</v>
      </c>
      <c r="I8148" s="7" t="str">
        <f>HYPERLINK("http://www.informatics.jax.org/marker/MGI:2135965","MGI:2135965")</f>
        <v>MGI:2135965</v>
      </c>
      <c r="J8148" s="4" t="s">
        <v>12</v>
      </c>
    </row>
    <row r="8149" spans="1:10" x14ac:dyDescent="0.25">
      <c r="A8149" s="2">
        <v>268.23863230977798</v>
      </c>
      <c r="B8149" s="3">
        <v>-1.56041550240404</v>
      </c>
      <c r="C8149" s="5">
        <v>3.5798027562440501E-61</v>
      </c>
      <c r="D8149" s="6">
        <v>1.3395390958848701E-59</v>
      </c>
      <c r="E8149" s="3" t="s">
        <v>1070</v>
      </c>
      <c r="F8149" s="3" t="s">
        <v>1071</v>
      </c>
      <c r="G8149" s="3">
        <v>73086</v>
      </c>
      <c r="H8149" s="7" t="str">
        <f>HYPERLINK("http://www.ensembl.org/Mus_musculus/Gene/Summary?db=core;g=ENSMUSG00000021180","ENSMUSG00000021180")</f>
        <v>ENSMUSG00000021180</v>
      </c>
      <c r="I8149" s="7" t="str">
        <f>HYPERLINK("http://www.informatics.jax.org/marker/MGI:1920336","MGI:1920336")</f>
        <v>MGI:1920336</v>
      </c>
      <c r="J8149" s="4" t="s">
        <v>12</v>
      </c>
    </row>
    <row r="8150" spans="1:10" x14ac:dyDescent="0.25">
      <c r="A8150" s="2">
        <v>43.659245378567597</v>
      </c>
      <c r="B8150" s="3">
        <v>-1.56212740083158</v>
      </c>
      <c r="C8150" s="5">
        <v>2.6426920110567699E-15</v>
      </c>
      <c r="D8150" s="6">
        <v>2.0622828040379701E-14</v>
      </c>
      <c r="E8150" s="3" t="s">
        <v>5071</v>
      </c>
      <c r="F8150" s="3" t="s">
        <v>5072</v>
      </c>
      <c r="G8150" s="3">
        <v>74694</v>
      </c>
      <c r="H8150" s="7" t="str">
        <f>HYPERLINK("http://www.ensembl.org/Mus_musculus/Gene/Summary?db=core;g=ENSMUSG00000052302","ENSMUSG00000052302")</f>
        <v>ENSMUSG00000052302</v>
      </c>
      <c r="I8150" s="7" t="str">
        <f>HYPERLINK("http://www.informatics.jax.org/marker/MGI:1921944","MGI:1921944")</f>
        <v>MGI:1921944</v>
      </c>
      <c r="J8150" s="4" t="s">
        <v>12</v>
      </c>
    </row>
    <row r="8151" spans="1:10" x14ac:dyDescent="0.25">
      <c r="A8151" s="2">
        <v>923.63300637507996</v>
      </c>
      <c r="B8151" s="3">
        <v>-1.5632023113828499</v>
      </c>
      <c r="C8151" s="5">
        <v>1.31744284578486E-67</v>
      </c>
      <c r="D8151" s="6">
        <v>5.7733273153060904E-66</v>
      </c>
      <c r="E8151" s="3" t="s">
        <v>912</v>
      </c>
      <c r="F8151" s="3" t="s">
        <v>913</v>
      </c>
      <c r="G8151" s="3">
        <v>212073</v>
      </c>
      <c r="H8151" s="7" t="str">
        <f>HYPERLINK("http://www.ensembl.org/Mus_musculus/Gene/Summary?db=core;g=ENSMUSG00000054150","ENSMUSG00000054150")</f>
        <v>ENSMUSG00000054150</v>
      </c>
      <c r="I8151" s="7" t="str">
        <f>HYPERLINK("http://www.informatics.jax.org/marker/MGI:2442408","MGI:2442408")</f>
        <v>MGI:2442408</v>
      </c>
      <c r="J8151" s="4" t="s">
        <v>12</v>
      </c>
    </row>
    <row r="8152" spans="1:10" x14ac:dyDescent="0.25">
      <c r="A8152" s="2">
        <v>784.26089098674299</v>
      </c>
      <c r="B8152" s="3">
        <v>-1.5644665718189199</v>
      </c>
      <c r="C8152" s="5">
        <v>7.7268478890882794E-120</v>
      </c>
      <c r="D8152" s="6">
        <v>9.1791229140253596E-118</v>
      </c>
      <c r="E8152" s="3" t="s">
        <v>344</v>
      </c>
      <c r="F8152" s="3" t="s">
        <v>345</v>
      </c>
      <c r="G8152" s="3">
        <v>30841</v>
      </c>
      <c r="H8152" s="7" t="str">
        <f>HYPERLINK("http://www.ensembl.org/Mus_musculus/Gene/Summary?db=core;g=ENSMUSG00000029475","ENSMUSG00000029475")</f>
        <v>ENSMUSG00000029475</v>
      </c>
      <c r="I8152" s="7" t="str">
        <f>HYPERLINK("http://www.informatics.jax.org/marker/MGI:1354737","MGI:1354737")</f>
        <v>MGI:1354737</v>
      </c>
      <c r="J8152" s="4" t="s">
        <v>12</v>
      </c>
    </row>
    <row r="8153" spans="1:10" x14ac:dyDescent="0.25">
      <c r="A8153" s="2">
        <v>970.67566937297204</v>
      </c>
      <c r="B8153" s="3">
        <v>-1.5668620364972401</v>
      </c>
      <c r="C8153" s="5">
        <v>1.8705000262141901E-46</v>
      </c>
      <c r="D8153" s="6">
        <v>4.59355672689212E-45</v>
      </c>
      <c r="E8153" s="3" t="s">
        <v>1622</v>
      </c>
      <c r="F8153" s="3" t="s">
        <v>1623</v>
      </c>
      <c r="G8153" s="3">
        <v>108961</v>
      </c>
      <c r="H8153" s="7" t="str">
        <f>HYPERLINK("http://www.ensembl.org/Mus_musculus/Gene/Summary?db=core;g=ENSMUSG00000046179","ENSMUSG00000046179")</f>
        <v>ENSMUSG00000046179</v>
      </c>
      <c r="I8153" s="7" t="str">
        <f>HYPERLINK("http://www.informatics.jax.org/marker/MGI:1922038","MGI:1922038")</f>
        <v>MGI:1922038</v>
      </c>
      <c r="J8153" s="4" t="s">
        <v>12</v>
      </c>
    </row>
    <row r="8154" spans="1:10" x14ac:dyDescent="0.25">
      <c r="A8154" s="2">
        <v>34.487181686724902</v>
      </c>
      <c r="B8154" s="3">
        <v>-1.56722520646676</v>
      </c>
      <c r="C8154" s="5">
        <v>1.54082487377362E-13</v>
      </c>
      <c r="D8154" s="6">
        <v>1.0871222365229301E-12</v>
      </c>
      <c r="E8154" s="3" t="s">
        <v>5607</v>
      </c>
      <c r="F8154" s="3" t="s">
        <v>5608</v>
      </c>
      <c r="G8154" s="3">
        <v>67492</v>
      </c>
      <c r="H8154" s="7" t="str">
        <f>HYPERLINK("http://www.ensembl.org/Mus_musculus/Gene/Summary?db=core;g=ENSMUSG00000042213","ENSMUSG00000042213")</f>
        <v>ENSMUSG00000042213</v>
      </c>
      <c r="I8154" s="7" t="str">
        <f>HYPERLINK("http://www.informatics.jax.org/marker/MGI:1914742","MGI:1914742")</f>
        <v>MGI:1914742</v>
      </c>
      <c r="J8154" s="4" t="s">
        <v>12</v>
      </c>
    </row>
    <row r="8155" spans="1:10" x14ac:dyDescent="0.25">
      <c r="A8155" s="2">
        <v>486.64532971760099</v>
      </c>
      <c r="B8155" s="3">
        <v>-1.5690200432829899</v>
      </c>
      <c r="C8155" s="5">
        <v>5.1437010818819496E-13</v>
      </c>
      <c r="D8155" s="6">
        <v>3.5110344525687799E-12</v>
      </c>
      <c r="E8155" s="3" t="s">
        <v>5795</v>
      </c>
      <c r="F8155" s="3" t="s">
        <v>5796</v>
      </c>
      <c r="G8155" s="3">
        <v>22256</v>
      </c>
      <c r="H8155" s="7" t="str">
        <f>HYPERLINK("http://www.ensembl.org/Mus_musculus/Gene/Summary?db=core;g=ENSMUSG00000029591","ENSMUSG00000029591")</f>
        <v>ENSMUSG00000029591</v>
      </c>
      <c r="I8155" s="7" t="str">
        <f>HYPERLINK("http://www.informatics.jax.org/marker/MGI:109352","MGI:109352")</f>
        <v>MGI:109352</v>
      </c>
      <c r="J8155" s="4" t="s">
        <v>12</v>
      </c>
    </row>
    <row r="8156" spans="1:10" x14ac:dyDescent="0.25">
      <c r="A8156" s="2">
        <v>17.553866993963901</v>
      </c>
      <c r="B8156" s="3">
        <v>-1.5690998813585399</v>
      </c>
      <c r="C8156" s="5">
        <v>3.6589480240297101E-7</v>
      </c>
      <c r="D8156" s="6">
        <v>1.58233454021636E-6</v>
      </c>
      <c r="E8156" s="3" t="s">
        <v>9135</v>
      </c>
      <c r="F8156" s="3" t="s">
        <v>9136</v>
      </c>
      <c r="G8156" s="3" t="s">
        <v>83</v>
      </c>
      <c r="H8156" s="7" t="str">
        <f>HYPERLINK("http://www.ensembl.org/Mus_musculus/Gene/Summary?db=core;g=ENSMUSG00000084797","ENSMUSG00000084797")</f>
        <v>ENSMUSG00000084797</v>
      </c>
      <c r="I8156" s="7" t="str">
        <f>HYPERLINK("http://www.informatics.jax.org/marker/MGI:3701951","MGI:3701951")</f>
        <v>MGI:3701951</v>
      </c>
      <c r="J8156" s="4" t="s">
        <v>939</v>
      </c>
    </row>
    <row r="8157" spans="1:10" x14ac:dyDescent="0.25">
      <c r="A8157" s="2">
        <v>5.4147528162438796</v>
      </c>
      <c r="B8157" s="3">
        <v>-1.56923536024002</v>
      </c>
      <c r="C8157" s="3">
        <v>1.3577699055108199E-4</v>
      </c>
      <c r="D8157" s="4">
        <v>4.5023074721159103E-4</v>
      </c>
      <c r="E8157" s="3" t="s">
        <v>11905</v>
      </c>
      <c r="F8157" s="3" t="s">
        <v>11906</v>
      </c>
      <c r="G8157" s="3">
        <v>76415</v>
      </c>
      <c r="H8157" s="7" t="str">
        <f>HYPERLINK("http://www.ensembl.org/Mus_musculus/Gene/Summary?db=core;g=ENSMUSG00000046826","ENSMUSG00000046826")</f>
        <v>ENSMUSG00000046826</v>
      </c>
      <c r="I8157" s="7" t="str">
        <f>HYPERLINK("http://www.informatics.jax.org/marker/MGI:1923665","MGI:1923665")</f>
        <v>MGI:1923665</v>
      </c>
      <c r="J8157" s="4" t="s">
        <v>12</v>
      </c>
    </row>
    <row r="8158" spans="1:10" x14ac:dyDescent="0.25">
      <c r="A8158" s="2">
        <v>16.784124193041901</v>
      </c>
      <c r="B8158" s="3">
        <v>-1.5723156740314399</v>
      </c>
      <c r="C8158" s="5">
        <v>3.9949409846714798E-8</v>
      </c>
      <c r="D8158" s="6">
        <v>1.8699320251061399E-7</v>
      </c>
      <c r="E8158" s="3" t="s">
        <v>8443</v>
      </c>
      <c r="F8158" s="3" t="s">
        <v>8444</v>
      </c>
      <c r="G8158" s="3">
        <v>328035</v>
      </c>
      <c r="H8158" s="7" t="str">
        <f>HYPERLINK("http://www.ensembl.org/Mus_musculus/Gene/Summary?db=core;g=ENSMUSG00000044788","ENSMUSG00000044788")</f>
        <v>ENSMUSG00000044788</v>
      </c>
      <c r="I8158" s="7" t="str">
        <f>HYPERLINK("http://www.informatics.jax.org/marker/MGI:3039592","MGI:3039592")</f>
        <v>MGI:3039592</v>
      </c>
      <c r="J8158" s="4" t="s">
        <v>12</v>
      </c>
    </row>
    <row r="8159" spans="1:10" x14ac:dyDescent="0.25">
      <c r="A8159" s="2">
        <v>932.63137788778602</v>
      </c>
      <c r="B8159" s="3">
        <v>-1.5734452539080399</v>
      </c>
      <c r="C8159" s="5">
        <v>2.2892599666540101E-166</v>
      </c>
      <c r="D8159" s="6">
        <v>6.1005684516779897E-164</v>
      </c>
      <c r="E8159" s="3" t="s">
        <v>158</v>
      </c>
      <c r="F8159" s="3" t="s">
        <v>159</v>
      </c>
      <c r="G8159" s="3">
        <v>219072</v>
      </c>
      <c r="H8159" s="7" t="str">
        <f>HYPERLINK("http://www.ensembl.org/Mus_musculus/Gene/Summary?db=core;g=ENSMUSG00000022177","ENSMUSG00000022177")</f>
        <v>ENSMUSG00000022177</v>
      </c>
      <c r="I8159" s="7" t="str">
        <f>HYPERLINK("http://www.informatics.jax.org/marker/MGI:1261794","MGI:1261794")</f>
        <v>MGI:1261794</v>
      </c>
      <c r="J8159" s="4" t="s">
        <v>12</v>
      </c>
    </row>
    <row r="8160" spans="1:10" x14ac:dyDescent="0.25">
      <c r="A8160" s="2">
        <v>4.1859177960083898</v>
      </c>
      <c r="B8160" s="3">
        <v>-1.57461348282563</v>
      </c>
      <c r="C8160" s="3">
        <v>2.93304760696848E-4</v>
      </c>
      <c r="D8160" s="4">
        <v>9.3094638354125799E-4</v>
      </c>
      <c r="E8160" s="3" t="s">
        <v>12439</v>
      </c>
      <c r="F8160" s="3" t="s">
        <v>12440</v>
      </c>
      <c r="G8160" s="3">
        <v>58805</v>
      </c>
      <c r="H8160" s="7" t="str">
        <f>HYPERLINK("http://www.ensembl.org/Mus_musculus/Gene/Summary?db=core;g=ENSMUSG00000005373","ENSMUSG00000005373")</f>
        <v>ENSMUSG00000005373</v>
      </c>
      <c r="I8160" s="7" t="str">
        <f>HYPERLINK("http://www.informatics.jax.org/marker/MGI:1927999","MGI:1927999")</f>
        <v>MGI:1927999</v>
      </c>
      <c r="J8160" s="4" t="s">
        <v>12</v>
      </c>
    </row>
    <row r="8161" spans="1:10" x14ac:dyDescent="0.25">
      <c r="A8161" s="2">
        <v>191.295282988357</v>
      </c>
      <c r="B8161" s="3">
        <v>-1.57644900656818</v>
      </c>
      <c r="C8161" s="5">
        <v>3.9630832072815796E-37</v>
      </c>
      <c r="D8161" s="6">
        <v>7.40777259218888E-36</v>
      </c>
      <c r="E8161" s="3" t="s">
        <v>2127</v>
      </c>
      <c r="F8161" s="3" t="s">
        <v>2128</v>
      </c>
      <c r="G8161" s="3">
        <v>106633</v>
      </c>
      <c r="H8161" s="7" t="str">
        <f>HYPERLINK("http://www.ensembl.org/Mus_musculus/Gene/Summary?db=core;g=ENSMUSG00000024169","ENSMUSG00000024169")</f>
        <v>ENSMUSG00000024169</v>
      </c>
      <c r="I8161" s="7" t="str">
        <f>HYPERLINK("http://www.informatics.jax.org/marker/MGI:2146906","MGI:2146906")</f>
        <v>MGI:2146906</v>
      </c>
      <c r="J8161" s="4" t="s">
        <v>12</v>
      </c>
    </row>
    <row r="8162" spans="1:10" x14ac:dyDescent="0.25">
      <c r="A8162" s="2">
        <v>336.57055487747999</v>
      </c>
      <c r="B8162" s="3">
        <v>-1.57764791108429</v>
      </c>
      <c r="C8162" s="5">
        <v>8.2363610239219899E-57</v>
      </c>
      <c r="D8162" s="6">
        <v>2.6802151714808799E-55</v>
      </c>
      <c r="E8162" s="3" t="s">
        <v>1228</v>
      </c>
      <c r="F8162" s="3" t="s">
        <v>1229</v>
      </c>
      <c r="G8162" s="3">
        <v>19645</v>
      </c>
      <c r="H8162" s="7" t="str">
        <f>HYPERLINK("http://www.ensembl.org/Mus_musculus/Gene/Summary?db=core;g=ENSMUSG00000022105","ENSMUSG00000022105")</f>
        <v>ENSMUSG00000022105</v>
      </c>
      <c r="I8162" s="7" t="str">
        <f>HYPERLINK("http://www.informatics.jax.org/marker/MGI:97874","MGI:97874")</f>
        <v>MGI:97874</v>
      </c>
      <c r="J8162" s="4" t="s">
        <v>12</v>
      </c>
    </row>
    <row r="8163" spans="1:10" x14ac:dyDescent="0.25">
      <c r="A8163" s="2">
        <v>834.278693739912</v>
      </c>
      <c r="B8163" s="3">
        <v>-1.57837015805501</v>
      </c>
      <c r="C8163" s="5">
        <v>2.86498475582064E-43</v>
      </c>
      <c r="D8163" s="6">
        <v>6.39835780122118E-42</v>
      </c>
      <c r="E8163" s="3" t="s">
        <v>1782</v>
      </c>
      <c r="F8163" s="3" t="s">
        <v>1783</v>
      </c>
      <c r="G8163" s="3">
        <v>74039</v>
      </c>
      <c r="H8163" s="7" t="str">
        <f>HYPERLINK("http://www.ensembl.org/Mus_musculus/Gene/Summary?db=core;g=ENSMUSG00000058099","ENSMUSG00000058099")</f>
        <v>ENSMUSG00000058099</v>
      </c>
      <c r="I8163" s="7" t="str">
        <f>HYPERLINK("http://www.informatics.jax.org/marker/MGI:1921289","MGI:1921289")</f>
        <v>MGI:1921289</v>
      </c>
      <c r="J8163" s="4" t="s">
        <v>12</v>
      </c>
    </row>
    <row r="8164" spans="1:10" x14ac:dyDescent="0.25">
      <c r="A8164" s="2">
        <v>17.847350698770299</v>
      </c>
      <c r="B8164" s="3">
        <v>-1.5802705240763899</v>
      </c>
      <c r="C8164" s="5">
        <v>2.8177348328791502E-7</v>
      </c>
      <c r="D8164" s="6">
        <v>1.23232936137451E-6</v>
      </c>
      <c r="E8164" s="3" t="s">
        <v>9033</v>
      </c>
      <c r="F8164" s="3" t="s">
        <v>9034</v>
      </c>
      <c r="G8164" s="3" t="s">
        <v>83</v>
      </c>
      <c r="H8164" s="7" t="str">
        <f>HYPERLINK("http://www.ensembl.org/Mus_musculus/Gene/Summary?db=core;g=ENSMUSG00000085030","ENSMUSG00000085030")</f>
        <v>ENSMUSG00000085030</v>
      </c>
      <c r="I8164" s="7" t="str">
        <f>HYPERLINK("http://www.informatics.jax.org/marker/MGI:1920072","MGI:1920072")</f>
        <v>MGI:1920072</v>
      </c>
      <c r="J8164" s="4" t="s">
        <v>939</v>
      </c>
    </row>
    <row r="8165" spans="1:10" x14ac:dyDescent="0.25">
      <c r="A8165" s="2">
        <v>517.87797324897497</v>
      </c>
      <c r="B8165" s="3">
        <v>-1.5804639622463701</v>
      </c>
      <c r="C8165" s="5">
        <v>1.1805869656700499E-45</v>
      </c>
      <c r="D8165" s="6">
        <v>2.8083443863707301E-44</v>
      </c>
      <c r="E8165" s="3" t="s">
        <v>1674</v>
      </c>
      <c r="F8165" s="3" t="s">
        <v>1675</v>
      </c>
      <c r="G8165" s="3">
        <v>76108</v>
      </c>
      <c r="H8165" s="7" t="str">
        <f>HYPERLINK("http://www.ensembl.org/Mus_musculus/Gene/Summary?db=core;g=ENSMUSG00000051615","ENSMUSG00000051615")</f>
        <v>ENSMUSG00000051615</v>
      </c>
      <c r="I8165" s="7" t="str">
        <f>HYPERLINK("http://www.informatics.jax.org/marker/MGI:97855","MGI:97855")</f>
        <v>MGI:97855</v>
      </c>
      <c r="J8165" s="4" t="s">
        <v>12</v>
      </c>
    </row>
    <row r="8166" spans="1:10" x14ac:dyDescent="0.25">
      <c r="A8166" s="2">
        <v>1.2926463339011001</v>
      </c>
      <c r="B8166" s="3">
        <v>-1.5806305775949201</v>
      </c>
      <c r="C8166" s="3">
        <v>6.0029885427523104E-4</v>
      </c>
      <c r="D8166" s="4">
        <v>1.8296589499702601E-3</v>
      </c>
      <c r="E8166" s="3" t="s">
        <v>12949</v>
      </c>
      <c r="F8166" s="3" t="s">
        <v>12950</v>
      </c>
      <c r="G8166" s="3" t="s">
        <v>83</v>
      </c>
      <c r="H8166" s="7" t="str">
        <f>HYPERLINK("http://www.ensembl.org/Mus_musculus/Gene/Summary?db=core;g=ENSMUSG00000101309","ENSMUSG00000101309")</f>
        <v>ENSMUSG00000101309</v>
      </c>
      <c r="I8166" s="7" t="str">
        <f>HYPERLINK("http://www.informatics.jax.org/marker/MGI:5580103","MGI:5580103")</f>
        <v>MGI:5580103</v>
      </c>
      <c r="J8166" s="4" t="s">
        <v>1043</v>
      </c>
    </row>
    <row r="8167" spans="1:10" x14ac:dyDescent="0.25">
      <c r="A8167" s="2">
        <v>2.1356332000412599</v>
      </c>
      <c r="B8167" s="3">
        <v>-1.5807742207494699</v>
      </c>
      <c r="C8167" s="3">
        <v>6.6292753919649399E-4</v>
      </c>
      <c r="D8167" s="4">
        <v>2.0059737721274899E-3</v>
      </c>
      <c r="E8167" s="3" t="s">
        <v>13043</v>
      </c>
      <c r="F8167" s="3" t="s">
        <v>13044</v>
      </c>
      <c r="G8167" s="3">
        <v>18799</v>
      </c>
      <c r="H8167" s="7" t="str">
        <f>HYPERLINK("http://www.ensembl.org/Mus_musculus/Gene/Summary?db=core;g=ENSMUSG00000010660","ENSMUSG00000010660")</f>
        <v>ENSMUSG00000010660</v>
      </c>
      <c r="I8167" s="7" t="str">
        <f>HYPERLINK("http://www.informatics.jax.org/marker/MGI:97614","MGI:97614")</f>
        <v>MGI:97614</v>
      </c>
      <c r="J8167" s="4" t="s">
        <v>12</v>
      </c>
    </row>
    <row r="8168" spans="1:10" x14ac:dyDescent="0.25">
      <c r="A8168" s="2">
        <v>664.96314487924303</v>
      </c>
      <c r="B8168" s="3">
        <v>-1.58162262932471</v>
      </c>
      <c r="C8168" s="5">
        <v>9.8111055927065204E-39</v>
      </c>
      <c r="D8168" s="6">
        <v>1.9118083230056598E-37</v>
      </c>
      <c r="E8168" s="3" t="s">
        <v>2041</v>
      </c>
      <c r="F8168" s="3" t="s">
        <v>2042</v>
      </c>
      <c r="G8168" s="3">
        <v>12192</v>
      </c>
      <c r="H8168" s="7" t="str">
        <f>HYPERLINK("http://www.ensembl.org/Mus_musculus/Gene/Summary?db=core;g=ENSMUSG00000021127","ENSMUSG00000021127")</f>
        <v>ENSMUSG00000021127</v>
      </c>
      <c r="I8168" s="7" t="str">
        <f>HYPERLINK("http://www.informatics.jax.org/marker/MGI:107946","MGI:107946")</f>
        <v>MGI:107946</v>
      </c>
      <c r="J8168" s="4" t="s">
        <v>12</v>
      </c>
    </row>
    <row r="8169" spans="1:10" x14ac:dyDescent="0.25">
      <c r="A8169" s="2">
        <v>9.1134259487214599</v>
      </c>
      <c r="B8169" s="3">
        <v>-1.5864866400281601</v>
      </c>
      <c r="C8169" s="5">
        <v>8.6792241670528108E-6</v>
      </c>
      <c r="D8169" s="6">
        <v>3.2719231614276697E-5</v>
      </c>
      <c r="E8169" s="3" t="s">
        <v>10476</v>
      </c>
      <c r="F8169" s="3" t="s">
        <v>10477</v>
      </c>
      <c r="G8169" s="3" t="s">
        <v>83</v>
      </c>
      <c r="H8169" s="7" t="str">
        <f>HYPERLINK("http://www.ensembl.org/Mus_musculus/Gene/Summary?db=core;g=ENSMUSG00000113831","ENSMUSG00000113831")</f>
        <v>ENSMUSG00000113831</v>
      </c>
      <c r="I8169" s="7" t="str">
        <f>HYPERLINK("http://www.informatics.jax.org/marker/MGI:6215013","MGI:6215013")</f>
        <v>MGI:6215013</v>
      </c>
      <c r="J8169" s="4" t="s">
        <v>939</v>
      </c>
    </row>
    <row r="8170" spans="1:10" x14ac:dyDescent="0.25">
      <c r="A8170" s="2">
        <v>812.35641081410597</v>
      </c>
      <c r="B8170" s="3">
        <v>-1.5868606484741199</v>
      </c>
      <c r="C8170" s="5">
        <v>5.3230366374720298E-69</v>
      </c>
      <c r="D8170" s="6">
        <v>2.3802785145339799E-67</v>
      </c>
      <c r="E8170" s="3" t="s">
        <v>894</v>
      </c>
      <c r="F8170" s="3" t="s">
        <v>895</v>
      </c>
      <c r="G8170" s="3">
        <v>26382</v>
      </c>
      <c r="H8170" s="7" t="str">
        <f>HYPERLINK("http://www.ensembl.org/Mus_musculus/Gene/Summary?db=core;g=ENSMUSG00000024013","ENSMUSG00000024013")</f>
        <v>ENSMUSG00000024013</v>
      </c>
      <c r="I8170" s="7" t="str">
        <f>HYPERLINK("http://www.informatics.jax.org/marker/MGI:1347084","MGI:1347084")</f>
        <v>MGI:1347084</v>
      </c>
      <c r="J8170" s="4" t="s">
        <v>12</v>
      </c>
    </row>
    <row r="8171" spans="1:10" x14ac:dyDescent="0.25">
      <c r="A8171" s="2">
        <v>127.801618850084</v>
      </c>
      <c r="B8171" s="3">
        <v>-1.5872414831836701</v>
      </c>
      <c r="C8171" s="5">
        <v>1.1579467924768801E-33</v>
      </c>
      <c r="D8171" s="6">
        <v>1.9092567514752599E-32</v>
      </c>
      <c r="E8171" s="3" t="s">
        <v>2409</v>
      </c>
      <c r="F8171" s="3" t="s">
        <v>2410</v>
      </c>
      <c r="G8171" s="3">
        <v>20166</v>
      </c>
      <c r="H8171" s="7" t="str">
        <f>HYPERLINK("http://www.ensembl.org/Mus_musculus/Gene/Summary?db=core;g=ENSMUSG00000034930","ENSMUSG00000034930")</f>
        <v>ENSMUSG00000034930</v>
      </c>
      <c r="I8171" s="7" t="str">
        <f>HYPERLINK("http://www.informatics.jax.org/marker/MGI:107371","MGI:107371")</f>
        <v>MGI:107371</v>
      </c>
      <c r="J8171" s="4" t="s">
        <v>12</v>
      </c>
    </row>
    <row r="8172" spans="1:10" x14ac:dyDescent="0.25">
      <c r="A8172" s="2">
        <v>7.1798786113547397</v>
      </c>
      <c r="B8172" s="3">
        <v>-1.5873254132515799</v>
      </c>
      <c r="C8172" s="5">
        <v>9.3253123936245404E-5</v>
      </c>
      <c r="D8172" s="4">
        <v>3.1564565808835598E-4</v>
      </c>
      <c r="E8172" s="3" t="s">
        <v>11663</v>
      </c>
      <c r="F8172" s="3" t="s">
        <v>11664</v>
      </c>
      <c r="G8172" s="3" t="s">
        <v>83</v>
      </c>
      <c r="H8172" s="7" t="str">
        <f>HYPERLINK("http://www.ensembl.org/Mus_musculus/Gene/Summary?db=core;g=ENSMUSG00000115410","ENSMUSG00000115410")</f>
        <v>ENSMUSG00000115410</v>
      </c>
      <c r="I8172" s="7" t="str">
        <f>HYPERLINK("http://www.informatics.jax.org/marker/MGI:1920074","MGI:1920074")</f>
        <v>MGI:1920074</v>
      </c>
      <c r="J8172" s="4" t="s">
        <v>932</v>
      </c>
    </row>
    <row r="8173" spans="1:10" x14ac:dyDescent="0.25">
      <c r="A8173" s="2">
        <v>793.62365980000095</v>
      </c>
      <c r="B8173" s="3">
        <v>-1.58762336760053</v>
      </c>
      <c r="C8173" s="5">
        <v>2.8250509361032901E-79</v>
      </c>
      <c r="D8173" s="6">
        <v>1.61011573583691E-77</v>
      </c>
      <c r="E8173" s="3" t="s">
        <v>704</v>
      </c>
      <c r="F8173" s="3" t="s">
        <v>705</v>
      </c>
      <c r="G8173" s="3">
        <v>218973</v>
      </c>
      <c r="H8173" s="7" t="str">
        <f>HYPERLINK("http://www.ensembl.org/Mus_musculus/Gene/Summary?db=core;g=ENSMUSG00000037572","ENSMUSG00000037572")</f>
        <v>ENSMUSG00000037572</v>
      </c>
      <c r="I8173" s="7" t="str">
        <f>HYPERLINK("http://www.informatics.jax.org/marker/MGI:2443514","MGI:2443514")</f>
        <v>MGI:2443514</v>
      </c>
      <c r="J8173" s="4" t="s">
        <v>12</v>
      </c>
    </row>
    <row r="8174" spans="1:10" x14ac:dyDescent="0.25">
      <c r="A8174" s="2">
        <v>424.015736230431</v>
      </c>
      <c r="B8174" s="3">
        <v>-1.5904261529200501</v>
      </c>
      <c r="C8174" s="5">
        <v>6.3416539299789E-55</v>
      </c>
      <c r="D8174" s="6">
        <v>1.9449053732377E-53</v>
      </c>
      <c r="E8174" s="3" t="s">
        <v>1302</v>
      </c>
      <c r="F8174" s="3" t="s">
        <v>1303</v>
      </c>
      <c r="G8174" s="3">
        <v>71988</v>
      </c>
      <c r="H8174" s="7" t="str">
        <f>HYPERLINK("http://www.ensembl.org/Mus_musculus/Gene/Summary?db=core;g=ENSMUSG00000022034","ENSMUSG00000022034")</f>
        <v>ENSMUSG00000022034</v>
      </c>
      <c r="I8174" s="7" t="str">
        <f>HYPERLINK("http://www.informatics.jax.org/marker/MGI:1919238","MGI:1919238")</f>
        <v>MGI:1919238</v>
      </c>
      <c r="J8174" s="4" t="s">
        <v>12</v>
      </c>
    </row>
    <row r="8175" spans="1:10" x14ac:dyDescent="0.25">
      <c r="A8175" s="2">
        <v>1031.5189432908701</v>
      </c>
      <c r="B8175" s="3">
        <v>-1.59110768843684</v>
      </c>
      <c r="C8175" s="5">
        <v>3.0873934117978099E-102</v>
      </c>
      <c r="D8175" s="6">
        <v>2.50548963294868E-100</v>
      </c>
      <c r="E8175" s="3" t="s">
        <v>498</v>
      </c>
      <c r="F8175" s="3" t="s">
        <v>499</v>
      </c>
      <c r="G8175" s="3">
        <v>70604</v>
      </c>
      <c r="H8175" s="7" t="str">
        <f>HYPERLINK("http://www.ensembl.org/Mus_musculus/Gene/Summary?db=core;g=ENSMUSG00000074212","ENSMUSG00000074212")</f>
        <v>ENSMUSG00000074212</v>
      </c>
      <c r="I8175" s="7" t="str">
        <f>HYPERLINK("http://www.informatics.jax.org/marker/MGI:1917854","MGI:1917854")</f>
        <v>MGI:1917854</v>
      </c>
      <c r="J8175" s="4" t="s">
        <v>12</v>
      </c>
    </row>
    <row r="8176" spans="1:10" x14ac:dyDescent="0.25">
      <c r="A8176" s="2">
        <v>50.226831197714503</v>
      </c>
      <c r="B8176" s="3">
        <v>-1.5915087500557501</v>
      </c>
      <c r="C8176" s="5">
        <v>4.4009221607643501E-20</v>
      </c>
      <c r="D8176" s="6">
        <v>4.3809280671515803E-19</v>
      </c>
      <c r="E8176" s="3" t="s">
        <v>3980</v>
      </c>
      <c r="F8176" s="3" t="s">
        <v>3981</v>
      </c>
      <c r="G8176" s="3">
        <v>78255</v>
      </c>
      <c r="H8176" s="7" t="str">
        <f>HYPERLINK("http://www.ensembl.org/Mus_musculus/Gene/Summary?db=core;g=ENSMUSG00000026594","ENSMUSG00000026594")</f>
        <v>ENSMUSG00000026594</v>
      </c>
      <c r="I8176" s="7" t="str">
        <f>HYPERLINK("http://www.informatics.jax.org/marker/MGI:1925505","MGI:1925505")</f>
        <v>MGI:1925505</v>
      </c>
      <c r="J8176" s="4" t="s">
        <v>12</v>
      </c>
    </row>
    <row r="8177" spans="1:10" x14ac:dyDescent="0.25">
      <c r="A8177" s="2">
        <v>23.897000870488899</v>
      </c>
      <c r="B8177" s="3">
        <v>-1.5917034162694399</v>
      </c>
      <c r="C8177" s="5">
        <v>2.4430979535987801E-9</v>
      </c>
      <c r="D8177" s="6">
        <v>1.26917522773888E-8</v>
      </c>
      <c r="E8177" s="3" t="s">
        <v>7610</v>
      </c>
      <c r="F8177" s="3" t="s">
        <v>7611</v>
      </c>
      <c r="G8177" s="3">
        <v>26399</v>
      </c>
      <c r="H8177" s="7" t="str">
        <f>HYPERLINK("http://www.ensembl.org/Mus_musculus/Gene/Summary?db=core;g=ENSMUSG00000020623","ENSMUSG00000020623")</f>
        <v>ENSMUSG00000020623</v>
      </c>
      <c r="I8177" s="7" t="str">
        <f>HYPERLINK("http://www.informatics.jax.org/marker/MGI:1346870","MGI:1346870")</f>
        <v>MGI:1346870</v>
      </c>
      <c r="J8177" s="4" t="s">
        <v>12</v>
      </c>
    </row>
    <row r="8178" spans="1:10" x14ac:dyDescent="0.25">
      <c r="A8178" s="2">
        <v>25.775201576935501</v>
      </c>
      <c r="B8178" s="3">
        <v>-1.5921101124985</v>
      </c>
      <c r="C8178" s="5">
        <v>1.32381691513359E-10</v>
      </c>
      <c r="D8178" s="6">
        <v>7.6354693086968197E-10</v>
      </c>
      <c r="E8178" s="3" t="s">
        <v>6856</v>
      </c>
      <c r="F8178" s="3" t="s">
        <v>6857</v>
      </c>
      <c r="G8178" s="3">
        <v>232430</v>
      </c>
      <c r="H8178" s="7" t="str">
        <f>HYPERLINK("http://www.ensembl.org/Mus_musculus/Gene/Summary?db=core;g=ENSMUSG00000032652","ENSMUSG00000032652")</f>
        <v>ENSMUSG00000032652</v>
      </c>
      <c r="I8178" s="7" t="str">
        <f>HYPERLINK("http://www.informatics.jax.org/marker/MGI:1889385","MGI:1889385")</f>
        <v>MGI:1889385</v>
      </c>
      <c r="J8178" s="4" t="s">
        <v>12</v>
      </c>
    </row>
    <row r="8179" spans="1:10" x14ac:dyDescent="0.25">
      <c r="A8179" s="2">
        <v>2.9515989710072401</v>
      </c>
      <c r="B8179" s="3">
        <v>-1.5958080958708301</v>
      </c>
      <c r="C8179" s="3">
        <v>4.8801027184326099E-4</v>
      </c>
      <c r="D8179" s="4">
        <v>1.5046220388913499E-3</v>
      </c>
      <c r="E8179" s="3" t="s">
        <v>12801</v>
      </c>
      <c r="F8179" s="3" t="s">
        <v>12802</v>
      </c>
      <c r="G8179" s="3">
        <v>328660</v>
      </c>
      <c r="H8179" s="7" t="str">
        <f>HYPERLINK("http://www.ensembl.org/Mus_musculus/Gene/Summary?db=core;g=ENSMUSG00000075269","ENSMUSG00000075269")</f>
        <v>ENSMUSG00000075269</v>
      </c>
      <c r="I8179" s="7" t="str">
        <f>HYPERLINK("http://www.informatics.jax.org/marker/MGI:3588247","MGI:3588247")</f>
        <v>MGI:3588247</v>
      </c>
      <c r="J8179" s="4" t="s">
        <v>12</v>
      </c>
    </row>
    <row r="8180" spans="1:10" x14ac:dyDescent="0.25">
      <c r="A8180" s="2">
        <v>1732.1397204857201</v>
      </c>
      <c r="B8180" s="3">
        <v>-1.59624769566619</v>
      </c>
      <c r="C8180" s="5">
        <v>2.5460788985052E-186</v>
      </c>
      <c r="D8180" s="6">
        <v>8.8085396278109801E-184</v>
      </c>
      <c r="E8180" s="3" t="s">
        <v>124</v>
      </c>
      <c r="F8180" s="3" t="s">
        <v>125</v>
      </c>
      <c r="G8180" s="3">
        <v>215653</v>
      </c>
      <c r="H8180" s="7" t="str">
        <f>HYPERLINK("http://www.ensembl.org/Mus_musculus/Gene/Summary?db=core;g=ENSMUSG00000027339","ENSMUSG00000027339")</f>
        <v>ENSMUSG00000027339</v>
      </c>
      <c r="I8180" s="7" t="str">
        <f>HYPERLINK("http://www.informatics.jax.org/marker/MGI:2442060","MGI:2442060")</f>
        <v>MGI:2442060</v>
      </c>
      <c r="J8180" s="4" t="s">
        <v>12</v>
      </c>
    </row>
    <row r="8181" spans="1:10" x14ac:dyDescent="0.25">
      <c r="A8181" s="2">
        <v>5.4987054171022303</v>
      </c>
      <c r="B8181" s="3">
        <v>-1.5966589437260701</v>
      </c>
      <c r="C8181" s="3">
        <v>1.3542599656467201E-4</v>
      </c>
      <c r="D8181" s="4">
        <v>4.4914239022121399E-4</v>
      </c>
      <c r="E8181" s="3" t="s">
        <v>11903</v>
      </c>
      <c r="F8181" s="3" t="s">
        <v>11904</v>
      </c>
      <c r="G8181" s="3">
        <v>66425</v>
      </c>
      <c r="H8181" s="7" t="str">
        <f>HYPERLINK("http://www.ensembl.org/Mus_musculus/Gene/Summary?db=core;g=ENSMUSG00000038370","ENSMUSG00000038370")</f>
        <v>ENSMUSG00000038370</v>
      </c>
      <c r="I8181" s="7" t="str">
        <f>HYPERLINK("http://www.informatics.jax.org/marker/MGI:1913675","MGI:1913675")</f>
        <v>MGI:1913675</v>
      </c>
      <c r="J8181" s="4" t="s">
        <v>12</v>
      </c>
    </row>
    <row r="8182" spans="1:10" x14ac:dyDescent="0.25">
      <c r="A8182" s="2">
        <v>45.094565918691302</v>
      </c>
      <c r="B8182" s="3">
        <v>-1.5990531195225599</v>
      </c>
      <c r="C8182" s="5">
        <v>1.76428598497809E-16</v>
      </c>
      <c r="D8182" s="6">
        <v>1.4569396827373499E-15</v>
      </c>
      <c r="E8182" s="3" t="s">
        <v>4793</v>
      </c>
      <c r="F8182" s="3" t="s">
        <v>4794</v>
      </c>
      <c r="G8182" s="3">
        <v>57781</v>
      </c>
      <c r="H8182" s="7" t="str">
        <f>HYPERLINK("http://www.ensembl.org/Mus_musculus/Gene/Summary?db=core;g=ENSMUSG00000022667","ENSMUSG00000022667")</f>
        <v>ENSMUSG00000022667</v>
      </c>
      <c r="I8182" s="7" t="str">
        <f>HYPERLINK("http://www.informatics.jax.org/marker/MGI:1889024","MGI:1889024")</f>
        <v>MGI:1889024</v>
      </c>
      <c r="J8182" s="4" t="s">
        <v>12</v>
      </c>
    </row>
    <row r="8183" spans="1:10" x14ac:dyDescent="0.25">
      <c r="A8183" s="2">
        <v>109.213023454623</v>
      </c>
      <c r="B8183" s="3">
        <v>-1.6010149602743</v>
      </c>
      <c r="C8183" s="5">
        <v>3.4922191639474899E-31</v>
      </c>
      <c r="D8183" s="6">
        <v>5.3302292502356402E-30</v>
      </c>
      <c r="E8183" s="3" t="s">
        <v>2601</v>
      </c>
      <c r="F8183" s="3" t="s">
        <v>2602</v>
      </c>
      <c r="G8183" s="3">
        <v>20598</v>
      </c>
      <c r="H8183" s="7" t="str">
        <f>HYPERLINK("http://www.ensembl.org/Mus_musculus/Gene/Summary?db=core;g=ENSMUSG00000019822","ENSMUSG00000019822")</f>
        <v>ENSMUSG00000019822</v>
      </c>
      <c r="I8183" s="7" t="str">
        <f>HYPERLINK("http://www.informatics.jax.org/marker/MGI:1278330","MGI:1278330")</f>
        <v>MGI:1278330</v>
      </c>
      <c r="J8183" s="4" t="s">
        <v>12</v>
      </c>
    </row>
    <row r="8184" spans="1:10" x14ac:dyDescent="0.25">
      <c r="A8184" s="2">
        <v>128.960568896816</v>
      </c>
      <c r="B8184" s="3">
        <v>-1.6032861958673701</v>
      </c>
      <c r="C8184" s="5">
        <v>2.09108336090679E-31</v>
      </c>
      <c r="D8184" s="6">
        <v>3.2040531373023997E-30</v>
      </c>
      <c r="E8184" s="3" t="s">
        <v>2591</v>
      </c>
      <c r="F8184" s="3" t="s">
        <v>2592</v>
      </c>
      <c r="G8184" s="3">
        <v>72107</v>
      </c>
      <c r="H8184" s="7" t="str">
        <f>HYPERLINK("http://www.ensembl.org/Mus_musculus/Gene/Summary?db=core;g=ENSMUSG00000022422","ENSMUSG00000022422")</f>
        <v>ENSMUSG00000022422</v>
      </c>
      <c r="I8184" s="7" t="str">
        <f>HYPERLINK("http://www.informatics.jax.org/marker/MGI:1919357","MGI:1919357")</f>
        <v>MGI:1919357</v>
      </c>
      <c r="J8184" s="4" t="s">
        <v>12</v>
      </c>
    </row>
    <row r="8185" spans="1:10" x14ac:dyDescent="0.25">
      <c r="A8185" s="2">
        <v>11.3550610101728</v>
      </c>
      <c r="B8185" s="3">
        <v>-1.60330450512547</v>
      </c>
      <c r="C8185" s="5">
        <v>3.56949830606042E-6</v>
      </c>
      <c r="D8185" s="6">
        <v>1.3985795071629499E-5</v>
      </c>
      <c r="E8185" s="3" t="s">
        <v>10082</v>
      </c>
      <c r="F8185" s="3" t="s">
        <v>10083</v>
      </c>
      <c r="G8185" s="3" t="s">
        <v>83</v>
      </c>
      <c r="H8185" s="7" t="str">
        <f>HYPERLINK("http://www.ensembl.org/Mus_musculus/Gene/Summary?db=core;g=ENSMUSG00000083668","ENSMUSG00000083668")</f>
        <v>ENSMUSG00000083668</v>
      </c>
      <c r="I8185" s="7" t="str">
        <f>HYPERLINK("http://www.informatics.jax.org/marker/MGI:3647868","MGI:3647868")</f>
        <v>MGI:3647868</v>
      </c>
      <c r="J8185" s="4" t="s">
        <v>1043</v>
      </c>
    </row>
    <row r="8186" spans="1:10" x14ac:dyDescent="0.25">
      <c r="A8186" s="2">
        <v>111.04346997451501</v>
      </c>
      <c r="B8186" s="3">
        <v>-1.6084088061830399</v>
      </c>
      <c r="C8186" s="5">
        <v>7.6864607540931899E-37</v>
      </c>
      <c r="D8186" s="6">
        <v>1.4245959217172699E-35</v>
      </c>
      <c r="E8186" s="3" t="s">
        <v>2145</v>
      </c>
      <c r="F8186" s="3" t="s">
        <v>2146</v>
      </c>
      <c r="G8186" s="3">
        <v>231532</v>
      </c>
      <c r="H8186" s="7" t="str">
        <f>HYPERLINK("http://www.ensembl.org/Mus_musculus/Gene/Summary?db=core;g=ENSMUSG00000057315","ENSMUSG00000057315")</f>
        <v>ENSMUSG00000057315</v>
      </c>
      <c r="I8186" s="7" t="str">
        <f>HYPERLINK("http://www.informatics.jax.org/marker/MGI:1922647","MGI:1922647")</f>
        <v>MGI:1922647</v>
      </c>
      <c r="J8186" s="4" t="s">
        <v>12</v>
      </c>
    </row>
    <row r="8187" spans="1:10" x14ac:dyDescent="0.25">
      <c r="A8187" s="2">
        <v>635.53365001848397</v>
      </c>
      <c r="B8187" s="3">
        <v>-1.6093593427802999</v>
      </c>
      <c r="C8187" s="5">
        <v>1.26232984892166E-70</v>
      </c>
      <c r="D8187" s="6">
        <v>5.8988494361931597E-69</v>
      </c>
      <c r="E8187" s="3" t="s">
        <v>856</v>
      </c>
      <c r="F8187" s="3" t="s">
        <v>857</v>
      </c>
      <c r="G8187" s="3">
        <v>57441</v>
      </c>
      <c r="H8187" s="7" t="str">
        <f>HYPERLINK("http://www.ensembl.org/Mus_musculus/Gene/Summary?db=core;g=ENSMUSG00000006715","ENSMUSG00000006715")</f>
        <v>ENSMUSG00000006715</v>
      </c>
      <c r="I8187" s="7" t="str">
        <f>HYPERLINK("http://www.informatics.jax.org/marker/MGI:1927344","MGI:1927344")</f>
        <v>MGI:1927344</v>
      </c>
      <c r="J8187" s="4" t="s">
        <v>12</v>
      </c>
    </row>
    <row r="8188" spans="1:10" x14ac:dyDescent="0.25">
      <c r="A8188" s="2">
        <v>44.589025264084903</v>
      </c>
      <c r="B8188" s="3">
        <v>-1.6105705899324401</v>
      </c>
      <c r="C8188" s="5">
        <v>5.3417753191072398E-13</v>
      </c>
      <c r="D8188" s="6">
        <v>3.6374243540329701E-12</v>
      </c>
      <c r="E8188" s="3" t="s">
        <v>5809</v>
      </c>
      <c r="F8188" s="3" t="s">
        <v>5810</v>
      </c>
      <c r="G8188" s="3">
        <v>11861</v>
      </c>
      <c r="H8188" s="7" t="str">
        <f>HYPERLINK("http://www.ensembl.org/Mus_musculus/Gene/Summary?db=core;g=ENSMUSG00000047446","ENSMUSG00000047446")</f>
        <v>ENSMUSG00000047446</v>
      </c>
      <c r="I8188" s="7" t="str">
        <f>HYPERLINK("http://www.informatics.jax.org/marker/MGI:99437","MGI:99437")</f>
        <v>MGI:99437</v>
      </c>
      <c r="J8188" s="4" t="s">
        <v>12</v>
      </c>
    </row>
    <row r="8189" spans="1:10" x14ac:dyDescent="0.25">
      <c r="A8189" s="2">
        <v>74.760749561271396</v>
      </c>
      <c r="B8189" s="3">
        <v>-1.6106778211849899</v>
      </c>
      <c r="C8189" s="5">
        <v>1.16233164583478E-25</v>
      </c>
      <c r="D8189" s="6">
        <v>1.45994777425872E-24</v>
      </c>
      <c r="E8189" s="3" t="s">
        <v>3159</v>
      </c>
      <c r="F8189" s="3" t="s">
        <v>3160</v>
      </c>
      <c r="G8189" s="3">
        <v>215474</v>
      </c>
      <c r="H8189" s="7" t="str">
        <f>HYPERLINK("http://www.ensembl.org/Mus_musculus/Gene/Summary?db=core;g=ENSMUSG00000061536","ENSMUSG00000061536")</f>
        <v>ENSMUSG00000061536</v>
      </c>
      <c r="I8189" s="7" t="str">
        <f>HYPERLINK("http://www.informatics.jax.org/marker/MGI:2447871","MGI:2447871")</f>
        <v>MGI:2447871</v>
      </c>
      <c r="J8189" s="4" t="s">
        <v>12</v>
      </c>
    </row>
    <row r="8190" spans="1:10" x14ac:dyDescent="0.25">
      <c r="A8190" s="2">
        <v>987.29134491928801</v>
      </c>
      <c r="B8190" s="3">
        <v>-1.61173160290443</v>
      </c>
      <c r="C8190" s="5">
        <v>3.60092344533143E-50</v>
      </c>
      <c r="D8190" s="6">
        <v>9.7274260742377707E-49</v>
      </c>
      <c r="E8190" s="3" t="s">
        <v>1476</v>
      </c>
      <c r="F8190" s="3" t="s">
        <v>1477</v>
      </c>
      <c r="G8190" s="3">
        <v>26360</v>
      </c>
      <c r="H8190" s="7" t="str">
        <f>HYPERLINK("http://www.ensembl.org/Mus_musculus/Gene/Summary?db=core;g=ENSMUSG00000004105","ENSMUSG00000004105")</f>
        <v>ENSMUSG00000004105</v>
      </c>
      <c r="I8190" s="7" t="str">
        <f>HYPERLINK("http://www.informatics.jax.org/marker/MGI:1347002","MGI:1347002")</f>
        <v>MGI:1347002</v>
      </c>
      <c r="J8190" s="4" t="s">
        <v>12</v>
      </c>
    </row>
    <row r="8191" spans="1:10" x14ac:dyDescent="0.25">
      <c r="A8191" s="2">
        <v>11.432277358035</v>
      </c>
      <c r="B8191" s="3">
        <v>-1.6133744415485001</v>
      </c>
      <c r="C8191" s="5">
        <v>9.2537901159936392E-6</v>
      </c>
      <c r="D8191" s="6">
        <v>3.4752378801636802E-5</v>
      </c>
      <c r="E8191" s="3" t="s">
        <v>10516</v>
      </c>
      <c r="F8191" s="3" t="s">
        <v>10517</v>
      </c>
      <c r="G8191" s="3">
        <v>56279</v>
      </c>
      <c r="H8191" s="7" t="str">
        <f>HYPERLINK("http://www.ensembl.org/Mus_musculus/Gene/Summary?db=core;g=ENSMUSG00000036186","ENSMUSG00000036186")</f>
        <v>ENSMUSG00000036186</v>
      </c>
      <c r="I8191" s="7" t="str">
        <f>HYPERLINK("http://www.informatics.jax.org/marker/MGI:1927576","MGI:1927576")</f>
        <v>MGI:1927576</v>
      </c>
      <c r="J8191" s="4" t="s">
        <v>12</v>
      </c>
    </row>
    <row r="8192" spans="1:10" x14ac:dyDescent="0.25">
      <c r="A8192" s="2">
        <v>159.811650358577</v>
      </c>
      <c r="B8192" s="3">
        <v>-1.61339335335692</v>
      </c>
      <c r="C8192" s="5">
        <v>2.6335020120813602E-44</v>
      </c>
      <c r="D8192" s="6">
        <v>6.0739952840051903E-43</v>
      </c>
      <c r="E8192" s="3" t="s">
        <v>1726</v>
      </c>
      <c r="F8192" s="3" t="s">
        <v>1727</v>
      </c>
      <c r="G8192" s="3">
        <v>73420</v>
      </c>
      <c r="H8192" s="7" t="str">
        <f>HYPERLINK("http://www.ensembl.org/Mus_musculus/Gene/Summary?db=core;g=ENSMUSG00000031971","ENSMUSG00000031971")</f>
        <v>ENSMUSG00000031971</v>
      </c>
      <c r="I8192" s="7" t="str">
        <f>HYPERLINK("http://www.informatics.jax.org/marker/MGI:1920670","MGI:1920670")</f>
        <v>MGI:1920670</v>
      </c>
      <c r="J8192" s="4" t="s">
        <v>12</v>
      </c>
    </row>
    <row r="8193" spans="1:10" x14ac:dyDescent="0.25">
      <c r="A8193" s="2">
        <v>44.417737167418601</v>
      </c>
      <c r="B8193" s="3">
        <v>-1.61372875994149</v>
      </c>
      <c r="C8193" s="5">
        <v>1.98151432869401E-17</v>
      </c>
      <c r="D8193" s="6">
        <v>1.7305342144307299E-16</v>
      </c>
      <c r="E8193" s="3" t="s">
        <v>4533</v>
      </c>
      <c r="F8193" s="3" t="s">
        <v>4534</v>
      </c>
      <c r="G8193" s="3">
        <v>70152</v>
      </c>
      <c r="H8193" s="7" t="str">
        <f>HYPERLINK("http://www.ensembl.org/Mus_musculus/Gene/Summary?db=core;g=ENSMUSG00000054619","ENSMUSG00000054619")</f>
        <v>ENSMUSG00000054619</v>
      </c>
      <c r="I8193" s="7" t="str">
        <f>HYPERLINK("http://www.informatics.jax.org/marker/MGI:1916523","MGI:1916523")</f>
        <v>MGI:1916523</v>
      </c>
      <c r="J8193" s="4" t="s">
        <v>12</v>
      </c>
    </row>
    <row r="8194" spans="1:10" x14ac:dyDescent="0.25">
      <c r="A8194" s="2">
        <v>513.03102678580603</v>
      </c>
      <c r="B8194" s="3">
        <v>-1.61523054704659</v>
      </c>
      <c r="C8194" s="5">
        <v>8.12639849491008E-58</v>
      </c>
      <c r="D8194" s="6">
        <v>2.7253839850276702E-56</v>
      </c>
      <c r="E8194" s="3" t="s">
        <v>1192</v>
      </c>
      <c r="F8194" s="3" t="s">
        <v>1193</v>
      </c>
      <c r="G8194" s="3">
        <v>241627</v>
      </c>
      <c r="H8194" s="7" t="str">
        <f>HYPERLINK("http://www.ensembl.org/Mus_musculus/Gene/Summary?db=core;g=ENSMUSG00000027242","ENSMUSG00000027242")</f>
        <v>ENSMUSG00000027242</v>
      </c>
      <c r="I8194" s="7" t="str">
        <f>HYPERLINK("http://www.informatics.jax.org/marker/MGI:1926186","MGI:1926186")</f>
        <v>MGI:1926186</v>
      </c>
      <c r="J8194" s="4" t="s">
        <v>12</v>
      </c>
    </row>
    <row r="8195" spans="1:10" x14ac:dyDescent="0.25">
      <c r="A8195" s="2">
        <v>49.531522839467101</v>
      </c>
      <c r="B8195" s="3">
        <v>-1.6160104109195199</v>
      </c>
      <c r="C8195" s="5">
        <v>2.65723265815128E-14</v>
      </c>
      <c r="D8195" s="6">
        <v>1.9669905412441199E-13</v>
      </c>
      <c r="E8195" s="3" t="s">
        <v>5345</v>
      </c>
      <c r="F8195" s="3" t="s">
        <v>5346</v>
      </c>
      <c r="G8195" s="3">
        <v>13609</v>
      </c>
      <c r="H8195" s="7" t="str">
        <f>HYPERLINK("http://www.ensembl.org/Mus_musculus/Gene/Summary?db=core;g=ENSMUSG00000045092","ENSMUSG00000045092")</f>
        <v>ENSMUSG00000045092</v>
      </c>
      <c r="I8195" s="7" t="str">
        <f>HYPERLINK("http://www.informatics.jax.org/marker/MGI:1096355","MGI:1096355")</f>
        <v>MGI:1096355</v>
      </c>
      <c r="J8195" s="4" t="s">
        <v>12</v>
      </c>
    </row>
    <row r="8196" spans="1:10" x14ac:dyDescent="0.25">
      <c r="A8196" s="2">
        <v>34.405747622904101</v>
      </c>
      <c r="B8196" s="3">
        <v>-1.61896974324399</v>
      </c>
      <c r="C8196" s="5">
        <v>3.6814617767297802E-13</v>
      </c>
      <c r="D8196" s="6">
        <v>2.53751926728805E-12</v>
      </c>
      <c r="E8196" s="3" t="s">
        <v>5739</v>
      </c>
      <c r="F8196" s="3" t="s">
        <v>5740</v>
      </c>
      <c r="G8196" s="3">
        <v>15064</v>
      </c>
      <c r="H8196" s="7" t="str">
        <f>HYPERLINK("http://www.ensembl.org/Mus_musculus/Gene/Summary?db=core;g=ENSMUSG00000026471","ENSMUSG00000026471")</f>
        <v>ENSMUSG00000026471</v>
      </c>
      <c r="I8196" s="7" t="str">
        <f>HYPERLINK("http://www.informatics.jax.org/marker/MGI:1195463","MGI:1195463")</f>
        <v>MGI:1195463</v>
      </c>
      <c r="J8196" s="4" t="s">
        <v>12</v>
      </c>
    </row>
    <row r="8197" spans="1:10" x14ac:dyDescent="0.25">
      <c r="A8197" s="2">
        <v>233.40323850377001</v>
      </c>
      <c r="B8197" s="3">
        <v>-1.6194573650128199</v>
      </c>
      <c r="C8197" s="5">
        <v>8.1052083691150903E-17</v>
      </c>
      <c r="D8197" s="6">
        <v>6.8188869043920498E-16</v>
      </c>
      <c r="E8197" s="3" t="s">
        <v>4705</v>
      </c>
      <c r="F8197" s="3" t="s">
        <v>4706</v>
      </c>
      <c r="G8197" s="3">
        <v>246049</v>
      </c>
      <c r="H8197" s="7" t="str">
        <f>HYPERLINK("http://www.ensembl.org/Mus_musculus/Gene/Summary?db=core;g=ENSMUSG00000020264","ENSMUSG00000020264")</f>
        <v>ENSMUSG00000020264</v>
      </c>
      <c r="I8197" s="7" t="str">
        <f>HYPERLINK("http://www.informatics.jax.org/marker/MGI:1891430","MGI:1891430")</f>
        <v>MGI:1891430</v>
      </c>
      <c r="J8197" s="4" t="s">
        <v>12</v>
      </c>
    </row>
    <row r="8198" spans="1:10" x14ac:dyDescent="0.25">
      <c r="A8198" s="2">
        <v>289.06011160368701</v>
      </c>
      <c r="B8198" s="3">
        <v>-1.6217610601181101</v>
      </c>
      <c r="C8198" s="5">
        <v>3.7952306576046297E-43</v>
      </c>
      <c r="D8198" s="6">
        <v>8.4281473612571394E-42</v>
      </c>
      <c r="E8198" s="3" t="s">
        <v>1792</v>
      </c>
      <c r="F8198" s="3" t="s">
        <v>1793</v>
      </c>
      <c r="G8198" s="3">
        <v>21425</v>
      </c>
      <c r="H8198" s="7" t="str">
        <f>HYPERLINK("http://www.ensembl.org/Mus_musculus/Gene/Summary?db=core;g=ENSMUSG00000023990","ENSMUSG00000023990")</f>
        <v>ENSMUSG00000023990</v>
      </c>
      <c r="I8198" s="7" t="str">
        <f>HYPERLINK("http://www.informatics.jax.org/marker/MGI:103270","MGI:103270")</f>
        <v>MGI:103270</v>
      </c>
      <c r="J8198" s="4" t="s">
        <v>12</v>
      </c>
    </row>
    <row r="8199" spans="1:10" x14ac:dyDescent="0.25">
      <c r="A8199" s="2">
        <v>25.203373387957502</v>
      </c>
      <c r="B8199" s="3">
        <v>-1.62218843559392</v>
      </c>
      <c r="C8199" s="5">
        <v>5.04338798822031E-9</v>
      </c>
      <c r="D8199" s="6">
        <v>2.5599899904170999E-8</v>
      </c>
      <c r="E8199" s="3" t="s">
        <v>7786</v>
      </c>
      <c r="F8199" s="3" t="s">
        <v>7787</v>
      </c>
      <c r="G8199" s="3">
        <v>230751</v>
      </c>
      <c r="H8199" s="7" t="str">
        <f>HYPERLINK("http://www.ensembl.org/Mus_musculus/Gene/Summary?db=core;g=ENSMUSG00000042616","ENSMUSG00000042616")</f>
        <v>ENSMUSG00000042616</v>
      </c>
      <c r="I8199" s="7" t="str">
        <f>HYPERLINK("http://www.informatics.jax.org/marker/MGI:1916308","MGI:1916308")</f>
        <v>MGI:1916308</v>
      </c>
      <c r="J8199" s="4" t="s">
        <v>12</v>
      </c>
    </row>
    <row r="8200" spans="1:10" x14ac:dyDescent="0.25">
      <c r="A8200" s="2">
        <v>19.862571547406102</v>
      </c>
      <c r="B8200" s="3">
        <v>-1.62312086445127</v>
      </c>
      <c r="C8200" s="5">
        <v>3.4614812449558801E-10</v>
      </c>
      <c r="D8200" s="6">
        <v>1.9260838078592002E-9</v>
      </c>
      <c r="E8200" s="3" t="s">
        <v>7106</v>
      </c>
      <c r="F8200" s="3" t="s">
        <v>7107</v>
      </c>
      <c r="G8200" s="3">
        <v>66970</v>
      </c>
      <c r="H8200" s="7" t="str">
        <f>HYPERLINK("http://www.ensembl.org/Mus_musculus/Gene/Summary?db=core;g=ENSMUSG00000003992","ENSMUSG00000003992")</f>
        <v>ENSMUSG00000003992</v>
      </c>
      <c r="I8200" s="7" t="str">
        <f>HYPERLINK("http://www.informatics.jax.org/marker/MGI:1914220","MGI:1914220")</f>
        <v>MGI:1914220</v>
      </c>
      <c r="J8200" s="4" t="s">
        <v>12</v>
      </c>
    </row>
    <row r="8201" spans="1:10" x14ac:dyDescent="0.25">
      <c r="A8201" s="2">
        <v>12.672157871005201</v>
      </c>
      <c r="B8201" s="3">
        <v>-1.6283688841186399</v>
      </c>
      <c r="C8201" s="5">
        <v>1.4148716710307201E-5</v>
      </c>
      <c r="D8201" s="6">
        <v>5.2278938266303E-5</v>
      </c>
      <c r="E8201" s="3" t="s">
        <v>10686</v>
      </c>
      <c r="F8201" s="3" t="s">
        <v>10687</v>
      </c>
      <c r="G8201" s="3">
        <v>209683</v>
      </c>
      <c r="H8201" s="7" t="str">
        <f>HYPERLINK("http://www.ensembl.org/Mus_musculus/Gene/Summary?db=core;g=ENSMUSG00000033209","ENSMUSG00000033209")</f>
        <v>ENSMUSG00000033209</v>
      </c>
      <c r="I8201" s="7" t="str">
        <f>HYPERLINK("http://www.informatics.jax.org/marker/MGI:2140873","MGI:2140873")</f>
        <v>MGI:2140873</v>
      </c>
      <c r="J8201" s="4" t="s">
        <v>12</v>
      </c>
    </row>
    <row r="8202" spans="1:10" x14ac:dyDescent="0.25">
      <c r="A8202" s="2">
        <v>212.86655962326199</v>
      </c>
      <c r="B8202" s="3">
        <v>-1.6347148287992399</v>
      </c>
      <c r="C8202" s="5">
        <v>1.20690562499727E-21</v>
      </c>
      <c r="D8202" s="6">
        <v>1.2858011304671E-20</v>
      </c>
      <c r="E8202" s="3" t="s">
        <v>3718</v>
      </c>
      <c r="F8202" s="3" t="s">
        <v>3719</v>
      </c>
      <c r="G8202" s="3" t="s">
        <v>83</v>
      </c>
      <c r="H8202" s="7" t="str">
        <f>HYPERLINK("http://www.ensembl.org/Mus_musculus/Gene/Summary?db=core;g=ENSMUSG00000097908","ENSMUSG00000097908")</f>
        <v>ENSMUSG00000097908</v>
      </c>
      <c r="I8202" s="7" t="str">
        <f>HYPERLINK("http://www.informatics.jax.org/marker/MGI:1914002","MGI:1914002")</f>
        <v>MGI:1914002</v>
      </c>
      <c r="J8202" s="4" t="s">
        <v>939</v>
      </c>
    </row>
    <row r="8203" spans="1:10" x14ac:dyDescent="0.25">
      <c r="A8203" s="2">
        <v>4.8229271973610199</v>
      </c>
      <c r="B8203" s="3">
        <v>-1.63596689720455</v>
      </c>
      <c r="C8203" s="3">
        <v>1.02840732321193E-4</v>
      </c>
      <c r="D8203" s="4">
        <v>3.4655147665309802E-4</v>
      </c>
      <c r="E8203" s="3" t="s">
        <v>11715</v>
      </c>
      <c r="F8203" s="3" t="s">
        <v>11716</v>
      </c>
      <c r="G8203" s="3">
        <v>268480</v>
      </c>
      <c r="H8203" s="7" t="str">
        <f>HYPERLINK("http://www.ensembl.org/Mus_musculus/Gene/Summary?db=core;g=ENSMUSG00000038020","ENSMUSG00000038020")</f>
        <v>ENSMUSG00000038020</v>
      </c>
      <c r="I8203" s="7" t="str">
        <f>HYPERLINK("http://www.informatics.jax.org/marker/MGI:3611446","MGI:3611446")</f>
        <v>MGI:3611446</v>
      </c>
      <c r="J8203" s="4" t="s">
        <v>12</v>
      </c>
    </row>
    <row r="8204" spans="1:10" x14ac:dyDescent="0.25">
      <c r="A8204" s="2">
        <v>1.54436103917467</v>
      </c>
      <c r="B8204" s="3">
        <v>-1.64347272861746</v>
      </c>
      <c r="C8204" s="3">
        <v>4.2719816164421299E-4</v>
      </c>
      <c r="D8204" s="4">
        <v>1.3275051603567399E-3</v>
      </c>
      <c r="E8204" s="3" t="s">
        <v>12705</v>
      </c>
      <c r="F8204" s="3" t="s">
        <v>12706</v>
      </c>
      <c r="G8204" s="3">
        <v>100042150</v>
      </c>
      <c r="H8204" s="7" t="str">
        <f>HYPERLINK("http://www.ensembl.org/Mus_musculus/Gene/Summary?db=core;g=ENSMUSG00000060275","ENSMUSG00000060275")</f>
        <v>ENSMUSG00000060275</v>
      </c>
      <c r="I8204" s="7" t="str">
        <f>HYPERLINK("http://www.informatics.jax.org/marker/MGI:1098246","MGI:1098246")</f>
        <v>MGI:1098246</v>
      </c>
      <c r="J8204" s="4" t="s">
        <v>12</v>
      </c>
    </row>
    <row r="8205" spans="1:10" x14ac:dyDescent="0.25">
      <c r="A8205" s="2">
        <v>25.880951636398901</v>
      </c>
      <c r="B8205" s="3">
        <v>-1.64351024057245</v>
      </c>
      <c r="C8205" s="5">
        <v>1.6225237652661301E-13</v>
      </c>
      <c r="D8205" s="6">
        <v>1.1431285691692701E-12</v>
      </c>
      <c r="E8205" s="3" t="s">
        <v>5615</v>
      </c>
      <c r="F8205" s="3" t="s">
        <v>5616</v>
      </c>
      <c r="G8205" s="3">
        <v>382018</v>
      </c>
      <c r="H8205" s="7" t="str">
        <f>HYPERLINK("http://www.ensembl.org/Mus_musculus/Gene/Summary?db=core;g=ENSMUSG00000034799","ENSMUSG00000034799")</f>
        <v>ENSMUSG00000034799</v>
      </c>
      <c r="I8205" s="7" t="str">
        <f>HYPERLINK("http://www.informatics.jax.org/marker/MGI:3051532","MGI:3051532")</f>
        <v>MGI:3051532</v>
      </c>
      <c r="J8205" s="4" t="s">
        <v>12</v>
      </c>
    </row>
    <row r="8206" spans="1:10" x14ac:dyDescent="0.25">
      <c r="A8206" s="2">
        <v>5.404314113101</v>
      </c>
      <c r="B8206" s="3">
        <v>-1.6445588096736099</v>
      </c>
      <c r="C8206" s="5">
        <v>7.5342857567693694E-5</v>
      </c>
      <c r="D8206" s="4">
        <v>2.5749759986740399E-4</v>
      </c>
      <c r="E8206" s="3" t="s">
        <v>11551</v>
      </c>
      <c r="F8206" s="3" t="s">
        <v>11552</v>
      </c>
      <c r="G8206" s="3">
        <v>243923</v>
      </c>
      <c r="H8206" s="7" t="str">
        <f>HYPERLINK("http://www.ensembl.org/Mus_musculus/Gene/Summary?db=core;g=ENSMUSG00000056043","ENSMUSG00000056043")</f>
        <v>ENSMUSG00000056043</v>
      </c>
      <c r="I8206" s="7" t="str">
        <f>HYPERLINK("http://www.informatics.jax.org/marker/MGI:2384418","MGI:2384418")</f>
        <v>MGI:2384418</v>
      </c>
      <c r="J8206" s="4" t="s">
        <v>12</v>
      </c>
    </row>
    <row r="8207" spans="1:10" x14ac:dyDescent="0.25">
      <c r="A8207" s="2">
        <v>46.594704548822897</v>
      </c>
      <c r="B8207" s="3">
        <v>-1.6480659826302999</v>
      </c>
      <c r="C8207" s="5">
        <v>2.0654648518455E-17</v>
      </c>
      <c r="D8207" s="6">
        <v>1.8006616657114701E-16</v>
      </c>
      <c r="E8207" s="3" t="s">
        <v>4541</v>
      </c>
      <c r="F8207" s="3" t="s">
        <v>4542</v>
      </c>
      <c r="G8207" s="3" t="s">
        <v>83</v>
      </c>
      <c r="H8207" s="7" t="str">
        <f>HYPERLINK("http://www.ensembl.org/Mus_musculus/Gene/Summary?db=core;g=ENSMUSG00000085399","ENSMUSG00000085399")</f>
        <v>ENSMUSG00000085399</v>
      </c>
      <c r="I8207" s="7" t="str">
        <f>HYPERLINK("http://www.informatics.jax.org/marker/MGI:2444065","MGI:2444065")</f>
        <v>MGI:2444065</v>
      </c>
      <c r="J8207" s="4" t="s">
        <v>331</v>
      </c>
    </row>
    <row r="8208" spans="1:10" x14ac:dyDescent="0.25">
      <c r="A8208" s="2">
        <v>3343.07028670304</v>
      </c>
      <c r="B8208" s="3">
        <v>-1.6484027230457701</v>
      </c>
      <c r="C8208" s="5">
        <v>8.20379975230813E-54</v>
      </c>
      <c r="D8208" s="6">
        <v>2.4218402861604201E-52</v>
      </c>
      <c r="E8208" s="3" t="s">
        <v>1352</v>
      </c>
      <c r="F8208" s="3" t="s">
        <v>1353</v>
      </c>
      <c r="G8208" s="3">
        <v>18140</v>
      </c>
      <c r="H8208" s="7" t="str">
        <f>HYPERLINK("http://www.ensembl.org/Mus_musculus/Gene/Summary?db=core;g=ENSMUSG00000001228","ENSMUSG00000001228")</f>
        <v>ENSMUSG00000001228</v>
      </c>
      <c r="I8208" s="7" t="str">
        <f>HYPERLINK("http://www.informatics.jax.org/marker/MGI:1338889","MGI:1338889")</f>
        <v>MGI:1338889</v>
      </c>
      <c r="J8208" s="4" t="s">
        <v>12</v>
      </c>
    </row>
    <row r="8209" spans="1:10" x14ac:dyDescent="0.25">
      <c r="A8209" s="2">
        <v>260.869099245776</v>
      </c>
      <c r="B8209" s="3">
        <v>-1.6510908336124399</v>
      </c>
      <c r="C8209" s="5">
        <v>5.7262619938923604E-38</v>
      </c>
      <c r="D8209" s="6">
        <v>1.09103271999572E-36</v>
      </c>
      <c r="E8209" s="3" t="s">
        <v>2087</v>
      </c>
      <c r="F8209" s="3" t="s">
        <v>2088</v>
      </c>
      <c r="G8209" s="3">
        <v>217262</v>
      </c>
      <c r="H8209" s="7" t="str">
        <f>HYPERLINK("http://www.ensembl.org/Mus_musculus/Gene/Summary?db=core;g=ENSMUSG00000041797","ENSMUSG00000041797")</f>
        <v>ENSMUSG00000041797</v>
      </c>
      <c r="I8209" s="7" t="str">
        <f>HYPERLINK("http://www.informatics.jax.org/marker/MGI:2386796","MGI:2386796")</f>
        <v>MGI:2386796</v>
      </c>
      <c r="J8209" s="4" t="s">
        <v>12</v>
      </c>
    </row>
    <row r="8210" spans="1:10" x14ac:dyDescent="0.25">
      <c r="A8210" s="2">
        <v>6.37639801532936</v>
      </c>
      <c r="B8210" s="3">
        <v>-1.65399022787067</v>
      </c>
      <c r="C8210" s="3">
        <v>1.5504049699257801E-4</v>
      </c>
      <c r="D8210" s="4">
        <v>5.1033193134595895E-4</v>
      </c>
      <c r="E8210" s="3" t="s">
        <v>11993</v>
      </c>
      <c r="F8210" s="3" t="s">
        <v>11994</v>
      </c>
      <c r="G8210" s="3">
        <v>24058</v>
      </c>
      <c r="H8210" s="7" t="str">
        <f>HYPERLINK("http://www.ensembl.org/Mus_musculus/Gene/Summary?db=core;g=ENSMUSG00000025494","ENSMUSG00000025494")</f>
        <v>ENSMUSG00000025494</v>
      </c>
      <c r="I8210" s="7" t="str">
        <f>HYPERLINK("http://www.informatics.jax.org/marker/MGI:1344402","MGI:1344402")</f>
        <v>MGI:1344402</v>
      </c>
      <c r="J8210" s="4" t="s">
        <v>12</v>
      </c>
    </row>
    <row r="8211" spans="1:10" x14ac:dyDescent="0.25">
      <c r="A8211" s="2">
        <v>2404.72914996088</v>
      </c>
      <c r="B8211" s="3">
        <v>-1.6582787055478001</v>
      </c>
      <c r="C8211" s="5">
        <v>6.02643705317752E-82</v>
      </c>
      <c r="D8211" s="6">
        <v>3.6454398370754797E-80</v>
      </c>
      <c r="E8211" s="3" t="s">
        <v>664</v>
      </c>
      <c r="F8211" s="3" t="s">
        <v>665</v>
      </c>
      <c r="G8211" s="3">
        <v>16331</v>
      </c>
      <c r="H8211" s="7" t="str">
        <f>HYPERLINK("http://www.ensembl.org/Mus_musculus/Gene/Summary?db=core;g=ENSMUSG00000026288","ENSMUSG00000026288")</f>
        <v>ENSMUSG00000026288</v>
      </c>
      <c r="I8211" s="7" t="str">
        <f>HYPERLINK("http://www.informatics.jax.org/marker/MGI:107357","MGI:107357")</f>
        <v>MGI:107357</v>
      </c>
      <c r="J8211" s="4" t="s">
        <v>12</v>
      </c>
    </row>
    <row r="8212" spans="1:10" x14ac:dyDescent="0.25">
      <c r="A8212" s="2">
        <v>36.337261762529501</v>
      </c>
      <c r="B8212" s="3">
        <v>-1.65835670245952</v>
      </c>
      <c r="C8212" s="5">
        <v>9.2409055945875592E-16</v>
      </c>
      <c r="D8212" s="6">
        <v>7.35988119245826E-15</v>
      </c>
      <c r="E8212" s="3" t="s">
        <v>4969</v>
      </c>
      <c r="F8212" s="3" t="s">
        <v>4970</v>
      </c>
      <c r="G8212" s="3">
        <v>66443</v>
      </c>
      <c r="H8212" s="7" t="str">
        <f>HYPERLINK("http://www.ensembl.org/Mus_musculus/Gene/Summary?db=core;g=ENSMUSG00000044469","ENSMUSG00000044469")</f>
        <v>ENSMUSG00000044469</v>
      </c>
      <c r="I8212" s="7" t="str">
        <f>HYPERLINK("http://www.informatics.jax.org/marker/MGI:1913693","MGI:1913693")</f>
        <v>MGI:1913693</v>
      </c>
      <c r="J8212" s="4" t="s">
        <v>12</v>
      </c>
    </row>
    <row r="8213" spans="1:10" x14ac:dyDescent="0.25">
      <c r="A8213" s="2">
        <v>11.266014522616899</v>
      </c>
      <c r="B8213" s="3">
        <v>-1.6615710642241199</v>
      </c>
      <c r="C8213" s="5">
        <v>6.3368632923664202E-6</v>
      </c>
      <c r="D8213" s="6">
        <v>2.42270151464649E-5</v>
      </c>
      <c r="E8213" s="3" t="s">
        <v>10330</v>
      </c>
      <c r="F8213" s="3" t="s">
        <v>10331</v>
      </c>
      <c r="G8213" s="3">
        <v>54352</v>
      </c>
      <c r="H8213" s="7" t="str">
        <f>HYPERLINK("http://www.ensembl.org/Mus_musculus/Gene/Summary?db=core;g=ENSMUSG00000031737","ENSMUSG00000031737")</f>
        <v>ENSMUSG00000031737</v>
      </c>
      <c r="I8213" s="7" t="str">
        <f>HYPERLINK("http://www.informatics.jax.org/marker/MGI:1859086","MGI:1859086")</f>
        <v>MGI:1859086</v>
      </c>
      <c r="J8213" s="4" t="s">
        <v>12</v>
      </c>
    </row>
    <row r="8214" spans="1:10" x14ac:dyDescent="0.25">
      <c r="A8214" s="2">
        <v>119.496930688671</v>
      </c>
      <c r="B8214" s="3">
        <v>-1.6620479676378199</v>
      </c>
      <c r="C8214" s="5">
        <v>1.00503239743217E-35</v>
      </c>
      <c r="D8214" s="6">
        <v>1.7839098899516001E-34</v>
      </c>
      <c r="E8214" s="3" t="s">
        <v>2239</v>
      </c>
      <c r="F8214" s="3" t="s">
        <v>2240</v>
      </c>
      <c r="G8214" s="3">
        <v>22701</v>
      </c>
      <c r="H8214" s="7" t="str">
        <f>HYPERLINK("http://www.ensembl.org/Mus_musculus/Gene/Summary?db=core;g=ENSMUSG00000047003","ENSMUSG00000047003")</f>
        <v>ENSMUSG00000047003</v>
      </c>
      <c r="I8214" s="7" t="str">
        <f>HYPERLINK("http://www.informatics.jax.org/marker/MGI:99186","MGI:99186")</f>
        <v>MGI:99186</v>
      </c>
      <c r="J8214" s="4" t="s">
        <v>12</v>
      </c>
    </row>
    <row r="8215" spans="1:10" x14ac:dyDescent="0.25">
      <c r="A8215" s="2">
        <v>230.40763576974899</v>
      </c>
      <c r="B8215" s="3">
        <v>-1.6630529791920901</v>
      </c>
      <c r="C8215" s="5">
        <v>9.4976738138536803E-62</v>
      </c>
      <c r="D8215" s="6">
        <v>3.6087500502734998E-60</v>
      </c>
      <c r="E8215" s="3" t="s">
        <v>1054</v>
      </c>
      <c r="F8215" s="3" t="s">
        <v>1055</v>
      </c>
      <c r="G8215" s="3">
        <v>56458</v>
      </c>
      <c r="H8215" s="7" t="str">
        <f>HYPERLINK("http://www.ensembl.org/Mus_musculus/Gene/Summary?db=core;g=ENSMUSG00000044167","ENSMUSG00000044167")</f>
        <v>ENSMUSG00000044167</v>
      </c>
      <c r="I8215" s="7" t="str">
        <f>HYPERLINK("http://www.informatics.jax.org/marker/MGI:1890077","MGI:1890077")</f>
        <v>MGI:1890077</v>
      </c>
      <c r="J8215" s="4" t="s">
        <v>12</v>
      </c>
    </row>
    <row r="8216" spans="1:10" x14ac:dyDescent="0.25">
      <c r="A8216" s="2">
        <v>389.30088403210402</v>
      </c>
      <c r="B8216" s="3">
        <v>-1.6665612175083999</v>
      </c>
      <c r="C8216" s="5">
        <v>1.12128573645138E-67</v>
      </c>
      <c r="D8216" s="6">
        <v>4.9356595363439998E-66</v>
      </c>
      <c r="E8216" s="3" t="s">
        <v>908</v>
      </c>
      <c r="F8216" s="3" t="s">
        <v>909</v>
      </c>
      <c r="G8216" s="3">
        <v>235504</v>
      </c>
      <c r="H8216" s="7" t="str">
        <f>HYPERLINK("http://www.ensembl.org/Mus_musculus/Gene/Summary?db=core;g=ENSMUSG00000049624","ENSMUSG00000049624")</f>
        <v>ENSMUSG00000049624</v>
      </c>
      <c r="I8216" s="7" t="str">
        <f>HYPERLINK("http://www.informatics.jax.org/marker/MGI:1924105","MGI:1924105")</f>
        <v>MGI:1924105</v>
      </c>
      <c r="J8216" s="4" t="s">
        <v>12</v>
      </c>
    </row>
    <row r="8217" spans="1:10" x14ac:dyDescent="0.25">
      <c r="A8217" s="2">
        <v>58.322232916526403</v>
      </c>
      <c r="B8217" s="3">
        <v>-1.66923295899371</v>
      </c>
      <c r="C8217" s="5">
        <v>3.2372074660191798E-16</v>
      </c>
      <c r="D8217" s="6">
        <v>2.63683317760836E-15</v>
      </c>
      <c r="E8217" s="3" t="s">
        <v>4859</v>
      </c>
      <c r="F8217" s="3" t="s">
        <v>4860</v>
      </c>
      <c r="G8217" s="3">
        <v>75665</v>
      </c>
      <c r="H8217" s="7" t="str">
        <f>HYPERLINK("http://www.ensembl.org/Mus_musculus/Gene/Summary?db=core;g=ENSMUSG00000041609","ENSMUSG00000041609")</f>
        <v>ENSMUSG00000041609</v>
      </c>
      <c r="I8217" s="7" t="str">
        <f>HYPERLINK("http://www.informatics.jax.org/marker/MGI:1922915","MGI:1922915")</f>
        <v>MGI:1922915</v>
      </c>
      <c r="J8217" s="4" t="s">
        <v>12</v>
      </c>
    </row>
    <row r="8218" spans="1:10" x14ac:dyDescent="0.25">
      <c r="A8218" s="2">
        <v>20.1676515735038</v>
      </c>
      <c r="B8218" s="3">
        <v>-1.6696748835414399</v>
      </c>
      <c r="C8218" s="5">
        <v>3.6325275259109898E-7</v>
      </c>
      <c r="D8218" s="6">
        <v>1.5712534066892901E-6</v>
      </c>
      <c r="E8218" s="3" t="s">
        <v>9133</v>
      </c>
      <c r="F8218" s="3" t="s">
        <v>9134</v>
      </c>
      <c r="G8218" s="3">
        <v>171531</v>
      </c>
      <c r="H8218" s="7" t="str">
        <f>HYPERLINK("http://www.ensembl.org/Mus_musculus/Gene/Summary?db=core;g=ENSMUSG00000026303","ENSMUSG00000026303")</f>
        <v>ENSMUSG00000026303</v>
      </c>
      <c r="I8218" s="7" t="str">
        <f>HYPERLINK("http://www.informatics.jax.org/marker/MGI:2176380","MGI:2176380")</f>
        <v>MGI:2176380</v>
      </c>
      <c r="J8218" s="4" t="s">
        <v>12</v>
      </c>
    </row>
    <row r="8219" spans="1:10" x14ac:dyDescent="0.25">
      <c r="A8219" s="2">
        <v>828.65929766073305</v>
      </c>
      <c r="B8219" s="3">
        <v>-1.6710256284337099</v>
      </c>
      <c r="C8219" s="5">
        <v>4.1627384356949101E-92</v>
      </c>
      <c r="D8219" s="6">
        <v>2.9213239128791401E-90</v>
      </c>
      <c r="E8219" s="3" t="s">
        <v>574</v>
      </c>
      <c r="F8219" s="3" t="s">
        <v>575</v>
      </c>
      <c r="G8219" s="3">
        <v>67155</v>
      </c>
      <c r="H8219" s="7" t="str">
        <f>HYPERLINK("http://www.ensembl.org/Mus_musculus/Gene/Summary?db=core;g=ENSMUSG00000024921","ENSMUSG00000024921")</f>
        <v>ENSMUSG00000024921</v>
      </c>
      <c r="I8219" s="7" t="str">
        <f>HYPERLINK("http://www.informatics.jax.org/marker/MGI:99603","MGI:99603")</f>
        <v>MGI:99603</v>
      </c>
      <c r="J8219" s="4" t="s">
        <v>12</v>
      </c>
    </row>
    <row r="8220" spans="1:10" x14ac:dyDescent="0.25">
      <c r="A8220" s="2">
        <v>14.706652683844</v>
      </c>
      <c r="B8220" s="3">
        <v>-1.67249710579391</v>
      </c>
      <c r="C8220" s="5">
        <v>1.91325371787238E-7</v>
      </c>
      <c r="D8220" s="6">
        <v>8.4861365983903104E-7</v>
      </c>
      <c r="E8220" s="3" t="s">
        <v>8909</v>
      </c>
      <c r="F8220" s="3" t="s">
        <v>8910</v>
      </c>
      <c r="G8220" s="3">
        <v>329828</v>
      </c>
      <c r="H8220" s="7" t="str">
        <f>HYPERLINK("http://www.ensembl.org/Mus_musculus/Gene/Summary?db=core;g=ENSMUSG00000046312","ENSMUSG00000046312")</f>
        <v>ENSMUSG00000046312</v>
      </c>
      <c r="I8220" s="7" t="str">
        <f>HYPERLINK("http://www.informatics.jax.org/marker/MGI:2140300","MGI:2140300")</f>
        <v>MGI:2140300</v>
      </c>
      <c r="J8220" s="4" t="s">
        <v>12</v>
      </c>
    </row>
    <row r="8221" spans="1:10" x14ac:dyDescent="0.25">
      <c r="A8221" s="2">
        <v>193.79877232678501</v>
      </c>
      <c r="B8221" s="3">
        <v>-1.67257086022311</v>
      </c>
      <c r="C8221" s="5">
        <v>5.4419664742401398E-30</v>
      </c>
      <c r="D8221" s="6">
        <v>8.0086252889563905E-29</v>
      </c>
      <c r="E8221" s="3" t="s">
        <v>2698</v>
      </c>
      <c r="F8221" s="3" t="s">
        <v>2699</v>
      </c>
      <c r="G8221" s="3">
        <v>22057</v>
      </c>
      <c r="H8221" s="7" t="str">
        <f>HYPERLINK("http://www.ensembl.org/Mus_musculus/Gene/Summary?db=core;g=ENSMUSG00000037573","ENSMUSG00000037573")</f>
        <v>ENSMUSG00000037573</v>
      </c>
      <c r="I8221" s="7" t="str">
        <f>HYPERLINK("http://www.informatics.jax.org/marker/MGI:1349721","MGI:1349721")</f>
        <v>MGI:1349721</v>
      </c>
      <c r="J8221" s="4" t="s">
        <v>12</v>
      </c>
    </row>
    <row r="8222" spans="1:10" x14ac:dyDescent="0.25">
      <c r="A8222" s="2">
        <v>15.3939301758673</v>
      </c>
      <c r="B8222" s="3">
        <v>-1.6740559316511801</v>
      </c>
      <c r="C8222" s="5">
        <v>2.0033450102895199E-8</v>
      </c>
      <c r="D8222" s="6">
        <v>9.6591598051122905E-8</v>
      </c>
      <c r="E8222" s="3" t="s">
        <v>8197</v>
      </c>
      <c r="F8222" s="3" t="s">
        <v>8198</v>
      </c>
      <c r="G8222" s="3">
        <v>234515</v>
      </c>
      <c r="H8222" s="7" t="str">
        <f>HYPERLINK("http://www.ensembl.org/Mus_musculus/Gene/Summary?db=core;g=ENSMUSG00000037940","ENSMUSG00000037940")</f>
        <v>ENSMUSG00000037940</v>
      </c>
      <c r="I8222" s="7" t="str">
        <f>HYPERLINK("http://www.informatics.jax.org/marker/MGI:2158925","MGI:2158925")</f>
        <v>MGI:2158925</v>
      </c>
      <c r="J8222" s="4" t="s">
        <v>12</v>
      </c>
    </row>
    <row r="8223" spans="1:10" x14ac:dyDescent="0.25">
      <c r="A8223" s="2">
        <v>3.2407493819798501</v>
      </c>
      <c r="B8223" s="3">
        <v>-1.6757308530269699</v>
      </c>
      <c r="C8223" s="3">
        <v>1.7327470815081401E-4</v>
      </c>
      <c r="D8223" s="4">
        <v>5.6603331431611195E-4</v>
      </c>
      <c r="E8223" s="3" t="s">
        <v>12083</v>
      </c>
      <c r="F8223" s="3" t="s">
        <v>12084</v>
      </c>
      <c r="G8223" s="3">
        <v>83398</v>
      </c>
      <c r="H8223" s="7" t="str">
        <f>HYPERLINK("http://www.ensembl.org/Mus_musculus/Gene/Summary?db=core;g=ENSMUSG00000027977","ENSMUSG00000027977")</f>
        <v>ENSMUSG00000027977</v>
      </c>
      <c r="I8223" s="7" t="str">
        <f>HYPERLINK("http://www.informatics.jax.org/marker/MGI:1932544","MGI:1932544")</f>
        <v>MGI:1932544</v>
      </c>
      <c r="J8223" s="4" t="s">
        <v>12</v>
      </c>
    </row>
    <row r="8224" spans="1:10" x14ac:dyDescent="0.25">
      <c r="A8224" s="2">
        <v>1195.2904679209701</v>
      </c>
      <c r="B8224" s="3">
        <v>-1.6757471007143001</v>
      </c>
      <c r="C8224" s="5">
        <v>3.2037156478584797E-169</v>
      </c>
      <c r="D8224" s="6">
        <v>8.6544209007903004E-167</v>
      </c>
      <c r="E8224" s="3" t="s">
        <v>156</v>
      </c>
      <c r="F8224" s="3" t="s">
        <v>157</v>
      </c>
      <c r="G8224" s="3">
        <v>72543</v>
      </c>
      <c r="H8224" s="7" t="str">
        <f>HYPERLINK("http://www.ensembl.org/Mus_musculus/Gene/Summary?db=core;g=ENSMUSG00000038740","ENSMUSG00000038740")</f>
        <v>ENSMUSG00000038740</v>
      </c>
      <c r="I8224" s="7" t="str">
        <f>HYPERLINK("http://www.informatics.jax.org/marker/MGI:1919793","MGI:1919793")</f>
        <v>MGI:1919793</v>
      </c>
      <c r="J8224" s="4" t="s">
        <v>12</v>
      </c>
    </row>
    <row r="8225" spans="1:10" x14ac:dyDescent="0.25">
      <c r="A8225" s="2">
        <v>13.842715264172</v>
      </c>
      <c r="B8225" s="3">
        <v>-1.67722481912201</v>
      </c>
      <c r="C8225" s="5">
        <v>6.2488698871600601E-9</v>
      </c>
      <c r="D8225" s="6">
        <v>3.1491876865524201E-8</v>
      </c>
      <c r="E8225" s="3" t="s">
        <v>7842</v>
      </c>
      <c r="F8225" s="3" t="s">
        <v>7843</v>
      </c>
      <c r="G8225" s="3">
        <v>68054</v>
      </c>
      <c r="H8225" s="7" t="str">
        <f>HYPERLINK("http://www.ensembl.org/Mus_musculus/Gene/Summary?db=core;g=ENSMUSG00000041567","ENSMUSG00000041567")</f>
        <v>ENSMUSG00000041567</v>
      </c>
      <c r="I8225" s="7" t="str">
        <f>HYPERLINK("http://www.informatics.jax.org/marker/MGI:1915304","MGI:1915304")</f>
        <v>MGI:1915304</v>
      </c>
      <c r="J8225" s="4" t="s">
        <v>12</v>
      </c>
    </row>
    <row r="8226" spans="1:10" x14ac:dyDescent="0.25">
      <c r="A8226" s="2">
        <v>7.7544615850231002</v>
      </c>
      <c r="B8226" s="3">
        <v>-1.6776237610517799</v>
      </c>
      <c r="C8226" s="5">
        <v>1.82156257650728E-5</v>
      </c>
      <c r="D8226" s="6">
        <v>6.6520766682821294E-5</v>
      </c>
      <c r="E8226" s="3" t="s">
        <v>10812</v>
      </c>
      <c r="F8226" s="3" t="s">
        <v>10813</v>
      </c>
      <c r="G8226" s="3" t="s">
        <v>83</v>
      </c>
      <c r="H8226" s="7" t="str">
        <f>HYPERLINK("http://www.ensembl.org/Mus_musculus/Gene/Summary?db=core;g=ENSMUSG00000087200","ENSMUSG00000087200")</f>
        <v>ENSMUSG00000087200</v>
      </c>
      <c r="I8226" s="7" t="str">
        <f>HYPERLINK("http://www.informatics.jax.org/marker/MGI:3651133","MGI:3651133")</f>
        <v>MGI:3651133</v>
      </c>
      <c r="J8226" s="4" t="s">
        <v>3187</v>
      </c>
    </row>
    <row r="8227" spans="1:10" x14ac:dyDescent="0.25">
      <c r="A8227" s="2">
        <v>29.4141474192134</v>
      </c>
      <c r="B8227" s="3">
        <v>-1.67794827769901</v>
      </c>
      <c r="C8227" s="5">
        <v>2.0144541684891401E-8</v>
      </c>
      <c r="D8227" s="6">
        <v>9.7103486195565305E-8</v>
      </c>
      <c r="E8227" s="3" t="s">
        <v>8199</v>
      </c>
      <c r="F8227" s="3" t="s">
        <v>8200</v>
      </c>
      <c r="G8227" s="3">
        <v>269389</v>
      </c>
      <c r="H8227" s="7" t="str">
        <f>HYPERLINK("http://www.ensembl.org/Mus_musculus/Gene/Summary?db=core;g=ENSMUSG00000074607","ENSMUSG00000074607")</f>
        <v>ENSMUSG00000074607</v>
      </c>
      <c r="I8227" s="7" t="str">
        <f>HYPERLINK("http://www.informatics.jax.org/marker/MGI:3611233","MGI:3611233")</f>
        <v>MGI:3611233</v>
      </c>
      <c r="J8227" s="4" t="s">
        <v>12</v>
      </c>
    </row>
    <row r="8228" spans="1:10" x14ac:dyDescent="0.25">
      <c r="A8228" s="2">
        <v>38.623370053043097</v>
      </c>
      <c r="B8228" s="3">
        <v>-1.6796147405041799</v>
      </c>
      <c r="C8228" s="5">
        <v>8.5056374166034797E-16</v>
      </c>
      <c r="D8228" s="6">
        <v>6.7879874486208303E-15</v>
      </c>
      <c r="E8228" s="3" t="s">
        <v>4959</v>
      </c>
      <c r="F8228" s="3" t="s">
        <v>4960</v>
      </c>
      <c r="G8228" s="3">
        <v>268759</v>
      </c>
      <c r="H8228" s="7" t="str">
        <f>HYPERLINK("http://www.ensembl.org/Mus_musculus/Gene/Summary?db=core;g=ENSMUSG00000044551","ENSMUSG00000044551")</f>
        <v>ENSMUSG00000044551</v>
      </c>
      <c r="I8228" s="7" t="str">
        <f>HYPERLINK("http://www.informatics.jax.org/marker/MGI:2145726","MGI:2145726")</f>
        <v>MGI:2145726</v>
      </c>
      <c r="J8228" s="4" t="s">
        <v>12</v>
      </c>
    </row>
    <row r="8229" spans="1:10" x14ac:dyDescent="0.25">
      <c r="A8229" s="2">
        <v>238.172891318534</v>
      </c>
      <c r="B8229" s="3">
        <v>-1.6799782974945301</v>
      </c>
      <c r="C8229" s="5">
        <v>1.7969996923450699E-64</v>
      </c>
      <c r="D8229" s="6">
        <v>7.3520402350715204E-63</v>
      </c>
      <c r="E8229" s="3" t="s">
        <v>979</v>
      </c>
      <c r="F8229" s="3" t="s">
        <v>980</v>
      </c>
      <c r="G8229" s="3">
        <v>216190</v>
      </c>
      <c r="H8229" s="7" t="str">
        <f>HYPERLINK("http://www.ensembl.org/Mus_musculus/Gene/Summary?db=core;g=ENSMUSG00000020263","ENSMUSG00000020263")</f>
        <v>ENSMUSG00000020263</v>
      </c>
      <c r="I8229" s="7" t="str">
        <f>HYPERLINK("http://www.informatics.jax.org/marker/MGI:2384914","MGI:2384914")</f>
        <v>MGI:2384914</v>
      </c>
      <c r="J8229" s="4" t="s">
        <v>12</v>
      </c>
    </row>
    <row r="8230" spans="1:10" x14ac:dyDescent="0.25">
      <c r="A8230" s="2">
        <v>762.26005109784103</v>
      </c>
      <c r="B8230" s="3">
        <v>-1.68555782576577</v>
      </c>
      <c r="C8230" s="5">
        <v>3.0817522596539398E-129</v>
      </c>
      <c r="D8230" s="6">
        <v>4.3720974503867403E-127</v>
      </c>
      <c r="E8230" s="3" t="s">
        <v>288</v>
      </c>
      <c r="F8230" s="3" t="s">
        <v>289</v>
      </c>
      <c r="G8230" s="3">
        <v>18019</v>
      </c>
      <c r="H8230" s="7" t="str">
        <f>HYPERLINK("http://www.ensembl.org/Mus_musculus/Gene/Summary?db=core;g=ENSMUSG00000027544","ENSMUSG00000027544")</f>
        <v>ENSMUSG00000027544</v>
      </c>
      <c r="I8230" s="7" t="str">
        <f>HYPERLINK("http://www.informatics.jax.org/marker/MGI:102463","MGI:102463")</f>
        <v>MGI:102463</v>
      </c>
      <c r="J8230" s="4" t="s">
        <v>12</v>
      </c>
    </row>
    <row r="8231" spans="1:10" x14ac:dyDescent="0.25">
      <c r="A8231" s="2">
        <v>81.671310251386004</v>
      </c>
      <c r="B8231" s="3">
        <v>-1.6867013747578199</v>
      </c>
      <c r="C8231" s="5">
        <v>1.4331640095044201E-15</v>
      </c>
      <c r="D8231" s="6">
        <v>1.1350198500974799E-14</v>
      </c>
      <c r="E8231" s="3" t="s">
        <v>4997</v>
      </c>
      <c r="F8231" s="3" t="s">
        <v>4998</v>
      </c>
      <c r="G8231" s="3" t="s">
        <v>83</v>
      </c>
      <c r="H8231" s="7" t="str">
        <f>HYPERLINK("http://www.ensembl.org/Mus_musculus/Gene/Summary?db=core;g=ENSMUSG00000104000","ENSMUSG00000104000")</f>
        <v>ENSMUSG00000104000</v>
      </c>
      <c r="I8231" s="7" t="str">
        <f>HYPERLINK("http://www.informatics.jax.org/marker/MGI:5611563","MGI:5611563")</f>
        <v>MGI:5611563</v>
      </c>
      <c r="J8231" s="4" t="s">
        <v>939</v>
      </c>
    </row>
    <row r="8232" spans="1:10" x14ac:dyDescent="0.25">
      <c r="A8232" s="2">
        <v>36.116528492907101</v>
      </c>
      <c r="B8232" s="3">
        <v>-1.6889740890763301</v>
      </c>
      <c r="C8232" s="5">
        <v>2.8284866432122098E-15</v>
      </c>
      <c r="D8232" s="6">
        <v>2.2029129780467899E-14</v>
      </c>
      <c r="E8232" s="3" t="s">
        <v>5081</v>
      </c>
      <c r="F8232" s="3" t="s">
        <v>5082</v>
      </c>
      <c r="G8232" s="3">
        <v>232984</v>
      </c>
      <c r="H8232" s="7" t="str">
        <f>HYPERLINK("http://www.ensembl.org/Mus_musculus/Gene/Summary?db=core;g=ENSMUSG00000059479","ENSMUSG00000059479")</f>
        <v>ENSMUSG00000059479</v>
      </c>
      <c r="I8232" s="7" t="str">
        <f>HYPERLINK("http://www.informatics.jax.org/marker/MGI:2385269","MGI:2385269")</f>
        <v>MGI:2385269</v>
      </c>
      <c r="J8232" s="4" t="s">
        <v>12</v>
      </c>
    </row>
    <row r="8233" spans="1:10" x14ac:dyDescent="0.25">
      <c r="A8233" s="2">
        <v>148.536738977233</v>
      </c>
      <c r="B8233" s="3">
        <v>-1.6897185884550201</v>
      </c>
      <c r="C8233" s="5">
        <v>5.3778190346689195E-32</v>
      </c>
      <c r="D8233" s="6">
        <v>8.3570205960339705E-31</v>
      </c>
      <c r="E8233" s="3" t="s">
        <v>2555</v>
      </c>
      <c r="F8233" s="3" t="s">
        <v>2556</v>
      </c>
      <c r="G8233" s="3">
        <v>194590</v>
      </c>
      <c r="H8233" s="7" t="str">
        <f>HYPERLINK("http://www.ensembl.org/Mus_musculus/Gene/Summary?db=core;g=ENSMUSG00000040855","ENSMUSG00000040855")</f>
        <v>ENSMUSG00000040855</v>
      </c>
      <c r="I8233" s="7" t="str">
        <f>HYPERLINK("http://www.informatics.jax.org/marker/MGI:2663511","MGI:2663511")</f>
        <v>MGI:2663511</v>
      </c>
      <c r="J8233" s="4" t="s">
        <v>12</v>
      </c>
    </row>
    <row r="8234" spans="1:10" x14ac:dyDescent="0.25">
      <c r="A8234" s="2">
        <v>3.5194617445915202</v>
      </c>
      <c r="B8234" s="3">
        <v>-1.6908015481201899</v>
      </c>
      <c r="C8234" s="3">
        <v>1.7967100597585201E-4</v>
      </c>
      <c r="D8234" s="4">
        <v>5.8602584152229499E-4</v>
      </c>
      <c r="E8234" s="3" t="s">
        <v>12103</v>
      </c>
      <c r="F8234" s="3" t="s">
        <v>12104</v>
      </c>
      <c r="G8234" s="3">
        <v>233332</v>
      </c>
      <c r="H8234" s="7" t="str">
        <f>HYPERLINK("http://www.ensembl.org/Mus_musculus/Gene/Summary?db=core;g=ENSMUSG00000058145","ENSMUSG00000058145")</f>
        <v>ENSMUSG00000058145</v>
      </c>
      <c r="I8234" s="7" t="str">
        <f>HYPERLINK("http://www.informatics.jax.org/marker/MGI:3588195","MGI:3588195")</f>
        <v>MGI:3588195</v>
      </c>
      <c r="J8234" s="4" t="s">
        <v>12</v>
      </c>
    </row>
    <row r="8235" spans="1:10" x14ac:dyDescent="0.25">
      <c r="A8235" s="2">
        <v>1031.4725639855301</v>
      </c>
      <c r="B8235" s="3">
        <v>-1.6915320462333501</v>
      </c>
      <c r="C8235" s="5">
        <v>3.3779286335466298E-106</v>
      </c>
      <c r="D8235" s="6">
        <v>3.0278523933426997E-104</v>
      </c>
      <c r="E8235" s="3" t="s">
        <v>452</v>
      </c>
      <c r="F8235" s="3" t="s">
        <v>453</v>
      </c>
      <c r="G8235" s="3">
        <v>11732</v>
      </c>
      <c r="H8235" s="7" t="str">
        <f>HYPERLINK("http://www.ensembl.org/Mus_musculus/Gene/Summary?db=core;g=ENSMUSG00000022265","ENSMUSG00000022265")</f>
        <v>ENSMUSG00000022265</v>
      </c>
      <c r="I8235" s="7" t="str">
        <f>HYPERLINK("http://www.informatics.jax.org/marker/MGI:3045421","MGI:3045421")</f>
        <v>MGI:3045421</v>
      </c>
      <c r="J8235" s="4" t="s">
        <v>12</v>
      </c>
    </row>
    <row r="8236" spans="1:10" x14ac:dyDescent="0.25">
      <c r="A8236" s="2">
        <v>27.971032866467201</v>
      </c>
      <c r="B8236" s="3">
        <v>-1.6922883314763</v>
      </c>
      <c r="C8236" s="5">
        <v>1.03635676623729E-12</v>
      </c>
      <c r="D8236" s="6">
        <v>6.94425940543644E-12</v>
      </c>
      <c r="E8236" s="3" t="s">
        <v>5903</v>
      </c>
      <c r="F8236" s="3" t="s">
        <v>5904</v>
      </c>
      <c r="G8236" s="3">
        <v>74463</v>
      </c>
      <c r="H8236" s="7" t="str">
        <f>HYPERLINK("http://www.ensembl.org/Mus_musculus/Gene/Summary?db=core;g=ENSMUSG00000011263","ENSMUSG00000011263")</f>
        <v>ENSMUSG00000011263</v>
      </c>
      <c r="I8236" s="7" t="str">
        <f>HYPERLINK("http://www.informatics.jax.org/marker/MGI:1921713","MGI:1921713")</f>
        <v>MGI:1921713</v>
      </c>
      <c r="J8236" s="4" t="s">
        <v>12</v>
      </c>
    </row>
    <row r="8237" spans="1:10" x14ac:dyDescent="0.25">
      <c r="A8237" s="2">
        <v>20.142561173500699</v>
      </c>
      <c r="B8237" s="3">
        <v>-1.6926376047363301</v>
      </c>
      <c r="C8237" s="5">
        <v>2.8075984559481899E-11</v>
      </c>
      <c r="D8237" s="6">
        <v>1.7025166528689501E-10</v>
      </c>
      <c r="E8237" s="3" t="s">
        <v>6521</v>
      </c>
      <c r="F8237" s="3" t="s">
        <v>6522</v>
      </c>
      <c r="G8237" s="3">
        <v>78408</v>
      </c>
      <c r="H8237" s="7" t="str">
        <f>HYPERLINK("http://www.ensembl.org/Mus_musculus/Gene/Summary?db=core;g=ENSMUSG00000050821","ENSMUSG00000050821")</f>
        <v>ENSMUSG00000050821</v>
      </c>
      <c r="I8237" s="7" t="str">
        <f>HYPERLINK("http://www.informatics.jax.org/marker/MGI:1925658","MGI:1925658")</f>
        <v>MGI:1925658</v>
      </c>
      <c r="J8237" s="4" t="s">
        <v>12</v>
      </c>
    </row>
    <row r="8238" spans="1:10" x14ac:dyDescent="0.25">
      <c r="A8238" s="2">
        <v>1655.1172893588</v>
      </c>
      <c r="B8238" s="3">
        <v>-1.6940274876288</v>
      </c>
      <c r="C8238" s="5">
        <v>5.2067292869775703E-111</v>
      </c>
      <c r="D8238" s="6">
        <v>5.0579655930639197E-109</v>
      </c>
      <c r="E8238" s="3" t="s">
        <v>418</v>
      </c>
      <c r="F8238" s="3" t="s">
        <v>419</v>
      </c>
      <c r="G8238" s="3">
        <v>17688</v>
      </c>
      <c r="H8238" s="7" t="str">
        <f>HYPERLINK("http://www.ensembl.org/Mus_musculus/Gene/Summary?db=core;g=ENSMUSG00000005370","ENSMUSG00000005370")</f>
        <v>ENSMUSG00000005370</v>
      </c>
      <c r="I8238" s="7" t="str">
        <f>HYPERLINK("http://www.informatics.jax.org/marker/MGI:1343961","MGI:1343961")</f>
        <v>MGI:1343961</v>
      </c>
      <c r="J8238" s="4" t="s">
        <v>12</v>
      </c>
    </row>
    <row r="8239" spans="1:10" x14ac:dyDescent="0.25">
      <c r="A8239" s="2">
        <v>37.030013383157701</v>
      </c>
      <c r="B8239" s="3">
        <v>-1.6942446767071699</v>
      </c>
      <c r="C8239" s="5">
        <v>1.2507269630099401E-10</v>
      </c>
      <c r="D8239" s="6">
        <v>7.2223530631203796E-10</v>
      </c>
      <c r="E8239" s="3" t="s">
        <v>6848</v>
      </c>
      <c r="F8239" s="3" t="s">
        <v>6849</v>
      </c>
      <c r="G8239" s="3">
        <v>233071</v>
      </c>
      <c r="H8239" s="7" t="str">
        <f>HYPERLINK("http://www.ensembl.org/Mus_musculus/Gene/Summary?db=core;g=ENSMUSG00000036882","ENSMUSG00000036882")</f>
        <v>ENSMUSG00000036882</v>
      </c>
      <c r="I8239" s="7" t="str">
        <f>HYPERLINK("http://www.informatics.jax.org/marker/MGI:2673998","MGI:2673998")</f>
        <v>MGI:2673998</v>
      </c>
      <c r="J8239" s="4" t="s">
        <v>12</v>
      </c>
    </row>
    <row r="8240" spans="1:10" x14ac:dyDescent="0.25">
      <c r="A8240" s="2">
        <v>338.76262452251001</v>
      </c>
      <c r="B8240" s="3">
        <v>-1.6955490200688601</v>
      </c>
      <c r="C8240" s="5">
        <v>7.0902458547111199E-46</v>
      </c>
      <c r="D8240" s="6">
        <v>1.7009689568722999E-44</v>
      </c>
      <c r="E8240" s="3" t="s">
        <v>1660</v>
      </c>
      <c r="F8240" s="3" t="s">
        <v>1661</v>
      </c>
      <c r="G8240" s="3">
        <v>22761</v>
      </c>
      <c r="H8240" s="7" t="str">
        <f>HYPERLINK("http://www.ensembl.org/Mus_musculus/Gene/Summary?db=core;g=ENSMUSG00000049577","ENSMUSG00000049577")</f>
        <v>ENSMUSG00000049577</v>
      </c>
      <c r="I8240" s="7" t="str">
        <f>HYPERLINK("http://www.informatics.jax.org/marker/MGI:1095400","MGI:1095400")</f>
        <v>MGI:1095400</v>
      </c>
      <c r="J8240" s="4" t="s">
        <v>12</v>
      </c>
    </row>
    <row r="8241" spans="1:10" x14ac:dyDescent="0.25">
      <c r="A8241" s="2">
        <v>349.90820444559603</v>
      </c>
      <c r="B8241" s="3">
        <v>-1.6966858136227101</v>
      </c>
      <c r="C8241" s="5">
        <v>5.7152532841183499E-14</v>
      </c>
      <c r="D8241" s="6">
        <v>4.1268690868844298E-13</v>
      </c>
      <c r="E8241" s="3" t="s">
        <v>5479</v>
      </c>
      <c r="F8241" s="3" t="s">
        <v>5480</v>
      </c>
      <c r="G8241" s="3">
        <v>20452</v>
      </c>
      <c r="H8241" s="7" t="str">
        <f>HYPERLINK("http://www.ensembl.org/Mus_musculus/Gene/Summary?db=core;g=ENSMUSG00000040710","ENSMUSG00000040710")</f>
        <v>ENSMUSG00000040710</v>
      </c>
      <c r="I8241" s="7" t="str">
        <f>HYPERLINK("http://www.informatics.jax.org/marker/MGI:106018","MGI:106018")</f>
        <v>MGI:106018</v>
      </c>
      <c r="J8241" s="4" t="s">
        <v>12</v>
      </c>
    </row>
    <row r="8242" spans="1:10" x14ac:dyDescent="0.25">
      <c r="A8242" s="2">
        <v>44.198718262857803</v>
      </c>
      <c r="B8242" s="3">
        <v>-1.6991115820688101</v>
      </c>
      <c r="C8242" s="5">
        <v>5.5445185409562003E-19</v>
      </c>
      <c r="D8242" s="6">
        <v>5.26929665675452E-18</v>
      </c>
      <c r="E8242" s="3" t="s">
        <v>4167</v>
      </c>
      <c r="F8242" s="3" t="s">
        <v>4168</v>
      </c>
      <c r="G8242" s="3" t="s">
        <v>83</v>
      </c>
      <c r="H8242" s="7" t="str">
        <f>HYPERLINK("http://www.ensembl.org/Mus_musculus/Gene/Summary?db=core;g=ENSMUSG00000112095","ENSMUSG00000112095")</f>
        <v>ENSMUSG00000112095</v>
      </c>
      <c r="I8242" s="7" t="str">
        <f>HYPERLINK("http://www.informatics.jax.org/marker/MGI:2441782","MGI:2441782")</f>
        <v>MGI:2441782</v>
      </c>
      <c r="J8242" s="4" t="s">
        <v>939</v>
      </c>
    </row>
    <row r="8243" spans="1:10" x14ac:dyDescent="0.25">
      <c r="A8243" s="2">
        <v>350.45910266392502</v>
      </c>
      <c r="B8243" s="3">
        <v>-1.69974684443686</v>
      </c>
      <c r="C8243" s="5">
        <v>8.9681823813519903E-52</v>
      </c>
      <c r="D8243" s="6">
        <v>2.5156835926068502E-50</v>
      </c>
      <c r="E8243" s="3" t="s">
        <v>1422</v>
      </c>
      <c r="F8243" s="3" t="s">
        <v>1423</v>
      </c>
      <c r="G8243" s="3">
        <v>226409</v>
      </c>
      <c r="H8243" s="7" t="str">
        <f>HYPERLINK("http://www.ensembl.org/Mus_musculus/Gene/Summary?db=core;g=ENSMUSG00000036086","ENSMUSG00000036086")</f>
        <v>ENSMUSG00000036086</v>
      </c>
      <c r="I8243" s="7" t="str">
        <f>HYPERLINK("http://www.informatics.jax.org/marker/MGI:1918362","MGI:1918362")</f>
        <v>MGI:1918362</v>
      </c>
      <c r="J8243" s="4" t="s">
        <v>12</v>
      </c>
    </row>
    <row r="8244" spans="1:10" x14ac:dyDescent="0.25">
      <c r="A8244" s="2">
        <v>9.0109820877747104</v>
      </c>
      <c r="B8244" s="3">
        <v>-1.70091598244526</v>
      </c>
      <c r="C8244" s="5">
        <v>3.4817934740106499E-6</v>
      </c>
      <c r="D8244" s="6">
        <v>1.36502917112306E-5</v>
      </c>
      <c r="E8244" s="3" t="s">
        <v>10076</v>
      </c>
      <c r="F8244" s="3" t="s">
        <v>10077</v>
      </c>
      <c r="G8244" s="3">
        <v>226841</v>
      </c>
      <c r="H8244" s="7" t="str">
        <f>HYPERLINK("http://www.ensembl.org/Mus_musculus/Gene/Summary?db=core;g=ENSMUSG00000037568","ENSMUSG00000037568")</f>
        <v>ENSMUSG00000037568</v>
      </c>
      <c r="I8244" s="7" t="str">
        <f>HYPERLINK("http://www.informatics.jax.org/marker/MGI:2444826","MGI:2444826")</f>
        <v>MGI:2444826</v>
      </c>
      <c r="J8244" s="4" t="s">
        <v>12</v>
      </c>
    </row>
    <row r="8245" spans="1:10" x14ac:dyDescent="0.25">
      <c r="A8245" s="2">
        <v>21.145898383492799</v>
      </c>
      <c r="B8245" s="3">
        <v>-1.70343601651828</v>
      </c>
      <c r="C8245" s="5">
        <v>1.3508192849415399E-10</v>
      </c>
      <c r="D8245" s="6">
        <v>7.7821081796807599E-10</v>
      </c>
      <c r="E8245" s="3" t="s">
        <v>6864</v>
      </c>
      <c r="F8245" s="3" t="s">
        <v>6865</v>
      </c>
      <c r="G8245" s="3">
        <v>16500</v>
      </c>
      <c r="H8245" s="7" t="str">
        <f>HYPERLINK("http://www.ensembl.org/Mus_musculus/Gene/Summary?db=core;g=ENSMUSG00000050556","ENSMUSG00000050556")</f>
        <v>ENSMUSG00000050556</v>
      </c>
      <c r="I8245" s="7" t="str">
        <f>HYPERLINK("http://www.informatics.jax.org/marker/MGI:96666","MGI:96666")</f>
        <v>MGI:96666</v>
      </c>
      <c r="J8245" s="4" t="s">
        <v>12</v>
      </c>
    </row>
    <row r="8246" spans="1:10" x14ac:dyDescent="0.25">
      <c r="A8246" s="2">
        <v>216.48816568003201</v>
      </c>
      <c r="B8246" s="3">
        <v>-1.7046669924587501</v>
      </c>
      <c r="C8246" s="5">
        <v>4.5156173383965798E-39</v>
      </c>
      <c r="D8246" s="6">
        <v>8.9137111024204696E-38</v>
      </c>
      <c r="E8246" s="3" t="s">
        <v>2015</v>
      </c>
      <c r="F8246" s="3" t="s">
        <v>2016</v>
      </c>
      <c r="G8246" s="3">
        <v>72500</v>
      </c>
      <c r="H8246" s="7" t="str">
        <f>HYPERLINK("http://www.ensembl.org/Mus_musculus/Gene/Summary?db=core;g=ENSMUSG00000089762","ENSMUSG00000089762")</f>
        <v>ENSMUSG00000089762</v>
      </c>
      <c r="I8246" s="7" t="str">
        <f>HYPERLINK("http://www.informatics.jax.org/marker/MGI:1919750","MGI:1919750")</f>
        <v>MGI:1919750</v>
      </c>
      <c r="J8246" s="4" t="s">
        <v>12</v>
      </c>
    </row>
    <row r="8247" spans="1:10" x14ac:dyDescent="0.25">
      <c r="A8247" s="2">
        <v>45.641985748451802</v>
      </c>
      <c r="B8247" s="3">
        <v>-1.70642898882998</v>
      </c>
      <c r="C8247" s="5">
        <v>3.4001338855186801E-18</v>
      </c>
      <c r="D8247" s="6">
        <v>3.09845842062978E-17</v>
      </c>
      <c r="E8247" s="3" t="s">
        <v>4345</v>
      </c>
      <c r="F8247" s="3" t="s">
        <v>4346</v>
      </c>
      <c r="G8247" s="3">
        <v>67881</v>
      </c>
      <c r="H8247" s="7" t="str">
        <f>HYPERLINK("http://www.ensembl.org/Mus_musculus/Gene/Summary?db=core;g=ENSMUSG00000002329","ENSMUSG00000002329")</f>
        <v>ENSMUSG00000002329</v>
      </c>
      <c r="I8247" s="7" t="str">
        <f>HYPERLINK("http://www.informatics.jax.org/marker/MGI:1915131","MGI:1915131")</f>
        <v>MGI:1915131</v>
      </c>
      <c r="J8247" s="4" t="s">
        <v>12</v>
      </c>
    </row>
    <row r="8248" spans="1:10" x14ac:dyDescent="0.25">
      <c r="A8248" s="2">
        <v>40.842958712769502</v>
      </c>
      <c r="B8248" s="3">
        <v>-1.7065547626311099</v>
      </c>
      <c r="C8248" s="5">
        <v>2.4171316027145898E-16</v>
      </c>
      <c r="D8248" s="6">
        <v>1.9844227812461098E-15</v>
      </c>
      <c r="E8248" s="3" t="s">
        <v>4819</v>
      </c>
      <c r="F8248" s="3" t="s">
        <v>4820</v>
      </c>
      <c r="G8248" s="3">
        <v>69987</v>
      </c>
      <c r="H8248" s="7" t="str">
        <f>HYPERLINK("http://www.ensembl.org/Mus_musculus/Gene/Summary?db=core;g=ENSMUSG00000026809","ENSMUSG00000026809")</f>
        <v>ENSMUSG00000026809</v>
      </c>
      <c r="I8248" s="7" t="str">
        <f>HYPERLINK("http://www.informatics.jax.org/marker/MGI:1917237","MGI:1917237")</f>
        <v>MGI:1917237</v>
      </c>
      <c r="J8248" s="4" t="s">
        <v>12</v>
      </c>
    </row>
    <row r="8249" spans="1:10" x14ac:dyDescent="0.25">
      <c r="A8249" s="2">
        <v>196.119809869612</v>
      </c>
      <c r="B8249" s="3">
        <v>-1.7080859128603201</v>
      </c>
      <c r="C8249" s="5">
        <v>2.1895683314621499E-42</v>
      </c>
      <c r="D8249" s="6">
        <v>4.7816486707013895E-41</v>
      </c>
      <c r="E8249" s="3" t="s">
        <v>1822</v>
      </c>
      <c r="F8249" s="3" t="s">
        <v>1823</v>
      </c>
      <c r="G8249" s="3">
        <v>381810</v>
      </c>
      <c r="H8249" s="7" t="str">
        <f>HYPERLINK("http://www.ensembl.org/Mus_musculus/Gene/Summary?db=core;g=ENSMUSG00000067714","ENSMUSG00000067714")</f>
        <v>ENSMUSG00000067714</v>
      </c>
      <c r="I8249" s="7" t="str">
        <f>HYPERLINK("http://www.informatics.jax.org/marker/MGI:2685918","MGI:2685918")</f>
        <v>MGI:2685918</v>
      </c>
      <c r="J8249" s="4" t="s">
        <v>12</v>
      </c>
    </row>
    <row r="8250" spans="1:10" x14ac:dyDescent="0.25">
      <c r="A8250" s="2">
        <v>2.0778321018981698</v>
      </c>
      <c r="B8250" s="3">
        <v>-1.7091179822495699</v>
      </c>
      <c r="C8250" s="3">
        <v>2.5292084401946701E-4</v>
      </c>
      <c r="D8250" s="4">
        <v>8.10596301651859E-4</v>
      </c>
      <c r="E8250" s="3" t="s">
        <v>12317</v>
      </c>
      <c r="F8250" s="3" t="s">
        <v>12318</v>
      </c>
      <c r="G8250" s="3" t="s">
        <v>83</v>
      </c>
      <c r="H8250" s="7" t="str">
        <f>HYPERLINK("http://www.ensembl.org/Mus_musculus/Gene/Summary?db=core;g=ENSMUSG00000087612","ENSMUSG00000087612")</f>
        <v>ENSMUSG00000087612</v>
      </c>
      <c r="I8250" s="7" t="str">
        <f>HYPERLINK("http://www.informatics.jax.org/marker/MGI:3603401","MGI:3603401")</f>
        <v>MGI:3603401</v>
      </c>
      <c r="J8250" s="4" t="s">
        <v>932</v>
      </c>
    </row>
    <row r="8251" spans="1:10" x14ac:dyDescent="0.25">
      <c r="A8251" s="2">
        <v>62.743404957702303</v>
      </c>
      <c r="B8251" s="3">
        <v>-1.71066643722554</v>
      </c>
      <c r="C8251" s="5">
        <v>1.5133030049328E-24</v>
      </c>
      <c r="D8251" s="6">
        <v>1.8174382008084599E-23</v>
      </c>
      <c r="E8251" s="3" t="s">
        <v>3304</v>
      </c>
      <c r="F8251" s="3" t="s">
        <v>3305</v>
      </c>
      <c r="G8251" s="3">
        <v>20677</v>
      </c>
      <c r="H8251" s="7" t="str">
        <f>HYPERLINK("http://www.ensembl.org/Mus_musculus/Gene/Summary?db=core;g=ENSMUSG00000076431","ENSMUSG00000076431")</f>
        <v>ENSMUSG00000076431</v>
      </c>
      <c r="I8251" s="7" t="str">
        <f>HYPERLINK("http://www.informatics.jax.org/marker/MGI:98366","MGI:98366")</f>
        <v>MGI:98366</v>
      </c>
      <c r="J8251" s="4" t="s">
        <v>12</v>
      </c>
    </row>
    <row r="8252" spans="1:10" x14ac:dyDescent="0.25">
      <c r="A8252" s="2">
        <v>632.55303352850501</v>
      </c>
      <c r="B8252" s="3">
        <v>-1.7113145001857699</v>
      </c>
      <c r="C8252" s="5">
        <v>7.5375430230141296E-77</v>
      </c>
      <c r="D8252" s="6">
        <v>4.0391399025499601E-75</v>
      </c>
      <c r="E8252" s="3" t="s">
        <v>748</v>
      </c>
      <c r="F8252" s="3" t="s">
        <v>749</v>
      </c>
      <c r="G8252" s="3">
        <v>19414</v>
      </c>
      <c r="H8252" s="7" t="str">
        <f>HYPERLINK("http://www.ensembl.org/Mus_musculus/Gene/Summary?db=core;g=ENSMUSG00000031453","ENSMUSG00000031453")</f>
        <v>ENSMUSG00000031453</v>
      </c>
      <c r="I8252" s="7" t="str">
        <f>HYPERLINK("http://www.informatics.jax.org/marker/MGI:1197013","MGI:1197013")</f>
        <v>MGI:1197013</v>
      </c>
      <c r="J8252" s="4" t="s">
        <v>12</v>
      </c>
    </row>
    <row r="8253" spans="1:10" x14ac:dyDescent="0.25">
      <c r="A8253" s="2">
        <v>9.3579963162302295</v>
      </c>
      <c r="B8253" s="3">
        <v>-1.71477718703827</v>
      </c>
      <c r="C8253" s="5">
        <v>7.1927255438085895E-7</v>
      </c>
      <c r="D8253" s="6">
        <v>3.0185262337498501E-6</v>
      </c>
      <c r="E8253" s="3" t="s">
        <v>9413</v>
      </c>
      <c r="F8253" s="3" t="s">
        <v>9414</v>
      </c>
      <c r="G8253" s="3">
        <v>12335</v>
      </c>
      <c r="H8253" s="7" t="str">
        <f>HYPERLINK("http://www.ensembl.org/Mus_musculus/Gene/Summary?db=core;g=ENSMUSG00000079110","ENSMUSG00000079110")</f>
        <v>ENSMUSG00000079110</v>
      </c>
      <c r="I8253" s="7" t="str">
        <f>HYPERLINK("http://www.informatics.jax.org/marker/MGI:107437","MGI:107437")</f>
        <v>MGI:107437</v>
      </c>
      <c r="J8253" s="4" t="s">
        <v>12</v>
      </c>
    </row>
    <row r="8254" spans="1:10" x14ac:dyDescent="0.25">
      <c r="A8254" s="2">
        <v>139.347121841106</v>
      </c>
      <c r="B8254" s="3">
        <v>-1.72232338777466</v>
      </c>
      <c r="C8254" s="5">
        <v>1.4496852231819399E-41</v>
      </c>
      <c r="D8254" s="6">
        <v>3.0772650808555199E-40</v>
      </c>
      <c r="E8254" s="3" t="s">
        <v>1875</v>
      </c>
      <c r="F8254" s="3" t="s">
        <v>1876</v>
      </c>
      <c r="G8254" s="3">
        <v>64296</v>
      </c>
      <c r="H8254" s="7" t="str">
        <f>HYPERLINK("http://www.ensembl.org/Mus_musculus/Gene/Summary?db=core;g=ENSMUSG00000007950","ENSMUSG00000007950")</f>
        <v>ENSMUSG00000007950</v>
      </c>
      <c r="I8254" s="7" t="str">
        <f>HYPERLINK("http://www.informatics.jax.org/marker/MGI:1918946","MGI:1918946")</f>
        <v>MGI:1918946</v>
      </c>
      <c r="J8254" s="4" t="s">
        <v>12</v>
      </c>
    </row>
    <row r="8255" spans="1:10" x14ac:dyDescent="0.25">
      <c r="A8255" s="2">
        <v>6.87144502927495</v>
      </c>
      <c r="B8255" s="3">
        <v>-1.7229766003764599</v>
      </c>
      <c r="C8255" s="5">
        <v>2.75395080717423E-5</v>
      </c>
      <c r="D8255" s="6">
        <v>9.8795542873341406E-5</v>
      </c>
      <c r="E8255" s="3" t="s">
        <v>11006</v>
      </c>
      <c r="F8255" s="3" t="s">
        <v>11007</v>
      </c>
      <c r="G8255" s="3">
        <v>68070</v>
      </c>
      <c r="H8255" s="7" t="str">
        <f>HYPERLINK("http://www.ensembl.org/Mus_musculus/Gene/Summary?db=core;g=ENSMUSG00000022197","ENSMUSG00000022197")</f>
        <v>ENSMUSG00000022197</v>
      </c>
      <c r="I8255" s="7" t="str">
        <f>HYPERLINK("http://www.informatics.jax.org/marker/MGI:1922394","MGI:1922394")</f>
        <v>MGI:1922394</v>
      </c>
      <c r="J8255" s="4" t="s">
        <v>12</v>
      </c>
    </row>
    <row r="8256" spans="1:10" x14ac:dyDescent="0.25">
      <c r="A8256" s="2">
        <v>290.65512840949702</v>
      </c>
      <c r="B8256" s="3">
        <v>-1.72318559459397</v>
      </c>
      <c r="C8256" s="5">
        <v>6.6204502800416397E-70</v>
      </c>
      <c r="D8256" s="6">
        <v>3.0361692912190998E-68</v>
      </c>
      <c r="E8256" s="3" t="s">
        <v>872</v>
      </c>
      <c r="F8256" s="3" t="s">
        <v>873</v>
      </c>
      <c r="G8256" s="3">
        <v>24100</v>
      </c>
      <c r="H8256" s="7" t="str">
        <f>HYPERLINK("http://www.ensembl.org/Mus_musculus/Gene/Summary?db=core;g=ENSMUSG00000002871","ENSMUSG00000002871")</f>
        <v>ENSMUSG00000002871</v>
      </c>
      <c r="I8256" s="7" t="str">
        <f>HYPERLINK("http://www.informatics.jax.org/marker/MGI:1345190","MGI:1345190")</f>
        <v>MGI:1345190</v>
      </c>
      <c r="J8256" s="4" t="s">
        <v>12</v>
      </c>
    </row>
    <row r="8257" spans="1:10" x14ac:dyDescent="0.25">
      <c r="A8257" s="2">
        <v>776.01523461509498</v>
      </c>
      <c r="B8257" s="3">
        <v>-1.7239845732521899</v>
      </c>
      <c r="C8257" s="5">
        <v>1.71762642513377E-71</v>
      </c>
      <c r="D8257" s="6">
        <v>8.1815442279318797E-70</v>
      </c>
      <c r="E8257" s="3" t="s">
        <v>840</v>
      </c>
      <c r="F8257" s="3" t="s">
        <v>841</v>
      </c>
      <c r="G8257" s="3">
        <v>225049</v>
      </c>
      <c r="H8257" s="7" t="str">
        <f>HYPERLINK("http://www.ensembl.org/Mus_musculus/Gene/Summary?db=core;g=ENSMUSG00000036918","ENSMUSG00000036918")</f>
        <v>ENSMUSG00000036918</v>
      </c>
      <c r="I8257" s="7" t="str">
        <f>HYPERLINK("http://www.informatics.jax.org/marker/MGI:1920999","MGI:1920999")</f>
        <v>MGI:1920999</v>
      </c>
      <c r="J8257" s="4" t="s">
        <v>12</v>
      </c>
    </row>
    <row r="8258" spans="1:10" x14ac:dyDescent="0.25">
      <c r="A8258" s="2">
        <v>193.82683810586801</v>
      </c>
      <c r="B8258" s="3">
        <v>-1.72586812382497</v>
      </c>
      <c r="C8258" s="5">
        <v>3.3719453800873301E-40</v>
      </c>
      <c r="D8258" s="6">
        <v>6.9049598022141404E-39</v>
      </c>
      <c r="E8258" s="3" t="s">
        <v>1943</v>
      </c>
      <c r="F8258" s="3" t="s">
        <v>1944</v>
      </c>
      <c r="G8258" s="3">
        <v>70807</v>
      </c>
      <c r="H8258" s="7" t="str">
        <f>HYPERLINK("http://www.ensembl.org/Mus_musculus/Gene/Summary?db=core;g=ENSMUSG00000002910","ENSMUSG00000002910")</f>
        <v>ENSMUSG00000002910</v>
      </c>
      <c r="I8258" s="7" t="str">
        <f>HYPERLINK("http://www.informatics.jax.org/marker/MGI:1918057","MGI:1918057")</f>
        <v>MGI:1918057</v>
      </c>
      <c r="J8258" s="4" t="s">
        <v>12</v>
      </c>
    </row>
    <row r="8259" spans="1:10" x14ac:dyDescent="0.25">
      <c r="A8259" s="2">
        <v>319.73945277951299</v>
      </c>
      <c r="B8259" s="3">
        <v>-1.7259576346988601</v>
      </c>
      <c r="C8259" s="5">
        <v>7.6819610743379395E-20</v>
      </c>
      <c r="D8259" s="6">
        <v>7.5630690157735501E-19</v>
      </c>
      <c r="E8259" s="3" t="s">
        <v>4025</v>
      </c>
      <c r="F8259" s="3" t="s">
        <v>4026</v>
      </c>
      <c r="G8259" s="3">
        <v>79221</v>
      </c>
      <c r="H8259" s="7" t="str">
        <f>HYPERLINK("http://www.ensembl.org/Mus_musculus/Gene/Summary?db=core;g=ENSMUSG00000004698","ENSMUSG00000004698")</f>
        <v>ENSMUSG00000004698</v>
      </c>
      <c r="I8259" s="7" t="str">
        <f>HYPERLINK("http://www.informatics.jax.org/marker/MGI:1931221","MGI:1931221")</f>
        <v>MGI:1931221</v>
      </c>
      <c r="J8259" s="4" t="s">
        <v>12</v>
      </c>
    </row>
    <row r="8260" spans="1:10" x14ac:dyDescent="0.25">
      <c r="A8260" s="2">
        <v>1132.1545954127901</v>
      </c>
      <c r="B8260" s="3">
        <v>-1.7262123409126999</v>
      </c>
      <c r="C8260" s="5">
        <v>3.3279495610122001E-134</v>
      </c>
      <c r="D8260" s="6">
        <v>5.16749333410713E-132</v>
      </c>
      <c r="E8260" s="3" t="s">
        <v>264</v>
      </c>
      <c r="F8260" s="3" t="s">
        <v>265</v>
      </c>
      <c r="G8260" s="3">
        <v>494448</v>
      </c>
      <c r="H8260" s="7" t="str">
        <f>HYPERLINK("http://www.ensembl.org/Mus_musculus/Gene/Summary?db=core;g=ENSMUSG00000089715","ENSMUSG00000089715")</f>
        <v>ENSMUSG00000089715</v>
      </c>
      <c r="I8260" s="7" t="str">
        <f>HYPERLINK("http://www.informatics.jax.org/marker/MGI:3512628","MGI:3512628")</f>
        <v>MGI:3512628</v>
      </c>
      <c r="J8260" s="4" t="s">
        <v>12</v>
      </c>
    </row>
    <row r="8261" spans="1:10" x14ac:dyDescent="0.25">
      <c r="A8261" s="2">
        <v>289.60290334937997</v>
      </c>
      <c r="B8261" s="3">
        <v>-1.7273346142539101</v>
      </c>
      <c r="C8261" s="5">
        <v>1.4444088375687499E-53</v>
      </c>
      <c r="D8261" s="6">
        <v>4.2260745217886697E-52</v>
      </c>
      <c r="E8261" s="3" t="s">
        <v>1364</v>
      </c>
      <c r="F8261" s="3" t="s">
        <v>1365</v>
      </c>
      <c r="G8261" s="3">
        <v>27027</v>
      </c>
      <c r="H8261" s="7" t="str">
        <f>HYPERLINK("http://www.ensembl.org/Mus_musculus/Gene/Summary?db=core;g=ENSMUSG00000000244","ENSMUSG00000000244")</f>
        <v>ENSMUSG00000000244</v>
      </c>
      <c r="I8261" s="7" t="str">
        <f>HYPERLINK("http://www.informatics.jax.org/marker/MGI:1350360","MGI:1350360")</f>
        <v>MGI:1350360</v>
      </c>
      <c r="J8261" s="4" t="s">
        <v>12</v>
      </c>
    </row>
    <row r="8262" spans="1:10" x14ac:dyDescent="0.25">
      <c r="A8262" s="2">
        <v>16.178720235812499</v>
      </c>
      <c r="B8262" s="3">
        <v>-1.7294719600108901</v>
      </c>
      <c r="C8262" s="5">
        <v>2.1743664721660201E-8</v>
      </c>
      <c r="D8262" s="6">
        <v>1.04505256717314E-7</v>
      </c>
      <c r="E8262" s="3" t="s">
        <v>8223</v>
      </c>
      <c r="F8262" s="3" t="s">
        <v>8224</v>
      </c>
      <c r="G8262" s="3">
        <v>15402</v>
      </c>
      <c r="H8262" s="7" t="str">
        <f>HYPERLINK("http://www.ensembl.org/Mus_musculus/Gene/Summary?db=core;g=ENSMUSG00000038253","ENSMUSG00000038253")</f>
        <v>ENSMUSG00000038253</v>
      </c>
      <c r="I8262" s="7" t="str">
        <f>HYPERLINK("http://www.informatics.jax.org/marker/MGI:96177","MGI:96177")</f>
        <v>MGI:96177</v>
      </c>
      <c r="J8262" s="4" t="s">
        <v>12</v>
      </c>
    </row>
    <row r="8263" spans="1:10" x14ac:dyDescent="0.25">
      <c r="A8263" s="2">
        <v>30.370429953148101</v>
      </c>
      <c r="B8263" s="3">
        <v>-1.73004805667918</v>
      </c>
      <c r="C8263" s="5">
        <v>7.3476733593485401E-13</v>
      </c>
      <c r="D8263" s="6">
        <v>4.9690026970628701E-12</v>
      </c>
      <c r="E8263" s="3" t="s">
        <v>5849</v>
      </c>
      <c r="F8263" s="3" t="s">
        <v>5850</v>
      </c>
      <c r="G8263" s="3">
        <v>66279</v>
      </c>
      <c r="H8263" s="7" t="str">
        <f>HYPERLINK("http://www.ensembl.org/Mus_musculus/Gene/Summary?db=core;g=ENSMUSG00000032121","ENSMUSG00000032121")</f>
        <v>ENSMUSG00000032121</v>
      </c>
      <c r="I8263" s="7" t="str">
        <f>HYPERLINK("http://www.informatics.jax.org/marker/MGI:1913529","MGI:1913529")</f>
        <v>MGI:1913529</v>
      </c>
      <c r="J8263" s="4" t="s">
        <v>12</v>
      </c>
    </row>
    <row r="8264" spans="1:10" x14ac:dyDescent="0.25">
      <c r="A8264" s="2">
        <v>159.45247305854301</v>
      </c>
      <c r="B8264" s="3">
        <v>-1.7335340039534299</v>
      </c>
      <c r="C8264" s="5">
        <v>3.8129599014339799E-45</v>
      </c>
      <c r="D8264" s="6">
        <v>8.9727409613697102E-44</v>
      </c>
      <c r="E8264" s="3" t="s">
        <v>1692</v>
      </c>
      <c r="F8264" s="3" t="s">
        <v>1693</v>
      </c>
      <c r="G8264" s="3">
        <v>74114</v>
      </c>
      <c r="H8264" s="7" t="str">
        <f>HYPERLINK("http://www.ensembl.org/Mus_musculus/Gene/Summary?db=core;g=ENSMUSG00000003623","ENSMUSG00000003623")</f>
        <v>ENSMUSG00000003623</v>
      </c>
      <c r="I8264" s="7" t="str">
        <f>HYPERLINK("http://www.informatics.jax.org/marker/MGI:1921364","MGI:1921364")</f>
        <v>MGI:1921364</v>
      </c>
      <c r="J8264" s="4" t="s">
        <v>12</v>
      </c>
    </row>
    <row r="8265" spans="1:10" x14ac:dyDescent="0.25">
      <c r="A8265" s="2">
        <v>1.4635956774057901</v>
      </c>
      <c r="B8265" s="3">
        <v>-1.73368224998694</v>
      </c>
      <c r="C8265" s="3">
        <v>1.3436688373156299E-4</v>
      </c>
      <c r="D8265" s="4">
        <v>4.4600487244343001E-4</v>
      </c>
      <c r="E8265" s="3" t="s">
        <v>11893</v>
      </c>
      <c r="F8265" s="3" t="s">
        <v>11894</v>
      </c>
      <c r="G8265" s="3">
        <v>16524</v>
      </c>
      <c r="H8265" s="7" t="str">
        <f>HYPERLINK("http://www.ensembl.org/Mus_musculus/Gene/Summary?db=core;g=ENSMUSG00000038026","ENSMUSG00000038026")</f>
        <v>ENSMUSG00000038026</v>
      </c>
      <c r="I8265" s="7" t="str">
        <f>HYPERLINK("http://www.informatics.jax.org/marker/MGI:108007","MGI:108007")</f>
        <v>MGI:108007</v>
      </c>
      <c r="J8265" s="4" t="s">
        <v>12</v>
      </c>
    </row>
    <row r="8266" spans="1:10" x14ac:dyDescent="0.25">
      <c r="A8266" s="2">
        <v>65.7234769071908</v>
      </c>
      <c r="B8266" s="3">
        <v>-1.7362490766087599</v>
      </c>
      <c r="C8266" s="5">
        <v>2.8633843133358602E-28</v>
      </c>
      <c r="D8266" s="6">
        <v>3.9597432439679701E-27</v>
      </c>
      <c r="E8266" s="3" t="s">
        <v>2870</v>
      </c>
      <c r="F8266" s="3" t="s">
        <v>2871</v>
      </c>
      <c r="G8266" s="3">
        <v>72852</v>
      </c>
      <c r="H8266" s="7" t="str">
        <f>HYPERLINK("http://www.ensembl.org/Mus_musculus/Gene/Summary?db=core;g=ENSMUSG00000051098","ENSMUSG00000051098")</f>
        <v>ENSMUSG00000051098</v>
      </c>
      <c r="I8266" s="7" t="str">
        <f>HYPERLINK("http://www.informatics.jax.org/marker/MGI:1920102","MGI:1920102")</f>
        <v>MGI:1920102</v>
      </c>
      <c r="J8266" s="4" t="s">
        <v>12</v>
      </c>
    </row>
    <row r="8267" spans="1:10" x14ac:dyDescent="0.25">
      <c r="A8267" s="2">
        <v>21.039527621937498</v>
      </c>
      <c r="B8267" s="3">
        <v>-1.74097433447851</v>
      </c>
      <c r="C8267" s="5">
        <v>3.9717431517744702E-10</v>
      </c>
      <c r="D8267" s="6">
        <v>2.19576044163141E-9</v>
      </c>
      <c r="E8267" s="3" t="s">
        <v>7152</v>
      </c>
      <c r="F8267" s="3" t="s">
        <v>7153</v>
      </c>
      <c r="G8267" s="3">
        <v>74511</v>
      </c>
      <c r="H8267" s="7" t="str">
        <f>HYPERLINK("http://www.ensembl.org/Mus_musculus/Gene/Summary?db=core;g=ENSMUSG00000039883","ENSMUSG00000039883")</f>
        <v>ENSMUSG00000039883</v>
      </c>
      <c r="I8267" s="7" t="str">
        <f>HYPERLINK("http://www.informatics.jax.org/marker/MGI:1921761","MGI:1921761")</f>
        <v>MGI:1921761</v>
      </c>
      <c r="J8267" s="4" t="s">
        <v>12</v>
      </c>
    </row>
    <row r="8268" spans="1:10" x14ac:dyDescent="0.25">
      <c r="A8268" s="2">
        <v>212.18422514985599</v>
      </c>
      <c r="B8268" s="3">
        <v>-1.7464234423735601</v>
      </c>
      <c r="C8268" s="5">
        <v>8.7542916396304805E-44</v>
      </c>
      <c r="D8268" s="6">
        <v>1.97975494419166E-42</v>
      </c>
      <c r="E8268" s="3" t="s">
        <v>1760</v>
      </c>
      <c r="F8268" s="3" t="s">
        <v>1761</v>
      </c>
      <c r="G8268" s="3">
        <v>18027</v>
      </c>
      <c r="H8268" s="7" t="str">
        <f>HYPERLINK("http://www.ensembl.org/Mus_musculus/Gene/Summary?db=core;g=ENSMUSG00000028565","ENSMUSG00000028565")</f>
        <v>ENSMUSG00000028565</v>
      </c>
      <c r="I8268" s="7" t="str">
        <f>HYPERLINK("http://www.informatics.jax.org/marker/MGI:108056","MGI:108056")</f>
        <v>MGI:108056</v>
      </c>
      <c r="J8268" s="4" t="s">
        <v>12</v>
      </c>
    </row>
    <row r="8269" spans="1:10" x14ac:dyDescent="0.25">
      <c r="A8269" s="2">
        <v>552.38822975947403</v>
      </c>
      <c r="B8269" s="3">
        <v>-1.7469300173542599</v>
      </c>
      <c r="C8269" s="5">
        <v>1.3532050786037699E-127</v>
      </c>
      <c r="D8269" s="6">
        <v>1.8153200102086E-125</v>
      </c>
      <c r="E8269" s="3" t="s">
        <v>304</v>
      </c>
      <c r="F8269" s="3" t="s">
        <v>305</v>
      </c>
      <c r="G8269" s="3">
        <v>75687</v>
      </c>
      <c r="H8269" s="7" t="str">
        <f>HYPERLINK("http://www.ensembl.org/Mus_musculus/Gene/Summary?db=core;g=ENSMUSG00000038604","ENSMUSG00000038604")</f>
        <v>ENSMUSG00000038604</v>
      </c>
      <c r="I8269" s="7" t="str">
        <f>HYPERLINK("http://www.informatics.jax.org/marker/MGI:1922937","MGI:1922937")</f>
        <v>MGI:1922937</v>
      </c>
      <c r="J8269" s="4" t="s">
        <v>12</v>
      </c>
    </row>
    <row r="8270" spans="1:10" x14ac:dyDescent="0.25">
      <c r="A8270" s="2">
        <v>209.896984624814</v>
      </c>
      <c r="B8270" s="3">
        <v>-1.74844538993562</v>
      </c>
      <c r="C8270" s="5">
        <v>8.8246632278951803E-60</v>
      </c>
      <c r="D8270" s="6">
        <v>3.1755904900381899E-58</v>
      </c>
      <c r="E8270" s="3" t="s">
        <v>1112</v>
      </c>
      <c r="F8270" s="3" t="s">
        <v>1113</v>
      </c>
      <c r="G8270" s="3">
        <v>22241</v>
      </c>
      <c r="H8270" s="7" t="str">
        <f>HYPERLINK("http://www.ensembl.org/Mus_musculus/Gene/Summary?db=core;g=ENSMUSG00000029512","ENSMUSG00000029512")</f>
        <v>ENSMUSG00000029512</v>
      </c>
      <c r="I8270" s="7" t="str">
        <f>HYPERLINK("http://www.informatics.jax.org/marker/MGI:1270126","MGI:1270126")</f>
        <v>MGI:1270126</v>
      </c>
      <c r="J8270" s="4" t="s">
        <v>12</v>
      </c>
    </row>
    <row r="8271" spans="1:10" x14ac:dyDescent="0.25">
      <c r="A8271" s="2">
        <v>121.683855606127</v>
      </c>
      <c r="B8271" s="3">
        <v>-1.7521601973185901</v>
      </c>
      <c r="C8271" s="5">
        <v>2.5852713125294999E-15</v>
      </c>
      <c r="D8271" s="6">
        <v>2.0182719827031501E-14</v>
      </c>
      <c r="E8271" s="3" t="s">
        <v>5069</v>
      </c>
      <c r="F8271" s="3" t="s">
        <v>5070</v>
      </c>
      <c r="G8271" s="3">
        <v>399603</v>
      </c>
      <c r="H8271" s="7" t="str">
        <f>HYPERLINK("http://www.ensembl.org/Mus_musculus/Gene/Summary?db=core;g=ENSMUSG00000072568","ENSMUSG00000072568")</f>
        <v>ENSMUSG00000072568</v>
      </c>
      <c r="I8271" s="7" t="str">
        <f>HYPERLINK("http://www.informatics.jax.org/marker/MGI:3026924","MGI:3026924")</f>
        <v>MGI:3026924</v>
      </c>
      <c r="J8271" s="4" t="s">
        <v>12</v>
      </c>
    </row>
    <row r="8272" spans="1:10" x14ac:dyDescent="0.25">
      <c r="A8272" s="2">
        <v>146.379418188946</v>
      </c>
      <c r="B8272" s="3">
        <v>-1.7530682819524399</v>
      </c>
      <c r="C8272" s="5">
        <v>3.3856335701362001E-43</v>
      </c>
      <c r="D8272" s="6">
        <v>7.5355185105063001E-42</v>
      </c>
      <c r="E8272" s="3" t="s">
        <v>1788</v>
      </c>
      <c r="F8272" s="3" t="s">
        <v>1789</v>
      </c>
      <c r="G8272" s="3">
        <v>12009</v>
      </c>
      <c r="H8272" s="7" t="str">
        <f>HYPERLINK("http://www.ensembl.org/Mus_musculus/Gene/Summary?db=core;g=ENSMUSG00000039781","ENSMUSG00000039781")</f>
        <v>ENSMUSG00000039781</v>
      </c>
      <c r="I8272" s="7" t="str">
        <f>HYPERLINK("http://www.informatics.jax.org/marker/MGI:107440","MGI:107440")</f>
        <v>MGI:107440</v>
      </c>
      <c r="J8272" s="4" t="s">
        <v>12</v>
      </c>
    </row>
    <row r="8273" spans="1:10" x14ac:dyDescent="0.25">
      <c r="A8273" s="2">
        <v>1052.3423589603501</v>
      </c>
      <c r="B8273" s="3">
        <v>-1.75323134379309</v>
      </c>
      <c r="C8273" s="5">
        <v>7.2466144075322402E-106</v>
      </c>
      <c r="D8273" s="6">
        <v>6.4082168662123598E-104</v>
      </c>
      <c r="E8273" s="3" t="s">
        <v>458</v>
      </c>
      <c r="F8273" s="3" t="s">
        <v>459</v>
      </c>
      <c r="G8273" s="3">
        <v>269582</v>
      </c>
      <c r="H8273" s="7" t="str">
        <f>HYPERLINK("http://www.ensembl.org/Mus_musculus/Gene/Summary?db=core;g=ENSMUSG00000042489","ENSMUSG00000042489")</f>
        <v>ENSMUSG00000042489</v>
      </c>
      <c r="I8273" s="7" t="str">
        <f>HYPERLINK("http://www.informatics.jax.org/marker/MGI:2445153","MGI:2445153")</f>
        <v>MGI:2445153</v>
      </c>
      <c r="J8273" s="4" t="s">
        <v>12</v>
      </c>
    </row>
    <row r="8274" spans="1:10" x14ac:dyDescent="0.25">
      <c r="A8274" s="2">
        <v>21.9957443482988</v>
      </c>
      <c r="B8274" s="3">
        <v>-1.7546204879010601</v>
      </c>
      <c r="C8274" s="5">
        <v>3.8956055892860699E-10</v>
      </c>
      <c r="D8274" s="6">
        <v>2.15548098262406E-9</v>
      </c>
      <c r="E8274" s="3" t="s">
        <v>7146</v>
      </c>
      <c r="F8274" s="3" t="s">
        <v>7147</v>
      </c>
      <c r="G8274" s="3">
        <v>18601</v>
      </c>
      <c r="H8274" s="7" t="str">
        <f>HYPERLINK("http://www.ensembl.org/Mus_musculus/Gene/Summary?db=core;g=ENSMUSG00000025328","ENSMUSG00000025328")</f>
        <v>ENSMUSG00000025328</v>
      </c>
      <c r="I8274" s="7" t="str">
        <f>HYPERLINK("http://www.informatics.jax.org/marker/MGI:1338891","MGI:1338891")</f>
        <v>MGI:1338891</v>
      </c>
      <c r="J8274" s="4" t="s">
        <v>12</v>
      </c>
    </row>
    <row r="8275" spans="1:10" x14ac:dyDescent="0.25">
      <c r="A8275" s="2">
        <v>2.09114081363728</v>
      </c>
      <c r="B8275" s="3">
        <v>-1.75789414932689</v>
      </c>
      <c r="C8275" s="3">
        <v>1.6199123588052201E-4</v>
      </c>
      <c r="D8275" s="4">
        <v>5.3152531972777001E-4</v>
      </c>
      <c r="E8275" s="3" t="s">
        <v>12031</v>
      </c>
      <c r="F8275" s="3" t="s">
        <v>12032</v>
      </c>
      <c r="G8275" s="3">
        <v>93961</v>
      </c>
      <c r="H8275" s="7" t="str">
        <f>HYPERLINK("http://www.ensembl.org/Mus_musculus/Gene/Summary?db=core;g=ENSMUSG00000074892","ENSMUSG00000074892")</f>
        <v>ENSMUSG00000074892</v>
      </c>
      <c r="I8275" s="7" t="str">
        <f>HYPERLINK("http://www.informatics.jax.org/marker/MGI:2136878","MGI:2136878")</f>
        <v>MGI:2136878</v>
      </c>
      <c r="J8275" s="4" t="s">
        <v>12</v>
      </c>
    </row>
    <row r="8276" spans="1:10" x14ac:dyDescent="0.25">
      <c r="A8276" s="2">
        <v>299.09968919293402</v>
      </c>
      <c r="B8276" s="3">
        <v>-1.7603274138313001</v>
      </c>
      <c r="C8276" s="5">
        <v>1.4927143873596501E-62</v>
      </c>
      <c r="D8276" s="6">
        <v>5.7831685105564403E-61</v>
      </c>
      <c r="E8276" s="3" t="s">
        <v>1033</v>
      </c>
      <c r="F8276" s="3" t="s">
        <v>1034</v>
      </c>
      <c r="G8276" s="3">
        <v>94218</v>
      </c>
      <c r="H8276" s="7" t="str">
        <f>HYPERLINK("http://www.ensembl.org/Mus_musculus/Gene/Summary?db=core;g=ENSMUSG00000001138","ENSMUSG00000001138")</f>
        <v>ENSMUSG00000001138</v>
      </c>
      <c r="I8276" s="7" t="str">
        <f>HYPERLINK("http://www.informatics.jax.org/marker/MGI:2151055","MGI:2151055")</f>
        <v>MGI:2151055</v>
      </c>
      <c r="J8276" s="4" t="s">
        <v>12</v>
      </c>
    </row>
    <row r="8277" spans="1:10" x14ac:dyDescent="0.25">
      <c r="A8277" s="2">
        <v>2.3582353572907699</v>
      </c>
      <c r="B8277" s="3">
        <v>-1.7629479992163199</v>
      </c>
      <c r="C8277" s="3">
        <v>1.64590801381313E-4</v>
      </c>
      <c r="D8277" s="4">
        <v>5.3942672481959396E-4</v>
      </c>
      <c r="E8277" s="3" t="s">
        <v>12045</v>
      </c>
      <c r="F8277" s="3" t="s">
        <v>12046</v>
      </c>
      <c r="G8277" s="3" t="s">
        <v>83</v>
      </c>
      <c r="H8277" s="7" t="str">
        <f>HYPERLINK("http://www.ensembl.org/Mus_musculus/Gene/Summary?db=core;g=ENSMUSG00000080076","ENSMUSG00000080076")</f>
        <v>ENSMUSG00000080076</v>
      </c>
      <c r="I8277" s="7" t="str">
        <f>HYPERLINK("http://www.informatics.jax.org/marker/MGI:2448312","MGI:2448312")</f>
        <v>MGI:2448312</v>
      </c>
      <c r="J8277" s="4" t="s">
        <v>2683</v>
      </c>
    </row>
    <row r="8278" spans="1:10" x14ac:dyDescent="0.25">
      <c r="A8278" s="2">
        <v>12.201816449108399</v>
      </c>
      <c r="B8278" s="3">
        <v>-1.76316606355074</v>
      </c>
      <c r="C8278" s="5">
        <v>1.18709252653062E-7</v>
      </c>
      <c r="D8278" s="6">
        <v>5.3507347710134304E-7</v>
      </c>
      <c r="E8278" s="3" t="s">
        <v>8767</v>
      </c>
      <c r="F8278" s="3" t="s">
        <v>8768</v>
      </c>
      <c r="G8278" s="3">
        <v>224019</v>
      </c>
      <c r="H8278" s="7" t="str">
        <f>HYPERLINK("http://www.ensembl.org/Mus_musculus/Gene/Summary?db=core;g=ENSMUSG00000055692","ENSMUSG00000055692")</f>
        <v>ENSMUSG00000055692</v>
      </c>
      <c r="I8278" s="7" t="str">
        <f>HYPERLINK("http://www.informatics.jax.org/marker/MGI:107238","MGI:107238")</f>
        <v>MGI:107238</v>
      </c>
      <c r="J8278" s="4" t="s">
        <v>12</v>
      </c>
    </row>
    <row r="8279" spans="1:10" x14ac:dyDescent="0.25">
      <c r="A8279" s="2">
        <v>69.556908779754593</v>
      </c>
      <c r="B8279" s="3">
        <v>-1.7670684561041701</v>
      </c>
      <c r="C8279" s="5">
        <v>5.7716029069602404E-23</v>
      </c>
      <c r="D8279" s="6">
        <v>6.5149404307530599E-22</v>
      </c>
      <c r="E8279" s="3" t="s">
        <v>3512</v>
      </c>
      <c r="F8279" s="3" t="s">
        <v>3513</v>
      </c>
      <c r="G8279" s="3" t="s">
        <v>83</v>
      </c>
      <c r="H8279" s="7" t="str">
        <f>HYPERLINK("http://www.ensembl.org/Mus_musculus/Gene/Summary?db=core;g=ENSMUSG00000052364","ENSMUSG00000052364")</f>
        <v>ENSMUSG00000052364</v>
      </c>
      <c r="I8279" s="7" t="str">
        <f>HYPERLINK("http://www.informatics.jax.org/marker/MGI:2147918","MGI:2147918")</f>
        <v>MGI:2147918</v>
      </c>
      <c r="J8279" s="4" t="s">
        <v>12</v>
      </c>
    </row>
    <row r="8280" spans="1:10" x14ac:dyDescent="0.25">
      <c r="A8280" s="2">
        <v>59.280416197695097</v>
      </c>
      <c r="B8280" s="3">
        <v>-1.77521618360328</v>
      </c>
      <c r="C8280" s="5">
        <v>1.00088819132395E-16</v>
      </c>
      <c r="D8280" s="6">
        <v>8.3846708296126603E-16</v>
      </c>
      <c r="E8280" s="3" t="s">
        <v>4725</v>
      </c>
      <c r="F8280" s="3" t="s">
        <v>4726</v>
      </c>
      <c r="G8280" s="3" t="s">
        <v>83</v>
      </c>
      <c r="H8280" s="7" t="str">
        <f>HYPERLINK("http://www.ensembl.org/Mus_musculus/Gene/Summary?db=core;g=ENSMUSG00000100975","ENSMUSG00000100975")</f>
        <v>ENSMUSG00000100975</v>
      </c>
      <c r="I8280" s="7" t="str">
        <f>HYPERLINK("http://www.informatics.jax.org/marker/MGI:5579581","MGI:5579581")</f>
        <v>MGI:5579581</v>
      </c>
      <c r="J8280" s="4" t="s">
        <v>939</v>
      </c>
    </row>
    <row r="8281" spans="1:10" x14ac:dyDescent="0.25">
      <c r="A8281" s="2">
        <v>375.71476369043302</v>
      </c>
      <c r="B8281" s="3">
        <v>-1.77667777087318</v>
      </c>
      <c r="C8281" s="5">
        <v>3.02298716045568E-44</v>
      </c>
      <c r="D8281" s="6">
        <v>6.9398494533394596E-43</v>
      </c>
      <c r="E8281" s="3" t="s">
        <v>1734</v>
      </c>
      <c r="F8281" s="3" t="s">
        <v>1735</v>
      </c>
      <c r="G8281" s="3">
        <v>80909</v>
      </c>
      <c r="H8281" s="7" t="str">
        <f>HYPERLINK("http://www.ensembl.org/Mus_musculus/Gene/Summary?db=core;g=ENSMUSG00000015944","ENSMUSG00000015944")</f>
        <v>ENSMUSG00000015944</v>
      </c>
      <c r="I8281" s="7" t="str">
        <f>HYPERLINK("http://www.informatics.jax.org/marker/MGI:1933384","MGI:1933384")</f>
        <v>MGI:1933384</v>
      </c>
      <c r="J8281" s="4" t="s">
        <v>12</v>
      </c>
    </row>
    <row r="8282" spans="1:10" x14ac:dyDescent="0.25">
      <c r="A8282" s="2">
        <v>5.0982817205984601</v>
      </c>
      <c r="B8282" s="3">
        <v>-1.7778796254335301</v>
      </c>
      <c r="C8282" s="5">
        <v>2.609499284766E-5</v>
      </c>
      <c r="D8282" s="6">
        <v>9.3818278752206907E-5</v>
      </c>
      <c r="E8282" s="3" t="s">
        <v>10982</v>
      </c>
      <c r="F8282" s="3" t="s">
        <v>10983</v>
      </c>
      <c r="G8282" s="3" t="s">
        <v>83</v>
      </c>
      <c r="H8282" s="7" t="str">
        <f>HYPERLINK("http://www.ensembl.org/Mus_musculus/Gene/Summary?db=core;g=ENSMUSG00000108234","ENSMUSG00000108234")</f>
        <v>ENSMUSG00000108234</v>
      </c>
      <c r="I8282" s="7" t="str">
        <f>HYPERLINK("http://www.informatics.jax.org/marker/MGI:5690820","MGI:5690820")</f>
        <v>MGI:5690820</v>
      </c>
      <c r="J8282" s="4" t="s">
        <v>1828</v>
      </c>
    </row>
    <row r="8283" spans="1:10" x14ac:dyDescent="0.25">
      <c r="A8283" s="2">
        <v>47.340260495865998</v>
      </c>
      <c r="B8283" s="3">
        <v>-1.78025631266963</v>
      </c>
      <c r="C8283" s="5">
        <v>1.1695166929464801E-18</v>
      </c>
      <c r="D8283" s="6">
        <v>1.09302697558789E-17</v>
      </c>
      <c r="E8283" s="3" t="s">
        <v>4237</v>
      </c>
      <c r="F8283" s="3" t="s">
        <v>4238</v>
      </c>
      <c r="G8283" s="3">
        <v>16600</v>
      </c>
      <c r="H8283" s="7" t="str">
        <f>HYPERLINK("http://www.ensembl.org/Mus_musculus/Gene/Summary?db=core;g=ENSMUSG00000003032","ENSMUSG00000003032")</f>
        <v>ENSMUSG00000003032</v>
      </c>
      <c r="I8283" s="7" t="str">
        <f>HYPERLINK("http://www.informatics.jax.org/marker/MGI:1342287","MGI:1342287")</f>
        <v>MGI:1342287</v>
      </c>
      <c r="J8283" s="4" t="s">
        <v>12</v>
      </c>
    </row>
    <row r="8284" spans="1:10" x14ac:dyDescent="0.25">
      <c r="A8284" s="2">
        <v>198.64627183796799</v>
      </c>
      <c r="B8284" s="3">
        <v>-1.7813848442129501</v>
      </c>
      <c r="C8284" s="5">
        <v>2.6238728716028598E-38</v>
      </c>
      <c r="D8284" s="6">
        <v>5.0333436797673504E-37</v>
      </c>
      <c r="E8284" s="3" t="s">
        <v>2073</v>
      </c>
      <c r="F8284" s="3" t="s">
        <v>2074</v>
      </c>
      <c r="G8284" s="3">
        <v>108902</v>
      </c>
      <c r="H8284" s="7" t="str">
        <f>HYPERLINK("http://www.ensembl.org/Mus_musculus/Gene/Summary?db=core;g=ENSMUSG00000047379","ENSMUSG00000047379")</f>
        <v>ENSMUSG00000047379</v>
      </c>
      <c r="I8284" s="7" t="str">
        <f>HYPERLINK("http://www.informatics.jax.org/marker/MGI:1919680","MGI:1919680")</f>
        <v>MGI:1919680</v>
      </c>
      <c r="J8284" s="4" t="s">
        <v>12</v>
      </c>
    </row>
    <row r="8285" spans="1:10" x14ac:dyDescent="0.25">
      <c r="A8285" s="2">
        <v>227.117807015327</v>
      </c>
      <c r="B8285" s="3">
        <v>-1.7906351517543899</v>
      </c>
      <c r="C8285" s="5">
        <v>2.9549418697849603E-45</v>
      </c>
      <c r="D8285" s="6">
        <v>6.9702695780094999E-44</v>
      </c>
      <c r="E8285" s="3" t="s">
        <v>1688</v>
      </c>
      <c r="F8285" s="3" t="s">
        <v>1689</v>
      </c>
      <c r="G8285" s="3">
        <v>70155</v>
      </c>
      <c r="H8285" s="7" t="str">
        <f>HYPERLINK("http://www.ensembl.org/Mus_musculus/Gene/Summary?db=core;g=ENSMUSG00000026158","ENSMUSG00000026158")</f>
        <v>ENSMUSG00000026158</v>
      </c>
      <c r="I8285" s="7" t="str">
        <f>HYPERLINK("http://www.informatics.jax.org/marker/MGI:1917405","MGI:1917405")</f>
        <v>MGI:1917405</v>
      </c>
      <c r="J8285" s="4" t="s">
        <v>12</v>
      </c>
    </row>
    <row r="8286" spans="1:10" x14ac:dyDescent="0.25">
      <c r="A8286" s="2">
        <v>137.353796413211</v>
      </c>
      <c r="B8286" s="3">
        <v>-1.7925697163023</v>
      </c>
      <c r="C8286" s="5">
        <v>6.6201564658741603E-45</v>
      </c>
      <c r="D8286" s="6">
        <v>1.55416054175046E-43</v>
      </c>
      <c r="E8286" s="3" t="s">
        <v>1696</v>
      </c>
      <c r="F8286" s="3" t="s">
        <v>1697</v>
      </c>
      <c r="G8286" s="3">
        <v>381353</v>
      </c>
      <c r="H8286" s="7" t="str">
        <f>HYPERLINK("http://www.ensembl.org/Mus_musculus/Gene/Summary?db=core;g=ENSMUSG00000029419","ENSMUSG00000029419")</f>
        <v>ENSMUSG00000029419</v>
      </c>
      <c r="I8286" s="7" t="str">
        <f>HYPERLINK("http://www.informatics.jax.org/marker/MGI:2685842","MGI:2685842")</f>
        <v>MGI:2685842</v>
      </c>
      <c r="J8286" s="4" t="s">
        <v>12</v>
      </c>
    </row>
    <row r="8287" spans="1:10" x14ac:dyDescent="0.25">
      <c r="A8287" s="2">
        <v>813.38774310707402</v>
      </c>
      <c r="B8287" s="3">
        <v>-1.79961421394279</v>
      </c>
      <c r="C8287" s="5">
        <v>1.16548958424488E-87</v>
      </c>
      <c r="D8287" s="6">
        <v>7.7385369027976598E-86</v>
      </c>
      <c r="E8287" s="3" t="s">
        <v>606</v>
      </c>
      <c r="F8287" s="3" t="s">
        <v>607</v>
      </c>
      <c r="G8287" s="3">
        <v>12189</v>
      </c>
      <c r="H8287" s="7" t="str">
        <f>HYPERLINK("http://www.ensembl.org/Mus_musculus/Gene/Summary?db=core;g=ENSMUSG00000017146","ENSMUSG00000017146")</f>
        <v>ENSMUSG00000017146</v>
      </c>
      <c r="I8287" s="7" t="str">
        <f>HYPERLINK("http://www.informatics.jax.org/marker/MGI:104537","MGI:104537")</f>
        <v>MGI:104537</v>
      </c>
      <c r="J8287" s="4" t="s">
        <v>12</v>
      </c>
    </row>
    <row r="8288" spans="1:10" x14ac:dyDescent="0.25">
      <c r="A8288" s="2">
        <v>35.900812576291599</v>
      </c>
      <c r="B8288" s="3">
        <v>-1.8005578920545</v>
      </c>
      <c r="C8288" s="5">
        <v>1.33647099052022E-14</v>
      </c>
      <c r="D8288" s="6">
        <v>1.0055401729515E-13</v>
      </c>
      <c r="E8288" s="3" t="s">
        <v>5259</v>
      </c>
      <c r="F8288" s="3" t="s">
        <v>5260</v>
      </c>
      <c r="G8288" s="3" t="s">
        <v>83</v>
      </c>
      <c r="H8288" s="7" t="str">
        <f>HYPERLINK("http://www.ensembl.org/Mus_musculus/Gene/Summary?db=core;g=ENSMUSG00000100280","ENSMUSG00000100280")</f>
        <v>ENSMUSG00000100280</v>
      </c>
      <c r="I8288" s="7" t="str">
        <f>HYPERLINK("http://www.informatics.jax.org/marker/MGI:5579123","MGI:5579123")</f>
        <v>MGI:5579123</v>
      </c>
      <c r="J8288" s="4" t="s">
        <v>331</v>
      </c>
    </row>
    <row r="8289" spans="1:10" x14ac:dyDescent="0.25">
      <c r="A8289" s="2">
        <v>165.11142261319301</v>
      </c>
      <c r="B8289" s="3">
        <v>-1.8056930676308001</v>
      </c>
      <c r="C8289" s="5">
        <v>5.4587220178698399E-34</v>
      </c>
      <c r="D8289" s="6">
        <v>9.1302797449018798E-33</v>
      </c>
      <c r="E8289" s="3" t="s">
        <v>2375</v>
      </c>
      <c r="F8289" s="3" t="s">
        <v>2376</v>
      </c>
      <c r="G8289" s="3">
        <v>106795</v>
      </c>
      <c r="H8289" s="7" t="str">
        <f>HYPERLINK("http://www.ensembl.org/Mus_musculus/Gene/Summary?db=core;g=ENSMUSG00000050410","ENSMUSG00000050410")</f>
        <v>ENSMUSG00000050410</v>
      </c>
      <c r="I8289" s="7" t="str">
        <f>HYPERLINK("http://www.informatics.jax.org/marker/MGI:103180","MGI:103180")</f>
        <v>MGI:103180</v>
      </c>
      <c r="J8289" s="4" t="s">
        <v>12</v>
      </c>
    </row>
    <row r="8290" spans="1:10" x14ac:dyDescent="0.25">
      <c r="A8290" s="2">
        <v>5.0561399539667802</v>
      </c>
      <c r="B8290" s="3">
        <v>-1.8058069960942</v>
      </c>
      <c r="C8290" s="5">
        <v>2.2870731409373699E-5</v>
      </c>
      <c r="D8290" s="6">
        <v>8.2739098035745695E-5</v>
      </c>
      <c r="E8290" s="3" t="s">
        <v>10914</v>
      </c>
      <c r="F8290" s="3" t="s">
        <v>10915</v>
      </c>
      <c r="G8290" s="3">
        <v>16950</v>
      </c>
      <c r="H8290" s="7" t="str">
        <f>HYPERLINK("http://www.ensembl.org/Mus_musculus/Gene/Summary?db=core;g=ENSMUSG00000000693","ENSMUSG00000000693")</f>
        <v>ENSMUSG00000000693</v>
      </c>
      <c r="I8290" s="7" t="str">
        <f>HYPERLINK("http://www.informatics.jax.org/marker/MGI:1337004","MGI:1337004")</f>
        <v>MGI:1337004</v>
      </c>
      <c r="J8290" s="4" t="s">
        <v>12</v>
      </c>
    </row>
    <row r="8291" spans="1:10" x14ac:dyDescent="0.25">
      <c r="A8291" s="2">
        <v>3.80924140422725</v>
      </c>
      <c r="B8291" s="3">
        <v>-1.80619846794225</v>
      </c>
      <c r="C8291" s="5">
        <v>4.0553697519231098E-5</v>
      </c>
      <c r="D8291" s="4">
        <v>1.4260323022097701E-4</v>
      </c>
      <c r="E8291" s="3" t="s">
        <v>11227</v>
      </c>
      <c r="F8291" s="3" t="s">
        <v>11228</v>
      </c>
      <c r="G8291" s="3">
        <v>13056</v>
      </c>
      <c r="H8291" s="7" t="str">
        <f>HYPERLINK("http://www.ensembl.org/Mus_musculus/Gene/Summary?db=core;g=ENSMUSG00000019590","ENSMUSG00000019590")</f>
        <v>ENSMUSG00000019590</v>
      </c>
      <c r="I8291" s="7" t="str">
        <f>HYPERLINK("http://www.informatics.jax.org/marker/MGI:103253","MGI:103253")</f>
        <v>MGI:103253</v>
      </c>
      <c r="J8291" s="4" t="s">
        <v>12</v>
      </c>
    </row>
    <row r="8292" spans="1:10" x14ac:dyDescent="0.25">
      <c r="A8292" s="2">
        <v>5.9828800803526203</v>
      </c>
      <c r="B8292" s="3">
        <v>-1.8077861499419801</v>
      </c>
      <c r="C8292" s="5">
        <v>1.26244253276091E-5</v>
      </c>
      <c r="D8292" s="6">
        <v>4.6839824545710603E-5</v>
      </c>
      <c r="E8292" s="3" t="s">
        <v>10642</v>
      </c>
      <c r="F8292" s="3" t="s">
        <v>10643</v>
      </c>
      <c r="G8292" s="3" t="s">
        <v>83</v>
      </c>
      <c r="H8292" s="7" t="str">
        <f>HYPERLINK("http://www.ensembl.org/Mus_musculus/Gene/Summary?db=core;g=ENSMUSG00000085048","ENSMUSG00000085048")</f>
        <v>ENSMUSG00000085048</v>
      </c>
      <c r="I8292" s="7" t="str">
        <f>HYPERLINK("http://www.informatics.jax.org/marker/MGI:3782985","MGI:3782985")</f>
        <v>MGI:3782985</v>
      </c>
      <c r="J8292" s="4" t="s">
        <v>932</v>
      </c>
    </row>
    <row r="8293" spans="1:10" x14ac:dyDescent="0.25">
      <c r="A8293" s="2">
        <v>22.047480498578199</v>
      </c>
      <c r="B8293" s="3">
        <v>-1.80794170206877</v>
      </c>
      <c r="C8293" s="5">
        <v>5.5212390842831496E-10</v>
      </c>
      <c r="D8293" s="6">
        <v>3.0168699014149E-9</v>
      </c>
      <c r="E8293" s="3" t="s">
        <v>7236</v>
      </c>
      <c r="F8293" s="3" t="s">
        <v>7237</v>
      </c>
      <c r="G8293" s="3">
        <v>381549</v>
      </c>
      <c r="H8293" s="7" t="str">
        <f>HYPERLINK("http://www.ensembl.org/Mus_musculus/Gene/Summary?db=core;g=ENSMUSG00000064141","ENSMUSG00000064141")</f>
        <v>ENSMUSG00000064141</v>
      </c>
      <c r="I8293" s="7" t="str">
        <f>HYPERLINK("http://www.informatics.jax.org/marker/MGI:107794","MGI:107794")</f>
        <v>MGI:107794</v>
      </c>
      <c r="J8293" s="4" t="s">
        <v>12</v>
      </c>
    </row>
    <row r="8294" spans="1:10" x14ac:dyDescent="0.25">
      <c r="A8294" s="2">
        <v>5.3028402834941799</v>
      </c>
      <c r="B8294" s="3">
        <v>-1.81670373187621</v>
      </c>
      <c r="C8294" s="5">
        <v>3.3751760848745799E-5</v>
      </c>
      <c r="D8294" s="4">
        <v>1.1973101707812E-4</v>
      </c>
      <c r="E8294" s="3" t="s">
        <v>11131</v>
      </c>
      <c r="F8294" s="3" t="s">
        <v>11132</v>
      </c>
      <c r="G8294" s="3" t="s">
        <v>83</v>
      </c>
      <c r="H8294" s="7" t="str">
        <f>HYPERLINK("http://www.ensembl.org/Mus_musculus/Gene/Summary?db=core;g=ENSMUSG00000105748","ENSMUSG00000105748")</f>
        <v>ENSMUSG00000105748</v>
      </c>
      <c r="I8294" s="7" t="str">
        <f>HYPERLINK("http://www.informatics.jax.org/marker/MGI:5663225","MGI:5663225")</f>
        <v>MGI:5663225</v>
      </c>
      <c r="J8294" s="4" t="s">
        <v>1828</v>
      </c>
    </row>
    <row r="8295" spans="1:10" x14ac:dyDescent="0.25">
      <c r="A8295" s="2">
        <v>21.313608706113801</v>
      </c>
      <c r="B8295" s="3">
        <v>-1.8170762522374799</v>
      </c>
      <c r="C8295" s="5">
        <v>1.02242050732911E-9</v>
      </c>
      <c r="D8295" s="6">
        <v>5.4833104173320699E-9</v>
      </c>
      <c r="E8295" s="3" t="s">
        <v>7372</v>
      </c>
      <c r="F8295" s="3" t="s">
        <v>7373</v>
      </c>
      <c r="G8295" s="3">
        <v>68918</v>
      </c>
      <c r="H8295" s="7" t="str">
        <f>HYPERLINK("http://www.ensembl.org/Mus_musculus/Gene/Summary?db=core;g=ENSMUSG00000043687","ENSMUSG00000043687")</f>
        <v>ENSMUSG00000043687</v>
      </c>
      <c r="I8295" s="7" t="str">
        <f>HYPERLINK("http://www.informatics.jax.org/marker/MGI:1916168","MGI:1916168")</f>
        <v>MGI:1916168</v>
      </c>
      <c r="J8295" s="4" t="s">
        <v>12</v>
      </c>
    </row>
    <row r="8296" spans="1:10" x14ac:dyDescent="0.25">
      <c r="A8296" s="2">
        <v>22.9175457338062</v>
      </c>
      <c r="B8296" s="3">
        <v>-1.8227792513363801</v>
      </c>
      <c r="C8296" s="5">
        <v>3.2208955171035202E-12</v>
      </c>
      <c r="D8296" s="6">
        <v>2.1003987962064001E-11</v>
      </c>
      <c r="E8296" s="3" t="s">
        <v>6065</v>
      </c>
      <c r="F8296" s="3" t="s">
        <v>6066</v>
      </c>
      <c r="G8296" s="3">
        <v>70788</v>
      </c>
      <c r="H8296" s="7" t="str">
        <f>HYPERLINK("http://www.ensembl.org/Mus_musculus/Gene/Summary?db=core;g=ENSMUSG00000026308","ENSMUSG00000026308")</f>
        <v>ENSMUSG00000026308</v>
      </c>
      <c r="I8296" s="7" t="str">
        <f>HYPERLINK("http://www.informatics.jax.org/marker/MGI:1918038","MGI:1918038")</f>
        <v>MGI:1918038</v>
      </c>
      <c r="J8296" s="4" t="s">
        <v>12</v>
      </c>
    </row>
    <row r="8297" spans="1:10" x14ac:dyDescent="0.25">
      <c r="A8297" s="2">
        <v>475.96677053573598</v>
      </c>
      <c r="B8297" s="3">
        <v>-1.8248468855943401</v>
      </c>
      <c r="C8297" s="5">
        <v>1.6686251820137099E-41</v>
      </c>
      <c r="D8297" s="6">
        <v>3.5306103636599002E-40</v>
      </c>
      <c r="E8297" s="3" t="s">
        <v>1881</v>
      </c>
      <c r="F8297" s="3" t="s">
        <v>1882</v>
      </c>
      <c r="G8297" s="3">
        <v>17064</v>
      </c>
      <c r="H8297" s="7" t="str">
        <f>HYPERLINK("http://www.ensembl.org/Mus_musculus/Gene/Summary?db=core;g=ENSMUSG00000027435","ENSMUSG00000027435")</f>
        <v>ENSMUSG00000027435</v>
      </c>
      <c r="I8297" s="7" t="str">
        <f>HYPERLINK("http://www.informatics.jax.org/marker/MGI:106664","MGI:106664")</f>
        <v>MGI:106664</v>
      </c>
      <c r="J8297" s="4" t="s">
        <v>12</v>
      </c>
    </row>
    <row r="8298" spans="1:10" x14ac:dyDescent="0.25">
      <c r="A8298" s="2">
        <v>17.4999370432779</v>
      </c>
      <c r="B8298" s="3">
        <v>-1.8270149949482699</v>
      </c>
      <c r="C8298" s="5">
        <v>1.3194052127815299E-9</v>
      </c>
      <c r="D8298" s="6">
        <v>7.0112289938161699E-9</v>
      </c>
      <c r="E8298" s="3" t="s">
        <v>7440</v>
      </c>
      <c r="F8298" s="3" t="s">
        <v>7441</v>
      </c>
      <c r="G8298" s="3">
        <v>19725</v>
      </c>
      <c r="H8298" s="7" t="str">
        <f>HYPERLINK("http://www.ensembl.org/Mus_musculus/Gene/Summary?db=core;g=ENSMUSG00000024206","ENSMUSG00000024206")</f>
        <v>ENSMUSG00000024206</v>
      </c>
      <c r="I8298" s="7" t="str">
        <f>HYPERLINK("http://www.informatics.jax.org/marker/MGI:106583","MGI:106583")</f>
        <v>MGI:106583</v>
      </c>
      <c r="J8298" s="4" t="s">
        <v>12</v>
      </c>
    </row>
    <row r="8299" spans="1:10" x14ac:dyDescent="0.25">
      <c r="A8299" s="2">
        <v>5.02853806852431</v>
      </c>
      <c r="B8299" s="3">
        <v>-1.8297377250295801</v>
      </c>
      <c r="C8299" s="5">
        <v>2.5032061323025098E-5</v>
      </c>
      <c r="D8299" s="6">
        <v>9.0128217872933103E-5</v>
      </c>
      <c r="E8299" s="3" t="s">
        <v>10966</v>
      </c>
      <c r="F8299" s="3" t="s">
        <v>10967</v>
      </c>
      <c r="G8299" s="3">
        <v>16499</v>
      </c>
      <c r="H8299" s="7" t="str">
        <f>HYPERLINK("http://www.ensembl.org/Mus_musculus/Gene/Summary?db=core;g=ENSMUSG00000018470","ENSMUSG00000018470")</f>
        <v>ENSMUSG00000018470</v>
      </c>
      <c r="I8299" s="7" t="str">
        <f>HYPERLINK("http://www.informatics.jax.org/marker/MGI:1336208","MGI:1336208")</f>
        <v>MGI:1336208</v>
      </c>
      <c r="J8299" s="4" t="s">
        <v>12</v>
      </c>
    </row>
    <row r="8300" spans="1:10" x14ac:dyDescent="0.25">
      <c r="A8300" s="2">
        <v>234.490143982543</v>
      </c>
      <c r="B8300" s="3">
        <v>-1.8298434445382901</v>
      </c>
      <c r="C8300" s="5">
        <v>6.7732460193162302E-54</v>
      </c>
      <c r="D8300" s="6">
        <v>2.0055317042179599E-52</v>
      </c>
      <c r="E8300" s="3" t="s">
        <v>1348</v>
      </c>
      <c r="F8300" s="3" t="s">
        <v>1349</v>
      </c>
      <c r="G8300" s="3">
        <v>236920</v>
      </c>
      <c r="H8300" s="7" t="str">
        <f>HYPERLINK("http://www.ensembl.org/Mus_musculus/Gene/Summary?db=core;g=ENSMUSG00000031216","ENSMUSG00000031216")</f>
        <v>ENSMUSG00000031216</v>
      </c>
      <c r="I8300" s="7" t="str">
        <f>HYPERLINK("http://www.informatics.jax.org/marker/MGI:2448556","MGI:2448556")</f>
        <v>MGI:2448556</v>
      </c>
      <c r="J8300" s="4" t="s">
        <v>12</v>
      </c>
    </row>
    <row r="8301" spans="1:10" x14ac:dyDescent="0.25">
      <c r="A8301" s="2">
        <v>191.896418075524</v>
      </c>
      <c r="B8301" s="3">
        <v>-1.8316570891863699</v>
      </c>
      <c r="C8301" s="5">
        <v>1.07615933530418E-60</v>
      </c>
      <c r="D8301" s="6">
        <v>3.9741314779397999E-59</v>
      </c>
      <c r="E8301" s="3" t="s">
        <v>1084</v>
      </c>
      <c r="F8301" s="3" t="s">
        <v>1085</v>
      </c>
      <c r="G8301" s="3">
        <v>97761</v>
      </c>
      <c r="H8301" s="7" t="str">
        <f>HYPERLINK("http://www.ensembl.org/Mus_musculus/Gene/Summary?db=core;g=ENSMUSG00000038351","ENSMUSG00000038351")</f>
        <v>ENSMUSG00000038351</v>
      </c>
      <c r="I8301" s="7" t="str">
        <f>HYPERLINK("http://www.informatics.jax.org/marker/MGI:2144695","MGI:2144695")</f>
        <v>MGI:2144695</v>
      </c>
      <c r="J8301" s="4" t="s">
        <v>12</v>
      </c>
    </row>
    <row r="8302" spans="1:10" x14ac:dyDescent="0.25">
      <c r="A8302" s="2">
        <v>5.5953362493087901</v>
      </c>
      <c r="B8302" s="3">
        <v>-1.8334703018251699</v>
      </c>
      <c r="C8302" s="5">
        <v>5.0629365718456998E-6</v>
      </c>
      <c r="D8302" s="6">
        <v>1.9538377533619799E-5</v>
      </c>
      <c r="E8302" s="3" t="s">
        <v>10234</v>
      </c>
      <c r="F8302" s="3" t="s">
        <v>10235</v>
      </c>
      <c r="G8302" s="3" t="s">
        <v>83</v>
      </c>
      <c r="H8302" s="7" t="str">
        <f>HYPERLINK("http://www.ensembl.org/Mus_musculus/Gene/Summary?db=core;g=ENSMUSG00000108015","ENSMUSG00000108015")</f>
        <v>ENSMUSG00000108015</v>
      </c>
      <c r="I8302" s="7" t="str">
        <f>HYPERLINK("http://www.informatics.jax.org/marker/MGI:5591750","MGI:5591750")</f>
        <v>MGI:5591750</v>
      </c>
      <c r="J8302" s="4" t="s">
        <v>939</v>
      </c>
    </row>
    <row r="8303" spans="1:10" x14ac:dyDescent="0.25">
      <c r="A8303" s="2">
        <v>7.1900685585789796</v>
      </c>
      <c r="B8303" s="3">
        <v>-1.83391590184472</v>
      </c>
      <c r="C8303" s="5">
        <v>9.3053575711939301E-6</v>
      </c>
      <c r="D8303" s="6">
        <v>3.4926085135885901E-5</v>
      </c>
      <c r="E8303" s="3" t="s">
        <v>10522</v>
      </c>
      <c r="F8303" s="3" t="s">
        <v>10523</v>
      </c>
      <c r="G8303" s="3" t="s">
        <v>83</v>
      </c>
      <c r="H8303" s="7" t="str">
        <f>HYPERLINK("http://www.ensembl.org/Mus_musculus/Gene/Summary?db=core;g=ENSMUSG00000104069","ENSMUSG00000104069")</f>
        <v>ENSMUSG00000104069</v>
      </c>
      <c r="I8303" s="7" t="str">
        <f>HYPERLINK("http://www.informatics.jax.org/marker/MGI:5610426","MGI:5610426")</f>
        <v>MGI:5610426</v>
      </c>
      <c r="J8303" s="4" t="s">
        <v>1828</v>
      </c>
    </row>
    <row r="8304" spans="1:10" x14ac:dyDescent="0.25">
      <c r="A8304" s="2">
        <v>381.232309320046</v>
      </c>
      <c r="B8304" s="3">
        <v>-1.83424267338518</v>
      </c>
      <c r="C8304" s="5">
        <v>6.1092207203040106E-76</v>
      </c>
      <c r="D8304" s="6">
        <v>3.2040912926700802E-74</v>
      </c>
      <c r="E8304" s="3" t="s">
        <v>764</v>
      </c>
      <c r="F8304" s="3" t="s">
        <v>765</v>
      </c>
      <c r="G8304" s="3">
        <v>235041</v>
      </c>
      <c r="H8304" s="7" t="str">
        <f>HYPERLINK("http://www.ensembl.org/Mus_musculus/Gene/Summary?db=core;g=ENSMUSG00000032194","ENSMUSG00000032194")</f>
        <v>ENSMUSG00000032194</v>
      </c>
      <c r="I8304" s="7" t="str">
        <f>HYPERLINK("http://www.informatics.jax.org/marker/MGI:2384568","MGI:2384568")</f>
        <v>MGI:2384568</v>
      </c>
      <c r="J8304" s="4" t="s">
        <v>12</v>
      </c>
    </row>
    <row r="8305" spans="1:10" x14ac:dyDescent="0.25">
      <c r="A8305" s="2">
        <v>4.0720666202493101</v>
      </c>
      <c r="B8305" s="3">
        <v>-1.8488985689386599</v>
      </c>
      <c r="C8305" s="5">
        <v>4.2549753241763798E-5</v>
      </c>
      <c r="D8305" s="4">
        <v>1.49302692869677E-4</v>
      </c>
      <c r="E8305" s="3" t="s">
        <v>11251</v>
      </c>
      <c r="F8305" s="3" t="s">
        <v>11252</v>
      </c>
      <c r="G8305" s="3">
        <v>16511</v>
      </c>
      <c r="H8305" s="7" t="str">
        <f>HYPERLINK("http://www.ensembl.org/Mus_musculus/Gene/Summary?db=core;g=ENSMUSG00000038319","ENSMUSG00000038319")</f>
        <v>ENSMUSG00000038319</v>
      </c>
      <c r="I8305" s="7" t="str">
        <f>HYPERLINK("http://www.informatics.jax.org/marker/MGI:1341722","MGI:1341722")</f>
        <v>MGI:1341722</v>
      </c>
      <c r="J8305" s="4" t="s">
        <v>12</v>
      </c>
    </row>
    <row r="8306" spans="1:10" x14ac:dyDescent="0.25">
      <c r="A8306" s="2">
        <v>633.95630240619403</v>
      </c>
      <c r="B8306" s="3">
        <v>-1.85244819477412</v>
      </c>
      <c r="C8306" s="5">
        <v>2.1308781436009001E-74</v>
      </c>
      <c r="D8306" s="6">
        <v>1.07196216815841E-72</v>
      </c>
      <c r="E8306" s="3" t="s">
        <v>796</v>
      </c>
      <c r="F8306" s="3" t="s">
        <v>797</v>
      </c>
      <c r="G8306" s="3">
        <v>21877</v>
      </c>
      <c r="H8306" s="7" t="str">
        <f>HYPERLINK("http://www.ensembl.org/Mus_musculus/Gene/Summary?db=core;g=ENSMUSG00000025574","ENSMUSG00000025574")</f>
        <v>ENSMUSG00000025574</v>
      </c>
      <c r="I8306" s="7" t="str">
        <f>HYPERLINK("http://www.informatics.jax.org/marker/MGI:98763","MGI:98763")</f>
        <v>MGI:98763</v>
      </c>
      <c r="J8306" s="4" t="s">
        <v>12</v>
      </c>
    </row>
    <row r="8307" spans="1:10" x14ac:dyDescent="0.25">
      <c r="A8307" s="2">
        <v>214.206269310126</v>
      </c>
      <c r="B8307" s="3">
        <v>-1.85312869355271</v>
      </c>
      <c r="C8307" s="5">
        <v>5.8953652126589697E-30</v>
      </c>
      <c r="D8307" s="6">
        <v>8.6693961218221403E-29</v>
      </c>
      <c r="E8307" s="3" t="s">
        <v>2700</v>
      </c>
      <c r="F8307" s="3" t="s">
        <v>2701</v>
      </c>
      <c r="G8307" s="3">
        <v>17988</v>
      </c>
      <c r="H8307" s="7" t="str">
        <f>HYPERLINK("http://www.ensembl.org/Mus_musculus/Gene/Summary?db=core;g=ENSMUSG00000005125","ENSMUSG00000005125")</f>
        <v>ENSMUSG00000005125</v>
      </c>
      <c r="I8307" s="7" t="str">
        <f>HYPERLINK("http://www.informatics.jax.org/marker/MGI:1341799","MGI:1341799")</f>
        <v>MGI:1341799</v>
      </c>
      <c r="J8307" s="4" t="s">
        <v>12</v>
      </c>
    </row>
    <row r="8308" spans="1:10" x14ac:dyDescent="0.25">
      <c r="A8308" s="2">
        <v>1642.2877599092001</v>
      </c>
      <c r="B8308" s="3">
        <v>-1.8597902682748699</v>
      </c>
      <c r="C8308" s="5">
        <v>2.3976313104300701E-89</v>
      </c>
      <c r="D8308" s="6">
        <v>1.63038929109244E-87</v>
      </c>
      <c r="E8308" s="3" t="s">
        <v>592</v>
      </c>
      <c r="F8308" s="3" t="s">
        <v>593</v>
      </c>
      <c r="G8308" s="3">
        <v>17260</v>
      </c>
      <c r="H8308" s="7" t="str">
        <f>HYPERLINK("http://www.ensembl.org/Mus_musculus/Gene/Summary?db=core;g=ENSMUSG00000005583","ENSMUSG00000005583")</f>
        <v>ENSMUSG00000005583</v>
      </c>
      <c r="I8308" s="7" t="str">
        <f>HYPERLINK("http://www.informatics.jax.org/marker/MGI:99458","MGI:99458")</f>
        <v>MGI:99458</v>
      </c>
      <c r="J8308" s="4" t="s">
        <v>12</v>
      </c>
    </row>
    <row r="8309" spans="1:10" x14ac:dyDescent="0.25">
      <c r="A8309" s="2">
        <v>162.46731139778501</v>
      </c>
      <c r="B8309" s="3">
        <v>-1.8611299531005201</v>
      </c>
      <c r="C8309" s="5">
        <v>9.8962498908683098E-39</v>
      </c>
      <c r="D8309" s="6">
        <v>1.9245961326225099E-37</v>
      </c>
      <c r="E8309" s="3" t="s">
        <v>2045</v>
      </c>
      <c r="F8309" s="3" t="s">
        <v>2046</v>
      </c>
      <c r="G8309" s="3">
        <v>74552</v>
      </c>
      <c r="H8309" s="7" t="str">
        <f>HYPERLINK("http://www.ensembl.org/Mus_musculus/Gene/Summary?db=core;g=ENSMUSG00000028803","ENSMUSG00000028803")</f>
        <v>ENSMUSG00000028803</v>
      </c>
      <c r="I8309" s="7" t="str">
        <f>HYPERLINK("http://www.informatics.jax.org/marker/MGI:1921802","MGI:1921802")</f>
        <v>MGI:1921802</v>
      </c>
      <c r="J8309" s="4" t="s">
        <v>12</v>
      </c>
    </row>
    <row r="8310" spans="1:10" x14ac:dyDescent="0.25">
      <c r="A8310" s="2">
        <v>200.322779409796</v>
      </c>
      <c r="B8310" s="3">
        <v>-1.86416290870528</v>
      </c>
      <c r="C8310" s="5">
        <v>1.3144225678821101E-69</v>
      </c>
      <c r="D8310" s="6">
        <v>5.9724454006071704E-68</v>
      </c>
      <c r="E8310" s="3" t="s">
        <v>880</v>
      </c>
      <c r="F8310" s="3" t="s">
        <v>881</v>
      </c>
      <c r="G8310" s="3">
        <v>109242</v>
      </c>
      <c r="H8310" s="7" t="str">
        <f>HYPERLINK("http://www.ensembl.org/Mus_musculus/Gene/Summary?db=core;g=ENSMUSG00000028438","ENSMUSG00000028438")</f>
        <v>ENSMUSG00000028438</v>
      </c>
      <c r="I8310" s="7" t="str">
        <f>HYPERLINK("http://www.informatics.jax.org/marker/MGI:1918345","MGI:1918345")</f>
        <v>MGI:1918345</v>
      </c>
      <c r="J8310" s="4" t="s">
        <v>12</v>
      </c>
    </row>
    <row r="8311" spans="1:10" x14ac:dyDescent="0.25">
      <c r="A8311" s="2">
        <v>17.3650198190293</v>
      </c>
      <c r="B8311" s="3">
        <v>-1.8667981130303299</v>
      </c>
      <c r="C8311" s="5">
        <v>1.2545916190618E-8</v>
      </c>
      <c r="D8311" s="6">
        <v>6.1758728726656804E-8</v>
      </c>
      <c r="E8311" s="3" t="s">
        <v>8029</v>
      </c>
      <c r="F8311" s="3" t="s">
        <v>8030</v>
      </c>
      <c r="G8311" s="3">
        <v>74637</v>
      </c>
      <c r="H8311" s="7" t="str">
        <f>HYPERLINK("http://www.ensembl.org/Mus_musculus/Gene/Summary?db=core;g=ENSMUSG00000005951","ENSMUSG00000005951")</f>
        <v>ENSMUSG00000005951</v>
      </c>
      <c r="I8311" s="7" t="str">
        <f>HYPERLINK("http://www.informatics.jax.org/marker/MGI:1921887","MGI:1921887")</f>
        <v>MGI:1921887</v>
      </c>
      <c r="J8311" s="4" t="s">
        <v>12</v>
      </c>
    </row>
    <row r="8312" spans="1:10" x14ac:dyDescent="0.25">
      <c r="A8312" s="2">
        <v>8.0513524083381398</v>
      </c>
      <c r="B8312" s="3">
        <v>-1.8673980630453899</v>
      </c>
      <c r="C8312" s="5">
        <v>6.9989124446041997E-7</v>
      </c>
      <c r="D8312" s="6">
        <v>2.9428262986693999E-6</v>
      </c>
      <c r="E8312" s="3" t="s">
        <v>9395</v>
      </c>
      <c r="F8312" s="3" t="s">
        <v>9396</v>
      </c>
      <c r="G8312" s="3" t="s">
        <v>83</v>
      </c>
      <c r="H8312" s="7" t="str">
        <f>HYPERLINK("http://www.ensembl.org/Mus_musculus/Gene/Summary?db=core;g=ENSMUSG00000118330","ENSMUSG00000118330")</f>
        <v>ENSMUSG00000118330</v>
      </c>
      <c r="I8312" s="7" t="str">
        <f>HYPERLINK("http://www.informatics.jax.org/marker/MGI:5589201","MGI:5589201")</f>
        <v>MGI:5589201</v>
      </c>
      <c r="J8312" s="4" t="s">
        <v>932</v>
      </c>
    </row>
    <row r="8313" spans="1:10" x14ac:dyDescent="0.25">
      <c r="A8313" s="2">
        <v>3.8066933488208301</v>
      </c>
      <c r="B8313" s="3">
        <v>-1.8678827668156801</v>
      </c>
      <c r="C8313" s="5">
        <v>4.0068653280948099E-5</v>
      </c>
      <c r="D8313" s="4">
        <v>1.40998433704329E-4</v>
      </c>
      <c r="E8313" s="3" t="s">
        <v>11217</v>
      </c>
      <c r="F8313" s="3" t="s">
        <v>11218</v>
      </c>
      <c r="G8313" s="3">
        <v>110880</v>
      </c>
      <c r="H8313" s="7" t="str">
        <f>HYPERLINK("http://www.ensembl.org/Mus_musculus/Gene/Summary?db=core;g=ENSMUSG00000001027","ENSMUSG00000001027")</f>
        <v>ENSMUSG00000001027</v>
      </c>
      <c r="I8313" s="7" t="str">
        <f>HYPERLINK("http://www.informatics.jax.org/marker/MGI:98250","MGI:98250")</f>
        <v>MGI:98250</v>
      </c>
      <c r="J8313" s="4" t="s">
        <v>12</v>
      </c>
    </row>
    <row r="8314" spans="1:10" x14ac:dyDescent="0.25">
      <c r="A8314" s="2">
        <v>600.79472627185396</v>
      </c>
      <c r="B8314" s="3">
        <v>-1.86876145692972</v>
      </c>
      <c r="C8314" s="5">
        <v>5.4354790393767998E-67</v>
      </c>
      <c r="D8314" s="6">
        <v>2.34546272771358E-65</v>
      </c>
      <c r="E8314" s="3" t="s">
        <v>926</v>
      </c>
      <c r="F8314" s="3" t="s">
        <v>927</v>
      </c>
      <c r="G8314" s="3">
        <v>242705</v>
      </c>
      <c r="H8314" s="7" t="str">
        <f>HYPERLINK("http://www.ensembl.org/Mus_musculus/Gene/Summary?db=core;g=ENSMUSG00000018983","ENSMUSG00000018983")</f>
        <v>ENSMUSG00000018983</v>
      </c>
      <c r="I8314" s="7" t="str">
        <f>HYPERLINK("http://www.informatics.jax.org/marker/MGI:1096341","MGI:1096341")</f>
        <v>MGI:1096341</v>
      </c>
      <c r="J8314" s="4" t="s">
        <v>12</v>
      </c>
    </row>
    <row r="8315" spans="1:10" x14ac:dyDescent="0.25">
      <c r="A8315" s="2">
        <v>911.67861543089703</v>
      </c>
      <c r="B8315" s="3">
        <v>-1.87359868993879</v>
      </c>
      <c r="C8315" s="5">
        <v>6.3449168099924196E-166</v>
      </c>
      <c r="D8315" s="6">
        <v>1.6682901265740099E-163</v>
      </c>
      <c r="E8315" s="3" t="s">
        <v>160</v>
      </c>
      <c r="F8315" s="3" t="s">
        <v>161</v>
      </c>
      <c r="G8315" s="3">
        <v>17685</v>
      </c>
      <c r="H8315" s="7" t="str">
        <f>HYPERLINK("http://www.ensembl.org/Mus_musculus/Gene/Summary?db=core;g=ENSMUSG00000024151","ENSMUSG00000024151")</f>
        <v>ENSMUSG00000024151</v>
      </c>
      <c r="I8315" s="7" t="str">
        <f>HYPERLINK("http://www.informatics.jax.org/marker/MGI:101816","MGI:101816")</f>
        <v>MGI:101816</v>
      </c>
      <c r="J8315" s="4" t="s">
        <v>12</v>
      </c>
    </row>
    <row r="8316" spans="1:10" x14ac:dyDescent="0.25">
      <c r="A8316" s="2">
        <v>9.6020057538542396</v>
      </c>
      <c r="B8316" s="3">
        <v>-1.87458109916202</v>
      </c>
      <c r="C8316" s="5">
        <v>4.2887448193063097E-8</v>
      </c>
      <c r="D8316" s="6">
        <v>2.0017526115200099E-7</v>
      </c>
      <c r="E8316" s="3" t="s">
        <v>8467</v>
      </c>
      <c r="F8316" s="3" t="s">
        <v>8468</v>
      </c>
      <c r="G8316" s="3" t="s">
        <v>83</v>
      </c>
      <c r="H8316" s="7" t="str">
        <f>HYPERLINK("http://www.ensembl.org/Mus_musculus/Gene/Summary?db=core;g=ENSMUSG00000051606","ENSMUSG00000051606")</f>
        <v>ENSMUSG00000051606</v>
      </c>
      <c r="I8316" s="7" t="str">
        <f>HYPERLINK("http://www.informatics.jax.org/marker/MGI:1917079","MGI:1917079")</f>
        <v>MGI:1917079</v>
      </c>
      <c r="J8316" s="4" t="s">
        <v>331</v>
      </c>
    </row>
    <row r="8317" spans="1:10" x14ac:dyDescent="0.25">
      <c r="A8317" s="2">
        <v>1363.4602557360099</v>
      </c>
      <c r="B8317" s="3">
        <v>-1.87544353021841</v>
      </c>
      <c r="C8317" s="5">
        <v>6.1349056616213602E-119</v>
      </c>
      <c r="D8317" s="6">
        <v>7.0337406771612402E-117</v>
      </c>
      <c r="E8317" s="3" t="s">
        <v>356</v>
      </c>
      <c r="F8317" s="3" t="s">
        <v>357</v>
      </c>
      <c r="G8317" s="3">
        <v>16403</v>
      </c>
      <c r="H8317" s="7" t="str">
        <f>HYPERLINK("http://www.ensembl.org/Mus_musculus/Gene/Summary?db=core;g=ENSMUSG00000027111","ENSMUSG00000027111")</f>
        <v>ENSMUSG00000027111</v>
      </c>
      <c r="I8317" s="7" t="str">
        <f>HYPERLINK("http://www.informatics.jax.org/marker/MGI:96605","MGI:96605")</f>
        <v>MGI:96605</v>
      </c>
      <c r="J8317" s="4" t="s">
        <v>12</v>
      </c>
    </row>
    <row r="8318" spans="1:10" x14ac:dyDescent="0.25">
      <c r="A8318" s="2">
        <v>3.89826517299133</v>
      </c>
      <c r="B8318" s="3">
        <v>-1.88121657710998</v>
      </c>
      <c r="C8318" s="5">
        <v>1.5952666257134301E-5</v>
      </c>
      <c r="D8318" s="6">
        <v>5.86368273235208E-5</v>
      </c>
      <c r="E8318" s="3" t="s">
        <v>10742</v>
      </c>
      <c r="F8318" s="3" t="s">
        <v>10743</v>
      </c>
      <c r="G8318" s="3" t="s">
        <v>83</v>
      </c>
      <c r="H8318" s="7" t="str">
        <f>HYPERLINK("http://www.ensembl.org/Mus_musculus/Gene/Summary?db=core;g=ENSMUSG00000110510","ENSMUSG00000110510")</f>
        <v>ENSMUSG00000110510</v>
      </c>
      <c r="I8318" s="7" t="str">
        <f>HYPERLINK("http://www.informatics.jax.org/marker/MGI:5805023","MGI:5805023")</f>
        <v>MGI:5805023</v>
      </c>
      <c r="J8318" s="4" t="s">
        <v>1043</v>
      </c>
    </row>
    <row r="8319" spans="1:10" x14ac:dyDescent="0.25">
      <c r="A8319" s="2">
        <v>1287.4768552605799</v>
      </c>
      <c r="B8319" s="3">
        <v>-1.8834839056653401</v>
      </c>
      <c r="C8319" s="5">
        <v>7.8312065849181507E-74</v>
      </c>
      <c r="D8319" s="6">
        <v>3.8704609988618002E-72</v>
      </c>
      <c r="E8319" s="3" t="s">
        <v>810</v>
      </c>
      <c r="F8319" s="3" t="s">
        <v>811</v>
      </c>
      <c r="G8319" s="3">
        <v>17095</v>
      </c>
      <c r="H8319" s="7" t="str">
        <f>HYPERLINK("http://www.ensembl.org/Mus_musculus/Gene/Summary?db=core;g=ENSMUSG00000034041","ENSMUSG00000034041")</f>
        <v>ENSMUSG00000034041</v>
      </c>
      <c r="I8319" s="7" t="str">
        <f>HYPERLINK("http://www.informatics.jax.org/marker/MGI:96891","MGI:96891")</f>
        <v>MGI:96891</v>
      </c>
      <c r="J8319" s="4" t="s">
        <v>12</v>
      </c>
    </row>
    <row r="8320" spans="1:10" x14ac:dyDescent="0.25">
      <c r="A8320" s="2">
        <v>4.2513450536520203</v>
      </c>
      <c r="B8320" s="3">
        <v>-1.8939294790433701</v>
      </c>
      <c r="C8320" s="5">
        <v>2.1258363407216299E-5</v>
      </c>
      <c r="D8320" s="6">
        <v>7.7089909229552102E-5</v>
      </c>
      <c r="E8320" s="3" t="s">
        <v>10888</v>
      </c>
      <c r="F8320" s="3" t="s">
        <v>10889</v>
      </c>
      <c r="G8320" s="3">
        <v>21936</v>
      </c>
      <c r="H8320" s="7" t="str">
        <f>HYPERLINK("http://www.ensembl.org/Mus_musculus/Gene/Summary?db=core;g=ENSMUSG00000041954","ENSMUSG00000041954")</f>
        <v>ENSMUSG00000041954</v>
      </c>
      <c r="I8320" s="7" t="str">
        <f>HYPERLINK("http://www.informatics.jax.org/marker/MGI:894675","MGI:894675")</f>
        <v>MGI:894675</v>
      </c>
      <c r="J8320" s="4" t="s">
        <v>12</v>
      </c>
    </row>
    <row r="8321" spans="1:10" x14ac:dyDescent="0.25">
      <c r="A8321" s="2">
        <v>278.15404279041201</v>
      </c>
      <c r="B8321" s="3">
        <v>-1.8945795858118999</v>
      </c>
      <c r="C8321" s="5">
        <v>2.70342865254343E-76</v>
      </c>
      <c r="D8321" s="6">
        <v>1.4331078771009801E-74</v>
      </c>
      <c r="E8321" s="3" t="s">
        <v>756</v>
      </c>
      <c r="F8321" s="3" t="s">
        <v>757</v>
      </c>
      <c r="G8321" s="3">
        <v>70750</v>
      </c>
      <c r="H8321" s="7" t="str">
        <f>HYPERLINK("http://www.ensembl.org/Mus_musculus/Gene/Summary?db=core;g=ENSMUSG00000009905","ENSMUSG00000009905")</f>
        <v>ENSMUSG00000009905</v>
      </c>
      <c r="I8321" s="7" t="str">
        <f>HYPERLINK("http://www.informatics.jax.org/marker/MGI:1918000","MGI:1918000")</f>
        <v>MGI:1918000</v>
      </c>
      <c r="J8321" s="4" t="s">
        <v>12</v>
      </c>
    </row>
    <row r="8322" spans="1:10" x14ac:dyDescent="0.25">
      <c r="A8322" s="2">
        <v>1278.5354302507201</v>
      </c>
      <c r="B8322" s="3">
        <v>-1.8996512151171101</v>
      </c>
      <c r="C8322" s="5">
        <v>5.1656967719513E-67</v>
      </c>
      <c r="D8322" s="6">
        <v>2.23884704050285E-65</v>
      </c>
      <c r="E8322" s="3" t="s">
        <v>922</v>
      </c>
      <c r="F8322" s="3" t="s">
        <v>923</v>
      </c>
      <c r="G8322" s="3">
        <v>12606</v>
      </c>
      <c r="H8322" s="7" t="str">
        <f>HYPERLINK("http://www.ensembl.org/Mus_musculus/Gene/Summary?db=core;g=ENSMUSG00000034957","ENSMUSG00000034957")</f>
        <v>ENSMUSG00000034957</v>
      </c>
      <c r="I8322" s="7" t="str">
        <f>HYPERLINK("http://www.informatics.jax.org/marker/MGI:99480","MGI:99480")</f>
        <v>MGI:99480</v>
      </c>
      <c r="J8322" s="4" t="s">
        <v>12</v>
      </c>
    </row>
    <row r="8323" spans="1:10" x14ac:dyDescent="0.25">
      <c r="A8323" s="2">
        <v>765.17861268370496</v>
      </c>
      <c r="B8323" s="3">
        <v>-1.8997610956108399</v>
      </c>
      <c r="C8323" s="5">
        <v>1.6537642783537099E-63</v>
      </c>
      <c r="D8323" s="6">
        <v>6.6150571134148501E-62</v>
      </c>
      <c r="E8323" s="3" t="s">
        <v>1001</v>
      </c>
      <c r="F8323" s="3" t="s">
        <v>1002</v>
      </c>
      <c r="G8323" s="3">
        <v>170753</v>
      </c>
      <c r="H8323" s="7" t="str">
        <f>HYPERLINK("http://www.ensembl.org/Mus_musculus/Gene/Summary?db=core;g=ENSMUSG00000040209","ENSMUSG00000040209")</f>
        <v>ENSMUSG00000040209</v>
      </c>
      <c r="I8323" s="7" t="str">
        <f>HYPERLINK("http://www.informatics.jax.org/marker/MGI:2180715","MGI:2180715")</f>
        <v>MGI:2180715</v>
      </c>
      <c r="J8323" s="4" t="s">
        <v>12</v>
      </c>
    </row>
    <row r="8324" spans="1:10" x14ac:dyDescent="0.25">
      <c r="A8324" s="2">
        <v>7.8009875154708599</v>
      </c>
      <c r="B8324" s="3">
        <v>-1.9001351596559299</v>
      </c>
      <c r="C8324" s="5">
        <v>4.0649644684288002E-7</v>
      </c>
      <c r="D8324" s="6">
        <v>1.75033096744424E-6</v>
      </c>
      <c r="E8324" s="3" t="s">
        <v>9175</v>
      </c>
      <c r="F8324" s="3" t="s">
        <v>9176</v>
      </c>
      <c r="G8324" s="3">
        <v>269152</v>
      </c>
      <c r="H8324" s="7" t="str">
        <f>HYPERLINK("http://www.ensembl.org/Mus_musculus/Gene/Summary?db=core;g=ENSMUSG00000026494","ENSMUSG00000026494")</f>
        <v>ENSMUSG00000026494</v>
      </c>
      <c r="I8324" s="7" t="str">
        <f>HYPERLINK("http://www.informatics.jax.org/marker/MGI:2447076","MGI:2447076")</f>
        <v>MGI:2447076</v>
      </c>
      <c r="J8324" s="4" t="s">
        <v>12</v>
      </c>
    </row>
    <row r="8325" spans="1:10" x14ac:dyDescent="0.25">
      <c r="A8325" s="2">
        <v>272.88229478267101</v>
      </c>
      <c r="B8325" s="3">
        <v>-1.90166693743264</v>
      </c>
      <c r="C8325" s="5">
        <v>4.9608870520542095E-69</v>
      </c>
      <c r="D8325" s="6">
        <v>2.22337937878429E-67</v>
      </c>
      <c r="E8325" s="3" t="s">
        <v>892</v>
      </c>
      <c r="F8325" s="3" t="s">
        <v>893</v>
      </c>
      <c r="G8325" s="3">
        <v>68010</v>
      </c>
      <c r="H8325" s="7" t="str">
        <f>HYPERLINK("http://www.ensembl.org/Mus_musculus/Gene/Summary?db=core;g=ENSMUSG00000024232","ENSMUSG00000024232")</f>
        <v>ENSMUSG00000024232</v>
      </c>
      <c r="I8325" s="7" t="str">
        <f>HYPERLINK("http://www.informatics.jax.org/marker/MGI:1915260","MGI:1915260")</f>
        <v>MGI:1915260</v>
      </c>
      <c r="J8325" s="4" t="s">
        <v>12</v>
      </c>
    </row>
    <row r="8326" spans="1:10" x14ac:dyDescent="0.25">
      <c r="A8326" s="2">
        <v>60.1657013901089</v>
      </c>
      <c r="B8326" s="3">
        <v>-1.9037506853117101</v>
      </c>
      <c r="C8326" s="5">
        <v>5.6695680521244004E-22</v>
      </c>
      <c r="D8326" s="6">
        <v>6.1295987931958901E-21</v>
      </c>
      <c r="E8326" s="3" t="s">
        <v>3666</v>
      </c>
      <c r="F8326" s="3" t="s">
        <v>3667</v>
      </c>
      <c r="G8326" s="3">
        <v>18505</v>
      </c>
      <c r="H8326" s="7" t="str">
        <f>HYPERLINK("http://www.ensembl.org/Mus_musculus/Gene/Summary?db=core;g=ENSMUSG00000004872","ENSMUSG00000004872")</f>
        <v>ENSMUSG00000004872</v>
      </c>
      <c r="I8326" s="7" t="str">
        <f>HYPERLINK("http://www.informatics.jax.org/marker/MGI:97487","MGI:97487")</f>
        <v>MGI:97487</v>
      </c>
      <c r="J8326" s="4" t="s">
        <v>12</v>
      </c>
    </row>
    <row r="8327" spans="1:10" x14ac:dyDescent="0.25">
      <c r="A8327" s="2">
        <v>1177.6745812004699</v>
      </c>
      <c r="B8327" s="3">
        <v>-1.9067873772959001</v>
      </c>
      <c r="C8327" s="5">
        <v>5.8509318950919601E-77</v>
      </c>
      <c r="D8327" s="6">
        <v>3.16110621838941E-75</v>
      </c>
      <c r="E8327" s="3" t="s">
        <v>742</v>
      </c>
      <c r="F8327" s="3" t="s">
        <v>743</v>
      </c>
      <c r="G8327" s="3">
        <v>56857</v>
      </c>
      <c r="H8327" s="7" t="str">
        <f>HYPERLINK("http://www.ensembl.org/Mus_musculus/Gene/Summary?db=core;g=ENSMUSG00000032122","ENSMUSG00000032122")</f>
        <v>ENSMUSG00000032122</v>
      </c>
      <c r="I8327" s="7" t="str">
        <f>HYPERLINK("http://www.informatics.jax.org/marker/MGI:1929693","MGI:1929693")</f>
        <v>MGI:1929693</v>
      </c>
      <c r="J8327" s="4" t="s">
        <v>12</v>
      </c>
    </row>
    <row r="8328" spans="1:10" x14ac:dyDescent="0.25">
      <c r="A8328" s="2">
        <v>1457.53956074895</v>
      </c>
      <c r="B8328" s="3">
        <v>-1.9100870602540601</v>
      </c>
      <c r="C8328" s="5">
        <v>1.9114231757468399E-44</v>
      </c>
      <c r="D8328" s="6">
        <v>4.4189056302142599E-43</v>
      </c>
      <c r="E8328" s="3" t="s">
        <v>1722</v>
      </c>
      <c r="F8328" s="3" t="s">
        <v>1723</v>
      </c>
      <c r="G8328" s="3">
        <v>16565</v>
      </c>
      <c r="H8328" s="7" t="str">
        <f>HYPERLINK("http://www.ensembl.org/Mus_musculus/Gene/Summary?db=core;g=ENSMUSG00000041642","ENSMUSG00000041642")</f>
        <v>ENSMUSG00000041642</v>
      </c>
      <c r="I8328" s="7" t="str">
        <f>HYPERLINK("http://www.informatics.jax.org/marker/MGI:109234","MGI:109234")</f>
        <v>MGI:109234</v>
      </c>
      <c r="J8328" s="4" t="s">
        <v>12</v>
      </c>
    </row>
    <row r="8329" spans="1:10" x14ac:dyDescent="0.25">
      <c r="A8329" s="2">
        <v>219.43693152896</v>
      </c>
      <c r="B8329" s="3">
        <v>-1.9110399757712599</v>
      </c>
      <c r="C8329" s="5">
        <v>1.5808590898129801E-49</v>
      </c>
      <c r="D8329" s="6">
        <v>4.2184764886484498E-48</v>
      </c>
      <c r="E8329" s="3" t="s">
        <v>1494</v>
      </c>
      <c r="F8329" s="3" t="s">
        <v>1495</v>
      </c>
      <c r="G8329" s="3">
        <v>269224</v>
      </c>
      <c r="H8329" s="7" t="str">
        <f>HYPERLINK("http://www.ensembl.org/Mus_musculus/Gene/Summary?db=core;g=ENSMUSG00000026274","ENSMUSG00000026274")</f>
        <v>ENSMUSG00000026274</v>
      </c>
      <c r="I8329" s="7" t="str">
        <f>HYPERLINK("http://www.informatics.jax.org/marker/MGI:2155936","MGI:2155936")</f>
        <v>MGI:2155936</v>
      </c>
      <c r="J8329" s="4" t="s">
        <v>12</v>
      </c>
    </row>
    <row r="8330" spans="1:10" x14ac:dyDescent="0.25">
      <c r="A8330" s="2">
        <v>9.9356643263340292</v>
      </c>
      <c r="B8330" s="3">
        <v>-1.9114554691390899</v>
      </c>
      <c r="C8330" s="5">
        <v>1.9623870575935601E-8</v>
      </c>
      <c r="D8330" s="6">
        <v>9.4732613894112697E-8</v>
      </c>
      <c r="E8330" s="3" t="s">
        <v>8187</v>
      </c>
      <c r="F8330" s="3" t="s">
        <v>8188</v>
      </c>
      <c r="G8330" s="3" t="s">
        <v>83</v>
      </c>
      <c r="H8330" s="7" t="str">
        <f>HYPERLINK("http://www.ensembl.org/Mus_musculus/Gene/Summary?db=core;g=ENSMUSG00000073485","ENSMUSG00000073485")</f>
        <v>ENSMUSG00000073485</v>
      </c>
      <c r="I8330" s="7" t="str">
        <f>HYPERLINK("http://www.informatics.jax.org/marker/MGI:3802006","MGI:3802006")</f>
        <v>MGI:3802006</v>
      </c>
      <c r="J8330" s="4" t="s">
        <v>932</v>
      </c>
    </row>
    <row r="8331" spans="1:10" x14ac:dyDescent="0.25">
      <c r="A8331" s="2">
        <v>7.9594615445730401</v>
      </c>
      <c r="B8331" s="3">
        <v>-1.91624371154305</v>
      </c>
      <c r="C8331" s="5">
        <v>8.4869548444296303E-8</v>
      </c>
      <c r="D8331" s="6">
        <v>3.86876443671179E-7</v>
      </c>
      <c r="E8331" s="3" t="s">
        <v>8669</v>
      </c>
      <c r="F8331" s="3" t="s">
        <v>8670</v>
      </c>
      <c r="G8331" s="3" t="s">
        <v>83</v>
      </c>
      <c r="H8331" s="7" t="str">
        <f>HYPERLINK("http://www.ensembl.org/Mus_musculus/Gene/Summary?db=core;g=ENSMUSG00000084896","ENSMUSG00000084896")</f>
        <v>ENSMUSG00000084896</v>
      </c>
      <c r="I8331" s="7" t="str">
        <f>HYPERLINK("http://www.informatics.jax.org/marker/MGI:3705198","MGI:3705198")</f>
        <v>MGI:3705198</v>
      </c>
      <c r="J8331" s="4" t="s">
        <v>331</v>
      </c>
    </row>
    <row r="8332" spans="1:10" x14ac:dyDescent="0.25">
      <c r="A8332" s="2">
        <v>100.28870898906401</v>
      </c>
      <c r="B8332" s="3">
        <v>-1.9188146716015799</v>
      </c>
      <c r="C8332" s="5">
        <v>1.6974179434945101E-20</v>
      </c>
      <c r="D8332" s="6">
        <v>1.72186635008806E-19</v>
      </c>
      <c r="E8332" s="3" t="s">
        <v>3906</v>
      </c>
      <c r="F8332" s="3" t="s">
        <v>3907</v>
      </c>
      <c r="G8332" s="3">
        <v>15370</v>
      </c>
      <c r="H8332" s="7" t="str">
        <f>HYPERLINK("http://www.ensembl.org/Mus_musculus/Gene/Summary?db=core;g=ENSMUSG00000023034","ENSMUSG00000023034")</f>
        <v>ENSMUSG00000023034</v>
      </c>
      <c r="I8332" s="7" t="str">
        <f>HYPERLINK("http://www.informatics.jax.org/marker/MGI:1352454","MGI:1352454")</f>
        <v>MGI:1352454</v>
      </c>
      <c r="J8332" s="4" t="s">
        <v>12</v>
      </c>
    </row>
    <row r="8333" spans="1:10" x14ac:dyDescent="0.25">
      <c r="A8333" s="2">
        <v>206.490912263621</v>
      </c>
      <c r="B8333" s="3">
        <v>-1.91943362145125</v>
      </c>
      <c r="C8333" s="5">
        <v>8.0409501465273404E-54</v>
      </c>
      <c r="D8333" s="6">
        <v>2.3773243911472101E-52</v>
      </c>
      <c r="E8333" s="3" t="s">
        <v>1350</v>
      </c>
      <c r="F8333" s="3" t="s">
        <v>1351</v>
      </c>
      <c r="G8333" s="3">
        <v>14788</v>
      </c>
      <c r="H8333" s="7" t="str">
        <f>HYPERLINK("http://www.ensembl.org/Mus_musculus/Gene/Summary?db=core;g=ENSMUSG00000038390","ENSMUSG00000038390")</f>
        <v>ENSMUSG00000038390</v>
      </c>
      <c r="I8333" s="7" t="str">
        <f>HYPERLINK("http://www.informatics.jax.org/marker/MGI:1315214","MGI:1315214")</f>
        <v>MGI:1315214</v>
      </c>
      <c r="J8333" s="4" t="s">
        <v>12</v>
      </c>
    </row>
    <row r="8334" spans="1:10" x14ac:dyDescent="0.25">
      <c r="A8334" s="2">
        <v>30.963197322549298</v>
      </c>
      <c r="B8334" s="3">
        <v>-1.9225520412571899</v>
      </c>
      <c r="C8334" s="5">
        <v>8.7872367694358494E-15</v>
      </c>
      <c r="D8334" s="6">
        <v>6.6801969581062001E-14</v>
      </c>
      <c r="E8334" s="3" t="s">
        <v>5203</v>
      </c>
      <c r="F8334" s="3" t="s">
        <v>5204</v>
      </c>
      <c r="G8334" s="3" t="s">
        <v>83</v>
      </c>
      <c r="H8334" s="7" t="str">
        <f>HYPERLINK("http://www.ensembl.org/Mus_musculus/Gene/Summary?db=core;g=ENSMUSG00000084821","ENSMUSG00000084821")</f>
        <v>ENSMUSG00000084821</v>
      </c>
      <c r="I8334" s="7" t="str">
        <f>HYPERLINK("http://www.informatics.jax.org/marker/MGI:3802014","MGI:3802014")</f>
        <v>MGI:3802014</v>
      </c>
      <c r="J8334" s="4" t="s">
        <v>932</v>
      </c>
    </row>
    <row r="8335" spans="1:10" x14ac:dyDescent="0.25">
      <c r="A8335" s="2">
        <v>27.545577166209899</v>
      </c>
      <c r="B8335" s="3">
        <v>-1.9250957244911</v>
      </c>
      <c r="C8335" s="5">
        <v>2.4807980745627901E-9</v>
      </c>
      <c r="D8335" s="6">
        <v>1.28808157004682E-8</v>
      </c>
      <c r="E8335" s="3" t="s">
        <v>7614</v>
      </c>
      <c r="F8335" s="3" t="s">
        <v>7615</v>
      </c>
      <c r="G8335" s="3">
        <v>13655</v>
      </c>
      <c r="H8335" s="7" t="str">
        <f>HYPERLINK("http://www.ensembl.org/Mus_musculus/Gene/Summary?db=core;g=ENSMUSG00000033730","ENSMUSG00000033730")</f>
        <v>ENSMUSG00000033730</v>
      </c>
      <c r="I8335" s="7" t="str">
        <f>HYPERLINK("http://www.informatics.jax.org/marker/MGI:1306780","MGI:1306780")</f>
        <v>MGI:1306780</v>
      </c>
      <c r="J8335" s="4" t="s">
        <v>12</v>
      </c>
    </row>
    <row r="8336" spans="1:10" x14ac:dyDescent="0.25">
      <c r="A8336" s="2">
        <v>8.1316371048405607</v>
      </c>
      <c r="B8336" s="3">
        <v>-1.9305608331178401</v>
      </c>
      <c r="C8336" s="5">
        <v>1.95457047736565E-6</v>
      </c>
      <c r="D8336" s="6">
        <v>7.8645439325955094E-6</v>
      </c>
      <c r="E8336" s="3" t="s">
        <v>9817</v>
      </c>
      <c r="F8336" s="3" t="s">
        <v>9818</v>
      </c>
      <c r="G8336" s="3">
        <v>70839</v>
      </c>
      <c r="H8336" s="7" t="str">
        <f>HYPERLINK("http://www.ensembl.org/Mus_musculus/Gene/Summary?db=core;g=ENSMUSG00000036353","ENSMUSG00000036353")</f>
        <v>ENSMUSG00000036353</v>
      </c>
      <c r="I8336" s="7" t="str">
        <f>HYPERLINK("http://www.informatics.jax.org/marker/MGI:1918089","MGI:1918089")</f>
        <v>MGI:1918089</v>
      </c>
      <c r="J8336" s="4" t="s">
        <v>12</v>
      </c>
    </row>
    <row r="8337" spans="1:10" x14ac:dyDescent="0.25">
      <c r="A8337" s="2">
        <v>2.9102800798411299</v>
      </c>
      <c r="B8337" s="3">
        <v>-1.9361766749874501</v>
      </c>
      <c r="C8337" s="5">
        <v>2.7886103817245799E-5</v>
      </c>
      <c r="D8337" s="6">
        <v>9.9984357686561193E-5</v>
      </c>
      <c r="E8337" s="3" t="s">
        <v>11012</v>
      </c>
      <c r="F8337" s="3" t="s">
        <v>11013</v>
      </c>
      <c r="G8337" s="3">
        <v>329934</v>
      </c>
      <c r="H8337" s="7" t="str">
        <f>HYPERLINK("http://www.ensembl.org/Mus_musculus/Gene/Summary?db=core;g=ENSMUSG00000052135","ENSMUSG00000052135")</f>
        <v>ENSMUSG00000052135</v>
      </c>
      <c r="I8337" s="7" t="str">
        <f>HYPERLINK("http://www.informatics.jax.org/marker/MGI:2676586","MGI:2676586")</f>
        <v>MGI:2676586</v>
      </c>
      <c r="J8337" s="4" t="s">
        <v>12</v>
      </c>
    </row>
    <row r="8338" spans="1:10" x14ac:dyDescent="0.25">
      <c r="A8338" s="2">
        <v>10.859669130633099</v>
      </c>
      <c r="B8338" s="3">
        <v>-1.94273635838689</v>
      </c>
      <c r="C8338" s="5">
        <v>2.0675653597298901E-7</v>
      </c>
      <c r="D8338" s="6">
        <v>9.1458925289083702E-7</v>
      </c>
      <c r="E8338" s="3" t="s">
        <v>8933</v>
      </c>
      <c r="F8338" s="3" t="s">
        <v>8934</v>
      </c>
      <c r="G8338" s="3" t="s">
        <v>83</v>
      </c>
      <c r="H8338" s="7" t="str">
        <f>HYPERLINK("http://www.ensembl.org/Mus_musculus/Gene/Summary?db=core;g=ENSMUSG00000056735","ENSMUSG00000056735")</f>
        <v>ENSMUSG00000056735</v>
      </c>
      <c r="I8338" s="7" t="str">
        <f>HYPERLINK("http://www.informatics.jax.org/marker/MGI:1924414","MGI:1924414")</f>
        <v>MGI:1924414</v>
      </c>
      <c r="J8338" s="4" t="s">
        <v>932</v>
      </c>
    </row>
    <row r="8339" spans="1:10" x14ac:dyDescent="0.25">
      <c r="A8339" s="2">
        <v>10.896907723695501</v>
      </c>
      <c r="B8339" s="3">
        <v>-1.9435456711227601</v>
      </c>
      <c r="C8339" s="5">
        <v>1.8111992529081099E-7</v>
      </c>
      <c r="D8339" s="6">
        <v>8.0497744573693703E-7</v>
      </c>
      <c r="E8339" s="3" t="s">
        <v>8891</v>
      </c>
      <c r="F8339" s="3" t="s">
        <v>8892</v>
      </c>
      <c r="G8339" s="3">
        <v>242700</v>
      </c>
      <c r="H8339" s="7" t="str">
        <f>HYPERLINK("http://www.ensembl.org/Mus_musculus/Gene/Summary?db=core;g=ENSMUSG00000062157","ENSMUSG00000062157")</f>
        <v>ENSMUSG00000062157</v>
      </c>
      <c r="I8339" s="7" t="str">
        <f>HYPERLINK("http://www.informatics.jax.org/marker/MGI:2429859","MGI:2429859")</f>
        <v>MGI:2429859</v>
      </c>
      <c r="J8339" s="4" t="s">
        <v>12</v>
      </c>
    </row>
    <row r="8340" spans="1:10" x14ac:dyDescent="0.25">
      <c r="A8340" s="2">
        <v>4.8615485463276498</v>
      </c>
      <c r="B8340" s="3">
        <v>-1.9474020422610401</v>
      </c>
      <c r="C8340" s="5">
        <v>5.4464467333144001E-6</v>
      </c>
      <c r="D8340" s="6">
        <v>2.09609542507728E-5</v>
      </c>
      <c r="E8340" s="3" t="s">
        <v>10262</v>
      </c>
      <c r="F8340" s="3" t="s">
        <v>10263</v>
      </c>
      <c r="G8340" s="3">
        <v>70737</v>
      </c>
      <c r="H8340" s="7" t="str">
        <f>HYPERLINK("http://www.ensembl.org/Mus_musculus/Gene/Summary?db=core;g=ENSMUSG00000068876","ENSMUSG00000068876")</f>
        <v>ENSMUSG00000068876</v>
      </c>
      <c r="I8340" s="7" t="str">
        <f>HYPERLINK("http://www.informatics.jax.org/marker/MGI:1927237","MGI:1927237")</f>
        <v>MGI:1927237</v>
      </c>
      <c r="J8340" s="4" t="s">
        <v>12</v>
      </c>
    </row>
    <row r="8341" spans="1:10" x14ac:dyDescent="0.25">
      <c r="A8341" s="2">
        <v>8.8924933257542094</v>
      </c>
      <c r="B8341" s="3">
        <v>-1.94798953634969</v>
      </c>
      <c r="C8341" s="5">
        <v>3.28418163982316E-7</v>
      </c>
      <c r="D8341" s="6">
        <v>1.42777914323882E-6</v>
      </c>
      <c r="E8341" s="3" t="s">
        <v>9087</v>
      </c>
      <c r="F8341" s="3" t="s">
        <v>9088</v>
      </c>
      <c r="G8341" s="3">
        <v>12826</v>
      </c>
      <c r="H8341" s="7" t="str">
        <f>HYPERLINK("http://www.ensembl.org/Mus_musculus/Gene/Summary?db=core;g=ENSMUSG00000031502","ENSMUSG00000031502")</f>
        <v>ENSMUSG00000031502</v>
      </c>
      <c r="I8341" s="7" t="str">
        <f>HYPERLINK("http://www.informatics.jax.org/marker/MGI:88454","MGI:88454")</f>
        <v>MGI:88454</v>
      </c>
      <c r="J8341" s="4" t="s">
        <v>12</v>
      </c>
    </row>
    <row r="8342" spans="1:10" x14ac:dyDescent="0.25">
      <c r="A8342" s="2">
        <v>993.89055618333998</v>
      </c>
      <c r="B8342" s="3">
        <v>-1.9511232094204001</v>
      </c>
      <c r="C8342" s="5">
        <v>2.1798890090713698E-81</v>
      </c>
      <c r="D8342" s="6">
        <v>1.29480154394239E-79</v>
      </c>
      <c r="E8342" s="3" t="s">
        <v>676</v>
      </c>
      <c r="F8342" s="3" t="s">
        <v>677</v>
      </c>
      <c r="G8342" s="3">
        <v>234686</v>
      </c>
      <c r="H8342" s="7" t="str">
        <f>HYPERLINK("http://www.ensembl.org/Mus_musculus/Gene/Summary?db=core;g=ENSMUSG00000014778","ENSMUSG00000014778")</f>
        <v>ENSMUSG00000014778</v>
      </c>
      <c r="I8342" s="7" t="str">
        <f>HYPERLINK("http://www.informatics.jax.org/marker/MGI:2679008","MGI:2679008")</f>
        <v>MGI:2679008</v>
      </c>
      <c r="J8342" s="4" t="s">
        <v>12</v>
      </c>
    </row>
    <row r="8343" spans="1:10" x14ac:dyDescent="0.25">
      <c r="A8343" s="2">
        <v>194.275989721282</v>
      </c>
      <c r="B8343" s="3">
        <v>-1.95234315172335</v>
      </c>
      <c r="C8343" s="5">
        <v>3.2156050727874998E-29</v>
      </c>
      <c r="D8343" s="6">
        <v>4.6117623298450599E-28</v>
      </c>
      <c r="E8343" s="3" t="s">
        <v>2768</v>
      </c>
      <c r="F8343" s="3" t="s">
        <v>2769</v>
      </c>
      <c r="G8343" s="3">
        <v>53376</v>
      </c>
      <c r="H8343" s="7" t="str">
        <f>HYPERLINK("http://www.ensembl.org/Mus_musculus/Gene/Summary?db=core;g=ENSMUSG00000032010","ENSMUSG00000032010")</f>
        <v>ENSMUSG00000032010</v>
      </c>
      <c r="I8343" s="7" t="str">
        <f>HYPERLINK("http://www.informatics.jax.org/marker/MGI:1858178","MGI:1858178")</f>
        <v>MGI:1858178</v>
      </c>
      <c r="J8343" s="4" t="s">
        <v>12</v>
      </c>
    </row>
    <row r="8344" spans="1:10" x14ac:dyDescent="0.25">
      <c r="A8344" s="2">
        <v>650.58387838142005</v>
      </c>
      <c r="B8344" s="3">
        <v>-1.9588477037477099</v>
      </c>
      <c r="C8344" s="5">
        <v>3.3421016927389198E-88</v>
      </c>
      <c r="D8344" s="6">
        <v>2.24170902655821E-86</v>
      </c>
      <c r="E8344" s="3" t="s">
        <v>600</v>
      </c>
      <c r="F8344" s="3" t="s">
        <v>601</v>
      </c>
      <c r="G8344" s="3">
        <v>58235</v>
      </c>
      <c r="H8344" s="7" t="str">
        <f>HYPERLINK("http://www.ensembl.org/Mus_musculus/Gene/Summary?db=core;g=ENSMUSG00000032012","ENSMUSG00000032012")</f>
        <v>ENSMUSG00000032012</v>
      </c>
      <c r="I8344" s="7" t="str">
        <f>HYPERLINK("http://www.informatics.jax.org/marker/MGI:1926483","MGI:1926483")</f>
        <v>MGI:1926483</v>
      </c>
      <c r="J8344" s="4" t="s">
        <v>12</v>
      </c>
    </row>
    <row r="8345" spans="1:10" x14ac:dyDescent="0.25">
      <c r="A8345" s="2">
        <v>517.40736126171896</v>
      </c>
      <c r="B8345" s="3">
        <v>-1.9624875722653801</v>
      </c>
      <c r="C8345" s="5">
        <v>5.5986666584538201E-114</v>
      </c>
      <c r="D8345" s="6">
        <v>5.8415717727359401E-112</v>
      </c>
      <c r="E8345" s="3" t="s">
        <v>390</v>
      </c>
      <c r="F8345" s="3" t="s">
        <v>391</v>
      </c>
      <c r="G8345" s="3">
        <v>98682</v>
      </c>
      <c r="H8345" s="7" t="str">
        <f>HYPERLINK("http://www.ensembl.org/Mus_musculus/Gene/Summary?db=core;g=ENSMUSG00000041439","ENSMUSG00000041439")</f>
        <v>ENSMUSG00000041439</v>
      </c>
      <c r="I8345" s="7" t="str">
        <f>HYPERLINK("http://www.informatics.jax.org/marker/MGI:1922925","MGI:1922925")</f>
        <v>MGI:1922925</v>
      </c>
      <c r="J8345" s="4" t="s">
        <v>12</v>
      </c>
    </row>
    <row r="8346" spans="1:10" x14ac:dyDescent="0.25">
      <c r="A8346" s="2">
        <v>1065.36864254902</v>
      </c>
      <c r="B8346" s="3">
        <v>-1.9644898427048001</v>
      </c>
      <c r="C8346" s="5">
        <v>1.3162441150615299E-61</v>
      </c>
      <c r="D8346" s="6">
        <v>4.9820218712117804E-60</v>
      </c>
      <c r="E8346" s="3" t="s">
        <v>1058</v>
      </c>
      <c r="F8346" s="3" t="s">
        <v>1059</v>
      </c>
      <c r="G8346" s="3">
        <v>19224</v>
      </c>
      <c r="H8346" s="7" t="str">
        <f>HYPERLINK("http://www.ensembl.org/Mus_musculus/Gene/Summary?db=core;g=ENSMUSG00000047250","ENSMUSG00000047250")</f>
        <v>ENSMUSG00000047250</v>
      </c>
      <c r="I8346" s="7" t="str">
        <f>HYPERLINK("http://www.informatics.jax.org/marker/MGI:97797","MGI:97797")</f>
        <v>MGI:97797</v>
      </c>
      <c r="J8346" s="4" t="s">
        <v>12</v>
      </c>
    </row>
    <row r="8347" spans="1:10" x14ac:dyDescent="0.25">
      <c r="A8347" s="2">
        <v>16.6984689159694</v>
      </c>
      <c r="B8347" s="3">
        <v>-1.96895568989359</v>
      </c>
      <c r="C8347" s="5">
        <v>4.9338579622617399E-9</v>
      </c>
      <c r="D8347" s="6">
        <v>2.5076205931907599E-8</v>
      </c>
      <c r="E8347" s="3" t="s">
        <v>7776</v>
      </c>
      <c r="F8347" s="3" t="s">
        <v>7777</v>
      </c>
      <c r="G8347" s="3">
        <v>102371</v>
      </c>
      <c r="H8347" s="7" t="str">
        <f>HYPERLINK("http://www.ensembl.org/Mus_musculus/Gene/Summary?db=core;g=ENSMUSG00000041361","ENSMUSG00000041361")</f>
        <v>ENSMUSG00000041361</v>
      </c>
      <c r="I8347" s="7" t="str">
        <f>HYPERLINK("http://www.informatics.jax.org/marker/MGI:2142908","MGI:2142908")</f>
        <v>MGI:2142908</v>
      </c>
      <c r="J8347" s="4" t="s">
        <v>12</v>
      </c>
    </row>
    <row r="8348" spans="1:10" x14ac:dyDescent="0.25">
      <c r="A8348" s="2">
        <v>502.40591952850002</v>
      </c>
      <c r="B8348" s="3">
        <v>-1.9694068828447899</v>
      </c>
      <c r="C8348" s="5">
        <v>7.1022785844702102E-43</v>
      </c>
      <c r="D8348" s="6">
        <v>1.56838671540596E-41</v>
      </c>
      <c r="E8348" s="3" t="s">
        <v>1802</v>
      </c>
      <c r="F8348" s="3" t="s">
        <v>1803</v>
      </c>
      <c r="G8348" s="3">
        <v>58809</v>
      </c>
      <c r="H8348" s="7" t="str">
        <f>HYPERLINK("http://www.ensembl.org/Mus_musculus/Gene/Summary?db=core;g=ENSMUSG00000021876","ENSMUSG00000021876")</f>
        <v>ENSMUSG00000021876</v>
      </c>
      <c r="I8348" s="7" t="str">
        <f>HYPERLINK("http://www.informatics.jax.org/marker/MGI:1926217","MGI:1926217")</f>
        <v>MGI:1926217</v>
      </c>
      <c r="J8348" s="4" t="s">
        <v>12</v>
      </c>
    </row>
    <row r="8349" spans="1:10" x14ac:dyDescent="0.25">
      <c r="A8349" s="2">
        <v>566.44155351188897</v>
      </c>
      <c r="B8349" s="3">
        <v>-1.97183387387621</v>
      </c>
      <c r="C8349" s="5">
        <v>5.1176349180398499E-114</v>
      </c>
      <c r="D8349" s="6">
        <v>5.3680723714758496E-112</v>
      </c>
      <c r="E8349" s="3" t="s">
        <v>388</v>
      </c>
      <c r="F8349" s="3" t="s">
        <v>389</v>
      </c>
      <c r="G8349" s="3">
        <v>230279</v>
      </c>
      <c r="H8349" s="7" t="str">
        <f>HYPERLINK("http://www.ensembl.org/Mus_musculus/Gene/Summary?db=core;g=ENSMUSG00000045917","ENSMUSG00000045917")</f>
        <v>ENSMUSG00000045917</v>
      </c>
      <c r="I8349" s="7" t="str">
        <f>HYPERLINK("http://www.informatics.jax.org/marker/MGI:1913920","MGI:1913920")</f>
        <v>MGI:1913920</v>
      </c>
      <c r="J8349" s="4" t="s">
        <v>12</v>
      </c>
    </row>
    <row r="8350" spans="1:10" x14ac:dyDescent="0.25">
      <c r="A8350" s="2">
        <v>367.00517106283701</v>
      </c>
      <c r="B8350" s="3">
        <v>-1.97571638980543</v>
      </c>
      <c r="C8350" s="5">
        <v>2.3322117052670701E-72</v>
      </c>
      <c r="D8350" s="6">
        <v>1.13000527832596E-70</v>
      </c>
      <c r="E8350" s="3" t="s">
        <v>826</v>
      </c>
      <c r="F8350" s="3" t="s">
        <v>827</v>
      </c>
      <c r="G8350" s="3">
        <v>232811</v>
      </c>
      <c r="H8350" s="7" t="str">
        <f>HYPERLINK("http://www.ensembl.org/Mus_musculus/Gene/Summary?db=core;g=ENSMUSG00000059851","ENSMUSG00000059851")</f>
        <v>ENSMUSG00000059851</v>
      </c>
      <c r="I8350" s="7" t="str">
        <f>HYPERLINK("http://www.informatics.jax.org/marker/MGI:2385262","MGI:2385262")</f>
        <v>MGI:2385262</v>
      </c>
      <c r="J8350" s="4" t="s">
        <v>12</v>
      </c>
    </row>
    <row r="8351" spans="1:10" x14ac:dyDescent="0.25">
      <c r="A8351" s="2">
        <v>68.405043455513805</v>
      </c>
      <c r="B8351" s="3">
        <v>-1.9784345759194299</v>
      </c>
      <c r="C8351" s="5">
        <v>8.3609132745526205E-36</v>
      </c>
      <c r="D8351" s="6">
        <v>1.4867196553126901E-34</v>
      </c>
      <c r="E8351" s="3" t="s">
        <v>2235</v>
      </c>
      <c r="F8351" s="3" t="s">
        <v>2236</v>
      </c>
      <c r="G8351" s="3">
        <v>68318</v>
      </c>
      <c r="H8351" s="7" t="str">
        <f>HYPERLINK("http://www.ensembl.org/Mus_musculus/Gene/Summary?db=core;g=ENSMUSG00000053040","ENSMUSG00000053040")</f>
        <v>ENSMUSG00000053040</v>
      </c>
      <c r="I8351" s="7" t="str">
        <f>HYPERLINK("http://www.informatics.jax.org/marker/MGI:1915568","MGI:1915568")</f>
        <v>MGI:1915568</v>
      </c>
      <c r="J8351" s="4" t="s">
        <v>12</v>
      </c>
    </row>
    <row r="8352" spans="1:10" x14ac:dyDescent="0.25">
      <c r="A8352" s="2">
        <v>3.5199538145336202</v>
      </c>
      <c r="B8352" s="3">
        <v>-1.9791595071781001</v>
      </c>
      <c r="C8352" s="5">
        <v>1.02088918866654E-5</v>
      </c>
      <c r="D8352" s="6">
        <v>3.8179280865738898E-5</v>
      </c>
      <c r="E8352" s="3" t="s">
        <v>10559</v>
      </c>
      <c r="F8352" s="3" t="s">
        <v>10560</v>
      </c>
      <c r="G8352" s="3">
        <v>13390</v>
      </c>
      <c r="H8352" s="7" t="str">
        <f>HYPERLINK("http://www.ensembl.org/Mus_musculus/Gene/Summary?db=core;g=ENSMUSG00000041911","ENSMUSG00000041911")</f>
        <v>ENSMUSG00000041911</v>
      </c>
      <c r="I8352" s="7" t="str">
        <f>HYPERLINK("http://www.informatics.jax.org/marker/MGI:94901","MGI:94901")</f>
        <v>MGI:94901</v>
      </c>
      <c r="J8352" s="4" t="s">
        <v>12</v>
      </c>
    </row>
    <row r="8353" spans="1:10" x14ac:dyDescent="0.25">
      <c r="A8353" s="2">
        <v>2334.3396023608602</v>
      </c>
      <c r="B8353" s="3">
        <v>-1.97958010750379</v>
      </c>
      <c r="C8353" s="5">
        <v>8.2758264294038294E-56</v>
      </c>
      <c r="D8353" s="6">
        <v>2.5987149233733001E-54</v>
      </c>
      <c r="E8353" s="3" t="s">
        <v>1272</v>
      </c>
      <c r="F8353" s="3" t="s">
        <v>1273</v>
      </c>
      <c r="G8353" s="3">
        <v>20181</v>
      </c>
      <c r="H8353" s="7" t="str">
        <f>HYPERLINK("http://www.ensembl.org/Mus_musculus/Gene/Summary?db=core;g=ENSMUSG00000015846","ENSMUSG00000015846")</f>
        <v>ENSMUSG00000015846</v>
      </c>
      <c r="I8353" s="7" t="str">
        <f>HYPERLINK("http://www.informatics.jax.org/marker/MGI:98214","MGI:98214")</f>
        <v>MGI:98214</v>
      </c>
      <c r="J8353" s="4" t="s">
        <v>12</v>
      </c>
    </row>
    <row r="8354" spans="1:10" x14ac:dyDescent="0.25">
      <c r="A8354" s="2">
        <v>37.898777832785697</v>
      </c>
      <c r="B8354" s="3">
        <v>-1.98316443212797</v>
      </c>
      <c r="C8354" s="5">
        <v>6.30064156013895E-21</v>
      </c>
      <c r="D8354" s="6">
        <v>6.4847939230657699E-20</v>
      </c>
      <c r="E8354" s="3" t="s">
        <v>3850</v>
      </c>
      <c r="F8354" s="3" t="s">
        <v>3851</v>
      </c>
      <c r="G8354" s="3">
        <v>235493</v>
      </c>
      <c r="H8354" s="7" t="str">
        <f>HYPERLINK("http://www.ensembl.org/Mus_musculus/Gene/Summary?db=core;g=ENSMUSG00000034858","ENSMUSG00000034858")</f>
        <v>ENSMUSG00000034858</v>
      </c>
      <c r="I8354" s="7" t="str">
        <f>HYPERLINK("http://www.informatics.jax.org/marker/MGI:2387648","MGI:2387648")</f>
        <v>MGI:2387648</v>
      </c>
      <c r="J8354" s="4" t="s">
        <v>12</v>
      </c>
    </row>
    <row r="8355" spans="1:10" x14ac:dyDescent="0.25">
      <c r="A8355" s="2">
        <v>40.265137287271799</v>
      </c>
      <c r="B8355" s="3">
        <v>-1.99308070231958</v>
      </c>
      <c r="C8355" s="5">
        <v>9.0627203363532907E-16</v>
      </c>
      <c r="D8355" s="6">
        <v>7.2208826275913902E-15</v>
      </c>
      <c r="E8355" s="3" t="s">
        <v>4967</v>
      </c>
      <c r="F8355" s="3" t="s">
        <v>4968</v>
      </c>
      <c r="G8355" s="3">
        <v>73910</v>
      </c>
      <c r="H8355" s="7" t="str">
        <f>HYPERLINK("http://www.ensembl.org/Mus_musculus/Gene/Summary?db=core;g=ENSMUSG00000039031","ENSMUSG00000039031")</f>
        <v>ENSMUSG00000039031</v>
      </c>
      <c r="I8355" s="7" t="str">
        <f>HYPERLINK("http://www.informatics.jax.org/marker/MGI:1921160","MGI:1921160")</f>
        <v>MGI:1921160</v>
      </c>
      <c r="J8355" s="4" t="s">
        <v>12</v>
      </c>
    </row>
    <row r="8356" spans="1:10" x14ac:dyDescent="0.25">
      <c r="A8356" s="2">
        <v>474.42377928467602</v>
      </c>
      <c r="B8356" s="3">
        <v>-1.9953097769074399</v>
      </c>
      <c r="C8356" s="5">
        <v>1.19994885777975E-63</v>
      </c>
      <c r="D8356" s="6">
        <v>4.8291819337584998E-62</v>
      </c>
      <c r="E8356" s="3" t="s">
        <v>995</v>
      </c>
      <c r="F8356" s="3" t="s">
        <v>996</v>
      </c>
      <c r="G8356" s="3">
        <v>232334</v>
      </c>
      <c r="H8356" s="7" t="str">
        <f>HYPERLINK("http://www.ensembl.org/Mus_musculus/Gene/Summary?db=core;g=ENSMUSG00000030315","ENSMUSG00000030315")</f>
        <v>ENSMUSG00000030315</v>
      </c>
      <c r="I8356" s="7" t="str">
        <f>HYPERLINK("http://www.informatics.jax.org/marker/MGI:2652840","MGI:2652840")</f>
        <v>MGI:2652840</v>
      </c>
      <c r="J8356" s="4" t="s">
        <v>12</v>
      </c>
    </row>
    <row r="8357" spans="1:10" x14ac:dyDescent="0.25">
      <c r="A8357" s="2">
        <v>533.99606792970201</v>
      </c>
      <c r="B8357" s="3">
        <v>-2.0047520747900101</v>
      </c>
      <c r="C8357" s="5">
        <v>3.98583772955598E-175</v>
      </c>
      <c r="D8357" s="6">
        <v>1.2092418465668299E-172</v>
      </c>
      <c r="E8357" s="3" t="s">
        <v>140</v>
      </c>
      <c r="F8357" s="3" t="s">
        <v>141</v>
      </c>
      <c r="G8357" s="3">
        <v>78334</v>
      </c>
      <c r="H8357" s="7" t="str">
        <f>HYPERLINK("http://www.ensembl.org/Mus_musculus/Gene/Summary?db=core;g=ENSMUSG00000038481","ENSMUSG00000038481")</f>
        <v>ENSMUSG00000038481</v>
      </c>
      <c r="I8357" s="7" t="str">
        <f>HYPERLINK("http://www.informatics.jax.org/marker/MGI:1925584","MGI:1925584")</f>
        <v>MGI:1925584</v>
      </c>
      <c r="J8357" s="4" t="s">
        <v>12</v>
      </c>
    </row>
    <row r="8358" spans="1:10" x14ac:dyDescent="0.25">
      <c r="A8358" s="2">
        <v>23.637213800959</v>
      </c>
      <c r="B8358" s="3">
        <v>-2.0085019989364001</v>
      </c>
      <c r="C8358" s="5">
        <v>1.3007487372885301E-14</v>
      </c>
      <c r="D8358" s="6">
        <v>9.7903683585227902E-14</v>
      </c>
      <c r="E8358" s="3" t="s">
        <v>5257</v>
      </c>
      <c r="F8358" s="3" t="s">
        <v>5258</v>
      </c>
      <c r="G8358" s="3">
        <v>98256</v>
      </c>
      <c r="H8358" s="7" t="str">
        <f>HYPERLINK("http://www.ensembl.org/Mus_musculus/Gene/Summary?db=core;g=ENSMUSG00000039783","ENSMUSG00000039783")</f>
        <v>ENSMUSG00000039783</v>
      </c>
      <c r="I8358" s="7" t="str">
        <f>HYPERLINK("http://www.informatics.jax.org/marker/MGI:2138151","MGI:2138151")</f>
        <v>MGI:2138151</v>
      </c>
      <c r="J8358" s="4" t="s">
        <v>12</v>
      </c>
    </row>
    <row r="8359" spans="1:10" x14ac:dyDescent="0.25">
      <c r="A8359" s="2">
        <v>22.800426631719201</v>
      </c>
      <c r="B8359" s="3">
        <v>-2.0128857324965499</v>
      </c>
      <c r="C8359" s="5">
        <v>1.17467675153807E-13</v>
      </c>
      <c r="D8359" s="6">
        <v>8.3506220404941395E-13</v>
      </c>
      <c r="E8359" s="3" t="s">
        <v>5565</v>
      </c>
      <c r="F8359" s="3" t="s">
        <v>5566</v>
      </c>
      <c r="G8359" s="3">
        <v>330323</v>
      </c>
      <c r="H8359" s="7" t="str">
        <f>HYPERLINK("http://www.ensembl.org/Mus_musculus/Gene/Summary?db=core;g=ENSMUSG00000038022","ENSMUSG00000038022")</f>
        <v>ENSMUSG00000038022</v>
      </c>
      <c r="I8359" s="7" t="str">
        <f>HYPERLINK("http://www.informatics.jax.org/marker/MGI:3583959","MGI:3583959")</f>
        <v>MGI:3583959</v>
      </c>
      <c r="J8359" s="4" t="s">
        <v>12</v>
      </c>
    </row>
    <row r="8360" spans="1:10" x14ac:dyDescent="0.25">
      <c r="A8360" s="2">
        <v>87.778367243404901</v>
      </c>
      <c r="B8360" s="3">
        <v>-2.0134262051212302</v>
      </c>
      <c r="C8360" s="5">
        <v>1.36691324949671E-22</v>
      </c>
      <c r="D8360" s="6">
        <v>1.52291125876131E-21</v>
      </c>
      <c r="E8360" s="3" t="s">
        <v>3558</v>
      </c>
      <c r="F8360" s="3" t="s">
        <v>3559</v>
      </c>
      <c r="G8360" s="3">
        <v>319352</v>
      </c>
      <c r="H8360" s="7" t="str">
        <f>HYPERLINK("http://www.ensembl.org/Mus_musculus/Gene/Summary?db=core;g=ENSMUSG00000030329","ENSMUSG00000030329")</f>
        <v>ENSMUSG00000030329</v>
      </c>
      <c r="I8360" s="7" t="str">
        <f>HYPERLINK("http://www.informatics.jax.org/marker/MGI:2441908","MGI:2441908")</f>
        <v>MGI:2441908</v>
      </c>
      <c r="J8360" s="4" t="s">
        <v>12</v>
      </c>
    </row>
    <row r="8361" spans="1:10" x14ac:dyDescent="0.25">
      <c r="A8361" s="2">
        <v>208.41542417956401</v>
      </c>
      <c r="B8361" s="3">
        <v>-2.0154616414031601</v>
      </c>
      <c r="C8361" s="5">
        <v>1.10671853866907E-59</v>
      </c>
      <c r="D8361" s="6">
        <v>3.9608874015524497E-58</v>
      </c>
      <c r="E8361" s="3" t="s">
        <v>1118</v>
      </c>
      <c r="F8361" s="3" t="s">
        <v>1119</v>
      </c>
      <c r="G8361" s="3">
        <v>72194</v>
      </c>
      <c r="H8361" s="7" t="str">
        <f>HYPERLINK("http://www.ensembl.org/Mus_musculus/Gene/Summary?db=core;g=ENSMUSG00000020883","ENSMUSG00000020883")</f>
        <v>ENSMUSG00000020883</v>
      </c>
      <c r="I8361" s="7" t="str">
        <f>HYPERLINK("http://www.informatics.jax.org/marker/MGI:1919444","MGI:1919444")</f>
        <v>MGI:1919444</v>
      </c>
      <c r="J8361" s="4" t="s">
        <v>12</v>
      </c>
    </row>
    <row r="8362" spans="1:10" x14ac:dyDescent="0.25">
      <c r="A8362" s="2">
        <v>84.652270400328504</v>
      </c>
      <c r="B8362" s="3">
        <v>-2.0185854034726698</v>
      </c>
      <c r="C8362" s="5">
        <v>3.61335082849435E-25</v>
      </c>
      <c r="D8362" s="6">
        <v>4.4230464517634199E-24</v>
      </c>
      <c r="E8362" s="3" t="s">
        <v>3242</v>
      </c>
      <c r="F8362" s="3" t="s">
        <v>3243</v>
      </c>
      <c r="G8362" s="3">
        <v>234258</v>
      </c>
      <c r="H8362" s="7" t="str">
        <f>HYPERLINK("http://www.ensembl.org/Mus_musculus/Gene/Summary?db=core;g=ENSMUSG00000039396","ENSMUSG00000039396")</f>
        <v>ENSMUSG00000039396</v>
      </c>
      <c r="I8362" s="7" t="str">
        <f>HYPERLINK("http://www.informatics.jax.org/marker/MGI:2384588","MGI:2384588")</f>
        <v>MGI:2384588</v>
      </c>
      <c r="J8362" s="4" t="s">
        <v>12</v>
      </c>
    </row>
    <row r="8363" spans="1:10" x14ac:dyDescent="0.25">
      <c r="A8363" s="2">
        <v>17.841278099886701</v>
      </c>
      <c r="B8363" s="3">
        <v>-2.0202781646806498</v>
      </c>
      <c r="C8363" s="5">
        <v>1.32023383987601E-12</v>
      </c>
      <c r="D8363" s="6">
        <v>8.8075139791457793E-12</v>
      </c>
      <c r="E8363" s="3" t="s">
        <v>5929</v>
      </c>
      <c r="F8363" s="3" t="s">
        <v>5930</v>
      </c>
      <c r="G8363" s="3">
        <v>244556</v>
      </c>
      <c r="H8363" s="7" t="str">
        <f>HYPERLINK("http://www.ensembl.org/Mus_musculus/Gene/Summary?db=core;g=ENSMUSG00000074194","ENSMUSG00000074194")</f>
        <v>ENSMUSG00000074194</v>
      </c>
      <c r="I8363" s="7" t="str">
        <f>HYPERLINK("http://www.informatics.jax.org/marker/MGI:3648473","MGI:3648473")</f>
        <v>MGI:3648473</v>
      </c>
      <c r="J8363" s="4" t="s">
        <v>12</v>
      </c>
    </row>
    <row r="8364" spans="1:10" x14ac:dyDescent="0.25">
      <c r="A8364" s="2">
        <v>6.4250933439812696</v>
      </c>
      <c r="B8364" s="3">
        <v>-2.0208313594275298</v>
      </c>
      <c r="C8364" s="5">
        <v>1.0693384952021301E-6</v>
      </c>
      <c r="D8364" s="6">
        <v>4.4078919576475898E-6</v>
      </c>
      <c r="E8364" s="3" t="s">
        <v>9583</v>
      </c>
      <c r="F8364" s="3" t="s">
        <v>9584</v>
      </c>
      <c r="G8364" s="3" t="s">
        <v>83</v>
      </c>
      <c r="H8364" s="7" t="str">
        <f>HYPERLINK("http://www.ensembl.org/Mus_musculus/Gene/Summary?db=core;g=ENSMUSG00000111713","ENSMUSG00000111713")</f>
        <v>ENSMUSG00000111713</v>
      </c>
      <c r="I8364" s="7" t="str">
        <f>HYPERLINK("http://www.informatics.jax.org/marker/MGI:5012419","MGI:5012419")</f>
        <v>MGI:5012419</v>
      </c>
      <c r="J8364" s="4" t="s">
        <v>932</v>
      </c>
    </row>
    <row r="8365" spans="1:10" x14ac:dyDescent="0.25">
      <c r="A8365" s="2">
        <v>20.951010884378899</v>
      </c>
      <c r="B8365" s="3">
        <v>-2.0231269712157398</v>
      </c>
      <c r="C8365" s="5">
        <v>2.5618121867087699E-12</v>
      </c>
      <c r="D8365" s="6">
        <v>1.6789277607808899E-11</v>
      </c>
      <c r="E8365" s="3" t="s">
        <v>6035</v>
      </c>
      <c r="F8365" s="3" t="s">
        <v>6036</v>
      </c>
      <c r="G8365" s="3">
        <v>237465</v>
      </c>
      <c r="H8365" s="7" t="str">
        <f>HYPERLINK("http://www.ensembl.org/Mus_musculus/Gene/Summary?db=core;g=ENSMUSG00000036168","ENSMUSG00000036168")</f>
        <v>ENSMUSG00000036168</v>
      </c>
      <c r="I8365" s="7" t="str">
        <f>HYPERLINK("http://www.informatics.jax.org/marker/MGI:2444738","MGI:2444738")</f>
        <v>MGI:2444738</v>
      </c>
      <c r="J8365" s="4" t="s">
        <v>12</v>
      </c>
    </row>
    <row r="8366" spans="1:10" x14ac:dyDescent="0.25">
      <c r="A8366" s="2">
        <v>30.1157850915097</v>
      </c>
      <c r="B8366" s="3">
        <v>-2.0261735799715699</v>
      </c>
      <c r="C8366" s="5">
        <v>3.5467649825896801E-14</v>
      </c>
      <c r="D8366" s="6">
        <v>2.5952580874459498E-13</v>
      </c>
      <c r="E8366" s="3" t="s">
        <v>5407</v>
      </c>
      <c r="F8366" s="3" t="s">
        <v>5408</v>
      </c>
      <c r="G8366" s="3">
        <v>72287</v>
      </c>
      <c r="H8366" s="7" t="str">
        <f>HYPERLINK("http://www.ensembl.org/Mus_musculus/Gene/Summary?db=core;g=ENSMUSG00000074170","ENSMUSG00000074170")</f>
        <v>ENSMUSG00000074170</v>
      </c>
      <c r="I8366" s="7" t="str">
        <f>HYPERLINK("http://www.informatics.jax.org/marker/MGI:1919537","MGI:1919537")</f>
        <v>MGI:1919537</v>
      </c>
      <c r="J8366" s="4" t="s">
        <v>12</v>
      </c>
    </row>
    <row r="8367" spans="1:10" x14ac:dyDescent="0.25">
      <c r="A8367" s="2">
        <v>284.72499010400497</v>
      </c>
      <c r="B8367" s="3">
        <v>-2.0295184837533502</v>
      </c>
      <c r="C8367" s="5">
        <v>1.2630928591519E-83</v>
      </c>
      <c r="D8367" s="6">
        <v>7.8082104020299404E-82</v>
      </c>
      <c r="E8367" s="3" t="s">
        <v>650</v>
      </c>
      <c r="F8367" s="3" t="s">
        <v>651</v>
      </c>
      <c r="G8367" s="3">
        <v>242894</v>
      </c>
      <c r="H8367" s="7" t="str">
        <f>HYPERLINK("http://www.ensembl.org/Mus_musculus/Gene/Summary?db=core;g=ENSMUSG00000056367","ENSMUSG00000056367")</f>
        <v>ENSMUSG00000056367</v>
      </c>
      <c r="I8367" s="7" t="str">
        <f>HYPERLINK("http://www.informatics.jax.org/marker/MGI:2661120","MGI:2661120")</f>
        <v>MGI:2661120</v>
      </c>
      <c r="J8367" s="4" t="s">
        <v>12</v>
      </c>
    </row>
    <row r="8368" spans="1:10" x14ac:dyDescent="0.25">
      <c r="A8368" s="2">
        <v>10.938623493082099</v>
      </c>
      <c r="B8368" s="3">
        <v>-2.0311285755750599</v>
      </c>
      <c r="C8368" s="5">
        <v>1.22759101578026E-8</v>
      </c>
      <c r="D8368" s="6">
        <v>6.0444681226433894E-8</v>
      </c>
      <c r="E8368" s="3" t="s">
        <v>8027</v>
      </c>
      <c r="F8368" s="3" t="s">
        <v>8028</v>
      </c>
      <c r="G8368" s="3">
        <v>353211</v>
      </c>
      <c r="H8368" s="7" t="str">
        <f>HYPERLINK("http://www.ensembl.org/Mus_musculus/Gene/Summary?db=core;g=ENSMUSG00000039126","ENSMUSG00000039126")</f>
        <v>ENSMUSG00000039126</v>
      </c>
      <c r="I8368" s="7" t="str">
        <f>HYPERLINK("http://www.informatics.jax.org/marker/MGI:1925004","MGI:1925004")</f>
        <v>MGI:1925004</v>
      </c>
      <c r="J8368" s="4" t="s">
        <v>12</v>
      </c>
    </row>
    <row r="8369" spans="1:10" x14ac:dyDescent="0.25">
      <c r="A8369" s="2">
        <v>7.26841782123382</v>
      </c>
      <c r="B8369" s="3">
        <v>-2.0315299317348701</v>
      </c>
      <c r="C8369" s="5">
        <v>1.06047922599143E-6</v>
      </c>
      <c r="D8369" s="6">
        <v>4.3722873377693801E-6</v>
      </c>
      <c r="E8369" s="3" t="s">
        <v>9581</v>
      </c>
      <c r="F8369" s="3" t="s">
        <v>9582</v>
      </c>
      <c r="G8369" s="3" t="s">
        <v>83</v>
      </c>
      <c r="H8369" s="7" t="str">
        <f>HYPERLINK("http://www.ensembl.org/Mus_musculus/Gene/Summary?db=core;g=ENSMUSG00000072618","ENSMUSG00000072618")</f>
        <v>ENSMUSG00000072618</v>
      </c>
      <c r="I8369" s="7" t="str">
        <f>HYPERLINK("http://www.informatics.jax.org/marker/MGI:3641812","MGI:3641812")</f>
        <v>MGI:3641812</v>
      </c>
      <c r="J8369" s="4" t="s">
        <v>939</v>
      </c>
    </row>
    <row r="8370" spans="1:10" x14ac:dyDescent="0.25">
      <c r="A8370" s="2">
        <v>12.9982253519337</v>
      </c>
      <c r="B8370" s="3">
        <v>-2.03548929390666</v>
      </c>
      <c r="C8370" s="5">
        <v>5.6736504989755104E-10</v>
      </c>
      <c r="D8370" s="6">
        <v>3.0975744141693601E-9</v>
      </c>
      <c r="E8370" s="3" t="s">
        <v>7242</v>
      </c>
      <c r="F8370" s="3" t="s">
        <v>7243</v>
      </c>
      <c r="G8370" s="3" t="s">
        <v>83</v>
      </c>
      <c r="H8370" s="7" t="str">
        <f>HYPERLINK("http://www.ensembl.org/Mus_musculus/Gene/Summary?db=core;g=ENSMUSG00000043126","ENSMUSG00000043126")</f>
        <v>ENSMUSG00000043126</v>
      </c>
      <c r="I8370" s="7" t="str">
        <f>HYPERLINK("http://www.informatics.jax.org/marker/MGI:2445111","MGI:2445111")</f>
        <v>MGI:2445111</v>
      </c>
      <c r="J8370" s="4" t="s">
        <v>932</v>
      </c>
    </row>
    <row r="8371" spans="1:10" x14ac:dyDescent="0.25">
      <c r="A8371" s="2">
        <v>25.871195670144299</v>
      </c>
      <c r="B8371" s="3">
        <v>-2.04112470928776</v>
      </c>
      <c r="C8371" s="5">
        <v>4.1623313751547797E-15</v>
      </c>
      <c r="D8371" s="6">
        <v>3.21886959678636E-14</v>
      </c>
      <c r="E8371" s="3" t="s">
        <v>5117</v>
      </c>
      <c r="F8371" s="3" t="s">
        <v>5118</v>
      </c>
      <c r="G8371" s="3">
        <v>76498</v>
      </c>
      <c r="H8371" s="7" t="str">
        <f>HYPERLINK("http://www.ensembl.org/Mus_musculus/Gene/Summary?db=core;g=ENSMUSG00000023909","ENSMUSG00000023909")</f>
        <v>ENSMUSG00000023909</v>
      </c>
      <c r="I8371" s="7" t="str">
        <f>HYPERLINK("http://www.informatics.jax.org/marker/MGI:1923748","MGI:1923748")</f>
        <v>MGI:1923748</v>
      </c>
      <c r="J8371" s="4" t="s">
        <v>12</v>
      </c>
    </row>
    <row r="8372" spans="1:10" x14ac:dyDescent="0.25">
      <c r="A8372" s="2">
        <v>14.089292716956701</v>
      </c>
      <c r="B8372" s="3">
        <v>-2.0466560654878698</v>
      </c>
      <c r="C8372" s="5">
        <v>1.8782520401176199E-9</v>
      </c>
      <c r="D8372" s="6">
        <v>9.86132327772085E-9</v>
      </c>
      <c r="E8372" s="3" t="s">
        <v>7530</v>
      </c>
      <c r="F8372" s="3" t="s">
        <v>7531</v>
      </c>
      <c r="G8372" s="3">
        <v>22354</v>
      </c>
      <c r="H8372" s="7" t="str">
        <f>HYPERLINK("http://www.ensembl.org/Mus_musculus/Gene/Summary?db=core;g=ENSMUSG00000032528","ENSMUSG00000032528")</f>
        <v>ENSMUSG00000032528</v>
      </c>
      <c r="I8372" s="7" t="str">
        <f>HYPERLINK("http://www.informatics.jax.org/marker/MGI:109272","MGI:109272")</f>
        <v>MGI:109272</v>
      </c>
      <c r="J8372" s="4" t="s">
        <v>12</v>
      </c>
    </row>
    <row r="8373" spans="1:10" x14ac:dyDescent="0.25">
      <c r="A8373" s="2">
        <v>405.33506774735298</v>
      </c>
      <c r="B8373" s="3">
        <v>-2.0477148558551899</v>
      </c>
      <c r="C8373" s="5">
        <v>7.0040236413315306E-77</v>
      </c>
      <c r="D8373" s="6">
        <v>3.7634699238980302E-75</v>
      </c>
      <c r="E8373" s="3" t="s">
        <v>746</v>
      </c>
      <c r="F8373" s="3" t="s">
        <v>747</v>
      </c>
      <c r="G8373" s="3">
        <v>106618</v>
      </c>
      <c r="H8373" s="7" t="str">
        <f>HYPERLINK("http://www.ensembl.org/Mus_musculus/Gene/Summary?db=core;g=ENSMUSG00000073434","ENSMUSG00000073434")</f>
        <v>ENSMUSG00000073434</v>
      </c>
      <c r="I8373" s="7" t="str">
        <f>HYPERLINK("http://www.informatics.jax.org/marker/MGI:1921267","MGI:1921267")</f>
        <v>MGI:1921267</v>
      </c>
      <c r="J8373" s="4" t="s">
        <v>12</v>
      </c>
    </row>
    <row r="8374" spans="1:10" x14ac:dyDescent="0.25">
      <c r="A8374" s="2">
        <v>13.690768492858799</v>
      </c>
      <c r="B8374" s="3">
        <v>-2.0507513181980301</v>
      </c>
      <c r="C8374" s="5">
        <v>2.7423029001023801E-10</v>
      </c>
      <c r="D8374" s="6">
        <v>1.53893606118438E-9</v>
      </c>
      <c r="E8374" s="3" t="s">
        <v>7046</v>
      </c>
      <c r="F8374" s="3" t="s">
        <v>7047</v>
      </c>
      <c r="G8374" s="3">
        <v>54167</v>
      </c>
      <c r="H8374" s="7" t="str">
        <f>HYPERLINK("http://www.ensembl.org/Mus_musculus/Gene/Summary?db=core;g=ENSMUSG00000026009","ENSMUSG00000026009")</f>
        <v>ENSMUSG00000026009</v>
      </c>
      <c r="I8374" s="7" t="str">
        <f>HYPERLINK("http://www.informatics.jax.org/marker/MGI:1858745","MGI:1858745")</f>
        <v>MGI:1858745</v>
      </c>
      <c r="J8374" s="4" t="s">
        <v>12</v>
      </c>
    </row>
    <row r="8375" spans="1:10" x14ac:dyDescent="0.25">
      <c r="A8375" s="2">
        <v>119.461324704934</v>
      </c>
      <c r="B8375" s="3">
        <v>-2.0542370597541999</v>
      </c>
      <c r="C8375" s="5">
        <v>2.2026206664453598E-52</v>
      </c>
      <c r="D8375" s="6">
        <v>6.2950260206235399E-51</v>
      </c>
      <c r="E8375" s="3" t="s">
        <v>1396</v>
      </c>
      <c r="F8375" s="3" t="s">
        <v>1397</v>
      </c>
      <c r="G8375" s="3">
        <v>230603</v>
      </c>
      <c r="H8375" s="7" t="str">
        <f>HYPERLINK("http://www.ensembl.org/Mus_musculus/Gene/Summary?db=core;g=ENSMUSG00000028555","ENSMUSG00000028555")</f>
        <v>ENSMUSG00000028555</v>
      </c>
      <c r="I8375" s="7" t="str">
        <f>HYPERLINK("http://www.informatics.jax.org/marker/MGI:2444350","MGI:2444350")</f>
        <v>MGI:2444350</v>
      </c>
      <c r="J8375" s="4" t="s">
        <v>12</v>
      </c>
    </row>
    <row r="8376" spans="1:10" x14ac:dyDescent="0.25">
      <c r="A8376" s="2">
        <v>901.13030002501205</v>
      </c>
      <c r="B8376" s="3">
        <v>-2.05480062355729</v>
      </c>
      <c r="C8376" s="5">
        <v>1.5189533844497399E-147</v>
      </c>
      <c r="D8376" s="6">
        <v>2.8527391182236901E-145</v>
      </c>
      <c r="E8376" s="3" t="s">
        <v>220</v>
      </c>
      <c r="F8376" s="3" t="s">
        <v>221</v>
      </c>
      <c r="G8376" s="3">
        <v>210789</v>
      </c>
      <c r="H8376" s="7" t="str">
        <f>HYPERLINK("http://www.ensembl.org/Mus_musculus/Gene/Summary?db=core;g=ENSMUSG00000033083","ENSMUSG00000033083")</f>
        <v>ENSMUSG00000033083</v>
      </c>
      <c r="I8376" s="7" t="str">
        <f>HYPERLINK("http://www.informatics.jax.org/marker/MGI:2429660","MGI:2429660")</f>
        <v>MGI:2429660</v>
      </c>
      <c r="J8376" s="4" t="s">
        <v>12</v>
      </c>
    </row>
    <row r="8377" spans="1:10" x14ac:dyDescent="0.25">
      <c r="A8377" s="2">
        <v>44.808772605381101</v>
      </c>
      <c r="B8377" s="3">
        <v>-2.0579970560016401</v>
      </c>
      <c r="C8377" s="5">
        <v>8.9717557977908403E-20</v>
      </c>
      <c r="D8377" s="6">
        <v>8.8021405140515104E-19</v>
      </c>
      <c r="E8377" s="3" t="s">
        <v>4039</v>
      </c>
      <c r="F8377" s="3" t="s">
        <v>4040</v>
      </c>
      <c r="G8377" s="3">
        <v>114644</v>
      </c>
      <c r="H8377" s="7" t="str">
        <f>HYPERLINK("http://www.ensembl.org/Mus_musculus/Gene/Summary?db=core;g=ENSMUSG00000018459","ENSMUSG00000018459")</f>
        <v>ENSMUSG00000018459</v>
      </c>
      <c r="I8377" s="7" t="str">
        <f>HYPERLINK("http://www.informatics.jax.org/marker/MGI:2149635","MGI:2149635")</f>
        <v>MGI:2149635</v>
      </c>
      <c r="J8377" s="4" t="s">
        <v>12</v>
      </c>
    </row>
    <row r="8378" spans="1:10" x14ac:dyDescent="0.25">
      <c r="A8378" s="2">
        <v>75.686658860302103</v>
      </c>
      <c r="B8378" s="3">
        <v>-2.0718088620852502</v>
      </c>
      <c r="C8378" s="5">
        <v>3.7185629685785297E-33</v>
      </c>
      <c r="D8378" s="6">
        <v>6.0155916111869201E-32</v>
      </c>
      <c r="E8378" s="3" t="s">
        <v>2455</v>
      </c>
      <c r="F8378" s="3" t="s">
        <v>2456</v>
      </c>
      <c r="G8378" s="3">
        <v>227094</v>
      </c>
      <c r="H8378" s="7" t="str">
        <f>HYPERLINK("http://www.ensembl.org/Mus_musculus/Gene/Summary?db=core;g=ENSMUSG00000043015","ENSMUSG00000043015")</f>
        <v>ENSMUSG00000043015</v>
      </c>
      <c r="I8378" s="7" t="str">
        <f>HYPERLINK("http://www.informatics.jax.org/marker/MGI:2444113","MGI:2444113")</f>
        <v>MGI:2444113</v>
      </c>
      <c r="J8378" s="4" t="s">
        <v>12</v>
      </c>
    </row>
    <row r="8379" spans="1:10" x14ac:dyDescent="0.25">
      <c r="A8379" s="2">
        <v>530.79079163224503</v>
      </c>
      <c r="B8379" s="3">
        <v>-2.07299168887746</v>
      </c>
      <c r="C8379" s="5">
        <v>1.05810843808887E-75</v>
      </c>
      <c r="D8379" s="6">
        <v>5.4766137530478899E-74</v>
      </c>
      <c r="E8379" s="3" t="s">
        <v>774</v>
      </c>
      <c r="F8379" s="3" t="s">
        <v>775</v>
      </c>
      <c r="G8379" s="3">
        <v>75785</v>
      </c>
      <c r="H8379" s="7" t="str">
        <f>HYPERLINK("http://www.ensembl.org/Mus_musculus/Gene/Summary?db=core;g=ENSMUSG00000062901","ENSMUSG00000062901")</f>
        <v>ENSMUSG00000062901</v>
      </c>
      <c r="I8379" s="7" t="str">
        <f>HYPERLINK("http://www.informatics.jax.org/marker/MGI:1923035","MGI:1923035")</f>
        <v>MGI:1923035</v>
      </c>
      <c r="J8379" s="4" t="s">
        <v>12</v>
      </c>
    </row>
    <row r="8380" spans="1:10" x14ac:dyDescent="0.25">
      <c r="A8380" s="2">
        <v>1331.7385390913</v>
      </c>
      <c r="B8380" s="3">
        <v>-2.0738239977125601</v>
      </c>
      <c r="C8380" s="5">
        <v>3.1218460325896697E-157</v>
      </c>
      <c r="D8380" s="6">
        <v>7.2426827956080299E-155</v>
      </c>
      <c r="E8380" s="3" t="s">
        <v>180</v>
      </c>
      <c r="F8380" s="3" t="s">
        <v>181</v>
      </c>
      <c r="G8380" s="3">
        <v>70719</v>
      </c>
      <c r="H8380" s="7" t="str">
        <f>HYPERLINK("http://www.ensembl.org/Mus_musculus/Gene/Summary?db=core;g=ENSMUSG00000035697","ENSMUSG00000035697")</f>
        <v>ENSMUSG00000035697</v>
      </c>
      <c r="I8380" s="7" t="str">
        <f>HYPERLINK("http://www.informatics.jax.org/marker/MGI:1917969","MGI:1917969")</f>
        <v>MGI:1917969</v>
      </c>
      <c r="J8380" s="4" t="s">
        <v>12</v>
      </c>
    </row>
    <row r="8381" spans="1:10" x14ac:dyDescent="0.25">
      <c r="A8381" s="2">
        <v>179.50152031768201</v>
      </c>
      <c r="B8381" s="3">
        <v>-2.0743114651666201</v>
      </c>
      <c r="C8381" s="5">
        <v>6.8991464190000603E-59</v>
      </c>
      <c r="D8381" s="6">
        <v>2.3826824410276901E-57</v>
      </c>
      <c r="E8381" s="3" t="s">
        <v>1158</v>
      </c>
      <c r="F8381" s="3" t="s">
        <v>1159</v>
      </c>
      <c r="G8381" s="3">
        <v>229715</v>
      </c>
      <c r="H8381" s="7" t="str">
        <f>HYPERLINK("http://www.ensembl.org/Mus_musculus/Gene/Summary?db=core;g=ENSMUSG00000050947","ENSMUSG00000050947")</f>
        <v>ENSMUSG00000050947</v>
      </c>
      <c r="I8381" s="7" t="str">
        <f>HYPERLINK("http://www.informatics.jax.org/marker/MGI:2653612","MGI:2653612")</f>
        <v>MGI:2653612</v>
      </c>
      <c r="J8381" s="4" t="s">
        <v>12</v>
      </c>
    </row>
    <row r="8382" spans="1:10" x14ac:dyDescent="0.25">
      <c r="A8382" s="2">
        <v>4.4221827993217202</v>
      </c>
      <c r="B8382" s="3">
        <v>-2.0747271777499199</v>
      </c>
      <c r="C8382" s="5">
        <v>6.2966689540290702E-6</v>
      </c>
      <c r="D8382" s="6">
        <v>2.4078012754208499E-5</v>
      </c>
      <c r="E8382" s="3" t="s">
        <v>10328</v>
      </c>
      <c r="F8382" s="3" t="s">
        <v>10329</v>
      </c>
      <c r="G8382" s="3">
        <v>71007</v>
      </c>
      <c r="H8382" s="7" t="str">
        <f>HYPERLINK("http://www.ensembl.org/Mus_musculus/Gene/Summary?db=core;g=ENSMUSG00000030994","ENSMUSG00000030994")</f>
        <v>ENSMUSG00000030994</v>
      </c>
      <c r="I8382" s="7" t="str">
        <f>HYPERLINK("http://www.informatics.jax.org/marker/MGI:1196431","MGI:1196431")</f>
        <v>MGI:1196431</v>
      </c>
      <c r="J8382" s="4" t="s">
        <v>12</v>
      </c>
    </row>
    <row r="8383" spans="1:10" x14ac:dyDescent="0.25">
      <c r="A8383" s="2">
        <v>18.9207462327876</v>
      </c>
      <c r="B8383" s="3">
        <v>-2.0760707210528899</v>
      </c>
      <c r="C8383" s="5">
        <v>1.23539203700752E-13</v>
      </c>
      <c r="D8383" s="6">
        <v>8.7695935816372795E-13</v>
      </c>
      <c r="E8383" s="3" t="s">
        <v>5573</v>
      </c>
      <c r="F8383" s="3" t="s">
        <v>5574</v>
      </c>
      <c r="G8383" s="3">
        <v>320127</v>
      </c>
      <c r="H8383" s="7" t="str">
        <f>HYPERLINK("http://www.ensembl.org/Mus_musculus/Gene/Summary?db=core;g=ENSMUSG00000038665","ENSMUSG00000038665")</f>
        <v>ENSMUSG00000038665</v>
      </c>
      <c r="I8383" s="7" t="str">
        <f>HYPERLINK("http://www.informatics.jax.org/marker/MGI:2443430","MGI:2443430")</f>
        <v>MGI:2443430</v>
      </c>
      <c r="J8383" s="4" t="s">
        <v>12</v>
      </c>
    </row>
    <row r="8384" spans="1:10" x14ac:dyDescent="0.25">
      <c r="A8384" s="2">
        <v>16.3067367624177</v>
      </c>
      <c r="B8384" s="3">
        <v>-2.0858546530793101</v>
      </c>
      <c r="C8384" s="5">
        <v>2.7334032117539799E-12</v>
      </c>
      <c r="D8384" s="6">
        <v>1.7884111259385699E-11</v>
      </c>
      <c r="E8384" s="3" t="s">
        <v>6045</v>
      </c>
      <c r="F8384" s="3" t="s">
        <v>6046</v>
      </c>
      <c r="G8384" s="3" t="s">
        <v>83</v>
      </c>
      <c r="H8384" s="7" t="str">
        <f>HYPERLINK("http://www.ensembl.org/Mus_musculus/Gene/Summary?db=core;g=ENSMUSG00000110980","ENSMUSG00000110980")</f>
        <v>ENSMUSG00000110980</v>
      </c>
      <c r="I8384" s="7" t="str">
        <f>HYPERLINK("http://www.informatics.jax.org/marker/MGI:6096003","MGI:6096003")</f>
        <v>MGI:6096003</v>
      </c>
      <c r="J8384" s="4" t="s">
        <v>939</v>
      </c>
    </row>
    <row r="8385" spans="1:10" x14ac:dyDescent="0.25">
      <c r="A8385" s="2">
        <v>6.9272093144605096</v>
      </c>
      <c r="B8385" s="3">
        <v>-2.0955375511311098</v>
      </c>
      <c r="C8385" s="5">
        <v>2.4083630948572499E-7</v>
      </c>
      <c r="D8385" s="6">
        <v>1.0591641443038601E-6</v>
      </c>
      <c r="E8385" s="3" t="s">
        <v>8985</v>
      </c>
      <c r="F8385" s="3" t="s">
        <v>8986</v>
      </c>
      <c r="G8385" s="3" t="s">
        <v>83</v>
      </c>
      <c r="H8385" s="7" t="str">
        <f>HYPERLINK("http://www.ensembl.org/Mus_musculus/Gene/Summary?db=core;g=ENSMUSG00000087277","ENSMUSG00000087277")</f>
        <v>ENSMUSG00000087277</v>
      </c>
      <c r="I8385" s="7" t="str">
        <f>HYPERLINK("http://www.informatics.jax.org/marker/MGI:1919329","MGI:1919329")</f>
        <v>MGI:1919329</v>
      </c>
      <c r="J8385" s="4" t="s">
        <v>939</v>
      </c>
    </row>
    <row r="8386" spans="1:10" x14ac:dyDescent="0.25">
      <c r="A8386" s="2">
        <v>218.13608489004201</v>
      </c>
      <c r="B8386" s="3">
        <v>-2.0974560468355699</v>
      </c>
      <c r="C8386" s="5">
        <v>3.9556713982469602E-57</v>
      </c>
      <c r="D8386" s="6">
        <v>1.2957780726483401E-55</v>
      </c>
      <c r="E8386" s="3" t="s">
        <v>1220</v>
      </c>
      <c r="F8386" s="3" t="s">
        <v>1221</v>
      </c>
      <c r="G8386" s="3">
        <v>67393</v>
      </c>
      <c r="H8386" s="7" t="str">
        <f>HYPERLINK("http://www.ensembl.org/Mus_musculus/Gene/Summary?db=core;g=ENSMUSG00000046668","ENSMUSG00000046668")</f>
        <v>ENSMUSG00000046668</v>
      </c>
      <c r="I8386" s="7" t="str">
        <f>HYPERLINK("http://www.informatics.jax.org/marker/MGI:1914643","MGI:1914643")</f>
        <v>MGI:1914643</v>
      </c>
      <c r="J8386" s="4" t="s">
        <v>12</v>
      </c>
    </row>
    <row r="8387" spans="1:10" x14ac:dyDescent="0.25">
      <c r="A8387" s="2">
        <v>17.1340419458983</v>
      </c>
      <c r="B8387" s="3">
        <v>-2.0986252590859502</v>
      </c>
      <c r="C8387" s="5">
        <v>2.3092477156469401E-10</v>
      </c>
      <c r="D8387" s="6">
        <v>1.30370354859885E-9</v>
      </c>
      <c r="E8387" s="3" t="s">
        <v>7004</v>
      </c>
      <c r="F8387" s="3" t="s">
        <v>7005</v>
      </c>
      <c r="G8387" s="3">
        <v>72480</v>
      </c>
      <c r="H8387" s="7" t="str">
        <f>HYPERLINK("http://www.ensembl.org/Mus_musculus/Gene/Summary?db=core;g=ENSMUSG00000039485","ENSMUSG00000039485")</f>
        <v>ENSMUSG00000039485</v>
      </c>
      <c r="I8387" s="7" t="str">
        <f>HYPERLINK("http://www.informatics.jax.org/marker/MGI:106393","MGI:106393")</f>
        <v>MGI:106393</v>
      </c>
      <c r="J8387" s="4" t="s">
        <v>12</v>
      </c>
    </row>
    <row r="8388" spans="1:10" x14ac:dyDescent="0.25">
      <c r="A8388" s="2">
        <v>20.8950139439761</v>
      </c>
      <c r="B8388" s="3">
        <v>-2.1012559353765798</v>
      </c>
      <c r="C8388" s="5">
        <v>7.7055041135952895E-12</v>
      </c>
      <c r="D8388" s="6">
        <v>4.8593713181995201E-11</v>
      </c>
      <c r="E8388" s="3" t="s">
        <v>6271</v>
      </c>
      <c r="F8388" s="3" t="s">
        <v>6272</v>
      </c>
      <c r="G8388" s="3">
        <v>66333</v>
      </c>
      <c r="H8388" s="7" t="str">
        <f>HYPERLINK("http://www.ensembl.org/Mus_musculus/Gene/Summary?db=core;g=ENSMUSG00000042797","ENSMUSG00000042797")</f>
        <v>ENSMUSG00000042797</v>
      </c>
      <c r="I8388" s="7" t="str">
        <f>HYPERLINK("http://www.informatics.jax.org/marker/MGI:1913583","MGI:1913583")</f>
        <v>MGI:1913583</v>
      </c>
      <c r="J8388" s="4" t="s">
        <v>12</v>
      </c>
    </row>
    <row r="8389" spans="1:10" x14ac:dyDescent="0.25">
      <c r="A8389" s="2">
        <v>2.00266219152082</v>
      </c>
      <c r="B8389" s="3">
        <v>-2.1048549481277701</v>
      </c>
      <c r="C8389" s="5">
        <v>6.1744945768555199E-6</v>
      </c>
      <c r="D8389" s="6">
        <v>2.36245698594472E-5</v>
      </c>
      <c r="E8389" s="3" t="s">
        <v>10322</v>
      </c>
      <c r="F8389" s="3" t="s">
        <v>10323</v>
      </c>
      <c r="G8389" s="3">
        <v>242297</v>
      </c>
      <c r="H8389" s="7" t="str">
        <f>HYPERLINK("http://www.ensembl.org/Mus_musculus/Gene/Summary?db=core;g=ENSMUSG00000049119","ENSMUSG00000049119")</f>
        <v>ENSMUSG00000049119</v>
      </c>
      <c r="I8389" s="7" t="str">
        <f>HYPERLINK("http://www.informatics.jax.org/marker/MGI:1916593","MGI:1916593")</f>
        <v>MGI:1916593</v>
      </c>
      <c r="J8389" s="4" t="s">
        <v>12</v>
      </c>
    </row>
    <row r="8390" spans="1:10" x14ac:dyDescent="0.25">
      <c r="A8390" s="2">
        <v>21.657225851490001</v>
      </c>
      <c r="B8390" s="3">
        <v>-2.1059021655664401</v>
      </c>
      <c r="C8390" s="5">
        <v>4.16019936897999E-12</v>
      </c>
      <c r="D8390" s="6">
        <v>2.6836483989625602E-11</v>
      </c>
      <c r="E8390" s="3" t="s">
        <v>6131</v>
      </c>
      <c r="F8390" s="3" t="s">
        <v>6132</v>
      </c>
      <c r="G8390" s="3">
        <v>73680</v>
      </c>
      <c r="H8390" s="7" t="str">
        <f>HYPERLINK("http://www.ensembl.org/Mus_musculus/Gene/Summary?db=core;g=ENSMUSG00000028807","ENSMUSG00000028807")</f>
        <v>ENSMUSG00000028807</v>
      </c>
      <c r="I8390" s="7" t="str">
        <f>HYPERLINK("http://www.informatics.jax.org/marker/MGI:1920930","MGI:1920930")</f>
        <v>MGI:1920930</v>
      </c>
      <c r="J8390" s="4" t="s">
        <v>12</v>
      </c>
    </row>
    <row r="8391" spans="1:10" x14ac:dyDescent="0.25">
      <c r="A8391" s="2">
        <v>639.72155859313602</v>
      </c>
      <c r="B8391" s="3">
        <v>-2.1067640060024799</v>
      </c>
      <c r="C8391" s="5">
        <v>4.9472332202487304E-121</v>
      </c>
      <c r="D8391" s="6">
        <v>6.0595924908884996E-119</v>
      </c>
      <c r="E8391" s="3" t="s">
        <v>334</v>
      </c>
      <c r="F8391" s="3" t="s">
        <v>335</v>
      </c>
      <c r="G8391" s="3">
        <v>67991</v>
      </c>
      <c r="H8391" s="7" t="str">
        <f>HYPERLINK("http://www.ensembl.org/Mus_musculus/Gene/Summary?db=core;g=ENSMUSG00000026932","ENSMUSG00000026932")</f>
        <v>ENSMUSG00000026932</v>
      </c>
      <c r="I8391" s="7" t="str">
        <f>HYPERLINK("http://www.informatics.jax.org/marker/MGI:1915241","MGI:1915241")</f>
        <v>MGI:1915241</v>
      </c>
      <c r="J8391" s="4" t="s">
        <v>12</v>
      </c>
    </row>
    <row r="8392" spans="1:10" x14ac:dyDescent="0.25">
      <c r="A8392" s="2">
        <v>1.6675114226521801</v>
      </c>
      <c r="B8392" s="3">
        <v>-2.1102285727899899</v>
      </c>
      <c r="C8392" s="5">
        <v>5.96237028938375E-6</v>
      </c>
      <c r="D8392" s="6">
        <v>2.2859021928499099E-5</v>
      </c>
      <c r="E8392" s="3" t="s">
        <v>10304</v>
      </c>
      <c r="F8392" s="3" t="s">
        <v>10305</v>
      </c>
      <c r="G8392" s="3">
        <v>207474</v>
      </c>
      <c r="H8392" s="7" t="str">
        <f>HYPERLINK("http://www.ensembl.org/Mus_musculus/Gene/Summary?db=core;g=ENSMUSG00000041633","ENSMUSG00000041633")</f>
        <v>ENSMUSG00000041633</v>
      </c>
      <c r="I8392" s="7" t="str">
        <f>HYPERLINK("http://www.informatics.jax.org/marker/MGI:2444667","MGI:2444667")</f>
        <v>MGI:2444667</v>
      </c>
      <c r="J8392" s="4" t="s">
        <v>12</v>
      </c>
    </row>
    <row r="8393" spans="1:10" x14ac:dyDescent="0.25">
      <c r="A8393" s="2">
        <v>424.96233676515499</v>
      </c>
      <c r="B8393" s="3">
        <v>-2.1184053417654001</v>
      </c>
      <c r="C8393" s="5">
        <v>1.11520267299672E-62</v>
      </c>
      <c r="D8393" s="6">
        <v>4.3462048836947097E-61</v>
      </c>
      <c r="E8393" s="3" t="s">
        <v>1027</v>
      </c>
      <c r="F8393" s="3" t="s">
        <v>1028</v>
      </c>
      <c r="G8393" s="3">
        <v>80288</v>
      </c>
      <c r="H8393" s="7" t="str">
        <f>HYPERLINK("http://www.ensembl.org/Mus_musculus/Gene/Summary?db=core;g=ENSMUSG00000063382","ENSMUSG00000063382")</f>
        <v>ENSMUSG00000063382</v>
      </c>
      <c r="I8393" s="7" t="str">
        <f>HYPERLINK("http://www.informatics.jax.org/marker/MGI:1933114","MGI:1933114")</f>
        <v>MGI:1933114</v>
      </c>
      <c r="J8393" s="4" t="s">
        <v>12</v>
      </c>
    </row>
    <row r="8394" spans="1:10" x14ac:dyDescent="0.25">
      <c r="A8394" s="2">
        <v>23.105928570872798</v>
      </c>
      <c r="B8394" s="3">
        <v>-2.1216494125804699</v>
      </c>
      <c r="C8394" s="5">
        <v>7.8189302903046093E-15</v>
      </c>
      <c r="D8394" s="6">
        <v>5.9601586905607597E-14</v>
      </c>
      <c r="E8394" s="3" t="s">
        <v>5191</v>
      </c>
      <c r="F8394" s="3" t="s">
        <v>5192</v>
      </c>
      <c r="G8394" s="3">
        <v>16598</v>
      </c>
      <c r="H8394" s="7" t="str">
        <f>HYPERLINK("http://www.ensembl.org/Mus_musculus/Gene/Summary?db=core;g=ENSMUSG00000055148","ENSMUSG00000055148")</f>
        <v>ENSMUSG00000055148</v>
      </c>
      <c r="I8394" s="7" t="str">
        <f>HYPERLINK("http://www.informatics.jax.org/marker/MGI:1342772","MGI:1342772")</f>
        <v>MGI:1342772</v>
      </c>
      <c r="J8394" s="4" t="s">
        <v>12</v>
      </c>
    </row>
    <row r="8395" spans="1:10" x14ac:dyDescent="0.25">
      <c r="A8395" s="2">
        <v>17.4029706407017</v>
      </c>
      <c r="B8395" s="3">
        <v>-2.1280438990644401</v>
      </c>
      <c r="C8395" s="5">
        <v>1.53749742889572E-11</v>
      </c>
      <c r="D8395" s="6">
        <v>9.4837188920311803E-11</v>
      </c>
      <c r="E8395" s="3" t="s">
        <v>6411</v>
      </c>
      <c r="F8395" s="3" t="s">
        <v>6412</v>
      </c>
      <c r="G8395" s="3">
        <v>79196</v>
      </c>
      <c r="H8395" s="7" t="str">
        <f>HYPERLINK("http://www.ensembl.org/Mus_musculus/Gene/Summary?db=core;g=ENSMUSG00000037606","ENSMUSG00000037606")</f>
        <v>ENSMUSG00000037606</v>
      </c>
      <c r="I8395" s="7" t="str">
        <f>HYPERLINK("http://www.informatics.jax.org/marker/MGI:1930265","MGI:1930265")</f>
        <v>MGI:1930265</v>
      </c>
      <c r="J8395" s="4" t="s">
        <v>12</v>
      </c>
    </row>
    <row r="8396" spans="1:10" x14ac:dyDescent="0.25">
      <c r="A8396" s="2">
        <v>19.6960165953051</v>
      </c>
      <c r="B8396" s="3">
        <v>-2.1308443570103801</v>
      </c>
      <c r="C8396" s="5">
        <v>7.6691648558601202E-13</v>
      </c>
      <c r="D8396" s="6">
        <v>5.1810870489058404E-12</v>
      </c>
      <c r="E8396" s="3" t="s">
        <v>5855</v>
      </c>
      <c r="F8396" s="3" t="s">
        <v>5856</v>
      </c>
      <c r="G8396" s="3">
        <v>27375</v>
      </c>
      <c r="H8396" s="7" t="str">
        <f>HYPERLINK("http://www.ensembl.org/Mus_musculus/Gene/Summary?db=core;g=ENSMUSG00000034917","ENSMUSG00000034917")</f>
        <v>ENSMUSG00000034917</v>
      </c>
      <c r="I8396" s="7" t="str">
        <f>HYPERLINK("http://www.informatics.jax.org/marker/MGI:1351650","MGI:1351650")</f>
        <v>MGI:1351650</v>
      </c>
      <c r="J8396" s="4" t="s">
        <v>12</v>
      </c>
    </row>
    <row r="8397" spans="1:10" x14ac:dyDescent="0.25">
      <c r="A8397" s="2">
        <v>167.77677100124501</v>
      </c>
      <c r="B8397" s="3">
        <v>-2.13170028030865</v>
      </c>
      <c r="C8397" s="5">
        <v>3.1501005554599202E-57</v>
      </c>
      <c r="D8397" s="6">
        <v>1.0353330492278301E-55</v>
      </c>
      <c r="E8397" s="3" t="s">
        <v>1216</v>
      </c>
      <c r="F8397" s="3" t="s">
        <v>1217</v>
      </c>
      <c r="G8397" s="3">
        <v>224454</v>
      </c>
      <c r="H8397" s="7" t="str">
        <f>HYPERLINK("http://www.ensembl.org/Mus_musculus/Gene/Summary?db=core;g=ENSMUSG00000034265","ENSMUSG00000034265")</f>
        <v>ENSMUSG00000034265</v>
      </c>
      <c r="I8397" s="7" t="str">
        <f>HYPERLINK("http://www.informatics.jax.org/marker/MGI:2653229","MGI:2653229")</f>
        <v>MGI:2653229</v>
      </c>
      <c r="J8397" s="4" t="s">
        <v>12</v>
      </c>
    </row>
    <row r="8398" spans="1:10" x14ac:dyDescent="0.25">
      <c r="A8398" s="2">
        <v>41.268660937953598</v>
      </c>
      <c r="B8398" s="3">
        <v>-2.1416597489004801</v>
      </c>
      <c r="C8398" s="5">
        <v>1.52615139129554E-20</v>
      </c>
      <c r="D8398" s="6">
        <v>1.55292597710774E-19</v>
      </c>
      <c r="E8398" s="3" t="s">
        <v>3894</v>
      </c>
      <c r="F8398" s="3" t="s">
        <v>3895</v>
      </c>
      <c r="G8398" s="3">
        <v>14347</v>
      </c>
      <c r="H8398" s="7" t="str">
        <f>HYPERLINK("http://www.ensembl.org/Mus_musculus/Gene/Summary?db=core;g=ENSMUSG00000036587","ENSMUSG00000036587")</f>
        <v>ENSMUSG00000036587</v>
      </c>
      <c r="I8398" s="7" t="str">
        <f>HYPERLINK("http://www.informatics.jax.org/marker/MGI:107692","MGI:107692")</f>
        <v>MGI:107692</v>
      </c>
      <c r="J8398" s="4" t="s">
        <v>12</v>
      </c>
    </row>
    <row r="8399" spans="1:10" x14ac:dyDescent="0.25">
      <c r="A8399" s="2">
        <v>10.7497784654144</v>
      </c>
      <c r="B8399" s="3">
        <v>-2.14328457114329</v>
      </c>
      <c r="C8399" s="5">
        <v>6.6459200183916402E-9</v>
      </c>
      <c r="D8399" s="6">
        <v>3.3433046623133499E-8</v>
      </c>
      <c r="E8399" s="3" t="s">
        <v>7856</v>
      </c>
      <c r="F8399" s="3" t="s">
        <v>7857</v>
      </c>
      <c r="G8399" s="3" t="s">
        <v>83</v>
      </c>
      <c r="H8399" s="7" t="str">
        <f>HYPERLINK("http://www.ensembl.org/Mus_musculus/Gene/Summary?db=core;g=ENSMUSG00000086291","ENSMUSG00000086291")</f>
        <v>ENSMUSG00000086291</v>
      </c>
      <c r="I8399" s="7" t="str">
        <f>HYPERLINK("http://www.informatics.jax.org/marker/MGI:3782961","MGI:3782961")</f>
        <v>MGI:3782961</v>
      </c>
      <c r="J8399" s="4" t="s">
        <v>4024</v>
      </c>
    </row>
    <row r="8400" spans="1:10" x14ac:dyDescent="0.25">
      <c r="A8400" s="2">
        <v>6.4664658451821602</v>
      </c>
      <c r="B8400" s="3">
        <v>-2.1473094555114498</v>
      </c>
      <c r="C8400" s="5">
        <v>7.7300081667176195E-8</v>
      </c>
      <c r="D8400" s="6">
        <v>3.5351521578773599E-7</v>
      </c>
      <c r="E8400" s="3" t="s">
        <v>8641</v>
      </c>
      <c r="F8400" s="3" t="s">
        <v>8642</v>
      </c>
      <c r="G8400" s="3">
        <v>217310</v>
      </c>
      <c r="H8400" s="7" t="str">
        <f>HYPERLINK("http://www.ensembl.org/Mus_musculus/Gene/Summary?db=core;g=ENSMUSG00000034586","ENSMUSG00000034586")</f>
        <v>ENSMUSG00000034586</v>
      </c>
      <c r="I8400" s="7" t="str">
        <f>HYPERLINK("http://www.informatics.jax.org/marker/MGI:2445087","MGI:2445087")</f>
        <v>MGI:2445087</v>
      </c>
      <c r="J8400" s="4" t="s">
        <v>12</v>
      </c>
    </row>
    <row r="8401" spans="1:10" x14ac:dyDescent="0.25">
      <c r="A8401" s="2">
        <v>23.217294959676099</v>
      </c>
      <c r="B8401" s="3">
        <v>-2.1480071885274499</v>
      </c>
      <c r="C8401" s="5">
        <v>1.1515032438839901E-12</v>
      </c>
      <c r="D8401" s="6">
        <v>7.6948979903057598E-12</v>
      </c>
      <c r="E8401" s="3" t="s">
        <v>5919</v>
      </c>
      <c r="F8401" s="3" t="s">
        <v>5920</v>
      </c>
      <c r="G8401" s="3" t="s">
        <v>83</v>
      </c>
      <c r="H8401" s="7" t="str">
        <f>HYPERLINK("http://www.ensembl.org/Mus_musculus/Gene/Summary?db=core;g=ENSMUSG00000104164","ENSMUSG00000104164")</f>
        <v>ENSMUSG00000104164</v>
      </c>
      <c r="I8401" s="7" t="str">
        <f>HYPERLINK("http://www.informatics.jax.org/marker/MGI:5611476","MGI:5611476")</f>
        <v>MGI:5611476</v>
      </c>
      <c r="J8401" s="4" t="s">
        <v>1828</v>
      </c>
    </row>
    <row r="8402" spans="1:10" x14ac:dyDescent="0.25">
      <c r="A8402" s="2">
        <v>42.745404139816898</v>
      </c>
      <c r="B8402" s="3">
        <v>-2.1502038737749301</v>
      </c>
      <c r="C8402" s="5">
        <v>4.1147219968237902E-20</v>
      </c>
      <c r="D8402" s="6">
        <v>4.1022405347505101E-19</v>
      </c>
      <c r="E8402" s="3" t="s">
        <v>3974</v>
      </c>
      <c r="F8402" s="3" t="s">
        <v>3975</v>
      </c>
      <c r="G8402" s="3">
        <v>105841</v>
      </c>
      <c r="H8402" s="7" t="str">
        <f>HYPERLINK("http://www.ensembl.org/Mus_musculus/Gene/Summary?db=core;g=ENSMUSG00000036661","ENSMUSG00000036661")</f>
        <v>ENSMUSG00000036661</v>
      </c>
      <c r="I8402" s="7" t="str">
        <f>HYPERLINK("http://www.informatics.jax.org/marker/MGI:2146009","MGI:2146009")</f>
        <v>MGI:2146009</v>
      </c>
      <c r="J8402" s="4" t="s">
        <v>12</v>
      </c>
    </row>
    <row r="8403" spans="1:10" x14ac:dyDescent="0.25">
      <c r="A8403" s="2">
        <v>20.1563485085147</v>
      </c>
      <c r="B8403" s="3">
        <v>-2.15051687277376</v>
      </c>
      <c r="C8403" s="5">
        <v>5.6812734497218202E-14</v>
      </c>
      <c r="D8403" s="6">
        <v>4.1038356200921002E-13</v>
      </c>
      <c r="E8403" s="3" t="s">
        <v>5477</v>
      </c>
      <c r="F8403" s="3" t="s">
        <v>5478</v>
      </c>
      <c r="G8403" s="3" t="s">
        <v>83</v>
      </c>
      <c r="H8403" s="7" t="str">
        <f>HYPERLINK("http://www.ensembl.org/Mus_musculus/Gene/Summary?db=core;g=ENSMUSG00000086119","ENSMUSG00000086119")</f>
        <v>ENSMUSG00000086119</v>
      </c>
      <c r="I8403" s="7" t="str">
        <f>HYPERLINK("http://www.informatics.jax.org/marker/MGI:3780582","MGI:3780582")</f>
        <v>MGI:3780582</v>
      </c>
      <c r="J8403" s="4" t="s">
        <v>932</v>
      </c>
    </row>
    <row r="8404" spans="1:10" x14ac:dyDescent="0.25">
      <c r="A8404" s="2">
        <v>335.16534452398002</v>
      </c>
      <c r="B8404" s="3">
        <v>-2.15144847347594</v>
      </c>
      <c r="C8404" s="5">
        <v>6.3520216701797101E-88</v>
      </c>
      <c r="D8404" s="6">
        <v>4.2318198424305399E-86</v>
      </c>
      <c r="E8404" s="3" t="s">
        <v>604</v>
      </c>
      <c r="F8404" s="3" t="s">
        <v>605</v>
      </c>
      <c r="G8404" s="3">
        <v>16582</v>
      </c>
      <c r="H8404" s="7" t="str">
        <f>HYPERLINK("http://www.ensembl.org/Mus_musculus/Gene/Summary?db=core;g=ENSMUSG00000031788","ENSMUSG00000031788")</f>
        <v>ENSMUSG00000031788</v>
      </c>
      <c r="I8404" s="7" t="str">
        <f>HYPERLINK("http://www.informatics.jax.org/marker/MGI:109202","MGI:109202")</f>
        <v>MGI:109202</v>
      </c>
      <c r="J8404" s="4" t="s">
        <v>12</v>
      </c>
    </row>
    <row r="8405" spans="1:10" x14ac:dyDescent="0.25">
      <c r="A8405" s="2">
        <v>38.766008097258499</v>
      </c>
      <c r="B8405" s="3">
        <v>-2.15393218584755</v>
      </c>
      <c r="C8405" s="5">
        <v>2.6900493570298399E-17</v>
      </c>
      <c r="D8405" s="6">
        <v>2.3338219674715499E-16</v>
      </c>
      <c r="E8405" s="3" t="s">
        <v>4563</v>
      </c>
      <c r="F8405" s="3" t="s">
        <v>4564</v>
      </c>
      <c r="G8405" s="3">
        <v>268739</v>
      </c>
      <c r="H8405" s="7" t="str">
        <f>HYPERLINK("http://www.ensembl.org/Mus_musculus/Gene/Summary?db=core;g=ENSMUSG00000004562","ENSMUSG00000004562")</f>
        <v>ENSMUSG00000004562</v>
      </c>
      <c r="I8405" s="7" t="str">
        <f>HYPERLINK("http://www.informatics.jax.org/marker/MGI:2685515","MGI:2685515")</f>
        <v>MGI:2685515</v>
      </c>
      <c r="J8405" s="4" t="s">
        <v>12</v>
      </c>
    </row>
    <row r="8406" spans="1:10" x14ac:dyDescent="0.25">
      <c r="A8406" s="2">
        <v>117.84031631978</v>
      </c>
      <c r="B8406" s="3">
        <v>-2.1554308626120302</v>
      </c>
      <c r="C8406" s="5">
        <v>4.3964152883150698E-38</v>
      </c>
      <c r="D8406" s="6">
        <v>8.4009020819353799E-37</v>
      </c>
      <c r="E8406" s="3" t="s">
        <v>2081</v>
      </c>
      <c r="F8406" s="3" t="s">
        <v>2082</v>
      </c>
      <c r="G8406" s="3">
        <v>68526</v>
      </c>
      <c r="H8406" s="7" t="str">
        <f>HYPERLINK("http://www.ensembl.org/Mus_musculus/Gene/Summary?db=core;g=ENSMUSG00000041762","ENSMUSG00000041762")</f>
        <v>ENSMUSG00000041762</v>
      </c>
      <c r="I8406" s="7" t="str">
        <f>HYPERLINK("http://www.informatics.jax.org/marker/MGI:1915776","MGI:1915776")</f>
        <v>MGI:1915776</v>
      </c>
      <c r="J8406" s="4" t="s">
        <v>12</v>
      </c>
    </row>
    <row r="8407" spans="1:10" x14ac:dyDescent="0.25">
      <c r="A8407" s="2">
        <v>226.72055609442401</v>
      </c>
      <c r="B8407" s="3">
        <v>-2.1562508241371598</v>
      </c>
      <c r="C8407" s="5">
        <v>8.6901045600785596E-79</v>
      </c>
      <c r="D8407" s="6">
        <v>4.9102825766403803E-77</v>
      </c>
      <c r="E8407" s="3" t="s">
        <v>710</v>
      </c>
      <c r="F8407" s="3" t="s">
        <v>711</v>
      </c>
      <c r="G8407" s="3">
        <v>12580</v>
      </c>
      <c r="H8407" s="7" t="str">
        <f>HYPERLINK("http://www.ensembl.org/Mus_musculus/Gene/Summary?db=core;g=ENSMUSG00000028551","ENSMUSG00000028551")</f>
        <v>ENSMUSG00000028551</v>
      </c>
      <c r="I8407" s="7" t="str">
        <f>HYPERLINK("http://www.informatics.jax.org/marker/MGI:105388","MGI:105388")</f>
        <v>MGI:105388</v>
      </c>
      <c r="J8407" s="4" t="s">
        <v>12</v>
      </c>
    </row>
    <row r="8408" spans="1:10" x14ac:dyDescent="0.25">
      <c r="A8408" s="2">
        <v>121.12825408132301</v>
      </c>
      <c r="B8408" s="3">
        <v>-2.16111078065958</v>
      </c>
      <c r="C8408" s="5">
        <v>3.8507384994353302E-66</v>
      </c>
      <c r="D8408" s="6">
        <v>1.62953998302285E-64</v>
      </c>
      <c r="E8408" s="3" t="s">
        <v>946</v>
      </c>
      <c r="F8408" s="3" t="s">
        <v>947</v>
      </c>
      <c r="G8408" s="3">
        <v>66329</v>
      </c>
      <c r="H8408" s="7" t="str">
        <f>HYPERLINK("http://www.ensembl.org/Mus_musculus/Gene/Summary?db=core;g=ENSMUSG00000021384","ENSMUSG00000021384")</f>
        <v>ENSMUSG00000021384</v>
      </c>
      <c r="I8408" s="7" t="str">
        <f>HYPERLINK("http://www.informatics.jax.org/marker/MGI:1913579","MGI:1913579")</f>
        <v>MGI:1913579</v>
      </c>
      <c r="J8408" s="4" t="s">
        <v>12</v>
      </c>
    </row>
    <row r="8409" spans="1:10" x14ac:dyDescent="0.25">
      <c r="A8409" s="2">
        <v>332.66199890055498</v>
      </c>
      <c r="B8409" s="3">
        <v>-2.1677188380995398</v>
      </c>
      <c r="C8409" s="5">
        <v>5.6376592890530998E-103</v>
      </c>
      <c r="D8409" s="6">
        <v>4.6712034109297199E-101</v>
      </c>
      <c r="E8409" s="3" t="s">
        <v>488</v>
      </c>
      <c r="F8409" s="3" t="s">
        <v>489</v>
      </c>
      <c r="G8409" s="3">
        <v>107771</v>
      </c>
      <c r="H8409" s="7" t="str">
        <f>HYPERLINK("http://www.ensembl.org/Mus_musculus/Gene/Summary?db=core;g=ENSMUSG00000049086","ENSMUSG00000049086")</f>
        <v>ENSMUSG00000049086</v>
      </c>
      <c r="I8409" s="7" t="str">
        <f>HYPERLINK("http://www.informatics.jax.org/marker/MGI:88184","MGI:88184")</f>
        <v>MGI:88184</v>
      </c>
      <c r="J8409" s="4" t="s">
        <v>12</v>
      </c>
    </row>
    <row r="8410" spans="1:10" x14ac:dyDescent="0.25">
      <c r="A8410" s="2">
        <v>15.2961947918457</v>
      </c>
      <c r="B8410" s="3">
        <v>-2.1761733043661802</v>
      </c>
      <c r="C8410" s="5">
        <v>2.316292053622E-9</v>
      </c>
      <c r="D8410" s="6">
        <v>1.2067973394300099E-8</v>
      </c>
      <c r="E8410" s="3" t="s">
        <v>7588</v>
      </c>
      <c r="F8410" s="3" t="s">
        <v>7589</v>
      </c>
      <c r="G8410" s="3">
        <v>15205</v>
      </c>
      <c r="H8410" s="7" t="str">
        <f>HYPERLINK("http://www.ensembl.org/Mus_musculus/Gene/Summary?db=core;g=ENSMUSG00000022528","ENSMUSG00000022528")</f>
        <v>ENSMUSG00000022528</v>
      </c>
      <c r="I8410" s="7" t="str">
        <f>HYPERLINK("http://www.informatics.jax.org/marker/MGI:104853","MGI:104853")</f>
        <v>MGI:104853</v>
      </c>
      <c r="J8410" s="4" t="s">
        <v>12</v>
      </c>
    </row>
    <row r="8411" spans="1:10" x14ac:dyDescent="0.25">
      <c r="A8411" s="2">
        <v>34.375865487348101</v>
      </c>
      <c r="B8411" s="3">
        <v>-2.1781574188021602</v>
      </c>
      <c r="C8411" s="5">
        <v>9.4662828315116205E-19</v>
      </c>
      <c r="D8411" s="6">
        <v>8.8766094834716602E-18</v>
      </c>
      <c r="E8411" s="3" t="s">
        <v>4223</v>
      </c>
      <c r="F8411" s="3" t="s">
        <v>4224</v>
      </c>
      <c r="G8411" s="3">
        <v>16869</v>
      </c>
      <c r="H8411" s="7" t="str">
        <f>HYPERLINK("http://www.ensembl.org/Mus_musculus/Gene/Summary?db=core;g=ENSMUSG00000018698","ENSMUSG00000018698")</f>
        <v>ENSMUSG00000018698</v>
      </c>
      <c r="I8411" s="7" t="str">
        <f>HYPERLINK("http://www.informatics.jax.org/marker/MGI:99783","MGI:99783")</f>
        <v>MGI:99783</v>
      </c>
      <c r="J8411" s="4" t="s">
        <v>12</v>
      </c>
    </row>
    <row r="8412" spans="1:10" x14ac:dyDescent="0.25">
      <c r="A8412" s="2">
        <v>14.2880292285128</v>
      </c>
      <c r="B8412" s="3">
        <v>-2.18479180476377</v>
      </c>
      <c r="C8412" s="5">
        <v>7.4133623002344696E-10</v>
      </c>
      <c r="D8412" s="6">
        <v>4.0129427548894804E-9</v>
      </c>
      <c r="E8412" s="3" t="s">
        <v>7304</v>
      </c>
      <c r="F8412" s="3" t="s">
        <v>7305</v>
      </c>
      <c r="G8412" s="3">
        <v>12398</v>
      </c>
      <c r="H8412" s="7" t="str">
        <f>HYPERLINK("http://www.ensembl.org/Mus_musculus/Gene/Summary?db=core;g=ENSMUSG00000006362","ENSMUSG00000006362")</f>
        <v>ENSMUSG00000006362</v>
      </c>
      <c r="I8412" s="7" t="str">
        <f>HYPERLINK("http://www.informatics.jax.org/marker/MGI:1338013","MGI:1338013")</f>
        <v>MGI:1338013</v>
      </c>
      <c r="J8412" s="4" t="s">
        <v>12</v>
      </c>
    </row>
    <row r="8413" spans="1:10" x14ac:dyDescent="0.25">
      <c r="A8413" s="2">
        <v>203.58294084569701</v>
      </c>
      <c r="B8413" s="3">
        <v>-2.18666905683311</v>
      </c>
      <c r="C8413" s="5">
        <v>2.51372824958691E-77</v>
      </c>
      <c r="D8413" s="6">
        <v>1.36935693596281E-75</v>
      </c>
      <c r="E8413" s="3" t="s">
        <v>736</v>
      </c>
      <c r="F8413" s="3" t="s">
        <v>737</v>
      </c>
      <c r="G8413" s="3">
        <v>76850</v>
      </c>
      <c r="H8413" s="7" t="str">
        <f>HYPERLINK("http://www.ensembl.org/Mus_musculus/Gene/Summary?db=core;g=ENSMUSG00000042500","ENSMUSG00000042500")</f>
        <v>ENSMUSG00000042500</v>
      </c>
      <c r="I8413" s="7" t="str">
        <f>HYPERLINK("http://www.informatics.jax.org/marker/MGI:1924100","MGI:1924100")</f>
        <v>MGI:1924100</v>
      </c>
      <c r="J8413" s="4" t="s">
        <v>12</v>
      </c>
    </row>
    <row r="8414" spans="1:10" x14ac:dyDescent="0.25">
      <c r="A8414" s="2">
        <v>538.44877475632597</v>
      </c>
      <c r="B8414" s="3">
        <v>-2.1876814058149301</v>
      </c>
      <c r="C8414" s="5">
        <v>6.74937283311688E-108</v>
      </c>
      <c r="D8414" s="6">
        <v>6.2487151300030502E-106</v>
      </c>
      <c r="E8414" s="3" t="s">
        <v>438</v>
      </c>
      <c r="F8414" s="3" t="s">
        <v>439</v>
      </c>
      <c r="G8414" s="3">
        <v>16848</v>
      </c>
      <c r="H8414" s="7" t="str">
        <f>HYPERLINK("http://www.ensembl.org/Mus_musculus/Gene/Summary?db=core;g=ENSMUSG00000029570","ENSMUSG00000029570")</f>
        <v>ENSMUSG00000029570</v>
      </c>
      <c r="I8414" s="7" t="str">
        <f>HYPERLINK("http://www.informatics.jax.org/marker/MGI:1095413","MGI:1095413")</f>
        <v>MGI:1095413</v>
      </c>
      <c r="J8414" s="4" t="s">
        <v>12</v>
      </c>
    </row>
    <row r="8415" spans="1:10" x14ac:dyDescent="0.25">
      <c r="A8415" s="2">
        <v>12.0195666787147</v>
      </c>
      <c r="B8415" s="3">
        <v>-2.1911529467267599</v>
      </c>
      <c r="C8415" s="5">
        <v>7.72441844004901E-11</v>
      </c>
      <c r="D8415" s="6">
        <v>4.5133490855634498E-10</v>
      </c>
      <c r="E8415" s="3" t="s">
        <v>6766</v>
      </c>
      <c r="F8415" s="3" t="s">
        <v>6767</v>
      </c>
      <c r="G8415" s="3">
        <v>433940</v>
      </c>
      <c r="H8415" s="7" t="str">
        <f>HYPERLINK("http://www.ensembl.org/Mus_musculus/Gene/Summary?db=core;g=ENSMUSG00000041930","ENSMUSG00000041930")</f>
        <v>ENSMUSG00000041930</v>
      </c>
      <c r="I8415" s="7" t="str">
        <f>HYPERLINK("http://www.informatics.jax.org/marker/MGI:3605543","MGI:3605543")</f>
        <v>MGI:3605543</v>
      </c>
      <c r="J8415" s="4" t="s">
        <v>12</v>
      </c>
    </row>
    <row r="8416" spans="1:10" x14ac:dyDescent="0.25">
      <c r="A8416" s="2">
        <v>6.38972997718888</v>
      </c>
      <c r="B8416" s="3">
        <v>-2.19347366424264</v>
      </c>
      <c r="C8416" s="5">
        <v>2.2314599467906601E-7</v>
      </c>
      <c r="D8416" s="6">
        <v>9.8487892011440902E-7</v>
      </c>
      <c r="E8416" s="3" t="s">
        <v>8953</v>
      </c>
      <c r="F8416" s="3" t="s">
        <v>8954</v>
      </c>
      <c r="G8416" s="3">
        <v>17301</v>
      </c>
      <c r="H8416" s="7" t="str">
        <f>HYPERLINK("http://www.ensembl.org/Mus_musculus/Gene/Summary?db=core;g=ENSMUSG00000055210","ENSMUSG00000055210")</f>
        <v>ENSMUSG00000055210</v>
      </c>
      <c r="I8416" s="7" t="str">
        <f>HYPERLINK("http://www.informatics.jax.org/marker/MGI:1347471","MGI:1347471")</f>
        <v>MGI:1347471</v>
      </c>
      <c r="J8416" s="4" t="s">
        <v>12</v>
      </c>
    </row>
    <row r="8417" spans="1:10" x14ac:dyDescent="0.25">
      <c r="A8417" s="2">
        <v>7.2876715608343696</v>
      </c>
      <c r="B8417" s="3">
        <v>-2.1948076662637201</v>
      </c>
      <c r="C8417" s="5">
        <v>5.0002521614246599E-8</v>
      </c>
      <c r="D8417" s="6">
        <v>2.3239446764858399E-7</v>
      </c>
      <c r="E8417" s="3" t="s">
        <v>8503</v>
      </c>
      <c r="F8417" s="3" t="s">
        <v>8504</v>
      </c>
      <c r="G8417" s="3">
        <v>228550</v>
      </c>
      <c r="H8417" s="7" t="str">
        <f>HYPERLINK("http://www.ensembl.org/Mus_musculus/Gene/Summary?db=core;g=ENSMUSG00000027296","ENSMUSG00000027296")</f>
        <v>ENSMUSG00000027296</v>
      </c>
      <c r="I8417" s="7" t="str">
        <f>HYPERLINK("http://www.informatics.jax.org/marker/MGI:1333822","MGI:1333822")</f>
        <v>MGI:1333822</v>
      </c>
      <c r="J8417" s="4" t="s">
        <v>12</v>
      </c>
    </row>
    <row r="8418" spans="1:10" x14ac:dyDescent="0.25">
      <c r="A8418" s="2">
        <v>136.310379588784</v>
      </c>
      <c r="B8418" s="3">
        <v>-2.1951028479709498</v>
      </c>
      <c r="C8418" s="5">
        <v>2.66114749727522E-33</v>
      </c>
      <c r="D8418" s="6">
        <v>4.3334292854060602E-32</v>
      </c>
      <c r="E8418" s="3" t="s">
        <v>2439</v>
      </c>
      <c r="F8418" s="3" t="s">
        <v>2440</v>
      </c>
      <c r="G8418" s="3">
        <v>13844</v>
      </c>
      <c r="H8418" s="7" t="str">
        <f>HYPERLINK("http://www.ensembl.org/Mus_musculus/Gene/Summary?db=core;g=ENSMUSG00000028664","ENSMUSG00000028664")</f>
        <v>ENSMUSG00000028664</v>
      </c>
      <c r="I8418" s="7" t="str">
        <f>HYPERLINK("http://www.informatics.jax.org/marker/MGI:99611","MGI:99611")</f>
        <v>MGI:99611</v>
      </c>
      <c r="J8418" s="4" t="s">
        <v>12</v>
      </c>
    </row>
    <row r="8419" spans="1:10" x14ac:dyDescent="0.25">
      <c r="A8419" s="2">
        <v>9.7378275664365894</v>
      </c>
      <c r="B8419" s="3">
        <v>-2.2151094950285701</v>
      </c>
      <c r="C8419" s="5">
        <v>3.9591830440474599E-9</v>
      </c>
      <c r="D8419" s="6">
        <v>2.0273978091045401E-8</v>
      </c>
      <c r="E8419" s="3" t="s">
        <v>7718</v>
      </c>
      <c r="F8419" s="3" t="s">
        <v>7719</v>
      </c>
      <c r="G8419" s="3">
        <v>76184</v>
      </c>
      <c r="H8419" s="7" t="str">
        <f>HYPERLINK("http://www.ensembl.org/Mus_musculus/Gene/Summary?db=core;g=ENSMUSG00000044749","ENSMUSG00000044749")</f>
        <v>ENSMUSG00000044749</v>
      </c>
      <c r="I8419" s="7" t="str">
        <f>HYPERLINK("http://www.informatics.jax.org/marker/MGI:1923434","MGI:1923434")</f>
        <v>MGI:1923434</v>
      </c>
      <c r="J8419" s="4" t="s">
        <v>12</v>
      </c>
    </row>
    <row r="8420" spans="1:10" x14ac:dyDescent="0.25">
      <c r="A8420" s="2">
        <v>252.033010223101</v>
      </c>
      <c r="B8420" s="3">
        <v>-2.2182429031609301</v>
      </c>
      <c r="C8420" s="5">
        <v>4.7537693241223301E-74</v>
      </c>
      <c r="D8420" s="6">
        <v>2.3613181630149202E-72</v>
      </c>
      <c r="E8420" s="3" t="s">
        <v>806</v>
      </c>
      <c r="F8420" s="3" t="s">
        <v>807</v>
      </c>
      <c r="G8420" s="3">
        <v>217364</v>
      </c>
      <c r="H8420" s="7" t="str">
        <f>HYPERLINK("http://www.ensembl.org/Mus_musculus/Gene/Summary?db=core;g=ENSMUSG00000033857","ENSMUSG00000033857")</f>
        <v>ENSMUSG00000033857</v>
      </c>
      <c r="I8420" s="7" t="str">
        <f>HYPERLINK("http://www.informatics.jax.org/marker/MGI:2443788","MGI:2443788")</f>
        <v>MGI:2443788</v>
      </c>
      <c r="J8420" s="4" t="s">
        <v>12</v>
      </c>
    </row>
    <row r="8421" spans="1:10" x14ac:dyDescent="0.25">
      <c r="A8421" s="2">
        <v>160.97399894868099</v>
      </c>
      <c r="B8421" s="3">
        <v>-2.2351671822139401</v>
      </c>
      <c r="C8421" s="5">
        <v>5.8779240217480602E-66</v>
      </c>
      <c r="D8421" s="6">
        <v>2.47676627583059E-64</v>
      </c>
      <c r="E8421" s="3" t="s">
        <v>950</v>
      </c>
      <c r="F8421" s="3" t="s">
        <v>951</v>
      </c>
      <c r="G8421" s="3">
        <v>69274</v>
      </c>
      <c r="H8421" s="7" t="str">
        <f>HYPERLINK("http://www.ensembl.org/Mus_musculus/Gene/Summary?db=core;g=ENSMUSG00000047409","ENSMUSG00000047409")</f>
        <v>ENSMUSG00000047409</v>
      </c>
      <c r="I8421" s="7" t="str">
        <f>HYPERLINK("http://www.informatics.jax.org/marker/MGI:1916524","MGI:1916524")</f>
        <v>MGI:1916524</v>
      </c>
      <c r="J8421" s="4" t="s">
        <v>12</v>
      </c>
    </row>
    <row r="8422" spans="1:10" x14ac:dyDescent="0.25">
      <c r="A8422" s="2">
        <v>279.71797010362798</v>
      </c>
      <c r="B8422" s="3">
        <v>-2.2433119268523498</v>
      </c>
      <c r="C8422" s="5">
        <v>5.0492542265269201E-14</v>
      </c>
      <c r="D8422" s="6">
        <v>3.6580195939423603E-13</v>
      </c>
      <c r="E8422" s="3" t="s">
        <v>5461</v>
      </c>
      <c r="F8422" s="3" t="s">
        <v>5462</v>
      </c>
      <c r="G8422" s="3">
        <v>432779</v>
      </c>
      <c r="H8422" s="7" t="str">
        <f>HYPERLINK("http://www.ensembl.org/Mus_musculus/Gene/Summary?db=core;g=ENSMUSG00000021579","ENSMUSG00000021579")</f>
        <v>ENSMUSG00000021579</v>
      </c>
      <c r="I8422" s="7" t="str">
        <f>HYPERLINK("http://www.informatics.jax.org/marker/MGI:2145269","MGI:2145269")</f>
        <v>MGI:2145269</v>
      </c>
      <c r="J8422" s="4" t="s">
        <v>12</v>
      </c>
    </row>
    <row r="8423" spans="1:10" x14ac:dyDescent="0.25">
      <c r="A8423" s="2">
        <v>119.82595846196099</v>
      </c>
      <c r="B8423" s="3">
        <v>-2.2465111878689701</v>
      </c>
      <c r="C8423" s="5">
        <v>6.2439169689083994E-61</v>
      </c>
      <c r="D8423" s="6">
        <v>2.3144744854675502E-59</v>
      </c>
      <c r="E8423" s="3" t="s">
        <v>1080</v>
      </c>
      <c r="F8423" s="3" t="s">
        <v>1081</v>
      </c>
      <c r="G8423" s="3">
        <v>269608</v>
      </c>
      <c r="H8423" s="7" t="str">
        <f>HYPERLINK("http://www.ensembl.org/Mus_musculus/Gene/Summary?db=core;g=ENSMUSG00000039713","ENSMUSG00000039713")</f>
        <v>ENSMUSG00000039713</v>
      </c>
      <c r="I8423" s="7" t="str">
        <f>HYPERLINK("http://www.informatics.jax.org/marker/MGI:2652860","MGI:2652860")</f>
        <v>MGI:2652860</v>
      </c>
      <c r="J8423" s="4" t="s">
        <v>12</v>
      </c>
    </row>
    <row r="8424" spans="1:10" x14ac:dyDescent="0.25">
      <c r="A8424" s="2">
        <v>8.8652576167899504</v>
      </c>
      <c r="B8424" s="3">
        <v>-2.26058260129432</v>
      </c>
      <c r="C8424" s="5">
        <v>3.1121190556368998E-8</v>
      </c>
      <c r="D8424" s="6">
        <v>1.47318765229749E-7</v>
      </c>
      <c r="E8424" s="3" t="s">
        <v>8349</v>
      </c>
      <c r="F8424" s="3" t="s">
        <v>8350</v>
      </c>
      <c r="G8424" s="3">
        <v>71918</v>
      </c>
      <c r="H8424" s="7" t="str">
        <f>HYPERLINK("http://www.ensembl.org/Mus_musculus/Gene/Summary?db=core;g=ENSMUSG00000055538","ENSMUSG00000055538")</f>
        <v>ENSMUSG00000055538</v>
      </c>
      <c r="I8424" s="7" t="str">
        <f>HYPERLINK("http://www.informatics.jax.org/marker/MGI:1919168","MGI:1919168")</f>
        <v>MGI:1919168</v>
      </c>
      <c r="J8424" s="4" t="s">
        <v>12</v>
      </c>
    </row>
    <row r="8425" spans="1:10" x14ac:dyDescent="0.25">
      <c r="A8425" s="2">
        <v>9.33998350407734</v>
      </c>
      <c r="B8425" s="3">
        <v>-2.2643202656901198</v>
      </c>
      <c r="C8425" s="5">
        <v>3.5066613043972098E-9</v>
      </c>
      <c r="D8425" s="6">
        <v>1.8022246787259099E-8</v>
      </c>
      <c r="E8425" s="3" t="s">
        <v>7690</v>
      </c>
      <c r="F8425" s="3" t="s">
        <v>7691</v>
      </c>
      <c r="G8425" s="3" t="s">
        <v>83</v>
      </c>
      <c r="H8425" s="7" t="str">
        <f>HYPERLINK("http://www.ensembl.org/Mus_musculus/Gene/Summary?db=core;g=ENSMUSG00000105311","ENSMUSG00000105311")</f>
        <v>ENSMUSG00000105311</v>
      </c>
      <c r="I8425" s="7" t="str">
        <f>HYPERLINK("http://www.informatics.jax.org/marker/MGI:5753150","MGI:5753150")</f>
        <v>MGI:5753150</v>
      </c>
      <c r="J8425" s="4" t="s">
        <v>331</v>
      </c>
    </row>
    <row r="8426" spans="1:10" x14ac:dyDescent="0.25">
      <c r="A8426" s="2">
        <v>578.01625070945499</v>
      </c>
      <c r="B8426" s="3">
        <v>-2.2816902433857602</v>
      </c>
      <c r="C8426" s="5">
        <v>1.41310276802886E-51</v>
      </c>
      <c r="D8426" s="6">
        <v>3.952678948302E-50</v>
      </c>
      <c r="E8426" s="3" t="s">
        <v>1426</v>
      </c>
      <c r="F8426" s="3" t="s">
        <v>1427</v>
      </c>
      <c r="G8426" s="3">
        <v>74048</v>
      </c>
      <c r="H8426" s="7" t="str">
        <f>HYPERLINK("http://www.ensembl.org/Mus_musculus/Gene/Summary?db=core;g=ENSMUSG00000020101","ENSMUSG00000020101")</f>
        <v>ENSMUSG00000020101</v>
      </c>
      <c r="I8426" s="7" t="str">
        <f>HYPERLINK("http://www.informatics.jax.org/marker/MGI:1921298","MGI:1921298")</f>
        <v>MGI:1921298</v>
      </c>
      <c r="J8426" s="4" t="s">
        <v>12</v>
      </c>
    </row>
    <row r="8427" spans="1:10" x14ac:dyDescent="0.25">
      <c r="A8427" s="2">
        <v>7.5751817274839199</v>
      </c>
      <c r="B8427" s="3">
        <v>-2.2839287800650099</v>
      </c>
      <c r="C8427" s="5">
        <v>1.63603420149584E-9</v>
      </c>
      <c r="D8427" s="6">
        <v>8.6194481574934596E-9</v>
      </c>
      <c r="E8427" s="3" t="s">
        <v>7504</v>
      </c>
      <c r="F8427" s="3" t="s">
        <v>7505</v>
      </c>
      <c r="G8427" s="3">
        <v>93840</v>
      </c>
      <c r="H8427" s="7" t="str">
        <f>HYPERLINK("http://www.ensembl.org/Mus_musculus/Gene/Summary?db=core;g=ENSMUSG00000026556","ENSMUSG00000026556")</f>
        <v>ENSMUSG00000026556</v>
      </c>
      <c r="I8427" s="7" t="str">
        <f>HYPERLINK("http://www.informatics.jax.org/marker/MGI:2135272","MGI:2135272")</f>
        <v>MGI:2135272</v>
      </c>
      <c r="J8427" s="4" t="s">
        <v>12</v>
      </c>
    </row>
    <row r="8428" spans="1:10" x14ac:dyDescent="0.25">
      <c r="A8428" s="2">
        <v>231.511075639322</v>
      </c>
      <c r="B8428" s="3">
        <v>-2.2883835909630301</v>
      </c>
      <c r="C8428" s="5">
        <v>2.9292206058521E-78</v>
      </c>
      <c r="D8428" s="6">
        <v>1.63175791941818E-76</v>
      </c>
      <c r="E8428" s="3" t="s">
        <v>720</v>
      </c>
      <c r="F8428" s="3" t="s">
        <v>721</v>
      </c>
      <c r="G8428" s="3">
        <v>18441</v>
      </c>
      <c r="H8428" s="7" t="str">
        <f>HYPERLINK("http://www.ensembl.org/Mus_musculus/Gene/Summary?db=core;g=ENSMUSG00000027765","ENSMUSG00000027765")</f>
        <v>ENSMUSG00000027765</v>
      </c>
      <c r="I8428" s="7" t="str">
        <f>HYPERLINK("http://www.informatics.jax.org/marker/MGI:105049","MGI:105049")</f>
        <v>MGI:105049</v>
      </c>
      <c r="J8428" s="4" t="s">
        <v>12</v>
      </c>
    </row>
    <row r="8429" spans="1:10" x14ac:dyDescent="0.25">
      <c r="A8429" s="2">
        <v>132.128935972216</v>
      </c>
      <c r="B8429" s="3">
        <v>-2.29235972915497</v>
      </c>
      <c r="C8429" s="5">
        <v>4.9666776345004004E-56</v>
      </c>
      <c r="D8429" s="6">
        <v>1.5822759766130501E-54</v>
      </c>
      <c r="E8429" s="3" t="s">
        <v>1254</v>
      </c>
      <c r="F8429" s="3" t="s">
        <v>1255</v>
      </c>
      <c r="G8429" s="3">
        <v>67477</v>
      </c>
      <c r="H8429" s="7" t="str">
        <f>HYPERLINK("http://www.ensembl.org/Mus_musculus/Gene/Summary?db=core;g=ENSMUSG00000000686","ENSMUSG00000000686")</f>
        <v>ENSMUSG00000000686</v>
      </c>
      <c r="I8429" s="7" t="str">
        <f>HYPERLINK("http://www.informatics.jax.org/marker/MGI:1914727","MGI:1914727")</f>
        <v>MGI:1914727</v>
      </c>
      <c r="J8429" s="4" t="s">
        <v>12</v>
      </c>
    </row>
    <row r="8430" spans="1:10" x14ac:dyDescent="0.25">
      <c r="A8430" s="2">
        <v>158.422845879557</v>
      </c>
      <c r="B8430" s="3">
        <v>-2.30789026035883</v>
      </c>
      <c r="C8430" s="5">
        <v>6.5927100436021102E-46</v>
      </c>
      <c r="D8430" s="6">
        <v>1.58353522606375E-44</v>
      </c>
      <c r="E8430" s="3" t="s">
        <v>1658</v>
      </c>
      <c r="F8430" s="3" t="s">
        <v>1659</v>
      </c>
      <c r="G8430" s="3">
        <v>212398</v>
      </c>
      <c r="H8430" s="7" t="str">
        <f>HYPERLINK("http://www.ensembl.org/Mus_musculus/Gene/Summary?db=core;g=ENSMUSG00000047604","ENSMUSG00000047604")</f>
        <v>ENSMUSG00000047604</v>
      </c>
      <c r="I8430" s="7" t="str">
        <f>HYPERLINK("http://www.informatics.jax.org/marker/MGI:2673967","MGI:2673967")</f>
        <v>MGI:2673967</v>
      </c>
      <c r="J8430" s="4" t="s">
        <v>12</v>
      </c>
    </row>
    <row r="8431" spans="1:10" x14ac:dyDescent="0.25">
      <c r="A8431" s="2">
        <v>10.265198270139001</v>
      </c>
      <c r="B8431" s="3">
        <v>-2.3227770020143099</v>
      </c>
      <c r="C8431" s="5">
        <v>1.10902972133823E-9</v>
      </c>
      <c r="D8431" s="6">
        <v>5.93166967854353E-9</v>
      </c>
      <c r="E8431" s="3" t="s">
        <v>7392</v>
      </c>
      <c r="F8431" s="3" t="s">
        <v>7393</v>
      </c>
      <c r="G8431" s="3">
        <v>20776</v>
      </c>
      <c r="H8431" s="7" t="str">
        <f>HYPERLINK("http://www.ensembl.org/Mus_musculus/Gene/Summary?db=core;g=ENSMUSG00000049555","ENSMUSG00000049555")</f>
        <v>ENSMUSG00000049555</v>
      </c>
      <c r="I8431" s="7" t="str">
        <f>HYPERLINK("http://www.informatics.jax.org/marker/MGI:2159400","MGI:2159400")</f>
        <v>MGI:2159400</v>
      </c>
      <c r="J8431" s="4" t="s">
        <v>12</v>
      </c>
    </row>
    <row r="8432" spans="1:10" x14ac:dyDescent="0.25">
      <c r="A8432" s="2">
        <v>91.335071999011305</v>
      </c>
      <c r="B8432" s="3">
        <v>-2.3259732116646901</v>
      </c>
      <c r="C8432" s="5">
        <v>1.12529525266782E-55</v>
      </c>
      <c r="D8432" s="6">
        <v>3.5112060731976799E-54</v>
      </c>
      <c r="E8432" s="3" t="s">
        <v>1280</v>
      </c>
      <c r="F8432" s="3" t="s">
        <v>1281</v>
      </c>
      <c r="G8432" s="3">
        <v>20667</v>
      </c>
      <c r="H8432" s="7" t="str">
        <f>HYPERLINK("http://www.ensembl.org/Mus_musculus/Gene/Summary?db=core;g=ENSMUSG00000051817","ENSMUSG00000051817")</f>
        <v>ENSMUSG00000051817</v>
      </c>
      <c r="I8432" s="7" t="str">
        <f>HYPERLINK("http://www.informatics.jax.org/marker/MGI:98360","MGI:98360")</f>
        <v>MGI:98360</v>
      </c>
      <c r="J8432" s="4" t="s">
        <v>12</v>
      </c>
    </row>
    <row r="8433" spans="1:10" x14ac:dyDescent="0.25">
      <c r="A8433" s="2">
        <v>218.496246419709</v>
      </c>
      <c r="B8433" s="3">
        <v>-2.3274615736884599</v>
      </c>
      <c r="C8433" s="5">
        <v>9.6648446172715798E-65</v>
      </c>
      <c r="D8433" s="6">
        <v>3.9872538881296201E-63</v>
      </c>
      <c r="E8433" s="3" t="s">
        <v>970</v>
      </c>
      <c r="F8433" s="3" t="s">
        <v>971</v>
      </c>
      <c r="G8433" s="3">
        <v>233781</v>
      </c>
      <c r="H8433" s="7" t="str">
        <f>HYPERLINK("http://www.ensembl.org/Mus_musculus/Gene/Summary?db=core;g=ENSMUSG00000030657","ENSMUSG00000030657")</f>
        <v>ENSMUSG00000030657</v>
      </c>
      <c r="I8433" s="7" t="str">
        <f>HYPERLINK("http://www.informatics.jax.org/marker/MGI:2451073","MGI:2451073")</f>
        <v>MGI:2451073</v>
      </c>
      <c r="J8433" s="4" t="s">
        <v>12</v>
      </c>
    </row>
    <row r="8434" spans="1:10" x14ac:dyDescent="0.25">
      <c r="A8434" s="2">
        <v>5.82803077989049</v>
      </c>
      <c r="B8434" s="3">
        <v>-2.3346051605346898</v>
      </c>
      <c r="C8434" s="5">
        <v>2.90768041914594E-8</v>
      </c>
      <c r="D8434" s="6">
        <v>1.3810081374171E-7</v>
      </c>
      <c r="E8434" s="3" t="s">
        <v>8321</v>
      </c>
      <c r="F8434" s="3" t="s">
        <v>8322</v>
      </c>
      <c r="G8434" s="3">
        <v>407831</v>
      </c>
      <c r="H8434" s="7" t="str">
        <f>HYPERLINK("http://www.ensembl.org/Mus_musculus/Gene/Summary?db=core;g=ENSMUSG00000024168","ENSMUSG00000024168")</f>
        <v>ENSMUSG00000024168</v>
      </c>
      <c r="I8434" s="7" t="str">
        <f>HYPERLINK("http://www.informatics.jax.org/marker/MGI:3039635","MGI:3039635")</f>
        <v>MGI:3039635</v>
      </c>
      <c r="J8434" s="4" t="s">
        <v>12</v>
      </c>
    </row>
    <row r="8435" spans="1:10" x14ac:dyDescent="0.25">
      <c r="A8435" s="2">
        <v>107.814587867551</v>
      </c>
      <c r="B8435" s="3">
        <v>-2.3351598033705701</v>
      </c>
      <c r="C8435" s="5">
        <v>9.0491202377369805E-46</v>
      </c>
      <c r="D8435" s="6">
        <v>2.16301395258392E-44</v>
      </c>
      <c r="E8435" s="3" t="s">
        <v>1666</v>
      </c>
      <c r="F8435" s="3" t="s">
        <v>1667</v>
      </c>
      <c r="G8435" s="3">
        <v>170835</v>
      </c>
      <c r="H8435" s="7" t="str">
        <f>HYPERLINK("http://www.ensembl.org/Mus_musculus/Gene/Summary?db=core;g=ENSMUSG00000034570","ENSMUSG00000034570")</f>
        <v>ENSMUSG00000034570</v>
      </c>
      <c r="I8435" s="7" t="str">
        <f>HYPERLINK("http://www.informatics.jax.org/marker/MGI:2158663","MGI:2158663")</f>
        <v>MGI:2158663</v>
      </c>
      <c r="J8435" s="4" t="s">
        <v>12</v>
      </c>
    </row>
    <row r="8436" spans="1:10" x14ac:dyDescent="0.25">
      <c r="A8436" s="2">
        <v>6.7761495528629299</v>
      </c>
      <c r="B8436" s="3">
        <v>-2.3537427211109101</v>
      </c>
      <c r="C8436" s="5">
        <v>4.4902437881410498E-8</v>
      </c>
      <c r="D8436" s="6">
        <v>2.0920494962584901E-7</v>
      </c>
      <c r="E8436" s="3" t="s">
        <v>8481</v>
      </c>
      <c r="F8436" s="3" t="s">
        <v>8482</v>
      </c>
      <c r="G8436" s="3">
        <v>108797</v>
      </c>
      <c r="H8436" s="7" t="str">
        <f>HYPERLINK("http://www.ensembl.org/Mus_musculus/Gene/Summary?db=core;g=ENSMUSG00000057706","ENSMUSG00000057706")</f>
        <v>ENSMUSG00000057706</v>
      </c>
      <c r="I8436" s="7" t="str">
        <f>HYPERLINK("http://www.informatics.jax.org/marker/MGI:1918252","MGI:1918252")</f>
        <v>MGI:1918252</v>
      </c>
      <c r="J8436" s="4" t="s">
        <v>12</v>
      </c>
    </row>
    <row r="8437" spans="1:10" x14ac:dyDescent="0.25">
      <c r="A8437" s="2">
        <v>581.05728973135604</v>
      </c>
      <c r="B8437" s="3">
        <v>-2.3562578356520198</v>
      </c>
      <c r="C8437" s="5">
        <v>4.8850437140478E-130</v>
      </c>
      <c r="D8437" s="6">
        <v>7.0833133853693096E-128</v>
      </c>
      <c r="E8437" s="3" t="s">
        <v>282</v>
      </c>
      <c r="F8437" s="3" t="s">
        <v>283</v>
      </c>
      <c r="G8437" s="3">
        <v>17289</v>
      </c>
      <c r="H8437" s="7" t="str">
        <f>HYPERLINK("http://www.ensembl.org/Mus_musculus/Gene/Summary?db=core;g=ENSMUSG00000014361","ENSMUSG00000014361")</f>
        <v>ENSMUSG00000014361</v>
      </c>
      <c r="I8437" s="7" t="str">
        <f>HYPERLINK("http://www.informatics.jax.org/marker/MGI:96965","MGI:96965")</f>
        <v>MGI:96965</v>
      </c>
      <c r="J8437" s="4" t="s">
        <v>12</v>
      </c>
    </row>
    <row r="8438" spans="1:10" x14ac:dyDescent="0.25">
      <c r="A8438" s="2">
        <v>108.644098776045</v>
      </c>
      <c r="B8438" s="3">
        <v>-2.3582114634499201</v>
      </c>
      <c r="C8438" s="5">
        <v>2.1191259896813901E-36</v>
      </c>
      <c r="D8438" s="6">
        <v>3.8586486164835701E-35</v>
      </c>
      <c r="E8438" s="3" t="s">
        <v>2183</v>
      </c>
      <c r="F8438" s="3" t="s">
        <v>2184</v>
      </c>
      <c r="G8438" s="3">
        <v>77976</v>
      </c>
      <c r="H8438" s="7" t="str">
        <f>HYPERLINK("http://www.ensembl.org/Mus_musculus/Gene/Summary?db=core;g=ENSMUSG00000020032","ENSMUSG00000020032")</f>
        <v>ENSMUSG00000020032</v>
      </c>
      <c r="I8438" s="7" t="str">
        <f>HYPERLINK("http://www.informatics.jax.org/marker/MGI:1925226","MGI:1925226")</f>
        <v>MGI:1925226</v>
      </c>
      <c r="J8438" s="4" t="s">
        <v>12</v>
      </c>
    </row>
    <row r="8439" spans="1:10" x14ac:dyDescent="0.25">
      <c r="A8439" s="2">
        <v>513.03491310221602</v>
      </c>
      <c r="B8439" s="3">
        <v>-2.3585976291518</v>
      </c>
      <c r="C8439" s="5">
        <v>2.5441423700840399E-114</v>
      </c>
      <c r="D8439" s="6">
        <v>2.6829137720886201E-112</v>
      </c>
      <c r="E8439" s="3" t="s">
        <v>386</v>
      </c>
      <c r="F8439" s="3" t="s">
        <v>387</v>
      </c>
      <c r="G8439" s="3">
        <v>52468</v>
      </c>
      <c r="H8439" s="7" t="str">
        <f>HYPERLINK("http://www.ensembl.org/Mus_musculus/Gene/Summary?db=core;g=ENSMUSG00000078429","ENSMUSG00000078429")</f>
        <v>ENSMUSG00000078429</v>
      </c>
      <c r="I8439" s="7" t="str">
        <f>HYPERLINK("http://www.informatics.jax.org/marker/MGI:1098748","MGI:1098748")</f>
        <v>MGI:1098748</v>
      </c>
      <c r="J8439" s="4" t="s">
        <v>12</v>
      </c>
    </row>
    <row r="8440" spans="1:10" x14ac:dyDescent="0.25">
      <c r="A8440" s="2">
        <v>6.8564505095555202</v>
      </c>
      <c r="B8440" s="3">
        <v>-2.3902010441838799</v>
      </c>
      <c r="C8440" s="5">
        <v>1.3775434184654101E-9</v>
      </c>
      <c r="D8440" s="6">
        <v>7.3063895137541196E-9</v>
      </c>
      <c r="E8440" s="3" t="s">
        <v>7454</v>
      </c>
      <c r="F8440" s="3" t="s">
        <v>7455</v>
      </c>
      <c r="G8440" s="3">
        <v>72315</v>
      </c>
      <c r="H8440" s="7" t="str">
        <f>HYPERLINK("http://www.ensembl.org/Mus_musculus/Gene/Summary?db=core;g=ENSMUSG00000041617","ENSMUSG00000041617")</f>
        <v>ENSMUSG00000041617</v>
      </c>
      <c r="I8440" s="7" t="str">
        <f>HYPERLINK("http://www.informatics.jax.org/marker/MGI:1919565","MGI:1919565")</f>
        <v>MGI:1919565</v>
      </c>
      <c r="J8440" s="4" t="s">
        <v>12</v>
      </c>
    </row>
    <row r="8441" spans="1:10" x14ac:dyDescent="0.25">
      <c r="A8441" s="2">
        <v>111.83245575547799</v>
      </c>
      <c r="B8441" s="3">
        <v>-2.3922862603311099</v>
      </c>
      <c r="C8441" s="5">
        <v>1.1085065655496E-44</v>
      </c>
      <c r="D8441" s="6">
        <v>2.5778006453582601E-43</v>
      </c>
      <c r="E8441" s="3" t="s">
        <v>1712</v>
      </c>
      <c r="F8441" s="3" t="s">
        <v>1713</v>
      </c>
      <c r="G8441" s="3">
        <v>14766</v>
      </c>
      <c r="H8441" s="7" t="str">
        <f>HYPERLINK("http://www.ensembl.org/Mus_musculus/Gene/Summary?db=core;g=ENSMUSG00000031785","ENSMUSG00000031785")</f>
        <v>ENSMUSG00000031785</v>
      </c>
      <c r="I8441" s="7" t="str">
        <f>HYPERLINK("http://www.informatics.jax.org/marker/MGI:1340051","MGI:1340051")</f>
        <v>MGI:1340051</v>
      </c>
      <c r="J8441" s="4" t="s">
        <v>12</v>
      </c>
    </row>
    <row r="8442" spans="1:10" x14ac:dyDescent="0.25">
      <c r="A8442" s="2">
        <v>340.647164903987</v>
      </c>
      <c r="B8442" s="3">
        <v>-2.4172699859912798</v>
      </c>
      <c r="C8442" s="5">
        <v>7.3641869122415903E-131</v>
      </c>
      <c r="D8442" s="6">
        <v>1.09189297676244E-128</v>
      </c>
      <c r="E8442" s="3" t="s">
        <v>276</v>
      </c>
      <c r="F8442" s="3" t="s">
        <v>277</v>
      </c>
      <c r="G8442" s="3">
        <v>19651</v>
      </c>
      <c r="H8442" s="7" t="str">
        <f>HYPERLINK("http://www.ensembl.org/Mus_musculus/Gene/Summary?db=core;g=ENSMUSG00000031666","ENSMUSG00000031666")</f>
        <v>ENSMUSG00000031666</v>
      </c>
      <c r="I8442" s="7" t="str">
        <f>HYPERLINK("http://www.informatics.jax.org/marker/MGI:105085","MGI:105085")</f>
        <v>MGI:105085</v>
      </c>
      <c r="J8442" s="4" t="s">
        <v>12</v>
      </c>
    </row>
    <row r="8443" spans="1:10" x14ac:dyDescent="0.25">
      <c r="A8443" s="2">
        <v>103.806720990092</v>
      </c>
      <c r="B8443" s="3">
        <v>-2.42714223061604</v>
      </c>
      <c r="C8443" s="5">
        <v>8.6455203423727705E-49</v>
      </c>
      <c r="D8443" s="6">
        <v>2.2701685905671201E-47</v>
      </c>
      <c r="E8443" s="3" t="s">
        <v>1518</v>
      </c>
      <c r="F8443" s="3" t="s">
        <v>1519</v>
      </c>
      <c r="G8443" s="3">
        <v>18569</v>
      </c>
      <c r="H8443" s="7" t="str">
        <f>HYPERLINK("http://www.ensembl.org/Mus_musculus/Gene/Summary?db=core;g=ENSMUSG00000024975","ENSMUSG00000024975")</f>
        <v>ENSMUSG00000024975</v>
      </c>
      <c r="I8443" s="7" t="str">
        <f>HYPERLINK("http://www.informatics.jax.org/marker/MGI:107490","MGI:107490")</f>
        <v>MGI:107490</v>
      </c>
      <c r="J8443" s="4" t="s">
        <v>12</v>
      </c>
    </row>
    <row r="8444" spans="1:10" x14ac:dyDescent="0.25">
      <c r="A8444" s="2">
        <v>735.75409770067097</v>
      </c>
      <c r="B8444" s="3">
        <v>-2.4283641102327902</v>
      </c>
      <c r="C8444" s="5">
        <v>6.3227096792352196E-162</v>
      </c>
      <c r="D8444" s="6">
        <v>1.53930660338912E-159</v>
      </c>
      <c r="E8444" s="3" t="s">
        <v>172</v>
      </c>
      <c r="F8444" s="3" t="s">
        <v>173</v>
      </c>
      <c r="G8444" s="3">
        <v>243219</v>
      </c>
      <c r="H8444" s="7" t="str">
        <f>HYPERLINK("http://www.ensembl.org/Mus_musculus/Gene/Summary?db=core;g=ENSMUSG00000051339","ENSMUSG00000051339")</f>
        <v>ENSMUSG00000051339</v>
      </c>
      <c r="I8444" s="7" t="str">
        <f>HYPERLINK("http://www.informatics.jax.org/marker/MGI:1920194","MGI:1920194")</f>
        <v>MGI:1920194</v>
      </c>
      <c r="J8444" s="4" t="s">
        <v>12</v>
      </c>
    </row>
    <row r="8445" spans="1:10" x14ac:dyDescent="0.25">
      <c r="A8445" s="2">
        <v>106.21805789846201</v>
      </c>
      <c r="B8445" s="3">
        <v>-2.4432453767431199</v>
      </c>
      <c r="C8445" s="5">
        <v>2.0510361326186398E-34</v>
      </c>
      <c r="D8445" s="6">
        <v>3.4807601149087398E-33</v>
      </c>
      <c r="E8445" s="3" t="s">
        <v>2341</v>
      </c>
      <c r="F8445" s="3" t="s">
        <v>2342</v>
      </c>
      <c r="G8445" s="3">
        <v>74614</v>
      </c>
      <c r="H8445" s="7" t="str">
        <f>HYPERLINK("http://www.ensembl.org/Mus_musculus/Gene/Summary?db=core;g=ENSMUSG00000027670","ENSMUSG00000027670")</f>
        <v>ENSMUSG00000027670</v>
      </c>
      <c r="I8445" s="7" t="str">
        <f>HYPERLINK("http://www.informatics.jax.org/marker/MGI:1921864","MGI:1921864")</f>
        <v>MGI:1921864</v>
      </c>
      <c r="J8445" s="4" t="s">
        <v>12</v>
      </c>
    </row>
    <row r="8446" spans="1:10" x14ac:dyDescent="0.25">
      <c r="A8446" s="2">
        <v>720.68786228251201</v>
      </c>
      <c r="B8446" s="3">
        <v>-2.4461468140499099</v>
      </c>
      <c r="C8446" s="5">
        <v>1.12758566107354E-102</v>
      </c>
      <c r="D8446" s="6">
        <v>9.2265515503611E-101</v>
      </c>
      <c r="E8446" s="3" t="s">
        <v>494</v>
      </c>
      <c r="F8446" s="3" t="s">
        <v>495</v>
      </c>
      <c r="G8446" s="3">
        <v>97998</v>
      </c>
      <c r="H8446" s="7" t="str">
        <f>HYPERLINK("http://www.ensembl.org/Mus_musculus/Gene/Summary?db=core;g=ENSMUSG00000022419","ENSMUSG00000022419")</f>
        <v>ENSMUSG00000022419</v>
      </c>
      <c r="I8446" s="7" t="str">
        <f>HYPERLINK("http://www.informatics.jax.org/marker/MGI:2146322","MGI:2146322")</f>
        <v>MGI:2146322</v>
      </c>
      <c r="J8446" s="4" t="s">
        <v>12</v>
      </c>
    </row>
    <row r="8447" spans="1:10" x14ac:dyDescent="0.25">
      <c r="A8447" s="2">
        <v>5.2923877647430499</v>
      </c>
      <c r="B8447" s="3">
        <v>-2.47165313718788</v>
      </c>
      <c r="C8447" s="5">
        <v>9.3215698183987708E-9</v>
      </c>
      <c r="D8447" s="6">
        <v>4.6396102175371998E-8</v>
      </c>
      <c r="E8447" s="3" t="s">
        <v>7940</v>
      </c>
      <c r="F8447" s="3" t="s">
        <v>7941</v>
      </c>
      <c r="G8447" s="3">
        <v>268451</v>
      </c>
      <c r="H8447" s="7" t="str">
        <f>HYPERLINK("http://www.ensembl.org/Mus_musculus/Gene/Summary?db=core;g=ENSMUSG00000017639","ENSMUSG00000017639")</f>
        <v>ENSMUSG00000017639</v>
      </c>
      <c r="I8447" s="7" t="str">
        <f>HYPERLINK("http://www.informatics.jax.org/marker/MGI:2442920","MGI:2442920")</f>
        <v>MGI:2442920</v>
      </c>
      <c r="J8447" s="4" t="s">
        <v>12</v>
      </c>
    </row>
    <row r="8448" spans="1:10" x14ac:dyDescent="0.25">
      <c r="A8448" s="2">
        <v>6.0789956465289201</v>
      </c>
      <c r="B8448" s="3">
        <v>-2.4738511694498202</v>
      </c>
      <c r="C8448" s="5">
        <v>1.2654266885525499E-9</v>
      </c>
      <c r="D8448" s="6">
        <v>6.7352805123498798E-9</v>
      </c>
      <c r="E8448" s="3" t="s">
        <v>7428</v>
      </c>
      <c r="F8448" s="3" t="s">
        <v>7429</v>
      </c>
      <c r="G8448" s="3">
        <v>109272</v>
      </c>
      <c r="H8448" s="7" t="str">
        <f>HYPERLINK("http://www.ensembl.org/Mus_musculus/Gene/Summary?db=core;g=ENSMUSG00000020061","ENSMUSG00000020061")</f>
        <v>ENSMUSG00000020061</v>
      </c>
      <c r="I8448" s="7" t="str">
        <f>HYPERLINK("http://www.informatics.jax.org/marker/MGI:1336213","MGI:1336213")</f>
        <v>MGI:1336213</v>
      </c>
      <c r="J8448" s="4" t="s">
        <v>12</v>
      </c>
    </row>
    <row r="8449" spans="1:10" x14ac:dyDescent="0.25">
      <c r="A8449" s="2">
        <v>2.88879221406409</v>
      </c>
      <c r="B8449" s="3">
        <v>-2.4781507772741702</v>
      </c>
      <c r="C8449" s="5">
        <v>5.50726644428499E-8</v>
      </c>
      <c r="D8449" s="6">
        <v>2.5505705561601701E-7</v>
      </c>
      <c r="E8449" s="3" t="s">
        <v>8533</v>
      </c>
      <c r="F8449" s="3" t="s">
        <v>8534</v>
      </c>
      <c r="G8449" s="3" t="s">
        <v>83</v>
      </c>
      <c r="H8449" s="7" t="str">
        <f>HYPERLINK("http://www.ensembl.org/Mus_musculus/Gene/Summary?db=core;g=ENSMUSG00000084980","ENSMUSG00000084980")</f>
        <v>ENSMUSG00000084980</v>
      </c>
      <c r="I8449" s="7" t="str">
        <f>HYPERLINK("http://www.informatics.jax.org/marker/MGI:1921295","MGI:1921295")</f>
        <v>MGI:1921295</v>
      </c>
      <c r="J8449" s="4" t="s">
        <v>932</v>
      </c>
    </row>
    <row r="8450" spans="1:10" x14ac:dyDescent="0.25">
      <c r="A8450" s="2">
        <v>24.261914434906501</v>
      </c>
      <c r="B8450" s="3">
        <v>-2.5002311728898401</v>
      </c>
      <c r="C8450" s="5">
        <v>2.9173468852841199E-18</v>
      </c>
      <c r="D8450" s="6">
        <v>2.67084868049224E-17</v>
      </c>
      <c r="E8450" s="3" t="s">
        <v>4325</v>
      </c>
      <c r="F8450" s="3" t="s">
        <v>4326</v>
      </c>
      <c r="G8450" s="3">
        <v>244202</v>
      </c>
      <c r="H8450" s="7" t="str">
        <f>HYPERLINK("http://www.ensembl.org/Mus_musculus/Gene/Summary?db=core;g=ENSMUSG00000049709","ENSMUSG00000049709")</f>
        <v>ENSMUSG00000049709</v>
      </c>
      <c r="I8450" s="7" t="str">
        <f>HYPERLINK("http://www.informatics.jax.org/marker/MGI:2444084","MGI:2444084")</f>
        <v>MGI:2444084</v>
      </c>
      <c r="J8450" s="4" t="s">
        <v>12</v>
      </c>
    </row>
    <row r="8451" spans="1:10" x14ac:dyDescent="0.25">
      <c r="A8451" s="2">
        <v>744.32720800179095</v>
      </c>
      <c r="B8451" s="3">
        <v>-2.52002816783562</v>
      </c>
      <c r="C8451" s="5">
        <v>4.0337044343593999E-58</v>
      </c>
      <c r="D8451" s="6">
        <v>1.3551047946433999E-56</v>
      </c>
      <c r="E8451" s="3" t="s">
        <v>1190</v>
      </c>
      <c r="F8451" s="3" t="s">
        <v>1191</v>
      </c>
      <c r="G8451" s="3">
        <v>19735</v>
      </c>
      <c r="H8451" s="7" t="str">
        <f>HYPERLINK("http://www.ensembl.org/Mus_musculus/Gene/Summary?db=core;g=ENSMUSG00000026360","ENSMUSG00000026360")</f>
        <v>ENSMUSG00000026360</v>
      </c>
      <c r="I8451" s="7" t="str">
        <f>HYPERLINK("http://www.informatics.jax.org/marker/MGI:1098271","MGI:1098271")</f>
        <v>MGI:1098271</v>
      </c>
      <c r="J8451" s="4" t="s">
        <v>12</v>
      </c>
    </row>
    <row r="8452" spans="1:10" x14ac:dyDescent="0.25">
      <c r="A8452" s="2">
        <v>179.225929909683</v>
      </c>
      <c r="B8452" s="3">
        <v>-2.5205670665093001</v>
      </c>
      <c r="C8452" s="5">
        <v>5.88061829283258E-52</v>
      </c>
      <c r="D8452" s="6">
        <v>1.6566541819236901E-50</v>
      </c>
      <c r="E8452" s="3" t="s">
        <v>1416</v>
      </c>
      <c r="F8452" s="3" t="s">
        <v>1417</v>
      </c>
      <c r="G8452" s="3">
        <v>546611</v>
      </c>
      <c r="H8452" s="7" t="str">
        <f>HYPERLINK("http://www.ensembl.org/Mus_musculus/Gene/Summary?db=core;g=ENSMUSG00000090799","ENSMUSG00000090799")</f>
        <v>ENSMUSG00000090799</v>
      </c>
      <c r="I8452" s="7" t="str">
        <f>HYPERLINK("http://www.informatics.jax.org/marker/MGI:3644593","MGI:3644593")</f>
        <v>MGI:3644593</v>
      </c>
      <c r="J8452" s="4" t="s">
        <v>12</v>
      </c>
    </row>
    <row r="8453" spans="1:10" x14ac:dyDescent="0.25">
      <c r="A8453" s="2">
        <v>154.71671577954299</v>
      </c>
      <c r="B8453" s="3">
        <v>-2.56130297558816</v>
      </c>
      <c r="C8453" s="5">
        <v>1.2788593257678001E-60</v>
      </c>
      <c r="D8453" s="6">
        <v>4.7138515708675001E-59</v>
      </c>
      <c r="E8453" s="3" t="s">
        <v>1086</v>
      </c>
      <c r="F8453" s="3" t="s">
        <v>1087</v>
      </c>
      <c r="G8453" s="3">
        <v>268512</v>
      </c>
      <c r="H8453" s="7" t="str">
        <f>HYPERLINK("http://www.ensembl.org/Mus_musculus/Gene/Summary?db=core;g=ENSMUSG00000039908","ENSMUSG00000039908")</f>
        <v>ENSMUSG00000039908</v>
      </c>
      <c r="I8453" s="7" t="str">
        <f>HYPERLINK("http://www.informatics.jax.org/marker/MGI:2444589","MGI:2444589")</f>
        <v>MGI:2444589</v>
      </c>
      <c r="J8453" s="4" t="s">
        <v>12</v>
      </c>
    </row>
    <row r="8454" spans="1:10" x14ac:dyDescent="0.25">
      <c r="A8454" s="2">
        <v>241.92229266315701</v>
      </c>
      <c r="B8454" s="3">
        <v>-2.5700920975366799</v>
      </c>
      <c r="C8454" s="5">
        <v>1.12205844514065E-55</v>
      </c>
      <c r="D8454" s="6">
        <v>3.50665491888648E-54</v>
      </c>
      <c r="E8454" s="3" t="s">
        <v>1278</v>
      </c>
      <c r="F8454" s="3" t="s">
        <v>1279</v>
      </c>
      <c r="G8454" s="3">
        <v>14605</v>
      </c>
      <c r="H8454" s="7" t="str">
        <f>HYPERLINK("http://www.ensembl.org/Mus_musculus/Gene/Summary?db=core;g=ENSMUSG00000031431","ENSMUSG00000031431")</f>
        <v>ENSMUSG00000031431</v>
      </c>
      <c r="I8454" s="7" t="str">
        <f>HYPERLINK("http://www.informatics.jax.org/marker/MGI:1196284","MGI:1196284")</f>
        <v>MGI:1196284</v>
      </c>
      <c r="J8454" s="4" t="s">
        <v>12</v>
      </c>
    </row>
    <row r="8455" spans="1:10" x14ac:dyDescent="0.25">
      <c r="A8455" s="2">
        <v>13.0742966798104</v>
      </c>
      <c r="B8455" s="3">
        <v>-2.5756182956885101</v>
      </c>
      <c r="C8455" s="5">
        <v>3.6830813682777298E-12</v>
      </c>
      <c r="D8455" s="6">
        <v>2.3930927374773299E-11</v>
      </c>
      <c r="E8455" s="3" t="s">
        <v>6087</v>
      </c>
      <c r="F8455" s="3" t="s">
        <v>6088</v>
      </c>
      <c r="G8455" s="3">
        <v>13199</v>
      </c>
      <c r="H8455" s="7" t="str">
        <f>HYPERLINK("http://www.ensembl.org/Mus_musculus/Gene/Summary?db=core;g=ENSMUSG00000059213","ENSMUSG00000059213")</f>
        <v>ENSMUSG00000059213</v>
      </c>
      <c r="I8455" s="7" t="str">
        <f>HYPERLINK("http://www.informatics.jax.org/marker/MGI:108101","MGI:108101")</f>
        <v>MGI:108101</v>
      </c>
      <c r="J8455" s="4" t="s">
        <v>12</v>
      </c>
    </row>
    <row r="8456" spans="1:10" x14ac:dyDescent="0.25">
      <c r="A8456" s="2">
        <v>17.2724073140025</v>
      </c>
      <c r="B8456" s="3">
        <v>-2.58269149670432</v>
      </c>
      <c r="C8456" s="5">
        <v>6.00665902587475E-12</v>
      </c>
      <c r="D8456" s="6">
        <v>3.8247115269696499E-11</v>
      </c>
      <c r="E8456" s="3" t="s">
        <v>6211</v>
      </c>
      <c r="F8456" s="3" t="s">
        <v>6212</v>
      </c>
      <c r="G8456" s="3">
        <v>105171</v>
      </c>
      <c r="H8456" s="7" t="str">
        <f>HYPERLINK("http://www.ensembl.org/Mus_musculus/Gene/Summary?db=core;g=ENSMUSG00000074794","ENSMUSG00000074794")</f>
        <v>ENSMUSG00000074794</v>
      </c>
      <c r="I8456" s="7" t="str">
        <f>HYPERLINK("http://www.informatics.jax.org/marker/MGI:2145242","MGI:2145242")</f>
        <v>MGI:2145242</v>
      </c>
      <c r="J8456" s="4" t="s">
        <v>12</v>
      </c>
    </row>
    <row r="8457" spans="1:10" x14ac:dyDescent="0.25">
      <c r="A8457" s="2">
        <v>75.944791711493195</v>
      </c>
      <c r="B8457" s="3">
        <v>-2.5830560260732098</v>
      </c>
      <c r="C8457" s="5">
        <v>1.05342099007641E-55</v>
      </c>
      <c r="D8457" s="6">
        <v>3.2973749086201301E-54</v>
      </c>
      <c r="E8457" s="3" t="s">
        <v>1276</v>
      </c>
      <c r="F8457" s="3" t="s">
        <v>1277</v>
      </c>
      <c r="G8457" s="3">
        <v>71862</v>
      </c>
      <c r="H8457" s="7" t="str">
        <f>HYPERLINK("http://www.ensembl.org/Mus_musculus/Gene/Summary?db=core;g=ENSMUSG00000037661","ENSMUSG00000037661")</f>
        <v>ENSMUSG00000037661</v>
      </c>
      <c r="I8457" s="7" t="str">
        <f>HYPERLINK("http://www.informatics.jax.org/marker/MGI:1919112","MGI:1919112")</f>
        <v>MGI:1919112</v>
      </c>
      <c r="J8457" s="4" t="s">
        <v>12</v>
      </c>
    </row>
    <row r="8458" spans="1:10" x14ac:dyDescent="0.25">
      <c r="A8458" s="2">
        <v>117.607993484064</v>
      </c>
      <c r="B8458" s="3">
        <v>-2.5889489954465099</v>
      </c>
      <c r="C8458" s="5">
        <v>3.2531408892534999E-25</v>
      </c>
      <c r="D8458" s="6">
        <v>3.9920310103347204E-24</v>
      </c>
      <c r="E8458" s="3" t="s">
        <v>3234</v>
      </c>
      <c r="F8458" s="3" t="s">
        <v>3235</v>
      </c>
      <c r="G8458" s="3">
        <v>74901</v>
      </c>
      <c r="H8458" s="7" t="str">
        <f>HYPERLINK("http://www.ensembl.org/Mus_musculus/Gene/Summary?db=core;g=ENSMUSG00000055675","ENSMUSG00000055675")</f>
        <v>ENSMUSG00000055675</v>
      </c>
      <c r="I8458" s="7" t="str">
        <f>HYPERLINK("http://www.informatics.jax.org/marker/MGI:1922151","MGI:1922151")</f>
        <v>MGI:1922151</v>
      </c>
      <c r="J8458" s="4" t="s">
        <v>12</v>
      </c>
    </row>
    <row r="8459" spans="1:10" x14ac:dyDescent="0.25">
      <c r="A8459" s="2">
        <v>13.4804395862009</v>
      </c>
      <c r="B8459" s="3">
        <v>-2.6010873468838902</v>
      </c>
      <c r="C8459" s="5">
        <v>1.23224413724929E-11</v>
      </c>
      <c r="D8459" s="6">
        <v>7.6462726200616899E-11</v>
      </c>
      <c r="E8459" s="3" t="s">
        <v>6373</v>
      </c>
      <c r="F8459" s="3" t="s">
        <v>6374</v>
      </c>
      <c r="G8459" s="3">
        <v>14632</v>
      </c>
      <c r="H8459" s="7" t="str">
        <f>HYPERLINK("http://www.ensembl.org/Mus_musculus/Gene/Summary?db=core;g=ENSMUSG00000025407","ENSMUSG00000025407")</f>
        <v>ENSMUSG00000025407</v>
      </c>
      <c r="I8459" s="7" t="str">
        <f>HYPERLINK("http://www.informatics.jax.org/marker/MGI:95727","MGI:95727")</f>
        <v>MGI:95727</v>
      </c>
      <c r="J8459" s="4" t="s">
        <v>12</v>
      </c>
    </row>
    <row r="8460" spans="1:10" x14ac:dyDescent="0.25">
      <c r="A8460" s="2">
        <v>10.712229376314999</v>
      </c>
      <c r="B8460" s="3">
        <v>-2.6043538367077699</v>
      </c>
      <c r="C8460" s="5">
        <v>3.7290737361975799E-13</v>
      </c>
      <c r="D8460" s="6">
        <v>2.5694386470236301E-12</v>
      </c>
      <c r="E8460" s="3" t="s">
        <v>5741</v>
      </c>
      <c r="F8460" s="3" t="s">
        <v>5742</v>
      </c>
      <c r="G8460" s="3" t="s">
        <v>83</v>
      </c>
      <c r="H8460" s="7" t="str">
        <f>HYPERLINK("http://www.ensembl.org/Mus_musculus/Gene/Summary?db=core;g=ENSMUSG00000097654","ENSMUSG00000097654")</f>
        <v>ENSMUSG00000097654</v>
      </c>
      <c r="I8460" s="7" t="str">
        <f>HYPERLINK("http://www.informatics.jax.org/marker/MGI:5477208","MGI:5477208")</f>
        <v>MGI:5477208</v>
      </c>
      <c r="J8460" s="4" t="s">
        <v>932</v>
      </c>
    </row>
    <row r="8461" spans="1:10" x14ac:dyDescent="0.25">
      <c r="A8461" s="2">
        <v>8.5508889674702697</v>
      </c>
      <c r="B8461" s="3">
        <v>-2.6200144468217799</v>
      </c>
      <c r="C8461" s="5">
        <v>1.41919627164342E-11</v>
      </c>
      <c r="D8461" s="6">
        <v>8.7759644016332103E-11</v>
      </c>
      <c r="E8461" s="3" t="s">
        <v>6395</v>
      </c>
      <c r="F8461" s="3" t="s">
        <v>6396</v>
      </c>
      <c r="G8461" s="3">
        <v>68507</v>
      </c>
      <c r="H8461" s="7" t="str">
        <f>HYPERLINK("http://www.ensembl.org/Mus_musculus/Gene/Summary?db=core;g=ENSMUSG00000026458","ENSMUSG00000026458")</f>
        <v>ENSMUSG00000026458</v>
      </c>
      <c r="I8461" s="7" t="str">
        <f>HYPERLINK("http://www.informatics.jax.org/marker/MGI:1915757","MGI:1915757")</f>
        <v>MGI:1915757</v>
      </c>
      <c r="J8461" s="4" t="s">
        <v>12</v>
      </c>
    </row>
    <row r="8462" spans="1:10" x14ac:dyDescent="0.25">
      <c r="A8462" s="2">
        <v>531.87862876572694</v>
      </c>
      <c r="B8462" s="3">
        <v>-2.6233192555865701</v>
      </c>
      <c r="C8462" s="5">
        <v>1.31302694373162E-93</v>
      </c>
      <c r="D8462" s="6">
        <v>9.5194453420542695E-92</v>
      </c>
      <c r="E8462" s="3" t="s">
        <v>556</v>
      </c>
      <c r="F8462" s="3" t="s">
        <v>557</v>
      </c>
      <c r="G8462" s="3">
        <v>74760</v>
      </c>
      <c r="H8462" s="7" t="str">
        <f>HYPERLINK("http://www.ensembl.org/Mus_musculus/Gene/Summary?db=core;g=ENSMUSG00000024663","ENSMUSG00000024663")</f>
        <v>ENSMUSG00000024663</v>
      </c>
      <c r="I8462" s="7" t="str">
        <f>HYPERLINK("http://www.informatics.jax.org/marker/MGI:1922010","MGI:1922010")</f>
        <v>MGI:1922010</v>
      </c>
      <c r="J8462" s="4" t="s">
        <v>12</v>
      </c>
    </row>
    <row r="8463" spans="1:10" x14ac:dyDescent="0.25">
      <c r="A8463" s="2">
        <v>2880.52130694166</v>
      </c>
      <c r="B8463" s="3">
        <v>-2.64622917610266</v>
      </c>
      <c r="C8463" s="5">
        <v>9.3154737791749201E-164</v>
      </c>
      <c r="D8463" s="6">
        <v>2.4171203016490701E-161</v>
      </c>
      <c r="E8463" s="3" t="s">
        <v>162</v>
      </c>
      <c r="F8463" s="3" t="s">
        <v>163</v>
      </c>
      <c r="G8463" s="3">
        <v>240168</v>
      </c>
      <c r="H8463" s="7" t="str">
        <f>HYPERLINK("http://www.ensembl.org/Mus_musculus/Gene/Summary?db=core;g=ENSMUSG00000071042","ENSMUSG00000071042")</f>
        <v>ENSMUSG00000071042</v>
      </c>
      <c r="I8463" s="7" t="str">
        <f>HYPERLINK("http://www.informatics.jax.org/marker/MGI:3028579","MGI:3028579")</f>
        <v>MGI:3028579</v>
      </c>
      <c r="J8463" s="4" t="s">
        <v>12</v>
      </c>
    </row>
    <row r="8464" spans="1:10" x14ac:dyDescent="0.25">
      <c r="A8464" s="2">
        <v>198.964153066129</v>
      </c>
      <c r="B8464" s="3">
        <v>-2.6594514255506101</v>
      </c>
      <c r="C8464" s="5">
        <v>6.3283733984600999E-71</v>
      </c>
      <c r="D8464" s="6">
        <v>2.9784134467215597E-69</v>
      </c>
      <c r="E8464" s="3" t="s">
        <v>850</v>
      </c>
      <c r="F8464" s="3" t="s">
        <v>851</v>
      </c>
      <c r="G8464" s="3">
        <v>27029</v>
      </c>
      <c r="H8464" s="7" t="str">
        <f>HYPERLINK("http://www.ensembl.org/Mus_musculus/Gene/Summary?db=core;g=ENSMUSG00000005043","ENSMUSG00000005043")</f>
        <v>ENSMUSG00000005043</v>
      </c>
      <c r="I8464" s="7" t="str">
        <f>HYPERLINK("http://www.informatics.jax.org/marker/MGI:1350341","MGI:1350341")</f>
        <v>MGI:1350341</v>
      </c>
      <c r="J8464" s="4" t="s">
        <v>12</v>
      </c>
    </row>
    <row r="8465" spans="1:10" x14ac:dyDescent="0.25">
      <c r="A8465" s="2">
        <v>181.18405529688999</v>
      </c>
      <c r="B8465" s="3">
        <v>-2.6737120343562601</v>
      </c>
      <c r="C8465" s="5">
        <v>2.2946484520428501E-113</v>
      </c>
      <c r="D8465" s="6">
        <v>2.3567951809523401E-111</v>
      </c>
      <c r="E8465" s="3" t="s">
        <v>396</v>
      </c>
      <c r="F8465" s="3" t="s">
        <v>397</v>
      </c>
      <c r="G8465" s="3">
        <v>211586</v>
      </c>
      <c r="H8465" s="7" t="str">
        <f>HYPERLINK("http://www.ensembl.org/Mus_musculus/Gene/Summary?db=core;g=ENSMUSG00000032411","ENSMUSG00000032411")</f>
        <v>ENSMUSG00000032411</v>
      </c>
      <c r="I8465" s="7" t="str">
        <f>HYPERLINK("http://www.informatics.jax.org/marker/MGI:107167","MGI:107167")</f>
        <v>MGI:107167</v>
      </c>
      <c r="J8465" s="4" t="s">
        <v>12</v>
      </c>
    </row>
    <row r="8466" spans="1:10" x14ac:dyDescent="0.25">
      <c r="A8466" s="2">
        <v>641.99047602595101</v>
      </c>
      <c r="B8466" s="3">
        <v>-2.6936431774379299</v>
      </c>
      <c r="C8466" s="5">
        <v>7.3166352294675903E-104</v>
      </c>
      <c r="D8466" s="6">
        <v>6.2191399450474496E-102</v>
      </c>
      <c r="E8466" s="3" t="s">
        <v>476</v>
      </c>
      <c r="F8466" s="3" t="s">
        <v>477</v>
      </c>
      <c r="G8466" s="3">
        <v>98388</v>
      </c>
      <c r="H8466" s="7" t="str">
        <f>HYPERLINK("http://www.ensembl.org/Mus_musculus/Gene/Summary?db=core;g=ENSMUSG00000026080","ENSMUSG00000026080")</f>
        <v>ENSMUSG00000026080</v>
      </c>
      <c r="I8466" s="7" t="str">
        <f>HYPERLINK("http://www.informatics.jax.org/marker/MGI:2138283","MGI:2138283")</f>
        <v>MGI:2138283</v>
      </c>
      <c r="J8466" s="4" t="s">
        <v>12</v>
      </c>
    </row>
    <row r="8467" spans="1:10" x14ac:dyDescent="0.25">
      <c r="A8467" s="2">
        <v>25.4824012781798</v>
      </c>
      <c r="B8467" s="3">
        <v>-2.6954323590859</v>
      </c>
      <c r="C8467" s="5">
        <v>3.6751155487707797E-20</v>
      </c>
      <c r="D8467" s="6">
        <v>3.6695330947726501E-19</v>
      </c>
      <c r="E8467" s="3" t="s">
        <v>3968</v>
      </c>
      <c r="F8467" s="3" t="s">
        <v>3969</v>
      </c>
      <c r="G8467" s="3">
        <v>17121</v>
      </c>
      <c r="H8467" s="7" t="str">
        <f>HYPERLINK("http://www.ensembl.org/Mus_musculus/Gene/Summary?db=core;g=ENSMUSG00000021485","ENSMUSG00000021485")</f>
        <v>ENSMUSG00000021485</v>
      </c>
      <c r="I8467" s="7" t="str">
        <f>HYPERLINK("http://www.informatics.jax.org/marker/MGI:104987","MGI:104987")</f>
        <v>MGI:104987</v>
      </c>
      <c r="J8467" s="4" t="s">
        <v>12</v>
      </c>
    </row>
    <row r="8468" spans="1:10" x14ac:dyDescent="0.25">
      <c r="A8468" s="2">
        <v>107.60949512342501</v>
      </c>
      <c r="B8468" s="3">
        <v>-2.7185987599189199</v>
      </c>
      <c r="C8468" s="5">
        <v>1.2988768184104401E-71</v>
      </c>
      <c r="D8468" s="6">
        <v>6.2019009343956094E-70</v>
      </c>
      <c r="E8468" s="3" t="s">
        <v>838</v>
      </c>
      <c r="F8468" s="3" t="s">
        <v>839</v>
      </c>
      <c r="G8468" s="3">
        <v>54610</v>
      </c>
      <c r="H8468" s="7" t="str">
        <f>HYPERLINK("http://www.ensembl.org/Mus_musculus/Gene/Summary?db=core;g=ENSMUSG00000003134","ENSMUSG00000003134")</f>
        <v>ENSMUSG00000003134</v>
      </c>
      <c r="I8468" s="7" t="str">
        <f>HYPERLINK("http://www.informatics.jax.org/marker/MGI:1927225","MGI:1927225")</f>
        <v>MGI:1927225</v>
      </c>
      <c r="J8468" s="4" t="s">
        <v>12</v>
      </c>
    </row>
    <row r="8469" spans="1:10" x14ac:dyDescent="0.25">
      <c r="A8469" s="2">
        <v>20.1023630617109</v>
      </c>
      <c r="B8469" s="3">
        <v>-2.7231237304758902</v>
      </c>
      <c r="C8469" s="5">
        <v>1.75900707677799E-17</v>
      </c>
      <c r="D8469" s="6">
        <v>1.54167198018053E-16</v>
      </c>
      <c r="E8469" s="3" t="s">
        <v>4517</v>
      </c>
      <c r="F8469" s="3" t="s">
        <v>4518</v>
      </c>
      <c r="G8469" s="3">
        <v>13636</v>
      </c>
      <c r="H8469" s="7" t="str">
        <f>HYPERLINK("http://www.ensembl.org/Mus_musculus/Gene/Summary?db=core;g=ENSMUSG00000027954","ENSMUSG00000027954")</f>
        <v>ENSMUSG00000027954</v>
      </c>
      <c r="I8469" s="7" t="str">
        <f>HYPERLINK("http://www.informatics.jax.org/marker/MGI:103236","MGI:103236")</f>
        <v>MGI:103236</v>
      </c>
      <c r="J8469" s="4" t="s">
        <v>12</v>
      </c>
    </row>
    <row r="8470" spans="1:10" x14ac:dyDescent="0.25">
      <c r="A8470" s="2">
        <v>30.258635067509701</v>
      </c>
      <c r="B8470" s="3">
        <v>-2.7384510395297301</v>
      </c>
      <c r="C8470" s="5">
        <v>3.83451771181229E-22</v>
      </c>
      <c r="D8470" s="6">
        <v>4.18465352943765E-21</v>
      </c>
      <c r="E8470" s="3" t="s">
        <v>3632</v>
      </c>
      <c r="F8470" s="3" t="s">
        <v>3633</v>
      </c>
      <c r="G8470" s="3">
        <v>319772</v>
      </c>
      <c r="H8470" s="7" t="str">
        <f>HYPERLINK("http://www.ensembl.org/Mus_musculus/Gene/Summary?db=core;g=ENSMUSG00000044092","ENSMUSG00000044092")</f>
        <v>ENSMUSG00000044092</v>
      </c>
      <c r="I8470" s="7" t="str">
        <f>HYPERLINK("http://www.informatics.jax.org/marker/MGI:2442694","MGI:2442694")</f>
        <v>MGI:2442694</v>
      </c>
      <c r="J8470" s="4" t="s">
        <v>12</v>
      </c>
    </row>
    <row r="8471" spans="1:10" x14ac:dyDescent="0.25">
      <c r="A8471" s="2">
        <v>189.49596562294499</v>
      </c>
      <c r="B8471" s="3">
        <v>-2.7450845103202601</v>
      </c>
      <c r="C8471" s="5">
        <v>4.1444542404523302E-70</v>
      </c>
      <c r="D8471" s="6">
        <v>1.9095476079841099E-68</v>
      </c>
      <c r="E8471" s="3" t="s">
        <v>868</v>
      </c>
      <c r="F8471" s="3" t="s">
        <v>869</v>
      </c>
      <c r="G8471" s="3" t="s">
        <v>83</v>
      </c>
      <c r="H8471" s="7" t="str">
        <f>HYPERLINK("http://www.ensembl.org/Mus_musculus/Gene/Summary?db=core;g=ENSMUSG00000085006","ENSMUSG00000085006")</f>
        <v>ENSMUSG00000085006</v>
      </c>
      <c r="I8471" s="7" t="str">
        <f>HYPERLINK("http://www.informatics.jax.org/marker/MGI:3615512","MGI:3615512")</f>
        <v>MGI:3615512</v>
      </c>
      <c r="J8471" s="4" t="s">
        <v>320</v>
      </c>
    </row>
    <row r="8472" spans="1:10" x14ac:dyDescent="0.25">
      <c r="A8472" s="2">
        <v>483.30217097077002</v>
      </c>
      <c r="B8472" s="3">
        <v>-2.7506940676282401</v>
      </c>
      <c r="C8472" s="5">
        <v>5.8845250203326599E-154</v>
      </c>
      <c r="D8472" s="6">
        <v>1.30385206068494E-151</v>
      </c>
      <c r="E8472" s="3" t="s">
        <v>188</v>
      </c>
      <c r="F8472" s="3" t="s">
        <v>189</v>
      </c>
      <c r="G8472" s="3">
        <v>239743</v>
      </c>
      <c r="H8472" s="7" t="str">
        <f>HYPERLINK("http://www.ensembl.org/Mus_musculus/Gene/Summary?db=core;g=ENSMUSG00000043008","ENSMUSG00000043008")</f>
        <v>ENSMUSG00000043008</v>
      </c>
      <c r="I8472" s="7" t="str">
        <f>HYPERLINK("http://www.informatics.jax.org/marker/MGI:2686922","MGI:2686922")</f>
        <v>MGI:2686922</v>
      </c>
      <c r="J8472" s="4" t="s">
        <v>12</v>
      </c>
    </row>
    <row r="8473" spans="1:10" x14ac:dyDescent="0.25">
      <c r="A8473" s="2">
        <v>6.4178774758065504</v>
      </c>
      <c r="B8473" s="3">
        <v>-2.75739038869389</v>
      </c>
      <c r="C8473" s="5">
        <v>8.1182201459681393E-12</v>
      </c>
      <c r="D8473" s="6">
        <v>5.1082099961229001E-11</v>
      </c>
      <c r="E8473" s="3" t="s">
        <v>6285</v>
      </c>
      <c r="F8473" s="3" t="s">
        <v>6286</v>
      </c>
      <c r="G8473" s="3" t="s">
        <v>83</v>
      </c>
      <c r="H8473" s="7" t="str">
        <f>HYPERLINK("http://www.ensembl.org/Mus_musculus/Gene/Summary?db=core;g=ENSMUSG00000045231","ENSMUSG00000045231")</f>
        <v>ENSMUSG00000045231</v>
      </c>
      <c r="I8473" s="7" t="str">
        <f>HYPERLINK("http://www.informatics.jax.org/marker/MGI:3702726","MGI:3702726")</f>
        <v>MGI:3702726</v>
      </c>
      <c r="J8473" s="4" t="s">
        <v>331</v>
      </c>
    </row>
    <row r="8474" spans="1:10" x14ac:dyDescent="0.25">
      <c r="A8474" s="2">
        <v>502.88107245651202</v>
      </c>
      <c r="B8474" s="3">
        <v>-2.7646263990417399</v>
      </c>
      <c r="C8474" s="5">
        <v>3.7932697638536799E-149</v>
      </c>
      <c r="D8474" s="6">
        <v>7.4062653211083596E-147</v>
      </c>
      <c r="E8474" s="3" t="s">
        <v>212</v>
      </c>
      <c r="F8474" s="3" t="s">
        <v>213</v>
      </c>
      <c r="G8474" s="3">
        <v>140742</v>
      </c>
      <c r="H8474" s="7" t="str">
        <f>HYPERLINK("http://www.ensembl.org/Mus_musculus/Gene/Summary?db=core;g=ENSMUSG00000038332","ENSMUSG00000038332")</f>
        <v>ENSMUSG00000038332</v>
      </c>
      <c r="I8474" s="7" t="str">
        <f>HYPERLINK("http://www.informatics.jax.org/marker/MGI:2155278","MGI:2155278")</f>
        <v>MGI:2155278</v>
      </c>
      <c r="J8474" s="4" t="s">
        <v>12</v>
      </c>
    </row>
    <row r="8475" spans="1:10" x14ac:dyDescent="0.25">
      <c r="A8475" s="2">
        <v>41.563866042815299</v>
      </c>
      <c r="B8475" s="3">
        <v>-2.8160655495878402</v>
      </c>
      <c r="C8475" s="5">
        <v>1.0621506732332E-29</v>
      </c>
      <c r="D8475" s="6">
        <v>1.55037833280227E-28</v>
      </c>
      <c r="E8475" s="3" t="s">
        <v>2720</v>
      </c>
      <c r="F8475" s="3" t="s">
        <v>2721</v>
      </c>
      <c r="G8475" s="3">
        <v>384763</v>
      </c>
      <c r="H8475" s="7" t="str">
        <f>HYPERLINK("http://www.ensembl.org/Mus_musculus/Gene/Summary?db=core;g=ENSMUSG00000054893","ENSMUSG00000054893")</f>
        <v>ENSMUSG00000054893</v>
      </c>
      <c r="I8475" s="7" t="str">
        <f>HYPERLINK("http://www.informatics.jax.org/marker/MGI:2442757","MGI:2442757")</f>
        <v>MGI:2442757</v>
      </c>
      <c r="J8475" s="4" t="s">
        <v>12</v>
      </c>
    </row>
    <row r="8476" spans="1:10" x14ac:dyDescent="0.25">
      <c r="A8476" s="2">
        <v>91.576270789553604</v>
      </c>
      <c r="B8476" s="3">
        <v>-2.8206156422420201</v>
      </c>
      <c r="C8476" s="5">
        <v>9.8652708610001506E-48</v>
      </c>
      <c r="D8476" s="6">
        <v>2.5134772787974601E-46</v>
      </c>
      <c r="E8476" s="3" t="s">
        <v>1564</v>
      </c>
      <c r="F8476" s="3" t="s">
        <v>1565</v>
      </c>
      <c r="G8476" s="3">
        <v>104175</v>
      </c>
      <c r="H8476" s="7" t="str">
        <f>HYPERLINK("http://www.ensembl.org/Mus_musculus/Gene/Summary?db=core;g=ENSMUSG00000042978","ENSMUSG00000042978")</f>
        <v>ENSMUSG00000042978</v>
      </c>
      <c r="I8476" s="7" t="str">
        <f>HYPERLINK("http://www.informatics.jax.org/marker/MGI:2135937","MGI:2135937")</f>
        <v>MGI:2135937</v>
      </c>
      <c r="J8476" s="4" t="s">
        <v>12</v>
      </c>
    </row>
    <row r="8477" spans="1:10" x14ac:dyDescent="0.25">
      <c r="A8477" s="2">
        <v>147.848328215039</v>
      </c>
      <c r="B8477" s="3">
        <v>-2.8277069901697298</v>
      </c>
      <c r="C8477" s="5">
        <v>2.69897285626399E-52</v>
      </c>
      <c r="D8477" s="6">
        <v>7.6912925903939201E-51</v>
      </c>
      <c r="E8477" s="3" t="s">
        <v>1400</v>
      </c>
      <c r="F8477" s="3" t="s">
        <v>1401</v>
      </c>
      <c r="G8477" s="3">
        <v>231633</v>
      </c>
      <c r="H8477" s="7" t="str">
        <f>HYPERLINK("http://www.ensembl.org/Mus_musculus/Gene/Summary?db=core;g=ENSMUSG00000054675","ENSMUSG00000054675")</f>
        <v>ENSMUSG00000054675</v>
      </c>
      <c r="I8477" s="7" t="str">
        <f>HYPERLINK("http://www.informatics.jax.org/marker/MGI:2385228","MGI:2385228")</f>
        <v>MGI:2385228</v>
      </c>
      <c r="J8477" s="4" t="s">
        <v>12</v>
      </c>
    </row>
    <row r="8478" spans="1:10" x14ac:dyDescent="0.25">
      <c r="A8478" s="2">
        <v>119.982097965595</v>
      </c>
      <c r="B8478" s="3">
        <v>-2.8348872776751501</v>
      </c>
      <c r="C8478" s="5">
        <v>7.1237982322287004E-42</v>
      </c>
      <c r="D8478" s="6">
        <v>1.5236583637695201E-40</v>
      </c>
      <c r="E8478" s="3" t="s">
        <v>1861</v>
      </c>
      <c r="F8478" s="3" t="s">
        <v>1862</v>
      </c>
      <c r="G8478" s="3">
        <v>11628</v>
      </c>
      <c r="H8478" s="7" t="str">
        <f>HYPERLINK("http://www.ensembl.org/Mus_musculus/Gene/Summary?db=core;g=ENSMUSG00000040627","ENSMUSG00000040627")</f>
        <v>ENSMUSG00000040627</v>
      </c>
      <c r="I8478" s="7" t="str">
        <f>HYPERLINK("http://www.informatics.jax.org/marker/MGI:1342279","MGI:1342279")</f>
        <v>MGI:1342279</v>
      </c>
      <c r="J8478" s="4" t="s">
        <v>12</v>
      </c>
    </row>
    <row r="8479" spans="1:10" x14ac:dyDescent="0.25">
      <c r="A8479" s="2">
        <v>198.05160712685</v>
      </c>
      <c r="B8479" s="3">
        <v>-2.8396538650970702</v>
      </c>
      <c r="C8479" s="5">
        <v>6.92667941810573E-59</v>
      </c>
      <c r="D8479" s="6">
        <v>2.3880090581301601E-57</v>
      </c>
      <c r="E8479" s="3" t="s">
        <v>1160</v>
      </c>
      <c r="F8479" s="3" t="s">
        <v>1161</v>
      </c>
      <c r="G8479" s="3">
        <v>321019</v>
      </c>
      <c r="H8479" s="7" t="str">
        <f>HYPERLINK("http://www.ensembl.org/Mus_musculus/Gene/Summary?db=core;g=ENSMUSG00000051212","ENSMUSG00000051212")</f>
        <v>ENSMUSG00000051212</v>
      </c>
      <c r="I8479" s="7" t="str">
        <f>HYPERLINK("http://www.informatics.jax.org/marker/MGI:2442034","MGI:2442034")</f>
        <v>MGI:2442034</v>
      </c>
      <c r="J8479" s="4" t="s">
        <v>12</v>
      </c>
    </row>
    <row r="8480" spans="1:10" x14ac:dyDescent="0.25">
      <c r="A8480" s="2">
        <v>69.397492289761701</v>
      </c>
      <c r="B8480" s="3">
        <v>-2.8912343082017302</v>
      </c>
      <c r="C8480" s="5">
        <v>1.16384149006285E-32</v>
      </c>
      <c r="D8480" s="6">
        <v>1.8449320083632999E-31</v>
      </c>
      <c r="E8480" s="3" t="s">
        <v>2505</v>
      </c>
      <c r="F8480" s="3" t="s">
        <v>2506</v>
      </c>
      <c r="G8480" s="3">
        <v>71706</v>
      </c>
      <c r="H8480" s="7" t="str">
        <f>HYPERLINK("http://www.ensembl.org/Mus_musculus/Gene/Summary?db=core;g=ENSMUSG00000029650","ENSMUSG00000029650")</f>
        <v>ENSMUSG00000029650</v>
      </c>
      <c r="I8480" s="7" t="str">
        <f>HYPERLINK("http://www.informatics.jax.org/marker/MGI:1918956","MGI:1918956")</f>
        <v>MGI:1918956</v>
      </c>
      <c r="J8480" s="4" t="s">
        <v>12</v>
      </c>
    </row>
    <row r="8481" spans="1:10" x14ac:dyDescent="0.25">
      <c r="A8481" s="2">
        <v>186.795132474817</v>
      </c>
      <c r="B8481" s="3">
        <v>-2.8980013970179201</v>
      </c>
      <c r="C8481" s="5">
        <v>2.4799059453430298E-68</v>
      </c>
      <c r="D8481" s="6">
        <v>1.10641957561458E-66</v>
      </c>
      <c r="E8481" s="3" t="s">
        <v>896</v>
      </c>
      <c r="F8481" s="3" t="s">
        <v>897</v>
      </c>
      <c r="G8481" s="3">
        <v>171580</v>
      </c>
      <c r="H8481" s="7" t="str">
        <f>HYPERLINK("http://www.ensembl.org/Mus_musculus/Gene/Summary?db=core;g=ENSMUSG00000019823","ENSMUSG00000019823")</f>
        <v>ENSMUSG00000019823</v>
      </c>
      <c r="I8481" s="7" t="str">
        <f>HYPERLINK("http://www.informatics.jax.org/marker/MGI:2385847","MGI:2385847")</f>
        <v>MGI:2385847</v>
      </c>
      <c r="J8481" s="4" t="s">
        <v>12</v>
      </c>
    </row>
    <row r="8482" spans="1:10" x14ac:dyDescent="0.25">
      <c r="A8482" s="2">
        <v>568.87369235438996</v>
      </c>
      <c r="B8482" s="3">
        <v>-2.9063225127420802</v>
      </c>
      <c r="C8482" s="5">
        <v>2.4791967347288698E-218</v>
      </c>
      <c r="D8482" s="6">
        <v>1.16404189544889E-215</v>
      </c>
      <c r="E8482" s="3" t="s">
        <v>94</v>
      </c>
      <c r="F8482" s="3" t="s">
        <v>95</v>
      </c>
      <c r="G8482" s="3">
        <v>27355</v>
      </c>
      <c r="H8482" s="7" t="str">
        <f>HYPERLINK("http://www.ensembl.org/Mus_musculus/Gene/Summary?db=core;g=ENSMUSG00000020092","ENSMUSG00000020092")</f>
        <v>ENSMUSG00000020092</v>
      </c>
      <c r="I8482" s="7" t="str">
        <f>HYPERLINK("http://www.informatics.jax.org/marker/MGI:1351623","MGI:1351623")</f>
        <v>MGI:1351623</v>
      </c>
      <c r="J8482" s="4" t="s">
        <v>12</v>
      </c>
    </row>
    <row r="8483" spans="1:10" x14ac:dyDescent="0.25">
      <c r="A8483" s="2">
        <v>62.691905744666002</v>
      </c>
      <c r="B8483" s="3">
        <v>-2.9327431042531198</v>
      </c>
      <c r="C8483" s="5">
        <v>8.9618464235890997E-42</v>
      </c>
      <c r="D8483" s="6">
        <v>1.9147086833497E-40</v>
      </c>
      <c r="E8483" s="3" t="s">
        <v>1863</v>
      </c>
      <c r="F8483" s="3" t="s">
        <v>1864</v>
      </c>
      <c r="G8483" s="3">
        <v>319430</v>
      </c>
      <c r="H8483" s="7" t="str">
        <f>HYPERLINK("http://www.ensembl.org/Mus_musculus/Gene/Summary?db=core;g=ENSMUSG00000074361","ENSMUSG00000074361")</f>
        <v>ENSMUSG00000074361</v>
      </c>
      <c r="I8483" s="7" t="str">
        <f>HYPERLINK("http://www.informatics.jax.org/marker/MGI:2442013","MGI:2442013")</f>
        <v>MGI:2442013</v>
      </c>
      <c r="J8483" s="4" t="s">
        <v>12</v>
      </c>
    </row>
    <row r="8484" spans="1:10" x14ac:dyDescent="0.25">
      <c r="A8484" s="2">
        <v>387.442405695096</v>
      </c>
      <c r="B8484" s="3">
        <v>-2.98214176091283</v>
      </c>
      <c r="C8484" s="5">
        <v>3.4055759756598302E-161</v>
      </c>
      <c r="D8484" s="6">
        <v>8.0913202698809595E-159</v>
      </c>
      <c r="E8484" s="3" t="s">
        <v>176</v>
      </c>
      <c r="F8484" s="3" t="s">
        <v>177</v>
      </c>
      <c r="G8484" s="3">
        <v>227929</v>
      </c>
      <c r="H8484" s="7" t="str">
        <f>HYPERLINK("http://www.ensembl.org/Mus_musculus/Gene/Summary?db=core;g=ENSMUSG00000026832","ENSMUSG00000026832")</f>
        <v>ENSMUSG00000026832</v>
      </c>
      <c r="I8484" s="7" t="str">
        <f>HYPERLINK("http://www.informatics.jax.org/marker/MGI:2183535","MGI:2183535")</f>
        <v>MGI:2183535</v>
      </c>
      <c r="J8484" s="4" t="s">
        <v>12</v>
      </c>
    </row>
    <row r="8485" spans="1:10" x14ac:dyDescent="0.25">
      <c r="A8485" s="2">
        <v>210.878517085857</v>
      </c>
      <c r="B8485" s="3">
        <v>-2.9947996333548201</v>
      </c>
      <c r="C8485" s="5">
        <v>1.07257731797583E-27</v>
      </c>
      <c r="D8485" s="6">
        <v>1.4477224305601201E-26</v>
      </c>
      <c r="E8485" s="3" t="s">
        <v>2940</v>
      </c>
      <c r="F8485" s="3" t="s">
        <v>2941</v>
      </c>
      <c r="G8485" s="3">
        <v>332397</v>
      </c>
      <c r="H8485" s="7" t="str">
        <f>HYPERLINK("http://www.ensembl.org/Mus_musculus/Gene/Summary?db=core;g=ENSMUSG00000072437","ENSMUSG00000072437")</f>
        <v>ENSMUSG00000072437</v>
      </c>
      <c r="I8485" s="7" t="str">
        <f>HYPERLINK("http://www.informatics.jax.org/marker/MGI:2669254","MGI:2669254")</f>
        <v>MGI:2669254</v>
      </c>
      <c r="J8485" s="4" t="s">
        <v>12</v>
      </c>
    </row>
    <row r="8486" spans="1:10" x14ac:dyDescent="0.25">
      <c r="A8486" s="2">
        <v>19.188753114667001</v>
      </c>
      <c r="B8486" s="3">
        <v>-3.0325973416310901</v>
      </c>
      <c r="C8486" s="5">
        <v>3.4310773004326201E-22</v>
      </c>
      <c r="D8486" s="6">
        <v>3.7589357980295101E-21</v>
      </c>
      <c r="E8486" s="3" t="s">
        <v>3618</v>
      </c>
      <c r="F8486" s="3" t="s">
        <v>3619</v>
      </c>
      <c r="G8486" s="3">
        <v>68515</v>
      </c>
      <c r="H8486" s="7" t="str">
        <f>HYPERLINK("http://www.ensembl.org/Mus_musculus/Gene/Summary?db=core;g=ENSMUSG00000025141","ENSMUSG00000025141")</f>
        <v>ENSMUSG00000025141</v>
      </c>
      <c r="I8486" s="7" t="str">
        <f>HYPERLINK("http://www.informatics.jax.org/marker/MGI:1915765","MGI:1915765")</f>
        <v>MGI:1915765</v>
      </c>
      <c r="J8486" s="4" t="s">
        <v>12</v>
      </c>
    </row>
    <row r="8487" spans="1:10" x14ac:dyDescent="0.25">
      <c r="A8487" s="2">
        <v>11.526135031087399</v>
      </c>
      <c r="B8487" s="3">
        <v>-3.0471624816931899</v>
      </c>
      <c r="C8487" s="5">
        <v>4.4634168500297204E-15</v>
      </c>
      <c r="D8487" s="6">
        <v>3.4476529683739202E-14</v>
      </c>
      <c r="E8487" s="3" t="s">
        <v>5123</v>
      </c>
      <c r="F8487" s="3" t="s">
        <v>5124</v>
      </c>
      <c r="G8487" s="3">
        <v>14296</v>
      </c>
      <c r="H8487" s="7" t="str">
        <f>HYPERLINK("http://www.ensembl.org/Mus_musculus/Gene/Summary?db=core;g=ENSMUSG00000067199","ENSMUSG00000067199")</f>
        <v>ENSMUSG00000067199</v>
      </c>
      <c r="I8487" s="7" t="str">
        <f>HYPERLINK("http://www.informatics.jax.org/marker/MGI:109450","MGI:109450")</f>
        <v>MGI:109450</v>
      </c>
      <c r="J8487" s="4" t="s">
        <v>12</v>
      </c>
    </row>
    <row r="8488" spans="1:10" x14ac:dyDescent="0.25">
      <c r="A8488" s="2">
        <v>46.293873107877097</v>
      </c>
      <c r="B8488" s="3">
        <v>-3.0487154029047701</v>
      </c>
      <c r="C8488" s="5">
        <v>2.21288134575914E-33</v>
      </c>
      <c r="D8488" s="6">
        <v>3.6154117761698601E-32</v>
      </c>
      <c r="E8488" s="3" t="s">
        <v>2431</v>
      </c>
      <c r="F8488" s="3" t="s">
        <v>2432</v>
      </c>
      <c r="G8488" s="3">
        <v>235320</v>
      </c>
      <c r="H8488" s="7" t="str">
        <f>HYPERLINK("http://www.ensembl.org/Mus_musculus/Gene/Summary?db=core;g=ENSMUSG00000066687","ENSMUSG00000066687")</f>
        <v>ENSMUSG00000066687</v>
      </c>
      <c r="I8488" s="7" t="str">
        <f>HYPERLINK("http://www.informatics.jax.org/marker/MGI:103222","MGI:103222")</f>
        <v>MGI:103222</v>
      </c>
      <c r="J8488" s="4" t="s">
        <v>12</v>
      </c>
    </row>
    <row r="8489" spans="1:10" x14ac:dyDescent="0.25">
      <c r="A8489" s="2">
        <v>129.78398090936699</v>
      </c>
      <c r="B8489" s="3">
        <v>-3.0642033134252999</v>
      </c>
      <c r="C8489" s="5">
        <v>3.1170591635930702E-72</v>
      </c>
      <c r="D8489" s="6">
        <v>1.5065785957366501E-70</v>
      </c>
      <c r="E8489" s="3" t="s">
        <v>828</v>
      </c>
      <c r="F8489" s="3" t="s">
        <v>829</v>
      </c>
      <c r="G8489" s="3">
        <v>171543</v>
      </c>
      <c r="H8489" s="7" t="str">
        <f>HYPERLINK("http://www.ensembl.org/Mus_musculus/Gene/Summary?db=core;g=ENSMUSG00000040093","ENSMUSG00000040093")</f>
        <v>ENSMUSG00000040093</v>
      </c>
      <c r="I8489" s="7" t="str">
        <f>HYPERLINK("http://www.informatics.jax.org/marker/MGI:2176433","MGI:2176433")</f>
        <v>MGI:2176433</v>
      </c>
      <c r="J8489" s="4" t="s">
        <v>12</v>
      </c>
    </row>
    <row r="8490" spans="1:10" x14ac:dyDescent="0.25">
      <c r="A8490" s="2">
        <v>87.905853101701894</v>
      </c>
      <c r="B8490" s="3">
        <v>-3.11182439190274</v>
      </c>
      <c r="C8490" s="5">
        <v>1.1611631869010801E-50</v>
      </c>
      <c r="D8490" s="6">
        <v>3.1714872639458799E-49</v>
      </c>
      <c r="E8490" s="3" t="s">
        <v>1460</v>
      </c>
      <c r="F8490" s="3" t="s">
        <v>1461</v>
      </c>
      <c r="G8490" s="3">
        <v>17122</v>
      </c>
      <c r="H8490" s="7" t="str">
        <f>HYPERLINK("http://www.ensembl.org/Mus_musculus/Gene/Summary?db=core;g=ENSMUSG00000037235","ENSMUSG00000037235")</f>
        <v>ENSMUSG00000037235</v>
      </c>
      <c r="I8490" s="7" t="str">
        <f>HYPERLINK("http://www.informatics.jax.org/marker/MGI:104991","MGI:104991")</f>
        <v>MGI:104991</v>
      </c>
      <c r="J8490" s="4" t="s">
        <v>12</v>
      </c>
    </row>
    <row r="8491" spans="1:10" x14ac:dyDescent="0.25">
      <c r="A8491" s="2">
        <v>68.866888756442606</v>
      </c>
      <c r="B8491" s="3">
        <v>-3.1331357019388602</v>
      </c>
      <c r="C8491" s="5">
        <v>5.9224890133037195E-39</v>
      </c>
      <c r="D8491" s="6">
        <v>1.15979625960625E-37</v>
      </c>
      <c r="E8491" s="3" t="s">
        <v>2031</v>
      </c>
      <c r="F8491" s="3" t="s">
        <v>2032</v>
      </c>
      <c r="G8491" s="3">
        <v>330812</v>
      </c>
      <c r="H8491" s="7" t="str">
        <f>HYPERLINK("http://www.ensembl.org/Mus_musculus/Gene/Summary?db=core;g=ENSMUSG00000047747","ENSMUSG00000047747")</f>
        <v>ENSMUSG00000047747</v>
      </c>
      <c r="I8491" s="7" t="str">
        <f>HYPERLINK("http://www.informatics.jax.org/marker/MGI:2443860","MGI:2443860")</f>
        <v>MGI:2443860</v>
      </c>
      <c r="J8491" s="4" t="s">
        <v>12</v>
      </c>
    </row>
    <row r="8492" spans="1:10" x14ac:dyDescent="0.25">
      <c r="A8492" s="2">
        <v>74.027248378043197</v>
      </c>
      <c r="B8492" s="3">
        <v>-3.1338984902662199</v>
      </c>
      <c r="C8492" s="5">
        <v>1.4342582618026999E-53</v>
      </c>
      <c r="D8492" s="6">
        <v>4.2026111326522002E-52</v>
      </c>
      <c r="E8492" s="3" t="s">
        <v>1362</v>
      </c>
      <c r="F8492" s="3" t="s">
        <v>1363</v>
      </c>
      <c r="G8492" s="3" t="s">
        <v>83</v>
      </c>
      <c r="H8492" s="7" t="str">
        <f>HYPERLINK("http://www.ensembl.org/Mus_musculus/Gene/Summary?db=core;g=ENSMUSG00000117916","ENSMUSG00000117916")</f>
        <v>ENSMUSG00000117916</v>
      </c>
      <c r="I8492" s="7" t="str">
        <f>HYPERLINK("http://www.informatics.jax.org/marker/MGI:2442601","MGI:2442601")</f>
        <v>MGI:2442601</v>
      </c>
      <c r="J8492" s="4" t="s">
        <v>939</v>
      </c>
    </row>
    <row r="8493" spans="1:10" x14ac:dyDescent="0.25">
      <c r="A8493" s="2">
        <v>75.296787972156395</v>
      </c>
      <c r="B8493" s="3">
        <v>-3.15843151663596</v>
      </c>
      <c r="C8493" s="5">
        <v>1.0181646655508599E-57</v>
      </c>
      <c r="D8493" s="6">
        <v>3.3973277842069299E-56</v>
      </c>
      <c r="E8493" s="3" t="s">
        <v>1198</v>
      </c>
      <c r="F8493" s="3" t="s">
        <v>1199</v>
      </c>
      <c r="G8493" s="3">
        <v>12802</v>
      </c>
      <c r="H8493" s="7" t="str">
        <f>HYPERLINK("http://www.ensembl.org/Mus_musculus/Gene/Summary?db=core;g=ENSMUSG00000062585","ENSMUSG00000062585")</f>
        <v>ENSMUSG00000062585</v>
      </c>
      <c r="I8493" s="7" t="str">
        <f>HYPERLINK("http://www.informatics.jax.org/marker/MGI:104650","MGI:104650")</f>
        <v>MGI:104650</v>
      </c>
      <c r="J8493" s="4" t="s">
        <v>12</v>
      </c>
    </row>
    <row r="8494" spans="1:10" x14ac:dyDescent="0.25">
      <c r="A8494" s="2">
        <v>293.52614639580599</v>
      </c>
      <c r="B8494" s="3">
        <v>-3.1776905462616201</v>
      </c>
      <c r="C8494" s="5">
        <v>6.0054551906029497E-153</v>
      </c>
      <c r="D8494" s="6">
        <v>1.30140193800758E-150</v>
      </c>
      <c r="E8494" s="3" t="s">
        <v>192</v>
      </c>
      <c r="F8494" s="3" t="s">
        <v>193</v>
      </c>
      <c r="G8494" s="3">
        <v>380912</v>
      </c>
      <c r="H8494" s="7" t="str">
        <f>HYPERLINK("http://www.ensembl.org/Mus_musculus/Gene/Summary?db=core;g=ENSMUSG00000034522","ENSMUSG00000034522")</f>
        <v>ENSMUSG00000034522</v>
      </c>
      <c r="I8494" s="7" t="str">
        <f>HYPERLINK("http://www.informatics.jax.org/marker/MGI:2682318","MGI:2682318")</f>
        <v>MGI:2682318</v>
      </c>
      <c r="J8494" s="4" t="s">
        <v>12</v>
      </c>
    </row>
    <row r="8495" spans="1:10" x14ac:dyDescent="0.25">
      <c r="A8495" s="2">
        <v>120.812049131173</v>
      </c>
      <c r="B8495" s="3">
        <v>-3.1803392889462101</v>
      </c>
      <c r="C8495" s="5">
        <v>2.8161987379204E-67</v>
      </c>
      <c r="D8495" s="6">
        <v>1.22324755752842E-65</v>
      </c>
      <c r="E8495" s="3" t="s">
        <v>920</v>
      </c>
      <c r="F8495" s="3" t="s">
        <v>921</v>
      </c>
      <c r="G8495" s="3">
        <v>216505</v>
      </c>
      <c r="H8495" s="7" t="str">
        <f>HYPERLINK("http://www.ensembl.org/Mus_musculus/Gene/Summary?db=core;g=ENSMUSG00000034614","ENSMUSG00000034614")</f>
        <v>ENSMUSG00000034614</v>
      </c>
      <c r="I8495" s="7" t="str">
        <f>HYPERLINK("http://www.informatics.jax.org/marker/MGI:1917016","MGI:1917016")</f>
        <v>MGI:1917016</v>
      </c>
      <c r="J8495" s="4" t="s">
        <v>12</v>
      </c>
    </row>
    <row r="8496" spans="1:10" x14ac:dyDescent="0.25">
      <c r="A8496" s="2">
        <v>194.952011892553</v>
      </c>
      <c r="B8496" s="3">
        <v>-3.1958448713246899</v>
      </c>
      <c r="C8496" s="5">
        <v>1.57687236890216E-65</v>
      </c>
      <c r="D8496" s="6">
        <v>6.5603213322258702E-64</v>
      </c>
      <c r="E8496" s="3" t="s">
        <v>962</v>
      </c>
      <c r="F8496" s="3" t="s">
        <v>963</v>
      </c>
      <c r="G8496" s="3">
        <v>52882</v>
      </c>
      <c r="H8496" s="7" t="str">
        <f>HYPERLINK("http://www.ensembl.org/Mus_musculus/Gene/Summary?db=core;g=ENSMUSG00000021719","ENSMUSG00000021719")</f>
        <v>ENSMUSG00000021719</v>
      </c>
      <c r="I8496" s="7" t="str">
        <f>HYPERLINK("http://www.informatics.jax.org/marker/MGI:106334","MGI:106334")</f>
        <v>MGI:106334</v>
      </c>
      <c r="J8496" s="4" t="s">
        <v>12</v>
      </c>
    </row>
    <row r="8497" spans="1:10" x14ac:dyDescent="0.25">
      <c r="A8497" s="2">
        <v>111.38826063510299</v>
      </c>
      <c r="B8497" s="3">
        <v>-3.2532013564202602</v>
      </c>
      <c r="C8497" s="5">
        <v>8.09103733467098E-84</v>
      </c>
      <c r="D8497" s="6">
        <v>5.0174608880412497E-82</v>
      </c>
      <c r="E8497" s="3" t="s">
        <v>648</v>
      </c>
      <c r="F8497" s="3" t="s">
        <v>649</v>
      </c>
      <c r="G8497" s="3">
        <v>21824</v>
      </c>
      <c r="H8497" s="7" t="str">
        <f>HYPERLINK("http://www.ensembl.org/Mus_musculus/Gene/Summary?db=core;g=ENSMUSG00000074743","ENSMUSG00000074743")</f>
        <v>ENSMUSG00000074743</v>
      </c>
      <c r="I8497" s="7" t="str">
        <f>HYPERLINK("http://www.informatics.jax.org/marker/MGI:98736","MGI:98736")</f>
        <v>MGI:98736</v>
      </c>
      <c r="J8497" s="4" t="s">
        <v>12</v>
      </c>
    </row>
    <row r="8498" spans="1:10" x14ac:dyDescent="0.25">
      <c r="A8498" s="2">
        <v>314.92696956596001</v>
      </c>
      <c r="B8498" s="3">
        <v>-3.30937205542237</v>
      </c>
      <c r="C8498" s="5">
        <v>3.9182714088750001E-22</v>
      </c>
      <c r="D8498" s="6">
        <v>4.2736898331313598E-21</v>
      </c>
      <c r="E8498" s="3" t="s">
        <v>3634</v>
      </c>
      <c r="F8498" s="3" t="s">
        <v>3635</v>
      </c>
      <c r="G8498" s="3">
        <v>77889</v>
      </c>
      <c r="H8498" s="7" t="str">
        <f>HYPERLINK("http://www.ensembl.org/Mus_musculus/Gene/Summary?db=core;g=ENSMUSG00000024063","ENSMUSG00000024063")</f>
        <v>ENSMUSG00000024063</v>
      </c>
      <c r="I8498" s="7" t="str">
        <f>HYPERLINK("http://www.informatics.jax.org/marker/MGI:1925139","MGI:1925139")</f>
        <v>MGI:1925139</v>
      </c>
      <c r="J8498" s="4" t="s">
        <v>12</v>
      </c>
    </row>
    <row r="8499" spans="1:10" x14ac:dyDescent="0.25">
      <c r="A8499" s="2">
        <v>89.662570297662896</v>
      </c>
      <c r="B8499" s="3">
        <v>-3.3115394516363899</v>
      </c>
      <c r="C8499" s="5">
        <v>1.0556955383513701E-74</v>
      </c>
      <c r="D8499" s="6">
        <v>5.3243774977721399E-73</v>
      </c>
      <c r="E8499" s="3" t="s">
        <v>794</v>
      </c>
      <c r="F8499" s="3" t="s">
        <v>795</v>
      </c>
      <c r="G8499" s="3">
        <v>15213</v>
      </c>
      <c r="H8499" s="7" t="str">
        <f>HYPERLINK("http://www.ensembl.org/Mus_musculus/Gene/Summary?db=core;g=ENSMUSG00000040289","ENSMUSG00000040289")</f>
        <v>ENSMUSG00000040289</v>
      </c>
      <c r="I8499" s="7" t="str">
        <f>HYPERLINK("http://www.informatics.jax.org/marker/MGI:1341800","MGI:1341800")</f>
        <v>MGI:1341800</v>
      </c>
      <c r="J8499" s="4" t="s">
        <v>12</v>
      </c>
    </row>
    <row r="8500" spans="1:10" x14ac:dyDescent="0.25">
      <c r="A8500" s="2">
        <v>48.275075607923299</v>
      </c>
      <c r="B8500" s="3">
        <v>-3.3444994530347798</v>
      </c>
      <c r="C8500" s="5">
        <v>3.44497374282545E-35</v>
      </c>
      <c r="D8500" s="6">
        <v>6.0066208849264304E-34</v>
      </c>
      <c r="E8500" s="3" t="s">
        <v>2277</v>
      </c>
      <c r="F8500" s="3" t="s">
        <v>2278</v>
      </c>
      <c r="G8500" s="3">
        <v>66090</v>
      </c>
      <c r="H8500" s="7" t="str">
        <f>HYPERLINK("http://www.ensembl.org/Mus_musculus/Gene/Summary?db=core;g=ENSMUSG00000042675","ENSMUSG00000042675")</f>
        <v>ENSMUSG00000042675</v>
      </c>
      <c r="I8500" s="7" t="str">
        <f>HYPERLINK("http://www.informatics.jax.org/marker/MGI:1913340","MGI:1913340")</f>
        <v>MGI:1913340</v>
      </c>
      <c r="J8500" s="4" t="s">
        <v>12</v>
      </c>
    </row>
    <row r="8501" spans="1:10" x14ac:dyDescent="0.25">
      <c r="A8501" s="2">
        <v>11.3617950196313</v>
      </c>
      <c r="B8501" s="3">
        <v>-3.3601038051507102</v>
      </c>
      <c r="C8501" s="5">
        <v>1.7675574054063701E-16</v>
      </c>
      <c r="D8501" s="6">
        <v>1.45903022329902E-15</v>
      </c>
      <c r="E8501" s="3" t="s">
        <v>4795</v>
      </c>
      <c r="F8501" s="3" t="s">
        <v>4796</v>
      </c>
      <c r="G8501" s="3">
        <v>70355</v>
      </c>
      <c r="H8501" s="7" t="str">
        <f>HYPERLINK("http://www.ensembl.org/Mus_musculus/Gene/Summary?db=core;g=ENSMUSG00000051043","ENSMUSG00000051043")</f>
        <v>ENSMUSG00000051043</v>
      </c>
      <c r="I8501" s="7" t="str">
        <f>HYPERLINK("http://www.informatics.jax.org/marker/MGI:1917605","MGI:1917605")</f>
        <v>MGI:1917605</v>
      </c>
      <c r="J8501" s="4" t="s">
        <v>12</v>
      </c>
    </row>
    <row r="8502" spans="1:10" x14ac:dyDescent="0.25">
      <c r="A8502" s="2">
        <v>34.435764655714202</v>
      </c>
      <c r="B8502" s="3">
        <v>-3.3799192040232602</v>
      </c>
      <c r="C8502" s="5">
        <v>7.0160510072846605E-33</v>
      </c>
      <c r="D8502" s="6">
        <v>1.120295755981E-31</v>
      </c>
      <c r="E8502" s="3" t="s">
        <v>2487</v>
      </c>
      <c r="F8502" s="3" t="s">
        <v>2488</v>
      </c>
      <c r="G8502" s="3">
        <v>64929</v>
      </c>
      <c r="H8502" s="7" t="str">
        <f>HYPERLINK("http://www.ensembl.org/Mus_musculus/Gene/Summary?db=core;g=ENSMUSG00000022123","ENSMUSG00000022123")</f>
        <v>ENSMUSG00000022123</v>
      </c>
      <c r="I8502" s="7" t="str">
        <f>HYPERLINK("http://www.informatics.jax.org/marker/MGI:1891228","MGI:1891228")</f>
        <v>MGI:1891228</v>
      </c>
      <c r="J8502" s="4" t="s">
        <v>12</v>
      </c>
    </row>
    <row r="8503" spans="1:10" x14ac:dyDescent="0.25">
      <c r="A8503" s="2">
        <v>267.28459755330999</v>
      </c>
      <c r="B8503" s="3">
        <v>-3.3819109524473001</v>
      </c>
      <c r="C8503" s="5">
        <v>3.0436447325994299E-111</v>
      </c>
      <c r="D8503" s="6">
        <v>3.0010337063430301E-109</v>
      </c>
      <c r="E8503" s="3" t="s">
        <v>412</v>
      </c>
      <c r="F8503" s="3" t="s">
        <v>413</v>
      </c>
      <c r="G8503" s="3">
        <v>269604</v>
      </c>
      <c r="H8503" s="7" t="str">
        <f>HYPERLINK("http://www.ensembl.org/Mus_musculus/Gene/Summary?db=core;g=ENSMUSG00000047875","ENSMUSG00000047875")</f>
        <v>ENSMUSG00000047875</v>
      </c>
      <c r="I8503" s="7" t="str">
        <f>HYPERLINK("http://www.informatics.jax.org/marker/MGI:2442046","MGI:2442046")</f>
        <v>MGI:2442046</v>
      </c>
      <c r="J8503" s="4" t="s">
        <v>12</v>
      </c>
    </row>
    <row r="8504" spans="1:10" x14ac:dyDescent="0.25">
      <c r="A8504" s="2">
        <v>52.174457650213597</v>
      </c>
      <c r="B8504" s="3">
        <v>-3.4582766305489501</v>
      </c>
      <c r="C8504" s="5">
        <v>4.8052939352268099E-37</v>
      </c>
      <c r="D8504" s="6">
        <v>8.9650327722490802E-36</v>
      </c>
      <c r="E8504" s="3" t="s">
        <v>2131</v>
      </c>
      <c r="F8504" s="3" t="s">
        <v>2132</v>
      </c>
      <c r="G8504" s="3">
        <v>67731</v>
      </c>
      <c r="H8504" s="7" t="str">
        <f>HYPERLINK("http://www.ensembl.org/Mus_musculus/Gene/Summary?db=core;g=ENSMUSG00000022358","ENSMUSG00000022358")</f>
        <v>ENSMUSG00000022358</v>
      </c>
      <c r="I8504" s="7" t="str">
        <f>HYPERLINK("http://www.informatics.jax.org/marker/MGI:1914981","MGI:1914981")</f>
        <v>MGI:1914981</v>
      </c>
      <c r="J8504" s="4" t="s">
        <v>12</v>
      </c>
    </row>
    <row r="8505" spans="1:10" x14ac:dyDescent="0.25">
      <c r="A8505" s="2">
        <v>105.033959533043</v>
      </c>
      <c r="B8505" s="3">
        <v>-3.5559664486179798</v>
      </c>
      <c r="C8505" s="5">
        <v>7.7205702874407202E-40</v>
      </c>
      <c r="D8505" s="6">
        <v>1.5615348314700601E-38</v>
      </c>
      <c r="E8505" s="3" t="s">
        <v>1967</v>
      </c>
      <c r="F8505" s="3" t="s">
        <v>1968</v>
      </c>
      <c r="G8505" s="3">
        <v>110197</v>
      </c>
      <c r="H8505" s="7" t="str">
        <f>HYPERLINK("http://www.ensembl.org/Mus_musculus/Gene/Summary?db=core;g=ENSMUSG00000022861","ENSMUSG00000022861")</f>
        <v>ENSMUSG00000022861</v>
      </c>
      <c r="I8505" s="7" t="str">
        <f>HYPERLINK("http://www.informatics.jax.org/marker/MGI:105060","MGI:105060")</f>
        <v>MGI:105060</v>
      </c>
      <c r="J8505" s="4" t="s">
        <v>12</v>
      </c>
    </row>
    <row r="8506" spans="1:10" x14ac:dyDescent="0.25">
      <c r="A8506" s="2">
        <v>188.58071124013799</v>
      </c>
      <c r="B8506" s="3">
        <v>-3.6071020071372502</v>
      </c>
      <c r="C8506" s="5">
        <v>4.4358620197874497E-92</v>
      </c>
      <c r="D8506" s="6">
        <v>3.1019574124187402E-90</v>
      </c>
      <c r="E8506" s="3" t="s">
        <v>576</v>
      </c>
      <c r="F8506" s="3" t="s">
        <v>577</v>
      </c>
      <c r="G8506" s="3">
        <v>117590</v>
      </c>
      <c r="H8506" s="7" t="str">
        <f>HYPERLINK("http://www.ensembl.org/Mus_musculus/Gene/Summary?db=core;g=ENSMUSG00000038204","ENSMUSG00000038204")</f>
        <v>ENSMUSG00000038204</v>
      </c>
      <c r="I8506" s="7" t="str">
        <f>HYPERLINK("http://www.informatics.jax.org/marker/MGI:2152836","MGI:2152836")</f>
        <v>MGI:2152836</v>
      </c>
      <c r="J8506" s="4" t="s">
        <v>12</v>
      </c>
    </row>
    <row r="8507" spans="1:10" x14ac:dyDescent="0.25">
      <c r="A8507" s="2">
        <v>11.3863032497157</v>
      </c>
      <c r="B8507" s="3">
        <v>-3.6365494283168198</v>
      </c>
      <c r="C8507" s="5">
        <v>2.01172736035422E-22</v>
      </c>
      <c r="D8507" s="6">
        <v>2.2249727171163899E-21</v>
      </c>
      <c r="E8507" s="3" t="s">
        <v>3584</v>
      </c>
      <c r="F8507" s="3" t="s">
        <v>3585</v>
      </c>
      <c r="G8507" s="3">
        <v>170744</v>
      </c>
      <c r="H8507" s="7" t="str">
        <f>HYPERLINK("http://www.ensembl.org/Mus_musculus/Gene/Summary?db=core;g=ENSMUSG00000040522","ENSMUSG00000040522")</f>
        <v>ENSMUSG00000040522</v>
      </c>
      <c r="I8507" s="7" t="str">
        <f>HYPERLINK("http://www.informatics.jax.org/marker/MGI:2176887","MGI:2176887")</f>
        <v>MGI:2176887</v>
      </c>
      <c r="J8507" s="4" t="s">
        <v>12</v>
      </c>
    </row>
    <row r="8508" spans="1:10" x14ac:dyDescent="0.25">
      <c r="A8508" s="2">
        <v>501.58807182568898</v>
      </c>
      <c r="B8508" s="3">
        <v>-3.7187740584851801</v>
      </c>
      <c r="C8508" s="3">
        <v>0</v>
      </c>
      <c r="D8508" s="4">
        <v>0</v>
      </c>
      <c r="E8508" s="3" t="s">
        <v>33</v>
      </c>
      <c r="F8508" s="3" t="s">
        <v>34</v>
      </c>
      <c r="G8508" s="3">
        <v>20440</v>
      </c>
      <c r="H8508" s="7" t="str">
        <f>HYPERLINK("http://www.ensembl.org/Mus_musculus/Gene/Summary?db=core;g=ENSMUSG00000022885","ENSMUSG00000022885")</f>
        <v>ENSMUSG00000022885</v>
      </c>
      <c r="I8508" s="7" t="str">
        <f>HYPERLINK("http://www.informatics.jax.org/marker/MGI:108470","MGI:108470")</f>
        <v>MGI:108470</v>
      </c>
      <c r="J8508" s="4" t="s">
        <v>12</v>
      </c>
    </row>
    <row r="8509" spans="1:10" x14ac:dyDescent="0.25">
      <c r="A8509" s="2">
        <v>163.84977500436801</v>
      </c>
      <c r="B8509" s="3">
        <v>-3.8309171235847299</v>
      </c>
      <c r="C8509" s="5">
        <v>2.91871426949409E-37</v>
      </c>
      <c r="D8509" s="6">
        <v>5.4764077444741702E-36</v>
      </c>
      <c r="E8509" s="3" t="s">
        <v>2119</v>
      </c>
      <c r="F8509" s="3" t="s">
        <v>2120</v>
      </c>
      <c r="G8509" s="3">
        <v>14245</v>
      </c>
      <c r="H8509" s="7" t="str">
        <f>HYPERLINK("http://www.ensembl.org/Mus_musculus/Gene/Summary?db=core;g=ENSMUSG00000020593","ENSMUSG00000020593")</f>
        <v>ENSMUSG00000020593</v>
      </c>
      <c r="I8509" s="7" t="str">
        <f>HYPERLINK("http://www.informatics.jax.org/marker/MGI:1891340","MGI:1891340")</f>
        <v>MGI:1891340</v>
      </c>
      <c r="J8509" s="4" t="s">
        <v>12</v>
      </c>
    </row>
    <row r="8510" spans="1:10" x14ac:dyDescent="0.25">
      <c r="A8510" s="2">
        <v>113.930080095059</v>
      </c>
      <c r="B8510" s="3">
        <v>-3.84017104445797</v>
      </c>
      <c r="C8510" s="5">
        <v>1.9334338408556998E-71</v>
      </c>
      <c r="D8510" s="6">
        <v>9.1652200340563702E-70</v>
      </c>
      <c r="E8510" s="3" t="s">
        <v>844</v>
      </c>
      <c r="F8510" s="3" t="s">
        <v>845</v>
      </c>
      <c r="G8510" s="3">
        <v>237847</v>
      </c>
      <c r="H8510" s="7" t="str">
        <f>HYPERLINK("http://www.ensembl.org/Mus_musculus/Gene/Summary?db=core;g=ENSMUSG00000045287","ENSMUSG00000045287")</f>
        <v>ENSMUSG00000045287</v>
      </c>
      <c r="I8510" s="7" t="str">
        <f>HYPERLINK("http://www.informatics.jax.org/marker/MGI:2661375","MGI:2661375")</f>
        <v>MGI:2661375</v>
      </c>
      <c r="J8510" s="4" t="s">
        <v>12</v>
      </c>
    </row>
    <row r="8511" spans="1:10" x14ac:dyDescent="0.25">
      <c r="A8511" s="2">
        <v>355.68931356671101</v>
      </c>
      <c r="B8511" s="3">
        <v>-3.8455403936546602</v>
      </c>
      <c r="C8511" s="5">
        <v>3.8313428533143497E-151</v>
      </c>
      <c r="D8511" s="6">
        <v>8.1240947384256994E-149</v>
      </c>
      <c r="E8511" s="3" t="s">
        <v>196</v>
      </c>
      <c r="F8511" s="3" t="s">
        <v>197</v>
      </c>
      <c r="G8511" s="3">
        <v>12767</v>
      </c>
      <c r="H8511" s="7" t="str">
        <f>HYPERLINK("http://www.ensembl.org/Mus_musculus/Gene/Summary?db=core;g=ENSMUSG00000045382","ENSMUSG00000045382")</f>
        <v>ENSMUSG00000045382</v>
      </c>
      <c r="I8511" s="7" t="str">
        <f>HYPERLINK("http://www.informatics.jax.org/marker/MGI:109563","MGI:109563")</f>
        <v>MGI:109563</v>
      </c>
      <c r="J8511" s="4" t="s">
        <v>12</v>
      </c>
    </row>
    <row r="8512" spans="1:10" x14ac:dyDescent="0.25">
      <c r="A8512" s="2">
        <v>217.54408244527701</v>
      </c>
      <c r="B8512" s="3">
        <v>-4.1862596082778998</v>
      </c>
      <c r="C8512" s="5">
        <v>1.5327224904228699E-109</v>
      </c>
      <c r="D8512" s="6">
        <v>1.4531388226509101E-107</v>
      </c>
      <c r="E8512" s="3" t="s">
        <v>428</v>
      </c>
      <c r="F8512" s="3" t="s">
        <v>429</v>
      </c>
      <c r="G8512" s="3">
        <v>26874</v>
      </c>
      <c r="H8512" s="7" t="str">
        <f>HYPERLINK("http://www.ensembl.org/Mus_musculus/Gene/Summary?db=core;g=ENSMUSG00000055782","ENSMUSG00000055782")</f>
        <v>ENSMUSG00000055782</v>
      </c>
      <c r="I8512" s="7" t="str">
        <f>HYPERLINK("http://www.informatics.jax.org/marker/MGI:1349467","MGI:1349467")</f>
        <v>MGI:1349467</v>
      </c>
      <c r="J8512" s="4" t="s">
        <v>12</v>
      </c>
    </row>
    <row r="8513" spans="1:36" x14ac:dyDescent="0.25">
      <c r="A8513" s="2">
        <v>51.541653207683297</v>
      </c>
      <c r="B8513" s="3">
        <v>-4.6937039532224096</v>
      </c>
      <c r="C8513" s="5">
        <v>2.26573374523605E-51</v>
      </c>
      <c r="D8513" s="6">
        <v>6.2929956980358902E-50</v>
      </c>
      <c r="E8513" s="3" t="s">
        <v>1436</v>
      </c>
      <c r="F8513" s="3" t="s">
        <v>1437</v>
      </c>
      <c r="G8513" s="3">
        <v>320495</v>
      </c>
      <c r="H8513" s="7" t="str">
        <f>HYPERLINK("http://www.ensembl.org/Mus_musculus/Gene/Summary?db=core;g=ENSMUSG00000064065","ENSMUSG00000064065")</f>
        <v>ENSMUSG00000064065</v>
      </c>
      <c r="I8513" s="7" t="str">
        <f>HYPERLINK("http://www.informatics.jax.org/marker/MGI:2444159","MGI:2444159")</f>
        <v>MGI:2444159</v>
      </c>
      <c r="J8513" s="4" t="s">
        <v>12</v>
      </c>
    </row>
    <row r="8516" spans="1:36" x14ac:dyDescent="0.25">
      <c r="C8516" s="3"/>
      <c r="D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5"/>
      <c r="R8516" s="5"/>
      <c r="S8516" s="3"/>
      <c r="T8516" s="3"/>
      <c r="U8516" s="3"/>
      <c r="V8516" s="3"/>
      <c r="W8516" s="3"/>
      <c r="X8516" s="3"/>
      <c r="Y8516" s="3"/>
      <c r="AB8516" s="3"/>
      <c r="AC8516" s="3"/>
      <c r="AD8516" s="3"/>
      <c r="AE8516" s="3"/>
      <c r="AJ8516" s="3"/>
    </row>
  </sheetData>
  <autoFilter ref="A7:J7" xr:uid="{E406DE06-F9BE-4A25-AA09-CA794627D6B2}">
    <sortState xmlns:xlrd2="http://schemas.microsoft.com/office/spreadsheetml/2017/richdata2" ref="A8:J8513">
      <sortCondition descending="1" ref="B7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7032"/>
  <sheetViews>
    <sheetView workbookViewId="0">
      <selection activeCell="O13" sqref="O13"/>
    </sheetView>
  </sheetViews>
  <sheetFormatPr defaultRowHeight="15" x14ac:dyDescent="0.25"/>
  <sheetData>
    <row r="7" spans="1:10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x14ac:dyDescent="0.25">
      <c r="A8" s="2">
        <v>492.01093764563899</v>
      </c>
      <c r="B8" s="3">
        <v>7.7745443031533004</v>
      </c>
      <c r="C8" s="5">
        <v>6.53844969380581E-122</v>
      </c>
      <c r="D8" s="6">
        <v>1.5083955148052E-119</v>
      </c>
      <c r="E8" s="3" t="s">
        <v>272</v>
      </c>
      <c r="F8" s="3" t="s">
        <v>273</v>
      </c>
      <c r="G8" s="3">
        <v>12985</v>
      </c>
      <c r="H8" s="7" t="str">
        <f>HYPERLINK("http://www.ensembl.org/Mus_musculus/Gene/Summary?db=core;g=ENSMUSG00000038067","ENSMUSG00000038067")</f>
        <v>ENSMUSG00000038067</v>
      </c>
      <c r="I8" s="7" t="str">
        <f>HYPERLINK("http://www.informatics.jax.org/marker/MGI:1339751","MGI:1339751")</f>
        <v>MGI:1339751</v>
      </c>
      <c r="J8" s="4" t="s">
        <v>12</v>
      </c>
    </row>
    <row r="9" spans="1:10" x14ac:dyDescent="0.25">
      <c r="A9" s="2">
        <v>1111.2411254799999</v>
      </c>
      <c r="B9" s="3">
        <v>6.9297458715216402</v>
      </c>
      <c r="C9" s="5">
        <v>5.6964241685128403E-108</v>
      </c>
      <c r="D9" s="6">
        <v>9.5245257312978492E-106</v>
      </c>
      <c r="E9" s="3" t="s">
        <v>424</v>
      </c>
      <c r="F9" s="3" t="s">
        <v>425</v>
      </c>
      <c r="G9" s="3">
        <v>100038882</v>
      </c>
      <c r="H9" s="7" t="str">
        <f>HYPERLINK("http://www.ensembl.org/Mus_musculus/Gene/Summary?db=core;g=ENSMUSG00000035692","ENSMUSG00000035692")</f>
        <v>ENSMUSG00000035692</v>
      </c>
      <c r="I9" s="7" t="str">
        <f>HYPERLINK("http://www.informatics.jax.org/marker/MGI:1855694","MGI:1855694")</f>
        <v>MGI:1855694</v>
      </c>
      <c r="J9" s="4" t="s">
        <v>12</v>
      </c>
    </row>
    <row r="10" spans="1:10" x14ac:dyDescent="0.25">
      <c r="A10" s="2">
        <v>893.98898573699796</v>
      </c>
      <c r="B10" s="3">
        <v>6.7857238428809596</v>
      </c>
      <c r="C10" s="5">
        <v>3.0973575173692698E-70</v>
      </c>
      <c r="D10" s="6">
        <v>2.3618971026801201E-68</v>
      </c>
      <c r="E10" s="3" t="s">
        <v>1636</v>
      </c>
      <c r="F10" s="3" t="s">
        <v>1637</v>
      </c>
      <c r="G10" s="3">
        <v>22029</v>
      </c>
      <c r="H10" s="7" t="str">
        <f>HYPERLINK("http://www.ensembl.org/Mus_musculus/Gene/Summary?db=core;g=ENSMUSG00000026875","ENSMUSG00000026875")</f>
        <v>ENSMUSG00000026875</v>
      </c>
      <c r="I10" s="7" t="str">
        <f>HYPERLINK("http://www.informatics.jax.org/marker/MGI:101836","MGI:101836")</f>
        <v>MGI:101836</v>
      </c>
      <c r="J10" s="4" t="s">
        <v>12</v>
      </c>
    </row>
    <row r="11" spans="1:10" x14ac:dyDescent="0.25">
      <c r="A11" s="2">
        <v>1099.1382676015901</v>
      </c>
      <c r="B11" s="3">
        <v>6.7556871743998697</v>
      </c>
      <c r="C11" s="5">
        <v>1.2523675973597E-77</v>
      </c>
      <c r="D11" s="6">
        <v>1.11884311087649E-75</v>
      </c>
      <c r="E11" s="3" t="s">
        <v>638</v>
      </c>
      <c r="F11" s="3" t="s">
        <v>639</v>
      </c>
      <c r="G11" s="3">
        <v>14469</v>
      </c>
      <c r="H11" s="7" t="str">
        <f>HYPERLINK("http://www.ensembl.org/Mus_musculus/Gene/Summary?db=core;g=ENSMUSG00000028270","ENSMUSG00000028270")</f>
        <v>ENSMUSG00000028270</v>
      </c>
      <c r="I11" s="7" t="str">
        <f>HYPERLINK("http://www.informatics.jax.org/marker/MGI:102772","MGI:102772")</f>
        <v>MGI:102772</v>
      </c>
      <c r="J11" s="4" t="s">
        <v>12</v>
      </c>
    </row>
    <row r="12" spans="1:10" x14ac:dyDescent="0.25">
      <c r="A12" s="2">
        <v>3637.3655226058299</v>
      </c>
      <c r="B12" s="3">
        <v>6.5785672150376104</v>
      </c>
      <c r="C12" s="5">
        <v>1.89163035902284E-91</v>
      </c>
      <c r="D12" s="6">
        <v>2.3612988556980299E-89</v>
      </c>
      <c r="E12" s="3" t="s">
        <v>1029</v>
      </c>
      <c r="F12" s="3" t="s">
        <v>1030</v>
      </c>
      <c r="G12" s="3">
        <v>20210</v>
      </c>
      <c r="H12" s="7" t="str">
        <f>HYPERLINK("http://www.ensembl.org/Mus_musculus/Gene/Summary?db=core;g=ENSMUSG00000040026","ENSMUSG00000040026")</f>
        <v>ENSMUSG00000040026</v>
      </c>
      <c r="I12" s="7" t="str">
        <f>HYPERLINK("http://www.informatics.jax.org/marker/MGI:98223","MGI:98223")</f>
        <v>MGI:98223</v>
      </c>
      <c r="J12" s="4" t="s">
        <v>12</v>
      </c>
    </row>
    <row r="13" spans="1:10" x14ac:dyDescent="0.25">
      <c r="A13" s="2">
        <v>991.767413193891</v>
      </c>
      <c r="B13" s="3">
        <v>6.5106378896008001</v>
      </c>
      <c r="C13" s="5">
        <v>4.4233088484068799E-90</v>
      </c>
      <c r="D13" s="6">
        <v>5.3743202508143596E-88</v>
      </c>
      <c r="E13" s="3" t="s">
        <v>538</v>
      </c>
      <c r="F13" s="3" t="s">
        <v>539</v>
      </c>
      <c r="G13" s="3">
        <v>55932</v>
      </c>
      <c r="H13" s="7" t="str">
        <f>HYPERLINK("http://www.ensembl.org/Mus_musculus/Gene/Summary?db=core;g=ENSMUSG00000028268","ENSMUSG00000028268")</f>
        <v>ENSMUSG00000028268</v>
      </c>
      <c r="I13" s="7" t="str">
        <f>HYPERLINK("http://www.informatics.jax.org/marker/MGI:1926263","MGI:1926263")</f>
        <v>MGI:1926263</v>
      </c>
      <c r="J13" s="4" t="s">
        <v>12</v>
      </c>
    </row>
    <row r="14" spans="1:10" x14ac:dyDescent="0.25">
      <c r="A14" s="2">
        <v>545.67610522212897</v>
      </c>
      <c r="B14" s="3">
        <v>6.45621017410192</v>
      </c>
      <c r="C14" s="5">
        <v>2.1632171108968002E-71</v>
      </c>
      <c r="D14" s="6">
        <v>1.72159964393425E-69</v>
      </c>
      <c r="E14" s="3" t="s">
        <v>1098</v>
      </c>
      <c r="F14" s="3" t="s">
        <v>1099</v>
      </c>
      <c r="G14" s="3">
        <v>67775</v>
      </c>
      <c r="H14" s="7" t="str">
        <f>HYPERLINK("http://www.ensembl.org/Mus_musculus/Gene/Summary?db=core;g=ENSMUSG00000033355","ENSMUSG00000033355")</f>
        <v>ENSMUSG00000033355</v>
      </c>
      <c r="I14" s="7" t="str">
        <f>HYPERLINK("http://www.informatics.jax.org/marker/MGI:1915025","MGI:1915025")</f>
        <v>MGI:1915025</v>
      </c>
      <c r="J14" s="4" t="s">
        <v>12</v>
      </c>
    </row>
    <row r="15" spans="1:10" x14ac:dyDescent="0.25">
      <c r="A15" s="2">
        <v>1481.8831292042601</v>
      </c>
      <c r="B15" s="3">
        <v>6.4471293135277401</v>
      </c>
      <c r="C15" s="5">
        <v>2.8282934021260201E-83</v>
      </c>
      <c r="D15" s="6">
        <v>2.9121834606636598E-81</v>
      </c>
      <c r="E15" s="3" t="s">
        <v>416</v>
      </c>
      <c r="F15" s="3" t="s">
        <v>417</v>
      </c>
      <c r="G15" s="3">
        <v>20304</v>
      </c>
      <c r="H15" s="7" t="str">
        <f>HYPERLINK("http://www.ensembl.org/Mus_musculus/Gene/Summary?db=core;g=ENSMUSG00000035042","ENSMUSG00000035042")</f>
        <v>ENSMUSG00000035042</v>
      </c>
      <c r="I15" s="7" t="str">
        <f>HYPERLINK("http://www.informatics.jax.org/marker/MGI:98262","MGI:98262")</f>
        <v>MGI:98262</v>
      </c>
      <c r="J15" s="4" t="s">
        <v>12</v>
      </c>
    </row>
    <row r="16" spans="1:10" x14ac:dyDescent="0.25">
      <c r="A16" s="2">
        <v>2483.7492584788502</v>
      </c>
      <c r="B16" s="3">
        <v>6.4368651638546499</v>
      </c>
      <c r="C16" s="5">
        <v>2.5174976997531099E-62</v>
      </c>
      <c r="D16" s="6">
        <v>1.6269998431915001E-60</v>
      </c>
      <c r="E16" s="3" t="s">
        <v>1142</v>
      </c>
      <c r="F16" s="3" t="s">
        <v>1143</v>
      </c>
      <c r="G16" s="3">
        <v>22169</v>
      </c>
      <c r="H16" s="7" t="str">
        <f>HYPERLINK("http://www.ensembl.org/Mus_musculus/Gene/Summary?db=core;g=ENSMUSG00000020638","ENSMUSG00000020638")</f>
        <v>ENSMUSG00000020638</v>
      </c>
      <c r="I16" s="7" t="str">
        <f>HYPERLINK("http://www.informatics.jax.org/marker/MGI:99830","MGI:99830")</f>
        <v>MGI:99830</v>
      </c>
      <c r="J16" s="4" t="s">
        <v>12</v>
      </c>
    </row>
    <row r="17" spans="1:10" x14ac:dyDescent="0.25">
      <c r="A17" s="2">
        <v>144.364260642294</v>
      </c>
      <c r="B17" s="3">
        <v>6.3586176563684802</v>
      </c>
      <c r="C17" s="5">
        <v>1.9206069270592599E-80</v>
      </c>
      <c r="D17" s="6">
        <v>1.85201382252143E-78</v>
      </c>
      <c r="E17" s="3" t="s">
        <v>374</v>
      </c>
      <c r="F17" s="3" t="s">
        <v>375</v>
      </c>
      <c r="G17" s="3">
        <v>240063</v>
      </c>
      <c r="H17" s="7" t="str">
        <f>HYPERLINK("http://www.ensembl.org/Mus_musculus/Gene/Summary?db=core;g=ENSMUSG00000055202","ENSMUSG00000055202")</f>
        <v>ENSMUSG00000055202</v>
      </c>
      <c r="I17" s="7" t="str">
        <f>HYPERLINK("http://www.informatics.jax.org/marker/MGI:2682944","MGI:2682944")</f>
        <v>MGI:2682944</v>
      </c>
      <c r="J17" s="4" t="s">
        <v>12</v>
      </c>
    </row>
    <row r="18" spans="1:10" x14ac:dyDescent="0.25">
      <c r="A18" s="2">
        <v>316.14323295827597</v>
      </c>
      <c r="B18" s="3">
        <v>6.2866560926088599</v>
      </c>
      <c r="C18" s="5">
        <v>2.0893838734350998E-84</v>
      </c>
      <c r="D18" s="6">
        <v>2.2268433387926799E-82</v>
      </c>
      <c r="E18" s="3" t="s">
        <v>321</v>
      </c>
      <c r="F18" s="3" t="s">
        <v>322</v>
      </c>
      <c r="G18" s="3">
        <v>209086</v>
      </c>
      <c r="H18" s="7" t="str">
        <f>HYPERLINK("http://www.ensembl.org/Mus_musculus/Gene/Summary?db=core;g=ENSMUSG00000047735","ENSMUSG00000047735")</f>
        <v>ENSMUSG00000047735</v>
      </c>
      <c r="I18" s="7" t="str">
        <f>HYPERLINK("http://www.informatics.jax.org/marker/MGI:1343184","MGI:1343184")</f>
        <v>MGI:1343184</v>
      </c>
      <c r="J18" s="4" t="s">
        <v>12</v>
      </c>
    </row>
    <row r="19" spans="1:10" x14ac:dyDescent="0.25">
      <c r="A19" s="2">
        <v>1218.6698051615999</v>
      </c>
      <c r="B19" s="3">
        <v>6.2520857417262503</v>
      </c>
      <c r="C19" s="5">
        <v>4.6680176522918002E-69</v>
      </c>
      <c r="D19" s="6">
        <v>3.4583179558137402E-67</v>
      </c>
      <c r="E19" s="3" t="s">
        <v>1023</v>
      </c>
      <c r="F19" s="3" t="s">
        <v>1024</v>
      </c>
      <c r="G19" s="3">
        <v>23962</v>
      </c>
      <c r="H19" s="7" t="str">
        <f>HYPERLINK("http://www.ensembl.org/Mus_musculus/Gene/Summary?db=core;g=ENSMUSG00000029561","ENSMUSG00000029561")</f>
        <v>ENSMUSG00000029561</v>
      </c>
      <c r="I19" s="7" t="str">
        <f>HYPERLINK("http://www.informatics.jax.org/marker/MGI:1344390","MGI:1344390")</f>
        <v>MGI:1344390</v>
      </c>
      <c r="J19" s="4" t="s">
        <v>12</v>
      </c>
    </row>
    <row r="20" spans="1:10" x14ac:dyDescent="0.25">
      <c r="A20" s="2">
        <v>1442.15242395928</v>
      </c>
      <c r="B20" s="3">
        <v>6.2404624313975701</v>
      </c>
      <c r="C20" s="5">
        <v>2.19441446835541E-52</v>
      </c>
      <c r="D20" s="6">
        <v>1.0927104832179601E-50</v>
      </c>
      <c r="E20" s="3" t="s">
        <v>1566</v>
      </c>
      <c r="F20" s="3" t="s">
        <v>1567</v>
      </c>
      <c r="G20" s="3">
        <v>18126</v>
      </c>
      <c r="H20" s="7" t="str">
        <f>HYPERLINK("http://www.ensembl.org/Mus_musculus/Gene/Summary?db=core;g=ENSMUSG00000020826","ENSMUSG00000020826")</f>
        <v>ENSMUSG00000020826</v>
      </c>
      <c r="I20" s="7" t="str">
        <f>HYPERLINK("http://www.informatics.jax.org/marker/MGI:97361","MGI:97361")</f>
        <v>MGI:97361</v>
      </c>
      <c r="J20" s="4" t="s">
        <v>12</v>
      </c>
    </row>
    <row r="21" spans="1:10" x14ac:dyDescent="0.25">
      <c r="A21" s="2">
        <v>406.41472071926597</v>
      </c>
      <c r="B21" s="3">
        <v>6.1303391168044197</v>
      </c>
      <c r="C21" s="5">
        <v>2.72020494273512E-71</v>
      </c>
      <c r="D21" s="6">
        <v>2.1554667426672901E-69</v>
      </c>
      <c r="E21" s="3" t="s">
        <v>878</v>
      </c>
      <c r="F21" s="3" t="s">
        <v>879</v>
      </c>
      <c r="G21" s="3">
        <v>327978</v>
      </c>
      <c r="H21" s="7" t="str">
        <f>HYPERLINK("http://www.ensembl.org/Mus_musculus/Gene/Summary?db=core;g=ENSMUSG00000054404","ENSMUSG00000054404")</f>
        <v>ENSMUSG00000054404</v>
      </c>
      <c r="I21" s="7" t="str">
        <f>HYPERLINK("http://www.informatics.jax.org/marker/MGI:1329004","MGI:1329004")</f>
        <v>MGI:1329004</v>
      </c>
      <c r="J21" s="4" t="s">
        <v>12</v>
      </c>
    </row>
    <row r="22" spans="1:10" x14ac:dyDescent="0.25">
      <c r="A22" s="2">
        <v>177.46822714770701</v>
      </c>
      <c r="B22" s="3">
        <v>6.0627302578276803</v>
      </c>
      <c r="C22" s="5">
        <v>1.07659077566E-80</v>
      </c>
      <c r="D22" s="6">
        <v>1.0492442185242499E-78</v>
      </c>
      <c r="E22" s="3" t="s">
        <v>329</v>
      </c>
      <c r="F22" s="3" t="s">
        <v>330</v>
      </c>
      <c r="G22" s="3" t="s">
        <v>83</v>
      </c>
      <c r="H22" s="7" t="str">
        <f>HYPERLINK("http://www.ensembl.org/Mus_musculus/Gene/Summary?db=core;g=ENSMUSG00000106734","ENSMUSG00000106734")</f>
        <v>ENSMUSG00000106734</v>
      </c>
      <c r="I22" s="7" t="str">
        <f>HYPERLINK("http://www.informatics.jax.org/marker/MGI:5295666","MGI:5295666")</f>
        <v>MGI:5295666</v>
      </c>
      <c r="J22" s="4" t="s">
        <v>331</v>
      </c>
    </row>
    <row r="23" spans="1:10" x14ac:dyDescent="0.25">
      <c r="A23" s="2">
        <v>1079.6482495042301</v>
      </c>
      <c r="B23" s="3">
        <v>6.0579184601470297</v>
      </c>
      <c r="C23" s="5">
        <v>2.58963562599874E-83</v>
      </c>
      <c r="D23" s="6">
        <v>2.6815971183992599E-81</v>
      </c>
      <c r="E23" s="3" t="s">
        <v>696</v>
      </c>
      <c r="F23" s="3" t="s">
        <v>697</v>
      </c>
      <c r="G23" s="3">
        <v>54123</v>
      </c>
      <c r="H23" s="7" t="str">
        <f>HYPERLINK("http://www.ensembl.org/Mus_musculus/Gene/Summary?db=core;g=ENSMUSG00000025498","ENSMUSG00000025498")</f>
        <v>ENSMUSG00000025498</v>
      </c>
      <c r="I23" s="7" t="str">
        <f>HYPERLINK("http://www.informatics.jax.org/marker/MGI:1859212","MGI:1859212")</f>
        <v>MGI:1859212</v>
      </c>
      <c r="J23" s="4" t="s">
        <v>12</v>
      </c>
    </row>
    <row r="24" spans="1:10" x14ac:dyDescent="0.25">
      <c r="A24" s="2">
        <v>407.81516656592203</v>
      </c>
      <c r="B24" s="3">
        <v>5.9733215778052697</v>
      </c>
      <c r="C24" s="5">
        <v>1.9528610278062601E-60</v>
      </c>
      <c r="D24" s="6">
        <v>1.21057456570643E-58</v>
      </c>
      <c r="E24" s="3" t="s">
        <v>916</v>
      </c>
      <c r="F24" s="3" t="s">
        <v>917</v>
      </c>
      <c r="G24" s="3">
        <v>229900</v>
      </c>
      <c r="H24" s="7" t="str">
        <f>HYPERLINK("http://www.ensembl.org/Mus_musculus/Gene/Summary?db=core;g=ENSMUSG00000040253","ENSMUSG00000040253")</f>
        <v>ENSMUSG00000040253</v>
      </c>
      <c r="I24" s="7" t="str">
        <f>HYPERLINK("http://www.informatics.jax.org/marker/MGI:2444421","MGI:2444421")</f>
        <v>MGI:2444421</v>
      </c>
      <c r="J24" s="4" t="s">
        <v>12</v>
      </c>
    </row>
    <row r="25" spans="1:10" x14ac:dyDescent="0.25">
      <c r="A25" s="2">
        <v>1165.5933293924099</v>
      </c>
      <c r="B25" s="3">
        <v>5.9414697869072102</v>
      </c>
      <c r="C25" s="5">
        <v>3.3602415055291803E-54</v>
      </c>
      <c r="D25" s="6">
        <v>1.7447407817170699E-52</v>
      </c>
      <c r="E25" s="3" t="s">
        <v>1356</v>
      </c>
      <c r="F25" s="3" t="s">
        <v>1357</v>
      </c>
      <c r="G25" s="3">
        <v>15957</v>
      </c>
      <c r="H25" s="7" t="str">
        <f>HYPERLINK("http://www.ensembl.org/Mus_musculus/Gene/Summary?db=core;g=ENSMUSG00000034459","ENSMUSG00000034459")</f>
        <v>ENSMUSG00000034459</v>
      </c>
      <c r="I25" s="7" t="str">
        <f>HYPERLINK("http://www.informatics.jax.org/marker/MGI:99450","MGI:99450")</f>
        <v>MGI:99450</v>
      </c>
      <c r="J25" s="4" t="s">
        <v>12</v>
      </c>
    </row>
    <row r="26" spans="1:10" x14ac:dyDescent="0.25">
      <c r="A26" s="2">
        <v>359.11760784845097</v>
      </c>
      <c r="B26" s="3">
        <v>5.9267028158284001</v>
      </c>
      <c r="C26" s="5">
        <v>9.9969130841701898E-78</v>
      </c>
      <c r="D26" s="6">
        <v>9.0194921266832503E-76</v>
      </c>
      <c r="E26" s="3" t="s">
        <v>602</v>
      </c>
      <c r="F26" s="3" t="s">
        <v>603</v>
      </c>
      <c r="G26" s="3">
        <v>327959</v>
      </c>
      <c r="H26" s="7" t="str">
        <f>HYPERLINK("http://www.ensembl.org/Mus_musculus/Gene/Summary?db=core;g=ENSMUSG00000040483","ENSMUSG00000040483")</f>
        <v>ENSMUSG00000040483</v>
      </c>
      <c r="I26" s="7" t="str">
        <f>HYPERLINK("http://www.informatics.jax.org/marker/MGI:3772572","MGI:3772572")</f>
        <v>MGI:3772572</v>
      </c>
      <c r="J26" s="4" t="s">
        <v>12</v>
      </c>
    </row>
    <row r="27" spans="1:10" x14ac:dyDescent="0.25">
      <c r="A27" s="2">
        <v>423.22810320555101</v>
      </c>
      <c r="B27" s="3">
        <v>5.91659886396892</v>
      </c>
      <c r="C27" s="5">
        <v>1.0476869923010599E-85</v>
      </c>
      <c r="D27" s="6">
        <v>1.17141689783355E-83</v>
      </c>
      <c r="E27" s="3" t="s">
        <v>977</v>
      </c>
      <c r="F27" s="3" t="s">
        <v>978</v>
      </c>
      <c r="G27" s="3">
        <v>19250</v>
      </c>
      <c r="H27" s="7" t="str">
        <f>HYPERLINK("http://www.ensembl.org/Mus_musculus/Gene/Summary?db=core;g=ENSMUSG00000026604","ENSMUSG00000026604")</f>
        <v>ENSMUSG00000026604</v>
      </c>
      <c r="I27" s="7" t="str">
        <f>HYPERLINK("http://www.informatics.jax.org/marker/MGI:102467","MGI:102467")</f>
        <v>MGI:102467</v>
      </c>
      <c r="J27" s="4" t="s">
        <v>12</v>
      </c>
    </row>
    <row r="28" spans="1:10" x14ac:dyDescent="0.25">
      <c r="A28" s="2">
        <v>4332.3403581480798</v>
      </c>
      <c r="B28" s="3">
        <v>5.8093730735752303</v>
      </c>
      <c r="C28" s="5">
        <v>3.8185273260898801E-47</v>
      </c>
      <c r="D28" s="6">
        <v>1.69325208072963E-45</v>
      </c>
      <c r="E28" s="3" t="s">
        <v>1490</v>
      </c>
      <c r="F28" s="3" t="s">
        <v>1491</v>
      </c>
      <c r="G28" s="3">
        <v>15945</v>
      </c>
      <c r="H28" s="7" t="str">
        <f>HYPERLINK("http://www.ensembl.org/Mus_musculus/Gene/Summary?db=core;g=ENSMUSG00000034855","ENSMUSG00000034855")</f>
        <v>ENSMUSG00000034855</v>
      </c>
      <c r="I28" s="7" t="str">
        <f>HYPERLINK("http://www.informatics.jax.org/marker/MGI:1352450","MGI:1352450")</f>
        <v>MGI:1352450</v>
      </c>
      <c r="J28" s="4" t="s">
        <v>12</v>
      </c>
    </row>
    <row r="29" spans="1:10" x14ac:dyDescent="0.25">
      <c r="A29" s="2">
        <v>104.992251643616</v>
      </c>
      <c r="B29" s="3">
        <v>5.7694299270594103</v>
      </c>
      <c r="C29" s="5">
        <v>1.6594758424737001E-52</v>
      </c>
      <c r="D29" s="6">
        <v>8.35468155499536E-51</v>
      </c>
      <c r="E29" s="3" t="s">
        <v>1288</v>
      </c>
      <c r="F29" s="3" t="s">
        <v>1289</v>
      </c>
      <c r="G29" s="3">
        <v>16819</v>
      </c>
      <c r="H29" s="7" t="str">
        <f>HYPERLINK("http://www.ensembl.org/Mus_musculus/Gene/Summary?db=core;g=ENSMUSG00000026822","ENSMUSG00000026822")</f>
        <v>ENSMUSG00000026822</v>
      </c>
      <c r="I29" s="7" t="str">
        <f>HYPERLINK("http://www.informatics.jax.org/marker/MGI:96757","MGI:96757")</f>
        <v>MGI:96757</v>
      </c>
      <c r="J29" s="4" t="s">
        <v>12</v>
      </c>
    </row>
    <row r="30" spans="1:10" x14ac:dyDescent="0.25">
      <c r="A30" s="2">
        <v>635.96098848613701</v>
      </c>
      <c r="B30" s="3">
        <v>5.71475940374693</v>
      </c>
      <c r="C30" s="5">
        <v>4.6206043356823798E-50</v>
      </c>
      <c r="D30" s="6">
        <v>2.21606615836345E-48</v>
      </c>
      <c r="E30" s="3" t="s">
        <v>1214</v>
      </c>
      <c r="F30" s="3" t="s">
        <v>1215</v>
      </c>
      <c r="G30" s="3">
        <v>15959</v>
      </c>
      <c r="H30" s="7" t="str">
        <f>HYPERLINK("http://www.ensembl.org/Mus_musculus/Gene/Summary?db=core;g=ENSMUSG00000074896","ENSMUSG00000074896")</f>
        <v>ENSMUSG00000074896</v>
      </c>
      <c r="I30" s="7" t="str">
        <f>HYPERLINK("http://www.informatics.jax.org/marker/MGI:1101055","MGI:1101055")</f>
        <v>MGI:1101055</v>
      </c>
      <c r="J30" s="4" t="s">
        <v>12</v>
      </c>
    </row>
    <row r="31" spans="1:10" x14ac:dyDescent="0.25">
      <c r="A31" s="2">
        <v>651.37145793728905</v>
      </c>
      <c r="B31" s="3">
        <v>5.68305979543016</v>
      </c>
      <c r="C31" s="5">
        <v>2.2297543097366599E-100</v>
      </c>
      <c r="D31" s="6">
        <v>3.3309239586025099E-98</v>
      </c>
      <c r="E31" s="3" t="s">
        <v>332</v>
      </c>
      <c r="F31" s="3" t="s">
        <v>333</v>
      </c>
      <c r="G31" s="3">
        <v>230073</v>
      </c>
      <c r="H31" s="7" t="str">
        <f>HYPERLINK("http://www.ensembl.org/Mus_musculus/Gene/Summary?db=core;g=ENSMUSG00000040296","ENSMUSG00000040296")</f>
        <v>ENSMUSG00000040296</v>
      </c>
      <c r="I31" s="7" t="str">
        <f>HYPERLINK("http://www.informatics.jax.org/marker/MGI:2442858","MGI:2442858")</f>
        <v>MGI:2442858</v>
      </c>
      <c r="J31" s="4" t="s">
        <v>12</v>
      </c>
    </row>
    <row r="32" spans="1:10" x14ac:dyDescent="0.25">
      <c r="A32" s="2">
        <v>317.52779885943602</v>
      </c>
      <c r="B32" s="3">
        <v>5.5640706769642803</v>
      </c>
      <c r="C32" s="5">
        <v>1.14815889291551E-58</v>
      </c>
      <c r="D32" s="6">
        <v>6.6853660777588398E-57</v>
      </c>
      <c r="E32" s="3" t="s">
        <v>658</v>
      </c>
      <c r="F32" s="3" t="s">
        <v>659</v>
      </c>
      <c r="G32" s="3">
        <v>381308</v>
      </c>
      <c r="H32" s="7" t="str">
        <f>HYPERLINK("http://www.ensembl.org/Mus_musculus/Gene/Summary?db=core;g=ENSMUSG00000026536","ENSMUSG00000026536")</f>
        <v>ENSMUSG00000026536</v>
      </c>
      <c r="I32" s="7" t="str">
        <f>HYPERLINK("http://www.informatics.jax.org/marker/MGI:3041120","MGI:3041120")</f>
        <v>MGI:3041120</v>
      </c>
      <c r="J32" s="4" t="s">
        <v>12</v>
      </c>
    </row>
    <row r="33" spans="1:10" x14ac:dyDescent="0.25">
      <c r="A33" s="2">
        <v>976.03518898309005</v>
      </c>
      <c r="B33" s="3">
        <v>5.56083615129881</v>
      </c>
      <c r="C33" s="5">
        <v>5.1648470093914696E-40</v>
      </c>
      <c r="D33" s="6">
        <v>1.8032439989685701E-38</v>
      </c>
      <c r="E33" s="3" t="s">
        <v>1596</v>
      </c>
      <c r="F33" s="3" t="s">
        <v>1597</v>
      </c>
      <c r="G33" s="3">
        <v>20310</v>
      </c>
      <c r="H33" s="7" t="str">
        <f>HYPERLINK("http://www.ensembl.org/Mus_musculus/Gene/Summary?db=core;g=ENSMUSG00000058427","ENSMUSG00000058427")</f>
        <v>ENSMUSG00000058427</v>
      </c>
      <c r="I33" s="7" t="str">
        <f>HYPERLINK("http://www.informatics.jax.org/marker/MGI:1340094","MGI:1340094")</f>
        <v>MGI:1340094</v>
      </c>
      <c r="J33" s="4" t="s">
        <v>12</v>
      </c>
    </row>
    <row r="34" spans="1:10" x14ac:dyDescent="0.25">
      <c r="A34" s="2">
        <v>228.53711369201801</v>
      </c>
      <c r="B34" s="3">
        <v>5.5606755426358898</v>
      </c>
      <c r="C34" s="5">
        <v>3.8523798190277501E-113</v>
      </c>
      <c r="D34" s="6">
        <v>7.3904865475558602E-111</v>
      </c>
      <c r="E34" s="3" t="s">
        <v>166</v>
      </c>
      <c r="F34" s="3" t="s">
        <v>167</v>
      </c>
      <c r="G34" s="3">
        <v>104252</v>
      </c>
      <c r="H34" s="7" t="str">
        <f>HYPERLINK("http://www.ensembl.org/Mus_musculus/Gene/Summary?db=core;g=ENSMUSG00000045664","ENSMUSG00000045664")</f>
        <v>ENSMUSG00000045664</v>
      </c>
      <c r="I34" s="7" t="str">
        <f>HYPERLINK("http://www.informatics.jax.org/marker/MGI:1929744","MGI:1929744")</f>
        <v>MGI:1929744</v>
      </c>
      <c r="J34" s="4" t="s">
        <v>12</v>
      </c>
    </row>
    <row r="35" spans="1:10" x14ac:dyDescent="0.25">
      <c r="A35" s="2">
        <v>3052.6768361602499</v>
      </c>
      <c r="B35" s="3">
        <v>5.5325287032316002</v>
      </c>
      <c r="C35" s="5">
        <v>4.6835359344135504E-133</v>
      </c>
      <c r="D35" s="6">
        <v>1.21939203435267E-130</v>
      </c>
      <c r="E35" s="3" t="s">
        <v>254</v>
      </c>
      <c r="F35" s="3" t="s">
        <v>255</v>
      </c>
      <c r="G35" s="3">
        <v>20303</v>
      </c>
      <c r="H35" s="7" t="str">
        <f>HYPERLINK("http://www.ensembl.org/Mus_musculus/Gene/Summary?db=core;g=ENSMUSG00000018930","ENSMUSG00000018930")</f>
        <v>ENSMUSG00000018930</v>
      </c>
      <c r="I35" s="7" t="str">
        <f>HYPERLINK("http://www.informatics.jax.org/marker/MGI:98261","MGI:98261")</f>
        <v>MGI:98261</v>
      </c>
      <c r="J35" s="4" t="s">
        <v>12</v>
      </c>
    </row>
    <row r="36" spans="1:10" x14ac:dyDescent="0.25">
      <c r="A36" s="2">
        <v>4311.1992733896504</v>
      </c>
      <c r="B36" s="3">
        <v>5.4772755350234101</v>
      </c>
      <c r="C36" s="5">
        <v>3.3079736074368903E-122</v>
      </c>
      <c r="D36" s="6">
        <v>7.7292075635304194E-120</v>
      </c>
      <c r="E36" s="3" t="s">
        <v>325</v>
      </c>
      <c r="F36" s="3" t="s">
        <v>326</v>
      </c>
      <c r="G36" s="3">
        <v>547253</v>
      </c>
      <c r="H36" s="7" t="str">
        <f>HYPERLINK("http://www.ensembl.org/Mus_musculus/Gene/Summary?db=core;g=ENSMUSG00000034422","ENSMUSG00000034422")</f>
        <v>ENSMUSG00000034422</v>
      </c>
      <c r="I36" s="7" t="str">
        <f>HYPERLINK("http://www.informatics.jax.org/marker/MGI:1919489","MGI:1919489")</f>
        <v>MGI:1919489</v>
      </c>
      <c r="J36" s="4" t="s">
        <v>12</v>
      </c>
    </row>
    <row r="37" spans="1:10" x14ac:dyDescent="0.25">
      <c r="A37" s="2">
        <v>693.664954022355</v>
      </c>
      <c r="B37" s="3">
        <v>5.3241295967748101</v>
      </c>
      <c r="C37" s="5">
        <v>7.5754473729283902E-47</v>
      </c>
      <c r="D37" s="6">
        <v>3.3510322420296101E-45</v>
      </c>
      <c r="E37" s="3" t="s">
        <v>1672</v>
      </c>
      <c r="F37" s="3" t="s">
        <v>1673</v>
      </c>
      <c r="G37" s="3">
        <v>24110</v>
      </c>
      <c r="H37" s="7" t="str">
        <f>HYPERLINK("http://www.ensembl.org/Mus_musculus/Gene/Summary?db=core;g=ENSMUSG00000030107","ENSMUSG00000030107")</f>
        <v>ENSMUSG00000030107</v>
      </c>
      <c r="I37" s="7" t="str">
        <f>HYPERLINK("http://www.informatics.jax.org/marker/MGI:1344364","MGI:1344364")</f>
        <v>MGI:1344364</v>
      </c>
      <c r="J37" s="4" t="s">
        <v>12</v>
      </c>
    </row>
    <row r="38" spans="1:10" x14ac:dyDescent="0.25">
      <c r="A38" s="2">
        <v>1673.6098817360601</v>
      </c>
      <c r="B38" s="3">
        <v>5.3010880042270596</v>
      </c>
      <c r="C38" s="5">
        <v>3.6895728079243001E-41</v>
      </c>
      <c r="D38" s="6">
        <v>1.3341758814369101E-39</v>
      </c>
      <c r="E38" s="3" t="s">
        <v>1542</v>
      </c>
      <c r="F38" s="3" t="s">
        <v>1543</v>
      </c>
      <c r="G38" s="3">
        <v>16175</v>
      </c>
      <c r="H38" s="7" t="str">
        <f>HYPERLINK("http://www.ensembl.org/Mus_musculus/Gene/Summary?db=core;g=ENSMUSG00000027399","ENSMUSG00000027399")</f>
        <v>ENSMUSG00000027399</v>
      </c>
      <c r="I38" s="7" t="str">
        <f>HYPERLINK("http://www.informatics.jax.org/marker/MGI:96542","MGI:96542")</f>
        <v>MGI:96542</v>
      </c>
      <c r="J38" s="4" t="s">
        <v>12</v>
      </c>
    </row>
    <row r="39" spans="1:10" x14ac:dyDescent="0.25">
      <c r="A39" s="2">
        <v>204.53760507952799</v>
      </c>
      <c r="B39" s="3">
        <v>5.2178578092961896</v>
      </c>
      <c r="C39" s="5">
        <v>1.0972221580048999E-40</v>
      </c>
      <c r="D39" s="6">
        <v>3.9132825498315599E-39</v>
      </c>
      <c r="E39" s="3" t="s">
        <v>1130</v>
      </c>
      <c r="F39" s="3" t="s">
        <v>1131</v>
      </c>
      <c r="G39" s="3">
        <v>17858</v>
      </c>
      <c r="H39" s="7" t="str">
        <f>HYPERLINK("http://www.ensembl.org/Mus_musculus/Gene/Summary?db=core;g=ENSMUSG00000023341","ENSMUSG00000023341")</f>
        <v>ENSMUSG00000023341</v>
      </c>
      <c r="I39" s="7" t="str">
        <f>HYPERLINK("http://www.informatics.jax.org/marker/MGI:97244","MGI:97244")</f>
        <v>MGI:97244</v>
      </c>
      <c r="J39" s="4" t="s">
        <v>976</v>
      </c>
    </row>
    <row r="40" spans="1:10" x14ac:dyDescent="0.25">
      <c r="A40" s="2">
        <v>2801.6289013333899</v>
      </c>
      <c r="B40" s="3">
        <v>5.1777021798969196</v>
      </c>
      <c r="C40" s="5">
        <v>4.2465102987344298E-108</v>
      </c>
      <c r="D40" s="6">
        <v>7.1659861291143497E-106</v>
      </c>
      <c r="E40" s="3" t="s">
        <v>358</v>
      </c>
      <c r="F40" s="3" t="s">
        <v>359</v>
      </c>
      <c r="G40" s="3">
        <v>21939</v>
      </c>
      <c r="H40" s="7" t="str">
        <f>HYPERLINK("http://www.ensembl.org/Mus_musculus/Gene/Summary?db=core;g=ENSMUSG00000017652","ENSMUSG00000017652")</f>
        <v>ENSMUSG00000017652</v>
      </c>
      <c r="I40" s="7" t="str">
        <f>HYPERLINK("http://www.informatics.jax.org/marker/MGI:88336","MGI:88336")</f>
        <v>MGI:88336</v>
      </c>
      <c r="J40" s="4" t="s">
        <v>12</v>
      </c>
    </row>
    <row r="41" spans="1:10" x14ac:dyDescent="0.25">
      <c r="A41" s="2">
        <v>10598.196282885599</v>
      </c>
      <c r="B41" s="3">
        <v>5.0736780513864703</v>
      </c>
      <c r="C41" s="5">
        <v>7.5002678010273196E-32</v>
      </c>
      <c r="D41" s="6">
        <v>1.9781820647427299E-30</v>
      </c>
      <c r="E41" s="3" t="s">
        <v>2503</v>
      </c>
      <c r="F41" s="3" t="s">
        <v>2504</v>
      </c>
      <c r="G41" s="3">
        <v>58185</v>
      </c>
      <c r="H41" s="7" t="str">
        <f>HYPERLINK("http://www.ensembl.org/Mus_musculus/Gene/Summary?db=core;g=ENSMUSG00000020641","ENSMUSG00000020641")</f>
        <v>ENSMUSG00000020641</v>
      </c>
      <c r="I41" s="7" t="str">
        <f>HYPERLINK("http://www.informatics.jax.org/marker/MGI:1929628","MGI:1929628")</f>
        <v>MGI:1929628</v>
      </c>
      <c r="J41" s="4" t="s">
        <v>12</v>
      </c>
    </row>
    <row r="42" spans="1:10" x14ac:dyDescent="0.25">
      <c r="A42" s="2">
        <v>220.655911117269</v>
      </c>
      <c r="B42" s="3">
        <v>5.0730877060234896</v>
      </c>
      <c r="C42" s="5">
        <v>1.0850518231312199E-109</v>
      </c>
      <c r="D42" s="6">
        <v>1.91990965791908E-107</v>
      </c>
      <c r="E42" s="3" t="s">
        <v>168</v>
      </c>
      <c r="F42" s="3" t="s">
        <v>169</v>
      </c>
      <c r="G42" s="3">
        <v>15042</v>
      </c>
      <c r="H42" s="7" t="str">
        <f>HYPERLINK("http://www.ensembl.org/Mus_musculus/Gene/Summary?db=core;g=ENSMUSG00000053835","ENSMUSG00000053835")</f>
        <v>ENSMUSG00000053835</v>
      </c>
      <c r="I42" s="7" t="str">
        <f>HYPERLINK("http://www.informatics.jax.org/marker/MGI:95958","MGI:95958")</f>
        <v>MGI:95958</v>
      </c>
      <c r="J42" s="4" t="s">
        <v>12</v>
      </c>
    </row>
    <row r="43" spans="1:10" x14ac:dyDescent="0.25">
      <c r="A43" s="2">
        <v>60.103841103850399</v>
      </c>
      <c r="B43" s="3">
        <v>5.0570529525519197</v>
      </c>
      <c r="C43" s="5">
        <v>1.1242657448045699E-43</v>
      </c>
      <c r="D43" s="6">
        <v>4.4639963396652099E-42</v>
      </c>
      <c r="E43" s="3" t="s">
        <v>948</v>
      </c>
      <c r="F43" s="3" t="s">
        <v>949</v>
      </c>
      <c r="G43" s="3">
        <v>238393</v>
      </c>
      <c r="H43" s="7" t="str">
        <f>HYPERLINK("http://www.ensembl.org/Mus_musculus/Gene/Summary?db=core;g=ENSMUSG00000066363","ENSMUSG00000066363")</f>
        <v>ENSMUSG00000066363</v>
      </c>
      <c r="I43" s="7" t="str">
        <f>HYPERLINK("http://www.informatics.jax.org/marker/MGI:2182838","MGI:2182838")</f>
        <v>MGI:2182838</v>
      </c>
      <c r="J43" s="4" t="s">
        <v>12</v>
      </c>
    </row>
    <row r="44" spans="1:10" x14ac:dyDescent="0.25">
      <c r="A44" s="2">
        <v>191.100711204102</v>
      </c>
      <c r="B44" s="3">
        <v>4.9750428805131</v>
      </c>
      <c r="C44" s="5">
        <v>8.6855490528195E-44</v>
      </c>
      <c r="D44" s="6">
        <v>3.4637665533399401E-42</v>
      </c>
      <c r="E44" s="3" t="s">
        <v>1200</v>
      </c>
      <c r="F44" s="3" t="s">
        <v>1201</v>
      </c>
      <c r="G44" s="3">
        <v>14990</v>
      </c>
      <c r="H44" s="7" t="str">
        <f>HYPERLINK("http://www.ensembl.org/Mus_musculus/Gene/Summary?db=core;g=ENSMUSG00000016283","ENSMUSG00000016283")</f>
        <v>ENSMUSG00000016283</v>
      </c>
      <c r="I44" s="7" t="str">
        <f>HYPERLINK("http://www.informatics.jax.org/marker/MGI:95914","MGI:95914")</f>
        <v>MGI:95914</v>
      </c>
      <c r="J44" s="4" t="s">
        <v>12</v>
      </c>
    </row>
    <row r="45" spans="1:10" x14ac:dyDescent="0.25">
      <c r="A45" s="2">
        <v>256.32156806284399</v>
      </c>
      <c r="B45" s="3">
        <v>4.9556095605423902</v>
      </c>
      <c r="C45" s="5">
        <v>2.0285757276640899E-43</v>
      </c>
      <c r="D45" s="6">
        <v>7.9678432406633595E-42</v>
      </c>
      <c r="E45" s="3" t="s">
        <v>1266</v>
      </c>
      <c r="F45" s="3" t="s">
        <v>1267</v>
      </c>
      <c r="G45" s="3">
        <v>54199</v>
      </c>
      <c r="H45" s="7" t="str">
        <f>HYPERLINK("http://www.ensembl.org/Mus_musculus/Gene/Summary?db=core;g=ENSMUSG00000043953","ENSMUSG00000043953")</f>
        <v>ENSMUSG00000043953</v>
      </c>
      <c r="I45" s="7" t="str">
        <f>HYPERLINK("http://www.informatics.jax.org/marker/MGI:1920904","MGI:1920904")</f>
        <v>MGI:1920904</v>
      </c>
      <c r="J45" s="4" t="s">
        <v>12</v>
      </c>
    </row>
    <row r="46" spans="1:10" x14ac:dyDescent="0.25">
      <c r="A46" s="2">
        <v>1210.0055088708</v>
      </c>
      <c r="B46" s="3">
        <v>4.9527146411234897</v>
      </c>
      <c r="C46" s="3">
        <v>0</v>
      </c>
      <c r="D46" s="4">
        <v>0.34</v>
      </c>
      <c r="E46" s="3" t="s">
        <v>35</v>
      </c>
      <c r="F46" s="3" t="s">
        <v>36</v>
      </c>
      <c r="G46" s="3">
        <v>80910</v>
      </c>
      <c r="H46" s="7" t="str">
        <f>HYPERLINK("http://www.ensembl.org/Mus_musculus/Gene/Summary?db=core;g=ENSMUSG00000063234","ENSMUSG00000063234")</f>
        <v>ENSMUSG00000063234</v>
      </c>
      <c r="I46" s="7" t="str">
        <f>HYPERLINK("http://www.informatics.jax.org/marker/MGI:1934129","MGI:1934129")</f>
        <v>MGI:1934129</v>
      </c>
      <c r="J46" s="4" t="s">
        <v>12</v>
      </c>
    </row>
    <row r="47" spans="1:10" x14ac:dyDescent="0.25">
      <c r="A47" s="2">
        <v>247.928092493143</v>
      </c>
      <c r="B47" s="3">
        <v>4.9177494463106699</v>
      </c>
      <c r="C47" s="5">
        <v>2.0475955626168999E-40</v>
      </c>
      <c r="D47" s="6">
        <v>7.2041368974310804E-39</v>
      </c>
      <c r="E47" s="3" t="s">
        <v>628</v>
      </c>
      <c r="F47" s="3" t="s">
        <v>629</v>
      </c>
      <c r="G47" s="3">
        <v>14962</v>
      </c>
      <c r="H47" s="7" t="str">
        <f>HYPERLINK("http://www.ensembl.org/Mus_musculus/Gene/Summary?db=core;g=ENSMUSG00000090231","ENSMUSG00000090231")</f>
        <v>ENSMUSG00000090231</v>
      </c>
      <c r="I47" s="7" t="str">
        <f>HYPERLINK("http://www.informatics.jax.org/marker/MGI:105975","MGI:105975")</f>
        <v>MGI:105975</v>
      </c>
      <c r="J47" s="4" t="s">
        <v>12</v>
      </c>
    </row>
    <row r="48" spans="1:10" x14ac:dyDescent="0.25">
      <c r="A48" s="2">
        <v>163.30869117186799</v>
      </c>
      <c r="B48" s="3">
        <v>4.9102411160284101</v>
      </c>
      <c r="C48" s="5">
        <v>9.3928475430824698E-38</v>
      </c>
      <c r="D48" s="6">
        <v>3.00851751270084E-36</v>
      </c>
      <c r="E48" s="3" t="s">
        <v>1226</v>
      </c>
      <c r="F48" s="3" t="s">
        <v>1227</v>
      </c>
      <c r="G48" s="3">
        <v>57444</v>
      </c>
      <c r="H48" s="7" t="str">
        <f>HYPERLINK("http://www.ensembl.org/Mus_musculus/Gene/Summary?db=core;g=ENSMUSG00000039236","ENSMUSG00000039236")</f>
        <v>ENSMUSG00000039236</v>
      </c>
      <c r="I48" s="7" t="str">
        <f>HYPERLINK("http://www.informatics.jax.org/marker/MGI:1928895","MGI:1928895")</f>
        <v>MGI:1928895</v>
      </c>
      <c r="J48" s="4" t="s">
        <v>12</v>
      </c>
    </row>
    <row r="49" spans="1:10" x14ac:dyDescent="0.25">
      <c r="A49" s="2">
        <v>866.50269520234599</v>
      </c>
      <c r="B49" s="3">
        <v>4.8913331469696999</v>
      </c>
      <c r="C49" s="3">
        <v>0</v>
      </c>
      <c r="D49" s="4">
        <v>0</v>
      </c>
      <c r="E49" s="3" t="s">
        <v>15</v>
      </c>
      <c r="F49" s="3" t="s">
        <v>16</v>
      </c>
      <c r="G49" s="3">
        <v>245126</v>
      </c>
      <c r="H49" s="7" t="str">
        <f>HYPERLINK("http://www.ensembl.org/Mus_musculus/Gene/Summary?db=core;g=ENSMUSG00000053338","ENSMUSG00000053338")</f>
        <v>ENSMUSG00000053338</v>
      </c>
      <c r="I49" s="7" t="str">
        <f>HYPERLINK("http://www.informatics.jax.org/marker/MGI:2442280","MGI:2442280")</f>
        <v>MGI:2442280</v>
      </c>
      <c r="J49" s="4" t="s">
        <v>12</v>
      </c>
    </row>
    <row r="50" spans="1:10" x14ac:dyDescent="0.25">
      <c r="A50" s="2">
        <v>2381.6876232986101</v>
      </c>
      <c r="B50" s="3">
        <v>4.8752440713394396</v>
      </c>
      <c r="C50" s="5">
        <v>7.5110013815636698E-213</v>
      </c>
      <c r="D50" s="6">
        <v>5.2649230838076101E-210</v>
      </c>
      <c r="E50" s="3" t="s">
        <v>55</v>
      </c>
      <c r="F50" s="3" t="s">
        <v>56</v>
      </c>
      <c r="G50" s="3">
        <v>19225</v>
      </c>
      <c r="H50" s="7" t="str">
        <f>HYPERLINK("http://www.ensembl.org/Mus_musculus/Gene/Summary?db=core;g=ENSMUSG00000032487","ENSMUSG00000032487")</f>
        <v>ENSMUSG00000032487</v>
      </c>
      <c r="I50" s="7" t="str">
        <f>HYPERLINK("http://www.informatics.jax.org/marker/MGI:97798","MGI:97798")</f>
        <v>MGI:97798</v>
      </c>
      <c r="J50" s="4" t="s">
        <v>12</v>
      </c>
    </row>
    <row r="51" spans="1:10" x14ac:dyDescent="0.25">
      <c r="A51" s="2">
        <v>585.94606075980801</v>
      </c>
      <c r="B51" s="3">
        <v>4.8599288704102896</v>
      </c>
      <c r="C51" s="5">
        <v>4.4219494032385502E-78</v>
      </c>
      <c r="D51" s="6">
        <v>4.02950139370113E-76</v>
      </c>
      <c r="E51" s="3" t="s">
        <v>558</v>
      </c>
      <c r="F51" s="3" t="s">
        <v>559</v>
      </c>
      <c r="G51" s="3">
        <v>80861</v>
      </c>
      <c r="H51" s="7" t="str">
        <f>HYPERLINK("http://www.ensembl.org/Mus_musculus/Gene/Summary?db=core;g=ENSMUSG00000017830","ENSMUSG00000017830")</f>
        <v>ENSMUSG00000017830</v>
      </c>
      <c r="I51" s="7" t="str">
        <f>HYPERLINK("http://www.informatics.jax.org/marker/MGI:1931560","MGI:1931560")</f>
        <v>MGI:1931560</v>
      </c>
      <c r="J51" s="4" t="s">
        <v>12</v>
      </c>
    </row>
    <row r="52" spans="1:10" x14ac:dyDescent="0.25">
      <c r="A52" s="2">
        <v>85.335809306440098</v>
      </c>
      <c r="B52" s="3">
        <v>4.84191312801505</v>
      </c>
      <c r="C52" s="5">
        <v>1.09109057718332E-58</v>
      </c>
      <c r="D52" s="6">
        <v>6.3734377465275602E-57</v>
      </c>
      <c r="E52" s="3" t="s">
        <v>1320</v>
      </c>
      <c r="F52" s="3" t="s">
        <v>1321</v>
      </c>
      <c r="G52" s="3">
        <v>18218</v>
      </c>
      <c r="H52" s="7" t="str">
        <f>HYPERLINK("http://www.ensembl.org/Mus_musculus/Gene/Summary?db=core;g=ENSMUSG00000037887","ENSMUSG00000037887")</f>
        <v>ENSMUSG00000037887</v>
      </c>
      <c r="I52" s="7" t="str">
        <f>HYPERLINK("http://www.informatics.jax.org/marker/MGI:106626","MGI:106626")</f>
        <v>MGI:106626</v>
      </c>
      <c r="J52" s="4" t="s">
        <v>12</v>
      </c>
    </row>
    <row r="53" spans="1:10" x14ac:dyDescent="0.25">
      <c r="A53" s="2">
        <v>2987.4152872476802</v>
      </c>
      <c r="B53" s="3">
        <v>4.8345445147960202</v>
      </c>
      <c r="C53" s="5">
        <v>3.0815311722664102E-85</v>
      </c>
      <c r="D53" s="6">
        <v>3.3629284799134999E-83</v>
      </c>
      <c r="E53" s="3" t="s">
        <v>622</v>
      </c>
      <c r="F53" s="3" t="s">
        <v>623</v>
      </c>
      <c r="G53" s="3">
        <v>16181</v>
      </c>
      <c r="H53" s="7" t="str">
        <f>HYPERLINK("http://www.ensembl.org/Mus_musculus/Gene/Summary?db=core;g=ENSMUSG00000026981","ENSMUSG00000026981")</f>
        <v>ENSMUSG00000026981</v>
      </c>
      <c r="I53" s="7" t="str">
        <f>HYPERLINK("http://www.informatics.jax.org/marker/MGI:96547","MGI:96547")</f>
        <v>MGI:96547</v>
      </c>
      <c r="J53" s="4" t="s">
        <v>12</v>
      </c>
    </row>
    <row r="54" spans="1:10" x14ac:dyDescent="0.25">
      <c r="A54" s="2">
        <v>71.849801756112399</v>
      </c>
      <c r="B54" s="3">
        <v>4.82010417803619</v>
      </c>
      <c r="C54" s="5">
        <v>2.1097774470705799E-39</v>
      </c>
      <c r="D54" s="6">
        <v>7.1337094569316004E-38</v>
      </c>
      <c r="E54" s="3" t="s">
        <v>981</v>
      </c>
      <c r="F54" s="3" t="s">
        <v>982</v>
      </c>
      <c r="G54" s="3">
        <v>223672</v>
      </c>
      <c r="H54" s="7" t="str">
        <f>HYPERLINK("http://www.ensembl.org/Mus_musculus/Gene/Summary?db=core;g=ENSMUSG00000057346","ENSMUSG00000057346")</f>
        <v>ENSMUSG00000057346</v>
      </c>
      <c r="I54" s="7" t="str">
        <f>HYPERLINK("http://www.informatics.jax.org/marker/MGI:3606001","MGI:3606001")</f>
        <v>MGI:3606001</v>
      </c>
      <c r="J54" s="4" t="s">
        <v>12</v>
      </c>
    </row>
    <row r="55" spans="1:10" x14ac:dyDescent="0.25">
      <c r="A55" s="2">
        <v>877.27013337475796</v>
      </c>
      <c r="B55" s="3">
        <v>4.8142549780746204</v>
      </c>
      <c r="C55" s="5">
        <v>3.3396272556805798E-94</v>
      </c>
      <c r="D55" s="6">
        <v>4.3787558801998897E-92</v>
      </c>
      <c r="E55" s="3" t="s">
        <v>594</v>
      </c>
      <c r="F55" s="3" t="s">
        <v>595</v>
      </c>
      <c r="G55" s="3">
        <v>246728</v>
      </c>
      <c r="H55" s="7" t="str">
        <f>HYPERLINK("http://www.ensembl.org/Mus_musculus/Gene/Summary?db=core;g=ENSMUSG00000032690","ENSMUSG00000032690")</f>
        <v>ENSMUSG00000032690</v>
      </c>
      <c r="I55" s="7" t="str">
        <f>HYPERLINK("http://www.informatics.jax.org/marker/MGI:2180852","MGI:2180852")</f>
        <v>MGI:2180852</v>
      </c>
      <c r="J55" s="4" t="s">
        <v>12</v>
      </c>
    </row>
    <row r="56" spans="1:10" x14ac:dyDescent="0.25">
      <c r="A56" s="2">
        <v>162.424866278618</v>
      </c>
      <c r="B56" s="3">
        <v>4.8011291996556897</v>
      </c>
      <c r="C56" s="5">
        <v>1.8257487218784501E-52</v>
      </c>
      <c r="D56" s="6">
        <v>9.1412830923721595E-51</v>
      </c>
      <c r="E56" s="3" t="s">
        <v>378</v>
      </c>
      <c r="F56" s="3" t="s">
        <v>379</v>
      </c>
      <c r="G56" s="3">
        <v>17167</v>
      </c>
      <c r="H56" s="7" t="str">
        <f>HYPERLINK("http://www.ensembl.org/Mus_musculus/Gene/Summary?db=core;g=ENSMUSG00000026390","ENSMUSG00000026390")</f>
        <v>ENSMUSG00000026390</v>
      </c>
      <c r="I56" s="7" t="str">
        <f>HYPERLINK("http://www.informatics.jax.org/marker/MGI:1309998","MGI:1309998")</f>
        <v>MGI:1309998</v>
      </c>
      <c r="J56" s="4" t="s">
        <v>12</v>
      </c>
    </row>
    <row r="57" spans="1:10" x14ac:dyDescent="0.25">
      <c r="A57" s="2">
        <v>49.477212621058897</v>
      </c>
      <c r="B57" s="3">
        <v>4.65204367145492</v>
      </c>
      <c r="C57" s="5">
        <v>4.4020969176052998E-37</v>
      </c>
      <c r="D57" s="6">
        <v>1.3737708274547399E-35</v>
      </c>
      <c r="E57" s="3" t="s">
        <v>1324</v>
      </c>
      <c r="F57" s="3" t="s">
        <v>1325</v>
      </c>
      <c r="G57" s="3">
        <v>329278</v>
      </c>
      <c r="H57" s="7" t="str">
        <f>HYPERLINK("http://www.ensembl.org/Mus_musculus/Gene/Summary?db=core;g=ENSMUSG00000026725","ENSMUSG00000026725")</f>
        <v>ENSMUSG00000026725</v>
      </c>
      <c r="I57" s="7" t="str">
        <f>HYPERLINK("http://www.informatics.jax.org/marker/MGI:2665790","MGI:2665790")</f>
        <v>MGI:2665790</v>
      </c>
      <c r="J57" s="4" t="s">
        <v>12</v>
      </c>
    </row>
    <row r="58" spans="1:10" x14ac:dyDescent="0.25">
      <c r="A58" s="2">
        <v>55.274878370703597</v>
      </c>
      <c r="B58" s="3">
        <v>4.6028804316827001</v>
      </c>
      <c r="C58" s="5">
        <v>8.0562326710049302E-35</v>
      </c>
      <c r="D58" s="6">
        <v>2.3529621863632199E-33</v>
      </c>
      <c r="E58" s="3" t="s">
        <v>1342</v>
      </c>
      <c r="F58" s="3" t="s">
        <v>1343</v>
      </c>
      <c r="G58" s="3" t="s">
        <v>83</v>
      </c>
      <c r="H58" s="7" t="str">
        <f>HYPERLINK("http://www.ensembl.org/Mus_musculus/Gene/Summary?db=core;g=ENSMUSG00000105338","ENSMUSG00000105338")</f>
        <v>ENSMUSG00000105338</v>
      </c>
      <c r="I58" s="7" t="str">
        <f>HYPERLINK("http://www.informatics.jax.org/marker/MGI:5663939","MGI:5663939")</f>
        <v>MGI:5663939</v>
      </c>
      <c r="J58" s="4" t="s">
        <v>1043</v>
      </c>
    </row>
    <row r="59" spans="1:10" x14ac:dyDescent="0.25">
      <c r="A59" s="2">
        <v>4680.5504637430404</v>
      </c>
      <c r="B59" s="3">
        <v>4.5724167063650096</v>
      </c>
      <c r="C59" s="5">
        <v>3.61021790198428E-150</v>
      </c>
      <c r="D59" s="6">
        <v>1.1962949320666099E-147</v>
      </c>
      <c r="E59" s="3" t="s">
        <v>142</v>
      </c>
      <c r="F59" s="3" t="s">
        <v>143</v>
      </c>
      <c r="G59" s="3">
        <v>21926</v>
      </c>
      <c r="H59" s="7" t="str">
        <f>HYPERLINK("http://www.ensembl.org/Mus_musculus/Gene/Summary?db=core;g=ENSMUSG00000024401","ENSMUSG00000024401")</f>
        <v>ENSMUSG00000024401</v>
      </c>
      <c r="I59" s="7" t="str">
        <f>HYPERLINK("http://www.informatics.jax.org/marker/MGI:104798","MGI:104798")</f>
        <v>MGI:104798</v>
      </c>
      <c r="J59" s="4" t="s">
        <v>12</v>
      </c>
    </row>
    <row r="60" spans="1:10" x14ac:dyDescent="0.25">
      <c r="A60" s="2">
        <v>1851.59753478937</v>
      </c>
      <c r="B60" s="3">
        <v>4.5591156746210402</v>
      </c>
      <c r="C60" s="5">
        <v>5.1896052931218403E-271</v>
      </c>
      <c r="D60" s="6">
        <v>8.5982324061041403E-268</v>
      </c>
      <c r="E60" s="3" t="s">
        <v>57</v>
      </c>
      <c r="F60" s="3" t="s">
        <v>58</v>
      </c>
      <c r="G60" s="3">
        <v>20556</v>
      </c>
      <c r="H60" s="7" t="str">
        <f>HYPERLINK("http://www.ensembl.org/Mus_musculus/Gene/Summary?db=core;g=ENSMUSG00000072620","ENSMUSG00000072620")</f>
        <v>ENSMUSG00000072620</v>
      </c>
      <c r="I60" s="7" t="str">
        <f>HYPERLINK("http://www.informatics.jax.org/marker/MGI:1313258","MGI:1313258")</f>
        <v>MGI:1313258</v>
      </c>
      <c r="J60" s="4" t="s">
        <v>12</v>
      </c>
    </row>
    <row r="61" spans="1:10" x14ac:dyDescent="0.25">
      <c r="A61" s="2">
        <v>123.094605074523</v>
      </c>
      <c r="B61" s="3">
        <v>4.55827308510829</v>
      </c>
      <c r="C61" s="5">
        <v>9.3538542618238896E-30</v>
      </c>
      <c r="D61" s="6">
        <v>2.2821150458064301E-28</v>
      </c>
      <c r="E61" s="3" t="s">
        <v>1576</v>
      </c>
      <c r="F61" s="3" t="s">
        <v>1577</v>
      </c>
      <c r="G61" s="3">
        <v>236312</v>
      </c>
      <c r="H61" s="7" t="str">
        <f>HYPERLINK("http://www.ensembl.org/Mus_musculus/Gene/Summary?db=core;g=ENSMUSG00000043263","ENSMUSG00000043263")</f>
        <v>ENSMUSG00000043263</v>
      </c>
      <c r="I61" s="7" t="str">
        <f>HYPERLINK("http://www.informatics.jax.org/marker/MGI:2138243","MGI:2138243")</f>
        <v>MGI:2138243</v>
      </c>
      <c r="J61" s="4" t="s">
        <v>12</v>
      </c>
    </row>
    <row r="62" spans="1:10" x14ac:dyDescent="0.25">
      <c r="A62" s="2">
        <v>4377.4257884619601</v>
      </c>
      <c r="B62" s="3">
        <v>4.5551677456046296</v>
      </c>
      <c r="C62" s="5">
        <v>6.1939969870145499E-50</v>
      </c>
      <c r="D62" s="6">
        <v>2.9628765115049901E-48</v>
      </c>
      <c r="E62" s="3" t="s">
        <v>1784</v>
      </c>
      <c r="F62" s="3" t="s">
        <v>1785</v>
      </c>
      <c r="G62" s="3">
        <v>26570</v>
      </c>
      <c r="H62" s="7" t="str">
        <f>HYPERLINK("http://www.ensembl.org/Mus_musculus/Gene/Summary?db=core;g=ENSMUSG00000027737","ENSMUSG00000027737")</f>
        <v>ENSMUSG00000027737</v>
      </c>
      <c r="I62" s="7" t="str">
        <f>HYPERLINK("http://www.informatics.jax.org/marker/MGI:1347355","MGI:1347355")</f>
        <v>MGI:1347355</v>
      </c>
      <c r="J62" s="4" t="s">
        <v>12</v>
      </c>
    </row>
    <row r="63" spans="1:10" x14ac:dyDescent="0.25">
      <c r="A63" s="2">
        <v>35.504684734999501</v>
      </c>
      <c r="B63" s="3">
        <v>4.5306791928666197</v>
      </c>
      <c r="C63" s="5">
        <v>1.21856017979039E-32</v>
      </c>
      <c r="D63" s="6">
        <v>3.2998899370995401E-31</v>
      </c>
      <c r="E63" s="3" t="s">
        <v>1488</v>
      </c>
      <c r="F63" s="3" t="s">
        <v>1489</v>
      </c>
      <c r="G63" s="3">
        <v>58203</v>
      </c>
      <c r="H63" s="7" t="str">
        <f>HYPERLINK("http://www.ensembl.org/Mus_musculus/Gene/Summary?db=core;g=ENSMUSG00000027514","ENSMUSG00000027514")</f>
        <v>ENSMUSG00000027514</v>
      </c>
      <c r="I63" s="7" t="str">
        <f>HYPERLINK("http://www.informatics.jax.org/marker/MGI:1927449","MGI:1927449")</f>
        <v>MGI:1927449</v>
      </c>
      <c r="J63" s="4" t="s">
        <v>12</v>
      </c>
    </row>
    <row r="64" spans="1:10" x14ac:dyDescent="0.25">
      <c r="A64" s="2">
        <v>51.061534044805903</v>
      </c>
      <c r="B64" s="3">
        <v>4.5230570254428697</v>
      </c>
      <c r="C64" s="5">
        <v>1.64711116768853E-33</v>
      </c>
      <c r="D64" s="6">
        <v>4.6111522321234202E-32</v>
      </c>
      <c r="E64" s="3" t="s">
        <v>1931</v>
      </c>
      <c r="F64" s="3" t="s">
        <v>1932</v>
      </c>
      <c r="G64" s="3">
        <v>74309</v>
      </c>
      <c r="H64" s="7" t="str">
        <f>HYPERLINK("http://www.ensembl.org/Mus_musculus/Gene/Summary?db=core;g=ENSMUSG00000020435","ENSMUSG00000020435")</f>
        <v>ENSMUSG00000020435</v>
      </c>
      <c r="I64" s="7" t="str">
        <f>HYPERLINK("http://www.informatics.jax.org/marker/MGI:1921559","MGI:1921559")</f>
        <v>MGI:1921559</v>
      </c>
      <c r="J64" s="4" t="s">
        <v>12</v>
      </c>
    </row>
    <row r="65" spans="1:10" x14ac:dyDescent="0.25">
      <c r="A65" s="2">
        <v>27.2393119357194</v>
      </c>
      <c r="B65" s="3">
        <v>4.5039736630136797</v>
      </c>
      <c r="C65" s="5">
        <v>2.8542720869476101E-33</v>
      </c>
      <c r="D65" s="6">
        <v>7.9297421927774596E-32</v>
      </c>
      <c r="E65" s="3" t="s">
        <v>1718</v>
      </c>
      <c r="F65" s="3" t="s">
        <v>1719</v>
      </c>
      <c r="G65" s="3">
        <v>16992</v>
      </c>
      <c r="H65" s="7" t="str">
        <f>HYPERLINK("http://www.ensembl.org/Mus_musculus/Gene/Summary?db=core;g=ENSMUSG00000024402","ENSMUSG00000024402")</f>
        <v>ENSMUSG00000024402</v>
      </c>
      <c r="I65" s="7" t="str">
        <f>HYPERLINK("http://www.informatics.jax.org/marker/MGI:104797","MGI:104797")</f>
        <v>MGI:104797</v>
      </c>
      <c r="J65" s="4" t="s">
        <v>12</v>
      </c>
    </row>
    <row r="66" spans="1:10" x14ac:dyDescent="0.25">
      <c r="A66" s="2">
        <v>1064.2356902471699</v>
      </c>
      <c r="B66" s="3">
        <v>4.4956060001773199</v>
      </c>
      <c r="C66" s="5">
        <v>6.6629406544866804E-66</v>
      </c>
      <c r="D66" s="6">
        <v>4.5651162942864599E-64</v>
      </c>
      <c r="E66" s="3" t="s">
        <v>760</v>
      </c>
      <c r="F66" s="3" t="s">
        <v>761</v>
      </c>
      <c r="G66" s="3">
        <v>102641031</v>
      </c>
      <c r="H66" s="7" t="str">
        <f>HYPERLINK("http://www.ensembl.org/Mus_musculus/Gene/Summary?db=core;g=ENSMUSG00000039997","ENSMUSG00000039997")</f>
        <v>ENSMUSG00000039997</v>
      </c>
      <c r="I66" s="7" t="str">
        <f>HYPERLINK("http://www.informatics.jax.org/marker/MGI:96428","MGI:96428")</f>
        <v>MGI:96428</v>
      </c>
      <c r="J66" s="4" t="s">
        <v>12</v>
      </c>
    </row>
    <row r="67" spans="1:10" x14ac:dyDescent="0.25">
      <c r="A67" s="2">
        <v>128.89217967965499</v>
      </c>
      <c r="B67" s="3">
        <v>4.4846932836750897</v>
      </c>
      <c r="C67" s="5">
        <v>7.67021352003724E-26</v>
      </c>
      <c r="D67" s="6">
        <v>1.5957721621310401E-24</v>
      </c>
      <c r="E67" s="3" t="s">
        <v>2263</v>
      </c>
      <c r="F67" s="3" t="s">
        <v>2264</v>
      </c>
      <c r="G67" s="3">
        <v>667370</v>
      </c>
      <c r="H67" s="7" t="str">
        <f>HYPERLINK("http://www.ensembl.org/Mus_musculus/Gene/Summary?db=core;g=ENSMUSG00000062488","ENSMUSG00000062488")</f>
        <v>ENSMUSG00000062488</v>
      </c>
      <c r="I67" s="7" t="str">
        <f>HYPERLINK("http://www.informatics.jax.org/marker/MGI:3698419","MGI:3698419")</f>
        <v>MGI:3698419</v>
      </c>
      <c r="J67" s="4" t="s">
        <v>12</v>
      </c>
    </row>
    <row r="68" spans="1:10" x14ac:dyDescent="0.25">
      <c r="A68" s="2">
        <v>227.043107397586</v>
      </c>
      <c r="B68" s="3">
        <v>4.4550634658990997</v>
      </c>
      <c r="C68" s="5">
        <v>4.2591811057780097E-28</v>
      </c>
      <c r="D68" s="6">
        <v>9.7517054840206406E-27</v>
      </c>
      <c r="E68" s="3" t="s">
        <v>1282</v>
      </c>
      <c r="F68" s="3" t="s">
        <v>1283</v>
      </c>
      <c r="G68" s="3" t="s">
        <v>83</v>
      </c>
      <c r="H68" s="7" t="str">
        <f>HYPERLINK("http://www.ensembl.org/Mus_musculus/Gene/Summary?db=core;g=ENSMUSG00000092511","ENSMUSG00000092511")</f>
        <v>ENSMUSG00000092511</v>
      </c>
      <c r="I68" s="7" t="str">
        <f>HYPERLINK("http://www.informatics.jax.org/marker/MGI:5142012","MGI:5142012")</f>
        <v>MGI:5142012</v>
      </c>
      <c r="J68" s="4" t="s">
        <v>12</v>
      </c>
    </row>
    <row r="69" spans="1:10" x14ac:dyDescent="0.25">
      <c r="A69" s="2">
        <v>69.599542086948802</v>
      </c>
      <c r="B69" s="3">
        <v>4.4390925074082999</v>
      </c>
      <c r="C69" s="5">
        <v>4.7101418743244301E-34</v>
      </c>
      <c r="D69" s="6">
        <v>1.3412864946806701E-32</v>
      </c>
      <c r="E69" s="3" t="s">
        <v>1116</v>
      </c>
      <c r="F69" s="3" t="s">
        <v>1117</v>
      </c>
      <c r="G69" s="3">
        <v>15186</v>
      </c>
      <c r="H69" s="7" t="str">
        <f>HYPERLINK("http://www.ensembl.org/Mus_musculus/Gene/Summary?db=core;g=ENSMUSG00000027360","ENSMUSG00000027360")</f>
        <v>ENSMUSG00000027360</v>
      </c>
      <c r="I69" s="7" t="str">
        <f>HYPERLINK("http://www.informatics.jax.org/marker/MGI:96062","MGI:96062")</f>
        <v>MGI:96062</v>
      </c>
      <c r="J69" s="4" t="s">
        <v>12</v>
      </c>
    </row>
    <row r="70" spans="1:10" x14ac:dyDescent="0.25">
      <c r="A70" s="2">
        <v>21516.4184453239</v>
      </c>
      <c r="B70" s="3">
        <v>4.4296484368589804</v>
      </c>
      <c r="C70" s="3">
        <v>0</v>
      </c>
      <c r="D70" s="4">
        <v>0</v>
      </c>
      <c r="E70" s="3" t="s">
        <v>19</v>
      </c>
      <c r="F70" s="3" t="s">
        <v>20</v>
      </c>
      <c r="G70" s="3">
        <v>20302</v>
      </c>
      <c r="H70" s="7" t="str">
        <f>HYPERLINK("http://www.ensembl.org/Mus_musculus/Gene/Summary?db=core;g=ENSMUSG00000000982","ENSMUSG00000000982")</f>
        <v>ENSMUSG00000000982</v>
      </c>
      <c r="I70" s="7" t="str">
        <f>HYPERLINK("http://www.informatics.jax.org/marker/MGI:98260","MGI:98260")</f>
        <v>MGI:98260</v>
      </c>
      <c r="J70" s="4" t="s">
        <v>12</v>
      </c>
    </row>
    <row r="71" spans="1:10" x14ac:dyDescent="0.25">
      <c r="A71" s="2">
        <v>375.45288781767999</v>
      </c>
      <c r="B71" s="3">
        <v>4.4108965813275702</v>
      </c>
      <c r="C71" s="5">
        <v>7.8543238503795202E-100</v>
      </c>
      <c r="D71" s="6">
        <v>1.15439558204167E-97</v>
      </c>
      <c r="E71" s="3" t="s">
        <v>226</v>
      </c>
      <c r="F71" s="3" t="s">
        <v>227</v>
      </c>
      <c r="G71" s="3">
        <v>276950</v>
      </c>
      <c r="H71" s="7" t="str">
        <f>HYPERLINK("http://www.ensembl.org/Mus_musculus/Gene/Summary?db=core;g=ENSMUSG00000035208","ENSMUSG00000035208")</f>
        <v>ENSMUSG00000035208</v>
      </c>
      <c r="I71" s="7" t="str">
        <f>HYPERLINK("http://www.informatics.jax.org/marker/MGI:2672859","MGI:2672859")</f>
        <v>MGI:2672859</v>
      </c>
      <c r="J71" s="4" t="s">
        <v>12</v>
      </c>
    </row>
    <row r="72" spans="1:10" x14ac:dyDescent="0.25">
      <c r="A72" s="2">
        <v>179.52450467679299</v>
      </c>
      <c r="B72" s="3">
        <v>4.40780488543147</v>
      </c>
      <c r="C72" s="5">
        <v>9.4515983050019706E-25</v>
      </c>
      <c r="D72" s="6">
        <v>1.85620020591229E-23</v>
      </c>
      <c r="E72" s="3" t="s">
        <v>1824</v>
      </c>
      <c r="F72" s="3" t="s">
        <v>1825</v>
      </c>
      <c r="G72" s="3" t="s">
        <v>83</v>
      </c>
      <c r="H72" s="7" t="str">
        <f>HYPERLINK("http://www.ensembl.org/Mus_musculus/Gene/Summary?db=core;g=ENSMUSG00000000386","ENSMUSG00000000386")</f>
        <v>ENSMUSG00000000386</v>
      </c>
      <c r="I72" s="7" t="str">
        <f>HYPERLINK("http://www.informatics.jax.org/marker/MGI:97243","MGI:97243")</f>
        <v>MGI:97243</v>
      </c>
      <c r="J72" s="4" t="s">
        <v>976</v>
      </c>
    </row>
    <row r="73" spans="1:10" x14ac:dyDescent="0.25">
      <c r="A73" s="2">
        <v>15641.658353168001</v>
      </c>
      <c r="B73" s="3">
        <v>4.3426145735219501</v>
      </c>
      <c r="C73" s="5">
        <v>1.9540569322578899E-93</v>
      </c>
      <c r="D73" s="6">
        <v>2.52572252414184E-91</v>
      </c>
      <c r="E73" s="3" t="s">
        <v>510</v>
      </c>
      <c r="F73" s="3" t="s">
        <v>511</v>
      </c>
      <c r="G73" s="3">
        <v>672511</v>
      </c>
      <c r="H73" s="7" t="str">
        <f>HYPERLINK("http://www.ensembl.org/Mus_musculus/Gene/Summary?db=core;g=ENSMUSG00000070327","ENSMUSG00000070327")</f>
        <v>ENSMUSG00000070327</v>
      </c>
      <c r="I73" s="7" t="str">
        <f>HYPERLINK("http://www.informatics.jax.org/marker/MGI:1289196","MGI:1289196")</f>
        <v>MGI:1289196</v>
      </c>
      <c r="J73" s="4" t="s">
        <v>12</v>
      </c>
    </row>
    <row r="74" spans="1:10" x14ac:dyDescent="0.25">
      <c r="A74" s="2">
        <v>3580.6785891565301</v>
      </c>
      <c r="B74" s="3">
        <v>4.3386302722897199</v>
      </c>
      <c r="C74" s="5">
        <v>1.4129826182103399E-102</v>
      </c>
      <c r="D74" s="6">
        <v>2.18233967939691E-100</v>
      </c>
      <c r="E74" s="3" t="s">
        <v>372</v>
      </c>
      <c r="F74" s="3" t="s">
        <v>373</v>
      </c>
      <c r="G74" s="3">
        <v>56619</v>
      </c>
      <c r="H74" s="7" t="str">
        <f>HYPERLINK("http://www.ensembl.org/Mus_musculus/Gene/Summary?db=core;g=ENSMUSG00000030142","ENSMUSG00000030142")</f>
        <v>ENSMUSG00000030142</v>
      </c>
      <c r="I74" s="7" t="str">
        <f>HYPERLINK("http://www.informatics.jax.org/marker/MGI:1861232","MGI:1861232")</f>
        <v>MGI:1861232</v>
      </c>
      <c r="J74" s="4" t="s">
        <v>12</v>
      </c>
    </row>
    <row r="75" spans="1:10" x14ac:dyDescent="0.25">
      <c r="A75" s="2">
        <v>266.14138699112198</v>
      </c>
      <c r="B75" s="3">
        <v>4.3158291544983198</v>
      </c>
      <c r="C75" s="5">
        <v>1.07378356426657E-62</v>
      </c>
      <c r="D75" s="6">
        <v>6.9891805209850606E-61</v>
      </c>
      <c r="E75" s="3" t="s">
        <v>898</v>
      </c>
      <c r="F75" s="3" t="s">
        <v>899</v>
      </c>
      <c r="G75" s="3">
        <v>171171</v>
      </c>
      <c r="H75" s="7" t="str">
        <f>HYPERLINK("http://www.ensembl.org/Mus_musculus/Gene/Summary?db=core;g=ENSMUSG00000035513","ENSMUSG00000035513")</f>
        <v>ENSMUSG00000035513</v>
      </c>
      <c r="I75" s="7" t="str">
        <f>HYPERLINK("http://www.informatics.jax.org/marker/MGI:2159341","MGI:2159341")</f>
        <v>MGI:2159341</v>
      </c>
      <c r="J75" s="4" t="s">
        <v>12</v>
      </c>
    </row>
    <row r="76" spans="1:10" x14ac:dyDescent="0.25">
      <c r="A76" s="2">
        <v>39.629047980989199</v>
      </c>
      <c r="B76" s="3">
        <v>4.3135721876721798</v>
      </c>
      <c r="C76" s="5">
        <v>7.9740278230526497E-29</v>
      </c>
      <c r="D76" s="6">
        <v>1.86795189042589E-27</v>
      </c>
      <c r="E76" s="3" t="s">
        <v>1538</v>
      </c>
      <c r="F76" s="3" t="s">
        <v>1539</v>
      </c>
      <c r="G76" s="3">
        <v>71898</v>
      </c>
      <c r="H76" s="7" t="str">
        <f>HYPERLINK("http://www.ensembl.org/Mus_musculus/Gene/Summary?db=core;g=ENSMUSG00000068246","ENSMUSG00000068246")</f>
        <v>ENSMUSG00000068246</v>
      </c>
      <c r="I76" s="7" t="str">
        <f>HYPERLINK("http://www.informatics.jax.org/marker/MGI:1919148","MGI:1919148")</f>
        <v>MGI:1919148</v>
      </c>
      <c r="J76" s="4" t="s">
        <v>12</v>
      </c>
    </row>
    <row r="77" spans="1:10" x14ac:dyDescent="0.25">
      <c r="A77" s="2">
        <v>307.31311626318097</v>
      </c>
      <c r="B77" s="3">
        <v>4.2851395668973797</v>
      </c>
      <c r="C77" s="5">
        <v>2.4396794717621698E-22</v>
      </c>
      <c r="D77" s="6">
        <v>4.3084455787660398E-21</v>
      </c>
      <c r="E77" s="3" t="s">
        <v>2175</v>
      </c>
      <c r="F77" s="3" t="s">
        <v>2176</v>
      </c>
      <c r="G77" s="3">
        <v>229898</v>
      </c>
      <c r="H77" s="7" t="str">
        <f>HYPERLINK("http://www.ensembl.org/Mus_musculus/Gene/Summary?db=core;g=ENSMUSG00000105504","ENSMUSG00000105504")</f>
        <v>ENSMUSG00000105504</v>
      </c>
      <c r="I77" s="7" t="str">
        <f>HYPERLINK("http://www.informatics.jax.org/marker/MGI:2429943","MGI:2429943")</f>
        <v>MGI:2429943</v>
      </c>
      <c r="J77" s="4" t="s">
        <v>12</v>
      </c>
    </row>
    <row r="78" spans="1:10" x14ac:dyDescent="0.25">
      <c r="A78" s="2">
        <v>39.168330282303103</v>
      </c>
      <c r="B78" s="3">
        <v>4.2388346786357296</v>
      </c>
      <c r="C78" s="5">
        <v>1.8314609326720301E-37</v>
      </c>
      <c r="D78" s="6">
        <v>5.7948568572826001E-36</v>
      </c>
      <c r="E78" s="3" t="s">
        <v>1412</v>
      </c>
      <c r="F78" s="3" t="s">
        <v>1413</v>
      </c>
      <c r="G78" s="3">
        <v>14102</v>
      </c>
      <c r="H78" s="7" t="str">
        <f>HYPERLINK("http://www.ensembl.org/Mus_musculus/Gene/Summary?db=core;g=ENSMUSG00000024778","ENSMUSG00000024778")</f>
        <v>ENSMUSG00000024778</v>
      </c>
      <c r="I78" s="7" t="str">
        <f>HYPERLINK("http://www.informatics.jax.org/marker/MGI:95484","MGI:95484")</f>
        <v>MGI:95484</v>
      </c>
      <c r="J78" s="4" t="s">
        <v>12</v>
      </c>
    </row>
    <row r="79" spans="1:10" x14ac:dyDescent="0.25">
      <c r="A79" s="2">
        <v>117.220811166755</v>
      </c>
      <c r="B79" s="3">
        <v>4.1997903788472897</v>
      </c>
      <c r="C79" s="5">
        <v>3.9382787557271799E-27</v>
      </c>
      <c r="D79" s="6">
        <v>8.5958239907937602E-26</v>
      </c>
      <c r="E79" s="3" t="s">
        <v>1768</v>
      </c>
      <c r="F79" s="3" t="s">
        <v>1769</v>
      </c>
      <c r="G79" s="3" t="s">
        <v>83</v>
      </c>
      <c r="H79" s="7" t="str">
        <f>HYPERLINK("http://www.ensembl.org/Mus_musculus/Gene/Summary?db=core;g=ENSMUSG00000082292","ENSMUSG00000082292")</f>
        <v>ENSMUSG00000082292</v>
      </c>
      <c r="I79" s="7" t="str">
        <f>HYPERLINK("http://www.informatics.jax.org/marker/MGI:3649299","MGI:3649299")</f>
        <v>MGI:3649299</v>
      </c>
      <c r="J79" s="4" t="s">
        <v>1043</v>
      </c>
    </row>
    <row r="80" spans="1:10" x14ac:dyDescent="0.25">
      <c r="A80" s="2">
        <v>19.796873014655802</v>
      </c>
      <c r="B80" s="3">
        <v>4.1492510678910701</v>
      </c>
      <c r="C80" s="5">
        <v>4.4620500217391901E-26</v>
      </c>
      <c r="D80" s="6">
        <v>9.34722547657435E-25</v>
      </c>
      <c r="E80" s="3" t="s">
        <v>2930</v>
      </c>
      <c r="F80" s="3" t="s">
        <v>2931</v>
      </c>
      <c r="G80" s="3">
        <v>27371</v>
      </c>
      <c r="H80" s="7" t="str">
        <f>HYPERLINK("http://www.ensembl.org/Mus_musculus/Gene/Summary?db=core;g=ENSMUSG00000028071","ENSMUSG00000028071")</f>
        <v>ENSMUSG00000028071</v>
      </c>
      <c r="I80" s="7" t="str">
        <f>HYPERLINK("http://www.informatics.jax.org/marker/MGI:1351596","MGI:1351596")</f>
        <v>MGI:1351596</v>
      </c>
      <c r="J80" s="4" t="s">
        <v>12</v>
      </c>
    </row>
    <row r="81" spans="1:10" x14ac:dyDescent="0.25">
      <c r="A81" s="2">
        <v>34.849133885407703</v>
      </c>
      <c r="B81" s="3">
        <v>4.1187717122979404</v>
      </c>
      <c r="C81" s="5">
        <v>4.20717472739463E-41</v>
      </c>
      <c r="D81" s="6">
        <v>1.5183318694409299E-39</v>
      </c>
      <c r="E81" s="3" t="s">
        <v>2159</v>
      </c>
      <c r="F81" s="3" t="s">
        <v>2160</v>
      </c>
      <c r="G81" s="3">
        <v>665700</v>
      </c>
      <c r="H81" s="7" t="str">
        <f>HYPERLINK("http://www.ensembl.org/Mus_musculus/Gene/Summary?db=core;g=ENSMUSG00000055632","ENSMUSG00000055632")</f>
        <v>ENSMUSG00000055632</v>
      </c>
      <c r="I81" s="7" t="str">
        <f>HYPERLINK("http://www.informatics.jax.org/marker/MGI:2677838","MGI:2677838")</f>
        <v>MGI:2677838</v>
      </c>
      <c r="J81" s="4" t="s">
        <v>12</v>
      </c>
    </row>
    <row r="82" spans="1:10" x14ac:dyDescent="0.25">
      <c r="A82" s="2">
        <v>165.05007200801501</v>
      </c>
      <c r="B82" s="3">
        <v>4.1087153687357896</v>
      </c>
      <c r="C82" s="5">
        <v>1.87810045189653E-85</v>
      </c>
      <c r="D82" s="6">
        <v>2.06195064673579E-83</v>
      </c>
      <c r="E82" s="3" t="s">
        <v>564</v>
      </c>
      <c r="F82" s="3" t="s">
        <v>565</v>
      </c>
      <c r="G82" s="3">
        <v>414084</v>
      </c>
      <c r="H82" s="7" t="str">
        <f>HYPERLINK("http://www.ensembl.org/Mus_musculus/Gene/Summary?db=core;g=ENSMUSG00000044162","ENSMUSG00000044162")</f>
        <v>ENSMUSG00000044162</v>
      </c>
      <c r="I82" s="7" t="str">
        <f>HYPERLINK("http://www.informatics.jax.org/marker/MGI:3041165","MGI:3041165")</f>
        <v>MGI:3041165</v>
      </c>
      <c r="J82" s="4" t="s">
        <v>12</v>
      </c>
    </row>
    <row r="83" spans="1:10" x14ac:dyDescent="0.25">
      <c r="A83" s="2">
        <v>1945.5495119906</v>
      </c>
      <c r="B83" s="3">
        <v>4.10335004191466</v>
      </c>
      <c r="C83" s="5">
        <v>2.7586901125348E-55</v>
      </c>
      <c r="D83" s="6">
        <v>1.4787390382631399E-53</v>
      </c>
      <c r="E83" s="3" t="s">
        <v>718</v>
      </c>
      <c r="F83" s="3" t="s">
        <v>719</v>
      </c>
      <c r="G83" s="3">
        <v>20296</v>
      </c>
      <c r="H83" s="7" t="str">
        <f>HYPERLINK("http://www.ensembl.org/Mus_musculus/Gene/Summary?db=core;g=ENSMUSG00000035385","ENSMUSG00000035385")</f>
        <v>ENSMUSG00000035385</v>
      </c>
      <c r="I83" s="7" t="str">
        <f>HYPERLINK("http://www.informatics.jax.org/marker/MGI:98259","MGI:98259")</f>
        <v>MGI:98259</v>
      </c>
      <c r="J83" s="4" t="s">
        <v>12</v>
      </c>
    </row>
    <row r="84" spans="1:10" x14ac:dyDescent="0.25">
      <c r="A84" s="2">
        <v>1526.3644436676</v>
      </c>
      <c r="B84" s="3">
        <v>4.0882262051280902</v>
      </c>
      <c r="C84" s="5">
        <v>3.6870337974969399E-20</v>
      </c>
      <c r="D84" s="6">
        <v>5.8027798755942804E-19</v>
      </c>
      <c r="E84" s="3" t="s">
        <v>2303</v>
      </c>
      <c r="F84" s="3" t="s">
        <v>2304</v>
      </c>
      <c r="G84" s="3">
        <v>16176</v>
      </c>
      <c r="H84" s="7" t="str">
        <f>HYPERLINK("http://www.ensembl.org/Mus_musculus/Gene/Summary?db=core;g=ENSMUSG00000027398","ENSMUSG00000027398")</f>
        <v>ENSMUSG00000027398</v>
      </c>
      <c r="I84" s="7" t="str">
        <f>HYPERLINK("http://www.informatics.jax.org/marker/MGI:96543","MGI:96543")</f>
        <v>MGI:96543</v>
      </c>
      <c r="J84" s="4" t="s">
        <v>12</v>
      </c>
    </row>
    <row r="85" spans="1:10" x14ac:dyDescent="0.25">
      <c r="A85" s="2">
        <v>118.11796259959</v>
      </c>
      <c r="B85" s="3">
        <v>4.0853590553038801</v>
      </c>
      <c r="C85" s="5">
        <v>2.2524357103164499E-30</v>
      </c>
      <c r="D85" s="6">
        <v>5.6543582397406605E-29</v>
      </c>
      <c r="E85" s="3" t="s">
        <v>2085</v>
      </c>
      <c r="F85" s="3" t="s">
        <v>2086</v>
      </c>
      <c r="G85" s="3">
        <v>20306</v>
      </c>
      <c r="H85" s="7" t="str">
        <f>HYPERLINK("http://www.ensembl.org/Mus_musculus/Gene/Summary?db=core;g=ENSMUSG00000035373","ENSMUSG00000035373")</f>
        <v>ENSMUSG00000035373</v>
      </c>
      <c r="I85" s="7" t="str">
        <f>HYPERLINK("http://www.informatics.jax.org/marker/MGI:99512","MGI:99512")</f>
        <v>MGI:99512</v>
      </c>
      <c r="J85" s="4" t="s">
        <v>12</v>
      </c>
    </row>
    <row r="86" spans="1:10" x14ac:dyDescent="0.25">
      <c r="A86" s="2">
        <v>24.813559666837499</v>
      </c>
      <c r="B86" s="3">
        <v>4.0667903592475998</v>
      </c>
      <c r="C86" s="5">
        <v>1.2842197703355201E-25</v>
      </c>
      <c r="D86" s="6">
        <v>2.6416371686642101E-24</v>
      </c>
      <c r="E86" s="3" t="s">
        <v>1826</v>
      </c>
      <c r="F86" s="3" t="s">
        <v>1827</v>
      </c>
      <c r="G86" s="3" t="s">
        <v>83</v>
      </c>
      <c r="H86" s="7" t="str">
        <f>HYPERLINK("http://www.ensembl.org/Mus_musculus/Gene/Summary?db=core;g=ENSMUSG00000107215","ENSMUSG00000107215")</f>
        <v>ENSMUSG00000107215</v>
      </c>
      <c r="I86" s="7" t="str">
        <f>HYPERLINK("http://www.informatics.jax.org/marker/MGI:5663334","MGI:5663334")</f>
        <v>MGI:5663334</v>
      </c>
      <c r="J86" s="4" t="s">
        <v>1828</v>
      </c>
    </row>
    <row r="87" spans="1:10" x14ac:dyDescent="0.25">
      <c r="A87" s="2">
        <v>1086.1232375812299</v>
      </c>
      <c r="B87" s="3">
        <v>4.0600905425114897</v>
      </c>
      <c r="C87" s="5">
        <v>1.34681445911005E-64</v>
      </c>
      <c r="D87" s="6">
        <v>9.0909975989928102E-63</v>
      </c>
      <c r="E87" s="3" t="s">
        <v>782</v>
      </c>
      <c r="F87" s="3" t="s">
        <v>783</v>
      </c>
      <c r="G87" s="3" t="s">
        <v>83</v>
      </c>
      <c r="H87" s="7" t="str">
        <f>HYPERLINK("http://www.ensembl.org/Mus_musculus/Gene/Summary?db=core;g=ENSMUSG00000079499","ENSMUSG00000079499")</f>
        <v>ENSMUSG00000079499</v>
      </c>
      <c r="I87" s="7" t="str">
        <f>HYPERLINK("http://www.informatics.jax.org/marker/MGI:1923470","MGI:1923470")</f>
        <v>MGI:1923470</v>
      </c>
      <c r="J87" s="4" t="s">
        <v>331</v>
      </c>
    </row>
    <row r="88" spans="1:10" x14ac:dyDescent="0.25">
      <c r="A88" s="2">
        <v>47.410888673583599</v>
      </c>
      <c r="B88" s="3">
        <v>4.0260702983682197</v>
      </c>
      <c r="C88" s="5">
        <v>9.6194086678092904E-42</v>
      </c>
      <c r="D88" s="6">
        <v>3.5778310810372299E-40</v>
      </c>
      <c r="E88" s="3" t="s">
        <v>1090</v>
      </c>
      <c r="F88" s="3" t="s">
        <v>1091</v>
      </c>
      <c r="G88" s="3">
        <v>12827</v>
      </c>
      <c r="H88" s="7" t="str">
        <f>HYPERLINK("http://www.ensembl.org/Mus_musculus/Gene/Summary?db=core;g=ENSMUSG00000031503","ENSMUSG00000031503")</f>
        <v>ENSMUSG00000031503</v>
      </c>
      <c r="I88" s="7" t="str">
        <f>HYPERLINK("http://www.informatics.jax.org/marker/MGI:88455","MGI:88455")</f>
        <v>MGI:88455</v>
      </c>
      <c r="J88" s="4" t="s">
        <v>12</v>
      </c>
    </row>
    <row r="89" spans="1:10" x14ac:dyDescent="0.25">
      <c r="A89" s="2">
        <v>112.95487225519101</v>
      </c>
      <c r="B89" s="3">
        <v>4.0094333010768599</v>
      </c>
      <c r="C89" s="5">
        <v>1.52471210169802E-24</v>
      </c>
      <c r="D89" s="6">
        <v>2.9751475431955401E-23</v>
      </c>
      <c r="E89" s="3" t="s">
        <v>1680</v>
      </c>
      <c r="F89" s="3" t="s">
        <v>1681</v>
      </c>
      <c r="G89" s="3">
        <v>20684</v>
      </c>
      <c r="H89" s="7" t="str">
        <f>HYPERLINK("http://www.ensembl.org/Mus_musculus/Gene/Summary?db=core;g=ENSMUSG00000026222","ENSMUSG00000026222")</f>
        <v>ENSMUSG00000026222</v>
      </c>
      <c r="I89" s="7" t="str">
        <f>HYPERLINK("http://www.informatics.jax.org/marker/MGI:109561","MGI:109561")</f>
        <v>MGI:109561</v>
      </c>
      <c r="J89" s="4" t="s">
        <v>12</v>
      </c>
    </row>
    <row r="90" spans="1:10" x14ac:dyDescent="0.25">
      <c r="A90" s="2">
        <v>353.17020255599198</v>
      </c>
      <c r="B90" s="3">
        <v>4.0064095880503601</v>
      </c>
      <c r="C90" s="5">
        <v>2.8353666842858698E-48</v>
      </c>
      <c r="D90" s="6">
        <v>1.31153700053579E-46</v>
      </c>
      <c r="E90" s="3" t="s">
        <v>1414</v>
      </c>
      <c r="F90" s="3" t="s">
        <v>1415</v>
      </c>
      <c r="G90" s="3">
        <v>231805</v>
      </c>
      <c r="H90" s="7" t="str">
        <f>HYPERLINK("http://www.ensembl.org/Mus_musculus/Gene/Summary?db=core;g=ENSMUSG00000046245","ENSMUSG00000046245")</f>
        <v>ENSMUSG00000046245</v>
      </c>
      <c r="I90" s="7" t="str">
        <f>HYPERLINK("http://www.informatics.jax.org/marker/MGI:2450529","MGI:2450529")</f>
        <v>MGI:2450529</v>
      </c>
      <c r="J90" s="4" t="s">
        <v>12</v>
      </c>
    </row>
    <row r="91" spans="1:10" x14ac:dyDescent="0.25">
      <c r="A91" s="2">
        <v>346.99703008443902</v>
      </c>
      <c r="B91" s="3">
        <v>3.9635693569921</v>
      </c>
      <c r="C91" s="5">
        <v>1.7796825710138699E-114</v>
      </c>
      <c r="D91" s="6">
        <v>3.5255124844269298E-112</v>
      </c>
      <c r="E91" s="3" t="s">
        <v>194</v>
      </c>
      <c r="F91" s="3" t="s">
        <v>195</v>
      </c>
      <c r="G91" s="3">
        <v>257632</v>
      </c>
      <c r="H91" s="7" t="str">
        <f>HYPERLINK("http://www.ensembl.org/Mus_musculus/Gene/Summary?db=core;g=ENSMUSG00000055994","ENSMUSG00000055994")</f>
        <v>ENSMUSG00000055994</v>
      </c>
      <c r="I91" s="7" t="str">
        <f>HYPERLINK("http://www.informatics.jax.org/marker/MGI:2429397","MGI:2429397")</f>
        <v>MGI:2429397</v>
      </c>
      <c r="J91" s="4" t="s">
        <v>12</v>
      </c>
    </row>
    <row r="92" spans="1:10" x14ac:dyDescent="0.25">
      <c r="A92" s="2">
        <v>5540.9763274344896</v>
      </c>
      <c r="B92" s="3">
        <v>3.9479533735355199</v>
      </c>
      <c r="C92" s="5">
        <v>4.7433794207544501E-199</v>
      </c>
      <c r="D92" s="6">
        <v>2.40133583175694E-196</v>
      </c>
      <c r="E92" s="3" t="s">
        <v>47</v>
      </c>
      <c r="F92" s="3" t="s">
        <v>48</v>
      </c>
      <c r="G92" s="3">
        <v>231655</v>
      </c>
      <c r="H92" s="7" t="str">
        <f>HYPERLINK("http://www.ensembl.org/Mus_musculus/Gene/Summary?db=core;g=ENSMUSG00000041827","ENSMUSG00000041827")</f>
        <v>ENSMUSG00000041827</v>
      </c>
      <c r="I92" s="7" t="str">
        <f>HYPERLINK("http://www.informatics.jax.org/marker/MGI:2180849","MGI:2180849")</f>
        <v>MGI:2180849</v>
      </c>
      <c r="J92" s="4" t="s">
        <v>12</v>
      </c>
    </row>
    <row r="93" spans="1:10" x14ac:dyDescent="0.25">
      <c r="A93" s="2">
        <v>465.95463446567101</v>
      </c>
      <c r="B93" s="3">
        <v>3.9450552232117801</v>
      </c>
      <c r="C93" s="5">
        <v>7.0798835171882497E-34</v>
      </c>
      <c r="D93" s="6">
        <v>2.00982674611769E-32</v>
      </c>
      <c r="E93" s="3" t="s">
        <v>2704</v>
      </c>
      <c r="F93" s="3" t="s">
        <v>2705</v>
      </c>
      <c r="G93" s="3">
        <v>23886</v>
      </c>
      <c r="H93" s="7" t="str">
        <f>HYPERLINK("http://www.ensembl.org/Mus_musculus/Gene/Summary?db=core;g=ENSMUSG00000038508","ENSMUSG00000038508")</f>
        <v>ENSMUSG00000038508</v>
      </c>
      <c r="I93" s="7" t="str">
        <f>HYPERLINK("http://www.informatics.jax.org/marker/MGI:1346047","MGI:1346047")</f>
        <v>MGI:1346047</v>
      </c>
      <c r="J93" s="4" t="s">
        <v>12</v>
      </c>
    </row>
    <row r="94" spans="1:10" x14ac:dyDescent="0.25">
      <c r="A94" s="2">
        <v>154.038116603437</v>
      </c>
      <c r="B94" s="3">
        <v>3.9427497230133799</v>
      </c>
      <c r="C94" s="5">
        <v>2.5357772904294299E-20</v>
      </c>
      <c r="D94" s="6">
        <v>4.04326693946425E-19</v>
      </c>
      <c r="E94" s="3" t="s">
        <v>1606</v>
      </c>
      <c r="F94" s="3" t="s">
        <v>1607</v>
      </c>
      <c r="G94" s="3">
        <v>226695</v>
      </c>
      <c r="H94" s="7" t="str">
        <f>HYPERLINK("http://www.ensembl.org/Mus_musculus/Gene/Summary?db=core;g=ENSMUSG00000054203","ENSMUSG00000054203")</f>
        <v>ENSMUSG00000054203</v>
      </c>
      <c r="I94" s="7" t="str">
        <f>HYPERLINK("http://www.informatics.jax.org/marker/MGI:101847","MGI:101847")</f>
        <v>MGI:101847</v>
      </c>
      <c r="J94" s="4" t="s">
        <v>12</v>
      </c>
    </row>
    <row r="95" spans="1:10" x14ac:dyDescent="0.25">
      <c r="A95" s="2">
        <v>66.643537795929902</v>
      </c>
      <c r="B95" s="3">
        <v>3.9169775181675801</v>
      </c>
      <c r="C95" s="5">
        <v>9.64407723468621E-43</v>
      </c>
      <c r="D95" s="6">
        <v>3.7002801600453903E-41</v>
      </c>
      <c r="E95" s="3" t="s">
        <v>1011</v>
      </c>
      <c r="F95" s="3" t="s">
        <v>1012</v>
      </c>
      <c r="G95" s="3" t="s">
        <v>83</v>
      </c>
      <c r="H95" s="7" t="str">
        <f>HYPERLINK("http://www.ensembl.org/Mus_musculus/Gene/Summary?db=core;g=ENSMUSG00000097418","ENSMUSG00000097418")</f>
        <v>ENSMUSG00000097418</v>
      </c>
      <c r="I95" s="7" t="str">
        <f>HYPERLINK("http://www.informatics.jax.org/marker/MGI:5477161","MGI:5477161")</f>
        <v>MGI:5477161</v>
      </c>
      <c r="J95" s="4" t="s">
        <v>939</v>
      </c>
    </row>
    <row r="96" spans="1:10" x14ac:dyDescent="0.25">
      <c r="A96" s="2">
        <v>2997.2076560687901</v>
      </c>
      <c r="B96" s="3">
        <v>3.8945071034499299</v>
      </c>
      <c r="C96" s="5">
        <v>5.1300258148670501E-61</v>
      </c>
      <c r="D96" s="6">
        <v>3.21287699230076E-59</v>
      </c>
      <c r="E96" s="3" t="s">
        <v>454</v>
      </c>
      <c r="F96" s="3" t="s">
        <v>455</v>
      </c>
      <c r="G96" s="3">
        <v>15958</v>
      </c>
      <c r="H96" s="7" t="str">
        <f>HYPERLINK("http://www.ensembl.org/Mus_musculus/Gene/Summary?db=core;g=ENSMUSG00000045932","ENSMUSG00000045932")</f>
        <v>ENSMUSG00000045932</v>
      </c>
      <c r="I96" s="7" t="str">
        <f>HYPERLINK("http://www.informatics.jax.org/marker/MGI:99449","MGI:99449")</f>
        <v>MGI:99449</v>
      </c>
      <c r="J96" s="4" t="s">
        <v>12</v>
      </c>
    </row>
    <row r="97" spans="1:10" x14ac:dyDescent="0.25">
      <c r="A97" s="2">
        <v>456.20258817765699</v>
      </c>
      <c r="B97" s="3">
        <v>3.8906663970667701</v>
      </c>
      <c r="C97" s="5">
        <v>1.50324005900674E-113</v>
      </c>
      <c r="D97" s="6">
        <v>2.94586559950515E-111</v>
      </c>
      <c r="E97" s="3" t="s">
        <v>242</v>
      </c>
      <c r="F97" s="3" t="s">
        <v>243</v>
      </c>
      <c r="G97" s="3">
        <v>18578</v>
      </c>
      <c r="H97" s="7" t="str">
        <f>HYPERLINK("http://www.ensembl.org/Mus_musculus/Gene/Summary?db=core;g=ENSMUSG00000028525","ENSMUSG00000028525")</f>
        <v>ENSMUSG00000028525</v>
      </c>
      <c r="I97" s="7" t="str">
        <f>HYPERLINK("http://www.informatics.jax.org/marker/MGI:99557","MGI:99557")</f>
        <v>MGI:99557</v>
      </c>
      <c r="J97" s="4" t="s">
        <v>12</v>
      </c>
    </row>
    <row r="98" spans="1:10" x14ac:dyDescent="0.25">
      <c r="A98" s="2">
        <v>1011.34777915118</v>
      </c>
      <c r="B98" s="3">
        <v>3.8875661166142699</v>
      </c>
      <c r="C98" s="5">
        <v>1.04049153032259E-249</v>
      </c>
      <c r="D98" s="6">
        <v>1.2641972093419499E-246</v>
      </c>
      <c r="E98" s="3" t="s">
        <v>45</v>
      </c>
      <c r="F98" s="3" t="s">
        <v>46</v>
      </c>
      <c r="G98" s="3">
        <v>21929</v>
      </c>
      <c r="H98" s="7" t="str">
        <f>HYPERLINK("http://www.ensembl.org/Mus_musculus/Gene/Summary?db=core;g=ENSMUSG00000019850","ENSMUSG00000019850")</f>
        <v>ENSMUSG00000019850</v>
      </c>
      <c r="I98" s="7" t="str">
        <f>HYPERLINK("http://www.informatics.jax.org/marker/MGI:1196377","MGI:1196377")</f>
        <v>MGI:1196377</v>
      </c>
      <c r="J98" s="4" t="s">
        <v>12</v>
      </c>
    </row>
    <row r="99" spans="1:10" x14ac:dyDescent="0.25">
      <c r="A99" s="2">
        <v>347.263928181788</v>
      </c>
      <c r="B99" s="3">
        <v>3.8855215430068402</v>
      </c>
      <c r="C99" s="5">
        <v>2.1674132076006399E-99</v>
      </c>
      <c r="D99" s="6">
        <v>3.1600884566817301E-97</v>
      </c>
      <c r="E99" s="3" t="s">
        <v>294</v>
      </c>
      <c r="F99" s="3" t="s">
        <v>295</v>
      </c>
      <c r="G99" s="3">
        <v>224840</v>
      </c>
      <c r="H99" s="7" t="str">
        <f>HYPERLINK("http://www.ensembl.org/Mus_musculus/Gene/Summary?db=core;g=ENSMUSG00000051682","ENSMUSG00000051682")</f>
        <v>ENSMUSG00000051682</v>
      </c>
      <c r="I99" s="7" t="str">
        <f>HYPERLINK("http://www.informatics.jax.org/marker/MGI:1923239","MGI:1923239")</f>
        <v>MGI:1923239</v>
      </c>
      <c r="J99" s="4" t="s">
        <v>12</v>
      </c>
    </row>
    <row r="100" spans="1:10" x14ac:dyDescent="0.25">
      <c r="A100" s="2">
        <v>22.237221087798101</v>
      </c>
      <c r="B100" s="3">
        <v>3.86179730982201</v>
      </c>
      <c r="C100" s="5">
        <v>6.8182134546147001E-23</v>
      </c>
      <c r="D100" s="6">
        <v>1.23031623970647E-21</v>
      </c>
      <c r="E100" s="3" t="s">
        <v>2067</v>
      </c>
      <c r="F100" s="3" t="s">
        <v>2068</v>
      </c>
      <c r="G100" s="3" t="s">
        <v>83</v>
      </c>
      <c r="H100" s="7" t="str">
        <f>HYPERLINK("http://www.ensembl.org/Mus_musculus/Gene/Summary?db=core;g=ENSMUSG00000116639","ENSMUSG00000116639")</f>
        <v>ENSMUSG00000116639</v>
      </c>
      <c r="I100" s="7" t="str">
        <f>HYPERLINK("http://www.informatics.jax.org/marker/MGI:6215212","MGI:6215212")</f>
        <v>MGI:6215212</v>
      </c>
      <c r="J100" s="4" t="s">
        <v>1828</v>
      </c>
    </row>
    <row r="101" spans="1:10" x14ac:dyDescent="0.25">
      <c r="A101" s="2">
        <v>137.09242551333099</v>
      </c>
      <c r="B101" s="3">
        <v>3.8565869292286399</v>
      </c>
      <c r="C101" s="5">
        <v>1.1076523030038499E-18</v>
      </c>
      <c r="D101" s="6">
        <v>1.6240517475659899E-17</v>
      </c>
      <c r="E101" s="3" t="s">
        <v>2043</v>
      </c>
      <c r="F101" s="3" t="s">
        <v>2044</v>
      </c>
      <c r="G101" s="3">
        <v>16193</v>
      </c>
      <c r="H101" s="7" t="str">
        <f>HYPERLINK("http://www.ensembl.org/Mus_musculus/Gene/Summary?db=core;g=ENSMUSG00000025746","ENSMUSG00000025746")</f>
        <v>ENSMUSG00000025746</v>
      </c>
      <c r="I101" s="7" t="str">
        <f>HYPERLINK("http://www.informatics.jax.org/marker/MGI:96559","MGI:96559")</f>
        <v>MGI:96559</v>
      </c>
      <c r="J101" s="4" t="s">
        <v>12</v>
      </c>
    </row>
    <row r="102" spans="1:10" x14ac:dyDescent="0.25">
      <c r="A102" s="2">
        <v>10.9843822555413</v>
      </c>
      <c r="B102" s="3">
        <v>3.7348694820907702</v>
      </c>
      <c r="C102" s="5">
        <v>2.9036782114726599E-20</v>
      </c>
      <c r="D102" s="6">
        <v>4.6097156275339095E-19</v>
      </c>
      <c r="E102" s="3" t="s">
        <v>4071</v>
      </c>
      <c r="F102" s="3" t="s">
        <v>4072</v>
      </c>
      <c r="G102" s="3">
        <v>19270</v>
      </c>
      <c r="H102" s="7" t="str">
        <f>HYPERLINK("http://www.ensembl.org/Mus_musculus/Gene/Summary?db=core;g=ENSMUSG00000021745","ENSMUSG00000021745")</f>
        <v>ENSMUSG00000021745</v>
      </c>
      <c r="I102" s="7" t="str">
        <f>HYPERLINK("http://www.informatics.jax.org/marker/MGI:97814","MGI:97814")</f>
        <v>MGI:97814</v>
      </c>
      <c r="J102" s="4" t="s">
        <v>12</v>
      </c>
    </row>
    <row r="103" spans="1:10" x14ac:dyDescent="0.25">
      <c r="A103" s="2">
        <v>43.112993403981498</v>
      </c>
      <c r="B103" s="3">
        <v>3.7264908080730401</v>
      </c>
      <c r="C103" s="5">
        <v>1.7000820845951801E-25</v>
      </c>
      <c r="D103" s="6">
        <v>3.4774406275810599E-24</v>
      </c>
      <c r="E103" s="3" t="s">
        <v>1262</v>
      </c>
      <c r="F103" s="3" t="s">
        <v>1263</v>
      </c>
      <c r="G103" s="3">
        <v>74481</v>
      </c>
      <c r="H103" s="7" t="str">
        <f>HYPERLINK("http://www.ensembl.org/Mus_musculus/Gene/Summary?db=core;g=ENSMUSG00000039699","ENSMUSG00000039699")</f>
        <v>ENSMUSG00000039699</v>
      </c>
      <c r="I103" s="7" t="str">
        <f>HYPERLINK("http://www.informatics.jax.org/marker/MGI:1921731","MGI:1921731")</f>
        <v>MGI:1921731</v>
      </c>
      <c r="J103" s="4" t="s">
        <v>12</v>
      </c>
    </row>
    <row r="104" spans="1:10" x14ac:dyDescent="0.25">
      <c r="A104" s="2">
        <v>1489.7082806052799</v>
      </c>
      <c r="B104" s="3">
        <v>3.7121585691374999</v>
      </c>
      <c r="C104" s="5">
        <v>1.3978587449186899E-70</v>
      </c>
      <c r="D104" s="6">
        <v>1.08871690710013E-68</v>
      </c>
      <c r="E104" s="3" t="s">
        <v>632</v>
      </c>
      <c r="F104" s="3" t="s">
        <v>633</v>
      </c>
      <c r="G104" s="3">
        <v>15951</v>
      </c>
      <c r="H104" s="7" t="str">
        <f>HYPERLINK("http://www.ensembl.org/Mus_musculus/Gene/Summary?db=core;g=ENSMUSG00000073489","ENSMUSG00000073489")</f>
        <v>ENSMUSG00000073489</v>
      </c>
      <c r="I104" s="7" t="str">
        <f>HYPERLINK("http://www.informatics.jax.org/marker/MGI:96429","MGI:96429")</f>
        <v>MGI:96429</v>
      </c>
      <c r="J104" s="4" t="s">
        <v>12</v>
      </c>
    </row>
    <row r="105" spans="1:10" x14ac:dyDescent="0.25">
      <c r="A105" s="2">
        <v>269.525576472517</v>
      </c>
      <c r="B105" s="3">
        <v>3.7017296884636299</v>
      </c>
      <c r="C105" s="5">
        <v>6.1727375852232803E-78</v>
      </c>
      <c r="D105" s="6">
        <v>5.59692251197484E-76</v>
      </c>
      <c r="E105" s="3" t="s">
        <v>406</v>
      </c>
      <c r="F105" s="3" t="s">
        <v>407</v>
      </c>
      <c r="G105" s="3">
        <v>108670</v>
      </c>
      <c r="H105" s="7" t="str">
        <f>HYPERLINK("http://www.ensembl.org/Mus_musculus/Gene/Summary?db=core;g=ENSMUSG00000022014","ENSMUSG00000022014")</f>
        <v>ENSMUSG00000022014</v>
      </c>
      <c r="I105" s="7" t="str">
        <f>HYPERLINK("http://www.informatics.jax.org/marker/MGI:1915168","MGI:1915168")</f>
        <v>MGI:1915168</v>
      </c>
      <c r="J105" s="4" t="s">
        <v>12</v>
      </c>
    </row>
    <row r="106" spans="1:10" x14ac:dyDescent="0.25">
      <c r="A106" s="2">
        <v>21.786823437448199</v>
      </c>
      <c r="B106" s="3">
        <v>3.6993220731899998</v>
      </c>
      <c r="C106" s="5">
        <v>4.2608473036900603E-20</v>
      </c>
      <c r="D106" s="6">
        <v>6.6713008685353404E-19</v>
      </c>
      <c r="E106" s="3" t="s">
        <v>2269</v>
      </c>
      <c r="F106" s="3" t="s">
        <v>2270</v>
      </c>
      <c r="G106" s="3">
        <v>219131</v>
      </c>
      <c r="H106" s="7" t="str">
        <f>HYPERLINK("http://www.ensembl.org/Mus_musculus/Gene/Summary?db=core;g=ENSMUSG00000044703","ENSMUSG00000044703")</f>
        <v>ENSMUSG00000044703</v>
      </c>
      <c r="I106" s="7" t="str">
        <f>HYPERLINK("http://www.informatics.jax.org/marker/MGI:1918441","MGI:1918441")</f>
        <v>MGI:1918441</v>
      </c>
      <c r="J106" s="4" t="s">
        <v>12</v>
      </c>
    </row>
    <row r="107" spans="1:10" x14ac:dyDescent="0.25">
      <c r="A107" s="2">
        <v>7945.74200935715</v>
      </c>
      <c r="B107" s="3">
        <v>3.6849316882533398</v>
      </c>
      <c r="C107" s="5">
        <v>3.3526310755073001E-263</v>
      </c>
      <c r="D107" s="6">
        <v>4.7001308731631203E-260</v>
      </c>
      <c r="E107" s="3" t="s">
        <v>39</v>
      </c>
      <c r="F107" s="3" t="s">
        <v>40</v>
      </c>
      <c r="G107" s="3">
        <v>229003</v>
      </c>
      <c r="H107" s="7" t="str">
        <f>HYPERLINK("http://www.ensembl.org/Mus_musculus/Gene/Summary?db=core;g=ENSMUSG00000027580","ENSMUSG00000027580")</f>
        <v>ENSMUSG00000027580</v>
      </c>
      <c r="I107" s="7" t="str">
        <f>HYPERLINK("http://www.informatics.jax.org/marker/MGI:2385169","MGI:2385169")</f>
        <v>MGI:2385169</v>
      </c>
      <c r="J107" s="4" t="s">
        <v>12</v>
      </c>
    </row>
    <row r="108" spans="1:10" x14ac:dyDescent="0.25">
      <c r="A108" s="2">
        <v>27.974966692411801</v>
      </c>
      <c r="B108" s="3">
        <v>3.68461972273544</v>
      </c>
      <c r="C108" s="5">
        <v>3.3399925376626402E-20</v>
      </c>
      <c r="D108" s="6">
        <v>5.27024796527287E-19</v>
      </c>
      <c r="E108" s="3" t="s">
        <v>2121</v>
      </c>
      <c r="F108" s="3" t="s">
        <v>2122</v>
      </c>
      <c r="G108" s="3">
        <v>100702</v>
      </c>
      <c r="H108" s="7" t="str">
        <f>HYPERLINK("http://www.ensembl.org/Mus_musculus/Gene/Summary?db=core;g=ENSMUSG00000104713","ENSMUSG00000104713")</f>
        <v>ENSMUSG00000104713</v>
      </c>
      <c r="I108" s="7" t="str">
        <f>HYPERLINK("http://www.informatics.jax.org/marker/MGI:2140937","MGI:2140937")</f>
        <v>MGI:2140937</v>
      </c>
      <c r="J108" s="4" t="s">
        <v>12</v>
      </c>
    </row>
    <row r="109" spans="1:10" x14ac:dyDescent="0.25">
      <c r="A109" s="2">
        <v>21.2288753981525</v>
      </c>
      <c r="B109" s="3">
        <v>3.66119952972638</v>
      </c>
      <c r="C109" s="5">
        <v>6.7425382427952698E-22</v>
      </c>
      <c r="D109" s="6">
        <v>1.15817869439155E-20</v>
      </c>
      <c r="E109" s="3" t="s">
        <v>2207</v>
      </c>
      <c r="F109" s="3" t="s">
        <v>2208</v>
      </c>
      <c r="G109" s="3">
        <v>11540</v>
      </c>
      <c r="H109" s="7" t="str">
        <f>HYPERLINK("http://www.ensembl.org/Mus_musculus/Gene/Summary?db=core;g=ENSMUSG00000020178","ENSMUSG00000020178")</f>
        <v>ENSMUSG00000020178</v>
      </c>
      <c r="I109" s="7" t="str">
        <f>HYPERLINK("http://www.informatics.jax.org/marker/MGI:99402","MGI:99402")</f>
        <v>MGI:99402</v>
      </c>
      <c r="J109" s="4" t="s">
        <v>12</v>
      </c>
    </row>
    <row r="110" spans="1:10" x14ac:dyDescent="0.25">
      <c r="A110" s="2">
        <v>4536.97857921593</v>
      </c>
      <c r="B110" s="3">
        <v>3.65745276118201</v>
      </c>
      <c r="C110" s="5">
        <v>4.20689215940336E-208</v>
      </c>
      <c r="D110" s="6">
        <v>2.7382360573259402E-205</v>
      </c>
      <c r="E110" s="3" t="s">
        <v>69</v>
      </c>
      <c r="F110" s="3" t="s">
        <v>70</v>
      </c>
      <c r="G110" s="3">
        <v>20620</v>
      </c>
      <c r="H110" s="7" t="str">
        <f>HYPERLINK("http://www.ensembl.org/Mus_musculus/Gene/Summary?db=core;g=ENSMUSG00000021701","ENSMUSG00000021701")</f>
        <v>ENSMUSG00000021701</v>
      </c>
      <c r="I110" s="7" t="str">
        <f>HYPERLINK("http://www.informatics.jax.org/marker/MGI:1099790","MGI:1099790")</f>
        <v>MGI:1099790</v>
      </c>
      <c r="J110" s="4" t="s">
        <v>12</v>
      </c>
    </row>
    <row r="111" spans="1:10" x14ac:dyDescent="0.25">
      <c r="A111" s="2">
        <v>922.38741461207496</v>
      </c>
      <c r="B111" s="3">
        <v>3.6370202127435598</v>
      </c>
      <c r="C111" s="3">
        <v>0</v>
      </c>
      <c r="D111" s="4">
        <v>0</v>
      </c>
      <c r="E111" s="3" t="s">
        <v>13</v>
      </c>
      <c r="F111" s="3" t="s">
        <v>14</v>
      </c>
      <c r="G111" s="3">
        <v>15937</v>
      </c>
      <c r="H111" s="7" t="str">
        <f>HYPERLINK("http://www.ensembl.org/Mus_musculus/Gene/Summary?db=core;g=ENSMUSG00000003541","ENSMUSG00000003541")</f>
        <v>ENSMUSG00000003541</v>
      </c>
      <c r="I111" s="7" t="str">
        <f>HYPERLINK("http://www.informatics.jax.org/marker/MGI:104814","MGI:104814")</f>
        <v>MGI:104814</v>
      </c>
      <c r="J111" s="4" t="s">
        <v>12</v>
      </c>
    </row>
    <row r="112" spans="1:10" x14ac:dyDescent="0.25">
      <c r="A112" s="2">
        <v>12.5576690280989</v>
      </c>
      <c r="B112" s="3">
        <v>3.6327299385392799</v>
      </c>
      <c r="C112" s="5">
        <v>3.0298651951945101E-17</v>
      </c>
      <c r="D112" s="6">
        <v>4.0872903910007301E-16</v>
      </c>
      <c r="E112" s="3" t="s">
        <v>5507</v>
      </c>
      <c r="F112" s="3" t="s">
        <v>5508</v>
      </c>
      <c r="G112" s="3">
        <v>14106</v>
      </c>
      <c r="H112" s="7" t="str">
        <f>HYPERLINK("http://www.ensembl.org/Mus_musculus/Gene/Summary?db=core;g=ENSMUSG00000033837","ENSMUSG00000033837")</f>
        <v>ENSMUSG00000033837</v>
      </c>
      <c r="I112" s="7" t="str">
        <f>HYPERLINK("http://www.informatics.jax.org/marker/MGI:1347465","MGI:1347465")</f>
        <v>MGI:1347465</v>
      </c>
      <c r="J112" s="4" t="s">
        <v>12</v>
      </c>
    </row>
    <row r="113" spans="1:10" x14ac:dyDescent="0.25">
      <c r="A113" s="2">
        <v>424.68157693617502</v>
      </c>
      <c r="B113" s="3">
        <v>3.6150876865920698</v>
      </c>
      <c r="C113" s="5">
        <v>6.8119177981199795E-55</v>
      </c>
      <c r="D113" s="6">
        <v>3.6194519495841601E-53</v>
      </c>
      <c r="E113" s="3" t="s">
        <v>768</v>
      </c>
      <c r="F113" s="3" t="s">
        <v>769</v>
      </c>
      <c r="G113" s="3">
        <v>100040462</v>
      </c>
      <c r="H113" s="7" t="str">
        <f>HYPERLINK("http://www.ensembl.org/Mus_musculus/Gene/Summary?db=core;g=ENSMUSG00000090272","ENSMUSG00000090272")</f>
        <v>ENSMUSG00000090272</v>
      </c>
      <c r="I113" s="7" t="str">
        <f>HYPERLINK("http://www.informatics.jax.org/marker/MGI:3780953","MGI:3780953")</f>
        <v>MGI:3780953</v>
      </c>
      <c r="J113" s="4" t="s">
        <v>12</v>
      </c>
    </row>
    <row r="114" spans="1:10" x14ac:dyDescent="0.25">
      <c r="A114" s="2">
        <v>55.717406684692399</v>
      </c>
      <c r="B114" s="3">
        <v>3.6046492580314702</v>
      </c>
      <c r="C114" s="5">
        <v>1.4441413144049301E-43</v>
      </c>
      <c r="D114" s="6">
        <v>5.6968561590973601E-42</v>
      </c>
      <c r="E114" s="3" t="s">
        <v>1582</v>
      </c>
      <c r="F114" s="3" t="s">
        <v>1583</v>
      </c>
      <c r="G114" s="3">
        <v>224079</v>
      </c>
      <c r="H114" s="7" t="str">
        <f>HYPERLINK("http://www.ensembl.org/Mus_musculus/Gene/Summary?db=core;g=ENSMUSG00000038094","ENSMUSG00000038094")</f>
        <v>ENSMUSG00000038094</v>
      </c>
      <c r="I114" s="7" t="str">
        <f>HYPERLINK("http://www.informatics.jax.org/marker/MGI:1924456","MGI:1924456")</f>
        <v>MGI:1924456</v>
      </c>
      <c r="J114" s="4" t="s">
        <v>12</v>
      </c>
    </row>
    <row r="115" spans="1:10" x14ac:dyDescent="0.25">
      <c r="A115" s="2">
        <v>181.38233208021401</v>
      </c>
      <c r="B115" s="3">
        <v>3.5918755636293702</v>
      </c>
      <c r="C115" s="5">
        <v>5.6316793459825002E-54</v>
      </c>
      <c r="D115" s="6">
        <v>2.9158339795605401E-52</v>
      </c>
      <c r="E115" s="3" t="s">
        <v>1248</v>
      </c>
      <c r="F115" s="3" t="s">
        <v>1249</v>
      </c>
      <c r="G115" s="3">
        <v>20568</v>
      </c>
      <c r="H115" s="7" t="str">
        <f>HYPERLINK("http://www.ensembl.org/Mus_musculus/Gene/Summary?db=core;g=ENSMUSG00000017002","ENSMUSG00000017002")</f>
        <v>ENSMUSG00000017002</v>
      </c>
      <c r="I115" s="7" t="str">
        <f>HYPERLINK("http://www.informatics.jax.org/marker/MGI:109297","MGI:109297")</f>
        <v>MGI:109297</v>
      </c>
      <c r="J115" s="4" t="s">
        <v>12</v>
      </c>
    </row>
    <row r="116" spans="1:10" x14ac:dyDescent="0.25">
      <c r="A116" s="2">
        <v>2035.48435615778</v>
      </c>
      <c r="B116" s="3">
        <v>3.5904544724451202</v>
      </c>
      <c r="C116" s="5">
        <v>2.4615114163608501E-120</v>
      </c>
      <c r="D116" s="6">
        <v>5.2777700662560596E-118</v>
      </c>
      <c r="E116" s="3" t="s">
        <v>206</v>
      </c>
      <c r="F116" s="3" t="s">
        <v>207</v>
      </c>
      <c r="G116" s="3">
        <v>246727</v>
      </c>
      <c r="H116" s="7" t="str">
        <f>HYPERLINK("http://www.ensembl.org/Mus_musculus/Gene/Summary?db=core;g=ENSMUSG00000032661","ENSMUSG00000032661")</f>
        <v>ENSMUSG00000032661</v>
      </c>
      <c r="I116" s="7" t="str">
        <f>HYPERLINK("http://www.informatics.jax.org/marker/MGI:2180850","MGI:2180850")</f>
        <v>MGI:2180850</v>
      </c>
      <c r="J116" s="4" t="s">
        <v>12</v>
      </c>
    </row>
    <row r="117" spans="1:10" x14ac:dyDescent="0.25">
      <c r="A117" s="2">
        <v>635.04939737780603</v>
      </c>
      <c r="B117" s="3">
        <v>3.5900109380992702</v>
      </c>
      <c r="C117" s="5">
        <v>3.9591274351266203E-62</v>
      </c>
      <c r="D117" s="6">
        <v>2.5496500885223501E-60</v>
      </c>
      <c r="E117" s="3" t="s">
        <v>670</v>
      </c>
      <c r="F117" s="3" t="s">
        <v>671</v>
      </c>
      <c r="G117" s="3">
        <v>20779</v>
      </c>
      <c r="H117" s="7" t="str">
        <f>HYPERLINK("http://www.ensembl.org/Mus_musculus/Gene/Summary?db=core;g=ENSMUSG00000027646","ENSMUSG00000027646")</f>
        <v>ENSMUSG00000027646</v>
      </c>
      <c r="I117" s="7" t="str">
        <f>HYPERLINK("http://www.informatics.jax.org/marker/MGI:98397","MGI:98397")</f>
        <v>MGI:98397</v>
      </c>
      <c r="J117" s="4" t="s">
        <v>12</v>
      </c>
    </row>
    <row r="118" spans="1:10" x14ac:dyDescent="0.25">
      <c r="A118" s="2">
        <v>294.32229757660502</v>
      </c>
      <c r="B118" s="3">
        <v>3.58881394367108</v>
      </c>
      <c r="C118" s="5">
        <v>6.2723444179305202E-107</v>
      </c>
      <c r="D118" s="6">
        <v>1.02985114429535E-104</v>
      </c>
      <c r="E118" s="3" t="s">
        <v>310</v>
      </c>
      <c r="F118" s="3" t="s">
        <v>311</v>
      </c>
      <c r="G118" s="3">
        <v>231991</v>
      </c>
      <c r="H118" s="7" t="str">
        <f>HYPERLINK("http://www.ensembl.org/Mus_musculus/Gene/Summary?db=core;g=ENSMUSG00000053007","ENSMUSG00000053007")</f>
        <v>ENSMUSG00000053007</v>
      </c>
      <c r="I118" s="7" t="str">
        <f>HYPERLINK("http://www.informatics.jax.org/marker/MGI:2443973","MGI:2443973")</f>
        <v>MGI:2443973</v>
      </c>
      <c r="J118" s="4" t="s">
        <v>12</v>
      </c>
    </row>
    <row r="119" spans="1:10" x14ac:dyDescent="0.25">
      <c r="A119" s="2">
        <v>1575.4972383034001</v>
      </c>
      <c r="B119" s="3">
        <v>3.5724866320704298</v>
      </c>
      <c r="C119" s="5">
        <v>5.3659968521412302E-160</v>
      </c>
      <c r="D119" s="6">
        <v>2.0374019297973699E-157</v>
      </c>
      <c r="E119" s="3" t="s">
        <v>98</v>
      </c>
      <c r="F119" s="3" t="s">
        <v>99</v>
      </c>
      <c r="G119" s="3">
        <v>15944</v>
      </c>
      <c r="H119" s="7" t="str">
        <f>HYPERLINK("http://www.ensembl.org/Mus_musculus/Gene/Summary?db=core;g=ENSMUSG00000046879","ENSMUSG00000046879")</f>
        <v>ENSMUSG00000046879</v>
      </c>
      <c r="I119" s="7" t="str">
        <f>HYPERLINK("http://www.informatics.jax.org/marker/MGI:107567","MGI:107567")</f>
        <v>MGI:107567</v>
      </c>
      <c r="J119" s="4" t="s">
        <v>12</v>
      </c>
    </row>
    <row r="120" spans="1:10" x14ac:dyDescent="0.25">
      <c r="A120" s="2">
        <v>54.900478278427002</v>
      </c>
      <c r="B120" s="3">
        <v>3.5710215866117001</v>
      </c>
      <c r="C120" s="5">
        <v>4.6488104823692302E-28</v>
      </c>
      <c r="D120" s="6">
        <v>1.0617114165561301E-26</v>
      </c>
      <c r="E120" s="3" t="s">
        <v>1222</v>
      </c>
      <c r="F120" s="3" t="s">
        <v>1223</v>
      </c>
      <c r="G120" s="3">
        <v>20558</v>
      </c>
      <c r="H120" s="7" t="str">
        <f>HYPERLINK("http://www.ensembl.org/Mus_musculus/Gene/Summary?db=core;g=ENSMUSG00000000204","ENSMUSG00000000204")</f>
        <v>ENSMUSG00000000204</v>
      </c>
      <c r="I120" s="7" t="str">
        <f>HYPERLINK("http://www.informatics.jax.org/marker/MGI:1329010","MGI:1329010")</f>
        <v>MGI:1329010</v>
      </c>
      <c r="J120" s="4" t="s">
        <v>12</v>
      </c>
    </row>
    <row r="121" spans="1:10" x14ac:dyDescent="0.25">
      <c r="A121" s="2">
        <v>14.785890467438101</v>
      </c>
      <c r="B121" s="3">
        <v>3.56817010756876</v>
      </c>
      <c r="C121" s="5">
        <v>2.0270393093907601E-22</v>
      </c>
      <c r="D121" s="6">
        <v>3.5936567523002597E-21</v>
      </c>
      <c r="E121" s="3" t="s">
        <v>5753</v>
      </c>
      <c r="F121" s="3" t="s">
        <v>5754</v>
      </c>
      <c r="G121" s="3">
        <v>104886</v>
      </c>
      <c r="H121" s="7" t="str">
        <f>HYPERLINK("http://www.ensembl.org/Mus_musculus/Gene/Summary?db=core;g=ENSMUSG00000021062","ENSMUSG00000021062")</f>
        <v>ENSMUSG00000021062</v>
      </c>
      <c r="I121" s="7" t="str">
        <f>HYPERLINK("http://www.informatics.jax.org/marker/MGI:1916865","MGI:1916865")</f>
        <v>MGI:1916865</v>
      </c>
      <c r="J121" s="4" t="s">
        <v>12</v>
      </c>
    </row>
    <row r="122" spans="1:10" x14ac:dyDescent="0.25">
      <c r="A122" s="2">
        <v>140.700775253513</v>
      </c>
      <c r="B122" s="3">
        <v>3.5659593511669998</v>
      </c>
      <c r="C122" s="5">
        <v>4.0256705868941703E-68</v>
      </c>
      <c r="D122" s="6">
        <v>2.8999148792943198E-66</v>
      </c>
      <c r="E122" s="3" t="s">
        <v>394</v>
      </c>
      <c r="F122" s="3" t="s">
        <v>395</v>
      </c>
      <c r="G122" s="3">
        <v>71306</v>
      </c>
      <c r="H122" s="7" t="str">
        <f>HYPERLINK("http://www.ensembl.org/Mus_musculus/Gene/Summary?db=core;g=ENSMUSG00000031647","ENSMUSG00000031647")</f>
        <v>ENSMUSG00000031647</v>
      </c>
      <c r="I122" s="7" t="str">
        <f>HYPERLINK("http://www.informatics.jax.org/marker/MGI:1918556","MGI:1918556")</f>
        <v>MGI:1918556</v>
      </c>
      <c r="J122" s="4" t="s">
        <v>12</v>
      </c>
    </row>
    <row r="123" spans="1:10" x14ac:dyDescent="0.25">
      <c r="A123" s="2">
        <v>967.15726042209405</v>
      </c>
      <c r="B123" s="3">
        <v>3.5401795186366898</v>
      </c>
      <c r="C123" s="5">
        <v>1.49469728419987E-261</v>
      </c>
      <c r="D123" s="6">
        <v>1.94577557175305E-258</v>
      </c>
      <c r="E123" s="3" t="s">
        <v>90</v>
      </c>
      <c r="F123" s="3" t="s">
        <v>91</v>
      </c>
      <c r="G123" s="3">
        <v>211228</v>
      </c>
      <c r="H123" s="7" t="str">
        <f>HYPERLINK("http://www.ensembl.org/Mus_musculus/Gene/Summary?db=core;g=ENSMUSG00000049988","ENSMUSG00000049988")</f>
        <v>ENSMUSG00000049988</v>
      </c>
      <c r="I123" s="7" t="str">
        <f>HYPERLINK("http://www.informatics.jax.org/marker/MGI:2445284","MGI:2445284")</f>
        <v>MGI:2445284</v>
      </c>
      <c r="J123" s="4" t="s">
        <v>12</v>
      </c>
    </row>
    <row r="124" spans="1:10" x14ac:dyDescent="0.25">
      <c r="A124" s="2">
        <v>2343.1445138533199</v>
      </c>
      <c r="B124" s="3">
        <v>3.5217265173225898</v>
      </c>
      <c r="C124" s="5">
        <v>2.7698009285863099E-139</v>
      </c>
      <c r="D124" s="6">
        <v>8.2753478563090901E-137</v>
      </c>
      <c r="E124" s="3" t="s">
        <v>200</v>
      </c>
      <c r="F124" s="3" t="s">
        <v>201</v>
      </c>
      <c r="G124" s="3">
        <v>21941</v>
      </c>
      <c r="H124" s="7" t="str">
        <f>HYPERLINK("http://www.ensembl.org/Mus_musculus/Gene/Summary?db=core;g=ENSMUSG00000028602","ENSMUSG00000028602")</f>
        <v>ENSMUSG00000028602</v>
      </c>
      <c r="I124" s="7" t="str">
        <f>HYPERLINK("http://www.informatics.jax.org/marker/MGI:99908","MGI:99908")</f>
        <v>MGI:99908</v>
      </c>
      <c r="J124" s="4" t="s">
        <v>12</v>
      </c>
    </row>
    <row r="125" spans="1:10" x14ac:dyDescent="0.25">
      <c r="A125" s="2">
        <v>72.6083541437158</v>
      </c>
      <c r="B125" s="3">
        <v>3.5162466048262</v>
      </c>
      <c r="C125" s="5">
        <v>5.6539084310499903E-39</v>
      </c>
      <c r="D125" s="6">
        <v>1.8837747926121801E-37</v>
      </c>
      <c r="E125" s="3" t="s">
        <v>1999</v>
      </c>
      <c r="F125" s="3" t="s">
        <v>2000</v>
      </c>
      <c r="G125" s="3">
        <v>83382</v>
      </c>
      <c r="H125" s="7" t="str">
        <f>HYPERLINK("http://www.ensembl.org/Mus_musculus/Gene/Summary?db=core;g=ENSMUSG00000030474","ENSMUSG00000030474")</f>
        <v>ENSMUSG00000030474</v>
      </c>
      <c r="I125" s="7" t="str">
        <f>HYPERLINK("http://www.informatics.jax.org/marker/MGI:1932475","MGI:1932475")</f>
        <v>MGI:1932475</v>
      </c>
      <c r="J125" s="4" t="s">
        <v>12</v>
      </c>
    </row>
    <row r="126" spans="1:10" x14ac:dyDescent="0.25">
      <c r="A126" s="2">
        <v>377.18253442445501</v>
      </c>
      <c r="B126" s="3">
        <v>3.5090475098625902</v>
      </c>
      <c r="C126" s="5">
        <v>1.7913884741937401E-126</v>
      </c>
      <c r="D126" s="6">
        <v>4.3530739922908001E-124</v>
      </c>
      <c r="E126" s="3" t="s">
        <v>224</v>
      </c>
      <c r="F126" s="3" t="s">
        <v>225</v>
      </c>
      <c r="G126" s="3">
        <v>12363</v>
      </c>
      <c r="H126" s="7" t="str">
        <f>HYPERLINK("http://www.ensembl.org/Mus_musculus/Gene/Summary?db=core;g=ENSMUSG00000033538","ENSMUSG00000033538")</f>
        <v>ENSMUSG00000033538</v>
      </c>
      <c r="I126" s="7" t="str">
        <f>HYPERLINK("http://www.informatics.jax.org/marker/MGI:107700","MGI:107700")</f>
        <v>MGI:107700</v>
      </c>
      <c r="J126" s="4" t="s">
        <v>12</v>
      </c>
    </row>
    <row r="127" spans="1:10" x14ac:dyDescent="0.25">
      <c r="A127" s="2">
        <v>77.160241900734803</v>
      </c>
      <c r="B127" s="3">
        <v>3.5021522348134</v>
      </c>
      <c r="C127" s="5">
        <v>1.29858691155613E-31</v>
      </c>
      <c r="D127" s="6">
        <v>3.3906513557464798E-30</v>
      </c>
      <c r="E127" s="3" t="s">
        <v>1164</v>
      </c>
      <c r="F127" s="3" t="s">
        <v>1165</v>
      </c>
      <c r="G127" s="3">
        <v>12047</v>
      </c>
      <c r="H127" s="7" t="str">
        <f>HYPERLINK("http://www.ensembl.org/Mus_musculus/Gene/Summary?db=core;g=ENSMUSG00000099974","ENSMUSG00000099974")</f>
        <v>ENSMUSG00000099974</v>
      </c>
      <c r="I127" s="7" t="str">
        <f>HYPERLINK("http://www.informatics.jax.org/marker/MGI:1278325","MGI:1278325")</f>
        <v>MGI:1278325</v>
      </c>
      <c r="J127" s="4" t="s">
        <v>12</v>
      </c>
    </row>
    <row r="128" spans="1:10" x14ac:dyDescent="0.25">
      <c r="A128" s="2">
        <v>14.6222507554284</v>
      </c>
      <c r="B128" s="3">
        <v>3.4920397339454499</v>
      </c>
      <c r="C128" s="5">
        <v>3.11902301229774E-20</v>
      </c>
      <c r="D128" s="6">
        <v>4.9386789226000304E-19</v>
      </c>
      <c r="E128" s="3" t="s">
        <v>5057</v>
      </c>
      <c r="F128" s="3" t="s">
        <v>5058</v>
      </c>
      <c r="G128" s="3">
        <v>56471</v>
      </c>
      <c r="H128" s="7" t="str">
        <f>HYPERLINK("http://www.ensembl.org/Mus_musculus/Gene/Summary?db=core;g=ENSMUSG00000022044","ENSMUSG00000022044")</f>
        <v>ENSMUSG00000022044</v>
      </c>
      <c r="I128" s="7" t="str">
        <f>HYPERLINK("http://www.informatics.jax.org/marker/MGI:1931224","MGI:1931224")</f>
        <v>MGI:1931224</v>
      </c>
      <c r="J128" s="4" t="s">
        <v>12</v>
      </c>
    </row>
    <row r="129" spans="1:10" x14ac:dyDescent="0.25">
      <c r="A129" s="2">
        <v>194.41622037271699</v>
      </c>
      <c r="B129" s="3">
        <v>3.4589757309798999</v>
      </c>
      <c r="C129" s="5">
        <v>5.1952372787540098E-48</v>
      </c>
      <c r="D129" s="6">
        <v>2.3970430229187801E-46</v>
      </c>
      <c r="E129" s="3" t="s">
        <v>770</v>
      </c>
      <c r="F129" s="3" t="s">
        <v>771</v>
      </c>
      <c r="G129" s="3">
        <v>12045</v>
      </c>
      <c r="H129" s="7" t="str">
        <f>HYPERLINK("http://www.ensembl.org/Mus_musculus/Gene/Summary?db=core;g=ENSMUSG00000089929","ENSMUSG00000089929")</f>
        <v>ENSMUSG00000089929</v>
      </c>
      <c r="I129" s="7" t="str">
        <f>HYPERLINK("http://www.informatics.jax.org/marker/MGI:1278326","MGI:1278326")</f>
        <v>MGI:1278326</v>
      </c>
      <c r="J129" s="4" t="s">
        <v>12</v>
      </c>
    </row>
    <row r="130" spans="1:10" x14ac:dyDescent="0.25">
      <c r="A130" s="2">
        <v>13.762272708703</v>
      </c>
      <c r="B130" s="3">
        <v>3.4537606467686701</v>
      </c>
      <c r="C130" s="5">
        <v>1.6016254814115501E-21</v>
      </c>
      <c r="D130" s="6">
        <v>2.7077573653734299E-20</v>
      </c>
      <c r="E130" s="3" t="s">
        <v>4105</v>
      </c>
      <c r="F130" s="3" t="s">
        <v>4106</v>
      </c>
      <c r="G130" s="3" t="s">
        <v>83</v>
      </c>
      <c r="H130" s="7" t="str">
        <f>HYPERLINK("http://www.ensembl.org/Mus_musculus/Gene/Summary?db=core;g=ENSMUSG00000107985","ENSMUSG00000107985")</f>
        <v>ENSMUSG00000107985</v>
      </c>
      <c r="I130" s="7" t="str">
        <f>HYPERLINK("http://www.informatics.jax.org/marker/MGI:5594196","MGI:5594196")</f>
        <v>MGI:5594196</v>
      </c>
      <c r="J130" s="4" t="s">
        <v>939</v>
      </c>
    </row>
    <row r="131" spans="1:10" x14ac:dyDescent="0.25">
      <c r="A131" s="2">
        <v>158.61818142436999</v>
      </c>
      <c r="B131" s="3">
        <v>3.4302384916281898</v>
      </c>
      <c r="C131" s="5">
        <v>1.09442776733475E-42</v>
      </c>
      <c r="D131" s="6">
        <v>4.1903248024529201E-41</v>
      </c>
      <c r="E131" s="3" t="s">
        <v>726</v>
      </c>
      <c r="F131" s="3" t="s">
        <v>727</v>
      </c>
      <c r="G131" s="3">
        <v>236451</v>
      </c>
      <c r="H131" s="7" t="str">
        <f>HYPERLINK("http://www.ensembl.org/Mus_musculus/Gene/Summary?db=core;g=ENSMUSG00000091649","ENSMUSG00000091649")</f>
        <v>ENSMUSG00000091649</v>
      </c>
      <c r="I131" s="7" t="str">
        <f>HYPERLINK("http://www.informatics.jax.org/marker/MGI:3645789","MGI:3645789")</f>
        <v>MGI:3645789</v>
      </c>
      <c r="J131" s="4" t="s">
        <v>12</v>
      </c>
    </row>
    <row r="132" spans="1:10" x14ac:dyDescent="0.25">
      <c r="A132" s="2">
        <v>195.18256643746901</v>
      </c>
      <c r="B132" s="3">
        <v>3.42607820955695</v>
      </c>
      <c r="C132" s="5">
        <v>1.9239663422015701E-94</v>
      </c>
      <c r="D132" s="6">
        <v>2.55943697712582E-92</v>
      </c>
      <c r="E132" s="3" t="s">
        <v>348</v>
      </c>
      <c r="F132" s="3" t="s">
        <v>349</v>
      </c>
      <c r="G132" s="3">
        <v>74732</v>
      </c>
      <c r="H132" s="7" t="str">
        <f>HYPERLINK("http://www.ensembl.org/Mus_musculus/Gene/Summary?db=core;g=ENSMUSG00000039232","ENSMUSG00000039232")</f>
        <v>ENSMUSG00000039232</v>
      </c>
      <c r="I132" s="7" t="str">
        <f>HYPERLINK("http://www.informatics.jax.org/marker/MGI:1921982","MGI:1921982")</f>
        <v>MGI:1921982</v>
      </c>
      <c r="J132" s="4" t="s">
        <v>12</v>
      </c>
    </row>
    <row r="133" spans="1:10" x14ac:dyDescent="0.25">
      <c r="A133" s="2">
        <v>7.4320683053980101</v>
      </c>
      <c r="B133" s="3">
        <v>3.4117315645744402</v>
      </c>
      <c r="C133" s="5">
        <v>5.0758500212101401E-16</v>
      </c>
      <c r="D133" s="6">
        <v>6.3886302925797603E-15</v>
      </c>
      <c r="E133" s="3" t="s">
        <v>7028</v>
      </c>
      <c r="F133" s="3" t="s">
        <v>7029</v>
      </c>
      <c r="G133" s="3">
        <v>11828</v>
      </c>
      <c r="H133" s="7" t="str">
        <f>HYPERLINK("http://www.ensembl.org/Mus_musculus/Gene/Summary?db=core;g=ENSMUSG00000028435","ENSMUSG00000028435")</f>
        <v>ENSMUSG00000028435</v>
      </c>
      <c r="I133" s="7" t="str">
        <f>HYPERLINK("http://www.informatics.jax.org/marker/MGI:1333777","MGI:1333777")</f>
        <v>MGI:1333777</v>
      </c>
      <c r="J133" s="4" t="s">
        <v>12</v>
      </c>
    </row>
    <row r="134" spans="1:10" x14ac:dyDescent="0.25">
      <c r="A134" s="2">
        <v>1480.57660586987</v>
      </c>
      <c r="B134" s="3">
        <v>3.4082262971181598</v>
      </c>
      <c r="C134" s="5">
        <v>7.2264150336832602E-298</v>
      </c>
      <c r="D134" s="6">
        <v>1.46334904432086E-294</v>
      </c>
      <c r="E134" s="3" t="s">
        <v>25</v>
      </c>
      <c r="F134" s="3" t="s">
        <v>26</v>
      </c>
      <c r="G134" s="3">
        <v>80859</v>
      </c>
      <c r="H134" s="7" t="str">
        <f>HYPERLINK("http://www.ensembl.org/Mus_musculus/Gene/Summary?db=core;g=ENSMUSG00000035356","ENSMUSG00000035356")</f>
        <v>ENSMUSG00000035356</v>
      </c>
      <c r="I134" s="7" t="str">
        <f>HYPERLINK("http://www.informatics.jax.org/marker/MGI:1931595","MGI:1931595")</f>
        <v>MGI:1931595</v>
      </c>
      <c r="J134" s="4" t="s">
        <v>12</v>
      </c>
    </row>
    <row r="135" spans="1:10" x14ac:dyDescent="0.25">
      <c r="A135" s="2">
        <v>16.888003640511599</v>
      </c>
      <c r="B135" s="3">
        <v>3.3991252226675099</v>
      </c>
      <c r="C135" s="5">
        <v>2.48074176477506E-16</v>
      </c>
      <c r="D135" s="6">
        <v>3.1839097650017901E-15</v>
      </c>
      <c r="E135" s="3" t="s">
        <v>2403</v>
      </c>
      <c r="F135" s="3" t="s">
        <v>2404</v>
      </c>
      <c r="G135" s="3" t="s">
        <v>83</v>
      </c>
      <c r="H135" s="7" t="str">
        <f>HYPERLINK("http://www.ensembl.org/Mus_musculus/Gene/Summary?db=core;g=ENSMUSG00000079362","ENSMUSG00000079362")</f>
        <v>ENSMUSG00000079362</v>
      </c>
      <c r="I135" s="7" t="str">
        <f>HYPERLINK("http://www.informatics.jax.org/marker/MGI:5663439","MGI:5663439")</f>
        <v>MGI:5663439</v>
      </c>
      <c r="J135" s="4" t="s">
        <v>12</v>
      </c>
    </row>
    <row r="136" spans="1:10" x14ac:dyDescent="0.25">
      <c r="A136" s="2">
        <v>28.598763899308999</v>
      </c>
      <c r="B136" s="3">
        <v>3.38384946826555</v>
      </c>
      <c r="C136" s="5">
        <v>3.9011259274003E-21</v>
      </c>
      <c r="D136" s="6">
        <v>6.4575858335032102E-20</v>
      </c>
      <c r="E136" s="3" t="s">
        <v>4307</v>
      </c>
      <c r="F136" s="3" t="s">
        <v>4308</v>
      </c>
      <c r="G136" s="3">
        <v>15451</v>
      </c>
      <c r="H136" s="7" t="str">
        <f>HYPERLINK("http://www.ensembl.org/Mus_musculus/Gene/Summary?db=core;g=ENSMUSG00000001249","ENSMUSG00000001249")</f>
        <v>ENSMUSG00000001249</v>
      </c>
      <c r="I136" s="7" t="str">
        <f>HYPERLINK("http://www.informatics.jax.org/marker/MGI:1196620","MGI:1196620")</f>
        <v>MGI:1196620</v>
      </c>
      <c r="J136" s="4" t="s">
        <v>12</v>
      </c>
    </row>
    <row r="137" spans="1:10" x14ac:dyDescent="0.25">
      <c r="A137" s="2">
        <v>74.899762078821695</v>
      </c>
      <c r="B137" s="3">
        <v>3.3800214323914699</v>
      </c>
      <c r="C137" s="5">
        <v>6.9284032741348304E-37</v>
      </c>
      <c r="D137" s="6">
        <v>2.1438055971325499E-35</v>
      </c>
      <c r="E137" s="3" t="s">
        <v>1500</v>
      </c>
      <c r="F137" s="3" t="s">
        <v>1501</v>
      </c>
      <c r="G137" s="3">
        <v>170741</v>
      </c>
      <c r="H137" s="7" t="str">
        <f>HYPERLINK("http://www.ensembl.org/Mus_musculus/Gene/Summary?db=core;g=ENSMUSG00000066684","ENSMUSG00000066684")</f>
        <v>ENSMUSG00000066684</v>
      </c>
      <c r="I137" s="7" t="str">
        <f>HYPERLINK("http://www.informatics.jax.org/marker/MGI:2450532","MGI:2450532")</f>
        <v>MGI:2450532</v>
      </c>
      <c r="J137" s="4" t="s">
        <v>12</v>
      </c>
    </row>
    <row r="138" spans="1:10" x14ac:dyDescent="0.25">
      <c r="A138" s="2">
        <v>364.41316228943202</v>
      </c>
      <c r="B138" s="3">
        <v>3.3751140469521901</v>
      </c>
      <c r="C138" s="5">
        <v>3.71506241673434E-64</v>
      </c>
      <c r="D138" s="6">
        <v>2.4801103496330902E-62</v>
      </c>
      <c r="E138" s="3" t="s">
        <v>492</v>
      </c>
      <c r="F138" s="3" t="s">
        <v>493</v>
      </c>
      <c r="G138" s="3">
        <v>16145</v>
      </c>
      <c r="H138" s="7" t="str">
        <f>HYPERLINK("http://www.ensembl.org/Mus_musculus/Gene/Summary?db=core;g=ENSMUSG00000078853","ENSMUSG00000078853")</f>
        <v>ENSMUSG00000078853</v>
      </c>
      <c r="I138" s="7" t="str">
        <f>HYPERLINK("http://www.informatics.jax.org/marker/MGI:107729","MGI:107729")</f>
        <v>MGI:107729</v>
      </c>
      <c r="J138" s="4" t="s">
        <v>12</v>
      </c>
    </row>
    <row r="139" spans="1:10" x14ac:dyDescent="0.25">
      <c r="A139" s="2">
        <v>29.2221486502511</v>
      </c>
      <c r="B139" s="3">
        <v>3.3625463561232398</v>
      </c>
      <c r="C139" s="5">
        <v>2.7603186166925998E-16</v>
      </c>
      <c r="D139" s="6">
        <v>3.5352640048645599E-15</v>
      </c>
      <c r="E139" s="3" t="s">
        <v>1859</v>
      </c>
      <c r="F139" s="3" t="s">
        <v>1860</v>
      </c>
      <c r="G139" s="3">
        <v>12515</v>
      </c>
      <c r="H139" s="7" t="str">
        <f>HYPERLINK("http://www.ensembl.org/Mus_musculus/Gene/Summary?db=core;g=ENSMUSG00000030156","ENSMUSG00000030156")</f>
        <v>ENSMUSG00000030156</v>
      </c>
      <c r="I139" s="7" t="str">
        <f>HYPERLINK("http://www.informatics.jax.org/marker/MGI:88343","MGI:88343")</f>
        <v>MGI:88343</v>
      </c>
      <c r="J139" s="4" t="s">
        <v>12</v>
      </c>
    </row>
    <row r="140" spans="1:10" x14ac:dyDescent="0.25">
      <c r="A140" s="2">
        <v>14.551026646336901</v>
      </c>
      <c r="B140" s="3">
        <v>3.3622537530373702</v>
      </c>
      <c r="C140" s="5">
        <v>1.93502680416983E-16</v>
      </c>
      <c r="D140" s="6">
        <v>2.4958148270343399E-15</v>
      </c>
      <c r="E140" s="3" t="s">
        <v>3177</v>
      </c>
      <c r="F140" s="3" t="s">
        <v>3178</v>
      </c>
      <c r="G140" s="3">
        <v>83397</v>
      </c>
      <c r="H140" s="7" t="str">
        <f>HYPERLINK("http://www.ensembl.org/Mus_musculus/Gene/Summary?db=core;g=ENSMUSG00000038587","ENSMUSG00000038587")</f>
        <v>ENSMUSG00000038587</v>
      </c>
      <c r="I140" s="7" t="str">
        <f>HYPERLINK("http://www.informatics.jax.org/marker/MGI:1932576","MGI:1932576")</f>
        <v>MGI:1932576</v>
      </c>
      <c r="J140" s="4" t="s">
        <v>12</v>
      </c>
    </row>
    <row r="141" spans="1:10" x14ac:dyDescent="0.25">
      <c r="A141" s="2">
        <v>482.36923117335903</v>
      </c>
      <c r="B141" s="3">
        <v>3.36037302261599</v>
      </c>
      <c r="C141" s="5">
        <v>1.6892974763727999E-86</v>
      </c>
      <c r="D141" s="6">
        <v>1.9485725637274801E-84</v>
      </c>
      <c r="E141" s="3" t="s">
        <v>286</v>
      </c>
      <c r="F141" s="3" t="s">
        <v>287</v>
      </c>
      <c r="G141" s="3">
        <v>14528</v>
      </c>
      <c r="H141" s="7" t="str">
        <f>HYPERLINK("http://www.ensembl.org/Mus_musculus/Gene/Summary?db=core;g=ENSMUSG00000037580","ENSMUSG00000037580")</f>
        <v>ENSMUSG00000037580</v>
      </c>
      <c r="I141" s="7" t="str">
        <f>HYPERLINK("http://www.informatics.jax.org/marker/MGI:95675","MGI:95675")</f>
        <v>MGI:95675</v>
      </c>
      <c r="J141" s="4" t="s">
        <v>12</v>
      </c>
    </row>
    <row r="142" spans="1:10" x14ac:dyDescent="0.25">
      <c r="A142" s="2">
        <v>16.860025072968298</v>
      </c>
      <c r="B142" s="3">
        <v>3.35000832890359</v>
      </c>
      <c r="C142" s="5">
        <v>3.6428236211014998E-17</v>
      </c>
      <c r="D142" s="6">
        <v>4.8816515069540296E-16</v>
      </c>
      <c r="E142" s="3" t="s">
        <v>2339</v>
      </c>
      <c r="F142" s="3" t="s">
        <v>2340</v>
      </c>
      <c r="G142" s="3">
        <v>215257</v>
      </c>
      <c r="H142" s="7" t="str">
        <f>HYPERLINK("http://www.ensembl.org/Mus_musculus/Gene/Summary?db=core;g=ENSMUSG00000044103","ENSMUSG00000044103")</f>
        <v>ENSMUSG00000044103</v>
      </c>
      <c r="I142" s="7" t="str">
        <f>HYPERLINK("http://www.informatics.jax.org/marker/MGI:2449929","MGI:2449929")</f>
        <v>MGI:2449929</v>
      </c>
      <c r="J142" s="4" t="s">
        <v>12</v>
      </c>
    </row>
    <row r="143" spans="1:10" x14ac:dyDescent="0.25">
      <c r="A143" s="2">
        <v>864.27600898878904</v>
      </c>
      <c r="B143" s="3">
        <v>3.3479209936551801</v>
      </c>
      <c r="C143" s="5">
        <v>2.6535192607621001E-205</v>
      </c>
      <c r="D143" s="6">
        <v>1.56001253314159E-202</v>
      </c>
      <c r="E143" s="3" t="s">
        <v>114</v>
      </c>
      <c r="F143" s="3" t="s">
        <v>115</v>
      </c>
      <c r="G143" s="3">
        <v>230738</v>
      </c>
      <c r="H143" s="7" t="str">
        <f>HYPERLINK("http://www.ensembl.org/Mus_musculus/Gene/Summary?db=core;g=ENSMUSG00000042677","ENSMUSG00000042677")</f>
        <v>ENSMUSG00000042677</v>
      </c>
      <c r="I143" s="7" t="str">
        <f>HYPERLINK("http://www.informatics.jax.org/marker/MGI:2385891","MGI:2385891")</f>
        <v>MGI:2385891</v>
      </c>
      <c r="J143" s="4" t="s">
        <v>12</v>
      </c>
    </row>
    <row r="144" spans="1:10" x14ac:dyDescent="0.25">
      <c r="A144" s="2">
        <v>48.200954417808902</v>
      </c>
      <c r="B144" s="3">
        <v>3.3335984059996102</v>
      </c>
      <c r="C144" s="5">
        <v>1.3498498423352099E-37</v>
      </c>
      <c r="D144" s="6">
        <v>4.3008764644334197E-36</v>
      </c>
      <c r="E144" s="3" t="s">
        <v>1512</v>
      </c>
      <c r="F144" s="3" t="s">
        <v>1513</v>
      </c>
      <c r="G144" s="3">
        <v>545812</v>
      </c>
      <c r="H144" s="7" t="str">
        <f>HYPERLINK("http://www.ensembl.org/Mus_musculus/Gene/Summary?db=core;g=ENSMUSG00000066682","ENSMUSG00000066682")</f>
        <v>ENSMUSG00000066682</v>
      </c>
      <c r="I144" s="7" t="str">
        <f>HYPERLINK("http://www.informatics.jax.org/marker/MGI:2450535","MGI:2450535")</f>
        <v>MGI:2450535</v>
      </c>
      <c r="J144" s="4" t="s">
        <v>12</v>
      </c>
    </row>
    <row r="145" spans="1:10" x14ac:dyDescent="0.25">
      <c r="A145" s="2">
        <v>15.757576234429701</v>
      </c>
      <c r="B145" s="3">
        <v>3.3054655100929602</v>
      </c>
      <c r="C145" s="5">
        <v>6.4154716054149696E-16</v>
      </c>
      <c r="D145" s="6">
        <v>7.9973987694040996E-15</v>
      </c>
      <c r="E145" s="3" t="s">
        <v>2710</v>
      </c>
      <c r="F145" s="3" t="s">
        <v>2711</v>
      </c>
      <c r="G145" s="3">
        <v>20293</v>
      </c>
      <c r="H145" s="7" t="str">
        <f>HYPERLINK("http://www.ensembl.org/Mus_musculus/Gene/Summary?db=core;g=ENSMUSG00000035352","ENSMUSG00000035352")</f>
        <v>ENSMUSG00000035352</v>
      </c>
      <c r="I145" s="7" t="str">
        <f>HYPERLINK("http://www.informatics.jax.org/marker/MGI:108224","MGI:108224")</f>
        <v>MGI:108224</v>
      </c>
      <c r="J145" s="4" t="s">
        <v>12</v>
      </c>
    </row>
    <row r="146" spans="1:10" x14ac:dyDescent="0.25">
      <c r="A146" s="2">
        <v>130.243116953384</v>
      </c>
      <c r="B146" s="3">
        <v>3.3012883586934398</v>
      </c>
      <c r="C146" s="5">
        <v>3.6421937467531001E-96</v>
      </c>
      <c r="D146" s="6">
        <v>5.1060754641980903E-94</v>
      </c>
      <c r="E146" s="3" t="s">
        <v>968</v>
      </c>
      <c r="F146" s="3" t="s">
        <v>969</v>
      </c>
      <c r="G146" s="3">
        <v>21817</v>
      </c>
      <c r="H146" s="7" t="str">
        <f>HYPERLINK("http://www.ensembl.org/Mus_musculus/Gene/Summary?db=core;g=ENSMUSG00000037820","ENSMUSG00000037820")</f>
        <v>ENSMUSG00000037820</v>
      </c>
      <c r="I146" s="7" t="str">
        <f>HYPERLINK("http://www.informatics.jax.org/marker/MGI:98731","MGI:98731")</f>
        <v>MGI:98731</v>
      </c>
      <c r="J146" s="4" t="s">
        <v>12</v>
      </c>
    </row>
    <row r="147" spans="1:10" x14ac:dyDescent="0.25">
      <c r="A147" s="2">
        <v>23.746507521555401</v>
      </c>
      <c r="B147" s="3">
        <v>3.2930265146431301</v>
      </c>
      <c r="C147" s="5">
        <v>2.4506491598251998E-28</v>
      </c>
      <c r="D147" s="6">
        <v>5.6823258190603398E-27</v>
      </c>
      <c r="E147" s="3" t="s">
        <v>4843</v>
      </c>
      <c r="F147" s="3" t="s">
        <v>4844</v>
      </c>
      <c r="G147" s="3">
        <v>18798</v>
      </c>
      <c r="H147" s="7" t="str">
        <f>HYPERLINK("http://www.ensembl.org/Mus_musculus/Gene/Summary?db=core;g=ENSMUSG00000039943","ENSMUSG00000039943")</f>
        <v>ENSMUSG00000039943</v>
      </c>
      <c r="I147" s="7" t="str">
        <f>HYPERLINK("http://www.informatics.jax.org/marker/MGI:107464","MGI:107464")</f>
        <v>MGI:107464</v>
      </c>
      <c r="J147" s="4" t="s">
        <v>12</v>
      </c>
    </row>
    <row r="148" spans="1:10" x14ac:dyDescent="0.25">
      <c r="A148" s="2">
        <v>2576.5427068715499</v>
      </c>
      <c r="B148" s="3">
        <v>3.2862852653901902</v>
      </c>
      <c r="C148" s="5">
        <v>5.4127035475400798E-115</v>
      </c>
      <c r="D148" s="6">
        <v>1.1083878893698601E-112</v>
      </c>
      <c r="E148" s="3" t="s">
        <v>248</v>
      </c>
      <c r="F148" s="3" t="s">
        <v>249</v>
      </c>
      <c r="G148" s="3">
        <v>12266</v>
      </c>
      <c r="H148" s="7" t="str">
        <f>HYPERLINK("http://www.ensembl.org/Mus_musculus/Gene/Summary?db=core;g=ENSMUSG00000024164","ENSMUSG00000024164")</f>
        <v>ENSMUSG00000024164</v>
      </c>
      <c r="I148" s="7" t="str">
        <f>HYPERLINK("http://www.informatics.jax.org/marker/MGI:88227","MGI:88227")</f>
        <v>MGI:88227</v>
      </c>
      <c r="J148" s="4" t="s">
        <v>12</v>
      </c>
    </row>
    <row r="149" spans="1:10" x14ac:dyDescent="0.25">
      <c r="A149" s="2">
        <v>4648.9676087891903</v>
      </c>
      <c r="B149" s="3">
        <v>3.2764132863812998</v>
      </c>
      <c r="C149" s="3">
        <v>0</v>
      </c>
      <c r="D149" s="4">
        <v>0</v>
      </c>
      <c r="E149" s="3" t="s">
        <v>21</v>
      </c>
      <c r="F149" s="3" t="s">
        <v>22</v>
      </c>
      <c r="G149" s="3">
        <v>13660</v>
      </c>
      <c r="H149" s="7" t="str">
        <f>HYPERLINK("http://www.ensembl.org/Mus_musculus/Gene/Summary?db=core;g=ENSMUSG00000024772","ENSMUSG00000024772")</f>
        <v>ENSMUSG00000024772</v>
      </c>
      <c r="I149" s="7" t="str">
        <f>HYPERLINK("http://www.informatics.jax.org/marker/MGI:1341878","MGI:1341878")</f>
        <v>MGI:1341878</v>
      </c>
      <c r="J149" s="4" t="s">
        <v>12</v>
      </c>
    </row>
    <row r="150" spans="1:10" x14ac:dyDescent="0.25">
      <c r="A150" s="2">
        <v>15.343682094004899</v>
      </c>
      <c r="B150" s="3">
        <v>3.2752004309577498</v>
      </c>
      <c r="C150" s="5">
        <v>4.6492719719063301E-15</v>
      </c>
      <c r="D150" s="6">
        <v>5.47370682738971E-14</v>
      </c>
      <c r="E150" s="3" t="s">
        <v>2766</v>
      </c>
      <c r="F150" s="3" t="s">
        <v>2767</v>
      </c>
      <c r="G150" s="3">
        <v>233424</v>
      </c>
      <c r="H150" s="7" t="str">
        <f>HYPERLINK("http://www.ensembl.org/Mus_musculus/Gene/Summary?db=core;g=ENSMUSG00000038540","ENSMUSG00000038540")</f>
        <v>ENSMUSG00000038540</v>
      </c>
      <c r="I150" s="7" t="str">
        <f>HYPERLINK("http://www.informatics.jax.org/marker/MGI:2669033","MGI:2669033")</f>
        <v>MGI:2669033</v>
      </c>
      <c r="J150" s="4" t="s">
        <v>12</v>
      </c>
    </row>
    <row r="151" spans="1:10" x14ac:dyDescent="0.25">
      <c r="A151" s="2">
        <v>19.157372889961199</v>
      </c>
      <c r="B151" s="3">
        <v>3.2633178772169802</v>
      </c>
      <c r="C151" s="5">
        <v>8.3748607208752696E-16</v>
      </c>
      <c r="D151" s="6">
        <v>1.0361971258516801E-14</v>
      </c>
      <c r="E151" s="3" t="s">
        <v>2688</v>
      </c>
      <c r="F151" s="3" t="s">
        <v>2689</v>
      </c>
      <c r="G151" s="3">
        <v>17386</v>
      </c>
      <c r="H151" s="7" t="str">
        <f>HYPERLINK("http://www.ensembl.org/Mus_musculus/Gene/Summary?db=core;g=ENSMUSG00000050578","ENSMUSG00000050578")</f>
        <v>ENSMUSG00000050578</v>
      </c>
      <c r="I151" s="7" t="str">
        <f>HYPERLINK("http://www.informatics.jax.org/marker/MGI:1340026","MGI:1340026")</f>
        <v>MGI:1340026</v>
      </c>
      <c r="J151" s="4" t="s">
        <v>12</v>
      </c>
    </row>
    <row r="152" spans="1:10" x14ac:dyDescent="0.25">
      <c r="A152" s="2">
        <v>15.8483005585912</v>
      </c>
      <c r="B152" s="3">
        <v>3.25563419601015</v>
      </c>
      <c r="C152" s="5">
        <v>1.82615604985163E-14</v>
      </c>
      <c r="D152" s="6">
        <v>2.0762129762037399E-13</v>
      </c>
      <c r="E152" s="3" t="s">
        <v>3318</v>
      </c>
      <c r="F152" s="3" t="s">
        <v>3319</v>
      </c>
      <c r="G152" s="3">
        <v>102639543</v>
      </c>
      <c r="H152" s="7" t="str">
        <f>HYPERLINK("http://www.ensembl.org/Mus_musculus/Gene/Summary?db=core;g=ENSMUSG00000037849","ENSMUSG00000037849")</f>
        <v>ENSMUSG00000037849</v>
      </c>
      <c r="I152" s="7" t="str">
        <f>HYPERLINK("http://www.informatics.jax.org/marker/MGI:3646410","MGI:3646410")</f>
        <v>MGI:3646410</v>
      </c>
      <c r="J152" s="4" t="s">
        <v>12</v>
      </c>
    </row>
    <row r="153" spans="1:10" x14ac:dyDescent="0.25">
      <c r="A153" s="2">
        <v>20.125171626567301</v>
      </c>
      <c r="B153" s="3">
        <v>3.2446103850287802</v>
      </c>
      <c r="C153" s="5">
        <v>7.8856567737031196E-25</v>
      </c>
      <c r="D153" s="6">
        <v>1.5553689902677401E-23</v>
      </c>
      <c r="E153" s="3" t="s">
        <v>3428</v>
      </c>
      <c r="F153" s="3" t="s">
        <v>3429</v>
      </c>
      <c r="G153" s="3" t="s">
        <v>83</v>
      </c>
      <c r="H153" s="7" t="str">
        <f>HYPERLINK("http://www.ensembl.org/Mus_musculus/Gene/Summary?db=core;g=ENSMUSG00000118365","ENSMUSG00000118365")</f>
        <v>ENSMUSG00000118365</v>
      </c>
      <c r="I153" s="7" t="str">
        <f>HYPERLINK("http://www.informatics.jax.org/marker/MGI:5624609","MGI:5624609")</f>
        <v>MGI:5624609</v>
      </c>
      <c r="J153" s="4" t="s">
        <v>932</v>
      </c>
    </row>
    <row r="154" spans="1:10" x14ac:dyDescent="0.25">
      <c r="A154" s="2">
        <v>22.805762723083902</v>
      </c>
      <c r="B154" s="3">
        <v>3.2377350661937001</v>
      </c>
      <c r="C154" s="5">
        <v>1.2057834491106499E-17</v>
      </c>
      <c r="D154" s="6">
        <v>1.66228467171268E-16</v>
      </c>
      <c r="E154" s="3" t="s">
        <v>3492</v>
      </c>
      <c r="F154" s="3" t="s">
        <v>3493</v>
      </c>
      <c r="G154" s="3" t="s">
        <v>83</v>
      </c>
      <c r="H154" s="7" t="str">
        <f>HYPERLINK("http://www.ensembl.org/Mus_musculus/Gene/Summary?db=core;g=ENSMUSG00000107480","ENSMUSG00000107480")</f>
        <v>ENSMUSG00000107480</v>
      </c>
      <c r="I154" s="7" t="str">
        <f>HYPERLINK("http://www.informatics.jax.org/marker/MGI:5690557","MGI:5690557")</f>
        <v>MGI:5690557</v>
      </c>
      <c r="J154" s="4" t="s">
        <v>1828</v>
      </c>
    </row>
    <row r="155" spans="1:10" x14ac:dyDescent="0.25">
      <c r="A155" s="2">
        <v>38.112363549720797</v>
      </c>
      <c r="B155" s="3">
        <v>3.2361364832163999</v>
      </c>
      <c r="C155" s="5">
        <v>6.3796950713193599E-32</v>
      </c>
      <c r="D155" s="6">
        <v>1.69243002437839E-30</v>
      </c>
      <c r="E155" s="3" t="s">
        <v>3090</v>
      </c>
      <c r="F155" s="3" t="s">
        <v>3091</v>
      </c>
      <c r="G155" s="3">
        <v>100040766</v>
      </c>
      <c r="H155" s="7" t="str">
        <f>HYPERLINK("http://www.ensembl.org/Mus_musculus/Gene/Summary?db=core;g=ENSMUSG00000079429","ENSMUSG00000079429")</f>
        <v>ENSMUSG00000079429</v>
      </c>
      <c r="I155" s="7" t="str">
        <f>HYPERLINK("http://www.informatics.jax.org/marker/MGI:3705228","MGI:3705228")</f>
        <v>MGI:3705228</v>
      </c>
      <c r="J155" s="4" t="s">
        <v>12</v>
      </c>
    </row>
    <row r="156" spans="1:10" x14ac:dyDescent="0.25">
      <c r="A156" s="2">
        <v>94.065830291892695</v>
      </c>
      <c r="B156" s="3">
        <v>3.22283564987108</v>
      </c>
      <c r="C156" s="5">
        <v>1.7332450861575701E-47</v>
      </c>
      <c r="D156" s="6">
        <v>7.8189088354509305E-46</v>
      </c>
      <c r="E156" s="3" t="s">
        <v>1708</v>
      </c>
      <c r="F156" s="3" t="s">
        <v>1709</v>
      </c>
      <c r="G156" s="3">
        <v>16782</v>
      </c>
      <c r="H156" s="7" t="str">
        <f>HYPERLINK("http://www.ensembl.org/Mus_musculus/Gene/Summary?db=core;g=ENSMUSG00000026479","ENSMUSG00000026479")</f>
        <v>ENSMUSG00000026479</v>
      </c>
      <c r="I156" s="7" t="str">
        <f>HYPERLINK("http://www.informatics.jax.org/marker/MGI:99913","MGI:99913")</f>
        <v>MGI:99913</v>
      </c>
      <c r="J156" s="4" t="s">
        <v>12</v>
      </c>
    </row>
    <row r="157" spans="1:10" x14ac:dyDescent="0.25">
      <c r="A157" s="2">
        <v>129.81699412143101</v>
      </c>
      <c r="B157" s="3">
        <v>3.2158158436509199</v>
      </c>
      <c r="C157" s="5">
        <v>7.0435348099372104E-16</v>
      </c>
      <c r="D157" s="6">
        <v>8.7683348299935599E-15</v>
      </c>
      <c r="E157" s="3" t="s">
        <v>3564</v>
      </c>
      <c r="F157" s="3" t="s">
        <v>3565</v>
      </c>
      <c r="G157" s="3">
        <v>20706</v>
      </c>
      <c r="H157" s="7" t="str">
        <f>HYPERLINK("http://www.ensembl.org/Mus_musculus/Gene/Summary?db=core;g=ENSMUSG00000021403","ENSMUSG00000021403")</f>
        <v>ENSMUSG00000021403</v>
      </c>
      <c r="I157" s="7" t="str">
        <f>HYPERLINK("http://www.informatics.jax.org/marker/MGI:894668","MGI:894668")</f>
        <v>MGI:894668</v>
      </c>
      <c r="J157" s="4" t="s">
        <v>12</v>
      </c>
    </row>
    <row r="158" spans="1:10" x14ac:dyDescent="0.25">
      <c r="A158" s="2">
        <v>28.804680696130401</v>
      </c>
      <c r="B158" s="3">
        <v>3.2135177194511799</v>
      </c>
      <c r="C158" s="5">
        <v>5.2054876327112199E-13</v>
      </c>
      <c r="D158" s="6">
        <v>5.3750715074312704E-12</v>
      </c>
      <c r="E158" s="3" t="s">
        <v>3570</v>
      </c>
      <c r="F158" s="3" t="s">
        <v>3571</v>
      </c>
      <c r="G158" s="3">
        <v>99899</v>
      </c>
      <c r="H158" s="7" t="str">
        <f>HYPERLINK("http://www.ensembl.org/Mus_musculus/Gene/Summary?db=core;g=ENSMUSG00000028037","ENSMUSG00000028037")</f>
        <v>ENSMUSG00000028037</v>
      </c>
      <c r="I158" s="7" t="str">
        <f>HYPERLINK("http://www.informatics.jax.org/marker/MGI:2443016","MGI:2443016")</f>
        <v>MGI:2443016</v>
      </c>
      <c r="J158" s="4" t="s">
        <v>12</v>
      </c>
    </row>
    <row r="159" spans="1:10" x14ac:dyDescent="0.25">
      <c r="A159" s="2">
        <v>394.69571083657002</v>
      </c>
      <c r="B159" s="3">
        <v>3.2068439609115198</v>
      </c>
      <c r="C159" s="5">
        <v>3.8216324831427701E-61</v>
      </c>
      <c r="D159" s="6">
        <v>2.4100087199057802E-59</v>
      </c>
      <c r="E159" s="3" t="s">
        <v>566</v>
      </c>
      <c r="F159" s="3" t="s">
        <v>567</v>
      </c>
      <c r="G159" s="3">
        <v>54396</v>
      </c>
      <c r="H159" s="7" t="str">
        <f>HYPERLINK("http://www.ensembl.org/Mus_musculus/Gene/Summary?db=core;g=ENSMUSG00000069874","ENSMUSG00000069874")</f>
        <v>ENSMUSG00000069874</v>
      </c>
      <c r="I159" s="7" t="str">
        <f>HYPERLINK("http://www.informatics.jax.org/marker/MGI:1926262","MGI:1926262")</f>
        <v>MGI:1926262</v>
      </c>
      <c r="J159" s="4" t="s">
        <v>12</v>
      </c>
    </row>
    <row r="160" spans="1:10" x14ac:dyDescent="0.25">
      <c r="A160" s="2">
        <v>17.308393558836201</v>
      </c>
      <c r="B160" s="3">
        <v>3.1923503567651101</v>
      </c>
      <c r="C160" s="5">
        <v>1.61229031049282E-17</v>
      </c>
      <c r="D160" s="6">
        <v>2.20932262471666E-16</v>
      </c>
      <c r="E160" s="3" t="s">
        <v>2661</v>
      </c>
      <c r="F160" s="3" t="s">
        <v>2662</v>
      </c>
      <c r="G160" s="3">
        <v>74748</v>
      </c>
      <c r="H160" s="7" t="str">
        <f>HYPERLINK("http://www.ensembl.org/Mus_musculus/Gene/Summary?db=core;g=ENSMUSG00000053318","ENSMUSG00000053318")</f>
        <v>ENSMUSG00000053318</v>
      </c>
      <c r="I160" s="7" t="str">
        <f>HYPERLINK("http://www.informatics.jax.org/marker/MGI:1921998","MGI:1921998")</f>
        <v>MGI:1921998</v>
      </c>
      <c r="J160" s="4" t="s">
        <v>12</v>
      </c>
    </row>
    <row r="161" spans="1:10" x14ac:dyDescent="0.25">
      <c r="A161" s="2">
        <v>440.04849394719901</v>
      </c>
      <c r="B161" s="3">
        <v>3.18835904808049</v>
      </c>
      <c r="C161" s="5">
        <v>3.8102032465535401E-142</v>
      </c>
      <c r="D161" s="6">
        <v>1.19725783049031E-139</v>
      </c>
      <c r="E161" s="3" t="s">
        <v>96</v>
      </c>
      <c r="F161" s="3" t="s">
        <v>97</v>
      </c>
      <c r="G161" s="3">
        <v>54598</v>
      </c>
      <c r="H161" s="7" t="str">
        <f>HYPERLINK("http://www.ensembl.org/Mus_musculus/Gene/Summary?db=core;g=ENSMUSG00000059588","ENSMUSG00000059588")</f>
        <v>ENSMUSG00000059588</v>
      </c>
      <c r="I161" s="7" t="str">
        <f>HYPERLINK("http://www.informatics.jax.org/marker/MGI:1926944","MGI:1926944")</f>
        <v>MGI:1926944</v>
      </c>
      <c r="J161" s="4" t="s">
        <v>12</v>
      </c>
    </row>
    <row r="162" spans="1:10" x14ac:dyDescent="0.25">
      <c r="A162" s="2">
        <v>8256.3370291932297</v>
      </c>
      <c r="B162" s="3">
        <v>3.18317540856984</v>
      </c>
      <c r="C162" s="5">
        <v>6.0210774484040802E-141</v>
      </c>
      <c r="D162" s="6">
        <v>1.85990061859601E-138</v>
      </c>
      <c r="E162" s="3" t="s">
        <v>250</v>
      </c>
      <c r="F162" s="3" t="s">
        <v>251</v>
      </c>
      <c r="G162" s="3">
        <v>65221</v>
      </c>
      <c r="H162" s="7" t="str">
        <f>HYPERLINK("http://www.ensembl.org/Mus_musculus/Gene/Summary?db=core;g=ENSMUSG00000024737","ENSMUSG00000024737")</f>
        <v>ENSMUSG00000024737</v>
      </c>
      <c r="I162" s="7" t="str">
        <f>HYPERLINK("http://www.informatics.jax.org/marker/MGI:1929691","MGI:1929691")</f>
        <v>MGI:1929691</v>
      </c>
      <c r="J162" s="4" t="s">
        <v>12</v>
      </c>
    </row>
    <row r="163" spans="1:10" x14ac:dyDescent="0.25">
      <c r="A163" s="2">
        <v>113.427962998765</v>
      </c>
      <c r="B163" s="3">
        <v>3.1829809734697099</v>
      </c>
      <c r="C163" s="5">
        <v>9.7346496362718E-23</v>
      </c>
      <c r="D163" s="6">
        <v>1.74277003557027E-21</v>
      </c>
      <c r="E163" s="3" t="s">
        <v>1626</v>
      </c>
      <c r="F163" s="3" t="s">
        <v>1627</v>
      </c>
      <c r="G163" s="3">
        <v>15953</v>
      </c>
      <c r="H163" s="7" t="str">
        <f>HYPERLINK("http://www.ensembl.org/Mus_musculus/Gene/Summary?db=core;g=ENSMUSG00000078920","ENSMUSG00000078920")</f>
        <v>ENSMUSG00000078920</v>
      </c>
      <c r="I163" s="7" t="str">
        <f>HYPERLINK("http://www.informatics.jax.org/marker/MGI:99448","MGI:99448")</f>
        <v>MGI:99448</v>
      </c>
      <c r="J163" s="4" t="s">
        <v>12</v>
      </c>
    </row>
    <row r="164" spans="1:10" x14ac:dyDescent="0.25">
      <c r="A164" s="2">
        <v>974.76671925967401</v>
      </c>
      <c r="B164" s="3">
        <v>3.1566692965587602</v>
      </c>
      <c r="C164" s="5">
        <v>1.2738776135128399E-80</v>
      </c>
      <c r="D164" s="6">
        <v>1.23491593118466E-78</v>
      </c>
      <c r="E164" s="3" t="s">
        <v>318</v>
      </c>
      <c r="F164" s="3" t="s">
        <v>319</v>
      </c>
      <c r="G164" s="3" t="s">
        <v>83</v>
      </c>
      <c r="H164" s="7" t="str">
        <f>HYPERLINK("http://www.ensembl.org/Mus_musculus/Gene/Summary?db=core;g=ENSMUSG00000063286","ENSMUSG00000063286")</f>
        <v>ENSMUSG00000063286</v>
      </c>
      <c r="I164" s="7" t="str">
        <f>HYPERLINK("http://www.informatics.jax.org/marker/MGI:3644223","MGI:3644223")</f>
        <v>MGI:3644223</v>
      </c>
      <c r="J164" s="4" t="s">
        <v>320</v>
      </c>
    </row>
    <row r="165" spans="1:10" x14ac:dyDescent="0.25">
      <c r="A165" s="2">
        <v>10.422437173050801</v>
      </c>
      <c r="B165" s="3">
        <v>3.1548420905458698</v>
      </c>
      <c r="C165" s="5">
        <v>1.2902472936602799E-13</v>
      </c>
      <c r="D165" s="6">
        <v>1.39058290520157E-12</v>
      </c>
      <c r="E165" s="3" t="s">
        <v>3530</v>
      </c>
      <c r="F165" s="3" t="s">
        <v>3531</v>
      </c>
      <c r="G165" s="3">
        <v>112419</v>
      </c>
      <c r="H165" s="7" t="str">
        <f>HYPERLINK("http://www.ensembl.org/Mus_musculus/Gene/Summary?db=core;g=ENSMUSG00000067297","ENSMUSG00000067297")</f>
        <v>ENSMUSG00000067297</v>
      </c>
      <c r="I165" s="7" t="str">
        <f>HYPERLINK("http://www.informatics.jax.org/marker/MGI:2148249","MGI:2148249")</f>
        <v>MGI:2148249</v>
      </c>
      <c r="J165" s="4" t="s">
        <v>12</v>
      </c>
    </row>
    <row r="166" spans="1:10" x14ac:dyDescent="0.25">
      <c r="A166" s="2">
        <v>66.493706095580606</v>
      </c>
      <c r="B166" s="3">
        <v>3.1344935764140498</v>
      </c>
      <c r="C166" s="5">
        <v>4.4852823676240897E-12</v>
      </c>
      <c r="D166" s="6">
        <v>4.29103785564037E-11</v>
      </c>
      <c r="E166" s="3" t="s">
        <v>3522</v>
      </c>
      <c r="F166" s="3" t="s">
        <v>3523</v>
      </c>
      <c r="G166" s="3">
        <v>667373</v>
      </c>
      <c r="H166" s="7" t="str">
        <f>HYPERLINK("http://www.ensembl.org/Mus_musculus/Gene/Summary?db=core;g=ENSMUSG00000079339","ENSMUSG00000079339")</f>
        <v>ENSMUSG00000079339</v>
      </c>
      <c r="I166" s="7" t="str">
        <f>HYPERLINK("http://www.informatics.jax.org/marker/MGI:3650685","MGI:3650685")</f>
        <v>MGI:3650685</v>
      </c>
      <c r="J166" s="4" t="s">
        <v>12</v>
      </c>
    </row>
    <row r="167" spans="1:10" x14ac:dyDescent="0.25">
      <c r="A167" s="2">
        <v>17.759572853894799</v>
      </c>
      <c r="B167" s="3">
        <v>3.1305221471336</v>
      </c>
      <c r="C167" s="5">
        <v>1.1868711191407501E-16</v>
      </c>
      <c r="D167" s="6">
        <v>1.55170201910619E-15</v>
      </c>
      <c r="E167" s="3" t="s">
        <v>2892</v>
      </c>
      <c r="F167" s="3" t="s">
        <v>2893</v>
      </c>
      <c r="G167" s="3">
        <v>63913</v>
      </c>
      <c r="H167" s="7" t="str">
        <f>HYPERLINK("http://www.ensembl.org/Mus_musculus/Gene/Summary?db=core;g=ENSMUSG00000026483","ENSMUSG00000026483")</f>
        <v>ENSMUSG00000026483</v>
      </c>
      <c r="I167" s="7" t="str">
        <f>HYPERLINK("http://www.informatics.jax.org/marker/MGI:2137237","MGI:2137237")</f>
        <v>MGI:2137237</v>
      </c>
      <c r="J167" s="4" t="s">
        <v>12</v>
      </c>
    </row>
    <row r="168" spans="1:10" x14ac:dyDescent="0.25">
      <c r="A168" s="2">
        <v>35.321526393183497</v>
      </c>
      <c r="B168" s="3">
        <v>3.11878045510367</v>
      </c>
      <c r="C168" s="5">
        <v>1.2036710396079101E-24</v>
      </c>
      <c r="D168" s="6">
        <v>2.3562733294150601E-23</v>
      </c>
      <c r="E168" s="3" t="s">
        <v>2774</v>
      </c>
      <c r="F168" s="3" t="s">
        <v>2775</v>
      </c>
      <c r="G168" s="3">
        <v>269799</v>
      </c>
      <c r="H168" s="7" t="str">
        <f>HYPERLINK("http://www.ensembl.org/Mus_musculus/Gene/Summary?db=core;g=ENSMUSG00000049037","ENSMUSG00000049037")</f>
        <v>ENSMUSG00000049037</v>
      </c>
      <c r="I168" s="7" t="str">
        <f>HYPERLINK("http://www.informatics.jax.org/marker/MGI:3036291","MGI:3036291")</f>
        <v>MGI:3036291</v>
      </c>
      <c r="J168" s="4" t="s">
        <v>12</v>
      </c>
    </row>
    <row r="169" spans="1:10" x14ac:dyDescent="0.25">
      <c r="A169" s="2">
        <v>982.01183978873598</v>
      </c>
      <c r="B169" s="3">
        <v>3.1084686113561699</v>
      </c>
      <c r="C169" s="5">
        <v>4.3875688579863496E-193</v>
      </c>
      <c r="D169" s="6">
        <v>2.16117411991355E-190</v>
      </c>
      <c r="E169" s="3" t="s">
        <v>112</v>
      </c>
      <c r="F169" s="3" t="s">
        <v>113</v>
      </c>
      <c r="G169" s="3">
        <v>76820</v>
      </c>
      <c r="H169" s="7" t="str">
        <f>HYPERLINK("http://www.ensembl.org/Mus_musculus/Gene/Summary?db=core;g=ENSMUSG00000020589","ENSMUSG00000020589")</f>
        <v>ENSMUSG00000020589</v>
      </c>
      <c r="I169" s="7" t="str">
        <f>HYPERLINK("http://www.informatics.jax.org/marker/MGI:1261783","MGI:1261783")</f>
        <v>MGI:1261783</v>
      </c>
      <c r="J169" s="4" t="s">
        <v>12</v>
      </c>
    </row>
    <row r="170" spans="1:10" x14ac:dyDescent="0.25">
      <c r="A170" s="2">
        <v>750.03384513335095</v>
      </c>
      <c r="B170" s="3">
        <v>3.0661937796627901</v>
      </c>
      <c r="C170" s="5">
        <v>7.2823137980608396E-75</v>
      </c>
      <c r="D170" s="6">
        <v>6.3200080461742305E-73</v>
      </c>
      <c r="E170" s="3" t="s">
        <v>280</v>
      </c>
      <c r="F170" s="3" t="s">
        <v>281</v>
      </c>
      <c r="G170" s="3">
        <v>219132</v>
      </c>
      <c r="H170" s="7" t="str">
        <f>HYPERLINK("http://www.ensembl.org/Mus_musculus/Gene/Summary?db=core;g=ENSMUSG00000068245","ENSMUSG00000068245")</f>
        <v>ENSMUSG00000068245</v>
      </c>
      <c r="I170" s="7" t="str">
        <f>HYPERLINK("http://www.informatics.jax.org/marker/MGI:1277133","MGI:1277133")</f>
        <v>MGI:1277133</v>
      </c>
      <c r="J170" s="4" t="s">
        <v>12</v>
      </c>
    </row>
    <row r="171" spans="1:10" x14ac:dyDescent="0.25">
      <c r="A171" s="2">
        <v>293.17427224387899</v>
      </c>
      <c r="B171" s="3">
        <v>3.0508481746706502</v>
      </c>
      <c r="C171" s="5">
        <v>5.6772720323079699E-71</v>
      </c>
      <c r="D171" s="6">
        <v>4.45983977537986E-69</v>
      </c>
      <c r="E171" s="3" t="s">
        <v>708</v>
      </c>
      <c r="F171" s="3" t="s">
        <v>709</v>
      </c>
      <c r="G171" s="3">
        <v>17133</v>
      </c>
      <c r="H171" s="7" t="str">
        <f>HYPERLINK("http://www.ensembl.org/Mus_musculus/Gene/Summary?db=core;g=ENSMUSG00000042622","ENSMUSG00000042622")</f>
        <v>ENSMUSG00000042622</v>
      </c>
      <c r="I171" s="7" t="str">
        <f>HYPERLINK("http://www.informatics.jax.org/marker/MGI:96910","MGI:96910")</f>
        <v>MGI:96910</v>
      </c>
      <c r="J171" s="4" t="s">
        <v>12</v>
      </c>
    </row>
    <row r="172" spans="1:10" x14ac:dyDescent="0.25">
      <c r="A172" s="2">
        <v>32.514013813089903</v>
      </c>
      <c r="B172" s="3">
        <v>3.0374711449669101</v>
      </c>
      <c r="C172" s="5">
        <v>2.7568550254322398E-25</v>
      </c>
      <c r="D172" s="6">
        <v>5.5950649040648797E-24</v>
      </c>
      <c r="E172" s="3" t="s">
        <v>2317</v>
      </c>
      <c r="F172" s="3" t="s">
        <v>2318</v>
      </c>
      <c r="G172" s="3" t="s">
        <v>83</v>
      </c>
      <c r="H172" s="7" t="str">
        <f>HYPERLINK("http://www.ensembl.org/Mus_musculus/Gene/Summary?db=core;g=ENSMUSG00000073274","ENSMUSG00000073274")</f>
        <v>ENSMUSG00000073274</v>
      </c>
      <c r="I172" s="7" t="str">
        <f>HYPERLINK("http://www.informatics.jax.org/marker/MGI:3641976","MGI:3641976")</f>
        <v>MGI:3641976</v>
      </c>
      <c r="J172" s="4" t="s">
        <v>331</v>
      </c>
    </row>
    <row r="173" spans="1:10" x14ac:dyDescent="0.25">
      <c r="A173" s="2">
        <v>37.094819471677702</v>
      </c>
      <c r="B173" s="3">
        <v>3.0339305528579201</v>
      </c>
      <c r="C173" s="5">
        <v>4.10409129959443E-23</v>
      </c>
      <c r="D173" s="6">
        <v>7.5097453750108896E-22</v>
      </c>
      <c r="E173" s="3" t="s">
        <v>2525</v>
      </c>
      <c r="F173" s="3" t="s">
        <v>2526</v>
      </c>
      <c r="G173" s="3">
        <v>17387</v>
      </c>
      <c r="H173" s="7" t="str">
        <f>HYPERLINK("http://www.ensembl.org/Mus_musculus/Gene/Summary?db=core;g=ENSMUSG00000000957","ENSMUSG00000000957")</f>
        <v>ENSMUSG00000000957</v>
      </c>
      <c r="I173" s="7" t="str">
        <f>HYPERLINK("http://www.informatics.jax.org/marker/MGI:101900","MGI:101900")</f>
        <v>MGI:101900</v>
      </c>
      <c r="J173" s="4" t="s">
        <v>12</v>
      </c>
    </row>
    <row r="174" spans="1:10" x14ac:dyDescent="0.25">
      <c r="A174" s="2">
        <v>6.1812812954541396</v>
      </c>
      <c r="B174" s="3">
        <v>3.0286317769279898</v>
      </c>
      <c r="C174" s="5">
        <v>2.4431247643238001E-12</v>
      </c>
      <c r="D174" s="6">
        <v>2.3861708912004901E-11</v>
      </c>
      <c r="E174" s="3" t="s">
        <v>5571</v>
      </c>
      <c r="F174" s="3" t="s">
        <v>5572</v>
      </c>
      <c r="G174" s="3" t="s">
        <v>83</v>
      </c>
      <c r="H174" s="7" t="str">
        <f>HYPERLINK("http://www.ensembl.org/Mus_musculus/Gene/Summary?db=core;g=ENSMUSG00000073778","ENSMUSG00000073778")</f>
        <v>ENSMUSG00000073778</v>
      </c>
      <c r="I174" s="7" t="str">
        <f>HYPERLINK("http://www.informatics.jax.org/marker/MGI:3642460","MGI:3642460")</f>
        <v>MGI:3642460</v>
      </c>
      <c r="J174" s="4" t="s">
        <v>932</v>
      </c>
    </row>
    <row r="175" spans="1:10" x14ac:dyDescent="0.25">
      <c r="A175" s="2">
        <v>11.0599296145003</v>
      </c>
      <c r="B175" s="3">
        <v>3.0267525296017799</v>
      </c>
      <c r="C175" s="5">
        <v>1.2325099036605599E-15</v>
      </c>
      <c r="D175" s="6">
        <v>1.5065387655408201E-14</v>
      </c>
      <c r="E175" s="3" t="s">
        <v>5583</v>
      </c>
      <c r="F175" s="3" t="s">
        <v>5584</v>
      </c>
      <c r="G175" s="3">
        <v>15486</v>
      </c>
      <c r="H175" s="7" t="str">
        <f>HYPERLINK("http://www.ensembl.org/Mus_musculus/Gene/Summary?db=core;g=ENSMUSG00000031844","ENSMUSG00000031844")</f>
        <v>ENSMUSG00000031844</v>
      </c>
      <c r="I175" s="7" t="str">
        <f>HYPERLINK("http://www.informatics.jax.org/marker/MGI:1096386","MGI:1096386")</f>
        <v>MGI:1096386</v>
      </c>
      <c r="J175" s="4" t="s">
        <v>12</v>
      </c>
    </row>
    <row r="176" spans="1:10" x14ac:dyDescent="0.25">
      <c r="A176" s="2">
        <v>76.961119911273499</v>
      </c>
      <c r="B176" s="3">
        <v>3.0216099001664101</v>
      </c>
      <c r="C176" s="5">
        <v>5.4498817497112402E-40</v>
      </c>
      <c r="D176" s="6">
        <v>1.8954979940551001E-38</v>
      </c>
      <c r="E176" s="3" t="s">
        <v>974</v>
      </c>
      <c r="F176" s="3" t="s">
        <v>975</v>
      </c>
      <c r="G176" s="3">
        <v>23961</v>
      </c>
      <c r="H176" s="7" t="str">
        <f>HYPERLINK("http://www.ensembl.org/Mus_musculus/Gene/Summary?db=core;g=ENSMUSG00000029605","ENSMUSG00000029605")</f>
        <v>ENSMUSG00000029605</v>
      </c>
      <c r="I176" s="7" t="str">
        <f>HYPERLINK("http://www.informatics.jax.org/marker/MGI:97430","MGI:97430")</f>
        <v>MGI:97430</v>
      </c>
      <c r="J176" s="4" t="s">
        <v>976</v>
      </c>
    </row>
    <row r="177" spans="1:10" x14ac:dyDescent="0.25">
      <c r="A177" s="2">
        <v>71.306511991396206</v>
      </c>
      <c r="B177" s="3">
        <v>3.0144896629598499</v>
      </c>
      <c r="C177" s="5">
        <v>9.3354741577254798E-37</v>
      </c>
      <c r="D177" s="6">
        <v>2.8788327669128103E-35</v>
      </c>
      <c r="E177" s="3" t="s">
        <v>1919</v>
      </c>
      <c r="F177" s="3" t="s">
        <v>1920</v>
      </c>
      <c r="G177" s="3">
        <v>50997</v>
      </c>
      <c r="H177" s="7" t="str">
        <f>HYPERLINK("http://www.ensembl.org/Mus_musculus/Gene/Summary?db=core;g=ENSMUSG00000017314","ENSMUSG00000017314")</f>
        <v>ENSMUSG00000017314</v>
      </c>
      <c r="I177" s="7" t="str">
        <f>HYPERLINK("http://www.informatics.jax.org/marker/MGI:1858257","MGI:1858257")</f>
        <v>MGI:1858257</v>
      </c>
      <c r="J177" s="4" t="s">
        <v>12</v>
      </c>
    </row>
    <row r="178" spans="1:10" x14ac:dyDescent="0.25">
      <c r="A178" s="2">
        <v>16456.8371422532</v>
      </c>
      <c r="B178" s="3">
        <v>3.0095626779763598</v>
      </c>
      <c r="C178" s="5">
        <v>1.20374159088381E-241</v>
      </c>
      <c r="D178" s="6">
        <v>1.21878836076986E-238</v>
      </c>
      <c r="E178" s="3" t="s">
        <v>106</v>
      </c>
      <c r="F178" s="3" t="s">
        <v>107</v>
      </c>
      <c r="G178" s="3">
        <v>13058</v>
      </c>
      <c r="H178" s="7" t="str">
        <f>HYPERLINK("http://www.ensembl.org/Mus_musculus/Gene/Summary?db=core;g=ENSMUSG00000015340","ENSMUSG00000015340")</f>
        <v>ENSMUSG00000015340</v>
      </c>
      <c r="I178" s="7" t="str">
        <f>HYPERLINK("http://www.informatics.jax.org/marker/MGI:88574","MGI:88574")</f>
        <v>MGI:88574</v>
      </c>
      <c r="J178" s="4" t="s">
        <v>12</v>
      </c>
    </row>
    <row r="179" spans="1:10" x14ac:dyDescent="0.25">
      <c r="A179" s="2">
        <v>894.48715679202996</v>
      </c>
      <c r="B179" s="3">
        <v>2.9968870783970898</v>
      </c>
      <c r="C179" s="5">
        <v>4.7424638725842303E-188</v>
      </c>
      <c r="D179" s="6">
        <v>2.27451063362757E-185</v>
      </c>
      <c r="E179" s="3" t="s">
        <v>61</v>
      </c>
      <c r="F179" s="3" t="s">
        <v>62</v>
      </c>
      <c r="G179" s="3">
        <v>11717</v>
      </c>
      <c r="H179" s="7" t="str">
        <f>HYPERLINK("http://www.ensembl.org/Mus_musculus/Gene/Summary?db=core;g=ENSMUSG00000005686","ENSMUSG00000005686")</f>
        <v>ENSMUSG00000005686</v>
      </c>
      <c r="I179" s="7" t="str">
        <f>HYPERLINK("http://www.informatics.jax.org/marker/MGI:1096344","MGI:1096344")</f>
        <v>MGI:1096344</v>
      </c>
      <c r="J179" s="4" t="s">
        <v>12</v>
      </c>
    </row>
    <row r="180" spans="1:10" x14ac:dyDescent="0.25">
      <c r="A180" s="2">
        <v>105.01709863718899</v>
      </c>
      <c r="B180" s="3">
        <v>2.9960611624539899</v>
      </c>
      <c r="C180" s="5">
        <v>4.6391884312340104E-13</v>
      </c>
      <c r="D180" s="6">
        <v>4.82036540246521E-12</v>
      </c>
      <c r="E180" s="3" t="s">
        <v>2401</v>
      </c>
      <c r="F180" s="3" t="s">
        <v>2402</v>
      </c>
      <c r="G180" s="3">
        <v>66141</v>
      </c>
      <c r="H180" s="7" t="str">
        <f>HYPERLINK("http://www.ensembl.org/Mus_musculus/Gene/Summary?db=core;g=ENSMUSG00000025492","ENSMUSG00000025492")</f>
        <v>ENSMUSG00000025492</v>
      </c>
      <c r="I180" s="7" t="str">
        <f>HYPERLINK("http://www.informatics.jax.org/marker/MGI:1913391","MGI:1913391")</f>
        <v>MGI:1913391</v>
      </c>
      <c r="J180" s="4" t="s">
        <v>12</v>
      </c>
    </row>
    <row r="181" spans="1:10" x14ac:dyDescent="0.25">
      <c r="A181" s="2">
        <v>52.200643311924402</v>
      </c>
      <c r="B181" s="3">
        <v>2.9911353047640499</v>
      </c>
      <c r="C181" s="5">
        <v>3.4382873726005602E-25</v>
      </c>
      <c r="D181" s="6">
        <v>6.9240649022812493E-24</v>
      </c>
      <c r="E181" s="3" t="s">
        <v>1554</v>
      </c>
      <c r="F181" s="3" t="s">
        <v>1555</v>
      </c>
      <c r="G181" s="3">
        <v>12703</v>
      </c>
      <c r="H181" s="7" t="str">
        <f>HYPERLINK("http://www.ensembl.org/Mus_musculus/Gene/Summary?db=core;g=ENSMUSG00000038037","ENSMUSG00000038037")</f>
        <v>ENSMUSG00000038037</v>
      </c>
      <c r="I181" s="7" t="str">
        <f>HYPERLINK("http://www.informatics.jax.org/marker/MGI:1354910","MGI:1354910")</f>
        <v>MGI:1354910</v>
      </c>
      <c r="J181" s="4" t="s">
        <v>12</v>
      </c>
    </row>
    <row r="182" spans="1:10" x14ac:dyDescent="0.25">
      <c r="A182" s="2">
        <v>14.4347898230795</v>
      </c>
      <c r="B182" s="3">
        <v>2.9867739549922399</v>
      </c>
      <c r="C182" s="5">
        <v>4.8338610046048898E-12</v>
      </c>
      <c r="D182" s="6">
        <v>4.6100008795878598E-11</v>
      </c>
      <c r="E182" s="3" t="s">
        <v>3256</v>
      </c>
      <c r="F182" s="3" t="s">
        <v>3257</v>
      </c>
      <c r="G182" s="3">
        <v>60440</v>
      </c>
      <c r="H182" s="7" t="str">
        <f>HYPERLINK("http://www.ensembl.org/Mus_musculus/Gene/Summary?db=core;g=ENSMUSG00000054072","ENSMUSG00000054072")</f>
        <v>ENSMUSG00000054072</v>
      </c>
      <c r="I182" s="7" t="str">
        <f>HYPERLINK("http://www.informatics.jax.org/marker/MGI:1926259","MGI:1926259")</f>
        <v>MGI:1926259</v>
      </c>
      <c r="J182" s="4" t="s">
        <v>12</v>
      </c>
    </row>
    <row r="183" spans="1:10" x14ac:dyDescent="0.25">
      <c r="A183" s="2">
        <v>1259.61948706663</v>
      </c>
      <c r="B183" s="3">
        <v>2.9795547207770001</v>
      </c>
      <c r="C183" s="5">
        <v>6.0446593652688696E-57</v>
      </c>
      <c r="D183" s="6">
        <v>3.3689271233035197E-55</v>
      </c>
      <c r="E183" s="3" t="s">
        <v>862</v>
      </c>
      <c r="F183" s="3" t="s">
        <v>863</v>
      </c>
      <c r="G183" s="3">
        <v>14727</v>
      </c>
      <c r="H183" s="7" t="str">
        <f>HYPERLINK("http://www.ensembl.org/Mus_musculus/Gene/Summary?db=core;g=ENSMUSG00000112023","ENSMUSG00000112023")</f>
        <v>ENSMUSG00000112023</v>
      </c>
      <c r="I183" s="7" t="str">
        <f>HYPERLINK("http://www.informatics.jax.org/marker/MGI:102702","MGI:102702")</f>
        <v>MGI:102702</v>
      </c>
      <c r="J183" s="4" t="s">
        <v>12</v>
      </c>
    </row>
    <row r="184" spans="1:10" x14ac:dyDescent="0.25">
      <c r="A184" s="2">
        <v>51.692523851442303</v>
      </c>
      <c r="B184" s="3">
        <v>2.97068051298311</v>
      </c>
      <c r="C184" s="5">
        <v>7.3957365182305798E-16</v>
      </c>
      <c r="D184" s="6">
        <v>9.1879548769428994E-15</v>
      </c>
      <c r="E184" s="3" t="s">
        <v>1504</v>
      </c>
      <c r="F184" s="3" t="s">
        <v>1505</v>
      </c>
      <c r="G184" s="3">
        <v>75345</v>
      </c>
      <c r="H184" s="7" t="str">
        <f>HYPERLINK("http://www.ensembl.org/Mus_musculus/Gene/Summary?db=core;g=ENSMUSG00000038179","ENSMUSG00000038179")</f>
        <v>ENSMUSG00000038179</v>
      </c>
      <c r="I184" s="7" t="str">
        <f>HYPERLINK("http://www.informatics.jax.org/marker/MGI:1922595","MGI:1922595")</f>
        <v>MGI:1922595</v>
      </c>
      <c r="J184" s="4" t="s">
        <v>12</v>
      </c>
    </row>
    <row r="185" spans="1:10" x14ac:dyDescent="0.25">
      <c r="A185" s="2">
        <v>33.518904598732497</v>
      </c>
      <c r="B185" s="3">
        <v>2.9553164997899701</v>
      </c>
      <c r="C185" s="5">
        <v>4.2223257422723599E-33</v>
      </c>
      <c r="D185" s="6">
        <v>1.1659376765593001E-31</v>
      </c>
      <c r="E185" s="3" t="s">
        <v>2764</v>
      </c>
      <c r="F185" s="3" t="s">
        <v>2765</v>
      </c>
      <c r="G185" s="3">
        <v>64292</v>
      </c>
      <c r="H185" s="7" t="str">
        <f>HYPERLINK("http://www.ensembl.org/Mus_musculus/Gene/Summary?db=core;g=ENSMUSG00000050737","ENSMUSG00000050737")</f>
        <v>ENSMUSG00000050737</v>
      </c>
      <c r="I185" s="7" t="str">
        <f>HYPERLINK("http://www.informatics.jax.org/marker/MGI:1927593","MGI:1927593")</f>
        <v>MGI:1927593</v>
      </c>
      <c r="J185" s="4" t="s">
        <v>12</v>
      </c>
    </row>
    <row r="186" spans="1:10" x14ac:dyDescent="0.25">
      <c r="A186" s="2">
        <v>32.7693068316864</v>
      </c>
      <c r="B186" s="3">
        <v>2.93985618497255</v>
      </c>
      <c r="C186" s="5">
        <v>3.7185341775690401E-22</v>
      </c>
      <c r="D186" s="6">
        <v>6.5101138699515603E-21</v>
      </c>
      <c r="E186" s="3" t="s">
        <v>2291</v>
      </c>
      <c r="F186" s="3" t="s">
        <v>2292</v>
      </c>
      <c r="G186" s="3">
        <v>64450</v>
      </c>
      <c r="H186" s="7" t="str">
        <f>HYPERLINK("http://www.ensembl.org/Mus_musculus/Gene/Summary?db=core;g=ENSMUSG00000048216","ENSMUSG00000048216")</f>
        <v>ENSMUSG00000048216</v>
      </c>
      <c r="I186" s="7" t="str">
        <f>HYPERLINK("http://www.informatics.jax.org/marker/MGI:1927851","MGI:1927851")</f>
        <v>MGI:1927851</v>
      </c>
      <c r="J186" s="4" t="s">
        <v>12</v>
      </c>
    </row>
    <row r="187" spans="1:10" x14ac:dyDescent="0.25">
      <c r="A187" s="2">
        <v>23.498755324069801</v>
      </c>
      <c r="B187" s="3">
        <v>2.93552966292481</v>
      </c>
      <c r="C187" s="5">
        <v>1.80820239328193E-10</v>
      </c>
      <c r="D187" s="6">
        <v>1.5130619199983101E-9</v>
      </c>
      <c r="E187" s="3" t="s">
        <v>4133</v>
      </c>
      <c r="F187" s="3" t="s">
        <v>4134</v>
      </c>
      <c r="G187" s="3">
        <v>22035</v>
      </c>
      <c r="H187" s="7" t="str">
        <f>HYPERLINK("http://www.ensembl.org/Mus_musculus/Gene/Summary?db=core;g=ENSMUSG00000039304","ENSMUSG00000039304")</f>
        <v>ENSMUSG00000039304</v>
      </c>
      <c r="I187" s="7" t="str">
        <f>HYPERLINK("http://www.informatics.jax.org/marker/MGI:107414","MGI:107414")</f>
        <v>MGI:107414</v>
      </c>
      <c r="J187" s="4" t="s">
        <v>12</v>
      </c>
    </row>
    <row r="188" spans="1:10" x14ac:dyDescent="0.25">
      <c r="A188" s="2">
        <v>690.95434818673402</v>
      </c>
      <c r="B188" s="3">
        <v>2.9333348134500299</v>
      </c>
      <c r="C188" s="5">
        <v>1.4144438730772399E-240</v>
      </c>
      <c r="D188" s="6">
        <v>1.3567494519385699E-237</v>
      </c>
      <c r="E188" s="3" t="s">
        <v>29</v>
      </c>
      <c r="F188" s="3" t="s">
        <v>30</v>
      </c>
      <c r="G188" s="3">
        <v>27052</v>
      </c>
      <c r="H188" s="7" t="str">
        <f>HYPERLINK("http://www.ensembl.org/Mus_musculus/Gene/Summary?db=core;g=ENSMUSG00000021322","ENSMUSG00000021322")</f>
        <v>ENSMUSG00000021322</v>
      </c>
      <c r="I188" s="7" t="str">
        <f>HYPERLINK("http://www.informatics.jax.org/marker/MGI:1350928","MGI:1350928")</f>
        <v>MGI:1350928</v>
      </c>
      <c r="J188" s="4" t="s">
        <v>12</v>
      </c>
    </row>
    <row r="189" spans="1:10" x14ac:dyDescent="0.25">
      <c r="A189" s="2">
        <v>7.5336353278197796</v>
      </c>
      <c r="B189" s="3">
        <v>2.92176559390139</v>
      </c>
      <c r="C189" s="5">
        <v>1.8629979848678098E-11</v>
      </c>
      <c r="D189" s="6">
        <v>1.6942683769568801E-10</v>
      </c>
      <c r="E189" s="3" t="s">
        <v>7864</v>
      </c>
      <c r="F189" s="3" t="s">
        <v>7865</v>
      </c>
      <c r="G189" s="3">
        <v>338362</v>
      </c>
      <c r="H189" s="7" t="str">
        <f>HYPERLINK("http://www.ensembl.org/Mus_musculus/Gene/Summary?db=core;g=ENSMUSG00000047712","ENSMUSG00000047712")</f>
        <v>ENSMUSG00000047712</v>
      </c>
      <c r="I189" s="7" t="str">
        <f>HYPERLINK("http://www.informatics.jax.org/marker/MGI:2442406","MGI:2442406")</f>
        <v>MGI:2442406</v>
      </c>
      <c r="J189" s="4" t="s">
        <v>12</v>
      </c>
    </row>
    <row r="190" spans="1:10" x14ac:dyDescent="0.25">
      <c r="A190" s="2">
        <v>78.8890334725005</v>
      </c>
      <c r="B190" s="3">
        <v>2.9165027911420198</v>
      </c>
      <c r="C190" s="5">
        <v>9.0818164513829697E-11</v>
      </c>
      <c r="D190" s="6">
        <v>7.7853294838407704E-10</v>
      </c>
      <c r="E190" s="3" t="s">
        <v>2349</v>
      </c>
      <c r="F190" s="3" t="s">
        <v>2350</v>
      </c>
      <c r="G190" s="3">
        <v>246779</v>
      </c>
      <c r="H190" s="7" t="str">
        <f>HYPERLINK("http://www.ensembl.org/Mus_musculus/Gene/Summary?db=core;g=ENSMUSG00000044701","ENSMUSG00000044701")</f>
        <v>ENSMUSG00000044701</v>
      </c>
      <c r="I190" s="7" t="str">
        <f>HYPERLINK("http://www.informatics.jax.org/marker/MGI:2384409","MGI:2384409")</f>
        <v>MGI:2384409</v>
      </c>
      <c r="J190" s="4" t="s">
        <v>12</v>
      </c>
    </row>
    <row r="191" spans="1:10" x14ac:dyDescent="0.25">
      <c r="A191" s="2">
        <v>12.4696173675623</v>
      </c>
      <c r="B191" s="3">
        <v>2.9062402079371399</v>
      </c>
      <c r="C191" s="5">
        <v>5.3152094046976899E-12</v>
      </c>
      <c r="D191" s="6">
        <v>5.0479255550086203E-11</v>
      </c>
      <c r="E191" s="3" t="s">
        <v>5975</v>
      </c>
      <c r="F191" s="3" t="s">
        <v>5976</v>
      </c>
      <c r="G191" s="3">
        <v>12124</v>
      </c>
      <c r="H191" s="7" t="str">
        <f>HYPERLINK("http://www.ensembl.org/Mus_musculus/Gene/Summary?db=core;g=ENSMUSG00000016758","ENSMUSG00000016758")</f>
        <v>ENSMUSG00000016758</v>
      </c>
      <c r="I191" s="7" t="str">
        <f>HYPERLINK("http://www.informatics.jax.org/marker/MGI:1206591","MGI:1206591")</f>
        <v>MGI:1206591</v>
      </c>
      <c r="J191" s="4" t="s">
        <v>12</v>
      </c>
    </row>
    <row r="192" spans="1:10" x14ac:dyDescent="0.25">
      <c r="A192" s="2">
        <v>7.1064673287007603</v>
      </c>
      <c r="B192" s="3">
        <v>2.8929879711588602</v>
      </c>
      <c r="C192" s="5">
        <v>2.1554593225598401E-11</v>
      </c>
      <c r="D192" s="6">
        <v>1.9514777026156499E-10</v>
      </c>
      <c r="E192" s="3" t="s">
        <v>4323</v>
      </c>
      <c r="F192" s="3" t="s">
        <v>4324</v>
      </c>
      <c r="G192" s="3" t="s">
        <v>83</v>
      </c>
      <c r="H192" s="7" t="str">
        <f>HYPERLINK("http://www.ensembl.org/Mus_musculus/Gene/Summary?db=core;g=ENSMUSG00000112212","ENSMUSG00000112212")</f>
        <v>ENSMUSG00000112212</v>
      </c>
      <c r="I192" s="7" t="str">
        <f>HYPERLINK("http://www.informatics.jax.org/marker/MGI:5825826","MGI:5825826")</f>
        <v>MGI:5825826</v>
      </c>
      <c r="J192" s="4" t="s">
        <v>939</v>
      </c>
    </row>
    <row r="193" spans="1:10" x14ac:dyDescent="0.25">
      <c r="A193" s="2">
        <v>22.316044543329401</v>
      </c>
      <c r="B193" s="3">
        <v>2.88811167070254</v>
      </c>
      <c r="C193" s="5">
        <v>2.9875232010123603E-20</v>
      </c>
      <c r="D193" s="6">
        <v>4.7345748120391499E-19</v>
      </c>
      <c r="E193" s="3" t="s">
        <v>4753</v>
      </c>
      <c r="F193" s="3" t="s">
        <v>4754</v>
      </c>
      <c r="G193" s="3">
        <v>225341</v>
      </c>
      <c r="H193" s="7" t="str">
        <f>HYPERLINK("http://www.ensembl.org/Mus_musculus/Gene/Summary?db=core;g=ENSMUSG00000024395","ENSMUSG00000024395")</f>
        <v>ENSMUSG00000024395</v>
      </c>
      <c r="I193" s="7" t="str">
        <f>HYPERLINK("http://www.informatics.jax.org/marker/MGI:2385067","MGI:2385067")</f>
        <v>MGI:2385067</v>
      </c>
      <c r="J193" s="4" t="s">
        <v>12</v>
      </c>
    </row>
    <row r="194" spans="1:10" x14ac:dyDescent="0.25">
      <c r="A194" s="2">
        <v>4.4180209666586503</v>
      </c>
      <c r="B194" s="3">
        <v>2.8860186823473799</v>
      </c>
      <c r="C194" s="5">
        <v>8.6920734648780301E-11</v>
      </c>
      <c r="D194" s="6">
        <v>7.4687901413202301E-10</v>
      </c>
      <c r="E194" s="3" t="s">
        <v>7602</v>
      </c>
      <c r="F194" s="3" t="s">
        <v>7603</v>
      </c>
      <c r="G194" s="3" t="s">
        <v>83</v>
      </c>
      <c r="H194" s="7" t="str">
        <f>HYPERLINK("http://www.ensembl.org/Mus_musculus/Gene/Summary?db=core;g=ENSMUSG00000081000","ENSMUSG00000081000")</f>
        <v>ENSMUSG00000081000</v>
      </c>
      <c r="I194" s="7" t="str">
        <f>HYPERLINK("http://www.informatics.jax.org/marker/MGI:3649950","MGI:3649950")</f>
        <v>MGI:3649950</v>
      </c>
      <c r="J194" s="4" t="s">
        <v>1043</v>
      </c>
    </row>
    <row r="195" spans="1:10" x14ac:dyDescent="0.25">
      <c r="A195" s="2">
        <v>1478.58265715576</v>
      </c>
      <c r="B195" s="3">
        <v>2.88308170354955</v>
      </c>
      <c r="C195" s="5">
        <v>2.6628069899994801E-160</v>
      </c>
      <c r="D195" s="6">
        <v>1.0325459019732E-157</v>
      </c>
      <c r="E195" s="3" t="s">
        <v>218</v>
      </c>
      <c r="F195" s="3" t="s">
        <v>219</v>
      </c>
      <c r="G195" s="3">
        <v>56489</v>
      </c>
      <c r="H195" s="7" t="str">
        <f>HYPERLINK("http://www.ensembl.org/Mus_musculus/Gene/Summary?db=core;g=ENSMUSG00000042349","ENSMUSG00000042349")</f>
        <v>ENSMUSG00000042349</v>
      </c>
      <c r="I195" s="7" t="str">
        <f>HYPERLINK("http://www.informatics.jax.org/marker/MGI:1929612","MGI:1929612")</f>
        <v>MGI:1929612</v>
      </c>
      <c r="J195" s="4" t="s">
        <v>12</v>
      </c>
    </row>
    <row r="196" spans="1:10" x14ac:dyDescent="0.25">
      <c r="A196" s="2">
        <v>2104.521918334</v>
      </c>
      <c r="B196" s="3">
        <v>2.8666181031975202</v>
      </c>
      <c r="C196" s="5">
        <v>1.8847973212326799E-207</v>
      </c>
      <c r="D196" s="6">
        <v>1.1844976268781201E-204</v>
      </c>
      <c r="E196" s="3" t="s">
        <v>81</v>
      </c>
      <c r="F196" s="3" t="s">
        <v>82</v>
      </c>
      <c r="G196" s="3" t="s">
        <v>83</v>
      </c>
      <c r="H196" s="7" t="str">
        <f>HYPERLINK("http://www.ensembl.org/Mus_musculus/Gene/Summary?db=core;g=ENSMUSG00000062593","ENSMUSG00000062593")</f>
        <v>ENSMUSG00000062593</v>
      </c>
      <c r="I196" s="7" t="str">
        <f>HYPERLINK("http://www.informatics.jax.org/marker/MGI:6121530","MGI:6121530")</f>
        <v>MGI:6121530</v>
      </c>
      <c r="J196" s="4" t="s">
        <v>12</v>
      </c>
    </row>
    <row r="197" spans="1:10" x14ac:dyDescent="0.25">
      <c r="A197" s="2">
        <v>1862.18719002688</v>
      </c>
      <c r="B197" s="3">
        <v>2.8661601329908999</v>
      </c>
      <c r="C197" s="5">
        <v>2.99034480281512E-208</v>
      </c>
      <c r="D197" s="6">
        <v>2.0184827419002098E-205</v>
      </c>
      <c r="E197" s="3" t="s">
        <v>63</v>
      </c>
      <c r="F197" s="3" t="s">
        <v>64</v>
      </c>
      <c r="G197" s="3">
        <v>216799</v>
      </c>
      <c r="H197" s="7" t="str">
        <f>HYPERLINK("http://www.ensembl.org/Mus_musculus/Gene/Summary?db=core;g=ENSMUSG00000032691","ENSMUSG00000032691")</f>
        <v>ENSMUSG00000032691</v>
      </c>
      <c r="I197" s="7" t="str">
        <f>HYPERLINK("http://www.informatics.jax.org/marker/MGI:2653833","MGI:2653833")</f>
        <v>MGI:2653833</v>
      </c>
      <c r="J197" s="4" t="s">
        <v>12</v>
      </c>
    </row>
    <row r="198" spans="1:10" x14ac:dyDescent="0.25">
      <c r="A198" s="2">
        <v>2707.6885580286298</v>
      </c>
      <c r="B198" s="3">
        <v>2.8636076655864802</v>
      </c>
      <c r="C198" s="5">
        <v>1.4484879869356401E-133</v>
      </c>
      <c r="D198" s="6">
        <v>3.82589761766695E-131</v>
      </c>
      <c r="E198" s="3" t="s">
        <v>144</v>
      </c>
      <c r="F198" s="3" t="s">
        <v>145</v>
      </c>
      <c r="G198" s="3">
        <v>17357</v>
      </c>
      <c r="H198" s="7" t="str">
        <f>HYPERLINK("http://www.ensembl.org/Mus_musculus/Gene/Summary?db=core;g=ENSMUSG00000047945","ENSMUSG00000047945")</f>
        <v>ENSMUSG00000047945</v>
      </c>
      <c r="I198" s="7" t="str">
        <f>HYPERLINK("http://www.informatics.jax.org/marker/MGI:97143","MGI:97143")</f>
        <v>MGI:97143</v>
      </c>
      <c r="J198" s="4" t="s">
        <v>12</v>
      </c>
    </row>
    <row r="199" spans="1:10" x14ac:dyDescent="0.25">
      <c r="A199" s="2">
        <v>8.9242457659699603</v>
      </c>
      <c r="B199" s="3">
        <v>2.8485471500692401</v>
      </c>
      <c r="C199" s="5">
        <v>2.54748299903539E-12</v>
      </c>
      <c r="D199" s="6">
        <v>2.4841026033932499E-11</v>
      </c>
      <c r="E199" s="3" t="s">
        <v>6083</v>
      </c>
      <c r="F199" s="3" t="s">
        <v>6084</v>
      </c>
      <c r="G199" s="3" t="s">
        <v>83</v>
      </c>
      <c r="H199" s="7" t="str">
        <f>HYPERLINK("http://www.ensembl.org/Mus_musculus/Gene/Summary?db=core;g=ENSMUSG00000085196","ENSMUSG00000085196")</f>
        <v>ENSMUSG00000085196</v>
      </c>
      <c r="I199" s="7" t="str">
        <f>HYPERLINK("http://www.informatics.jax.org/marker/MGI:3705162","MGI:3705162")</f>
        <v>MGI:3705162</v>
      </c>
      <c r="J199" s="4" t="s">
        <v>939</v>
      </c>
    </row>
    <row r="200" spans="1:10" x14ac:dyDescent="0.25">
      <c r="A200" s="2">
        <v>1092.2731879120099</v>
      </c>
      <c r="B200" s="3">
        <v>2.83987931308633</v>
      </c>
      <c r="C200" s="5">
        <v>1.05813566236485E-159</v>
      </c>
      <c r="D200" s="6">
        <v>3.93561682583661E-157</v>
      </c>
      <c r="E200" s="3" t="s">
        <v>79</v>
      </c>
      <c r="F200" s="3" t="s">
        <v>80</v>
      </c>
      <c r="G200" s="3">
        <v>75767</v>
      </c>
      <c r="H200" s="7" t="str">
        <f>HYPERLINK("http://www.ensembl.org/Mus_musculus/Gene/Summary?db=core;g=ENSMUSG00000031488","ENSMUSG00000031488")</f>
        <v>ENSMUSG00000031488</v>
      </c>
      <c r="I200" s="7" t="str">
        <f>HYPERLINK("http://www.informatics.jax.org/marker/MGI:1923017","MGI:1923017")</f>
        <v>MGI:1923017</v>
      </c>
      <c r="J200" s="4" t="s">
        <v>12</v>
      </c>
    </row>
    <row r="201" spans="1:10" x14ac:dyDescent="0.25">
      <c r="A201" s="2">
        <v>494.27927394095298</v>
      </c>
      <c r="B201" s="3">
        <v>2.8390456977804401</v>
      </c>
      <c r="C201" s="5">
        <v>5.1770616165395896E-96</v>
      </c>
      <c r="D201" s="6">
        <v>7.20243877568198E-94</v>
      </c>
      <c r="E201" s="3" t="s">
        <v>352</v>
      </c>
      <c r="F201" s="3" t="s">
        <v>353</v>
      </c>
      <c r="G201" s="3">
        <v>73379</v>
      </c>
      <c r="H201" s="7" t="str">
        <f>HYPERLINK("http://www.ensembl.org/Mus_musculus/Gene/Summary?db=core;g=ENSMUSG00000035107","ENSMUSG00000035107")</f>
        <v>ENSMUSG00000035107</v>
      </c>
      <c r="I201" s="7" t="str">
        <f>HYPERLINK("http://www.informatics.jax.org/marker/MGI:1920629","MGI:1920629")</f>
        <v>MGI:1920629</v>
      </c>
      <c r="J201" s="4" t="s">
        <v>12</v>
      </c>
    </row>
    <row r="202" spans="1:10" x14ac:dyDescent="0.25">
      <c r="A202" s="2">
        <v>9.1713049682294603</v>
      </c>
      <c r="B202" s="3">
        <v>2.83498600911458</v>
      </c>
      <c r="C202" s="5">
        <v>4.5813402686311302E-12</v>
      </c>
      <c r="D202" s="6">
        <v>4.3737520374961998E-11</v>
      </c>
      <c r="E202" s="3" t="s">
        <v>8931</v>
      </c>
      <c r="F202" s="3" t="s">
        <v>8932</v>
      </c>
      <c r="G202" s="3">
        <v>81879</v>
      </c>
      <c r="H202" s="7" t="str">
        <f>HYPERLINK("http://www.ensembl.org/Mus_musculus/Gene/Summary?db=core;g=ENSMUSG00000026380","ENSMUSG00000026380")</f>
        <v>ENSMUSG00000026380</v>
      </c>
      <c r="I202" s="7" t="str">
        <f>HYPERLINK("http://www.informatics.jax.org/marker/MGI:2444691","MGI:2444691")</f>
        <v>MGI:2444691</v>
      </c>
      <c r="J202" s="4" t="s">
        <v>12</v>
      </c>
    </row>
    <row r="203" spans="1:10" x14ac:dyDescent="0.25">
      <c r="A203" s="2">
        <v>11.1514467862361</v>
      </c>
      <c r="B203" s="3">
        <v>2.8342746674021999</v>
      </c>
      <c r="C203" s="5">
        <v>9.3120108012651005E-15</v>
      </c>
      <c r="D203" s="6">
        <v>1.08027623712958E-13</v>
      </c>
      <c r="E203" s="3" t="s">
        <v>7330</v>
      </c>
      <c r="F203" s="3" t="s">
        <v>7331</v>
      </c>
      <c r="G203" s="3" t="s">
        <v>83</v>
      </c>
      <c r="H203" s="7" t="str">
        <f>HYPERLINK("http://www.ensembl.org/Mus_musculus/Gene/Summary?db=core;g=ENSMUSG00000111818","ENSMUSG00000111818")</f>
        <v>ENSMUSG00000111818</v>
      </c>
      <c r="I203" s="7" t="str">
        <f>HYPERLINK("http://www.informatics.jax.org/marker/MGI:5009827","MGI:5009827")</f>
        <v>MGI:5009827</v>
      </c>
      <c r="J203" s="4" t="s">
        <v>331</v>
      </c>
    </row>
    <row r="204" spans="1:10" x14ac:dyDescent="0.25">
      <c r="A204" s="2">
        <v>2507.4674414474198</v>
      </c>
      <c r="B204" s="3">
        <v>2.8270020157935001</v>
      </c>
      <c r="C204" s="5">
        <v>1.11900430641278E-163</v>
      </c>
      <c r="D204" s="6">
        <v>4.5319674409717403E-161</v>
      </c>
      <c r="E204" s="3" t="s">
        <v>104</v>
      </c>
      <c r="F204" s="3" t="s">
        <v>105</v>
      </c>
      <c r="G204" s="3">
        <v>30935</v>
      </c>
      <c r="H204" s="7" t="str">
        <f>HYPERLINK("http://www.ensembl.org/Mus_musculus/Gene/Summary?db=core;g=ENSMUSG00000060519","ENSMUSG00000060519")</f>
        <v>ENSMUSG00000060519</v>
      </c>
      <c r="I204" s="7" t="str">
        <f>HYPERLINK("http://www.informatics.jax.org/marker/MGI:1353652","MGI:1353652")</f>
        <v>MGI:1353652</v>
      </c>
      <c r="J204" s="4" t="s">
        <v>12</v>
      </c>
    </row>
    <row r="205" spans="1:10" x14ac:dyDescent="0.25">
      <c r="A205" s="2">
        <v>1102.8964670627199</v>
      </c>
      <c r="B205" s="3">
        <v>2.7999407927679298</v>
      </c>
      <c r="C205" s="5">
        <v>1.6995020850657799E-41</v>
      </c>
      <c r="D205" s="6">
        <v>6.20709929866208E-40</v>
      </c>
      <c r="E205" s="3" t="s">
        <v>1140</v>
      </c>
      <c r="F205" s="3" t="s">
        <v>1141</v>
      </c>
      <c r="G205" s="3">
        <v>16859</v>
      </c>
      <c r="H205" s="7" t="str">
        <f>HYPERLINK("http://www.ensembl.org/Mus_musculus/Gene/Summary?db=core;g=ENSMUSG00000001123","ENSMUSG00000001123")</f>
        <v>ENSMUSG00000001123</v>
      </c>
      <c r="I205" s="7" t="str">
        <f>HYPERLINK("http://www.informatics.jax.org/marker/MGI:109496","MGI:109496")</f>
        <v>MGI:109496</v>
      </c>
      <c r="J205" s="4" t="s">
        <v>12</v>
      </c>
    </row>
    <row r="206" spans="1:10" x14ac:dyDescent="0.25">
      <c r="A206" s="2">
        <v>37.575676859983297</v>
      </c>
      <c r="B206" s="3">
        <v>2.79590058825627</v>
      </c>
      <c r="C206" s="5">
        <v>7.2219602647108794E-17</v>
      </c>
      <c r="D206" s="6">
        <v>9.5515403355846005E-16</v>
      </c>
      <c r="E206" s="3" t="s">
        <v>2219</v>
      </c>
      <c r="F206" s="3" t="s">
        <v>2220</v>
      </c>
      <c r="G206" s="3">
        <v>93694</v>
      </c>
      <c r="H206" s="7" t="str">
        <f>HYPERLINK("http://www.ensembl.org/Mus_musculus/Gene/Summary?db=core;g=ENSMUSG00000030157","ENSMUSG00000030157")</f>
        <v>ENSMUSG00000030157</v>
      </c>
      <c r="I206" s="7" t="str">
        <f>HYPERLINK("http://www.informatics.jax.org/marker/MGI:2135589","MGI:2135589")</f>
        <v>MGI:2135589</v>
      </c>
      <c r="J206" s="4" t="s">
        <v>12</v>
      </c>
    </row>
    <row r="207" spans="1:10" x14ac:dyDescent="0.25">
      <c r="A207" s="2">
        <v>6.2854598593933098</v>
      </c>
      <c r="B207" s="3">
        <v>2.7770039337432499</v>
      </c>
      <c r="C207" s="5">
        <v>1.6653304892907799E-10</v>
      </c>
      <c r="D207" s="6">
        <v>1.3980031399043999E-9</v>
      </c>
      <c r="E207" s="3" t="s">
        <v>5285</v>
      </c>
      <c r="F207" s="3" t="s">
        <v>5286</v>
      </c>
      <c r="G207" s="3">
        <v>15464</v>
      </c>
      <c r="H207" s="7" t="str">
        <f>HYPERLINK("http://www.ensembl.org/Mus_musculus/Gene/Summary?db=core;g=ENSMUSG00000038239","ENSMUSG00000038239")</f>
        <v>ENSMUSG00000038239</v>
      </c>
      <c r="I207" s="7" t="str">
        <f>HYPERLINK("http://www.informatics.jax.org/marker/MGI:96226","MGI:96226")</f>
        <v>MGI:96226</v>
      </c>
      <c r="J207" s="4" t="s">
        <v>12</v>
      </c>
    </row>
    <row r="208" spans="1:10" x14ac:dyDescent="0.25">
      <c r="A208" s="2">
        <v>1700.5635800676</v>
      </c>
      <c r="B208" s="3">
        <v>2.76889229102221</v>
      </c>
      <c r="C208" s="5">
        <v>1.0683640828481001E-120</v>
      </c>
      <c r="D208" s="6">
        <v>2.34589583251887E-118</v>
      </c>
      <c r="E208" s="3" t="s">
        <v>126</v>
      </c>
      <c r="F208" s="3" t="s">
        <v>127</v>
      </c>
      <c r="G208" s="3">
        <v>80285</v>
      </c>
      <c r="H208" s="7" t="str">
        <f>HYPERLINK("http://www.ensembl.org/Mus_musculus/Gene/Summary?db=core;g=ENSMUSG00000022906","ENSMUSG00000022906")</f>
        <v>ENSMUSG00000022906</v>
      </c>
      <c r="I208" s="7" t="str">
        <f>HYPERLINK("http://www.informatics.jax.org/marker/MGI:1933117","MGI:1933117")</f>
        <v>MGI:1933117</v>
      </c>
      <c r="J208" s="4" t="s">
        <v>12</v>
      </c>
    </row>
    <row r="209" spans="1:10" x14ac:dyDescent="0.25">
      <c r="A209" s="2">
        <v>12069.733088361199</v>
      </c>
      <c r="B209" s="3">
        <v>2.7655255541752002</v>
      </c>
      <c r="C209" s="5">
        <v>3.1019740904613E-94</v>
      </c>
      <c r="D209" s="6">
        <v>4.09662882598965E-92</v>
      </c>
      <c r="E209" s="3" t="s">
        <v>316</v>
      </c>
      <c r="F209" s="3" t="s">
        <v>317</v>
      </c>
      <c r="G209" s="3">
        <v>21938</v>
      </c>
      <c r="H209" s="7" t="str">
        <f>HYPERLINK("http://www.ensembl.org/Mus_musculus/Gene/Summary?db=core;g=ENSMUSG00000028599","ENSMUSG00000028599")</f>
        <v>ENSMUSG00000028599</v>
      </c>
      <c r="I209" s="7" t="str">
        <f>HYPERLINK("http://www.informatics.jax.org/marker/MGI:1314883","MGI:1314883")</f>
        <v>MGI:1314883</v>
      </c>
      <c r="J209" s="4" t="s">
        <v>12</v>
      </c>
    </row>
    <row r="210" spans="1:10" x14ac:dyDescent="0.25">
      <c r="A210" s="2">
        <v>121.34626038438201</v>
      </c>
      <c r="B210" s="3">
        <v>2.76278601790353</v>
      </c>
      <c r="C210" s="5">
        <v>4.2287224244597199E-29</v>
      </c>
      <c r="D210" s="6">
        <v>1.00611574655063E-27</v>
      </c>
      <c r="E210" s="3" t="s">
        <v>2453</v>
      </c>
      <c r="F210" s="3" t="s">
        <v>2454</v>
      </c>
      <c r="G210" s="3">
        <v>53321</v>
      </c>
      <c r="H210" s="7" t="str">
        <f>HYPERLINK("http://www.ensembl.org/Mus_musculus/Gene/Summary?db=core;g=ENSMUSG00000017167","ENSMUSG00000017167")</f>
        <v>ENSMUSG00000017167</v>
      </c>
      <c r="I210" s="7" t="str">
        <f>HYPERLINK("http://www.informatics.jax.org/marker/MGI:1858201","MGI:1858201")</f>
        <v>MGI:1858201</v>
      </c>
      <c r="J210" s="4" t="s">
        <v>12</v>
      </c>
    </row>
    <row r="211" spans="1:10" x14ac:dyDescent="0.25">
      <c r="A211" s="2">
        <v>340.284799306813</v>
      </c>
      <c r="B211" s="3">
        <v>2.7595687607147301</v>
      </c>
      <c r="C211" s="5">
        <v>1.3283977222327099E-108</v>
      </c>
      <c r="D211" s="6">
        <v>2.2839668384614301E-106</v>
      </c>
      <c r="E211" s="3" t="s">
        <v>468</v>
      </c>
      <c r="F211" s="3" t="s">
        <v>469</v>
      </c>
      <c r="G211" s="3">
        <v>12609</v>
      </c>
      <c r="H211" s="7" t="str">
        <f>HYPERLINK("http://www.ensembl.org/Mus_musculus/Gene/Summary?db=core;g=ENSMUSG00000071637","ENSMUSG00000071637")</f>
        <v>ENSMUSG00000071637</v>
      </c>
      <c r="I211" s="7" t="str">
        <f>HYPERLINK("http://www.informatics.jax.org/marker/MGI:103573","MGI:103573")</f>
        <v>MGI:103573</v>
      </c>
      <c r="J211" s="4" t="s">
        <v>12</v>
      </c>
    </row>
    <row r="212" spans="1:10" x14ac:dyDescent="0.25">
      <c r="A212" s="2">
        <v>2160.8713255217499</v>
      </c>
      <c r="B212" s="3">
        <v>2.7583696273088201</v>
      </c>
      <c r="C212" s="5">
        <v>5.7217453333289897E-75</v>
      </c>
      <c r="D212" s="6">
        <v>4.9894166842067397E-73</v>
      </c>
      <c r="E212" s="3" t="s">
        <v>752</v>
      </c>
      <c r="F212" s="3" t="s">
        <v>753</v>
      </c>
      <c r="G212" s="3">
        <v>80719</v>
      </c>
      <c r="H212" s="7" t="str">
        <f>HYPERLINK("http://www.ensembl.org/Mus_musculus/Gene/Summary?db=core;g=ENSMUSG00000035004","ENSMUSG00000035004")</f>
        <v>ENSMUSG00000035004</v>
      </c>
      <c r="I212" s="7" t="str">
        <f>HYPERLINK("http://www.informatics.jax.org/marker/MGI:1891393","MGI:1891393")</f>
        <v>MGI:1891393</v>
      </c>
      <c r="J212" s="4" t="s">
        <v>12</v>
      </c>
    </row>
    <row r="213" spans="1:10" x14ac:dyDescent="0.25">
      <c r="A213" s="2">
        <v>565.239690908493</v>
      </c>
      <c r="B213" s="3">
        <v>2.7572907106959499</v>
      </c>
      <c r="C213" s="5">
        <v>7.5781588484352995E-70</v>
      </c>
      <c r="D213" s="6">
        <v>5.6603256152759499E-68</v>
      </c>
      <c r="E213" s="3" t="s">
        <v>382</v>
      </c>
      <c r="F213" s="3" t="s">
        <v>383</v>
      </c>
      <c r="G213" s="3">
        <v>12494</v>
      </c>
      <c r="H213" s="7" t="str">
        <f>HYPERLINK("http://www.ensembl.org/Mus_musculus/Gene/Summary?db=core;g=ENSMUSG00000029084","ENSMUSG00000029084")</f>
        <v>ENSMUSG00000029084</v>
      </c>
      <c r="I213" s="7" t="str">
        <f>HYPERLINK("http://www.informatics.jax.org/marker/MGI:107474","MGI:107474")</f>
        <v>MGI:107474</v>
      </c>
      <c r="J213" s="4" t="s">
        <v>12</v>
      </c>
    </row>
    <row r="214" spans="1:10" x14ac:dyDescent="0.25">
      <c r="A214" s="2">
        <v>3649.9110505500098</v>
      </c>
      <c r="B214" s="3">
        <v>2.7529948890934799</v>
      </c>
      <c r="C214" s="3">
        <v>0</v>
      </c>
      <c r="D214" s="4">
        <v>0</v>
      </c>
      <c r="E214" s="3" t="s">
        <v>17</v>
      </c>
      <c r="F214" s="3" t="s">
        <v>18</v>
      </c>
      <c r="G214" s="3">
        <v>18174</v>
      </c>
      <c r="H214" s="7" t="str">
        <f>HYPERLINK("http://www.ensembl.org/Mus_musculus/Gene/Summary?db=core;g=ENSMUSG00000023030","ENSMUSG00000023030")</f>
        <v>ENSMUSG00000023030</v>
      </c>
      <c r="I214" s="7" t="str">
        <f>HYPERLINK("http://www.informatics.jax.org/marker/MGI:1345279","MGI:1345279")</f>
        <v>MGI:1345279</v>
      </c>
      <c r="J214" s="4" t="s">
        <v>12</v>
      </c>
    </row>
    <row r="215" spans="1:10" x14ac:dyDescent="0.25">
      <c r="A215" s="2">
        <v>69.336137467986006</v>
      </c>
      <c r="B215" s="3">
        <v>2.7515314198794001</v>
      </c>
      <c r="C215" s="5">
        <v>4.0401546928798301E-25</v>
      </c>
      <c r="D215" s="6">
        <v>8.1003101515659904E-24</v>
      </c>
      <c r="E215" s="3" t="s">
        <v>1752</v>
      </c>
      <c r="F215" s="3" t="s">
        <v>1753</v>
      </c>
      <c r="G215" s="3">
        <v>68487</v>
      </c>
      <c r="H215" s="7" t="str">
        <f>HYPERLINK("http://www.ensembl.org/Mus_musculus/Gene/Summary?db=core;g=ENSMUSG00000057137","ENSMUSG00000057137")</f>
        <v>ENSMUSG00000057137</v>
      </c>
      <c r="I215" s="7" t="str">
        <f>HYPERLINK("http://www.informatics.jax.org/marker/MGI:1915737","MGI:1915737")</f>
        <v>MGI:1915737</v>
      </c>
      <c r="J215" s="4" t="s">
        <v>12</v>
      </c>
    </row>
    <row r="216" spans="1:10" x14ac:dyDescent="0.25">
      <c r="A216" s="2">
        <v>498.94070274734298</v>
      </c>
      <c r="B216" s="3">
        <v>2.75060162859462</v>
      </c>
      <c r="C216" s="5">
        <v>1.39114038820006E-114</v>
      </c>
      <c r="D216" s="6">
        <v>2.7861025906534098E-112</v>
      </c>
      <c r="E216" s="3" t="s">
        <v>232</v>
      </c>
      <c r="F216" s="3" t="s">
        <v>233</v>
      </c>
      <c r="G216" s="3">
        <v>15015</v>
      </c>
      <c r="H216" s="7" t="str">
        <f>HYPERLINK("http://www.ensembl.org/Mus_musculus/Gene/Summary?db=core;g=ENSMUSG00000035929","ENSMUSG00000035929")</f>
        <v>ENSMUSG00000035929</v>
      </c>
      <c r="I216" s="7" t="str">
        <f>HYPERLINK("http://www.informatics.jax.org/marker/MGI:95933","MGI:95933")</f>
        <v>MGI:95933</v>
      </c>
      <c r="J216" s="4" t="s">
        <v>12</v>
      </c>
    </row>
    <row r="217" spans="1:10" x14ac:dyDescent="0.25">
      <c r="A217" s="2">
        <v>32.096820567118698</v>
      </c>
      <c r="B217" s="3">
        <v>2.7475119437230999</v>
      </c>
      <c r="C217" s="5">
        <v>6.3451077901372798E-19</v>
      </c>
      <c r="D217" s="6">
        <v>9.4322666782424101E-18</v>
      </c>
      <c r="E217" s="3" t="s">
        <v>1686</v>
      </c>
      <c r="F217" s="3" t="s">
        <v>1687</v>
      </c>
      <c r="G217" s="3">
        <v>72747</v>
      </c>
      <c r="H217" s="7" t="str">
        <f>HYPERLINK("http://www.ensembl.org/Mus_musculus/Gene/Summary?db=core;g=ENSMUSG00000024424","ENSMUSG00000024424")</f>
        <v>ENSMUSG00000024424</v>
      </c>
      <c r="I217" s="7" t="str">
        <f>HYPERLINK("http://www.informatics.jax.org/marker/MGI:1919997","MGI:1919997")</f>
        <v>MGI:1919997</v>
      </c>
      <c r="J217" s="4" t="s">
        <v>12</v>
      </c>
    </row>
    <row r="218" spans="1:10" x14ac:dyDescent="0.25">
      <c r="A218" s="2">
        <v>2708.4417789368499</v>
      </c>
      <c r="B218" s="3">
        <v>2.7463045285907999</v>
      </c>
      <c r="C218" s="5">
        <v>7.1962529783730105E-201</v>
      </c>
      <c r="D218" s="6">
        <v>3.8574032509073002E-198</v>
      </c>
      <c r="E218" s="3" t="s">
        <v>84</v>
      </c>
      <c r="F218" s="3" t="s">
        <v>85</v>
      </c>
      <c r="G218" s="3">
        <v>14728</v>
      </c>
      <c r="H218" s="7" t="str">
        <f>HYPERLINK("http://www.ensembl.org/Mus_musculus/Gene/Summary?db=core;g=ENSMUSG00000112148","ENSMUSG00000112148")</f>
        <v>ENSMUSG00000112148</v>
      </c>
      <c r="I218" s="7" t="str">
        <f>HYPERLINK("http://www.informatics.jax.org/marker/MGI:102701","MGI:102701")</f>
        <v>MGI:102701</v>
      </c>
      <c r="J218" s="4" t="s">
        <v>12</v>
      </c>
    </row>
    <row r="219" spans="1:10" x14ac:dyDescent="0.25">
      <c r="A219" s="2">
        <v>2565.6572986076399</v>
      </c>
      <c r="B219" s="3">
        <v>2.7435492702268101</v>
      </c>
      <c r="C219" s="5">
        <v>2.8021114306082901E-143</v>
      </c>
      <c r="D219" s="6">
        <v>8.9593826004975502E-141</v>
      </c>
      <c r="E219" s="3" t="s">
        <v>130</v>
      </c>
      <c r="F219" s="3" t="s">
        <v>131</v>
      </c>
      <c r="G219" s="3">
        <v>227659</v>
      </c>
      <c r="H219" s="7" t="str">
        <f>HYPERLINK("http://www.ensembl.org/Mus_musculus/Gene/Summary?db=core;g=ENSMUSG00000036067","ENSMUSG00000036067")</f>
        <v>ENSMUSG00000036067</v>
      </c>
      <c r="I219" s="7" t="str">
        <f>HYPERLINK("http://www.informatics.jax.org/marker/MGI:2443286","MGI:2443286")</f>
        <v>MGI:2443286</v>
      </c>
      <c r="J219" s="4" t="s">
        <v>12</v>
      </c>
    </row>
    <row r="220" spans="1:10" x14ac:dyDescent="0.25">
      <c r="A220" s="2">
        <v>6.0324377122202897</v>
      </c>
      <c r="B220" s="3">
        <v>2.73987359685795</v>
      </c>
      <c r="C220" s="5">
        <v>1.6506847269362401E-10</v>
      </c>
      <c r="D220" s="6">
        <v>1.38698612947962E-9</v>
      </c>
      <c r="E220" s="3" t="s">
        <v>7846</v>
      </c>
      <c r="F220" s="3" t="s">
        <v>7847</v>
      </c>
      <c r="G220" s="3" t="s">
        <v>83</v>
      </c>
      <c r="H220" s="7" t="str">
        <f>HYPERLINK("http://www.ensembl.org/Mus_musculus/Gene/Summary?db=core;g=ENSMUSG00000085953","ENSMUSG00000085953")</f>
        <v>ENSMUSG00000085953</v>
      </c>
      <c r="I220" s="7" t="str">
        <f>HYPERLINK("http://www.informatics.jax.org/marker/MGI:3782942","MGI:3782942")</f>
        <v>MGI:3782942</v>
      </c>
      <c r="J220" s="4" t="s">
        <v>932</v>
      </c>
    </row>
    <row r="221" spans="1:10" x14ac:dyDescent="0.25">
      <c r="A221" s="2">
        <v>80.871450622722804</v>
      </c>
      <c r="B221" s="3">
        <v>2.7371098365619302</v>
      </c>
      <c r="C221" s="5">
        <v>2.4866765370006602E-13</v>
      </c>
      <c r="D221" s="6">
        <v>2.6363978991760901E-12</v>
      </c>
      <c r="E221" s="3" t="s">
        <v>3694</v>
      </c>
      <c r="F221" s="3" t="s">
        <v>3695</v>
      </c>
      <c r="G221" s="3">
        <v>142980</v>
      </c>
      <c r="H221" s="7" t="str">
        <f>HYPERLINK("http://www.ensembl.org/Mus_musculus/Gene/Summary?db=core;g=ENSMUSG00000031639","ENSMUSG00000031639")</f>
        <v>ENSMUSG00000031639</v>
      </c>
      <c r="I221" s="7" t="str">
        <f>HYPERLINK("http://www.informatics.jax.org/marker/MGI:2156367","MGI:2156367")</f>
        <v>MGI:2156367</v>
      </c>
      <c r="J221" s="4" t="s">
        <v>12</v>
      </c>
    </row>
    <row r="222" spans="1:10" x14ac:dyDescent="0.25">
      <c r="A222" s="2">
        <v>283.73558366350198</v>
      </c>
      <c r="B222" s="3">
        <v>2.7362668332282798</v>
      </c>
      <c r="C222" s="5">
        <v>4.0033402488843398E-158</v>
      </c>
      <c r="D222" s="6">
        <v>1.45921752071834E-155</v>
      </c>
      <c r="E222" s="3" t="s">
        <v>118</v>
      </c>
      <c r="F222" s="3" t="s">
        <v>119</v>
      </c>
      <c r="G222" s="3">
        <v>73914</v>
      </c>
      <c r="H222" s="7" t="str">
        <f>HYPERLINK("http://www.ensembl.org/Mus_musculus/Gene/Summary?db=core;g=ENSMUSG00000020227","ENSMUSG00000020227")</f>
        <v>ENSMUSG00000020227</v>
      </c>
      <c r="I222" s="7" t="str">
        <f>HYPERLINK("http://www.informatics.jax.org/marker/MGI:1921164","MGI:1921164")</f>
        <v>MGI:1921164</v>
      </c>
      <c r="J222" s="4" t="s">
        <v>12</v>
      </c>
    </row>
    <row r="223" spans="1:10" x14ac:dyDescent="0.25">
      <c r="A223" s="2">
        <v>1293.4473210025001</v>
      </c>
      <c r="B223" s="3">
        <v>2.73269210885034</v>
      </c>
      <c r="C223" s="5">
        <v>3.8630222049144199E-78</v>
      </c>
      <c r="D223" s="6">
        <v>3.5378683258575503E-76</v>
      </c>
      <c r="E223" s="3" t="s">
        <v>464</v>
      </c>
      <c r="F223" s="3" t="s">
        <v>465</v>
      </c>
      <c r="G223" s="3">
        <v>18793</v>
      </c>
      <c r="H223" s="7" t="str">
        <f>HYPERLINK("http://www.ensembl.org/Mus_musculus/Gene/Summary?db=core;g=ENSMUSG00000046223","ENSMUSG00000046223")</f>
        <v>ENSMUSG00000046223</v>
      </c>
      <c r="I223" s="7" t="str">
        <f>HYPERLINK("http://www.informatics.jax.org/marker/MGI:97612","MGI:97612")</f>
        <v>MGI:97612</v>
      </c>
      <c r="J223" s="4" t="s">
        <v>12</v>
      </c>
    </row>
    <row r="224" spans="1:10" x14ac:dyDescent="0.25">
      <c r="A224" s="2">
        <v>338.60511575355599</v>
      </c>
      <c r="B224" s="3">
        <v>2.7242684030555901</v>
      </c>
      <c r="C224" s="5">
        <v>1.6731474526096901E-66</v>
      </c>
      <c r="D224" s="6">
        <v>1.17281201245429E-64</v>
      </c>
      <c r="E224" s="3" t="s">
        <v>568</v>
      </c>
      <c r="F224" s="3" t="s">
        <v>569</v>
      </c>
      <c r="G224" s="3">
        <v>19252</v>
      </c>
      <c r="H224" s="7" t="str">
        <f>HYPERLINK("http://www.ensembl.org/Mus_musculus/Gene/Summary?db=core;g=ENSMUSG00000024190","ENSMUSG00000024190")</f>
        <v>ENSMUSG00000024190</v>
      </c>
      <c r="I224" s="7" t="str">
        <f>HYPERLINK("http://www.informatics.jax.org/marker/MGI:105120","MGI:105120")</f>
        <v>MGI:105120</v>
      </c>
      <c r="J224" s="4" t="s">
        <v>12</v>
      </c>
    </row>
    <row r="225" spans="1:10" x14ac:dyDescent="0.25">
      <c r="A225" s="2">
        <v>11.364213848608699</v>
      </c>
      <c r="B225" s="3">
        <v>2.7241199463474901</v>
      </c>
      <c r="C225" s="5">
        <v>1.2232600539502301E-11</v>
      </c>
      <c r="D225" s="6">
        <v>1.1282063217160601E-10</v>
      </c>
      <c r="E225" s="3" t="s">
        <v>4709</v>
      </c>
      <c r="F225" s="3" t="s">
        <v>4710</v>
      </c>
      <c r="G225" s="3">
        <v>26559</v>
      </c>
      <c r="H225" s="7" t="str">
        <f>HYPERLINK("http://www.ensembl.org/Mus_musculus/Gene/Summary?db=core;g=ENSMUSG00000053414","ENSMUSG00000053414")</f>
        <v>ENSMUSG00000053414</v>
      </c>
      <c r="I225" s="7" t="str">
        <f>HYPERLINK("http://www.informatics.jax.org/marker/MGI:1347352","MGI:1347352")</f>
        <v>MGI:1347352</v>
      </c>
      <c r="J225" s="4" t="s">
        <v>12</v>
      </c>
    </row>
    <row r="226" spans="1:10" x14ac:dyDescent="0.25">
      <c r="A226" s="2">
        <v>24.701128013420501</v>
      </c>
      <c r="B226" s="3">
        <v>2.72318080616335</v>
      </c>
      <c r="C226" s="5">
        <v>4.2943945608506897E-22</v>
      </c>
      <c r="D226" s="6">
        <v>7.4966801601057302E-21</v>
      </c>
      <c r="E226" s="3" t="s">
        <v>3185</v>
      </c>
      <c r="F226" s="3" t="s">
        <v>3186</v>
      </c>
      <c r="G226" s="3" t="s">
        <v>83</v>
      </c>
      <c r="H226" s="7" t="str">
        <f>HYPERLINK("http://www.ensembl.org/Mus_musculus/Gene/Summary?db=core;g=ENSMUSG00000096957","ENSMUSG00000096957")</f>
        <v>ENSMUSG00000096957</v>
      </c>
      <c r="I226" s="7" t="str">
        <f>HYPERLINK("http://www.informatics.jax.org/marker/MGI:2142601","MGI:2142601")</f>
        <v>MGI:2142601</v>
      </c>
      <c r="J226" s="4" t="s">
        <v>3187</v>
      </c>
    </row>
    <row r="227" spans="1:10" x14ac:dyDescent="0.25">
      <c r="A227" s="2">
        <v>2845.58961428059</v>
      </c>
      <c r="B227" s="3">
        <v>2.7080532452563602</v>
      </c>
      <c r="C227" s="5">
        <v>4.95095990238083E-244</v>
      </c>
      <c r="D227" s="6">
        <v>5.3077202482876901E-241</v>
      </c>
      <c r="E227" s="3" t="s">
        <v>53</v>
      </c>
      <c r="F227" s="3" t="s">
        <v>54</v>
      </c>
      <c r="G227" s="3">
        <v>226691</v>
      </c>
      <c r="H227" s="7" t="str">
        <f>HYPERLINK("http://www.ensembl.org/Mus_musculus/Gene/Summary?db=core;g=ENSMUSG00000073490","ENSMUSG00000073490")</f>
        <v>ENSMUSG00000073490</v>
      </c>
      <c r="I227" s="7" t="str">
        <f>HYPERLINK("http://www.informatics.jax.org/marker/MGI:2138302","MGI:2138302")</f>
        <v>MGI:2138302</v>
      </c>
      <c r="J227" s="4" t="s">
        <v>12</v>
      </c>
    </row>
    <row r="228" spans="1:10" x14ac:dyDescent="0.25">
      <c r="A228" s="2">
        <v>275.27838142354801</v>
      </c>
      <c r="B228" s="3">
        <v>2.70648810824793</v>
      </c>
      <c r="C228" s="5">
        <v>2.26705521155236E-39</v>
      </c>
      <c r="D228" s="6">
        <v>7.65131133898921E-38</v>
      </c>
      <c r="E228" s="3" t="s">
        <v>700</v>
      </c>
      <c r="F228" s="3" t="s">
        <v>701</v>
      </c>
      <c r="G228" s="3">
        <v>67138</v>
      </c>
      <c r="H228" s="7" t="str">
        <f>HYPERLINK("http://www.ensembl.org/Mus_musculus/Gene/Summary?db=core;g=ENSMUSG00000029798","ENSMUSG00000029798")</f>
        <v>ENSMUSG00000029798</v>
      </c>
      <c r="I228" s="7" t="str">
        <f>HYPERLINK("http://www.informatics.jax.org/marker/MGI:1914388","MGI:1914388")</f>
        <v>MGI:1914388</v>
      </c>
      <c r="J228" s="4" t="s">
        <v>12</v>
      </c>
    </row>
    <row r="229" spans="1:10" x14ac:dyDescent="0.25">
      <c r="A229" s="2">
        <v>8.1211419245071603</v>
      </c>
      <c r="B229" s="3">
        <v>2.6788387820060202</v>
      </c>
      <c r="C229" s="5">
        <v>4.8975315183364899E-11</v>
      </c>
      <c r="D229" s="6">
        <v>4.3057169282046599E-10</v>
      </c>
      <c r="E229" s="3" t="s">
        <v>4715</v>
      </c>
      <c r="F229" s="3" t="s">
        <v>4716</v>
      </c>
      <c r="G229" s="3">
        <v>244310</v>
      </c>
      <c r="H229" s="7" t="str">
        <f>HYPERLINK("http://www.ensembl.org/Mus_musculus/Gene/Summary?db=core;g=ENSMUSG00000047495","ENSMUSG00000047495")</f>
        <v>ENSMUSG00000047495</v>
      </c>
      <c r="I229" s="7" t="str">
        <f>HYPERLINK("http://www.informatics.jax.org/marker/MGI:2443181","MGI:2443181")</f>
        <v>MGI:2443181</v>
      </c>
      <c r="J229" s="4" t="s">
        <v>12</v>
      </c>
    </row>
    <row r="230" spans="1:10" x14ac:dyDescent="0.25">
      <c r="A230" s="2">
        <v>419.09111266477203</v>
      </c>
      <c r="B230" s="3">
        <v>2.67129729823086</v>
      </c>
      <c r="C230" s="5">
        <v>1.6197673094506799E-113</v>
      </c>
      <c r="D230" s="6">
        <v>3.1404531079509099E-111</v>
      </c>
      <c r="E230" s="3" t="s">
        <v>432</v>
      </c>
      <c r="F230" s="3" t="s">
        <v>433</v>
      </c>
      <c r="G230" s="3">
        <v>19698</v>
      </c>
      <c r="H230" s="7" t="str">
        <f>HYPERLINK("http://www.ensembl.org/Mus_musculus/Gene/Summary?db=core;g=ENSMUSG00000002983","ENSMUSG00000002983")</f>
        <v>ENSMUSG00000002983</v>
      </c>
      <c r="I230" s="7" t="str">
        <f>HYPERLINK("http://www.informatics.jax.org/marker/MGI:103289","MGI:103289")</f>
        <v>MGI:103289</v>
      </c>
      <c r="J230" s="4" t="s">
        <v>12</v>
      </c>
    </row>
    <row r="231" spans="1:10" x14ac:dyDescent="0.25">
      <c r="A231" s="2">
        <v>5680.4438571709597</v>
      </c>
      <c r="B231" s="3">
        <v>2.6697221439101999</v>
      </c>
      <c r="C231" s="5">
        <v>3.2728243717772098E-104</v>
      </c>
      <c r="D231" s="6">
        <v>5.1420020841068597E-102</v>
      </c>
      <c r="E231" s="3" t="s">
        <v>300</v>
      </c>
      <c r="F231" s="3" t="s">
        <v>301</v>
      </c>
      <c r="G231" s="3">
        <v>16402</v>
      </c>
      <c r="H231" s="7" t="str">
        <f>HYPERLINK("http://www.ensembl.org/Mus_musculus/Gene/Summary?db=core;g=ENSMUSG00000000555","ENSMUSG00000000555")</f>
        <v>ENSMUSG00000000555</v>
      </c>
      <c r="I231" s="7" t="str">
        <f>HYPERLINK("http://www.informatics.jax.org/marker/MGI:96604","MGI:96604")</f>
        <v>MGI:96604</v>
      </c>
      <c r="J231" s="4" t="s">
        <v>12</v>
      </c>
    </row>
    <row r="232" spans="1:10" x14ac:dyDescent="0.25">
      <c r="A232" s="2">
        <v>2193.4265670171399</v>
      </c>
      <c r="B232" s="3">
        <v>2.6644019153120202</v>
      </c>
      <c r="C232" s="5">
        <v>1.27721864129417E-84</v>
      </c>
      <c r="D232" s="6">
        <v>1.37735560577433E-82</v>
      </c>
      <c r="E232" s="3" t="s">
        <v>814</v>
      </c>
      <c r="F232" s="3" t="s">
        <v>815</v>
      </c>
      <c r="G232" s="3">
        <v>18858</v>
      </c>
      <c r="H232" s="7" t="str">
        <f>HYPERLINK("http://www.ensembl.org/Mus_musculus/Gene/Summary?db=core;g=ENSMUSG00000018217","ENSMUSG00000018217")</f>
        <v>ENSMUSG00000018217</v>
      </c>
      <c r="I232" s="7" t="str">
        <f>HYPERLINK("http://www.informatics.jax.org/marker/MGI:97631","MGI:97631")</f>
        <v>MGI:97631</v>
      </c>
      <c r="J232" s="4" t="s">
        <v>12</v>
      </c>
    </row>
    <row r="233" spans="1:10" x14ac:dyDescent="0.25">
      <c r="A233" s="2">
        <v>856.530611383733</v>
      </c>
      <c r="B233" s="3">
        <v>2.6620734784977</v>
      </c>
      <c r="C233" s="5">
        <v>9.0241325936016798E-121</v>
      </c>
      <c r="D233" s="6">
        <v>2.0056684941267201E-118</v>
      </c>
      <c r="E233" s="3" t="s">
        <v>210</v>
      </c>
      <c r="F233" s="3" t="s">
        <v>211</v>
      </c>
      <c r="G233" s="3">
        <v>18712</v>
      </c>
      <c r="H233" s="7" t="str">
        <f>HYPERLINK("http://www.ensembl.org/Mus_musculus/Gene/Summary?db=core;g=ENSMUSG00000024014","ENSMUSG00000024014")</f>
        <v>ENSMUSG00000024014</v>
      </c>
      <c r="I233" s="7" t="str">
        <f>HYPERLINK("http://www.informatics.jax.org/marker/MGI:97584","MGI:97584")</f>
        <v>MGI:97584</v>
      </c>
      <c r="J233" s="4" t="s">
        <v>12</v>
      </c>
    </row>
    <row r="234" spans="1:10" x14ac:dyDescent="0.25">
      <c r="A234" s="2">
        <v>118.211815722976</v>
      </c>
      <c r="B234" s="3">
        <v>2.6539692216916602</v>
      </c>
      <c r="C234" s="5">
        <v>2.0893385247365499E-41</v>
      </c>
      <c r="D234" s="6">
        <v>7.6156389226647394E-40</v>
      </c>
      <c r="E234" s="3" t="s">
        <v>1062</v>
      </c>
      <c r="F234" s="3" t="s">
        <v>1063</v>
      </c>
      <c r="G234" s="3">
        <v>230088</v>
      </c>
      <c r="H234" s="7" t="str">
        <f>HYPERLINK("http://www.ensembl.org/Mus_musculus/Gene/Summary?db=core;g=ENSMUSG00000036002","ENSMUSG00000036002")</f>
        <v>ENSMUSG00000036002</v>
      </c>
      <c r="I234" s="7" t="str">
        <f>HYPERLINK("http://www.informatics.jax.org/marker/MGI:2441854","MGI:2441854")</f>
        <v>MGI:2441854</v>
      </c>
      <c r="J234" s="4" t="s">
        <v>12</v>
      </c>
    </row>
    <row r="235" spans="1:10" x14ac:dyDescent="0.25">
      <c r="A235" s="2">
        <v>213.133121637785</v>
      </c>
      <c r="B235" s="3">
        <v>2.6533331547632102</v>
      </c>
      <c r="C235" s="5">
        <v>9.9535581017175699E-51</v>
      </c>
      <c r="D235" s="6">
        <v>4.8117664828594898E-49</v>
      </c>
      <c r="E235" s="3" t="s">
        <v>1236</v>
      </c>
      <c r="F235" s="3" t="s">
        <v>1237</v>
      </c>
      <c r="G235" s="3">
        <v>50498</v>
      </c>
      <c r="H235" s="7" t="str">
        <f>HYPERLINK("http://www.ensembl.org/Mus_musculus/Gene/Summary?db=core;g=ENSMUSG00000003206","ENSMUSG00000003206")</f>
        <v>ENSMUSG00000003206</v>
      </c>
      <c r="I235" s="7" t="str">
        <f>HYPERLINK("http://www.informatics.jax.org/marker/MGI:1354171","MGI:1354171")</f>
        <v>MGI:1354171</v>
      </c>
      <c r="J235" s="4" t="s">
        <v>12</v>
      </c>
    </row>
    <row r="236" spans="1:10" x14ac:dyDescent="0.25">
      <c r="A236" s="2">
        <v>14.045335650387299</v>
      </c>
      <c r="B236" s="3">
        <v>2.6457896903461</v>
      </c>
      <c r="C236" s="5">
        <v>3.5799866999471298E-11</v>
      </c>
      <c r="D236" s="6">
        <v>3.1749517083472701E-10</v>
      </c>
      <c r="E236" s="3" t="s">
        <v>3838</v>
      </c>
      <c r="F236" s="3" t="s">
        <v>3839</v>
      </c>
      <c r="G236" s="3">
        <v>16329</v>
      </c>
      <c r="H236" s="7" t="str">
        <f>HYPERLINK("http://www.ensembl.org/Mus_musculus/Gene/Summary?db=core;g=ENSMUSG00000026102","ENSMUSG00000026102")</f>
        <v>ENSMUSG00000026102</v>
      </c>
      <c r="I236" s="7" t="str">
        <f>HYPERLINK("http://www.informatics.jax.org/marker/MGI:104848","MGI:104848")</f>
        <v>MGI:104848</v>
      </c>
      <c r="J236" s="4" t="s">
        <v>12</v>
      </c>
    </row>
    <row r="237" spans="1:10" x14ac:dyDescent="0.25">
      <c r="A237" s="2">
        <v>3.78075515032649</v>
      </c>
      <c r="B237" s="3">
        <v>2.6426225296706001</v>
      </c>
      <c r="C237" s="5">
        <v>3.9397486090858E-9</v>
      </c>
      <c r="D237" s="6">
        <v>2.8801411311908901E-8</v>
      </c>
      <c r="E237" s="3" t="s">
        <v>8607</v>
      </c>
      <c r="F237" s="3" t="s">
        <v>8608</v>
      </c>
      <c r="G237" s="3">
        <v>12180</v>
      </c>
      <c r="H237" s="7" t="str">
        <f>HYPERLINK("http://www.ensembl.org/Mus_musculus/Gene/Summary?db=core;g=ENSMUSG00000055027","ENSMUSG00000055027")</f>
        <v>ENSMUSG00000055027</v>
      </c>
      <c r="I237" s="7" t="str">
        <f>HYPERLINK("http://www.informatics.jax.org/marker/MGI:104790","MGI:104790")</f>
        <v>MGI:104790</v>
      </c>
      <c r="J237" s="4" t="s">
        <v>12</v>
      </c>
    </row>
    <row r="238" spans="1:10" x14ac:dyDescent="0.25">
      <c r="A238" s="2">
        <v>17.595062128309699</v>
      </c>
      <c r="B238" s="3">
        <v>2.63102540750435</v>
      </c>
      <c r="C238" s="5">
        <v>1.0429493734287799E-9</v>
      </c>
      <c r="D238" s="6">
        <v>8.07123241220364E-9</v>
      </c>
      <c r="E238" s="3" t="s">
        <v>2884</v>
      </c>
      <c r="F238" s="3" t="s">
        <v>2885</v>
      </c>
      <c r="G238" s="3">
        <v>234311</v>
      </c>
      <c r="H238" s="7" t="str">
        <f>HYPERLINK("http://www.ensembl.org/Mus_musculus/Gene/Summary?db=core;g=ENSMUSG00000037921","ENSMUSG00000037921")</f>
        <v>ENSMUSG00000037921</v>
      </c>
      <c r="I238" s="7" t="str">
        <f>HYPERLINK("http://www.informatics.jax.org/marker/MGI:2384570","MGI:2384570")</f>
        <v>MGI:2384570</v>
      </c>
      <c r="J238" s="4" t="s">
        <v>12</v>
      </c>
    </row>
    <row r="239" spans="1:10" x14ac:dyDescent="0.25">
      <c r="A239" s="2">
        <v>18.124740328398001</v>
      </c>
      <c r="B239" s="3">
        <v>2.6301878331491002</v>
      </c>
      <c r="C239" s="5">
        <v>1.4947019501847299E-13</v>
      </c>
      <c r="D239" s="6">
        <v>1.60524119281772E-12</v>
      </c>
      <c r="E239" s="3" t="s">
        <v>4871</v>
      </c>
      <c r="F239" s="3" t="s">
        <v>4872</v>
      </c>
      <c r="G239" s="3">
        <v>18671</v>
      </c>
      <c r="H239" s="7" t="str">
        <f>HYPERLINK("http://www.ensembl.org/Mus_musculus/Gene/Summary?db=core;g=ENSMUSG00000040584","ENSMUSG00000040584")</f>
        <v>ENSMUSG00000040584</v>
      </c>
      <c r="I239" s="7" t="str">
        <f>HYPERLINK("http://www.informatics.jax.org/marker/MGI:97570","MGI:97570")</f>
        <v>MGI:97570</v>
      </c>
      <c r="J239" s="4" t="s">
        <v>12</v>
      </c>
    </row>
    <row r="240" spans="1:10" x14ac:dyDescent="0.25">
      <c r="A240" s="2">
        <v>44.121210407768302</v>
      </c>
      <c r="B240" s="3">
        <v>2.62850385633259</v>
      </c>
      <c r="C240" s="5">
        <v>1.76920833239113E-22</v>
      </c>
      <c r="D240" s="6">
        <v>3.14881072830355E-21</v>
      </c>
      <c r="E240" s="3" t="s">
        <v>2782</v>
      </c>
      <c r="F240" s="3" t="s">
        <v>2783</v>
      </c>
      <c r="G240" s="3" t="s">
        <v>83</v>
      </c>
      <c r="H240" s="7" t="str">
        <f>HYPERLINK("http://www.ensembl.org/Mus_musculus/Gene/Summary?db=core;g=ENSMUSG00000109036","ENSMUSG00000109036")</f>
        <v>ENSMUSG00000109036</v>
      </c>
      <c r="I240" s="7" t="str">
        <f>HYPERLINK("http://www.informatics.jax.org/marker/MGI:1917383","MGI:1917383")</f>
        <v>MGI:1917383</v>
      </c>
      <c r="J240" s="4" t="s">
        <v>1828</v>
      </c>
    </row>
    <row r="241" spans="1:10" x14ac:dyDescent="0.25">
      <c r="A241" s="2">
        <v>1426.01327109869</v>
      </c>
      <c r="B241" s="3">
        <v>2.62752547359857</v>
      </c>
      <c r="C241" s="5">
        <v>1.60055157551904E-29</v>
      </c>
      <c r="D241" s="6">
        <v>3.8738449487163899E-28</v>
      </c>
      <c r="E241" s="3" t="s">
        <v>1078</v>
      </c>
      <c r="F241" s="3" t="s">
        <v>1079</v>
      </c>
      <c r="G241" s="3">
        <v>19124</v>
      </c>
      <c r="H241" s="7" t="str">
        <f>HYPERLINK("http://www.ensembl.org/Mus_musculus/Gene/Summary?db=core;g=ENSMUSG00000027611","ENSMUSG00000027611")</f>
        <v>ENSMUSG00000027611</v>
      </c>
      <c r="I241" s="7" t="str">
        <f>HYPERLINK("http://www.informatics.jax.org/marker/MGI:104596","MGI:104596")</f>
        <v>MGI:104596</v>
      </c>
      <c r="J241" s="4" t="s">
        <v>12</v>
      </c>
    </row>
    <row r="242" spans="1:10" x14ac:dyDescent="0.25">
      <c r="A242" s="2">
        <v>522.28569603748497</v>
      </c>
      <c r="B242" s="3">
        <v>2.6268685409303201</v>
      </c>
      <c r="C242" s="5">
        <v>3.7155579721435198E-69</v>
      </c>
      <c r="D242" s="6">
        <v>2.7639201649924801E-67</v>
      </c>
      <c r="E242" s="3" t="s">
        <v>542</v>
      </c>
      <c r="F242" s="3" t="s">
        <v>543</v>
      </c>
      <c r="G242" s="3" t="s">
        <v>83</v>
      </c>
      <c r="H242" s="7" t="str">
        <f>HYPERLINK("http://www.ensembl.org/Mus_musculus/Gene/Summary?db=core;g=ENSMUSG00000096917","ENSMUSG00000096917")</f>
        <v>ENSMUSG00000096917</v>
      </c>
      <c r="I242" s="7" t="str">
        <f>HYPERLINK("http://www.informatics.jax.org/marker/MGI:1925603","MGI:1925603")</f>
        <v>MGI:1925603</v>
      </c>
      <c r="J242" s="4" t="s">
        <v>331</v>
      </c>
    </row>
    <row r="243" spans="1:10" x14ac:dyDescent="0.25">
      <c r="A243" s="2">
        <v>7.7989340730496304</v>
      </c>
      <c r="B243" s="3">
        <v>2.6161224442704798</v>
      </c>
      <c r="C243" s="5">
        <v>2.2967238200805901E-9</v>
      </c>
      <c r="D243" s="6">
        <v>1.7119751174220301E-8</v>
      </c>
      <c r="E243" s="3" t="s">
        <v>4461</v>
      </c>
      <c r="F243" s="3" t="s">
        <v>4462</v>
      </c>
      <c r="G243" s="3" t="s">
        <v>83</v>
      </c>
      <c r="H243" s="7" t="str">
        <f>HYPERLINK("http://www.ensembl.org/Mus_musculus/Gene/Summary?db=core;g=ENSMUSG00000102518","ENSMUSG00000102518")</f>
        <v>ENSMUSG00000102518</v>
      </c>
      <c r="I243" s="7" t="str">
        <f>HYPERLINK("http://www.informatics.jax.org/marker/MGI:5611567","MGI:5611567")</f>
        <v>MGI:5611567</v>
      </c>
      <c r="J243" s="4" t="s">
        <v>1828</v>
      </c>
    </row>
    <row r="244" spans="1:10" x14ac:dyDescent="0.25">
      <c r="A244" s="2">
        <v>1387.67712125602</v>
      </c>
      <c r="B244" s="3">
        <v>2.6129580065512901</v>
      </c>
      <c r="C244" s="5">
        <v>8.4690140714402707E-267</v>
      </c>
      <c r="D244" s="6">
        <v>1.2862315120999899E-263</v>
      </c>
      <c r="E244" s="3" t="s">
        <v>51</v>
      </c>
      <c r="F244" s="3" t="s">
        <v>52</v>
      </c>
      <c r="G244" s="3">
        <v>244871</v>
      </c>
      <c r="H244" s="7" t="str">
        <f>HYPERLINK("http://www.ensembl.org/Mus_musculus/Gene/Summary?db=core;g=ENSMUSG00000035164","ENSMUSG00000035164")</f>
        <v>ENSMUSG00000035164</v>
      </c>
      <c r="I244" s="7" t="str">
        <f>HYPERLINK("http://www.informatics.jax.org/marker/MGI:3026959","MGI:3026959")</f>
        <v>MGI:3026959</v>
      </c>
      <c r="J244" s="4" t="s">
        <v>12</v>
      </c>
    </row>
    <row r="245" spans="1:10" x14ac:dyDescent="0.25">
      <c r="A245" s="2">
        <v>7.2387514950568201</v>
      </c>
      <c r="B245" s="3">
        <v>2.6124047054988999</v>
      </c>
      <c r="C245" s="5">
        <v>1.3276707888167E-9</v>
      </c>
      <c r="D245" s="6">
        <v>1.0158186450959E-8</v>
      </c>
      <c r="E245" s="3" t="s">
        <v>8579</v>
      </c>
      <c r="F245" s="3" t="s">
        <v>8580</v>
      </c>
      <c r="G245" s="3">
        <v>71703</v>
      </c>
      <c r="H245" s="7" t="str">
        <f>HYPERLINK("http://www.ensembl.org/Mus_musculus/Gene/Summary?db=core;g=ENSMUSG00000049047","ENSMUSG00000049047")</f>
        <v>ENSMUSG00000049047</v>
      </c>
      <c r="I245" s="7" t="str">
        <f>HYPERLINK("http://www.informatics.jax.org/marker/MGI:1918953","MGI:1918953")</f>
        <v>MGI:1918953</v>
      </c>
      <c r="J245" s="4" t="s">
        <v>12</v>
      </c>
    </row>
    <row r="246" spans="1:10" x14ac:dyDescent="0.25">
      <c r="A246" s="2">
        <v>2.8870185018486598</v>
      </c>
      <c r="B246" s="3">
        <v>2.6123675547198602</v>
      </c>
      <c r="C246" s="5">
        <v>1.41792428887915E-8</v>
      </c>
      <c r="D246" s="6">
        <v>9.7185671924868504E-8</v>
      </c>
      <c r="E246" s="3" t="s">
        <v>10551</v>
      </c>
      <c r="F246" s="3" t="s">
        <v>10552</v>
      </c>
      <c r="G246" s="3">
        <v>327766</v>
      </c>
      <c r="H246" s="7" t="str">
        <f>HYPERLINK("http://www.ensembl.org/Mus_musculus/Gene/Summary?db=core;g=ENSMUSG00000060044","ENSMUSG00000060044")</f>
        <v>ENSMUSG00000060044</v>
      </c>
      <c r="I246" s="7" t="str">
        <f>HYPERLINK("http://www.informatics.jax.org/marker/MGI:2143537","MGI:2143537")</f>
        <v>MGI:2143537</v>
      </c>
      <c r="J246" s="4" t="s">
        <v>12</v>
      </c>
    </row>
    <row r="247" spans="1:10" x14ac:dyDescent="0.25">
      <c r="A247" s="2">
        <v>475.18031318097599</v>
      </c>
      <c r="B247" s="3">
        <v>2.60359395978301</v>
      </c>
      <c r="C247" s="5">
        <v>1.1863978871207799E-71</v>
      </c>
      <c r="D247" s="6">
        <v>9.6098228856783105E-70</v>
      </c>
      <c r="E247" s="3" t="s">
        <v>512</v>
      </c>
      <c r="F247" s="3" t="s">
        <v>513</v>
      </c>
      <c r="G247" s="3">
        <v>246730</v>
      </c>
      <c r="H247" s="7" t="str">
        <f>HYPERLINK("http://www.ensembl.org/Mus_musculus/Gene/Summary?db=core;g=ENSMUSG00000052776","ENSMUSG00000052776")</f>
        <v>ENSMUSG00000052776</v>
      </c>
      <c r="I247" s="7" t="str">
        <f>HYPERLINK("http://www.informatics.jax.org/marker/MGI:2180860","MGI:2180860")</f>
        <v>MGI:2180860</v>
      </c>
      <c r="J247" s="4" t="s">
        <v>12</v>
      </c>
    </row>
    <row r="248" spans="1:10" x14ac:dyDescent="0.25">
      <c r="A248" s="2">
        <v>3711.44728871096</v>
      </c>
      <c r="B248" s="3">
        <v>2.5984682781814401</v>
      </c>
      <c r="C248" s="5">
        <v>1.24254301265388E-31</v>
      </c>
      <c r="D248" s="6">
        <v>3.2489736593424703E-30</v>
      </c>
      <c r="E248" s="3" t="s">
        <v>2393</v>
      </c>
      <c r="F248" s="3" t="s">
        <v>2394</v>
      </c>
      <c r="G248" s="3">
        <v>12475</v>
      </c>
      <c r="H248" s="7" t="str">
        <f>HYPERLINK("http://www.ensembl.org/Mus_musculus/Gene/Summary?db=core;g=ENSMUSG00000051439","ENSMUSG00000051439")</f>
        <v>ENSMUSG00000051439</v>
      </c>
      <c r="I248" s="7" t="str">
        <f>HYPERLINK("http://www.informatics.jax.org/marker/MGI:88318","MGI:88318")</f>
        <v>MGI:88318</v>
      </c>
      <c r="J248" s="4" t="s">
        <v>12</v>
      </c>
    </row>
    <row r="249" spans="1:10" x14ac:dyDescent="0.25">
      <c r="A249" s="2">
        <v>26.495635116426801</v>
      </c>
      <c r="B249" s="3">
        <v>2.5919415508753798</v>
      </c>
      <c r="C249" s="5">
        <v>4.4743861615545297E-15</v>
      </c>
      <c r="D249" s="6">
        <v>5.2883066014481998E-14</v>
      </c>
      <c r="E249" s="3" t="s">
        <v>3804</v>
      </c>
      <c r="F249" s="3" t="s">
        <v>3805</v>
      </c>
      <c r="G249" s="3">
        <v>11864</v>
      </c>
      <c r="H249" s="7" t="str">
        <f>HYPERLINK("http://www.ensembl.org/Mus_musculus/Gene/Summary?db=core;g=ENSMUSG00000015709","ENSMUSG00000015709")</f>
        <v>ENSMUSG00000015709</v>
      </c>
      <c r="I249" s="7" t="str">
        <f>HYPERLINK("http://www.informatics.jax.org/marker/MGI:107188","MGI:107188")</f>
        <v>MGI:107188</v>
      </c>
      <c r="J249" s="4" t="s">
        <v>12</v>
      </c>
    </row>
    <row r="250" spans="1:10" x14ac:dyDescent="0.25">
      <c r="A250" s="2">
        <v>248.917668449736</v>
      </c>
      <c r="B250" s="3">
        <v>2.5838799993989698</v>
      </c>
      <c r="C250" s="5">
        <v>6.4729608993819302E-20</v>
      </c>
      <c r="D250" s="6">
        <v>1.0074270913000501E-18</v>
      </c>
      <c r="E250" s="3" t="s">
        <v>6838</v>
      </c>
      <c r="F250" s="3" t="s">
        <v>6839</v>
      </c>
      <c r="G250" s="3">
        <v>15439</v>
      </c>
      <c r="H250" s="7" t="str">
        <f>HYPERLINK("http://www.ensembl.org/Mus_musculus/Gene/Summary?db=core;g=ENSMUSG00000031722","ENSMUSG00000031722")</f>
        <v>ENSMUSG00000031722</v>
      </c>
      <c r="I250" s="7" t="str">
        <f>HYPERLINK("http://www.informatics.jax.org/marker/MGI:96211","MGI:96211")</f>
        <v>MGI:96211</v>
      </c>
      <c r="J250" s="4" t="s">
        <v>12</v>
      </c>
    </row>
    <row r="251" spans="1:10" x14ac:dyDescent="0.25">
      <c r="A251" s="2">
        <v>531.30606159121896</v>
      </c>
      <c r="B251" s="3">
        <v>2.5675141289935501</v>
      </c>
      <c r="C251" s="5">
        <v>4.1157824146731503E-135</v>
      </c>
      <c r="D251" s="6">
        <v>1.13651718950634E-132</v>
      </c>
      <c r="E251" s="3" t="s">
        <v>182</v>
      </c>
      <c r="F251" s="3" t="s">
        <v>183</v>
      </c>
      <c r="G251" s="3">
        <v>16391</v>
      </c>
      <c r="H251" s="7" t="str">
        <f>HYPERLINK("http://www.ensembl.org/Mus_musculus/Gene/Summary?db=core;g=ENSMUSG00000002325","ENSMUSG00000002325")</f>
        <v>ENSMUSG00000002325</v>
      </c>
      <c r="I251" s="7" t="str">
        <f>HYPERLINK("http://www.informatics.jax.org/marker/MGI:107587","MGI:107587")</f>
        <v>MGI:107587</v>
      </c>
      <c r="J251" s="4" t="s">
        <v>12</v>
      </c>
    </row>
    <row r="252" spans="1:10" x14ac:dyDescent="0.25">
      <c r="A252" s="2">
        <v>13.5383408398655</v>
      </c>
      <c r="B252" s="3">
        <v>2.5618933747461798</v>
      </c>
      <c r="C252" s="5">
        <v>1.8150710818276901E-10</v>
      </c>
      <c r="D252" s="6">
        <v>1.5181124582978199E-9</v>
      </c>
      <c r="E252" s="3" t="s">
        <v>3616</v>
      </c>
      <c r="F252" s="3" t="s">
        <v>3617</v>
      </c>
      <c r="G252" s="3">
        <v>74558</v>
      </c>
      <c r="H252" s="7" t="str">
        <f>HYPERLINK("http://www.ensembl.org/Mus_musculus/Gene/Summary?db=core;g=ENSMUSG00000045868","ENSMUSG00000045868")</f>
        <v>ENSMUSG00000045868</v>
      </c>
      <c r="I252" s="7" t="str">
        <f>HYPERLINK("http://www.informatics.jax.org/marker/MGI:1921808","MGI:1921808")</f>
        <v>MGI:1921808</v>
      </c>
      <c r="J252" s="4" t="s">
        <v>12</v>
      </c>
    </row>
    <row r="253" spans="1:10" x14ac:dyDescent="0.25">
      <c r="A253" s="2">
        <v>80.507658511793394</v>
      </c>
      <c r="B253" s="3">
        <v>2.5576124348986902</v>
      </c>
      <c r="C253" s="5">
        <v>2.0998663963848399E-20</v>
      </c>
      <c r="D253" s="6">
        <v>3.3599705947422098E-19</v>
      </c>
      <c r="E253" s="3" t="s">
        <v>6097</v>
      </c>
      <c r="F253" s="3" t="s">
        <v>6098</v>
      </c>
      <c r="G253" s="3">
        <v>64008</v>
      </c>
      <c r="H253" s="7" t="str">
        <f>HYPERLINK("http://www.ensembl.org/Mus_musculus/Gene/Summary?db=core;g=ENSMUSG00000032204","ENSMUSG00000032204")</f>
        <v>ENSMUSG00000032204</v>
      </c>
      <c r="I253" s="7" t="str">
        <f>HYPERLINK("http://www.informatics.jax.org/marker/MGI:1891066","MGI:1891066")</f>
        <v>MGI:1891066</v>
      </c>
      <c r="J253" s="4" t="s">
        <v>12</v>
      </c>
    </row>
    <row r="254" spans="1:10" x14ac:dyDescent="0.25">
      <c r="A254" s="2">
        <v>26.915737193695598</v>
      </c>
      <c r="B254" s="3">
        <v>2.5517401374813802</v>
      </c>
      <c r="C254" s="5">
        <v>5.9894877895061194E-14</v>
      </c>
      <c r="D254" s="6">
        <v>6.57977184832725E-13</v>
      </c>
      <c r="E254" s="3" t="s">
        <v>3386</v>
      </c>
      <c r="F254" s="3" t="s">
        <v>3387</v>
      </c>
      <c r="G254" s="3">
        <v>100042856</v>
      </c>
      <c r="H254" s="7" t="str">
        <f>HYPERLINK("http://www.ensembl.org/Mus_musculus/Gene/Summary?db=core;g=ENSMUSG00000078606","ENSMUSG00000078606")</f>
        <v>ENSMUSG00000078606</v>
      </c>
      <c r="I254" s="7" t="str">
        <f>HYPERLINK("http://www.informatics.jax.org/marker/MGI:3782245","MGI:3782245")</f>
        <v>MGI:3782245</v>
      </c>
      <c r="J254" s="4" t="s">
        <v>12</v>
      </c>
    </row>
    <row r="255" spans="1:10" x14ac:dyDescent="0.25">
      <c r="A255" s="2">
        <v>568.07666767135402</v>
      </c>
      <c r="B255" s="3">
        <v>2.5516071875967299</v>
      </c>
      <c r="C255" s="5">
        <v>5.9620492196084595E-73</v>
      </c>
      <c r="D255" s="6">
        <v>4.9843278452919401E-71</v>
      </c>
      <c r="E255" s="3" t="s">
        <v>440</v>
      </c>
      <c r="F255" s="3" t="s">
        <v>441</v>
      </c>
      <c r="G255" s="3">
        <v>14283</v>
      </c>
      <c r="H255" s="7" t="str">
        <f>HYPERLINK("http://www.ensembl.org/Mus_musculus/Gene/Summary?db=core;g=ENSMUSG00000024912","ENSMUSG00000024912")</f>
        <v>ENSMUSG00000024912</v>
      </c>
      <c r="I255" s="7" t="str">
        <f>HYPERLINK("http://www.informatics.jax.org/marker/MGI:107179","MGI:107179")</f>
        <v>MGI:107179</v>
      </c>
      <c r="J255" s="4" t="s">
        <v>12</v>
      </c>
    </row>
    <row r="256" spans="1:10" x14ac:dyDescent="0.25">
      <c r="A256" s="2">
        <v>1085.2283618082199</v>
      </c>
      <c r="B256" s="3">
        <v>2.5342116994590298</v>
      </c>
      <c r="C256" s="5">
        <v>4.4517719784963402E-140</v>
      </c>
      <c r="D256" s="6">
        <v>1.3522257384682601E-137</v>
      </c>
      <c r="E256" s="3" t="s">
        <v>128</v>
      </c>
      <c r="F256" s="3" t="s">
        <v>129</v>
      </c>
      <c r="G256" s="3">
        <v>76089</v>
      </c>
      <c r="H256" s="7" t="str">
        <f>HYPERLINK("http://www.ensembl.org/Mus_musculus/Gene/Summary?db=core;g=ENSMUSG00000062232","ENSMUSG00000062232")</f>
        <v>ENSMUSG00000062232</v>
      </c>
      <c r="I256" s="7" t="str">
        <f>HYPERLINK("http://www.informatics.jax.org/marker/MGI:2659071","MGI:2659071")</f>
        <v>MGI:2659071</v>
      </c>
      <c r="J256" s="4" t="s">
        <v>12</v>
      </c>
    </row>
    <row r="257" spans="1:10" x14ac:dyDescent="0.25">
      <c r="A257" s="2">
        <v>42.699890755339801</v>
      </c>
      <c r="B257" s="3">
        <v>2.53326705052676</v>
      </c>
      <c r="C257" s="5">
        <v>2.4272088475315499E-12</v>
      </c>
      <c r="D257" s="6">
        <v>2.3731695947565701E-11</v>
      </c>
      <c r="E257" s="3" t="s">
        <v>4097</v>
      </c>
      <c r="F257" s="3" t="s">
        <v>4098</v>
      </c>
      <c r="G257" s="3" t="s">
        <v>83</v>
      </c>
      <c r="H257" s="7" t="str">
        <f>HYPERLINK("http://www.ensembl.org/Mus_musculus/Gene/Summary?db=core;g=ENSMUSG00000090222","ENSMUSG00000090222")</f>
        <v>ENSMUSG00000090222</v>
      </c>
      <c r="I257" s="7" t="str">
        <f>HYPERLINK("http://www.informatics.jax.org/marker/MGI:3840117","MGI:3840117")</f>
        <v>MGI:3840117</v>
      </c>
      <c r="J257" s="4" t="s">
        <v>2683</v>
      </c>
    </row>
    <row r="258" spans="1:10" x14ac:dyDescent="0.25">
      <c r="A258" s="2">
        <v>35.6133037217691</v>
      </c>
      <c r="B258" s="3">
        <v>2.5327289744541299</v>
      </c>
      <c r="C258" s="5">
        <v>1.25552872907146E-12</v>
      </c>
      <c r="D258" s="6">
        <v>1.2600226369673699E-11</v>
      </c>
      <c r="E258" s="3" t="s">
        <v>3644</v>
      </c>
      <c r="F258" s="3" t="s">
        <v>3645</v>
      </c>
      <c r="G258" s="3" t="s">
        <v>83</v>
      </c>
      <c r="H258" s="7" t="str">
        <f>HYPERLINK("http://www.ensembl.org/Mus_musculus/Gene/Summary?db=core;g=ENSMUSG00000108732","ENSMUSG00000108732")</f>
        <v>ENSMUSG00000108732</v>
      </c>
      <c r="I258" s="7" t="str">
        <f>HYPERLINK("http://www.informatics.jax.org/marker/MGI:1917385","MGI:1917385")</f>
        <v>MGI:1917385</v>
      </c>
      <c r="J258" s="4" t="s">
        <v>1828</v>
      </c>
    </row>
    <row r="259" spans="1:10" x14ac:dyDescent="0.25">
      <c r="A259" s="2">
        <v>6.2096127528749898</v>
      </c>
      <c r="B259" s="3">
        <v>2.5318850586445101</v>
      </c>
      <c r="C259" s="5">
        <v>8.5822256249366097E-9</v>
      </c>
      <c r="D259" s="6">
        <v>6.0204411860842903E-8</v>
      </c>
      <c r="E259" s="3" t="s">
        <v>4845</v>
      </c>
      <c r="F259" s="3" t="s">
        <v>4846</v>
      </c>
      <c r="G259" s="3">
        <v>258712</v>
      </c>
      <c r="H259" s="7" t="str">
        <f>HYPERLINK("http://www.ensembl.org/Mus_musculus/Gene/Summary?db=core;g=ENSMUSG00000045381","ENSMUSG00000045381")</f>
        <v>ENSMUSG00000045381</v>
      </c>
      <c r="I259" s="7" t="str">
        <f>HYPERLINK("http://www.informatics.jax.org/marker/MGI:3030267","MGI:3030267")</f>
        <v>MGI:3030267</v>
      </c>
      <c r="J259" s="4" t="s">
        <v>12</v>
      </c>
    </row>
    <row r="260" spans="1:10" x14ac:dyDescent="0.25">
      <c r="A260" s="2">
        <v>5.1086276752357103</v>
      </c>
      <c r="B260" s="3">
        <v>2.5248748418039102</v>
      </c>
      <c r="C260" s="5">
        <v>2.00321623148872E-8</v>
      </c>
      <c r="D260" s="6">
        <v>1.35367503963225E-7</v>
      </c>
      <c r="E260" s="3" t="s">
        <v>5899</v>
      </c>
      <c r="F260" s="3" t="s">
        <v>5900</v>
      </c>
      <c r="G260" s="3">
        <v>23844</v>
      </c>
      <c r="H260" s="7" t="str">
        <f>HYPERLINK("http://www.ensembl.org/Mus_musculus/Gene/Summary?db=core;g=ENSMUSG00000028255","ENSMUSG00000028255")</f>
        <v>ENSMUSG00000028255</v>
      </c>
      <c r="I260" s="7" t="str">
        <f>HYPERLINK("http://www.informatics.jax.org/marker/MGI:1346342","MGI:1346342")</f>
        <v>MGI:1346342</v>
      </c>
      <c r="J260" s="4" t="s">
        <v>12</v>
      </c>
    </row>
    <row r="261" spans="1:10" x14ac:dyDescent="0.25">
      <c r="A261" s="2">
        <v>23.237172880176999</v>
      </c>
      <c r="B261" s="3">
        <v>2.5196481720291399</v>
      </c>
      <c r="C261" s="5">
        <v>4.9532018675779398E-13</v>
      </c>
      <c r="D261" s="6">
        <v>5.1378545268416596E-12</v>
      </c>
      <c r="E261" s="3" t="s">
        <v>2946</v>
      </c>
      <c r="F261" s="3" t="s">
        <v>2947</v>
      </c>
      <c r="G261" s="3" t="s">
        <v>83</v>
      </c>
      <c r="H261" s="7" t="str">
        <f>HYPERLINK("http://www.ensembl.org/Mus_musculus/Gene/Summary?db=core;g=ENSMUSG00000078349","ENSMUSG00000078349")</f>
        <v>ENSMUSG00000078349</v>
      </c>
      <c r="I261" s="7" t="str">
        <f>HYPERLINK("http://www.informatics.jax.org/marker/MGI:2140540","MGI:2140540")</f>
        <v>MGI:2140540</v>
      </c>
      <c r="J261" s="4" t="s">
        <v>331</v>
      </c>
    </row>
    <row r="262" spans="1:10" x14ac:dyDescent="0.25">
      <c r="A262" s="2">
        <v>609.08513895518297</v>
      </c>
      <c r="B262" s="3">
        <v>2.5168827089466501</v>
      </c>
      <c r="C262" s="5">
        <v>3.1251092084410598E-70</v>
      </c>
      <c r="D262" s="6">
        <v>2.3731298051599301E-68</v>
      </c>
      <c r="E262" s="3" t="s">
        <v>306</v>
      </c>
      <c r="F262" s="3" t="s">
        <v>307</v>
      </c>
      <c r="G262" s="3">
        <v>22040</v>
      </c>
      <c r="H262" s="7" t="str">
        <f>HYPERLINK("http://www.ensembl.org/Mus_musculus/Gene/Summary?db=core;g=ENSMUSG00000049734","ENSMUSG00000049734")</f>
        <v>ENSMUSG00000049734</v>
      </c>
      <c r="I262" s="7" t="str">
        <f>HYPERLINK("http://www.informatics.jax.org/marker/MGI:1328317","MGI:1328317")</f>
        <v>MGI:1328317</v>
      </c>
      <c r="J262" s="4" t="s">
        <v>12</v>
      </c>
    </row>
    <row r="263" spans="1:10" x14ac:dyDescent="0.25">
      <c r="A263" s="2">
        <v>409.86513551950299</v>
      </c>
      <c r="B263" s="3">
        <v>2.5078224038899299</v>
      </c>
      <c r="C263" s="5">
        <v>6.7454261989499494E-48</v>
      </c>
      <c r="D263" s="6">
        <v>3.1044291029258301E-46</v>
      </c>
      <c r="E263" s="3" t="s">
        <v>714</v>
      </c>
      <c r="F263" s="3" t="s">
        <v>715</v>
      </c>
      <c r="G263" s="3">
        <v>74153</v>
      </c>
      <c r="H263" s="7" t="str">
        <f>HYPERLINK("http://www.ensembl.org/Mus_musculus/Gene/Summary?db=core;g=ENSMUSG00000032596","ENSMUSG00000032596")</f>
        <v>ENSMUSG00000032596</v>
      </c>
      <c r="I263" s="7" t="str">
        <f>HYPERLINK("http://www.informatics.jax.org/marker/MGI:1349462","MGI:1349462")</f>
        <v>MGI:1349462</v>
      </c>
      <c r="J263" s="4" t="s">
        <v>12</v>
      </c>
    </row>
    <row r="264" spans="1:10" x14ac:dyDescent="0.25">
      <c r="A264" s="2">
        <v>3.11245059198429</v>
      </c>
      <c r="B264" s="3">
        <v>2.4979059913685102</v>
      </c>
      <c r="C264" s="5">
        <v>5.7433332935689797E-8</v>
      </c>
      <c r="D264" s="6">
        <v>3.68175340398504E-7</v>
      </c>
      <c r="E264" s="3" t="s">
        <v>10316</v>
      </c>
      <c r="F264" s="3" t="s">
        <v>10317</v>
      </c>
      <c r="G264" s="3" t="s">
        <v>83</v>
      </c>
      <c r="H264" s="7" t="str">
        <f>HYPERLINK("http://www.ensembl.org/Mus_musculus/Gene/Summary?db=core;g=ENSMUSG00000109341","ENSMUSG00000109341")</f>
        <v>ENSMUSG00000109341</v>
      </c>
      <c r="I264" s="7" t="str">
        <f>HYPERLINK("http://www.informatics.jax.org/marker/MGI:5590032","MGI:5590032")</f>
        <v>MGI:5590032</v>
      </c>
      <c r="J264" s="4" t="s">
        <v>932</v>
      </c>
    </row>
    <row r="265" spans="1:10" x14ac:dyDescent="0.25">
      <c r="A265" s="2">
        <v>2501.7363589249699</v>
      </c>
      <c r="B265" s="3">
        <v>2.4970987288003199</v>
      </c>
      <c r="C265" s="5">
        <v>5.5564414751096199E-131</v>
      </c>
      <c r="D265" s="6">
        <v>1.4064742483871199E-128</v>
      </c>
      <c r="E265" s="3" t="s">
        <v>238</v>
      </c>
      <c r="F265" s="3" t="s">
        <v>239</v>
      </c>
      <c r="G265" s="3">
        <v>57783</v>
      </c>
      <c r="H265" s="7" t="str">
        <f>HYPERLINK("http://www.ensembl.org/Mus_musculus/Gene/Summary?db=core;g=ENSMUSG00000020400","ENSMUSG00000020400")</f>
        <v>ENSMUSG00000020400</v>
      </c>
      <c r="I265" s="7" t="str">
        <f>HYPERLINK("http://www.informatics.jax.org/marker/MGI:1926194","MGI:1926194")</f>
        <v>MGI:1926194</v>
      </c>
      <c r="J265" s="4" t="s">
        <v>12</v>
      </c>
    </row>
    <row r="266" spans="1:10" x14ac:dyDescent="0.25">
      <c r="A266" s="2">
        <v>1288.29385346309</v>
      </c>
      <c r="B266" s="3">
        <v>2.49186577232908</v>
      </c>
      <c r="C266" s="5">
        <v>2.1496307429896898E-59</v>
      </c>
      <c r="D266" s="6">
        <v>1.2929709666992401E-57</v>
      </c>
      <c r="E266" s="3" t="s">
        <v>548</v>
      </c>
      <c r="F266" s="3" t="s">
        <v>549</v>
      </c>
      <c r="G266" s="3" t="s">
        <v>83</v>
      </c>
      <c r="H266" s="7" t="str">
        <f>HYPERLINK("http://www.ensembl.org/Mus_musculus/Gene/Summary?db=core;g=ENSMUSG00000101628","ENSMUSG00000101628")</f>
        <v>ENSMUSG00000101628</v>
      </c>
      <c r="I266" s="7" t="str">
        <f>HYPERLINK("http://www.informatics.jax.org/marker/MGI:5578883","MGI:5578883")</f>
        <v>MGI:5578883</v>
      </c>
      <c r="J266" s="4" t="s">
        <v>331</v>
      </c>
    </row>
    <row r="267" spans="1:10" x14ac:dyDescent="0.25">
      <c r="A267" s="2">
        <v>26.562284814337399</v>
      </c>
      <c r="B267" s="3">
        <v>2.48641093569747</v>
      </c>
      <c r="C267" s="5">
        <v>2.0311211593246E-12</v>
      </c>
      <c r="D267" s="6">
        <v>1.99984781894602E-11</v>
      </c>
      <c r="E267" s="3" t="s">
        <v>4305</v>
      </c>
      <c r="F267" s="3" t="s">
        <v>4306</v>
      </c>
      <c r="G267" s="3">
        <v>109332</v>
      </c>
      <c r="H267" s="7" t="str">
        <f>HYPERLINK("http://www.ensembl.org/Mus_musculus/Gene/Summary?db=core;g=ENSMUSG00000035498","ENSMUSG00000035498")</f>
        <v>ENSMUSG00000035498</v>
      </c>
      <c r="I267" s="7" t="str">
        <f>HYPERLINK("http://www.informatics.jax.org/marker/MGI:2442010","MGI:2442010")</f>
        <v>MGI:2442010</v>
      </c>
      <c r="J267" s="4" t="s">
        <v>12</v>
      </c>
    </row>
    <row r="268" spans="1:10" x14ac:dyDescent="0.25">
      <c r="A268" s="2">
        <v>2035.5535204758701</v>
      </c>
      <c r="B268" s="3">
        <v>2.4862365894045899</v>
      </c>
      <c r="C268" s="5">
        <v>3.6471771183847099E-44</v>
      </c>
      <c r="D268" s="6">
        <v>1.4771067329458099E-42</v>
      </c>
      <c r="E268" s="3" t="s">
        <v>876</v>
      </c>
      <c r="F268" s="3" t="s">
        <v>877</v>
      </c>
      <c r="G268" s="3">
        <v>20846</v>
      </c>
      <c r="H268" s="7" t="str">
        <f>HYPERLINK("http://www.ensembl.org/Mus_musculus/Gene/Summary?db=core;g=ENSMUSG00000026104","ENSMUSG00000026104")</f>
        <v>ENSMUSG00000026104</v>
      </c>
      <c r="I268" s="7" t="str">
        <f>HYPERLINK("http://www.informatics.jax.org/marker/MGI:103063","MGI:103063")</f>
        <v>MGI:103063</v>
      </c>
      <c r="J268" s="4" t="s">
        <v>12</v>
      </c>
    </row>
    <row r="269" spans="1:10" x14ac:dyDescent="0.25">
      <c r="A269" s="2">
        <v>442.21643941462401</v>
      </c>
      <c r="B269" s="3">
        <v>2.4810730175273998</v>
      </c>
      <c r="C269" s="5">
        <v>1.22132169915154E-173</v>
      </c>
      <c r="D269" s="6">
        <v>5.1764158062876304E-171</v>
      </c>
      <c r="E269" s="3" t="s">
        <v>77</v>
      </c>
      <c r="F269" s="3" t="s">
        <v>78</v>
      </c>
      <c r="G269" s="3">
        <v>19012</v>
      </c>
      <c r="H269" s="7" t="str">
        <f>HYPERLINK("http://www.ensembl.org/Mus_musculus/Gene/Summary?db=core;g=ENSMUSG00000021759","ENSMUSG00000021759")</f>
        <v>ENSMUSG00000021759</v>
      </c>
      <c r="I269" s="7" t="str">
        <f>HYPERLINK("http://www.informatics.jax.org/marker/MGI:108412","MGI:108412")</f>
        <v>MGI:108412</v>
      </c>
      <c r="J269" s="4" t="s">
        <v>12</v>
      </c>
    </row>
    <row r="270" spans="1:10" x14ac:dyDescent="0.25">
      <c r="A270" s="2">
        <v>588.85787992374696</v>
      </c>
      <c r="B270" s="3">
        <v>2.4764758854792399</v>
      </c>
      <c r="C270" s="5">
        <v>1.89484600377172E-19</v>
      </c>
      <c r="D270" s="6">
        <v>2.87300901986186E-18</v>
      </c>
      <c r="E270" s="3" t="s">
        <v>3624</v>
      </c>
      <c r="F270" s="3" t="s">
        <v>3625</v>
      </c>
      <c r="G270" s="3">
        <v>54153</v>
      </c>
      <c r="H270" s="7" t="str">
        <f>HYPERLINK("http://www.ensembl.org/Mus_musculus/Gene/Summary?db=core;g=ENSMUSG00000004952","ENSMUSG00000004952")</f>
        <v>ENSMUSG00000004952</v>
      </c>
      <c r="I270" s="7" t="str">
        <f>HYPERLINK("http://www.informatics.jax.org/marker/MGI:1858600","MGI:1858600")</f>
        <v>MGI:1858600</v>
      </c>
      <c r="J270" s="4" t="s">
        <v>12</v>
      </c>
    </row>
    <row r="271" spans="1:10" x14ac:dyDescent="0.25">
      <c r="A271" s="2">
        <v>2327.7121561567801</v>
      </c>
      <c r="B271" s="3">
        <v>2.4722692440696901</v>
      </c>
      <c r="C271" s="5">
        <v>1.18932468054274E-94</v>
      </c>
      <c r="D271" s="6">
        <v>1.5937825222714299E-92</v>
      </c>
      <c r="E271" s="3" t="s">
        <v>392</v>
      </c>
      <c r="F271" s="3" t="s">
        <v>393</v>
      </c>
      <c r="G271" s="3">
        <v>18035</v>
      </c>
      <c r="H271" s="7" t="str">
        <f>HYPERLINK("http://www.ensembl.org/Mus_musculus/Gene/Summary?db=core;g=ENSMUSG00000021025","ENSMUSG00000021025")</f>
        <v>ENSMUSG00000021025</v>
      </c>
      <c r="I271" s="7" t="str">
        <f>HYPERLINK("http://www.informatics.jax.org/marker/MGI:104741","MGI:104741")</f>
        <v>MGI:104741</v>
      </c>
      <c r="J271" s="4" t="s">
        <v>12</v>
      </c>
    </row>
    <row r="272" spans="1:10" x14ac:dyDescent="0.25">
      <c r="A272" s="2">
        <v>110.124656990961</v>
      </c>
      <c r="B272" s="3">
        <v>2.46868166058821</v>
      </c>
      <c r="C272" s="5">
        <v>2.0409598752277702E-31</v>
      </c>
      <c r="D272" s="6">
        <v>5.2911086381260497E-30</v>
      </c>
      <c r="E272" s="3" t="s">
        <v>1738</v>
      </c>
      <c r="F272" s="3" t="s">
        <v>1739</v>
      </c>
      <c r="G272" s="3">
        <v>74735</v>
      </c>
      <c r="H272" s="7" t="str">
        <f>HYPERLINK("http://www.ensembl.org/Mus_musculus/Gene/Summary?db=core;g=ENSMUSG00000039853","ENSMUSG00000039853")</f>
        <v>ENSMUSG00000039853</v>
      </c>
      <c r="I272" s="7" t="str">
        <f>HYPERLINK("http://www.informatics.jax.org/marker/MGI:1921985","MGI:1921985")</f>
        <v>MGI:1921985</v>
      </c>
      <c r="J272" s="4" t="s">
        <v>12</v>
      </c>
    </row>
    <row r="273" spans="1:10" x14ac:dyDescent="0.25">
      <c r="A273" s="2">
        <v>25.296010559627401</v>
      </c>
      <c r="B273" s="3">
        <v>2.4685592222919999</v>
      </c>
      <c r="C273" s="5">
        <v>3.1693787707459099E-10</v>
      </c>
      <c r="D273" s="6">
        <v>2.59371028724042E-9</v>
      </c>
      <c r="E273" s="3" t="s">
        <v>5133</v>
      </c>
      <c r="F273" s="3" t="s">
        <v>5134</v>
      </c>
      <c r="G273" s="3">
        <v>108078</v>
      </c>
      <c r="H273" s="7" t="str">
        <f>HYPERLINK("http://www.ensembl.org/Mus_musculus/Gene/Summary?db=core;g=ENSMUSG00000030162","ENSMUSG00000030162")</f>
        <v>ENSMUSG00000030162</v>
      </c>
      <c r="I273" s="7" t="str">
        <f>HYPERLINK("http://www.informatics.jax.org/marker/MGI:1261434","MGI:1261434")</f>
        <v>MGI:1261434</v>
      </c>
      <c r="J273" s="4" t="s">
        <v>12</v>
      </c>
    </row>
    <row r="274" spans="1:10" x14ac:dyDescent="0.25">
      <c r="A274" s="2">
        <v>1821.2935976604599</v>
      </c>
      <c r="B274" s="3">
        <v>2.46380878391893</v>
      </c>
      <c r="C274" s="5">
        <v>3.1863698249816301E-136</v>
      </c>
      <c r="D274" s="6">
        <v>9.0736859469203394E-134</v>
      </c>
      <c r="E274" s="3" t="s">
        <v>92</v>
      </c>
      <c r="F274" s="3" t="s">
        <v>93</v>
      </c>
      <c r="G274" s="3">
        <v>12633</v>
      </c>
      <c r="H274" s="7" t="str">
        <f>HYPERLINK("http://www.ensembl.org/Mus_musculus/Gene/Summary?db=core;g=ENSMUSG00000026031","ENSMUSG00000026031")</f>
        <v>ENSMUSG00000026031</v>
      </c>
      <c r="I274" s="7" t="str">
        <f>HYPERLINK("http://www.informatics.jax.org/marker/MGI:1336166","MGI:1336166")</f>
        <v>MGI:1336166</v>
      </c>
      <c r="J274" s="4" t="s">
        <v>12</v>
      </c>
    </row>
    <row r="275" spans="1:10" x14ac:dyDescent="0.25">
      <c r="A275" s="2">
        <v>217.610352737814</v>
      </c>
      <c r="B275" s="3">
        <v>2.4607096912817101</v>
      </c>
      <c r="C275" s="5">
        <v>8.3332649454913901E-13</v>
      </c>
      <c r="D275" s="6">
        <v>8.4940578093725099E-12</v>
      </c>
      <c r="E275" s="3" t="s">
        <v>5859</v>
      </c>
      <c r="F275" s="3" t="s">
        <v>5860</v>
      </c>
      <c r="G275" s="3">
        <v>232413</v>
      </c>
      <c r="H275" s="7" t="str">
        <f>HYPERLINK("http://www.ensembl.org/Mus_musculus/Gene/Summary?db=core;g=ENSMUSG00000053063","ENSMUSG00000053063")</f>
        <v>ENSMUSG00000053063</v>
      </c>
      <c r="I275" s="7" t="str">
        <f>HYPERLINK("http://www.informatics.jax.org/marker/MGI:3040968","MGI:3040968")</f>
        <v>MGI:3040968</v>
      </c>
      <c r="J275" s="4" t="s">
        <v>12</v>
      </c>
    </row>
    <row r="276" spans="1:10" x14ac:dyDescent="0.25">
      <c r="A276" s="2">
        <v>32.893721432754504</v>
      </c>
      <c r="B276" s="3">
        <v>2.4543222069324799</v>
      </c>
      <c r="C276" s="5">
        <v>3.3941947425443498E-14</v>
      </c>
      <c r="D276" s="6">
        <v>3.7765078866221498E-13</v>
      </c>
      <c r="E276" s="3" t="s">
        <v>2397</v>
      </c>
      <c r="F276" s="3" t="s">
        <v>2398</v>
      </c>
      <c r="G276" s="3">
        <v>20715</v>
      </c>
      <c r="H276" s="7" t="str">
        <f>HYPERLINK("http://www.ensembl.org/Mus_musculus/Gene/Summary?db=core;g=ENSMUSG00000041481","ENSMUSG00000041481")</f>
        <v>ENSMUSG00000041481</v>
      </c>
      <c r="I276" s="7" t="str">
        <f>HYPERLINK("http://www.informatics.jax.org/marker/MGI:105046","MGI:105046")</f>
        <v>MGI:105046</v>
      </c>
      <c r="J276" s="4" t="s">
        <v>12</v>
      </c>
    </row>
    <row r="277" spans="1:10" x14ac:dyDescent="0.25">
      <c r="A277" s="2">
        <v>193.65317427980199</v>
      </c>
      <c r="B277" s="3">
        <v>2.45376319318208</v>
      </c>
      <c r="C277" s="5">
        <v>1.8950210306825999E-47</v>
      </c>
      <c r="D277" s="6">
        <v>8.52759463807168E-46</v>
      </c>
      <c r="E277" s="3" t="s">
        <v>1953</v>
      </c>
      <c r="F277" s="3" t="s">
        <v>1954</v>
      </c>
      <c r="G277" s="3">
        <v>12227</v>
      </c>
      <c r="H277" s="7" t="str">
        <f>HYPERLINK("http://www.ensembl.org/Mus_musculus/Gene/Summary?db=core;g=ENSMUSG00000020423","ENSMUSG00000020423")</f>
        <v>ENSMUSG00000020423</v>
      </c>
      <c r="I277" s="7" t="str">
        <f>HYPERLINK("http://www.informatics.jax.org/marker/MGI:108384","MGI:108384")</f>
        <v>MGI:108384</v>
      </c>
      <c r="J277" s="4" t="s">
        <v>12</v>
      </c>
    </row>
    <row r="278" spans="1:10" x14ac:dyDescent="0.25">
      <c r="A278" s="2">
        <v>5.7610638638961396</v>
      </c>
      <c r="B278" s="3">
        <v>2.4515041208717601</v>
      </c>
      <c r="C278" s="5">
        <v>4.1135961604906299E-8</v>
      </c>
      <c r="D278" s="6">
        <v>2.6679818514214098E-7</v>
      </c>
      <c r="E278" s="3" t="s">
        <v>7266</v>
      </c>
      <c r="F278" s="3" t="s">
        <v>7267</v>
      </c>
      <c r="G278" s="3">
        <v>68172</v>
      </c>
      <c r="H278" s="7" t="str">
        <f>HYPERLINK("http://www.ensembl.org/Mus_musculus/Gene/Summary?db=core;g=ENSMUSG00000039209","ENSMUSG00000039209")</f>
        <v>ENSMUSG00000039209</v>
      </c>
      <c r="I278" s="7" t="str">
        <f>HYPERLINK("http://www.informatics.jax.org/marker/MGI:1915422","MGI:1915422")</f>
        <v>MGI:1915422</v>
      </c>
      <c r="J278" s="4" t="s">
        <v>12</v>
      </c>
    </row>
    <row r="279" spans="1:10" x14ac:dyDescent="0.25">
      <c r="A279" s="2">
        <v>11166.582128286</v>
      </c>
      <c r="B279" s="3">
        <v>2.4466610579372898</v>
      </c>
      <c r="C279" s="5">
        <v>1.3763787622581601E-109</v>
      </c>
      <c r="D279" s="6">
        <v>2.4119714367456702E-107</v>
      </c>
      <c r="E279" s="3" t="s">
        <v>504</v>
      </c>
      <c r="F279" s="3" t="s">
        <v>505</v>
      </c>
      <c r="G279" s="3">
        <v>12874</v>
      </c>
      <c r="H279" s="7" t="str">
        <f>HYPERLINK("http://www.ensembl.org/Mus_musculus/Gene/Summary?db=core;g=ENSMUSG00000020841","ENSMUSG00000020841")</f>
        <v>ENSMUSG00000020841</v>
      </c>
      <c r="I279" s="7" t="str">
        <f>HYPERLINK("http://www.informatics.jax.org/marker/MGI:107265","MGI:107265")</f>
        <v>MGI:107265</v>
      </c>
      <c r="J279" s="4" t="s">
        <v>12</v>
      </c>
    </row>
    <row r="280" spans="1:10" x14ac:dyDescent="0.25">
      <c r="A280" s="2">
        <v>12.568751380839901</v>
      </c>
      <c r="B280" s="3">
        <v>2.4447316656146101</v>
      </c>
      <c r="C280" s="5">
        <v>2.4552678692236999E-8</v>
      </c>
      <c r="D280" s="6">
        <v>1.6408968432930701E-7</v>
      </c>
      <c r="E280" s="3" t="s">
        <v>2748</v>
      </c>
      <c r="F280" s="3" t="s">
        <v>2749</v>
      </c>
      <c r="G280" s="3">
        <v>100039796</v>
      </c>
      <c r="H280" s="7" t="str">
        <f>HYPERLINK("http://www.ensembl.org/Mus_musculus/Gene/Summary?db=core;g=ENSMUSG00000078921","ENSMUSG00000078921")</f>
        <v>ENSMUSG00000078921</v>
      </c>
      <c r="I280" s="7" t="str">
        <f>HYPERLINK("http://www.informatics.jax.org/marker/MGI:3710083","MGI:3710083")</f>
        <v>MGI:3710083</v>
      </c>
      <c r="J280" s="4" t="s">
        <v>12</v>
      </c>
    </row>
    <row r="281" spans="1:10" x14ac:dyDescent="0.25">
      <c r="A281" s="2">
        <v>50.806354820340097</v>
      </c>
      <c r="B281" s="3">
        <v>2.4382069128340298</v>
      </c>
      <c r="C281" s="5">
        <v>4.2047081861718798E-24</v>
      </c>
      <c r="D281" s="6">
        <v>8.0157747586801801E-23</v>
      </c>
      <c r="E281" s="3" t="s">
        <v>3238</v>
      </c>
      <c r="F281" s="3" t="s">
        <v>3239</v>
      </c>
      <c r="G281" s="3">
        <v>66102</v>
      </c>
      <c r="H281" s="7" t="str">
        <f>HYPERLINK("http://www.ensembl.org/Mus_musculus/Gene/Summary?db=core;g=ENSMUSG00000018920","ENSMUSG00000018920")</f>
        <v>ENSMUSG00000018920</v>
      </c>
      <c r="I281" s="7" t="str">
        <f>HYPERLINK("http://www.informatics.jax.org/marker/MGI:1932682","MGI:1932682")</f>
        <v>MGI:1932682</v>
      </c>
      <c r="J281" s="4" t="s">
        <v>12</v>
      </c>
    </row>
    <row r="282" spans="1:10" x14ac:dyDescent="0.25">
      <c r="A282" s="2">
        <v>125.26594486834</v>
      </c>
      <c r="B282" s="3">
        <v>2.4344353526522</v>
      </c>
      <c r="C282" s="5">
        <v>1.19803269684591E-33</v>
      </c>
      <c r="D282" s="6">
        <v>3.3746747913472602E-32</v>
      </c>
      <c r="E282" s="3" t="s">
        <v>630</v>
      </c>
      <c r="F282" s="3" t="s">
        <v>631</v>
      </c>
      <c r="G282" s="3" t="s">
        <v>83</v>
      </c>
      <c r="H282" s="7" t="str">
        <f>HYPERLINK("http://www.ensembl.org/Mus_musculus/Gene/Summary?db=core;g=ENSMUSG00000108112","ENSMUSG00000108112")</f>
        <v>ENSMUSG00000108112</v>
      </c>
      <c r="I282" s="7" t="str">
        <f>HYPERLINK("http://www.informatics.jax.org/marker/MGI:5753769","MGI:5753769")</f>
        <v>MGI:5753769</v>
      </c>
      <c r="J282" s="4" t="s">
        <v>331</v>
      </c>
    </row>
    <row r="283" spans="1:10" x14ac:dyDescent="0.25">
      <c r="A283" s="2">
        <v>244.92165629155301</v>
      </c>
      <c r="B283" s="3">
        <v>2.4235816532482102</v>
      </c>
      <c r="C283" s="5">
        <v>4.24247200664272E-65</v>
      </c>
      <c r="D283" s="6">
        <v>2.8850392657113299E-63</v>
      </c>
      <c r="E283" s="3" t="s">
        <v>914</v>
      </c>
      <c r="F283" s="3" t="s">
        <v>915</v>
      </c>
      <c r="G283" s="3">
        <v>211949</v>
      </c>
      <c r="H283" s="7" t="str">
        <f>HYPERLINK("http://www.ensembl.org/Mus_musculus/Gene/Summary?db=core;g=ENSMUSG00000046997","ENSMUSG00000046997")</f>
        <v>ENSMUSG00000046997</v>
      </c>
      <c r="I283" s="7" t="str">
        <f>HYPERLINK("http://www.informatics.jax.org/marker/MGI:2183445","MGI:2183445")</f>
        <v>MGI:2183445</v>
      </c>
      <c r="J283" s="4" t="s">
        <v>12</v>
      </c>
    </row>
    <row r="284" spans="1:10" x14ac:dyDescent="0.25">
      <c r="A284" s="2">
        <v>789.73300944254697</v>
      </c>
      <c r="B284" s="3">
        <v>2.4182749601859501</v>
      </c>
      <c r="C284" s="5">
        <v>2.8608150562618698E-23</v>
      </c>
      <c r="D284" s="6">
        <v>5.2825080446172803E-22</v>
      </c>
      <c r="E284" s="3" t="s">
        <v>1548</v>
      </c>
      <c r="F284" s="3" t="s">
        <v>1549</v>
      </c>
      <c r="G284" s="3">
        <v>60533</v>
      </c>
      <c r="H284" s="7" t="str">
        <f>HYPERLINK("http://www.ensembl.org/Mus_musculus/Gene/Summary?db=core;g=ENSMUSG00000016496","ENSMUSG00000016496")</f>
        <v>ENSMUSG00000016496</v>
      </c>
      <c r="I284" s="7" t="str">
        <f>HYPERLINK("http://www.informatics.jax.org/marker/MGI:1926446","MGI:1926446")</f>
        <v>MGI:1926446</v>
      </c>
      <c r="J284" s="4" t="s">
        <v>12</v>
      </c>
    </row>
    <row r="285" spans="1:10" x14ac:dyDescent="0.25">
      <c r="A285" s="2">
        <v>4.0561616232597899</v>
      </c>
      <c r="B285" s="3">
        <v>2.41563855659285</v>
      </c>
      <c r="C285" s="5">
        <v>1.5089422475279499E-7</v>
      </c>
      <c r="D285" s="6">
        <v>9.2907001558097704E-7</v>
      </c>
      <c r="E285" s="3" t="s">
        <v>11074</v>
      </c>
      <c r="F285" s="3" t="s">
        <v>11075</v>
      </c>
      <c r="G285" s="3">
        <v>16948</v>
      </c>
      <c r="H285" s="7" t="str">
        <f>HYPERLINK("http://www.ensembl.org/Mus_musculus/Gene/Summary?db=core;g=ENSMUSG00000024529","ENSMUSG00000024529")</f>
        <v>ENSMUSG00000024529</v>
      </c>
      <c r="I285" s="7" t="str">
        <f>HYPERLINK("http://www.informatics.jax.org/marker/MGI:96817","MGI:96817")</f>
        <v>MGI:96817</v>
      </c>
      <c r="J285" s="4" t="s">
        <v>12</v>
      </c>
    </row>
    <row r="286" spans="1:10" x14ac:dyDescent="0.25">
      <c r="A286" s="2">
        <v>30.428802817030601</v>
      </c>
      <c r="B286" s="3">
        <v>2.4118238062178201</v>
      </c>
      <c r="C286" s="5">
        <v>6.4897736657085901E-19</v>
      </c>
      <c r="D286" s="6">
        <v>9.6394559949094699E-18</v>
      </c>
      <c r="E286" s="3" t="s">
        <v>3002</v>
      </c>
      <c r="F286" s="3" t="s">
        <v>3003</v>
      </c>
      <c r="G286" s="3">
        <v>327957</v>
      </c>
      <c r="H286" s="7" t="str">
        <f>HYPERLINK("http://www.ensembl.org/Mus_musculus/Gene/Summary?db=core;g=ENSMUSG00000057135","ENSMUSG00000057135")</f>
        <v>ENSMUSG00000057135</v>
      </c>
      <c r="I286" s="7" t="str">
        <f>HYPERLINK("http://www.informatics.jax.org/marker/MGI:3610314","MGI:3610314")</f>
        <v>MGI:3610314</v>
      </c>
      <c r="J286" s="4" t="s">
        <v>12</v>
      </c>
    </row>
    <row r="287" spans="1:10" x14ac:dyDescent="0.25">
      <c r="A287" s="2">
        <v>341.34767489984102</v>
      </c>
      <c r="B287" s="3">
        <v>2.40497324087025</v>
      </c>
      <c r="C287" s="5">
        <v>2.6175350997192901E-56</v>
      </c>
      <c r="D287" s="6">
        <v>1.4455932482540601E-54</v>
      </c>
      <c r="E287" s="3" t="s">
        <v>1702</v>
      </c>
      <c r="F287" s="3" t="s">
        <v>1703</v>
      </c>
      <c r="G287" s="3">
        <v>214854</v>
      </c>
      <c r="H287" s="7" t="str">
        <f>HYPERLINK("http://www.ensembl.org/Mus_musculus/Gene/Summary?db=core;g=ENSMUSG00000047180","ENSMUSG00000047180")</f>
        <v>ENSMUSG00000047180</v>
      </c>
      <c r="I287" s="7" t="str">
        <f>HYPERLINK("http://www.informatics.jax.org/marker/MGI:2429944","MGI:2429944")</f>
        <v>MGI:2429944</v>
      </c>
      <c r="J287" s="4" t="s">
        <v>12</v>
      </c>
    </row>
    <row r="288" spans="1:10" x14ac:dyDescent="0.25">
      <c r="A288" s="2">
        <v>12.7058772703299</v>
      </c>
      <c r="B288" s="3">
        <v>2.4045243869752602</v>
      </c>
      <c r="C288" s="5">
        <v>7.5790904434139705E-11</v>
      </c>
      <c r="D288" s="6">
        <v>6.54949849839828E-10</v>
      </c>
      <c r="E288" s="3" t="s">
        <v>4249</v>
      </c>
      <c r="F288" s="3" t="s">
        <v>4250</v>
      </c>
      <c r="G288" s="3" t="s">
        <v>83</v>
      </c>
      <c r="H288" s="7" t="str">
        <f>HYPERLINK("http://www.ensembl.org/Mus_musculus/Gene/Summary?db=core;g=ENSMUSG00000097572","ENSMUSG00000097572")</f>
        <v>ENSMUSG00000097572</v>
      </c>
      <c r="I288" s="7" t="str">
        <f>HYPERLINK("http://www.informatics.jax.org/marker/MGI:5477291","MGI:5477291")</f>
        <v>MGI:5477291</v>
      </c>
      <c r="J288" s="4" t="s">
        <v>939</v>
      </c>
    </row>
    <row r="289" spans="1:10" x14ac:dyDescent="0.25">
      <c r="A289" s="2">
        <v>40.411741917077997</v>
      </c>
      <c r="B289" s="3">
        <v>2.4018246877388001</v>
      </c>
      <c r="C289" s="5">
        <v>1.2758699048294E-17</v>
      </c>
      <c r="D289" s="6">
        <v>1.7562484150691701E-16</v>
      </c>
      <c r="E289" s="3" t="s">
        <v>3054</v>
      </c>
      <c r="F289" s="3" t="s">
        <v>3055</v>
      </c>
      <c r="G289" s="3">
        <v>109225</v>
      </c>
      <c r="H289" s="7" t="str">
        <f>HYPERLINK("http://www.ensembl.org/Mus_musculus/Gene/Summary?db=core;g=ENSMUSG00000024672","ENSMUSG00000024672")</f>
        <v>ENSMUSG00000024672</v>
      </c>
      <c r="I289" s="7" t="str">
        <f>HYPERLINK("http://www.informatics.jax.org/marker/MGI:1918846","MGI:1918846")</f>
        <v>MGI:1918846</v>
      </c>
      <c r="J289" s="4" t="s">
        <v>12</v>
      </c>
    </row>
    <row r="290" spans="1:10" x14ac:dyDescent="0.25">
      <c r="A290" s="2">
        <v>34.716677061379798</v>
      </c>
      <c r="B290" s="3">
        <v>2.3995548254503301</v>
      </c>
      <c r="C290" s="5">
        <v>9.9141792519764195E-23</v>
      </c>
      <c r="D290" s="6">
        <v>1.77316895846193E-21</v>
      </c>
      <c r="E290" s="3" t="s">
        <v>1762</v>
      </c>
      <c r="F290" s="3" t="s">
        <v>1763</v>
      </c>
      <c r="G290" s="3" t="s">
        <v>83</v>
      </c>
      <c r="H290" s="7" t="str">
        <f>HYPERLINK("http://www.ensembl.org/Mus_musculus/Gene/Summary?db=core;g=ENSMUSG00000073529","ENSMUSG00000073529")</f>
        <v>ENSMUSG00000073529</v>
      </c>
      <c r="I290" s="7" t="str">
        <f>HYPERLINK("http://www.informatics.jax.org/marker/MGI:3588261","MGI:3588261")</f>
        <v>MGI:3588261</v>
      </c>
      <c r="J290" s="4" t="s">
        <v>331</v>
      </c>
    </row>
    <row r="291" spans="1:10" x14ac:dyDescent="0.25">
      <c r="A291" s="2">
        <v>11.566562819202099</v>
      </c>
      <c r="B291" s="3">
        <v>2.3978853631008201</v>
      </c>
      <c r="C291" s="5">
        <v>2.3118096905834599E-10</v>
      </c>
      <c r="D291" s="6">
        <v>1.9186125505866802E-9</v>
      </c>
      <c r="E291" s="3" t="s">
        <v>3920</v>
      </c>
      <c r="F291" s="3" t="s">
        <v>3921</v>
      </c>
      <c r="G291" s="3">
        <v>13614</v>
      </c>
      <c r="H291" s="7" t="str">
        <f>HYPERLINK("http://www.ensembl.org/Mus_musculus/Gene/Summary?db=core;g=ENSMUSG00000021367","ENSMUSG00000021367")</f>
        <v>ENSMUSG00000021367</v>
      </c>
      <c r="I291" s="7" t="str">
        <f>HYPERLINK("http://www.informatics.jax.org/marker/MGI:95283","MGI:95283")</f>
        <v>MGI:95283</v>
      </c>
      <c r="J291" s="4" t="s">
        <v>12</v>
      </c>
    </row>
    <row r="292" spans="1:10" x14ac:dyDescent="0.25">
      <c r="A292" s="2">
        <v>5084.0993546383097</v>
      </c>
      <c r="B292" s="3">
        <v>2.3956076026056201</v>
      </c>
      <c r="C292" s="5">
        <v>4.1582508341129103E-207</v>
      </c>
      <c r="D292" s="6">
        <v>2.52613738172359E-204</v>
      </c>
      <c r="E292" s="3" t="s">
        <v>88</v>
      </c>
      <c r="F292" s="3" t="s">
        <v>89</v>
      </c>
      <c r="G292" s="3">
        <v>213391</v>
      </c>
      <c r="H292" s="7" t="str">
        <f>HYPERLINK("http://www.ensembl.org/Mus_musculus/Gene/Summary?db=core;g=ENSMUSG00000042129","ENSMUSG00000042129")</f>
        <v>ENSMUSG00000042129</v>
      </c>
      <c r="I292" s="7" t="str">
        <f>HYPERLINK("http://www.informatics.jax.org/marker/MGI:2386853","MGI:2386853")</f>
        <v>MGI:2386853</v>
      </c>
      <c r="J292" s="4" t="s">
        <v>12</v>
      </c>
    </row>
    <row r="293" spans="1:10" x14ac:dyDescent="0.25">
      <c r="A293" s="2">
        <v>70.361480340429395</v>
      </c>
      <c r="B293" s="3">
        <v>2.39128132735692</v>
      </c>
      <c r="C293" s="5">
        <v>1.73203259357298E-12</v>
      </c>
      <c r="D293" s="6">
        <v>1.72117197480194E-11</v>
      </c>
      <c r="E293" s="3" t="s">
        <v>3918</v>
      </c>
      <c r="F293" s="3" t="s">
        <v>3919</v>
      </c>
      <c r="G293" s="3">
        <v>380863</v>
      </c>
      <c r="H293" s="7" t="str">
        <f>HYPERLINK("http://www.ensembl.org/Mus_musculus/Gene/Summary?db=core;g=ENSMUSG00000052485","ENSMUSG00000052485")</f>
        <v>ENSMUSG00000052485</v>
      </c>
      <c r="I293" s="7" t="str">
        <f>HYPERLINK("http://www.informatics.jax.org/marker/MGI:2685751","MGI:2685751")</f>
        <v>MGI:2685751</v>
      </c>
      <c r="J293" s="4" t="s">
        <v>12</v>
      </c>
    </row>
    <row r="294" spans="1:10" x14ac:dyDescent="0.25">
      <c r="A294" s="2">
        <v>1460.4911859433701</v>
      </c>
      <c r="B294" s="3">
        <v>2.3903706889057399</v>
      </c>
      <c r="C294" s="5">
        <v>3.7715910561293599E-82</v>
      </c>
      <c r="D294" s="6">
        <v>3.7976379556882702E-80</v>
      </c>
      <c r="E294" s="3" t="s">
        <v>588</v>
      </c>
      <c r="F294" s="3" t="s">
        <v>589</v>
      </c>
      <c r="G294" s="3">
        <v>56792</v>
      </c>
      <c r="H294" s="7" t="str">
        <f>HYPERLINK("http://www.ensembl.org/Mus_musculus/Gene/Summary?db=core;g=ENSMUSG00000029254","ENSMUSG00000029254")</f>
        <v>ENSMUSG00000029254</v>
      </c>
      <c r="I294" s="7" t="str">
        <f>HYPERLINK("http://www.informatics.jax.org/marker/MGI:1926193","MGI:1926193")</f>
        <v>MGI:1926193</v>
      </c>
      <c r="J294" s="4" t="s">
        <v>12</v>
      </c>
    </row>
    <row r="295" spans="1:10" x14ac:dyDescent="0.25">
      <c r="A295" s="2">
        <v>1002.73673783177</v>
      </c>
      <c r="B295" s="3">
        <v>2.38193099581009</v>
      </c>
      <c r="C295" s="5">
        <v>1.09800754365289E-88</v>
      </c>
      <c r="D295" s="6">
        <v>1.30792075052771E-86</v>
      </c>
      <c r="E295" s="3" t="s">
        <v>258</v>
      </c>
      <c r="F295" s="3" t="s">
        <v>259</v>
      </c>
      <c r="G295" s="3">
        <v>671535</v>
      </c>
      <c r="H295" s="7" t="str">
        <f>HYPERLINK("http://www.ensembl.org/Mus_musculus/Gene/Summary?db=core;g=ENSMUSG00000063268","ENSMUSG00000063268")</f>
        <v>ENSMUSG00000063268</v>
      </c>
      <c r="I295" s="7" t="str">
        <f>HYPERLINK("http://www.informatics.jax.org/marker/MGI:3712326","MGI:3712326")</f>
        <v>MGI:3712326</v>
      </c>
      <c r="J295" s="4" t="s">
        <v>12</v>
      </c>
    </row>
    <row r="296" spans="1:10" x14ac:dyDescent="0.25">
      <c r="A296" s="2">
        <v>6.6800436114598396</v>
      </c>
      <c r="B296" s="3">
        <v>2.3803217499247702</v>
      </c>
      <c r="C296" s="5">
        <v>4.9094661323149401E-8</v>
      </c>
      <c r="D296" s="6">
        <v>3.1616614933370902E-7</v>
      </c>
      <c r="E296" s="3" t="s">
        <v>6517</v>
      </c>
      <c r="F296" s="3" t="s">
        <v>6518</v>
      </c>
      <c r="G296" s="3" t="s">
        <v>83</v>
      </c>
      <c r="H296" s="7" t="str">
        <f>HYPERLINK("http://www.ensembl.org/Mus_musculus/Gene/Summary?db=core;g=ENSMUSG00000086184","ENSMUSG00000086184")</f>
        <v>ENSMUSG00000086184</v>
      </c>
      <c r="I296" s="7" t="str">
        <f>HYPERLINK("http://www.informatics.jax.org/marker/MGI:3649980","MGI:3649980")</f>
        <v>MGI:3649980</v>
      </c>
      <c r="J296" s="4" t="s">
        <v>932</v>
      </c>
    </row>
    <row r="297" spans="1:10" x14ac:dyDescent="0.25">
      <c r="A297" s="2">
        <v>280.96746406353498</v>
      </c>
      <c r="B297" s="3">
        <v>2.3685322463965601</v>
      </c>
      <c r="C297" s="5">
        <v>5.1922111859705198E-40</v>
      </c>
      <c r="D297" s="6">
        <v>1.8093317182469001E-38</v>
      </c>
      <c r="E297" s="3" t="s">
        <v>928</v>
      </c>
      <c r="F297" s="3" t="s">
        <v>929</v>
      </c>
      <c r="G297" s="3">
        <v>23960</v>
      </c>
      <c r="H297" s="7" t="str">
        <f>HYPERLINK("http://www.ensembl.org/Mus_musculus/Gene/Summary?db=core;g=ENSMUSG00000066861","ENSMUSG00000066861")</f>
        <v>ENSMUSG00000066861</v>
      </c>
      <c r="I297" s="7" t="str">
        <f>HYPERLINK("http://www.informatics.jax.org/marker/MGI:97429","MGI:97429")</f>
        <v>MGI:97429</v>
      </c>
      <c r="J297" s="4" t="s">
        <v>12</v>
      </c>
    </row>
    <row r="298" spans="1:10" x14ac:dyDescent="0.25">
      <c r="A298" s="2">
        <v>27.1200809817372</v>
      </c>
      <c r="B298" s="3">
        <v>2.3672404555953501</v>
      </c>
      <c r="C298" s="5">
        <v>1.7506107782454199E-11</v>
      </c>
      <c r="D298" s="6">
        <v>1.5952440716761401E-10</v>
      </c>
      <c r="E298" s="3" t="s">
        <v>3076</v>
      </c>
      <c r="F298" s="3" t="s">
        <v>3077</v>
      </c>
      <c r="G298" s="3">
        <v>26362</v>
      </c>
      <c r="H298" s="7" t="str">
        <f>HYPERLINK("http://www.ensembl.org/Mus_musculus/Gene/Summary?db=core;g=ENSMUSG00000002602","ENSMUSG00000002602")</f>
        <v>ENSMUSG00000002602</v>
      </c>
      <c r="I298" s="7" t="str">
        <f>HYPERLINK("http://www.informatics.jax.org/marker/MGI:1347244","MGI:1347244")</f>
        <v>MGI:1347244</v>
      </c>
      <c r="J298" s="4" t="s">
        <v>12</v>
      </c>
    </row>
    <row r="299" spans="1:10" x14ac:dyDescent="0.25">
      <c r="A299" s="2">
        <v>3.2720471651458798</v>
      </c>
      <c r="B299" s="3">
        <v>2.3613786202032299</v>
      </c>
      <c r="C299" s="5">
        <v>1.93173020429493E-7</v>
      </c>
      <c r="D299" s="6">
        <v>1.17509288962868E-6</v>
      </c>
      <c r="E299" s="3" t="s">
        <v>12933</v>
      </c>
      <c r="F299" s="3" t="s">
        <v>12934</v>
      </c>
      <c r="G299" s="3" t="s">
        <v>83</v>
      </c>
      <c r="H299" s="7" t="str">
        <f>HYPERLINK("http://www.ensembl.org/Mus_musculus/Gene/Summary?db=core;g=ENSMUSG00000097028","ENSMUSG00000097028")</f>
        <v>ENSMUSG00000097028</v>
      </c>
      <c r="I299" s="7" t="str">
        <f>HYPERLINK("http://www.informatics.jax.org/marker/MGI:2443180","MGI:2443180")</f>
        <v>MGI:2443180</v>
      </c>
      <c r="J299" s="4" t="s">
        <v>331</v>
      </c>
    </row>
    <row r="300" spans="1:10" x14ac:dyDescent="0.25">
      <c r="A300" s="2">
        <v>403.16910580085403</v>
      </c>
      <c r="B300" s="3">
        <v>2.3547090432581501</v>
      </c>
      <c r="C300" s="5">
        <v>1.94595816447947E-70</v>
      </c>
      <c r="D300" s="6">
        <v>1.50915266160163E-68</v>
      </c>
      <c r="E300" s="3" t="s">
        <v>323</v>
      </c>
      <c r="F300" s="3" t="s">
        <v>324</v>
      </c>
      <c r="G300" s="3">
        <v>215418</v>
      </c>
      <c r="H300" s="7" t="str">
        <f>HYPERLINK("http://www.ensembl.org/Mus_musculus/Gene/Summary?db=core;g=ENSMUSG00000032515","ENSMUSG00000032515")</f>
        <v>ENSMUSG00000032515</v>
      </c>
      <c r="I300" s="7" t="str">
        <f>HYPERLINK("http://www.informatics.jax.org/marker/MGI:2387989","MGI:2387989")</f>
        <v>MGI:2387989</v>
      </c>
      <c r="J300" s="4" t="s">
        <v>12</v>
      </c>
    </row>
    <row r="301" spans="1:10" x14ac:dyDescent="0.25">
      <c r="A301" s="2">
        <v>65.757071210977898</v>
      </c>
      <c r="B301" s="3">
        <v>2.3536069752938999</v>
      </c>
      <c r="C301" s="5">
        <v>7.6864587605651404E-31</v>
      </c>
      <c r="D301" s="6">
        <v>1.9647364784193501E-29</v>
      </c>
      <c r="E301" s="3" t="s">
        <v>1017</v>
      </c>
      <c r="F301" s="3" t="s">
        <v>1018</v>
      </c>
      <c r="G301" s="3" t="s">
        <v>83</v>
      </c>
      <c r="H301" s="7" t="str">
        <f>HYPERLINK("http://www.ensembl.org/Mus_musculus/Gene/Summary?db=core;g=ENSMUSG00000087477","ENSMUSG00000087477")</f>
        <v>ENSMUSG00000087477</v>
      </c>
      <c r="I301" s="7" t="str">
        <f>HYPERLINK("http://www.informatics.jax.org/marker/MGI:3650351","MGI:3650351")</f>
        <v>MGI:3650351</v>
      </c>
      <c r="J301" s="4" t="s">
        <v>932</v>
      </c>
    </row>
    <row r="302" spans="1:10" x14ac:dyDescent="0.25">
      <c r="A302" s="2">
        <v>311.027525744569</v>
      </c>
      <c r="B302" s="3">
        <v>2.3524211614766499</v>
      </c>
      <c r="C302" s="5">
        <v>4.1769301647765402E-79</v>
      </c>
      <c r="D302" s="6">
        <v>3.8839057271965501E-77</v>
      </c>
      <c r="E302" s="3" t="s">
        <v>154</v>
      </c>
      <c r="F302" s="3" t="s">
        <v>155</v>
      </c>
      <c r="G302" s="3">
        <v>20723</v>
      </c>
      <c r="H302" s="7" t="str">
        <f>HYPERLINK("http://www.ensembl.org/Mus_musculus/Gene/Summary?db=core;g=ENSMUSG00000045827","ENSMUSG00000045827")</f>
        <v>ENSMUSG00000045827</v>
      </c>
      <c r="I302" s="7" t="str">
        <f>HYPERLINK("http://www.informatics.jax.org/marker/MGI:106603","MGI:106603")</f>
        <v>MGI:106603</v>
      </c>
      <c r="J302" s="4" t="s">
        <v>12</v>
      </c>
    </row>
    <row r="303" spans="1:10" x14ac:dyDescent="0.25">
      <c r="A303" s="2">
        <v>44.967595973152598</v>
      </c>
      <c r="B303" s="3">
        <v>2.3478393370433999</v>
      </c>
      <c r="C303" s="5">
        <v>1.82299283940089E-9</v>
      </c>
      <c r="D303" s="6">
        <v>1.3763067314863799E-8</v>
      </c>
      <c r="E303" s="3" t="s">
        <v>4171</v>
      </c>
      <c r="F303" s="3" t="s">
        <v>4172</v>
      </c>
      <c r="G303" s="3">
        <v>240913</v>
      </c>
      <c r="H303" s="7" t="str">
        <f>HYPERLINK("http://www.ensembl.org/Mus_musculus/Gene/Summary?db=core;g=ENSMUSG00000006403","ENSMUSG00000006403")</f>
        <v>ENSMUSG00000006403</v>
      </c>
      <c r="I303" s="7" t="str">
        <f>HYPERLINK("http://www.informatics.jax.org/marker/MGI:1339949","MGI:1339949")</f>
        <v>MGI:1339949</v>
      </c>
      <c r="J303" s="4" t="s">
        <v>12</v>
      </c>
    </row>
    <row r="304" spans="1:10" x14ac:dyDescent="0.25">
      <c r="A304" s="2">
        <v>1124.4801193036899</v>
      </c>
      <c r="B304" s="3">
        <v>2.3468878884725002</v>
      </c>
      <c r="C304" s="5">
        <v>3.4514890025023698E-86</v>
      </c>
      <c r="D304" s="6">
        <v>3.9314616919128498E-84</v>
      </c>
      <c r="E304" s="3" t="s">
        <v>260</v>
      </c>
      <c r="F304" s="3" t="s">
        <v>261</v>
      </c>
      <c r="G304" s="3">
        <v>209200</v>
      </c>
      <c r="H304" s="7" t="str">
        <f>HYPERLINK("http://www.ensembl.org/Mus_musculus/Gene/Summary?db=core;g=ENSMUSG00000049502","ENSMUSG00000049502")</f>
        <v>ENSMUSG00000049502</v>
      </c>
      <c r="I304" s="7" t="str">
        <f>HYPERLINK("http://www.informatics.jax.org/marker/MGI:2656973","MGI:2656973")</f>
        <v>MGI:2656973</v>
      </c>
      <c r="J304" s="4" t="s">
        <v>12</v>
      </c>
    </row>
    <row r="305" spans="1:10" x14ac:dyDescent="0.25">
      <c r="A305" s="2">
        <v>95.1107021125421</v>
      </c>
      <c r="B305" s="3">
        <v>2.3414034715651599</v>
      </c>
      <c r="C305" s="5">
        <v>2.2503585918188701E-34</v>
      </c>
      <c r="D305" s="6">
        <v>6.4688935861039301E-33</v>
      </c>
      <c r="E305" s="3" t="s">
        <v>1917</v>
      </c>
      <c r="F305" s="3" t="s">
        <v>1918</v>
      </c>
      <c r="G305" s="3">
        <v>69581</v>
      </c>
      <c r="H305" s="7" t="str">
        <f>HYPERLINK("http://www.ensembl.org/Mus_musculus/Gene/Summary?db=core;g=ENSMUSG00000039960","ENSMUSG00000039960")</f>
        <v>ENSMUSG00000039960</v>
      </c>
      <c r="I305" s="7" t="str">
        <f>HYPERLINK("http://www.informatics.jax.org/marker/MGI:1916831","MGI:1916831")</f>
        <v>MGI:1916831</v>
      </c>
      <c r="J305" s="4" t="s">
        <v>12</v>
      </c>
    </row>
    <row r="306" spans="1:10" x14ac:dyDescent="0.25">
      <c r="A306" s="2">
        <v>4.2356751800787302</v>
      </c>
      <c r="B306" s="3">
        <v>2.3389742536179701</v>
      </c>
      <c r="C306" s="5">
        <v>3.54584134816255E-7</v>
      </c>
      <c r="D306" s="6">
        <v>2.0893294073799702E-6</v>
      </c>
      <c r="E306" s="3" t="s">
        <v>6709</v>
      </c>
      <c r="F306" s="3" t="s">
        <v>6710</v>
      </c>
      <c r="G306" s="3">
        <v>12796</v>
      </c>
      <c r="H306" s="7" t="str">
        <f>HYPERLINK("http://www.ensembl.org/Mus_musculus/Gene/Summary?db=core;g=ENSMUSG00000038357","ENSMUSG00000038357")</f>
        <v>ENSMUSG00000038357</v>
      </c>
      <c r="I306" s="7" t="str">
        <f>HYPERLINK("http://www.informatics.jax.org/marker/MGI:108443","MGI:108443")</f>
        <v>MGI:108443</v>
      </c>
      <c r="J306" s="4" t="s">
        <v>12</v>
      </c>
    </row>
    <row r="307" spans="1:10" x14ac:dyDescent="0.25">
      <c r="A307" s="2">
        <v>8.1527552299495394</v>
      </c>
      <c r="B307" s="3">
        <v>2.3340065896073798</v>
      </c>
      <c r="C307" s="5">
        <v>2.13582333178271E-8</v>
      </c>
      <c r="D307" s="6">
        <v>1.4368911119136199E-7</v>
      </c>
      <c r="E307" s="3" t="s">
        <v>5469</v>
      </c>
      <c r="F307" s="3" t="s">
        <v>5470</v>
      </c>
      <c r="G307" s="3">
        <v>12258</v>
      </c>
      <c r="H307" s="7" t="str">
        <f>HYPERLINK("http://www.ensembl.org/Mus_musculus/Gene/Summary?db=core;g=ENSMUSG00000023224","ENSMUSG00000023224")</f>
        <v>ENSMUSG00000023224</v>
      </c>
      <c r="I307" s="7" t="str">
        <f>HYPERLINK("http://www.informatics.jax.org/marker/MGI:894696","MGI:894696")</f>
        <v>MGI:894696</v>
      </c>
      <c r="J307" s="4" t="s">
        <v>12</v>
      </c>
    </row>
    <row r="308" spans="1:10" x14ac:dyDescent="0.25">
      <c r="A308" s="2">
        <v>6.0538891760812499</v>
      </c>
      <c r="B308" s="3">
        <v>2.3335535634745002</v>
      </c>
      <c r="C308" s="5">
        <v>1.80880173762736E-8</v>
      </c>
      <c r="D308" s="6">
        <v>1.22593572585566E-7</v>
      </c>
      <c r="E308" s="3" t="s">
        <v>11197</v>
      </c>
      <c r="F308" s="3" t="s">
        <v>11198</v>
      </c>
      <c r="G308" s="3" t="s">
        <v>83</v>
      </c>
      <c r="H308" s="7" t="str">
        <f>HYPERLINK("http://www.ensembl.org/Mus_musculus/Gene/Summary?db=core;g=ENSMUSG00000107546","ENSMUSG00000107546")</f>
        <v>ENSMUSG00000107546</v>
      </c>
      <c r="I308" s="7" t="str">
        <f>HYPERLINK("http://www.informatics.jax.org/marker/MGI:5295667","MGI:5295667")</f>
        <v>MGI:5295667</v>
      </c>
      <c r="J308" s="4" t="s">
        <v>932</v>
      </c>
    </row>
    <row r="309" spans="1:10" x14ac:dyDescent="0.25">
      <c r="A309" s="2">
        <v>371.358566303646</v>
      </c>
      <c r="B309" s="3">
        <v>2.3299464278527999</v>
      </c>
      <c r="C309" s="5">
        <v>7.3725577771355199E-16</v>
      </c>
      <c r="D309" s="6">
        <v>9.1654069228031894E-15</v>
      </c>
      <c r="E309" s="3" t="s">
        <v>2866</v>
      </c>
      <c r="F309" s="3" t="s">
        <v>2867</v>
      </c>
      <c r="G309" s="3">
        <v>11603</v>
      </c>
      <c r="H309" s="7" t="str">
        <f>HYPERLINK("http://www.ensembl.org/Mus_musculus/Gene/Summary?db=core;g=ENSMUSG00000041936","ENSMUSG00000041936")</f>
        <v>ENSMUSG00000041936</v>
      </c>
      <c r="I309" s="7" t="str">
        <f>HYPERLINK("http://www.informatics.jax.org/marker/MGI:87961","MGI:87961")</f>
        <v>MGI:87961</v>
      </c>
      <c r="J309" s="4" t="s">
        <v>12</v>
      </c>
    </row>
    <row r="310" spans="1:10" x14ac:dyDescent="0.25">
      <c r="A310" s="2">
        <v>402.75584975422498</v>
      </c>
      <c r="B310" s="3">
        <v>2.30773228383732</v>
      </c>
      <c r="C310" s="5">
        <v>9.9956348031891898E-113</v>
      </c>
      <c r="D310" s="6">
        <v>1.8976087946679499E-110</v>
      </c>
      <c r="E310" s="3" t="s">
        <v>342</v>
      </c>
      <c r="F310" s="3" t="s">
        <v>343</v>
      </c>
      <c r="G310" s="3">
        <v>209212</v>
      </c>
      <c r="H310" s="7" t="str">
        <f>HYPERLINK("http://www.ensembl.org/Mus_musculus/Gene/Summary?db=core;g=ENSMUSG00000041153","ENSMUSG00000041153")</f>
        <v>ENSMUSG00000041153</v>
      </c>
      <c r="I310" s="7" t="str">
        <f>HYPERLINK("http://www.informatics.jax.org/marker/MGI:2384798","MGI:2384798")</f>
        <v>MGI:2384798</v>
      </c>
      <c r="J310" s="4" t="s">
        <v>12</v>
      </c>
    </row>
    <row r="311" spans="1:10" x14ac:dyDescent="0.25">
      <c r="A311" s="2">
        <v>12.4510189092884</v>
      </c>
      <c r="B311" s="3">
        <v>2.3040005507571699</v>
      </c>
      <c r="C311" s="5">
        <v>1.5940399363666501E-10</v>
      </c>
      <c r="D311" s="6">
        <v>1.3431057716265501E-9</v>
      </c>
      <c r="E311" s="3" t="s">
        <v>5643</v>
      </c>
      <c r="F311" s="3" t="s">
        <v>5644</v>
      </c>
      <c r="G311" s="3">
        <v>16177</v>
      </c>
      <c r="H311" s="7" t="str">
        <f>HYPERLINK("http://www.ensembl.org/Mus_musculus/Gene/Summary?db=core;g=ENSMUSG00000026072","ENSMUSG00000026072")</f>
        <v>ENSMUSG00000026072</v>
      </c>
      <c r="I311" s="7" t="str">
        <f>HYPERLINK("http://www.informatics.jax.org/marker/MGI:96545","MGI:96545")</f>
        <v>MGI:96545</v>
      </c>
      <c r="J311" s="4" t="s">
        <v>12</v>
      </c>
    </row>
    <row r="312" spans="1:10" x14ac:dyDescent="0.25">
      <c r="A312" s="2">
        <v>4.5431886856220398</v>
      </c>
      <c r="B312" s="3">
        <v>2.2959069473524698</v>
      </c>
      <c r="C312" s="5">
        <v>6.74742956567364E-7</v>
      </c>
      <c r="D312" s="6">
        <v>3.8201896189624697E-6</v>
      </c>
      <c r="E312" s="3" t="s">
        <v>6752</v>
      </c>
      <c r="F312" s="3" t="s">
        <v>6753</v>
      </c>
      <c r="G312" s="3">
        <v>14118</v>
      </c>
      <c r="H312" s="7" t="str">
        <f>HYPERLINK("http://www.ensembl.org/Mus_musculus/Gene/Summary?db=core;g=ENSMUSG00000027204","ENSMUSG00000027204")</f>
        <v>ENSMUSG00000027204</v>
      </c>
      <c r="I312" s="7" t="str">
        <f>HYPERLINK("http://www.informatics.jax.org/marker/MGI:95489","MGI:95489")</f>
        <v>MGI:95489</v>
      </c>
      <c r="J312" s="4" t="s">
        <v>12</v>
      </c>
    </row>
    <row r="313" spans="1:10" x14ac:dyDescent="0.25">
      <c r="A313" s="2">
        <v>19.011407760676899</v>
      </c>
      <c r="B313" s="3">
        <v>2.2957590315822198</v>
      </c>
      <c r="C313" s="5">
        <v>4.8640318980617998E-11</v>
      </c>
      <c r="D313" s="6">
        <v>4.2803950430794898E-10</v>
      </c>
      <c r="E313" s="3" t="s">
        <v>2681</v>
      </c>
      <c r="F313" s="3" t="s">
        <v>2682</v>
      </c>
      <c r="G313" s="3" t="s">
        <v>83</v>
      </c>
      <c r="H313" s="7" t="str">
        <f>HYPERLINK("http://www.ensembl.org/Mus_musculus/Gene/Summary?db=core;g=ENSMUSG00000118588","ENSMUSG00000118588")</f>
        <v>ENSMUSG00000118588</v>
      </c>
      <c r="I313" s="3" t="s">
        <v>83</v>
      </c>
      <c r="J313" s="4" t="s">
        <v>2683</v>
      </c>
    </row>
    <row r="314" spans="1:10" x14ac:dyDescent="0.25">
      <c r="A314" s="2">
        <v>115.12293423473599</v>
      </c>
      <c r="B314" s="3">
        <v>2.2913892282993</v>
      </c>
      <c r="C314" s="5">
        <v>1.18771846225919E-32</v>
      </c>
      <c r="D314" s="6">
        <v>3.2259566281182899E-31</v>
      </c>
      <c r="E314" s="3" t="s">
        <v>1450</v>
      </c>
      <c r="F314" s="3" t="s">
        <v>1451</v>
      </c>
      <c r="G314" s="3" t="s">
        <v>83</v>
      </c>
      <c r="H314" s="7" t="str">
        <f>HYPERLINK("http://www.ensembl.org/Mus_musculus/Gene/Summary?db=core;g=ENSMUSG00000097754","ENSMUSG00000097754")</f>
        <v>ENSMUSG00000097754</v>
      </c>
      <c r="I314" s="7" t="str">
        <f>HYPERLINK("http://www.informatics.jax.org/marker/MGI:5477181","MGI:5477181")</f>
        <v>MGI:5477181</v>
      </c>
      <c r="J314" s="4" t="s">
        <v>939</v>
      </c>
    </row>
    <row r="315" spans="1:10" x14ac:dyDescent="0.25">
      <c r="A315" s="2">
        <v>3334.1606791437598</v>
      </c>
      <c r="B315" s="3">
        <v>2.2856767898942998</v>
      </c>
      <c r="C315" s="5">
        <v>8.16900816802204E-32</v>
      </c>
      <c r="D315" s="6">
        <v>2.1483430571746298E-30</v>
      </c>
      <c r="E315" s="3" t="s">
        <v>1646</v>
      </c>
      <c r="F315" s="3" t="s">
        <v>1647</v>
      </c>
      <c r="G315" s="3">
        <v>15894</v>
      </c>
      <c r="H315" s="7" t="str">
        <f>HYPERLINK("http://www.ensembl.org/Mus_musculus/Gene/Summary?db=core;g=ENSMUSG00000037405","ENSMUSG00000037405")</f>
        <v>ENSMUSG00000037405</v>
      </c>
      <c r="I315" s="7" t="str">
        <f>HYPERLINK("http://www.informatics.jax.org/marker/MGI:96392","MGI:96392")</f>
        <v>MGI:96392</v>
      </c>
      <c r="J315" s="4" t="s">
        <v>12</v>
      </c>
    </row>
    <row r="316" spans="1:10" x14ac:dyDescent="0.25">
      <c r="A316" s="2">
        <v>476.34521659235998</v>
      </c>
      <c r="B316" s="3">
        <v>2.28157949982009</v>
      </c>
      <c r="C316" s="5">
        <v>3.8258344159281602E-130</v>
      </c>
      <c r="D316" s="6">
        <v>9.5514838671631104E-128</v>
      </c>
      <c r="E316" s="3" t="s">
        <v>202</v>
      </c>
      <c r="F316" s="3" t="s">
        <v>203</v>
      </c>
      <c r="G316" s="3">
        <v>76187</v>
      </c>
      <c r="H316" s="7" t="str">
        <f>HYPERLINK("http://www.ensembl.org/Mus_musculus/Gene/Summary?db=core;g=ENSMUSG00000025911","ENSMUSG00000025911")</f>
        <v>ENSMUSG00000025911</v>
      </c>
      <c r="I316" s="7" t="str">
        <f>HYPERLINK("http://www.informatics.jax.org/marker/MGI:1923437","MGI:1923437")</f>
        <v>MGI:1923437</v>
      </c>
      <c r="J316" s="4" t="s">
        <v>12</v>
      </c>
    </row>
    <row r="317" spans="1:10" x14ac:dyDescent="0.25">
      <c r="A317" s="2">
        <v>515.58002009403594</v>
      </c>
      <c r="B317" s="3">
        <v>2.2800191581037801</v>
      </c>
      <c r="C317" s="5">
        <v>4.3038747459599801E-41</v>
      </c>
      <c r="D317" s="6">
        <v>1.5501604198640499E-39</v>
      </c>
      <c r="E317" s="3" t="s">
        <v>1440</v>
      </c>
      <c r="F317" s="3" t="s">
        <v>1441</v>
      </c>
      <c r="G317" s="3">
        <v>19039</v>
      </c>
      <c r="H317" s="7" t="str">
        <f>HYPERLINK("http://www.ensembl.org/Mus_musculus/Gene/Summary?db=core;g=ENSMUSG00000033880","ENSMUSG00000033880")</f>
        <v>ENSMUSG00000033880</v>
      </c>
      <c r="I317" s="7" t="str">
        <f>HYPERLINK("http://www.informatics.jax.org/marker/MGI:99554","MGI:99554")</f>
        <v>MGI:99554</v>
      </c>
      <c r="J317" s="4" t="s">
        <v>12</v>
      </c>
    </row>
    <row r="318" spans="1:10" x14ac:dyDescent="0.25">
      <c r="A318" s="2">
        <v>1252.9131463215799</v>
      </c>
      <c r="B318" s="3">
        <v>2.2764061508273401</v>
      </c>
      <c r="C318" s="5">
        <v>3.5126151160848601E-59</v>
      </c>
      <c r="D318" s="6">
        <v>2.0852576707050999E-57</v>
      </c>
      <c r="E318" s="3" t="s">
        <v>614</v>
      </c>
      <c r="F318" s="3" t="s">
        <v>615</v>
      </c>
      <c r="G318" s="3">
        <v>231712</v>
      </c>
      <c r="H318" s="7" t="str">
        <f>HYPERLINK("http://www.ensembl.org/Mus_musculus/Gene/Summary?db=core;g=ENSMUSG00000042726","ENSMUSG00000042726")</f>
        <v>ENSMUSG00000042726</v>
      </c>
      <c r="I318" s="7" t="str">
        <f>HYPERLINK("http://www.informatics.jax.org/marker/MGI:1923551","MGI:1923551")</f>
        <v>MGI:1923551</v>
      </c>
      <c r="J318" s="4" t="s">
        <v>12</v>
      </c>
    </row>
    <row r="319" spans="1:10" x14ac:dyDescent="0.25">
      <c r="A319" s="2">
        <v>14.037403217056401</v>
      </c>
      <c r="B319" s="3">
        <v>2.2745738701553702</v>
      </c>
      <c r="C319" s="5">
        <v>8.3871908195974395E-9</v>
      </c>
      <c r="D319" s="6">
        <v>5.8972435450294497E-8</v>
      </c>
      <c r="E319" s="3" t="s">
        <v>3144</v>
      </c>
      <c r="F319" s="3" t="s">
        <v>3145</v>
      </c>
      <c r="G319" s="3">
        <v>328830</v>
      </c>
      <c r="H319" s="7" t="str">
        <f>HYPERLINK("http://www.ensembl.org/Mus_musculus/Gene/Summary?db=core;g=ENSMUSG00000043939","ENSMUSG00000043939")</f>
        <v>ENSMUSG00000043939</v>
      </c>
      <c r="I319" s="7" t="str">
        <f>HYPERLINK("http://www.informatics.jax.org/marker/MGI:2443476","MGI:2443476")</f>
        <v>MGI:2443476</v>
      </c>
      <c r="J319" s="4" t="s">
        <v>12</v>
      </c>
    </row>
    <row r="320" spans="1:10" x14ac:dyDescent="0.25">
      <c r="A320" s="2">
        <v>104.780908258978</v>
      </c>
      <c r="B320" s="3">
        <v>2.2726996339922101</v>
      </c>
      <c r="C320" s="5">
        <v>9.4635825761222708E-10</v>
      </c>
      <c r="D320" s="6">
        <v>7.3549591663039802E-9</v>
      </c>
      <c r="E320" s="3" t="s">
        <v>8517</v>
      </c>
      <c r="F320" s="3" t="s">
        <v>8518</v>
      </c>
      <c r="G320" s="3">
        <v>16197</v>
      </c>
      <c r="H320" s="7" t="str">
        <f>HYPERLINK("http://www.ensembl.org/Mus_musculus/Gene/Summary?db=core;g=ENSMUSG00000003882","ENSMUSG00000003882")</f>
        <v>ENSMUSG00000003882</v>
      </c>
      <c r="I320" s="7" t="str">
        <f>HYPERLINK("http://www.informatics.jax.org/marker/MGI:96562","MGI:96562")</f>
        <v>MGI:96562</v>
      </c>
      <c r="J320" s="4" t="s">
        <v>12</v>
      </c>
    </row>
    <row r="321" spans="1:10" x14ac:dyDescent="0.25">
      <c r="A321" s="2">
        <v>573.20176731171</v>
      </c>
      <c r="B321" s="3">
        <v>2.26686283559309</v>
      </c>
      <c r="C321" s="5">
        <v>2.2405851173888299E-12</v>
      </c>
      <c r="D321" s="6">
        <v>2.1977752295162201E-11</v>
      </c>
      <c r="E321" s="3" t="s">
        <v>2860</v>
      </c>
      <c r="F321" s="3" t="s">
        <v>2861</v>
      </c>
      <c r="G321" s="3">
        <v>18787</v>
      </c>
      <c r="H321" s="7" t="str">
        <f>HYPERLINK("http://www.ensembl.org/Mus_musculus/Gene/Summary?db=core;g=ENSMUSG00000037411","ENSMUSG00000037411")</f>
        <v>ENSMUSG00000037411</v>
      </c>
      <c r="I321" s="7" t="str">
        <f>HYPERLINK("http://www.informatics.jax.org/marker/MGI:97608","MGI:97608")</f>
        <v>MGI:97608</v>
      </c>
      <c r="J321" s="4" t="s">
        <v>12</v>
      </c>
    </row>
    <row r="322" spans="1:10" x14ac:dyDescent="0.25">
      <c r="A322" s="2">
        <v>385.51346259939999</v>
      </c>
      <c r="B322" s="3">
        <v>2.2581544826281399</v>
      </c>
      <c r="C322" s="5">
        <v>2.1143933827171801E-70</v>
      </c>
      <c r="D322" s="6">
        <v>1.63283133050934E-68</v>
      </c>
      <c r="E322" s="3" t="s">
        <v>482</v>
      </c>
      <c r="F322" s="3" t="s">
        <v>483</v>
      </c>
      <c r="G322" s="3">
        <v>15162</v>
      </c>
      <c r="H322" s="7" t="str">
        <f>HYPERLINK("http://www.ensembl.org/Mus_musculus/Gene/Summary?db=core;g=ENSMUSG00000003283","ENSMUSG00000003283")</f>
        <v>ENSMUSG00000003283</v>
      </c>
      <c r="I322" s="7" t="str">
        <f>HYPERLINK("http://www.informatics.jax.org/marker/MGI:96052","MGI:96052")</f>
        <v>MGI:96052</v>
      </c>
      <c r="J322" s="4" t="s">
        <v>12</v>
      </c>
    </row>
    <row r="323" spans="1:10" x14ac:dyDescent="0.25">
      <c r="A323" s="2">
        <v>581.12731909287004</v>
      </c>
      <c r="B323" s="3">
        <v>2.2345951409068299</v>
      </c>
      <c r="C323" s="5">
        <v>1.03936724308356E-218</v>
      </c>
      <c r="D323" s="6">
        <v>7.8926950021658106E-216</v>
      </c>
      <c r="E323" s="3" t="s">
        <v>65</v>
      </c>
      <c r="F323" s="3" t="s">
        <v>66</v>
      </c>
      <c r="G323" s="3">
        <v>18719</v>
      </c>
      <c r="H323" s="7" t="str">
        <f>HYPERLINK("http://www.ensembl.org/Mus_musculus/Gene/Summary?db=core;g=ENSMUSG00000024867","ENSMUSG00000024867")</f>
        <v>ENSMUSG00000024867</v>
      </c>
      <c r="I323" s="7" t="str">
        <f>HYPERLINK("http://www.informatics.jax.org/marker/MGI:107930","MGI:107930")</f>
        <v>MGI:107930</v>
      </c>
      <c r="J323" s="4" t="s">
        <v>12</v>
      </c>
    </row>
    <row r="324" spans="1:10" x14ac:dyDescent="0.25">
      <c r="A324" s="2">
        <v>19.784547317024298</v>
      </c>
      <c r="B324" s="3">
        <v>2.2307952875322199</v>
      </c>
      <c r="C324" s="5">
        <v>8.4964377093756804E-13</v>
      </c>
      <c r="D324" s="6">
        <v>8.6458725434601801E-12</v>
      </c>
      <c r="E324" s="3" t="s">
        <v>6669</v>
      </c>
      <c r="F324" s="3" t="s">
        <v>6670</v>
      </c>
      <c r="G324" s="3">
        <v>11833</v>
      </c>
      <c r="H324" s="7" t="str">
        <f>HYPERLINK("http://www.ensembl.org/Mus_musculus/Gene/Summary?db=core;g=ENSMUSG00000030762","ENSMUSG00000030762")</f>
        <v>ENSMUSG00000030762</v>
      </c>
      <c r="I324" s="7" t="str">
        <f>HYPERLINK("http://www.informatics.jax.org/marker/MGI:1195271","MGI:1195271")</f>
        <v>MGI:1195271</v>
      </c>
      <c r="J324" s="4" t="s">
        <v>12</v>
      </c>
    </row>
    <row r="325" spans="1:10" x14ac:dyDescent="0.25">
      <c r="A325" s="2">
        <v>7.4500455811030903</v>
      </c>
      <c r="B325" s="3">
        <v>2.22991929316834</v>
      </c>
      <c r="C325" s="5">
        <v>1.0556806169483299E-6</v>
      </c>
      <c r="D325" s="6">
        <v>5.8586416698792197E-6</v>
      </c>
      <c r="E325" s="3" t="s">
        <v>8025</v>
      </c>
      <c r="F325" s="3" t="s">
        <v>8026</v>
      </c>
      <c r="G325" s="3" t="s">
        <v>83</v>
      </c>
      <c r="H325" s="7" t="str">
        <f>HYPERLINK("http://www.ensembl.org/Mus_musculus/Gene/Summary?db=core;g=ENSMUSG00000079138","ENSMUSG00000079138")</f>
        <v>ENSMUSG00000079138</v>
      </c>
      <c r="I325" s="7" t="str">
        <f>HYPERLINK("http://www.informatics.jax.org/marker/MGI:3645903","MGI:3645903")</f>
        <v>MGI:3645903</v>
      </c>
      <c r="J325" s="4" t="s">
        <v>1043</v>
      </c>
    </row>
    <row r="326" spans="1:10" x14ac:dyDescent="0.25">
      <c r="A326" s="2">
        <v>2394.6945268253298</v>
      </c>
      <c r="B326" s="3">
        <v>2.22453610879416</v>
      </c>
      <c r="C326" s="3">
        <v>0</v>
      </c>
      <c r="D326" s="4">
        <v>0</v>
      </c>
      <c r="E326" s="3" t="s">
        <v>10</v>
      </c>
      <c r="F326" s="3" t="s">
        <v>11</v>
      </c>
      <c r="G326" s="3">
        <v>20442</v>
      </c>
      <c r="H326" s="7" t="str">
        <f>HYPERLINK("http://www.ensembl.org/Mus_musculus/Gene/Summary?db=core;g=ENSMUSG00000013846","ENSMUSG00000013846")</f>
        <v>ENSMUSG00000013846</v>
      </c>
      <c r="I326" s="7" t="str">
        <f>HYPERLINK("http://www.informatics.jax.org/marker/MGI:98304","MGI:98304")</f>
        <v>MGI:98304</v>
      </c>
      <c r="J326" s="4" t="s">
        <v>12</v>
      </c>
    </row>
    <row r="327" spans="1:10" x14ac:dyDescent="0.25">
      <c r="A327" s="2">
        <v>5.9261189883717904</v>
      </c>
      <c r="B327" s="3">
        <v>2.2210083441850599</v>
      </c>
      <c r="C327" s="5">
        <v>9.0214377388402402E-7</v>
      </c>
      <c r="D327" s="6">
        <v>5.0434264659620698E-6</v>
      </c>
      <c r="E327" s="3" t="s">
        <v>5241</v>
      </c>
      <c r="F327" s="3" t="s">
        <v>5242</v>
      </c>
      <c r="G327" s="3">
        <v>18356</v>
      </c>
      <c r="H327" s="7" t="str">
        <f>HYPERLINK("http://www.ensembl.org/Mus_musculus/Gene/Summary?db=core;g=ENSMUSG00000040328","ENSMUSG00000040328")</f>
        <v>ENSMUSG00000040328</v>
      </c>
      <c r="I327" s="7" t="str">
        <f>HYPERLINK("http://www.informatics.jax.org/marker/MGI:1333785","MGI:1333785")</f>
        <v>MGI:1333785</v>
      </c>
      <c r="J327" s="4" t="s">
        <v>12</v>
      </c>
    </row>
    <row r="328" spans="1:10" x14ac:dyDescent="0.25">
      <c r="A328" s="2">
        <v>241.52922077529101</v>
      </c>
      <c r="B328" s="3">
        <v>2.2161694086130299</v>
      </c>
      <c r="C328" s="5">
        <v>8.1768047116900703E-42</v>
      </c>
      <c r="D328" s="6">
        <v>3.05373495636376E-40</v>
      </c>
      <c r="E328" s="3" t="s">
        <v>620</v>
      </c>
      <c r="F328" s="3" t="s">
        <v>621</v>
      </c>
      <c r="G328" s="3">
        <v>320148</v>
      </c>
      <c r="H328" s="7" t="str">
        <f>HYPERLINK("http://www.ensembl.org/Mus_musculus/Gene/Summary?db=core;g=ENSMUSG00000043740","ENSMUSG00000043740")</f>
        <v>ENSMUSG00000043740</v>
      </c>
      <c r="I328" s="7" t="str">
        <f>HYPERLINK("http://www.informatics.jax.org/marker/MGI:2443478","MGI:2443478")</f>
        <v>MGI:2443478</v>
      </c>
      <c r="J328" s="4" t="s">
        <v>12</v>
      </c>
    </row>
    <row r="329" spans="1:10" x14ac:dyDescent="0.25">
      <c r="A329" s="2">
        <v>21.951376432558099</v>
      </c>
      <c r="B329" s="3">
        <v>2.2161564673067198</v>
      </c>
      <c r="C329" s="5">
        <v>1.586432851412E-10</v>
      </c>
      <c r="D329" s="6">
        <v>1.3373144642453099E-9</v>
      </c>
      <c r="E329" s="3" t="s">
        <v>4265</v>
      </c>
      <c r="F329" s="3" t="s">
        <v>4266</v>
      </c>
      <c r="G329" s="3">
        <v>54384</v>
      </c>
      <c r="H329" s="7" t="str">
        <f>HYPERLINK("http://www.ensembl.org/Mus_musculus/Gene/Summary?db=core;g=ENSMUSG00000039431","ENSMUSG00000039431")</f>
        <v>ENSMUSG00000039431</v>
      </c>
      <c r="I329" s="7" t="str">
        <f>HYPERLINK("http://www.informatics.jax.org/marker/MGI:1891693","MGI:1891693")</f>
        <v>MGI:1891693</v>
      </c>
      <c r="J329" s="4" t="s">
        <v>12</v>
      </c>
    </row>
    <row r="330" spans="1:10" x14ac:dyDescent="0.25">
      <c r="A330" s="2">
        <v>1666.7511838178</v>
      </c>
      <c r="B330" s="3">
        <v>2.2140672382554301</v>
      </c>
      <c r="C330" s="5">
        <v>2.0358243909681999E-151</v>
      </c>
      <c r="D330" s="6">
        <v>6.87090731951769E-149</v>
      </c>
      <c r="E330" s="3" t="s">
        <v>178</v>
      </c>
      <c r="F330" s="3" t="s">
        <v>179</v>
      </c>
      <c r="G330" s="3">
        <v>17246</v>
      </c>
      <c r="H330" s="7" t="str">
        <f>HYPERLINK("http://www.ensembl.org/Mus_musculus/Gene/Summary?db=core;g=ENSMUSG00000020184","ENSMUSG00000020184")</f>
        <v>ENSMUSG00000020184</v>
      </c>
      <c r="I330" s="7" t="str">
        <f>HYPERLINK("http://www.informatics.jax.org/marker/MGI:96952","MGI:96952")</f>
        <v>MGI:96952</v>
      </c>
      <c r="J330" s="4" t="s">
        <v>12</v>
      </c>
    </row>
    <row r="331" spans="1:10" x14ac:dyDescent="0.25">
      <c r="A331" s="2">
        <v>501.68800495438001</v>
      </c>
      <c r="B331" s="3">
        <v>2.2134522251614901</v>
      </c>
      <c r="C331" s="5">
        <v>2.9748670364807601E-99</v>
      </c>
      <c r="D331" s="6">
        <v>4.2690513180993599E-97</v>
      </c>
      <c r="E331" s="3" t="s">
        <v>384</v>
      </c>
      <c r="F331" s="3" t="s">
        <v>385</v>
      </c>
      <c r="G331" s="3">
        <v>99382</v>
      </c>
      <c r="H331" s="7" t="str">
        <f>HYPERLINK("http://www.ensembl.org/Mus_musculus/Gene/Summary?db=core;g=ENSMUSG00000032724","ENSMUSG00000032724")</f>
        <v>ENSMUSG00000032724</v>
      </c>
      <c r="I331" s="7" t="str">
        <f>HYPERLINK("http://www.informatics.jax.org/marker/MGI:2139365","MGI:2139365")</f>
        <v>MGI:2139365</v>
      </c>
      <c r="J331" s="4" t="s">
        <v>12</v>
      </c>
    </row>
    <row r="332" spans="1:10" x14ac:dyDescent="0.25">
      <c r="A332" s="2">
        <v>722.011832327305</v>
      </c>
      <c r="B332" s="3">
        <v>2.2133357674286098</v>
      </c>
      <c r="C332" s="5">
        <v>1.07919511046539E-85</v>
      </c>
      <c r="D332" s="6">
        <v>1.19928846879461E-83</v>
      </c>
      <c r="E332" s="3" t="s">
        <v>552</v>
      </c>
      <c r="F332" s="3" t="s">
        <v>553</v>
      </c>
      <c r="G332" s="3">
        <v>212167</v>
      </c>
      <c r="H332" s="7" t="str">
        <f>HYPERLINK("http://www.ensembl.org/Mus_musculus/Gene/Summary?db=core;g=ENSMUSG00000039934","ENSMUSG00000039934")</f>
        <v>ENSMUSG00000039934</v>
      </c>
      <c r="I332" s="7" t="str">
        <f>HYPERLINK("http://www.informatics.jax.org/marker/MGI:2442259","MGI:2442259")</f>
        <v>MGI:2442259</v>
      </c>
      <c r="J332" s="4" t="s">
        <v>12</v>
      </c>
    </row>
    <row r="333" spans="1:10" x14ac:dyDescent="0.25">
      <c r="A333" s="2">
        <v>6.9709256096928804</v>
      </c>
      <c r="B333" s="3">
        <v>2.21138582944908</v>
      </c>
      <c r="C333" s="5">
        <v>1.3746620426329601E-6</v>
      </c>
      <c r="D333" s="6">
        <v>7.53480172240171E-6</v>
      </c>
      <c r="E333" s="3" t="s">
        <v>4759</v>
      </c>
      <c r="F333" s="3" t="s">
        <v>4760</v>
      </c>
      <c r="G333" s="3">
        <v>22329</v>
      </c>
      <c r="H333" s="7" t="str">
        <f>HYPERLINK("http://www.ensembl.org/Mus_musculus/Gene/Summary?db=core;g=ENSMUSG00000027962","ENSMUSG00000027962")</f>
        <v>ENSMUSG00000027962</v>
      </c>
      <c r="I333" s="7" t="str">
        <f>HYPERLINK("http://www.informatics.jax.org/marker/MGI:98926","MGI:98926")</f>
        <v>MGI:98926</v>
      </c>
      <c r="J333" s="4" t="s">
        <v>12</v>
      </c>
    </row>
    <row r="334" spans="1:10" x14ac:dyDescent="0.25">
      <c r="A334" s="2">
        <v>43.089894459096101</v>
      </c>
      <c r="B334" s="3">
        <v>2.2005032299737399</v>
      </c>
      <c r="C334" s="5">
        <v>2.9410270133758401E-15</v>
      </c>
      <c r="D334" s="6">
        <v>3.5009939463601998E-14</v>
      </c>
      <c r="E334" s="3" t="s">
        <v>3994</v>
      </c>
      <c r="F334" s="3" t="s">
        <v>3995</v>
      </c>
      <c r="G334" s="3" t="s">
        <v>83</v>
      </c>
      <c r="H334" s="7" t="str">
        <f>HYPERLINK("http://www.ensembl.org/Mus_musculus/Gene/Summary?db=core;g=ENSMUSG00000115855","ENSMUSG00000115855")</f>
        <v>ENSMUSG00000115855</v>
      </c>
      <c r="I334" s="7" t="str">
        <f>HYPERLINK("http://www.informatics.jax.org/marker/MGI:5593802","MGI:5593802")</f>
        <v>MGI:5593802</v>
      </c>
      <c r="J334" s="4" t="s">
        <v>939</v>
      </c>
    </row>
    <row r="335" spans="1:10" x14ac:dyDescent="0.25">
      <c r="A335" s="2">
        <v>672.846812825455</v>
      </c>
      <c r="B335" s="3">
        <v>2.19877532960406</v>
      </c>
      <c r="C335" s="5">
        <v>1.7297107313718901E-42</v>
      </c>
      <c r="D335" s="6">
        <v>6.5744843557716003E-41</v>
      </c>
      <c r="E335" s="3" t="s">
        <v>1508</v>
      </c>
      <c r="F335" s="3" t="s">
        <v>1509</v>
      </c>
      <c r="G335" s="3">
        <v>20530</v>
      </c>
      <c r="H335" s="7" t="str">
        <f>HYPERLINK("http://www.ensembl.org/Mus_musculus/Gene/Summary?db=core;g=ENSMUSG00000066152","ENSMUSG00000066152")</f>
        <v>ENSMUSG00000066152</v>
      </c>
      <c r="I335" s="7" t="str">
        <f>HYPERLINK("http://www.informatics.jax.org/marker/MGI:1333844","MGI:1333844")</f>
        <v>MGI:1333844</v>
      </c>
      <c r="J335" s="4" t="s">
        <v>12</v>
      </c>
    </row>
    <row r="336" spans="1:10" x14ac:dyDescent="0.25">
      <c r="A336" s="2">
        <v>1574.95494345106</v>
      </c>
      <c r="B336" s="3">
        <v>2.1965763231784998</v>
      </c>
      <c r="C336" s="5">
        <v>7.7602698643497596E-71</v>
      </c>
      <c r="D336" s="6">
        <v>6.0699964926083396E-69</v>
      </c>
      <c r="E336" s="3" t="s">
        <v>302</v>
      </c>
      <c r="F336" s="3" t="s">
        <v>303</v>
      </c>
      <c r="G336" s="3">
        <v>243771</v>
      </c>
      <c r="H336" s="7" t="str">
        <f>HYPERLINK("http://www.ensembl.org/Mus_musculus/Gene/Summary?db=core;g=ENSMUSG00000038507","ENSMUSG00000038507")</f>
        <v>ENSMUSG00000038507</v>
      </c>
      <c r="I336" s="7" t="str">
        <f>HYPERLINK("http://www.informatics.jax.org/marker/MGI:2143990","MGI:2143990")</f>
        <v>MGI:2143990</v>
      </c>
      <c r="J336" s="4" t="s">
        <v>12</v>
      </c>
    </row>
    <row r="337" spans="1:10" x14ac:dyDescent="0.25">
      <c r="A337" s="2">
        <v>1701.97341778599</v>
      </c>
      <c r="B337" s="3">
        <v>2.1947265810843799</v>
      </c>
      <c r="C337" s="5">
        <v>1.0867440985102E-47</v>
      </c>
      <c r="D337" s="6">
        <v>4.9638875176311699E-46</v>
      </c>
      <c r="E337" s="3" t="s">
        <v>1562</v>
      </c>
      <c r="F337" s="3" t="s">
        <v>1563</v>
      </c>
      <c r="G337" s="3">
        <v>16149</v>
      </c>
      <c r="H337" s="7" t="str">
        <f>HYPERLINK("http://www.ensembl.org/Mus_musculus/Gene/Summary?db=core;g=ENSMUSG00000024610","ENSMUSG00000024610")</f>
        <v>ENSMUSG00000024610</v>
      </c>
      <c r="I337" s="7" t="str">
        <f>HYPERLINK("http://www.informatics.jax.org/marker/MGI:96534","MGI:96534")</f>
        <v>MGI:96534</v>
      </c>
      <c r="J337" s="4" t="s">
        <v>12</v>
      </c>
    </row>
    <row r="338" spans="1:10" x14ac:dyDescent="0.25">
      <c r="A338" s="2">
        <v>1981.8516176917601</v>
      </c>
      <c r="B338" s="3">
        <v>2.1824262012202502</v>
      </c>
      <c r="C338" s="5">
        <v>2.07401568681287E-87</v>
      </c>
      <c r="D338" s="6">
        <v>2.42300871103619E-85</v>
      </c>
      <c r="E338" s="3" t="s">
        <v>398</v>
      </c>
      <c r="F338" s="3" t="s">
        <v>399</v>
      </c>
      <c r="G338" s="3">
        <v>210808</v>
      </c>
      <c r="H338" s="7" t="str">
        <f>HYPERLINK("http://www.ensembl.org/Mus_musculus/Gene/Summary?db=core;g=ENSMUSG00000044350","ENSMUSG00000044350")</f>
        <v>ENSMUSG00000044350</v>
      </c>
      <c r="I338" s="7" t="str">
        <f>HYPERLINK("http://www.informatics.jax.org/marker/MGI:2445077","MGI:2445077")</f>
        <v>MGI:2445077</v>
      </c>
      <c r="J338" s="4" t="s">
        <v>12</v>
      </c>
    </row>
    <row r="339" spans="1:10" x14ac:dyDescent="0.25">
      <c r="A339" s="2">
        <v>41.184170644000197</v>
      </c>
      <c r="B339" s="3">
        <v>2.1654466691533898</v>
      </c>
      <c r="C339" s="5">
        <v>2.3183624020901301E-16</v>
      </c>
      <c r="D339" s="6">
        <v>2.98180344234951E-15</v>
      </c>
      <c r="E339" s="3" t="s">
        <v>2718</v>
      </c>
      <c r="F339" s="3" t="s">
        <v>2719</v>
      </c>
      <c r="G339" s="3">
        <v>21664</v>
      </c>
      <c r="H339" s="7" t="str">
        <f>HYPERLINK("http://www.ensembl.org/Mus_musculus/Gene/Summary?db=core;g=ENSMUSG00000020205","ENSMUSG00000020205")</f>
        <v>ENSMUSG00000020205</v>
      </c>
      <c r="I339" s="7" t="str">
        <f>HYPERLINK("http://www.informatics.jax.org/marker/MGI:1096880","MGI:1096880")</f>
        <v>MGI:1096880</v>
      </c>
      <c r="J339" s="4" t="s">
        <v>12</v>
      </c>
    </row>
    <row r="340" spans="1:10" x14ac:dyDescent="0.25">
      <c r="A340" s="2">
        <v>1474.3565703678601</v>
      </c>
      <c r="B340" s="3">
        <v>2.1646957779784399</v>
      </c>
      <c r="C340" s="5">
        <v>4.0866008540156397E-28</v>
      </c>
      <c r="D340" s="6">
        <v>9.3683396936396198E-27</v>
      </c>
      <c r="E340" s="3" t="s">
        <v>2359</v>
      </c>
      <c r="F340" s="3" t="s">
        <v>2360</v>
      </c>
      <c r="G340" s="3">
        <v>17474</v>
      </c>
      <c r="H340" s="7" t="str">
        <f>HYPERLINK("http://www.ensembl.org/Mus_musculus/Gene/Summary?db=core;g=ENSMUSG00000030144","ENSMUSG00000030144")</f>
        <v>ENSMUSG00000030144</v>
      </c>
      <c r="I340" s="7" t="str">
        <f>HYPERLINK("http://www.informatics.jax.org/marker/MGI:1298389","MGI:1298389")</f>
        <v>MGI:1298389</v>
      </c>
      <c r="J340" s="4" t="s">
        <v>12</v>
      </c>
    </row>
    <row r="341" spans="1:10" x14ac:dyDescent="0.25">
      <c r="A341" s="2">
        <v>4.1727079722729803</v>
      </c>
      <c r="B341" s="3">
        <v>2.1631603424039798</v>
      </c>
      <c r="C341" s="5">
        <v>2.3648009058981302E-6</v>
      </c>
      <c r="D341" s="6">
        <v>1.25688237124507E-5</v>
      </c>
      <c r="E341" s="3" t="s">
        <v>5891</v>
      </c>
      <c r="F341" s="3" t="s">
        <v>5892</v>
      </c>
      <c r="G341" s="3">
        <v>17076</v>
      </c>
      <c r="H341" s="7" t="str">
        <f>HYPERLINK("http://www.ensembl.org/Mus_musculus/Gene/Summary?db=core;g=ENSMUSG00000026980","ENSMUSG00000026980")</f>
        <v>ENSMUSG00000026980</v>
      </c>
      <c r="I341" s="7" t="str">
        <f>HYPERLINK("http://www.informatics.jax.org/marker/MGI:106662","MGI:106662")</f>
        <v>MGI:106662</v>
      </c>
      <c r="J341" s="4" t="s">
        <v>12</v>
      </c>
    </row>
    <row r="342" spans="1:10" x14ac:dyDescent="0.25">
      <c r="A342" s="2">
        <v>118.691207630036</v>
      </c>
      <c r="B342" s="3">
        <v>2.1629465571570101</v>
      </c>
      <c r="C342" s="5">
        <v>8.3348721782080399E-12</v>
      </c>
      <c r="D342" s="6">
        <v>7.7938966366260404E-11</v>
      </c>
      <c r="E342" s="3" t="s">
        <v>2323</v>
      </c>
      <c r="F342" s="3" t="s">
        <v>2324</v>
      </c>
      <c r="G342" s="3">
        <v>109032</v>
      </c>
      <c r="H342" s="7" t="str">
        <f>HYPERLINK("http://www.ensembl.org/Mus_musculus/Gene/Summary?db=core;g=ENSMUSG00000070034","ENSMUSG00000070034")</f>
        <v>ENSMUSG00000070034</v>
      </c>
      <c r="I342" s="7" t="str">
        <f>HYPERLINK("http://www.informatics.jax.org/marker/MGI:1923364","MGI:1923364")</f>
        <v>MGI:1923364</v>
      </c>
      <c r="J342" s="4" t="s">
        <v>12</v>
      </c>
    </row>
    <row r="343" spans="1:10" x14ac:dyDescent="0.25">
      <c r="A343" s="2">
        <v>723.68975988707302</v>
      </c>
      <c r="B343" s="3">
        <v>2.15685229440993</v>
      </c>
      <c r="C343" s="5">
        <v>4.1700157214672599E-111</v>
      </c>
      <c r="D343" s="6">
        <v>7.6766198508829201E-109</v>
      </c>
      <c r="E343" s="3" t="s">
        <v>290</v>
      </c>
      <c r="F343" s="3" t="s">
        <v>291</v>
      </c>
      <c r="G343" s="3">
        <v>108960</v>
      </c>
      <c r="H343" s="7" t="str">
        <f>HYPERLINK("http://www.ensembl.org/Mus_musculus/Gene/Summary?db=core;g=ENSMUSG00000060477","ENSMUSG00000060477")</f>
        <v>ENSMUSG00000060477</v>
      </c>
      <c r="I343" s="7" t="str">
        <f>HYPERLINK("http://www.informatics.jax.org/marker/MGI:2429603","MGI:2429603")</f>
        <v>MGI:2429603</v>
      </c>
      <c r="J343" s="4" t="s">
        <v>12</v>
      </c>
    </row>
    <row r="344" spans="1:10" x14ac:dyDescent="0.25">
      <c r="A344" s="2">
        <v>494.09588108773403</v>
      </c>
      <c r="B344" s="3">
        <v>2.1372144104631099</v>
      </c>
      <c r="C344" s="5">
        <v>2.23261401695265E-54</v>
      </c>
      <c r="D344" s="6">
        <v>1.17260491236202E-52</v>
      </c>
      <c r="E344" s="3" t="s">
        <v>590</v>
      </c>
      <c r="F344" s="3" t="s">
        <v>591</v>
      </c>
      <c r="G344" s="3">
        <v>70110</v>
      </c>
      <c r="H344" s="7" t="str">
        <f>HYPERLINK("http://www.ensembl.org/Mus_musculus/Gene/Summary?db=core;g=ENSMUSG00000010358","ENSMUSG00000010358")</f>
        <v>ENSMUSG00000010358</v>
      </c>
      <c r="I344" s="7" t="str">
        <f>HYPERLINK("http://www.informatics.jax.org/marker/MGI:1917360","MGI:1917360")</f>
        <v>MGI:1917360</v>
      </c>
      <c r="J344" s="4" t="s">
        <v>12</v>
      </c>
    </row>
    <row r="345" spans="1:10" x14ac:dyDescent="0.25">
      <c r="A345" s="2">
        <v>111.66734610417799</v>
      </c>
      <c r="B345" s="3">
        <v>2.13249191050078</v>
      </c>
      <c r="C345" s="5">
        <v>3.97850142719615E-16</v>
      </c>
      <c r="D345" s="6">
        <v>5.0493167486524997E-15</v>
      </c>
      <c r="E345" s="3" t="s">
        <v>1234</v>
      </c>
      <c r="F345" s="3" t="s">
        <v>1235</v>
      </c>
      <c r="G345" s="3">
        <v>17295</v>
      </c>
      <c r="H345" s="7" t="str">
        <f>HYPERLINK("http://www.ensembl.org/Mus_musculus/Gene/Summary?db=core;g=ENSMUSG00000009376","ENSMUSG00000009376")</f>
        <v>ENSMUSG00000009376</v>
      </c>
      <c r="I345" s="7" t="str">
        <f>HYPERLINK("http://www.informatics.jax.org/marker/MGI:96969","MGI:96969")</f>
        <v>MGI:96969</v>
      </c>
      <c r="J345" s="4" t="s">
        <v>12</v>
      </c>
    </row>
    <row r="346" spans="1:10" x14ac:dyDescent="0.25">
      <c r="A346" s="2">
        <v>2.40359597372631</v>
      </c>
      <c r="B346" s="3">
        <v>2.1296978633194201</v>
      </c>
      <c r="C346" s="5">
        <v>4.6784113429504699E-6</v>
      </c>
      <c r="D346" s="6">
        <v>2.40248088828606E-5</v>
      </c>
      <c r="E346" s="3" t="s">
        <v>11064</v>
      </c>
      <c r="F346" s="3" t="s">
        <v>11065</v>
      </c>
      <c r="G346" s="3">
        <v>74338</v>
      </c>
      <c r="H346" s="7" t="str">
        <f>HYPERLINK("http://www.ensembl.org/Mus_musculus/Gene/Summary?db=core;g=ENSMUSG00000021565","ENSMUSG00000021565")</f>
        <v>ENSMUSG00000021565</v>
      </c>
      <c r="I346" s="7" t="str">
        <f>HYPERLINK("http://www.informatics.jax.org/marker/MGI:1921588","MGI:1921588")</f>
        <v>MGI:1921588</v>
      </c>
      <c r="J346" s="4" t="s">
        <v>12</v>
      </c>
    </row>
    <row r="347" spans="1:10" x14ac:dyDescent="0.25">
      <c r="A347" s="2">
        <v>5789.6112713768298</v>
      </c>
      <c r="B347" s="3">
        <v>2.11779264372147</v>
      </c>
      <c r="C347" s="5">
        <v>7.4681710758389997E-25</v>
      </c>
      <c r="D347" s="6">
        <v>1.47782212657075E-23</v>
      </c>
      <c r="E347" s="3" t="s">
        <v>2417</v>
      </c>
      <c r="F347" s="3" t="s">
        <v>2418</v>
      </c>
      <c r="G347" s="3">
        <v>76650</v>
      </c>
      <c r="H347" s="7" t="str">
        <f>HYPERLINK("http://www.ensembl.org/Mus_musculus/Gene/Summary?db=core;g=ENSMUSG00000032802","ENSMUSG00000032802")</f>
        <v>ENSMUSG00000032802</v>
      </c>
      <c r="I347" s="7" t="str">
        <f>HYPERLINK("http://www.informatics.jax.org/marker/MGI:104971","MGI:104971")</f>
        <v>MGI:104971</v>
      </c>
      <c r="J347" s="4" t="s">
        <v>12</v>
      </c>
    </row>
    <row r="348" spans="1:10" x14ac:dyDescent="0.25">
      <c r="A348" s="2">
        <v>14.6290386528163</v>
      </c>
      <c r="B348" s="3">
        <v>2.10929219999363</v>
      </c>
      <c r="C348" s="5">
        <v>3.1192457265332703E-11</v>
      </c>
      <c r="D348" s="6">
        <v>2.7853137367010698E-10</v>
      </c>
      <c r="E348" s="3" t="s">
        <v>7934</v>
      </c>
      <c r="F348" s="3" t="s">
        <v>7935</v>
      </c>
      <c r="G348" s="3" t="s">
        <v>83</v>
      </c>
      <c r="H348" s="7" t="str">
        <f>HYPERLINK("http://www.ensembl.org/Mus_musculus/Gene/Summary?db=core;g=ENSMUSG00000099397","ENSMUSG00000099397")</f>
        <v>ENSMUSG00000099397</v>
      </c>
      <c r="I348" s="7" t="str">
        <f>HYPERLINK("http://www.informatics.jax.org/marker/MGI:3643362","MGI:3643362")</f>
        <v>MGI:3643362</v>
      </c>
      <c r="J348" s="4" t="s">
        <v>1043</v>
      </c>
    </row>
    <row r="349" spans="1:10" x14ac:dyDescent="0.25">
      <c r="A349" s="2">
        <v>163.23175755921</v>
      </c>
      <c r="B349" s="3">
        <v>2.10547901697388</v>
      </c>
      <c r="C349" s="5">
        <v>6.9968799595855495E-36</v>
      </c>
      <c r="D349" s="6">
        <v>2.0973377839382702E-34</v>
      </c>
      <c r="E349" s="3" t="s">
        <v>1358</v>
      </c>
      <c r="F349" s="3" t="s">
        <v>1359</v>
      </c>
      <c r="G349" s="3">
        <v>20821</v>
      </c>
      <c r="H349" s="7" t="str">
        <f>HYPERLINK("http://www.ensembl.org/Mus_musculus/Gene/Summary?db=core;g=ENSMUSG00000030966","ENSMUSG00000030966")</f>
        <v>ENSMUSG00000030966</v>
      </c>
      <c r="I349" s="7" t="str">
        <f>HYPERLINK("http://www.informatics.jax.org/marker/MGI:106657","MGI:106657")</f>
        <v>MGI:106657</v>
      </c>
      <c r="J349" s="4" t="s">
        <v>12</v>
      </c>
    </row>
    <row r="350" spans="1:10" x14ac:dyDescent="0.25">
      <c r="A350" s="2">
        <v>88.333923810926606</v>
      </c>
      <c r="B350" s="3">
        <v>2.1017279885037401</v>
      </c>
      <c r="C350" s="5">
        <v>1.8635823751660601E-25</v>
      </c>
      <c r="D350" s="6">
        <v>3.8033358104592798E-24</v>
      </c>
      <c r="E350" s="3" t="s">
        <v>1094</v>
      </c>
      <c r="F350" s="3" t="s">
        <v>1095</v>
      </c>
      <c r="G350" s="3">
        <v>243197</v>
      </c>
      <c r="H350" s="7" t="str">
        <f>HYPERLINK("http://www.ensembl.org/Mus_musculus/Gene/Summary?db=core;g=ENSMUSG00000029490","ENSMUSG00000029490")</f>
        <v>ENSMUSG00000029490</v>
      </c>
      <c r="I350" s="7" t="str">
        <f>HYPERLINK("http://www.informatics.jax.org/marker/MGI:2442629","MGI:2442629")</f>
        <v>MGI:2442629</v>
      </c>
      <c r="J350" s="4" t="s">
        <v>12</v>
      </c>
    </row>
    <row r="351" spans="1:10" x14ac:dyDescent="0.25">
      <c r="A351" s="2">
        <v>63.692372891679</v>
      </c>
      <c r="B351" s="3">
        <v>2.10052251406713</v>
      </c>
      <c r="C351" s="5">
        <v>1.4324512347482399E-18</v>
      </c>
      <c r="D351" s="6">
        <v>2.08517761607721E-17</v>
      </c>
      <c r="E351" s="3" t="s">
        <v>2271</v>
      </c>
      <c r="F351" s="3" t="s">
        <v>2272</v>
      </c>
      <c r="G351" s="3">
        <v>20743</v>
      </c>
      <c r="H351" s="7" t="str">
        <f>HYPERLINK("http://www.ensembl.org/Mus_musculus/Gene/Summary?db=core;g=ENSMUSG00000067889","ENSMUSG00000067889")</f>
        <v>ENSMUSG00000067889</v>
      </c>
      <c r="I351" s="7" t="str">
        <f>HYPERLINK("http://www.informatics.jax.org/marker/MGI:1313261","MGI:1313261")</f>
        <v>MGI:1313261</v>
      </c>
      <c r="J351" s="4" t="s">
        <v>12</v>
      </c>
    </row>
    <row r="352" spans="1:10" x14ac:dyDescent="0.25">
      <c r="A352" s="2">
        <v>44.797252077787697</v>
      </c>
      <c r="B352" s="3">
        <v>2.09873473779199</v>
      </c>
      <c r="C352" s="5">
        <v>1.7019603487911001E-17</v>
      </c>
      <c r="D352" s="6">
        <v>2.32869574750133E-16</v>
      </c>
      <c r="E352" s="3" t="s">
        <v>2858</v>
      </c>
      <c r="F352" s="3" t="s">
        <v>2859</v>
      </c>
      <c r="G352" s="3">
        <v>18733</v>
      </c>
      <c r="H352" s="7" t="str">
        <f>HYPERLINK("http://www.ensembl.org/Mus_musculus/Gene/Summary?db=core;g=ENSMUSG00000058818","ENSMUSG00000058818")</f>
        <v>ENSMUSG00000058818</v>
      </c>
      <c r="I352" s="7" t="str">
        <f>HYPERLINK("http://www.informatics.jax.org/marker/MGI:894311","MGI:894311")</f>
        <v>MGI:894311</v>
      </c>
      <c r="J352" s="4" t="s">
        <v>12</v>
      </c>
    </row>
    <row r="353" spans="1:10" x14ac:dyDescent="0.25">
      <c r="A353" s="2">
        <v>1266.7317989866201</v>
      </c>
      <c r="B353" s="3">
        <v>2.0980520334349402</v>
      </c>
      <c r="C353" s="5">
        <v>1.47975415451783E-226</v>
      </c>
      <c r="D353" s="6">
        <v>1.1725443246125E-223</v>
      </c>
      <c r="E353" s="3" t="s">
        <v>41</v>
      </c>
      <c r="F353" s="3" t="s">
        <v>42</v>
      </c>
      <c r="G353" s="3">
        <v>217344</v>
      </c>
      <c r="H353" s="7" t="str">
        <f>HYPERLINK("http://www.ensembl.org/Mus_musculus/Gene/Summary?db=core;g=ENSMUSG00000020806","ENSMUSG00000020806")</f>
        <v>ENSMUSG00000020806</v>
      </c>
      <c r="I353" s="7" t="str">
        <f>HYPERLINK("http://www.informatics.jax.org/marker/MGI:2442473","MGI:2442473")</f>
        <v>MGI:2442473</v>
      </c>
      <c r="J353" s="4" t="s">
        <v>12</v>
      </c>
    </row>
    <row r="354" spans="1:10" x14ac:dyDescent="0.25">
      <c r="A354" s="2">
        <v>14.8785757789452</v>
      </c>
      <c r="B354" s="3">
        <v>2.0957863780335999</v>
      </c>
      <c r="C354" s="5">
        <v>6.5498976549979495E-10</v>
      </c>
      <c r="D354" s="6">
        <v>5.20138931426308E-9</v>
      </c>
      <c r="E354" s="3" t="s">
        <v>4197</v>
      </c>
      <c r="F354" s="3" t="s">
        <v>4198</v>
      </c>
      <c r="G354" s="3">
        <v>18208</v>
      </c>
      <c r="H354" s="7" t="str">
        <f>HYPERLINK("http://www.ensembl.org/Mus_musculus/Gene/Summary?db=core;g=ENSMUSG00000020902","ENSMUSG00000020902")</f>
        <v>ENSMUSG00000020902</v>
      </c>
      <c r="I354" s="7" t="str">
        <f>HYPERLINK("http://www.informatics.jax.org/marker/MGI:105088","MGI:105088")</f>
        <v>MGI:105088</v>
      </c>
      <c r="J354" s="4" t="s">
        <v>12</v>
      </c>
    </row>
    <row r="355" spans="1:10" x14ac:dyDescent="0.25">
      <c r="A355" s="2">
        <v>555.42733389542605</v>
      </c>
      <c r="B355" s="3">
        <v>2.0872277868045499</v>
      </c>
      <c r="C355" s="5">
        <v>9.8772944647282693E-184</v>
      </c>
      <c r="D355" s="6">
        <v>4.61573568255571E-181</v>
      </c>
      <c r="E355" s="3" t="s">
        <v>108</v>
      </c>
      <c r="F355" s="3" t="s">
        <v>109</v>
      </c>
      <c r="G355" s="3">
        <v>70686</v>
      </c>
      <c r="H355" s="7" t="str">
        <f>HYPERLINK("http://www.ensembl.org/Mus_musculus/Gene/Summary?db=core;g=ENSMUSG00000030203","ENSMUSG00000030203")</f>
        <v>ENSMUSG00000030203</v>
      </c>
      <c r="I355" s="7" t="str">
        <f>HYPERLINK("http://www.informatics.jax.org/marker/MGI:1917936","MGI:1917936")</f>
        <v>MGI:1917936</v>
      </c>
      <c r="J355" s="4" t="s">
        <v>12</v>
      </c>
    </row>
    <row r="356" spans="1:10" x14ac:dyDescent="0.25">
      <c r="A356" s="2">
        <v>358.00519198680701</v>
      </c>
      <c r="B356" s="3">
        <v>2.0846700102309801</v>
      </c>
      <c r="C356" s="5">
        <v>2.7037976565575199E-146</v>
      </c>
      <c r="D356" s="6">
        <v>8.7994129090644103E-144</v>
      </c>
      <c r="E356" s="3" t="s">
        <v>132</v>
      </c>
      <c r="F356" s="3" t="s">
        <v>133</v>
      </c>
      <c r="G356" s="3">
        <v>19332</v>
      </c>
      <c r="H356" s="7" t="str">
        <f>HYPERLINK("http://www.ensembl.org/Mus_musculus/Gene/Summary?db=core;g=ENSMUSG00000031504","ENSMUSG00000031504")</f>
        <v>ENSMUSG00000031504</v>
      </c>
      <c r="I356" s="7" t="str">
        <f>HYPERLINK("http://www.informatics.jax.org/marker/MGI:102789","MGI:102789")</f>
        <v>MGI:102789</v>
      </c>
      <c r="J356" s="4" t="s">
        <v>12</v>
      </c>
    </row>
    <row r="357" spans="1:10" x14ac:dyDescent="0.25">
      <c r="A357" s="2">
        <v>20.9851163007114</v>
      </c>
      <c r="B357" s="3">
        <v>2.0819410278611201</v>
      </c>
      <c r="C357" s="5">
        <v>7.4230715384966006E-12</v>
      </c>
      <c r="D357" s="6">
        <v>6.9734782880979595E-11</v>
      </c>
      <c r="E357" s="3" t="s">
        <v>7422</v>
      </c>
      <c r="F357" s="3" t="s">
        <v>7423</v>
      </c>
      <c r="G357" s="3">
        <v>15375</v>
      </c>
      <c r="H357" s="7" t="str">
        <f>HYPERLINK("http://www.ensembl.org/Mus_musculus/Gene/Summary?db=core;g=ENSMUSG00000035451","ENSMUSG00000035451")</f>
        <v>ENSMUSG00000035451</v>
      </c>
      <c r="I357" s="7" t="str">
        <f>HYPERLINK("http://www.informatics.jax.org/marker/MGI:1347472","MGI:1347472")</f>
        <v>MGI:1347472</v>
      </c>
      <c r="J357" s="4" t="s">
        <v>12</v>
      </c>
    </row>
    <row r="358" spans="1:10" x14ac:dyDescent="0.25">
      <c r="A358" s="2">
        <v>51.6200215231828</v>
      </c>
      <c r="B358" s="3">
        <v>2.07978113499713</v>
      </c>
      <c r="C358" s="5">
        <v>4.6863739619632998E-7</v>
      </c>
      <c r="D358" s="6">
        <v>2.7105415885998499E-6</v>
      </c>
      <c r="E358" s="3" t="s">
        <v>874</v>
      </c>
      <c r="F358" s="3" t="s">
        <v>875</v>
      </c>
      <c r="G358" s="3">
        <v>71586</v>
      </c>
      <c r="H358" s="7" t="str">
        <f>HYPERLINK("http://www.ensembl.org/Mus_musculus/Gene/Summary?db=core;g=ENSMUSG00000026896","ENSMUSG00000026896")</f>
        <v>ENSMUSG00000026896</v>
      </c>
      <c r="I358" s="7" t="str">
        <f>HYPERLINK("http://www.informatics.jax.org/marker/MGI:1918836","MGI:1918836")</f>
        <v>MGI:1918836</v>
      </c>
      <c r="J358" s="4" t="s">
        <v>12</v>
      </c>
    </row>
    <row r="359" spans="1:10" x14ac:dyDescent="0.25">
      <c r="A359" s="2">
        <v>5114.2783728618097</v>
      </c>
      <c r="B359" s="3">
        <v>2.0788657113042199</v>
      </c>
      <c r="C359" s="5">
        <v>2.77521338791779E-57</v>
      </c>
      <c r="D359" s="6">
        <v>1.5707535402112399E-55</v>
      </c>
      <c r="E359" s="3" t="s">
        <v>924</v>
      </c>
      <c r="F359" s="3" t="s">
        <v>925</v>
      </c>
      <c r="G359" s="3">
        <v>24088</v>
      </c>
      <c r="H359" s="7" t="str">
        <f>HYPERLINK("http://www.ensembl.org/Mus_musculus/Gene/Summary?db=core;g=ENSMUSG00000027995","ENSMUSG00000027995")</f>
        <v>ENSMUSG00000027995</v>
      </c>
      <c r="I359" s="7" t="str">
        <f>HYPERLINK("http://www.informatics.jax.org/marker/MGI:1346060","MGI:1346060")</f>
        <v>MGI:1346060</v>
      </c>
      <c r="J359" s="4" t="s">
        <v>12</v>
      </c>
    </row>
    <row r="360" spans="1:10" x14ac:dyDescent="0.25">
      <c r="A360" s="2">
        <v>750.33127797956604</v>
      </c>
      <c r="B360" s="3">
        <v>2.0729836551826302</v>
      </c>
      <c r="C360" s="5">
        <v>2.8947949308987199E-21</v>
      </c>
      <c r="D360" s="6">
        <v>4.8224531641343E-20</v>
      </c>
      <c r="E360" s="3" t="s">
        <v>1468</v>
      </c>
      <c r="F360" s="3" t="s">
        <v>1469</v>
      </c>
      <c r="G360" s="3">
        <v>20847</v>
      </c>
      <c r="H360" s="7" t="str">
        <f>HYPERLINK("http://www.ensembl.org/Mus_musculus/Gene/Summary?db=core;g=ENSMUSG00000040033","ENSMUSG00000040033")</f>
        <v>ENSMUSG00000040033</v>
      </c>
      <c r="I360" s="7" t="str">
        <f>HYPERLINK("http://www.informatics.jax.org/marker/MGI:103039","MGI:103039")</f>
        <v>MGI:103039</v>
      </c>
      <c r="J360" s="4" t="s">
        <v>12</v>
      </c>
    </row>
    <row r="361" spans="1:10" x14ac:dyDescent="0.25">
      <c r="A361" s="2">
        <v>2582.3531742312298</v>
      </c>
      <c r="B361" s="3">
        <v>2.0638467177826301</v>
      </c>
      <c r="C361" s="5">
        <v>6.6431447740268904E-50</v>
      </c>
      <c r="D361" s="6">
        <v>3.16940611273927E-48</v>
      </c>
      <c r="E361" s="3" t="s">
        <v>1152</v>
      </c>
      <c r="F361" s="3" t="s">
        <v>1153</v>
      </c>
      <c r="G361" s="3">
        <v>11853</v>
      </c>
      <c r="H361" s="7" t="str">
        <f>HYPERLINK("http://www.ensembl.org/Mus_musculus/Gene/Summary?db=core;g=ENSMUSG00000002233","ENSMUSG00000002233")</f>
        <v>ENSMUSG00000002233</v>
      </c>
      <c r="I361" s="7" t="str">
        <f>HYPERLINK("http://www.informatics.jax.org/marker/MGI:106028","MGI:106028")</f>
        <v>MGI:106028</v>
      </c>
      <c r="J361" s="4" t="s">
        <v>12</v>
      </c>
    </row>
    <row r="362" spans="1:10" x14ac:dyDescent="0.25">
      <c r="A362" s="2">
        <v>342.16200207191798</v>
      </c>
      <c r="B362" s="3">
        <v>2.0624678745466198</v>
      </c>
      <c r="C362" s="5">
        <v>1.4974108597682E-68</v>
      </c>
      <c r="D362" s="6">
        <v>1.09599650278215E-66</v>
      </c>
      <c r="E362" s="3" t="s">
        <v>456</v>
      </c>
      <c r="F362" s="3" t="s">
        <v>457</v>
      </c>
      <c r="G362" s="3" t="s">
        <v>83</v>
      </c>
      <c r="H362" s="7" t="str">
        <f>HYPERLINK("http://www.ensembl.org/Mus_musculus/Gene/Summary?db=core;g=ENSMUSG00000072621","ENSMUSG00000072621")</f>
        <v>ENSMUSG00000072621</v>
      </c>
      <c r="I362" s="7" t="str">
        <f>HYPERLINK("http://www.informatics.jax.org/marker/MGI:3512288","MGI:3512288")</f>
        <v>MGI:3512288</v>
      </c>
      <c r="J362" s="4" t="s">
        <v>320</v>
      </c>
    </row>
    <row r="363" spans="1:10" x14ac:dyDescent="0.25">
      <c r="A363" s="2">
        <v>64.073876691872101</v>
      </c>
      <c r="B363" s="3">
        <v>2.0617906785413398</v>
      </c>
      <c r="C363" s="5">
        <v>8.0070560593318204E-30</v>
      </c>
      <c r="D363" s="6">
        <v>1.96404571576477E-28</v>
      </c>
      <c r="E363" s="3" t="s">
        <v>2451</v>
      </c>
      <c r="F363" s="3" t="s">
        <v>2452</v>
      </c>
      <c r="G363" s="3" t="s">
        <v>83</v>
      </c>
      <c r="H363" s="7" t="str">
        <f>HYPERLINK("http://www.ensembl.org/Mus_musculus/Gene/Summary?db=core;g=ENSMUSG00000067577","ENSMUSG00000067577")</f>
        <v>ENSMUSG00000067577</v>
      </c>
      <c r="I363" s="7" t="str">
        <f>HYPERLINK("http://www.informatics.jax.org/marker/MGI:2685520","MGI:2685520")</f>
        <v>MGI:2685520</v>
      </c>
      <c r="J363" s="4" t="s">
        <v>331</v>
      </c>
    </row>
    <row r="364" spans="1:10" x14ac:dyDescent="0.25">
      <c r="A364" s="2">
        <v>176.004535479894</v>
      </c>
      <c r="B364" s="3">
        <v>2.0598196997497502</v>
      </c>
      <c r="C364" s="5">
        <v>1.1485913080980099E-64</v>
      </c>
      <c r="D364" s="6">
        <v>7.7818128587681498E-63</v>
      </c>
      <c r="E364" s="3" t="s">
        <v>634</v>
      </c>
      <c r="F364" s="3" t="s">
        <v>635</v>
      </c>
      <c r="G364" s="3">
        <v>12051</v>
      </c>
      <c r="H364" s="7" t="str">
        <f>HYPERLINK("http://www.ensembl.org/Mus_musculus/Gene/Summary?db=core;g=ENSMUSG00000053175","ENSMUSG00000053175")</f>
        <v>ENSMUSG00000053175</v>
      </c>
      <c r="I364" s="7" t="str">
        <f>HYPERLINK("http://www.informatics.jax.org/marker/MGI:88140","MGI:88140")</f>
        <v>MGI:88140</v>
      </c>
      <c r="J364" s="4" t="s">
        <v>12</v>
      </c>
    </row>
    <row r="365" spans="1:10" x14ac:dyDescent="0.25">
      <c r="A365" s="2">
        <v>362.18221332332899</v>
      </c>
      <c r="B365" s="3">
        <v>2.0557306409671101</v>
      </c>
      <c r="C365" s="5">
        <v>4.92326026619233E-41</v>
      </c>
      <c r="D365" s="6">
        <v>1.7697518412496102E-39</v>
      </c>
      <c r="E365" s="3" t="s">
        <v>1901</v>
      </c>
      <c r="F365" s="3" t="s">
        <v>1902</v>
      </c>
      <c r="G365" s="3">
        <v>277203</v>
      </c>
      <c r="H365" s="7" t="str">
        <f>HYPERLINK("http://www.ensembl.org/Mus_musculus/Gene/Summary?db=core;g=ENSMUSG00000079625","ENSMUSG00000079625")</f>
        <v>ENSMUSG00000079625</v>
      </c>
      <c r="I365" s="7" t="str">
        <f>HYPERLINK("http://www.informatics.jax.org/marker/MGI:3645933","MGI:3645933")</f>
        <v>MGI:3645933</v>
      </c>
      <c r="J365" s="4" t="s">
        <v>12</v>
      </c>
    </row>
    <row r="366" spans="1:10" x14ac:dyDescent="0.25">
      <c r="A366" s="2">
        <v>107.665598435907</v>
      </c>
      <c r="B366" s="3">
        <v>2.0555263743804399</v>
      </c>
      <c r="C366" s="5">
        <v>5.05000767533063E-12</v>
      </c>
      <c r="D366" s="6">
        <v>4.8111024507527902E-11</v>
      </c>
      <c r="E366" s="3" t="s">
        <v>4409</v>
      </c>
      <c r="F366" s="3" t="s">
        <v>4410</v>
      </c>
      <c r="G366" s="3">
        <v>14058</v>
      </c>
      <c r="H366" s="7" t="str">
        <f>HYPERLINK("http://www.ensembl.org/Mus_musculus/Gene/Summary?db=core;g=ENSMUSG00000031444","ENSMUSG00000031444")</f>
        <v>ENSMUSG00000031444</v>
      </c>
      <c r="I366" s="7" t="str">
        <f>HYPERLINK("http://www.informatics.jax.org/marker/MGI:103107","MGI:103107")</f>
        <v>MGI:103107</v>
      </c>
      <c r="J366" s="4" t="s">
        <v>12</v>
      </c>
    </row>
    <row r="367" spans="1:10" x14ac:dyDescent="0.25">
      <c r="A367" s="2">
        <v>7869.6926081696802</v>
      </c>
      <c r="B367" s="3">
        <v>2.0501501128377599</v>
      </c>
      <c r="C367" s="5">
        <v>3.8108928087383799E-82</v>
      </c>
      <c r="D367" s="6">
        <v>3.8161275516075301E-80</v>
      </c>
      <c r="E367" s="3" t="s">
        <v>520</v>
      </c>
      <c r="F367" s="3" t="s">
        <v>521</v>
      </c>
      <c r="G367" s="3">
        <v>21928</v>
      </c>
      <c r="H367" s="7" t="str">
        <f>HYPERLINK("http://www.ensembl.org/Mus_musculus/Gene/Summary?db=core;g=ENSMUSG00000021281","ENSMUSG00000021281")</f>
        <v>ENSMUSG00000021281</v>
      </c>
      <c r="I367" s="7" t="str">
        <f>HYPERLINK("http://www.informatics.jax.org/marker/MGI:104960","MGI:104960")</f>
        <v>MGI:104960</v>
      </c>
      <c r="J367" s="4" t="s">
        <v>12</v>
      </c>
    </row>
    <row r="368" spans="1:10" x14ac:dyDescent="0.25">
      <c r="A368" s="2">
        <v>13.250592346435401</v>
      </c>
      <c r="B368" s="3">
        <v>2.0448139313792502</v>
      </c>
      <c r="C368" s="5">
        <v>1.0251028421193401E-9</v>
      </c>
      <c r="D368" s="6">
        <v>7.9364907806393497E-9</v>
      </c>
      <c r="E368" s="3" t="s">
        <v>6555</v>
      </c>
      <c r="F368" s="3" t="s">
        <v>6556</v>
      </c>
      <c r="G368" s="3">
        <v>69903</v>
      </c>
      <c r="H368" s="7" t="str">
        <f>HYPERLINK("http://www.ensembl.org/Mus_musculus/Gene/Summary?db=core;g=ENSMUSG00000044562","ENSMUSG00000044562")</f>
        <v>ENSMUSG00000044562</v>
      </c>
      <c r="I368" s="7" t="str">
        <f>HYPERLINK("http://www.informatics.jax.org/marker/MGI:1917153","MGI:1917153")</f>
        <v>MGI:1917153</v>
      </c>
      <c r="J368" s="4" t="s">
        <v>12</v>
      </c>
    </row>
    <row r="369" spans="1:10" x14ac:dyDescent="0.25">
      <c r="A369" s="2">
        <v>623.91290692930795</v>
      </c>
      <c r="B369" s="3">
        <v>2.04158254411269</v>
      </c>
      <c r="C369" s="5">
        <v>5.67375998235515E-55</v>
      </c>
      <c r="D369" s="6">
        <v>3.0235168327024101E-53</v>
      </c>
      <c r="E369" s="3" t="s">
        <v>546</v>
      </c>
      <c r="F369" s="3" t="s">
        <v>547</v>
      </c>
      <c r="G369" s="3">
        <v>67916</v>
      </c>
      <c r="H369" s="7" t="str">
        <f>HYPERLINK("http://www.ensembl.org/Mus_musculus/Gene/Summary?db=core;g=ENSMUSG00000028517","ENSMUSG00000028517")</f>
        <v>ENSMUSG00000028517</v>
      </c>
      <c r="I369" s="7" t="str">
        <f>HYPERLINK("http://www.informatics.jax.org/marker/MGI:1915166","MGI:1915166")</f>
        <v>MGI:1915166</v>
      </c>
      <c r="J369" s="4" t="s">
        <v>12</v>
      </c>
    </row>
    <row r="370" spans="1:10" x14ac:dyDescent="0.25">
      <c r="A370" s="2">
        <v>20.906848843417201</v>
      </c>
      <c r="B370" s="3">
        <v>2.0397552251266098</v>
      </c>
      <c r="C370" s="5">
        <v>2.7182287025501701E-8</v>
      </c>
      <c r="D370" s="6">
        <v>1.80670014967093E-7</v>
      </c>
      <c r="E370" s="3" t="s">
        <v>3264</v>
      </c>
      <c r="F370" s="3" t="s">
        <v>3265</v>
      </c>
      <c r="G370" s="3">
        <v>16891</v>
      </c>
      <c r="H370" s="7" t="str">
        <f>HYPERLINK("http://www.ensembl.org/Mus_musculus/Gene/Summary?db=core;g=ENSMUSG00000053846","ENSMUSG00000053846")</f>
        <v>ENSMUSG00000053846</v>
      </c>
      <c r="I370" s="7" t="str">
        <f>HYPERLINK("http://www.informatics.jax.org/marker/MGI:1341803","MGI:1341803")</f>
        <v>MGI:1341803</v>
      </c>
      <c r="J370" s="4" t="s">
        <v>12</v>
      </c>
    </row>
    <row r="371" spans="1:10" x14ac:dyDescent="0.25">
      <c r="A371" s="2">
        <v>951.12303916633505</v>
      </c>
      <c r="B371" s="3">
        <v>2.03737018269099</v>
      </c>
      <c r="C371" s="5">
        <v>4.8778313344991801E-71</v>
      </c>
      <c r="D371" s="6">
        <v>3.8484188775431799E-69</v>
      </c>
      <c r="E371" s="3" t="s">
        <v>1082</v>
      </c>
      <c r="F371" s="3" t="s">
        <v>1083</v>
      </c>
      <c r="G371" s="3">
        <v>18987</v>
      </c>
      <c r="H371" s="7" t="str">
        <f>HYPERLINK("http://www.ensembl.org/Mus_musculus/Gene/Summary?db=core;g=ENSMUSG00000008496","ENSMUSG00000008496")</f>
        <v>ENSMUSG00000008496</v>
      </c>
      <c r="I371" s="7" t="str">
        <f>HYPERLINK("http://www.informatics.jax.org/marker/MGI:101897","MGI:101897")</f>
        <v>MGI:101897</v>
      </c>
      <c r="J371" s="4" t="s">
        <v>12</v>
      </c>
    </row>
    <row r="372" spans="1:10" x14ac:dyDescent="0.25">
      <c r="A372" s="2">
        <v>38.283753667733301</v>
      </c>
      <c r="B372" s="3">
        <v>2.0322812228411902</v>
      </c>
      <c r="C372" s="5">
        <v>2.9629794667156801E-15</v>
      </c>
      <c r="D372" s="6">
        <v>3.5225245127784299E-14</v>
      </c>
      <c r="E372" s="3" t="s">
        <v>2103</v>
      </c>
      <c r="F372" s="3" t="s">
        <v>2104</v>
      </c>
      <c r="G372" s="3">
        <v>19201</v>
      </c>
      <c r="H372" s="7" t="str">
        <f>HYPERLINK("http://www.ensembl.org/Mus_musculus/Gene/Summary?db=core;g=ENSMUSG00000025429","ENSMUSG00000025429")</f>
        <v>ENSMUSG00000025429</v>
      </c>
      <c r="I372" s="7" t="str">
        <f>HYPERLINK("http://www.informatics.jax.org/marker/MGI:1335088","MGI:1335088")</f>
        <v>MGI:1335088</v>
      </c>
      <c r="J372" s="4" t="s">
        <v>12</v>
      </c>
    </row>
    <row r="373" spans="1:10" x14ac:dyDescent="0.25">
      <c r="A373" s="2">
        <v>3484.10104500648</v>
      </c>
      <c r="B373" s="3">
        <v>2.0150782243851202</v>
      </c>
      <c r="C373" s="5">
        <v>5.4437776647046701E-28</v>
      </c>
      <c r="D373" s="6">
        <v>1.24016059924053E-26</v>
      </c>
      <c r="E373" s="3" t="s">
        <v>1246</v>
      </c>
      <c r="F373" s="3" t="s">
        <v>1247</v>
      </c>
      <c r="G373" s="3">
        <v>20971</v>
      </c>
      <c r="H373" s="7" t="str">
        <f>HYPERLINK("http://www.ensembl.org/Mus_musculus/Gene/Summary?db=core;g=ENSMUSG00000017009","ENSMUSG00000017009")</f>
        <v>ENSMUSG00000017009</v>
      </c>
      <c r="I373" s="7" t="str">
        <f>HYPERLINK("http://www.informatics.jax.org/marker/MGI:1349164","MGI:1349164")</f>
        <v>MGI:1349164</v>
      </c>
      <c r="J373" s="4" t="s">
        <v>12</v>
      </c>
    </row>
    <row r="374" spans="1:10" x14ac:dyDescent="0.25">
      <c r="A374" s="2">
        <v>80.532651288131305</v>
      </c>
      <c r="B374" s="3">
        <v>2.0137075341420698</v>
      </c>
      <c r="C374" s="5">
        <v>1.6129401268603499E-10</v>
      </c>
      <c r="D374" s="6">
        <v>1.3577752338119999E-9</v>
      </c>
      <c r="E374" s="3" t="s">
        <v>8479</v>
      </c>
      <c r="F374" s="3" t="s">
        <v>8480</v>
      </c>
      <c r="G374" s="3">
        <v>72027</v>
      </c>
      <c r="H374" s="7" t="str">
        <f>HYPERLINK("http://www.ensembl.org/Mus_musculus/Gene/Summary?db=core;g=ENSMUSG00000063354","ENSMUSG00000063354")</f>
        <v>ENSMUSG00000063354</v>
      </c>
      <c r="I374" s="7" t="str">
        <f>HYPERLINK("http://www.informatics.jax.org/marker/MGI:1919277","MGI:1919277")</f>
        <v>MGI:1919277</v>
      </c>
      <c r="J374" s="4" t="s">
        <v>12</v>
      </c>
    </row>
    <row r="375" spans="1:10" x14ac:dyDescent="0.25">
      <c r="A375" s="2">
        <v>4.8178277153549498</v>
      </c>
      <c r="B375" s="3">
        <v>2.0067267825414401</v>
      </c>
      <c r="C375" s="5">
        <v>1.69214783686253E-5</v>
      </c>
      <c r="D375" s="6">
        <v>7.99362216869351E-5</v>
      </c>
      <c r="E375" s="3" t="s">
        <v>6447</v>
      </c>
      <c r="F375" s="3" t="s">
        <v>6448</v>
      </c>
      <c r="G375" s="3">
        <v>20415</v>
      </c>
      <c r="H375" s="7" t="str">
        <f>HYPERLINK("http://www.ensembl.org/Mus_musculus/Gene/Summary?db=core;g=ENSMUSG00000005202","ENSMUSG00000005202")</f>
        <v>ENSMUSG00000005202</v>
      </c>
      <c r="I375" s="7" t="str">
        <f>HYPERLINK("http://www.informatics.jax.org/marker/MGI:98295","MGI:98295")</f>
        <v>MGI:98295</v>
      </c>
      <c r="J375" s="4" t="s">
        <v>12</v>
      </c>
    </row>
    <row r="376" spans="1:10" x14ac:dyDescent="0.25">
      <c r="A376" s="2">
        <v>2.5309578316020298</v>
      </c>
      <c r="B376" s="3">
        <v>2.0045954160896899</v>
      </c>
      <c r="C376" s="5">
        <v>1.8740504866364501E-5</v>
      </c>
      <c r="D376" s="6">
        <v>8.8049935857048998E-5</v>
      </c>
      <c r="E376" s="3" t="s">
        <v>9988</v>
      </c>
      <c r="F376" s="3" t="s">
        <v>9989</v>
      </c>
      <c r="G376" s="3">
        <v>231134</v>
      </c>
      <c r="H376" s="7" t="str">
        <f>HYPERLINK("http://www.ensembl.org/Mus_musculus/Gene/Summary?db=core;g=ENSMUSG00000044716","ENSMUSG00000044716")</f>
        <v>ENSMUSG00000044716</v>
      </c>
      <c r="I376" s="7" t="str">
        <f>HYPERLINK("http://www.informatics.jax.org/marker/MGI:3584043","MGI:3584043")</f>
        <v>MGI:3584043</v>
      </c>
      <c r="J376" s="4" t="s">
        <v>12</v>
      </c>
    </row>
    <row r="377" spans="1:10" x14ac:dyDescent="0.25">
      <c r="A377" s="2">
        <v>2813.53647272733</v>
      </c>
      <c r="B377" s="3">
        <v>2.0029720857750299</v>
      </c>
      <c r="C377" s="5">
        <v>3.3795213768093399E-118</v>
      </c>
      <c r="D377" s="6">
        <v>7.1618345456221201E-116</v>
      </c>
      <c r="E377" s="3" t="s">
        <v>170</v>
      </c>
      <c r="F377" s="3" t="s">
        <v>171</v>
      </c>
      <c r="G377" s="3">
        <v>11910</v>
      </c>
      <c r="H377" s="7" t="str">
        <f>HYPERLINK("http://www.ensembl.org/Mus_musculus/Gene/Summary?db=core;g=ENSMUSG00000026628","ENSMUSG00000026628")</f>
        <v>ENSMUSG00000026628</v>
      </c>
      <c r="I377" s="7" t="str">
        <f>HYPERLINK("http://www.informatics.jax.org/marker/MGI:109384","MGI:109384")</f>
        <v>MGI:109384</v>
      </c>
      <c r="J377" s="4" t="s">
        <v>12</v>
      </c>
    </row>
    <row r="378" spans="1:10" x14ac:dyDescent="0.25">
      <c r="A378" s="2">
        <v>356.80047396047701</v>
      </c>
      <c r="B378" s="3">
        <v>2.0014632265648999</v>
      </c>
      <c r="C378" s="5">
        <v>3.5838265253992898E-52</v>
      </c>
      <c r="D378" s="6">
        <v>1.7748706093859301E-50</v>
      </c>
      <c r="E378" s="3" t="s">
        <v>616</v>
      </c>
      <c r="F378" s="3" t="s">
        <v>617</v>
      </c>
      <c r="G378" s="3">
        <v>18413</v>
      </c>
      <c r="H378" s="7" t="str">
        <f>HYPERLINK("http://www.ensembl.org/Mus_musculus/Gene/Summary?db=core;g=ENSMUSG00000058755","ENSMUSG00000058755")</f>
        <v>ENSMUSG00000058755</v>
      </c>
      <c r="I378" s="7" t="str">
        <f>HYPERLINK("http://www.informatics.jax.org/marker/MGI:104749","MGI:104749")</f>
        <v>MGI:104749</v>
      </c>
      <c r="J378" s="4" t="s">
        <v>12</v>
      </c>
    </row>
    <row r="379" spans="1:10" x14ac:dyDescent="0.25">
      <c r="A379" s="2">
        <v>20.347234046074501</v>
      </c>
      <c r="B379" s="3">
        <v>2.00137315875065</v>
      </c>
      <c r="C379" s="5">
        <v>3.87349330576992E-7</v>
      </c>
      <c r="D379" s="6">
        <v>2.26991689703077E-6</v>
      </c>
      <c r="E379" s="3" t="s">
        <v>3348</v>
      </c>
      <c r="F379" s="3" t="s">
        <v>3349</v>
      </c>
      <c r="G379" s="3">
        <v>16169</v>
      </c>
      <c r="H379" s="7" t="str">
        <f>HYPERLINK("http://www.ensembl.org/Mus_musculus/Gene/Summary?db=core;g=ENSMUSG00000023206","ENSMUSG00000023206")</f>
        <v>ENSMUSG00000023206</v>
      </c>
      <c r="I379" s="7" t="str">
        <f>HYPERLINK("http://www.informatics.jax.org/marker/MGI:104644","MGI:104644")</f>
        <v>MGI:104644</v>
      </c>
      <c r="J379" s="4" t="s">
        <v>12</v>
      </c>
    </row>
    <row r="380" spans="1:10" x14ac:dyDescent="0.25">
      <c r="A380" s="2">
        <v>307.91850754115501</v>
      </c>
      <c r="B380" s="3">
        <v>2.0011590072057599</v>
      </c>
      <c r="C380" s="5">
        <v>7.0287929277510501E-40</v>
      </c>
      <c r="D380" s="6">
        <v>2.4307353151473001E-38</v>
      </c>
      <c r="E380" s="3" t="s">
        <v>1050</v>
      </c>
      <c r="F380" s="3" t="s">
        <v>1051</v>
      </c>
      <c r="G380" s="3">
        <v>240672</v>
      </c>
      <c r="H380" s="7" t="str">
        <f>HYPERLINK("http://www.ensembl.org/Mus_musculus/Gene/Summary?db=core;g=ENSMUSG00000034765","ENSMUSG00000034765")</f>
        <v>ENSMUSG00000034765</v>
      </c>
      <c r="I380" s="7" t="str">
        <f>HYPERLINK("http://www.informatics.jax.org/marker/MGI:2685183","MGI:2685183")</f>
        <v>MGI:2685183</v>
      </c>
      <c r="J380" s="4" t="s">
        <v>12</v>
      </c>
    </row>
    <row r="381" spans="1:10" x14ac:dyDescent="0.25">
      <c r="A381" s="2">
        <v>5.3912238770512699</v>
      </c>
      <c r="B381" s="3">
        <v>2.0007339943536899</v>
      </c>
      <c r="C381" s="5">
        <v>1.74861936085415E-5</v>
      </c>
      <c r="D381" s="6">
        <v>8.25183528005358E-5</v>
      </c>
      <c r="E381" s="3" t="s">
        <v>8219</v>
      </c>
      <c r="F381" s="3" t="s">
        <v>8220</v>
      </c>
      <c r="G381" s="3">
        <v>13421</v>
      </c>
      <c r="H381" s="7" t="str">
        <f>HYPERLINK("http://www.ensembl.org/Mus_musculus/Gene/Summary?db=core;g=ENSMUSG00000025279","ENSMUSG00000025279")</f>
        <v>ENSMUSG00000025279</v>
      </c>
      <c r="I381" s="7" t="str">
        <f>HYPERLINK("http://www.informatics.jax.org/marker/MGI:1314633","MGI:1314633")</f>
        <v>MGI:1314633</v>
      </c>
      <c r="J381" s="4" t="s">
        <v>12</v>
      </c>
    </row>
    <row r="382" spans="1:10" x14ac:dyDescent="0.25">
      <c r="A382" s="2">
        <v>1465.82414587825</v>
      </c>
      <c r="B382" s="3">
        <v>1.9995594519617499</v>
      </c>
      <c r="C382" s="5">
        <v>5.9038537537215796E-22</v>
      </c>
      <c r="D382" s="6">
        <v>1.0198837408680201E-20</v>
      </c>
      <c r="E382" s="3" t="s">
        <v>2251</v>
      </c>
      <c r="F382" s="3" t="s">
        <v>2252</v>
      </c>
      <c r="G382" s="3">
        <v>18591</v>
      </c>
      <c r="H382" s="7" t="str">
        <f>HYPERLINK("http://www.ensembl.org/Mus_musculus/Gene/Summary?db=core;g=ENSMUSG00000000489","ENSMUSG00000000489")</f>
        <v>ENSMUSG00000000489</v>
      </c>
      <c r="I382" s="7" t="str">
        <f>HYPERLINK("http://www.informatics.jax.org/marker/MGI:97528","MGI:97528")</f>
        <v>MGI:97528</v>
      </c>
      <c r="J382" s="4" t="s">
        <v>12</v>
      </c>
    </row>
    <row r="383" spans="1:10" x14ac:dyDescent="0.25">
      <c r="A383" s="2">
        <v>4610.6770798003099</v>
      </c>
      <c r="B383" s="3">
        <v>1.9863785576942099</v>
      </c>
      <c r="C383" s="5">
        <v>2.8896829671439001E-99</v>
      </c>
      <c r="D383" s="6">
        <v>4.17972000604743E-97</v>
      </c>
      <c r="E383" s="3" t="s">
        <v>262</v>
      </c>
      <c r="F383" s="3" t="s">
        <v>263</v>
      </c>
      <c r="G383" s="3">
        <v>20963</v>
      </c>
      <c r="H383" s="7" t="str">
        <f>HYPERLINK("http://www.ensembl.org/Mus_musculus/Gene/Summary?db=core;g=ENSMUSG00000021457","ENSMUSG00000021457")</f>
        <v>ENSMUSG00000021457</v>
      </c>
      <c r="I383" s="7" t="str">
        <f>HYPERLINK("http://www.informatics.jax.org/marker/MGI:99515","MGI:99515")</f>
        <v>MGI:99515</v>
      </c>
      <c r="J383" s="4" t="s">
        <v>12</v>
      </c>
    </row>
    <row r="384" spans="1:10" x14ac:dyDescent="0.25">
      <c r="A384" s="2">
        <v>4700.0232678673301</v>
      </c>
      <c r="B384" s="3">
        <v>1.98575824562924</v>
      </c>
      <c r="C384" s="3">
        <v>0</v>
      </c>
      <c r="D384" s="4">
        <v>0</v>
      </c>
      <c r="E384" s="3" t="s">
        <v>23</v>
      </c>
      <c r="F384" s="3" t="s">
        <v>24</v>
      </c>
      <c r="G384" s="3">
        <v>320207</v>
      </c>
      <c r="H384" s="7" t="str">
        <f>HYPERLINK("http://www.ensembl.org/Mus_musculus/Gene/Summary?db=core;g=ENSMUSG00000020901","ENSMUSG00000020901")</f>
        <v>ENSMUSG00000020901</v>
      </c>
      <c r="I384" s="7" t="str">
        <f>HYPERLINK("http://www.informatics.jax.org/marker/MGI:2443588","MGI:2443588")</f>
        <v>MGI:2443588</v>
      </c>
      <c r="J384" s="4" t="s">
        <v>12</v>
      </c>
    </row>
    <row r="385" spans="1:10" x14ac:dyDescent="0.25">
      <c r="A385" s="2">
        <v>5463.7980075278401</v>
      </c>
      <c r="B385" s="3">
        <v>1.9830649089921299</v>
      </c>
      <c r="C385" s="5">
        <v>5.35251861691409E-238</v>
      </c>
      <c r="D385" s="6">
        <v>4.8774825896629598E-235</v>
      </c>
      <c r="E385" s="3" t="s">
        <v>31</v>
      </c>
      <c r="F385" s="3" t="s">
        <v>32</v>
      </c>
      <c r="G385" s="3">
        <v>20656</v>
      </c>
      <c r="H385" s="7" t="str">
        <f>HYPERLINK("http://www.ensembl.org/Mus_musculus/Gene/Summary?db=core;g=ENSMUSG00000006818","ENSMUSG00000006818")</f>
        <v>ENSMUSG00000006818</v>
      </c>
      <c r="I385" s="7" t="str">
        <f>HYPERLINK("http://www.informatics.jax.org/marker/MGI:98352","MGI:98352")</f>
        <v>MGI:98352</v>
      </c>
      <c r="J385" s="4" t="s">
        <v>12</v>
      </c>
    </row>
    <row r="386" spans="1:10" x14ac:dyDescent="0.25">
      <c r="A386" s="2">
        <v>3.3394825695332599</v>
      </c>
      <c r="B386" s="3">
        <v>1.98064340147254</v>
      </c>
      <c r="C386" s="5">
        <v>2.3757056545011301E-5</v>
      </c>
      <c r="D386" s="4">
        <v>1.09863576638628E-4</v>
      </c>
      <c r="E386" s="3" t="s">
        <v>8515</v>
      </c>
      <c r="F386" s="3" t="s">
        <v>8516</v>
      </c>
      <c r="G386" s="3">
        <v>217306</v>
      </c>
      <c r="H386" s="7" t="str">
        <f>HYPERLINK("http://www.ensembl.org/Mus_musculus/Gene/Summary?db=core;g=ENSMUSG00000048498","ENSMUSG00000048498")</f>
        <v>ENSMUSG00000048498</v>
      </c>
      <c r="I386" s="7" t="str">
        <f>HYPERLINK("http://www.informatics.jax.org/marker/MGI:2387602","MGI:2387602")</f>
        <v>MGI:2387602</v>
      </c>
      <c r="J386" s="4" t="s">
        <v>12</v>
      </c>
    </row>
    <row r="387" spans="1:10" x14ac:dyDescent="0.25">
      <c r="A387" s="2">
        <v>3977.1975856580202</v>
      </c>
      <c r="B387" s="3">
        <v>1.9803793097545599</v>
      </c>
      <c r="C387" s="5">
        <v>3.3794915845523002E-203</v>
      </c>
      <c r="D387" s="6">
        <v>1.9247260665145499E-200</v>
      </c>
      <c r="E387" s="3" t="s">
        <v>102</v>
      </c>
      <c r="F387" s="3" t="s">
        <v>103</v>
      </c>
      <c r="G387" s="3">
        <v>18033</v>
      </c>
      <c r="H387" s="7" t="str">
        <f>HYPERLINK("http://www.ensembl.org/Mus_musculus/Gene/Summary?db=core;g=ENSMUSG00000028163","ENSMUSG00000028163")</f>
        <v>ENSMUSG00000028163</v>
      </c>
      <c r="I387" s="7" t="str">
        <f>HYPERLINK("http://www.informatics.jax.org/marker/MGI:97312","MGI:97312")</f>
        <v>MGI:97312</v>
      </c>
      <c r="J387" s="4" t="s">
        <v>12</v>
      </c>
    </row>
    <row r="388" spans="1:10" x14ac:dyDescent="0.25">
      <c r="A388" s="2">
        <v>54.181814778248899</v>
      </c>
      <c r="B388" s="3">
        <v>1.97782801204863</v>
      </c>
      <c r="C388" s="5">
        <v>1.44300662153334E-19</v>
      </c>
      <c r="D388" s="6">
        <v>2.19522501481178E-18</v>
      </c>
      <c r="E388" s="3" t="s">
        <v>6355</v>
      </c>
      <c r="F388" s="3" t="s">
        <v>6356</v>
      </c>
      <c r="G388" s="3">
        <v>12507</v>
      </c>
      <c r="H388" s="7" t="str">
        <f>HYPERLINK("http://www.ensembl.org/Mus_musculus/Gene/Summary?db=core;g=ENSMUSG00000024669","ENSMUSG00000024669")</f>
        <v>ENSMUSG00000024669</v>
      </c>
      <c r="I388" s="7" t="str">
        <f>HYPERLINK("http://www.informatics.jax.org/marker/MGI:88340","MGI:88340")</f>
        <v>MGI:88340</v>
      </c>
      <c r="J388" s="4" t="s">
        <v>12</v>
      </c>
    </row>
    <row r="389" spans="1:10" x14ac:dyDescent="0.25">
      <c r="A389" s="2">
        <v>4435.1740595110296</v>
      </c>
      <c r="B389" s="3">
        <v>1.97278157114599</v>
      </c>
      <c r="C389" s="5">
        <v>1.0454227229418E-81</v>
      </c>
      <c r="D389" s="6">
        <v>1.02434565191475E-79</v>
      </c>
      <c r="E389" s="3" t="s">
        <v>612</v>
      </c>
      <c r="F389" s="3" t="s">
        <v>613</v>
      </c>
      <c r="G389" s="3">
        <v>80752</v>
      </c>
      <c r="H389" s="7" t="str">
        <f>HYPERLINK("http://www.ensembl.org/Mus_musculus/Gene/Summary?db=core;g=ENSMUSG00000025854","ENSMUSG00000025854")</f>
        <v>ENSMUSG00000025854</v>
      </c>
      <c r="I389" s="7" t="str">
        <f>HYPERLINK("http://www.informatics.jax.org/marker/MGI:2136853","MGI:2136853")</f>
        <v>MGI:2136853</v>
      </c>
      <c r="J389" s="4" t="s">
        <v>12</v>
      </c>
    </row>
    <row r="390" spans="1:10" x14ac:dyDescent="0.25">
      <c r="A390" s="2">
        <v>4212.10231696964</v>
      </c>
      <c r="B390" s="3">
        <v>1.96750772077674</v>
      </c>
      <c r="C390" s="5">
        <v>1.88497640606064E-107</v>
      </c>
      <c r="D390" s="6">
        <v>3.1230631818595698E-105</v>
      </c>
      <c r="E390" s="3" t="s">
        <v>228</v>
      </c>
      <c r="F390" s="3" t="s">
        <v>229</v>
      </c>
      <c r="G390" s="3">
        <v>326618</v>
      </c>
      <c r="H390" s="7" t="str">
        <f>HYPERLINK("http://www.ensembl.org/Mus_musculus/Gene/Summary?db=core;g=ENSMUSG00000031799","ENSMUSG00000031799")</f>
        <v>ENSMUSG00000031799</v>
      </c>
      <c r="I390" s="7" t="str">
        <f>HYPERLINK("http://www.informatics.jax.org/marker/MGI:2449202","MGI:2449202")</f>
        <v>MGI:2449202</v>
      </c>
      <c r="J390" s="4" t="s">
        <v>12</v>
      </c>
    </row>
    <row r="391" spans="1:10" x14ac:dyDescent="0.25">
      <c r="A391" s="2">
        <v>6.37140515414921</v>
      </c>
      <c r="B391" s="3">
        <v>1.9657104466953399</v>
      </c>
      <c r="C391" s="5">
        <v>5.2385988544132898E-7</v>
      </c>
      <c r="D391" s="6">
        <v>3.0108314134873001E-6</v>
      </c>
      <c r="E391" s="3" t="s">
        <v>10182</v>
      </c>
      <c r="F391" s="3" t="s">
        <v>10183</v>
      </c>
      <c r="G391" s="3">
        <v>381677</v>
      </c>
      <c r="H391" s="7" t="str">
        <f>HYPERLINK("http://www.ensembl.org/Mus_musculus/Gene/Summary?db=core;g=ENSMUSG00000037428","ENSMUSG00000037428")</f>
        <v>ENSMUSG00000037428</v>
      </c>
      <c r="I391" s="7" t="str">
        <f>HYPERLINK("http://www.informatics.jax.org/marker/MGI:1343180","MGI:1343180")</f>
        <v>MGI:1343180</v>
      </c>
      <c r="J391" s="4" t="s">
        <v>12</v>
      </c>
    </row>
    <row r="392" spans="1:10" x14ac:dyDescent="0.25">
      <c r="A392" s="2">
        <v>220.52234639663999</v>
      </c>
      <c r="B392" s="3">
        <v>1.9600168004749201</v>
      </c>
      <c r="C392" s="5">
        <v>1.86354795505634E-13</v>
      </c>
      <c r="D392" s="6">
        <v>1.9919742804047998E-12</v>
      </c>
      <c r="E392" s="3" t="s">
        <v>2850</v>
      </c>
      <c r="F392" s="3" t="s">
        <v>2851</v>
      </c>
      <c r="G392" s="3">
        <v>18037</v>
      </c>
      <c r="H392" s="7" t="str">
        <f>HYPERLINK("http://www.ensembl.org/Mus_musculus/Gene/Summary?db=core;g=ENSMUSG00000023947","ENSMUSG00000023947")</f>
        <v>ENSMUSG00000023947</v>
      </c>
      <c r="I392" s="7" t="str">
        <f>HYPERLINK("http://www.informatics.jax.org/marker/MGI:1194908","MGI:1194908")</f>
        <v>MGI:1194908</v>
      </c>
      <c r="J392" s="4" t="s">
        <v>12</v>
      </c>
    </row>
    <row r="393" spans="1:10" x14ac:dyDescent="0.25">
      <c r="A393" s="2">
        <v>2912.4696238041802</v>
      </c>
      <c r="B393" s="3">
        <v>1.9578592117045399</v>
      </c>
      <c r="C393" s="5">
        <v>5.9298158617689103E-73</v>
      </c>
      <c r="D393" s="6">
        <v>4.9802255336745796E-71</v>
      </c>
      <c r="E393" s="3" t="s">
        <v>578</v>
      </c>
      <c r="F393" s="3" t="s">
        <v>579</v>
      </c>
      <c r="G393" s="3">
        <v>18034</v>
      </c>
      <c r="H393" s="7" t="str">
        <f>HYPERLINK("http://www.ensembl.org/Mus_musculus/Gene/Summary?db=core;g=ENSMUSG00000025225","ENSMUSG00000025225")</f>
        <v>ENSMUSG00000025225</v>
      </c>
      <c r="I393" s="7" t="str">
        <f>HYPERLINK("http://www.informatics.jax.org/marker/MGI:1099800","MGI:1099800")</f>
        <v>MGI:1099800</v>
      </c>
      <c r="J393" s="4" t="s">
        <v>12</v>
      </c>
    </row>
    <row r="394" spans="1:10" x14ac:dyDescent="0.25">
      <c r="A394" s="2">
        <v>1680.1845554121301</v>
      </c>
      <c r="B394" s="3">
        <v>1.9527313304810201</v>
      </c>
      <c r="C394" s="5">
        <v>8.1817959469441705E-104</v>
      </c>
      <c r="D394" s="6">
        <v>1.2744720609663E-101</v>
      </c>
      <c r="E394" s="3" t="s">
        <v>410</v>
      </c>
      <c r="F394" s="3" t="s">
        <v>411</v>
      </c>
      <c r="G394" s="3">
        <v>74645</v>
      </c>
      <c r="H394" s="7" t="str">
        <f>HYPERLINK("http://www.ensembl.org/Mus_musculus/Gene/Summary?db=core;g=ENSMUSG00000044468","ENSMUSG00000044468")</f>
        <v>ENSMUSG00000044468</v>
      </c>
      <c r="I394" s="7" t="str">
        <f>HYPERLINK("http://www.informatics.jax.org/marker/MGI:1921895","MGI:1921895")</f>
        <v>MGI:1921895</v>
      </c>
      <c r="J394" s="4" t="s">
        <v>12</v>
      </c>
    </row>
    <row r="395" spans="1:10" x14ac:dyDescent="0.25">
      <c r="A395" s="2">
        <v>310.40189889679999</v>
      </c>
      <c r="B395" s="3">
        <v>1.9487572047886701</v>
      </c>
      <c r="C395" s="5">
        <v>3.8309227603907699E-31</v>
      </c>
      <c r="D395" s="6">
        <v>9.8336010293129205E-30</v>
      </c>
      <c r="E395" s="3" t="s">
        <v>1464</v>
      </c>
      <c r="F395" s="3" t="s">
        <v>1465</v>
      </c>
      <c r="G395" s="3">
        <v>19204</v>
      </c>
      <c r="H395" s="7" t="str">
        <f>HYPERLINK("http://www.ensembl.org/Mus_musculus/Gene/Summary?db=core;g=ENSMUSG00000056529","ENSMUSG00000056529")</f>
        <v>ENSMUSG00000056529</v>
      </c>
      <c r="I395" s="7" t="str">
        <f>HYPERLINK("http://www.informatics.jax.org/marker/MGI:106066","MGI:106066")</f>
        <v>MGI:106066</v>
      </c>
      <c r="J395" s="4" t="s">
        <v>12</v>
      </c>
    </row>
    <row r="396" spans="1:10" x14ac:dyDescent="0.25">
      <c r="A396" s="2">
        <v>19.9361001758474</v>
      </c>
      <c r="B396" s="3">
        <v>1.94334544016654</v>
      </c>
      <c r="C396" s="5">
        <v>2.8090364717490298E-13</v>
      </c>
      <c r="D396" s="6">
        <v>2.9626556537978101E-12</v>
      </c>
      <c r="E396" s="3" t="s">
        <v>8743</v>
      </c>
      <c r="F396" s="3" t="s">
        <v>8744</v>
      </c>
      <c r="G396" s="3" t="s">
        <v>83</v>
      </c>
      <c r="H396" s="7" t="str">
        <f>HYPERLINK("http://www.ensembl.org/Mus_musculus/Gene/Summary?db=core;g=ENSMUSG00000101438","ENSMUSG00000101438")</f>
        <v>ENSMUSG00000101438</v>
      </c>
      <c r="I396" s="7" t="str">
        <f>HYPERLINK("http://www.informatics.jax.org/marker/MGI:5011597","MGI:5011597")</f>
        <v>MGI:5011597</v>
      </c>
      <c r="J396" s="4" t="s">
        <v>932</v>
      </c>
    </row>
    <row r="397" spans="1:10" x14ac:dyDescent="0.25">
      <c r="A397" s="2">
        <v>163.68161571452401</v>
      </c>
      <c r="B397" s="3">
        <v>1.9432558462209499</v>
      </c>
      <c r="C397" s="5">
        <v>3.8470004213745701E-37</v>
      </c>
      <c r="D397" s="6">
        <v>1.20260004596143E-35</v>
      </c>
      <c r="E397" s="3" t="s">
        <v>1810</v>
      </c>
      <c r="F397" s="3" t="s">
        <v>1811</v>
      </c>
      <c r="G397" s="3">
        <v>26410</v>
      </c>
      <c r="H397" s="7" t="str">
        <f>HYPERLINK("http://www.ensembl.org/Mus_musculus/Gene/Summary?db=core;g=ENSMUSG00000024235","ENSMUSG00000024235")</f>
        <v>ENSMUSG00000024235</v>
      </c>
      <c r="I397" s="7" t="str">
        <f>HYPERLINK("http://www.informatics.jax.org/marker/MGI:1346878","MGI:1346878")</f>
        <v>MGI:1346878</v>
      </c>
      <c r="J397" s="4" t="s">
        <v>12</v>
      </c>
    </row>
    <row r="398" spans="1:10" x14ac:dyDescent="0.25">
      <c r="A398" s="2">
        <v>195.89239006811201</v>
      </c>
      <c r="B398" s="3">
        <v>1.9392409192746201</v>
      </c>
      <c r="C398" s="5">
        <v>9.7218471346424806E-47</v>
      </c>
      <c r="D398" s="6">
        <v>4.2900887174057899E-45</v>
      </c>
      <c r="E398" s="3" t="s">
        <v>1724</v>
      </c>
      <c r="F398" s="3" t="s">
        <v>1725</v>
      </c>
      <c r="G398" s="3">
        <v>12142</v>
      </c>
      <c r="H398" s="7" t="str">
        <f>HYPERLINK("http://www.ensembl.org/Mus_musculus/Gene/Summary?db=core;g=ENSMUSG00000038151","ENSMUSG00000038151")</f>
        <v>ENSMUSG00000038151</v>
      </c>
      <c r="I398" s="7" t="str">
        <f>HYPERLINK("http://www.informatics.jax.org/marker/MGI:99655","MGI:99655")</f>
        <v>MGI:99655</v>
      </c>
      <c r="J398" s="4" t="s">
        <v>12</v>
      </c>
    </row>
    <row r="399" spans="1:10" x14ac:dyDescent="0.25">
      <c r="A399" s="2">
        <v>261.196650403722</v>
      </c>
      <c r="B399" s="3">
        <v>1.9353058577003801</v>
      </c>
      <c r="C399" s="5">
        <v>4.4650457527602902E-85</v>
      </c>
      <c r="D399" s="6">
        <v>4.84377731214621E-83</v>
      </c>
      <c r="E399" s="3" t="s">
        <v>402</v>
      </c>
      <c r="F399" s="3" t="s">
        <v>403</v>
      </c>
      <c r="G399" s="3">
        <v>54427</v>
      </c>
      <c r="H399" s="7" t="str">
        <f>HYPERLINK("http://www.ensembl.org/Mus_musculus/Gene/Summary?db=core;g=ENSMUSG00000000730","ENSMUSG00000000730")</f>
        <v>ENSMUSG00000000730</v>
      </c>
      <c r="I399" s="7" t="str">
        <f>HYPERLINK("http://www.informatics.jax.org/marker/MGI:1859287","MGI:1859287")</f>
        <v>MGI:1859287</v>
      </c>
      <c r="J399" s="4" t="s">
        <v>12</v>
      </c>
    </row>
    <row r="400" spans="1:10" x14ac:dyDescent="0.25">
      <c r="A400" s="2">
        <v>120.85041551232401</v>
      </c>
      <c r="B400" s="3">
        <v>1.93441457298391</v>
      </c>
      <c r="C400" s="5">
        <v>3.2599934565403701E-39</v>
      </c>
      <c r="D400" s="6">
        <v>1.0921577342913299E-37</v>
      </c>
      <c r="E400" s="3" t="s">
        <v>2177</v>
      </c>
      <c r="F400" s="3" t="s">
        <v>2178</v>
      </c>
      <c r="G400" s="3">
        <v>217305</v>
      </c>
      <c r="H400" s="7" t="str">
        <f>HYPERLINK("http://www.ensembl.org/Mus_musculus/Gene/Summary?db=core;g=ENSMUSG00000034641","ENSMUSG00000034641")</f>
        <v>ENSMUSG00000034641</v>
      </c>
      <c r="I400" s="7" t="str">
        <f>HYPERLINK("http://www.informatics.jax.org/marker/MGI:2442358","MGI:2442358")</f>
        <v>MGI:2442358</v>
      </c>
      <c r="J400" s="4" t="s">
        <v>12</v>
      </c>
    </row>
    <row r="401" spans="1:10" x14ac:dyDescent="0.25">
      <c r="A401" s="2">
        <v>289.86292664740898</v>
      </c>
      <c r="B401" s="3">
        <v>1.93188916611598</v>
      </c>
      <c r="C401" s="5">
        <v>6.7952938528385699E-56</v>
      </c>
      <c r="D401" s="6">
        <v>3.6968427005367998E-54</v>
      </c>
      <c r="E401" s="3" t="s">
        <v>1650</v>
      </c>
      <c r="F401" s="3" t="s">
        <v>1651</v>
      </c>
      <c r="G401" s="3">
        <v>75329</v>
      </c>
      <c r="H401" s="7" t="str">
        <f>HYPERLINK("http://www.ensembl.org/Mus_musculus/Gene/Summary?db=core;g=ENSMUSG00000039200","ENSMUSG00000039200")</f>
        <v>ENSMUSG00000039200</v>
      </c>
      <c r="I401" s="7" t="str">
        <f>HYPERLINK("http://www.informatics.jax.org/marker/MGI:1922579","MGI:1922579")</f>
        <v>MGI:1922579</v>
      </c>
      <c r="J401" s="4" t="s">
        <v>12</v>
      </c>
    </row>
    <row r="402" spans="1:10" x14ac:dyDescent="0.25">
      <c r="A402" s="2">
        <v>3.3198608427229699</v>
      </c>
      <c r="B402" s="3">
        <v>1.92984403038831</v>
      </c>
      <c r="C402" s="5">
        <v>3.6614406338851901E-5</v>
      </c>
      <c r="D402" s="4">
        <v>1.63914899416747E-4</v>
      </c>
      <c r="E402" s="3" t="s">
        <v>7734</v>
      </c>
      <c r="F402" s="3" t="s">
        <v>7735</v>
      </c>
      <c r="G402" s="3">
        <v>93746</v>
      </c>
      <c r="H402" s="7" t="str">
        <f>HYPERLINK("http://www.ensembl.org/Mus_musculus/Gene/Summary?db=core;g=ENSMUSG00000030205","ENSMUSG00000030205")</f>
        <v>ENSMUSG00000030205</v>
      </c>
      <c r="I402" s="7" t="str">
        <f>HYPERLINK("http://www.informatics.jax.org/marker/MGI:1935037","MGI:1935037")</f>
        <v>MGI:1935037</v>
      </c>
      <c r="J402" s="4" t="s">
        <v>12</v>
      </c>
    </row>
    <row r="403" spans="1:10" x14ac:dyDescent="0.25">
      <c r="A403" s="2">
        <v>4.9077717272791404</v>
      </c>
      <c r="B403" s="3">
        <v>1.92827605264163</v>
      </c>
      <c r="C403" s="5">
        <v>2.9322570036707298E-5</v>
      </c>
      <c r="D403" s="4">
        <v>1.33600959729747E-4</v>
      </c>
      <c r="E403" s="3" t="s">
        <v>5223</v>
      </c>
      <c r="F403" s="3" t="s">
        <v>5224</v>
      </c>
      <c r="G403" s="3">
        <v>54448</v>
      </c>
      <c r="H403" s="7" t="str">
        <f>HYPERLINK("http://www.ensembl.org/Mus_musculus/Gene/Summary?db=core;g=ENSMUSG00000026984","ENSMUSG00000026984")</f>
        <v>ENSMUSG00000026984</v>
      </c>
      <c r="I403" s="7" t="str">
        <f>HYPERLINK("http://www.informatics.jax.org/marker/MGI:1859324","MGI:1859324")</f>
        <v>MGI:1859324</v>
      </c>
      <c r="J403" s="4" t="s">
        <v>12</v>
      </c>
    </row>
    <row r="404" spans="1:10" x14ac:dyDescent="0.25">
      <c r="A404" s="2">
        <v>64.431682460666806</v>
      </c>
      <c r="B404" s="3">
        <v>1.9259840688005601</v>
      </c>
      <c r="C404" s="5">
        <v>5.1757779528844198E-13</v>
      </c>
      <c r="D404" s="6">
        <v>5.3474236503015004E-12</v>
      </c>
      <c r="E404" s="3" t="s">
        <v>3346</v>
      </c>
      <c r="F404" s="3" t="s">
        <v>3347</v>
      </c>
      <c r="G404" s="3">
        <v>677884</v>
      </c>
      <c r="H404" s="7" t="str">
        <f>HYPERLINK("http://www.ensembl.org/Mus_musculus/Gene/Summary?db=core;g=ENSMUSG00000089945","ENSMUSG00000089945")</f>
        <v>ENSMUSG00000089945</v>
      </c>
      <c r="I404" s="7" t="str">
        <f>HYPERLINK("http://www.informatics.jax.org/marker/MGI:5141924","MGI:5141924")</f>
        <v>MGI:5141924</v>
      </c>
      <c r="J404" s="4" t="s">
        <v>12</v>
      </c>
    </row>
    <row r="405" spans="1:10" x14ac:dyDescent="0.25">
      <c r="A405" s="2">
        <v>439.24448179612398</v>
      </c>
      <c r="B405" s="3">
        <v>1.9226064002566301</v>
      </c>
      <c r="C405" s="5">
        <v>2.3023505878867999E-17</v>
      </c>
      <c r="D405" s="6">
        <v>3.12437375012934E-16</v>
      </c>
      <c r="E405" s="3" t="s">
        <v>2447</v>
      </c>
      <c r="F405" s="3" t="s">
        <v>2448</v>
      </c>
      <c r="G405" s="3">
        <v>12702</v>
      </c>
      <c r="H405" s="7" t="str">
        <f>HYPERLINK("http://www.ensembl.org/Mus_musculus/Gene/Summary?db=core;g=ENSMUSG00000053113","ENSMUSG00000053113")</f>
        <v>ENSMUSG00000053113</v>
      </c>
      <c r="I405" s="7" t="str">
        <f>HYPERLINK("http://www.informatics.jax.org/marker/MGI:1201791","MGI:1201791")</f>
        <v>MGI:1201791</v>
      </c>
      <c r="J405" s="4" t="s">
        <v>12</v>
      </c>
    </row>
    <row r="406" spans="1:10" x14ac:dyDescent="0.25">
      <c r="A406" s="2">
        <v>64.575045957887596</v>
      </c>
      <c r="B406" s="3">
        <v>1.9179823416016799</v>
      </c>
      <c r="C406" s="5">
        <v>7.5392721387829798E-13</v>
      </c>
      <c r="D406" s="6">
        <v>7.7279659577795197E-12</v>
      </c>
      <c r="E406" s="3" t="s">
        <v>3346</v>
      </c>
      <c r="F406" s="3" t="s">
        <v>3347</v>
      </c>
      <c r="G406" s="3">
        <v>677884</v>
      </c>
      <c r="H406" s="7" t="str">
        <f>HYPERLINK("http://www.ensembl.org/Mus_musculus/Gene/Summary?db=core;g=ENSMUSG00000038729","ENSMUSG00000038729")</f>
        <v>ENSMUSG00000038729</v>
      </c>
      <c r="I406" s="7" t="str">
        <f>HYPERLINK("http://www.informatics.jax.org/marker/MGI:5141924","MGI:5141924")</f>
        <v>MGI:5141924</v>
      </c>
      <c r="J406" s="4" t="s">
        <v>12</v>
      </c>
    </row>
    <row r="407" spans="1:10" x14ac:dyDescent="0.25">
      <c r="A407" s="2">
        <v>135.382878917554</v>
      </c>
      <c r="B407" s="3">
        <v>1.9101131633803701</v>
      </c>
      <c r="C407" s="5">
        <v>1.7347050764910801E-20</v>
      </c>
      <c r="D407" s="6">
        <v>2.79037952507061E-19</v>
      </c>
      <c r="E407" s="3" t="s">
        <v>1812</v>
      </c>
      <c r="F407" s="3" t="s">
        <v>1813</v>
      </c>
      <c r="G407" s="3" t="s">
        <v>83</v>
      </c>
      <c r="H407" s="7" t="str">
        <f>HYPERLINK("http://www.ensembl.org/Mus_musculus/Gene/Summary?db=core;g=ENSMUSG00000100838","ENSMUSG00000100838")</f>
        <v>ENSMUSG00000100838</v>
      </c>
      <c r="I407" s="7" t="str">
        <f>HYPERLINK("http://www.informatics.jax.org/marker/MGI:5579800","MGI:5579800")</f>
        <v>MGI:5579800</v>
      </c>
      <c r="J407" s="4" t="s">
        <v>12</v>
      </c>
    </row>
    <row r="408" spans="1:10" x14ac:dyDescent="0.25">
      <c r="A408" s="2">
        <v>5.1349027465510702</v>
      </c>
      <c r="B408" s="3">
        <v>1.90813076550933</v>
      </c>
      <c r="C408" s="5">
        <v>3.7032118933214799E-5</v>
      </c>
      <c r="D408" s="4">
        <v>1.6566282954291601E-4</v>
      </c>
      <c r="E408" s="3" t="s">
        <v>6946</v>
      </c>
      <c r="F408" s="3" t="s">
        <v>6947</v>
      </c>
      <c r="G408" s="3">
        <v>11529</v>
      </c>
      <c r="H408" s="7" t="str">
        <f>HYPERLINK("http://www.ensembl.org/Mus_musculus/Gene/Summary?db=core;g=ENSMUSG00000055301","ENSMUSG00000055301")</f>
        <v>ENSMUSG00000055301</v>
      </c>
      <c r="I408" s="7" t="str">
        <f>HYPERLINK("http://www.informatics.jax.org/marker/MGI:87926","MGI:87926")</f>
        <v>MGI:87926</v>
      </c>
      <c r="J408" s="4" t="s">
        <v>12</v>
      </c>
    </row>
    <row r="409" spans="1:10" x14ac:dyDescent="0.25">
      <c r="A409" s="2">
        <v>1681.8570392371601</v>
      </c>
      <c r="B409" s="3">
        <v>1.8942900897817501</v>
      </c>
      <c r="C409" s="5">
        <v>1.5696119967660501E-41</v>
      </c>
      <c r="D409" s="6">
        <v>5.7790259880931698E-40</v>
      </c>
      <c r="E409" s="3" t="s">
        <v>1640</v>
      </c>
      <c r="F409" s="3" t="s">
        <v>1641</v>
      </c>
      <c r="G409" s="3">
        <v>11504</v>
      </c>
      <c r="H409" s="7" t="str">
        <f>HYPERLINK("http://www.ensembl.org/Mus_musculus/Gene/Summary?db=core;g=ENSMUSG00000022893","ENSMUSG00000022893")</f>
        <v>ENSMUSG00000022893</v>
      </c>
      <c r="I409" s="7" t="str">
        <f>HYPERLINK("http://www.informatics.jax.org/marker/MGI:109249","MGI:109249")</f>
        <v>MGI:109249</v>
      </c>
      <c r="J409" s="4" t="s">
        <v>12</v>
      </c>
    </row>
    <row r="410" spans="1:10" x14ac:dyDescent="0.25">
      <c r="A410" s="2">
        <v>3.0232916496427902</v>
      </c>
      <c r="B410" s="3">
        <v>1.89359505641297</v>
      </c>
      <c r="C410" s="5">
        <v>4.4892955804712703E-5</v>
      </c>
      <c r="D410" s="4">
        <v>1.9848959717149199E-4</v>
      </c>
      <c r="E410" s="3" t="s">
        <v>8065</v>
      </c>
      <c r="F410" s="3" t="s">
        <v>8066</v>
      </c>
      <c r="G410" s="3" t="s">
        <v>83</v>
      </c>
      <c r="H410" s="7" t="str">
        <f>HYPERLINK("http://www.ensembl.org/Mus_musculus/Gene/Summary?db=core;g=ENSMUSG00000103114","ENSMUSG00000103114")</f>
        <v>ENSMUSG00000103114</v>
      </c>
      <c r="I410" s="7" t="str">
        <f>HYPERLINK("http://www.informatics.jax.org/marker/MGI:5591359","MGI:5591359")</f>
        <v>MGI:5591359</v>
      </c>
      <c r="J410" s="4" t="s">
        <v>939</v>
      </c>
    </row>
    <row r="411" spans="1:10" x14ac:dyDescent="0.25">
      <c r="A411" s="2">
        <v>1325.9726337017801</v>
      </c>
      <c r="B411" s="3">
        <v>1.89348731084507</v>
      </c>
      <c r="C411" s="5">
        <v>3.2142972653622599E-24</v>
      </c>
      <c r="D411" s="6">
        <v>6.1405207192062097E-23</v>
      </c>
      <c r="E411" s="3" t="s">
        <v>1652</v>
      </c>
      <c r="F411" s="3" t="s">
        <v>1653</v>
      </c>
      <c r="G411" s="3">
        <v>21354</v>
      </c>
      <c r="H411" s="7" t="str">
        <f>HYPERLINK("http://www.ensembl.org/Mus_musculus/Gene/Summary?db=core;g=ENSMUSG00000037321","ENSMUSG00000037321")</f>
        <v>ENSMUSG00000037321</v>
      </c>
      <c r="I411" s="7" t="str">
        <f>HYPERLINK("http://www.informatics.jax.org/marker/MGI:98483","MGI:98483")</f>
        <v>MGI:98483</v>
      </c>
      <c r="J411" s="4" t="s">
        <v>12</v>
      </c>
    </row>
    <row r="412" spans="1:10" x14ac:dyDescent="0.25">
      <c r="A412" s="2">
        <v>236.69131321159</v>
      </c>
      <c r="B412" s="3">
        <v>1.89072182488805</v>
      </c>
      <c r="C412" s="5">
        <v>4.6145281542291098E-29</v>
      </c>
      <c r="D412" s="6">
        <v>1.0964768658517E-27</v>
      </c>
      <c r="E412" s="3" t="s">
        <v>2527</v>
      </c>
      <c r="F412" s="3" t="s">
        <v>2528</v>
      </c>
      <c r="G412" s="3" t="s">
        <v>83</v>
      </c>
      <c r="H412" s="7" t="str">
        <f>HYPERLINK("http://www.ensembl.org/Mus_musculus/Gene/Summary?db=core;g=ENSMUSG00000103847","ENSMUSG00000103847")</f>
        <v>ENSMUSG00000103847</v>
      </c>
      <c r="I412" s="7" t="str">
        <f>HYPERLINK("http://www.informatics.jax.org/marker/MGI:5012241","MGI:5012241")</f>
        <v>MGI:5012241</v>
      </c>
      <c r="J412" s="4" t="s">
        <v>1043</v>
      </c>
    </row>
    <row r="413" spans="1:10" x14ac:dyDescent="0.25">
      <c r="A413" s="2">
        <v>6.5145224357993703</v>
      </c>
      <c r="B413" s="3">
        <v>1.8856427167924299</v>
      </c>
      <c r="C413" s="5">
        <v>3.07590109621958E-6</v>
      </c>
      <c r="D413" s="6">
        <v>1.6117969372800998E-5</v>
      </c>
      <c r="E413" s="3" t="s">
        <v>9857</v>
      </c>
      <c r="F413" s="3" t="s">
        <v>9858</v>
      </c>
      <c r="G413" s="3">
        <v>16633</v>
      </c>
      <c r="H413" s="7" t="str">
        <f>HYPERLINK("http://www.ensembl.org/Mus_musculus/Gene/Summary?db=core;g=ENSMUSG00000030187","ENSMUSG00000030187")</f>
        <v>ENSMUSG00000030187</v>
      </c>
      <c r="I413" s="7" t="str">
        <f>HYPERLINK("http://www.informatics.jax.org/marker/MGI:101906","MGI:101906")</f>
        <v>MGI:101906</v>
      </c>
      <c r="J413" s="4" t="s">
        <v>12</v>
      </c>
    </row>
    <row r="414" spans="1:10" x14ac:dyDescent="0.25">
      <c r="A414" s="2">
        <v>411.48713893290397</v>
      </c>
      <c r="B414" s="3">
        <v>1.8766759163689</v>
      </c>
      <c r="C414" s="5">
        <v>5.6411638972664296E-66</v>
      </c>
      <c r="D414" s="6">
        <v>3.8796306425539899E-64</v>
      </c>
      <c r="E414" s="3" t="s">
        <v>550</v>
      </c>
      <c r="F414" s="3" t="s">
        <v>551</v>
      </c>
      <c r="G414" s="3">
        <v>74178</v>
      </c>
      <c r="H414" s="7" t="str">
        <f>HYPERLINK("http://www.ensembl.org/Mus_musculus/Gene/Summary?db=core;g=ENSMUSG00000042608","ENSMUSG00000042608")</f>
        <v>ENSMUSG00000042608</v>
      </c>
      <c r="I414" s="7" t="str">
        <f>HYPERLINK("http://www.informatics.jax.org/marker/MGI:1921428","MGI:1921428")</f>
        <v>MGI:1921428</v>
      </c>
      <c r="J414" s="4" t="s">
        <v>12</v>
      </c>
    </row>
    <row r="415" spans="1:10" x14ac:dyDescent="0.25">
      <c r="A415" s="2">
        <v>15.9356890201044</v>
      </c>
      <c r="B415" s="3">
        <v>1.87275280135765</v>
      </c>
      <c r="C415" s="5">
        <v>1.0506080450574899E-7</v>
      </c>
      <c r="D415" s="6">
        <v>6.56630028160934E-7</v>
      </c>
      <c r="E415" s="3" t="s">
        <v>10524</v>
      </c>
      <c r="F415" s="3" t="s">
        <v>10525</v>
      </c>
      <c r="G415" s="3">
        <v>619297</v>
      </c>
      <c r="H415" s="7" t="str">
        <f>HYPERLINK("http://www.ensembl.org/Mus_musculus/Gene/Summary?db=core;g=ENSMUSG00000108900","ENSMUSG00000108900")</f>
        <v>ENSMUSG00000108900</v>
      </c>
      <c r="I415" s="7" t="str">
        <f>HYPERLINK("http://www.informatics.jax.org/marker/MGI:3588239","MGI:3588239")</f>
        <v>MGI:3588239</v>
      </c>
      <c r="J415" s="4" t="s">
        <v>12</v>
      </c>
    </row>
    <row r="416" spans="1:10" x14ac:dyDescent="0.25">
      <c r="A416" s="2">
        <v>1140.5311625320601</v>
      </c>
      <c r="B416" s="3">
        <v>1.86228256801513</v>
      </c>
      <c r="C416" s="5">
        <v>3.3594931826374499E-82</v>
      </c>
      <c r="D416" s="6">
        <v>3.4204895672384101E-80</v>
      </c>
      <c r="E416" s="3" t="s">
        <v>240</v>
      </c>
      <c r="F416" s="3" t="s">
        <v>241</v>
      </c>
      <c r="G416" s="3">
        <v>75234</v>
      </c>
      <c r="H416" s="7" t="str">
        <f>HYPERLINK("http://www.ensembl.org/Mus_musculus/Gene/Summary?db=core;g=ENSMUSG00000028793","ENSMUSG00000028793")</f>
        <v>ENSMUSG00000028793</v>
      </c>
      <c r="I416" s="7" t="str">
        <f>HYPERLINK("http://www.informatics.jax.org/marker/MGI:1922484","MGI:1922484")</f>
        <v>MGI:1922484</v>
      </c>
      <c r="J416" s="4" t="s">
        <v>12</v>
      </c>
    </row>
    <row r="417" spans="1:10" x14ac:dyDescent="0.25">
      <c r="A417" s="2">
        <v>34.026433045887799</v>
      </c>
      <c r="B417" s="3">
        <v>1.8608335936170499</v>
      </c>
      <c r="C417" s="5">
        <v>6.7170205570918201E-17</v>
      </c>
      <c r="D417" s="6">
        <v>8.8966351492004708E-16</v>
      </c>
      <c r="E417" s="3" t="s">
        <v>3474</v>
      </c>
      <c r="F417" s="3" t="s">
        <v>3475</v>
      </c>
      <c r="G417" s="3" t="s">
        <v>83</v>
      </c>
      <c r="H417" s="7" t="str">
        <f>HYPERLINK("http://www.ensembl.org/Mus_musculus/Gene/Summary?db=core;g=ENSMUSG00000082419","ENSMUSG00000082419")</f>
        <v>ENSMUSG00000082419</v>
      </c>
      <c r="I417" s="7" t="str">
        <f>HYPERLINK("http://www.informatics.jax.org/marker/MGI:3650957","MGI:3650957")</f>
        <v>MGI:3650957</v>
      </c>
      <c r="J417" s="4" t="s">
        <v>1043</v>
      </c>
    </row>
    <row r="418" spans="1:10" x14ac:dyDescent="0.25">
      <c r="A418" s="2">
        <v>6.6434293632640298</v>
      </c>
      <c r="B418" s="3">
        <v>1.85465404427404</v>
      </c>
      <c r="C418" s="5">
        <v>2.7537727789880601E-6</v>
      </c>
      <c r="D418" s="6">
        <v>1.45050603748721E-5</v>
      </c>
      <c r="E418" s="3" t="s">
        <v>14031</v>
      </c>
      <c r="F418" s="3" t="s">
        <v>14032</v>
      </c>
      <c r="G418" s="3">
        <v>320718</v>
      </c>
      <c r="H418" s="7" t="str">
        <f>HYPERLINK("http://www.ensembl.org/Mus_musculus/Gene/Summary?db=core;g=ENSMUSG00000042268","ENSMUSG00000042268")</f>
        <v>ENSMUSG00000042268</v>
      </c>
      <c r="I418" s="7" t="str">
        <f>HYPERLINK("http://www.informatics.jax.org/marker/MGI:2444594","MGI:2444594")</f>
        <v>MGI:2444594</v>
      </c>
      <c r="J418" s="4" t="s">
        <v>12</v>
      </c>
    </row>
    <row r="419" spans="1:10" x14ac:dyDescent="0.25">
      <c r="A419" s="2">
        <v>1087.95268662693</v>
      </c>
      <c r="B419" s="3">
        <v>1.8528932731827901</v>
      </c>
      <c r="C419" s="5">
        <v>2.0327284836309999E-54</v>
      </c>
      <c r="D419" s="6">
        <v>1.07070741659465E-52</v>
      </c>
      <c r="E419" s="3" t="s">
        <v>668</v>
      </c>
      <c r="F419" s="3" t="s">
        <v>669</v>
      </c>
      <c r="G419" s="3">
        <v>503610</v>
      </c>
      <c r="H419" s="7" t="str">
        <f>HYPERLINK("http://www.ensembl.org/Mus_musculus/Gene/Summary?db=core;g=ENSMUSG00000037553","ENSMUSG00000037553")</f>
        <v>ENSMUSG00000037553</v>
      </c>
      <c r="I419" s="7" t="str">
        <f>HYPERLINK("http://www.informatics.jax.org/marker/MGI:3527792","MGI:3527792")</f>
        <v>MGI:3527792</v>
      </c>
      <c r="J419" s="4" t="s">
        <v>12</v>
      </c>
    </row>
    <row r="420" spans="1:10" x14ac:dyDescent="0.25">
      <c r="A420" s="2">
        <v>6574.1453788258495</v>
      </c>
      <c r="B420" s="3">
        <v>1.8526125034547101</v>
      </c>
      <c r="C420" s="5">
        <v>4.78663088732821E-21</v>
      </c>
      <c r="D420" s="6">
        <v>7.8875540616235601E-20</v>
      </c>
      <c r="E420" s="3" t="s">
        <v>2247</v>
      </c>
      <c r="F420" s="3" t="s">
        <v>2248</v>
      </c>
      <c r="G420" s="3">
        <v>15368</v>
      </c>
      <c r="H420" s="7" t="str">
        <f>HYPERLINK("http://www.ensembl.org/Mus_musculus/Gene/Summary?db=core;g=ENSMUSG00000005413","ENSMUSG00000005413")</f>
        <v>ENSMUSG00000005413</v>
      </c>
      <c r="I420" s="7" t="str">
        <f>HYPERLINK("http://www.informatics.jax.org/marker/MGI:96163","MGI:96163")</f>
        <v>MGI:96163</v>
      </c>
      <c r="J420" s="4" t="s">
        <v>12</v>
      </c>
    </row>
    <row r="421" spans="1:10" x14ac:dyDescent="0.25">
      <c r="A421" s="2">
        <v>148.656560183257</v>
      </c>
      <c r="B421" s="3">
        <v>1.8494927490169299</v>
      </c>
      <c r="C421" s="5">
        <v>2.2744104496051399E-51</v>
      </c>
      <c r="D421" s="6">
        <v>1.10831899583031E-49</v>
      </c>
      <c r="E421" s="3" t="s">
        <v>1108</v>
      </c>
      <c r="F421" s="3" t="s">
        <v>1109</v>
      </c>
      <c r="G421" s="3">
        <v>66597</v>
      </c>
      <c r="H421" s="7" t="str">
        <f>HYPERLINK("http://www.ensembl.org/Mus_musculus/Gene/Summary?db=core;g=ENSMUSG00000035235","ENSMUSG00000035235")</f>
        <v>ENSMUSG00000035235</v>
      </c>
      <c r="I421" s="7" t="str">
        <f>HYPERLINK("http://www.informatics.jax.org/marker/MGI:1913847","MGI:1913847")</f>
        <v>MGI:1913847</v>
      </c>
      <c r="J421" s="4" t="s">
        <v>12</v>
      </c>
    </row>
    <row r="422" spans="1:10" x14ac:dyDescent="0.25">
      <c r="A422" s="2">
        <v>7.7554709556849399</v>
      </c>
      <c r="B422" s="3">
        <v>1.84395373445376</v>
      </c>
      <c r="C422" s="5">
        <v>1.1466335075593201E-6</v>
      </c>
      <c r="D422" s="6">
        <v>6.3421534674563296E-6</v>
      </c>
      <c r="E422" s="3" t="s">
        <v>7538</v>
      </c>
      <c r="F422" s="3" t="s">
        <v>7539</v>
      </c>
      <c r="G422" s="3">
        <v>67331</v>
      </c>
      <c r="H422" s="7" t="str">
        <f>HYPERLINK("http://www.ensembl.org/Mus_musculus/Gene/Summary?db=core;g=ENSMUSG00000003341","ENSMUSG00000003341")</f>
        <v>ENSMUSG00000003341</v>
      </c>
      <c r="I422" s="7" t="str">
        <f>HYPERLINK("http://www.informatics.jax.org/marker/MGI:1914581","MGI:1914581")</f>
        <v>MGI:1914581</v>
      </c>
      <c r="J422" s="4" t="s">
        <v>12</v>
      </c>
    </row>
    <row r="423" spans="1:10" x14ac:dyDescent="0.25">
      <c r="A423" s="2">
        <v>11.5986845552488</v>
      </c>
      <c r="B423" s="3">
        <v>1.8426769862252099</v>
      </c>
      <c r="C423" s="5">
        <v>1.99543710205822E-7</v>
      </c>
      <c r="D423" s="6">
        <v>1.21142042588311E-6</v>
      </c>
      <c r="E423" s="3" t="s">
        <v>8571</v>
      </c>
      <c r="F423" s="3" t="s">
        <v>8572</v>
      </c>
      <c r="G423" s="3">
        <v>74052</v>
      </c>
      <c r="H423" s="7" t="str">
        <f>HYPERLINK("http://www.ensembl.org/Mus_musculus/Gene/Summary?db=core;g=ENSMUSG00000032514","ENSMUSG00000032514")</f>
        <v>ENSMUSG00000032514</v>
      </c>
      <c r="I423" s="7" t="str">
        <f>HYPERLINK("http://www.informatics.jax.org/marker/MGI:1921302","MGI:1921302")</f>
        <v>MGI:1921302</v>
      </c>
      <c r="J423" s="4" t="s">
        <v>12</v>
      </c>
    </row>
    <row r="424" spans="1:10" x14ac:dyDescent="0.25">
      <c r="A424" s="2">
        <v>13.844303124845201</v>
      </c>
      <c r="B424" s="3">
        <v>1.83682135059469</v>
      </c>
      <c r="C424" s="5">
        <v>6.0219899581050503E-8</v>
      </c>
      <c r="D424" s="6">
        <v>3.8482036110261101E-7</v>
      </c>
      <c r="E424" s="3" t="s">
        <v>6297</v>
      </c>
      <c r="F424" s="3" t="s">
        <v>6298</v>
      </c>
      <c r="G424" s="3">
        <v>545486</v>
      </c>
      <c r="H424" s="7" t="str">
        <f>HYPERLINK("http://www.ensembl.org/Mus_musculus/Gene/Summary?db=core;g=ENSMUSG00000016255","ENSMUSG00000016255")</f>
        <v>ENSMUSG00000016255</v>
      </c>
      <c r="I424" s="7" t="str">
        <f>HYPERLINK("http://www.informatics.jax.org/marker/MGI:107814","MGI:107814")</f>
        <v>MGI:107814</v>
      </c>
      <c r="J424" s="4" t="s">
        <v>12</v>
      </c>
    </row>
    <row r="425" spans="1:10" x14ac:dyDescent="0.25">
      <c r="A425" s="2">
        <v>306.52518250409702</v>
      </c>
      <c r="B425" s="3">
        <v>1.83327571736925</v>
      </c>
      <c r="C425" s="5">
        <v>1.0149426042729399E-32</v>
      </c>
      <c r="D425" s="6">
        <v>2.7690612219871899E-31</v>
      </c>
      <c r="E425" s="3" t="s">
        <v>1704</v>
      </c>
      <c r="F425" s="3" t="s">
        <v>1705</v>
      </c>
      <c r="G425" s="3">
        <v>106878</v>
      </c>
      <c r="H425" s="7" t="str">
        <f>HYPERLINK("http://www.ensembl.org/Mus_musculus/Gene/Summary?db=core;g=ENSMUSG00000038059","ENSMUSG00000038059")</f>
        <v>ENSMUSG00000038059</v>
      </c>
      <c r="I425" s="7" t="str">
        <f>HYPERLINK("http://www.informatics.jax.org/marker/MGI:1917088","MGI:1917088")</f>
        <v>MGI:1917088</v>
      </c>
      <c r="J425" s="4" t="s">
        <v>12</v>
      </c>
    </row>
    <row r="426" spans="1:10" x14ac:dyDescent="0.25">
      <c r="A426" s="2">
        <v>352.82443666695798</v>
      </c>
      <c r="B426" s="3">
        <v>1.8253838821321799</v>
      </c>
      <c r="C426" s="5">
        <v>6.9890618271202399E-62</v>
      </c>
      <c r="D426" s="6">
        <v>4.4693211157637301E-60</v>
      </c>
      <c r="E426" s="3" t="s">
        <v>644</v>
      </c>
      <c r="F426" s="3" t="s">
        <v>645</v>
      </c>
      <c r="G426" s="3">
        <v>71934</v>
      </c>
      <c r="H426" s="7" t="str">
        <f>HYPERLINK("http://www.ensembl.org/Mus_musculus/Gene/Summary?db=core;g=ENSMUSG00000027555","ENSMUSG00000027555")</f>
        <v>ENSMUSG00000027555</v>
      </c>
      <c r="I426" s="7" t="str">
        <f>HYPERLINK("http://www.informatics.jax.org/marker/MGI:1931322","MGI:1931322")</f>
        <v>MGI:1931322</v>
      </c>
      <c r="J426" s="4" t="s">
        <v>12</v>
      </c>
    </row>
    <row r="427" spans="1:10" x14ac:dyDescent="0.25">
      <c r="A427" s="2">
        <v>610.93636923714496</v>
      </c>
      <c r="B427" s="3">
        <v>1.8247663189769501</v>
      </c>
      <c r="C427" s="5">
        <v>1.45234960752778E-40</v>
      </c>
      <c r="D427" s="6">
        <v>5.1396255528531701E-39</v>
      </c>
      <c r="E427" s="3" t="s">
        <v>1176</v>
      </c>
      <c r="F427" s="3" t="s">
        <v>1177</v>
      </c>
      <c r="G427" s="3">
        <v>19730</v>
      </c>
      <c r="H427" s="7" t="str">
        <f>HYPERLINK("http://www.ensembl.org/Mus_musculus/Gene/Summary?db=core;g=ENSMUSG00000026821","ENSMUSG00000026821")</f>
        <v>ENSMUSG00000026821</v>
      </c>
      <c r="I427" s="7" t="str">
        <f>HYPERLINK("http://www.informatics.jax.org/marker/MGI:107485","MGI:107485")</f>
        <v>MGI:107485</v>
      </c>
      <c r="J427" s="4" t="s">
        <v>12</v>
      </c>
    </row>
    <row r="428" spans="1:10" x14ac:dyDescent="0.25">
      <c r="A428" s="2">
        <v>2.2897429118226</v>
      </c>
      <c r="B428" s="3">
        <v>1.8245831930692</v>
      </c>
      <c r="C428" s="5">
        <v>9.9279758439310104E-5</v>
      </c>
      <c r="D428" s="4">
        <v>4.1547040127587302E-4</v>
      </c>
      <c r="E428" s="3" t="s">
        <v>11697</v>
      </c>
      <c r="F428" s="3" t="s">
        <v>11698</v>
      </c>
      <c r="G428" s="3">
        <v>244698</v>
      </c>
      <c r="H428" s="7" t="str">
        <f>HYPERLINK("http://www.ensembl.org/Mus_musculus/Gene/Summary?db=core;g=ENSMUSG00000031936","ENSMUSG00000031936")</f>
        <v>ENSMUSG00000031936</v>
      </c>
      <c r="I428" s="7" t="str">
        <f>HYPERLINK("http://www.informatics.jax.org/marker/MGI:2685355","MGI:2685355")</f>
        <v>MGI:2685355</v>
      </c>
      <c r="J428" s="4" t="s">
        <v>12</v>
      </c>
    </row>
    <row r="429" spans="1:10" x14ac:dyDescent="0.25">
      <c r="A429" s="2">
        <v>51.351534227891101</v>
      </c>
      <c r="B429" s="3">
        <v>1.8225539180138699</v>
      </c>
      <c r="C429" s="5">
        <v>1.6222842598585301E-17</v>
      </c>
      <c r="D429" s="6">
        <v>2.2213471552157601E-16</v>
      </c>
      <c r="E429" s="3" t="s">
        <v>5723</v>
      </c>
      <c r="F429" s="3" t="s">
        <v>5724</v>
      </c>
      <c r="G429" s="3">
        <v>16004</v>
      </c>
      <c r="H429" s="7" t="str">
        <f>HYPERLINK("http://www.ensembl.org/Mus_musculus/Gene/Summary?db=core;g=ENSMUSG00000023830","ENSMUSG00000023830")</f>
        <v>ENSMUSG00000023830</v>
      </c>
      <c r="I429" s="7" t="str">
        <f>HYPERLINK("http://www.informatics.jax.org/marker/MGI:96435","MGI:96435")</f>
        <v>MGI:96435</v>
      </c>
      <c r="J429" s="4" t="s">
        <v>12</v>
      </c>
    </row>
    <row r="430" spans="1:10" x14ac:dyDescent="0.25">
      <c r="A430" s="2">
        <v>101.61819723011099</v>
      </c>
      <c r="B430" s="3">
        <v>1.8210106047206001</v>
      </c>
      <c r="C430" s="5">
        <v>5.95355197197754E-5</v>
      </c>
      <c r="D430" s="4">
        <v>2.5785048642892303E-4</v>
      </c>
      <c r="E430" s="3" t="s">
        <v>10270</v>
      </c>
      <c r="F430" s="3" t="s">
        <v>10271</v>
      </c>
      <c r="G430" s="3">
        <v>21942</v>
      </c>
      <c r="H430" s="7" t="str">
        <f>HYPERLINK("http://www.ensembl.org/Mus_musculus/Gene/Summary?db=core;g=ENSMUSG00000028965","ENSMUSG00000028965")</f>
        <v>ENSMUSG00000028965</v>
      </c>
      <c r="I430" s="7" t="str">
        <f>HYPERLINK("http://www.informatics.jax.org/marker/MGI:1101059","MGI:1101059")</f>
        <v>MGI:1101059</v>
      </c>
      <c r="J430" s="4" t="s">
        <v>12</v>
      </c>
    </row>
    <row r="431" spans="1:10" x14ac:dyDescent="0.25">
      <c r="A431" s="2">
        <v>34.278926913841801</v>
      </c>
      <c r="B431" s="3">
        <v>1.8168439757871</v>
      </c>
      <c r="C431" s="5">
        <v>2.7637438972764E-14</v>
      </c>
      <c r="D431" s="6">
        <v>3.09583482039719E-13</v>
      </c>
      <c r="E431" s="3" t="s">
        <v>2483</v>
      </c>
      <c r="F431" s="3" t="s">
        <v>2484</v>
      </c>
      <c r="G431" s="3">
        <v>66341</v>
      </c>
      <c r="H431" s="7" t="str">
        <f>HYPERLINK("http://www.ensembl.org/Mus_musculus/Gene/Summary?db=core;g=ENSMUSG00000109864","ENSMUSG00000109864")</f>
        <v>ENSMUSG00000109864</v>
      </c>
      <c r="I431" s="7" t="str">
        <f>HYPERLINK("http://www.informatics.jax.org/marker/MGI:1913591","MGI:1913591")</f>
        <v>MGI:1913591</v>
      </c>
      <c r="J431" s="4" t="s">
        <v>12</v>
      </c>
    </row>
    <row r="432" spans="1:10" x14ac:dyDescent="0.25">
      <c r="A432" s="2">
        <v>773.75720012342197</v>
      </c>
      <c r="B432" s="3">
        <v>1.81582312955836</v>
      </c>
      <c r="C432" s="5">
        <v>2.7980497032576302E-43</v>
      </c>
      <c r="D432" s="6">
        <v>1.0943016275079501E-41</v>
      </c>
      <c r="E432" s="3" t="s">
        <v>1386</v>
      </c>
      <c r="F432" s="3" t="s">
        <v>1387</v>
      </c>
      <c r="G432" s="3">
        <v>80885</v>
      </c>
      <c r="H432" s="7" t="str">
        <f>HYPERLINK("http://www.ensembl.org/Mus_musculus/Gene/Summary?db=core;g=ENSMUSG00000045502","ENSMUSG00000045502")</f>
        <v>ENSMUSG00000045502</v>
      </c>
      <c r="I432" s="7" t="str">
        <f>HYPERLINK("http://www.informatics.jax.org/marker/MGI:1933383","MGI:1933383")</f>
        <v>MGI:1933383</v>
      </c>
      <c r="J432" s="4" t="s">
        <v>12</v>
      </c>
    </row>
    <row r="433" spans="1:10" x14ac:dyDescent="0.25">
      <c r="A433" s="2">
        <v>2862.7625364651199</v>
      </c>
      <c r="B433" s="3">
        <v>1.8144753623245899</v>
      </c>
      <c r="C433" s="5">
        <v>2.3322828412235799E-134</v>
      </c>
      <c r="D433" s="6">
        <v>6.2508609972499499E-132</v>
      </c>
      <c r="E433" s="3" t="s">
        <v>230</v>
      </c>
      <c r="F433" s="3" t="s">
        <v>231</v>
      </c>
      <c r="G433" s="3">
        <v>104215</v>
      </c>
      <c r="H433" s="7" t="str">
        <f>HYPERLINK("http://www.ensembl.org/Mus_musculus/Gene/Summary?db=core;g=ENSMUSG00000024143","ENSMUSG00000024143")</f>
        <v>ENSMUSG00000024143</v>
      </c>
      <c r="I433" s="7" t="str">
        <f>HYPERLINK("http://www.informatics.jax.org/marker/MGI:1931553","MGI:1931553")</f>
        <v>MGI:1931553</v>
      </c>
      <c r="J433" s="4" t="s">
        <v>12</v>
      </c>
    </row>
    <row r="434" spans="1:10" x14ac:dyDescent="0.25">
      <c r="A434" s="2">
        <v>2715.9671402379599</v>
      </c>
      <c r="B434" s="3">
        <v>1.8114746978904801</v>
      </c>
      <c r="C434" s="5">
        <v>2.3692777065159299E-68</v>
      </c>
      <c r="D434" s="6">
        <v>1.7203221594124599E-66</v>
      </c>
      <c r="E434" s="3" t="s">
        <v>882</v>
      </c>
      <c r="F434" s="3" t="s">
        <v>883</v>
      </c>
      <c r="G434" s="3">
        <v>241633</v>
      </c>
      <c r="H434" s="7" t="str">
        <f>HYPERLINK("http://www.ensembl.org/Mus_musculus/Gene/Summary?db=core;g=ENSMUSG00000060131","ENSMUSG00000060131")</f>
        <v>ENSMUSG00000060131</v>
      </c>
      <c r="I434" s="7" t="str">
        <f>HYPERLINK("http://www.informatics.jax.org/marker/MGI:1859664","MGI:1859664")</f>
        <v>MGI:1859664</v>
      </c>
      <c r="J434" s="4" t="s">
        <v>12</v>
      </c>
    </row>
    <row r="435" spans="1:10" x14ac:dyDescent="0.25">
      <c r="A435" s="2">
        <v>2296.1897716295998</v>
      </c>
      <c r="B435" s="3">
        <v>1.8107142612320299</v>
      </c>
      <c r="C435" s="5">
        <v>3.7634207905209203E-66</v>
      </c>
      <c r="D435" s="6">
        <v>2.61787572165052E-64</v>
      </c>
      <c r="E435" s="3" t="s">
        <v>472</v>
      </c>
      <c r="F435" s="3" t="s">
        <v>473</v>
      </c>
      <c r="G435" s="3">
        <v>19106</v>
      </c>
      <c r="H435" s="7" t="str">
        <f>HYPERLINK("http://www.ensembl.org/Mus_musculus/Gene/Summary?db=core;g=ENSMUSG00000024079","ENSMUSG00000024079")</f>
        <v>ENSMUSG00000024079</v>
      </c>
      <c r="I435" s="7" t="str">
        <f>HYPERLINK("http://www.informatics.jax.org/marker/MGI:1353449","MGI:1353449")</f>
        <v>MGI:1353449</v>
      </c>
      <c r="J435" s="4" t="s">
        <v>12</v>
      </c>
    </row>
    <row r="436" spans="1:10" x14ac:dyDescent="0.25">
      <c r="A436" s="2">
        <v>11.6531897568487</v>
      </c>
      <c r="B436" s="3">
        <v>1.8091872633238899</v>
      </c>
      <c r="C436" s="5">
        <v>8.40584765031646E-8</v>
      </c>
      <c r="D436" s="6">
        <v>5.3009194957445502E-7</v>
      </c>
      <c r="E436" s="3" t="s">
        <v>7922</v>
      </c>
      <c r="F436" s="3" t="s">
        <v>7923</v>
      </c>
      <c r="G436" s="3" t="s">
        <v>83</v>
      </c>
      <c r="H436" s="7" t="str">
        <f>HYPERLINK("http://www.ensembl.org/Mus_musculus/Gene/Summary?db=core;g=ENSMUSG00000083298","ENSMUSG00000083298")</f>
        <v>ENSMUSG00000083298</v>
      </c>
      <c r="I436" s="7" t="str">
        <f>HYPERLINK("http://www.informatics.jax.org/marker/MGI:3650335","MGI:3650335")</f>
        <v>MGI:3650335</v>
      </c>
      <c r="J436" s="4" t="s">
        <v>1043</v>
      </c>
    </row>
    <row r="437" spans="1:10" x14ac:dyDescent="0.25">
      <c r="A437" s="2">
        <v>257.03689422001702</v>
      </c>
      <c r="B437" s="3">
        <v>1.8080377111411201</v>
      </c>
      <c r="C437" s="5">
        <v>1.5328170368481901E-7</v>
      </c>
      <c r="D437" s="6">
        <v>9.4281439407891702E-7</v>
      </c>
      <c r="E437" s="3" t="s">
        <v>12847</v>
      </c>
      <c r="F437" s="3" t="s">
        <v>12848</v>
      </c>
      <c r="G437" s="3">
        <v>228775</v>
      </c>
      <c r="H437" s="7" t="str">
        <f>HYPERLINK("http://www.ensembl.org/Mus_musculus/Gene/Summary?db=core;g=ENSMUSG00000032715","ENSMUSG00000032715")</f>
        <v>ENSMUSG00000032715</v>
      </c>
      <c r="I437" s="7" t="str">
        <f>HYPERLINK("http://www.informatics.jax.org/marker/MGI:1345675","MGI:1345675")</f>
        <v>MGI:1345675</v>
      </c>
      <c r="J437" s="4" t="s">
        <v>12</v>
      </c>
    </row>
    <row r="438" spans="1:10" x14ac:dyDescent="0.25">
      <c r="A438" s="2">
        <v>3.8622738122776199</v>
      </c>
      <c r="B438" s="3">
        <v>1.8033129349316199</v>
      </c>
      <c r="C438" s="5">
        <v>5.2555893305107898E-5</v>
      </c>
      <c r="D438" s="4">
        <v>2.29805939415929E-4</v>
      </c>
      <c r="E438" s="3" t="s">
        <v>9867</v>
      </c>
      <c r="F438" s="3" t="s">
        <v>9868</v>
      </c>
      <c r="G438" s="3">
        <v>546726</v>
      </c>
      <c r="H438" s="7" t="str">
        <f>HYPERLINK("http://www.ensembl.org/Mus_musculus/Gene/Summary?db=core;g=ENSMUSG00000062432","ENSMUSG00000062432")</f>
        <v>ENSMUSG00000062432</v>
      </c>
      <c r="I438" s="7" t="str">
        <f>HYPERLINK("http://www.informatics.jax.org/marker/MGI:2679699","MGI:2679699")</f>
        <v>MGI:2679699</v>
      </c>
      <c r="J438" s="4" t="s">
        <v>12</v>
      </c>
    </row>
    <row r="439" spans="1:10" x14ac:dyDescent="0.25">
      <c r="A439" s="2">
        <v>69.4578431568832</v>
      </c>
      <c r="B439" s="3">
        <v>1.80276438125177</v>
      </c>
      <c r="C439" s="5">
        <v>1.2662571512115599E-14</v>
      </c>
      <c r="D439" s="6">
        <v>1.4541610952004201E-13</v>
      </c>
      <c r="E439" s="3" t="s">
        <v>6249</v>
      </c>
      <c r="F439" s="3" t="s">
        <v>6250</v>
      </c>
      <c r="G439" s="3">
        <v>213556</v>
      </c>
      <c r="H439" s="7" t="str">
        <f>HYPERLINK("http://www.ensembl.org/Mus_musculus/Gene/Summary?db=core;g=ENSMUSG00000040852","ENSMUSG00000040852")</f>
        <v>ENSMUSG00000040852</v>
      </c>
      <c r="I439" s="7" t="str">
        <f>HYPERLINK("http://www.informatics.jax.org/marker/MGI:2146813","MGI:2146813")</f>
        <v>MGI:2146813</v>
      </c>
      <c r="J439" s="4" t="s">
        <v>12</v>
      </c>
    </row>
    <row r="440" spans="1:10" x14ac:dyDescent="0.25">
      <c r="A440" s="2">
        <v>15.761958656092601</v>
      </c>
      <c r="B440" s="3">
        <v>1.80237742809801</v>
      </c>
      <c r="C440" s="5">
        <v>1.22237383280967E-9</v>
      </c>
      <c r="D440" s="6">
        <v>9.3840619641770292E-9</v>
      </c>
      <c r="E440" s="3" t="s">
        <v>9947</v>
      </c>
      <c r="F440" s="3" t="s">
        <v>9948</v>
      </c>
      <c r="G440" s="3">
        <v>446101</v>
      </c>
      <c r="H440" s="7" t="str">
        <f>HYPERLINK("http://www.ensembl.org/Mus_musculus/Gene/Summary?db=core;g=ENSMUSG00000035211","ENSMUSG00000035211")</f>
        <v>ENSMUSG00000035211</v>
      </c>
      <c r="I440" s="7" t="str">
        <f>HYPERLINK("http://www.informatics.jax.org/marker/MGI:2181647","MGI:2181647")</f>
        <v>MGI:2181647</v>
      </c>
      <c r="J440" s="4" t="s">
        <v>12</v>
      </c>
    </row>
    <row r="441" spans="1:10" x14ac:dyDescent="0.25">
      <c r="A441" s="2">
        <v>3173.0199089028602</v>
      </c>
      <c r="B441" s="3">
        <v>1.7980530568355899</v>
      </c>
      <c r="C441" s="5">
        <v>3.6414481518182502E-44</v>
      </c>
      <c r="D441" s="6">
        <v>1.4771067329458099E-42</v>
      </c>
      <c r="E441" s="3" t="s">
        <v>690</v>
      </c>
      <c r="F441" s="3" t="s">
        <v>691</v>
      </c>
      <c r="G441" s="3">
        <v>98999</v>
      </c>
      <c r="H441" s="7" t="str">
        <f>HYPERLINK("http://www.ensembl.org/Mus_musculus/Gene/Summary?db=core;g=ENSMUSG00000039501","ENSMUSG00000039501")</f>
        <v>ENSMUSG00000039501</v>
      </c>
      <c r="I441" s="7" t="str">
        <f>HYPERLINK("http://www.informatics.jax.org/marker/MGI:2138982","MGI:2138982")</f>
        <v>MGI:2138982</v>
      </c>
      <c r="J441" s="4" t="s">
        <v>12</v>
      </c>
    </row>
    <row r="442" spans="1:10" x14ac:dyDescent="0.25">
      <c r="A442" s="2">
        <v>441.63203378646699</v>
      </c>
      <c r="B442" s="3">
        <v>1.7963859830998199</v>
      </c>
      <c r="C442" s="5">
        <v>1.3566354380549399E-85</v>
      </c>
      <c r="D442" s="6">
        <v>1.4984655065788601E-83</v>
      </c>
      <c r="E442" s="3" t="s">
        <v>408</v>
      </c>
      <c r="F442" s="3" t="s">
        <v>409</v>
      </c>
      <c r="G442" s="3">
        <v>20441</v>
      </c>
      <c r="H442" s="7" t="str">
        <f>HYPERLINK("http://www.ensembl.org/Mus_musculus/Gene/Summary?db=core;g=ENSMUSG00000028538","ENSMUSG00000028538")</f>
        <v>ENSMUSG00000028538</v>
      </c>
      <c r="I442" s="7" t="str">
        <f>HYPERLINK("http://www.informatics.jax.org/marker/MGI:1316659","MGI:1316659")</f>
        <v>MGI:1316659</v>
      </c>
      <c r="J442" s="4" t="s">
        <v>12</v>
      </c>
    </row>
    <row r="443" spans="1:10" x14ac:dyDescent="0.25">
      <c r="A443" s="2">
        <v>1420.5794496324199</v>
      </c>
      <c r="B443" s="3">
        <v>1.7903069170027901</v>
      </c>
      <c r="C443" s="5">
        <v>2.7108094084486698E-106</v>
      </c>
      <c r="D443" s="6">
        <v>4.37207977601567E-104</v>
      </c>
      <c r="E443" s="3" t="s">
        <v>134</v>
      </c>
      <c r="F443" s="3" t="s">
        <v>135</v>
      </c>
      <c r="G443" s="3">
        <v>68279</v>
      </c>
      <c r="H443" s="7" t="str">
        <f>HYPERLINK("http://www.ensembl.org/Mus_musculus/Gene/Summary?db=core;g=ENSMUSG00000011008","ENSMUSG00000011008")</f>
        <v>ENSMUSG00000011008</v>
      </c>
      <c r="I443" s="7" t="str">
        <f>HYPERLINK("http://www.informatics.jax.org/marker/MGI:1915529","MGI:1915529")</f>
        <v>MGI:1915529</v>
      </c>
      <c r="J443" s="4" t="s">
        <v>12</v>
      </c>
    </row>
    <row r="444" spans="1:10" x14ac:dyDescent="0.25">
      <c r="A444" s="2">
        <v>695.10617903139405</v>
      </c>
      <c r="B444" s="3">
        <v>1.78890040259405</v>
      </c>
      <c r="C444" s="5">
        <v>2.5648409850325901E-43</v>
      </c>
      <c r="D444" s="6">
        <v>1.00525219252084E-41</v>
      </c>
      <c r="E444" s="3" t="s">
        <v>1570</v>
      </c>
      <c r="F444" s="3" t="s">
        <v>1571</v>
      </c>
      <c r="G444" s="3">
        <v>78749</v>
      </c>
      <c r="H444" s="7" t="str">
        <f>HYPERLINK("http://www.ensembl.org/Mus_musculus/Gene/Summary?db=core;g=ENSMUSG00000043336","ENSMUSG00000043336")</f>
        <v>ENSMUSG00000043336</v>
      </c>
      <c r="I444" s="7" t="str">
        <f>HYPERLINK("http://www.informatics.jax.org/marker/MGI:1925999","MGI:1925999")</f>
        <v>MGI:1925999</v>
      </c>
      <c r="J444" s="4" t="s">
        <v>12</v>
      </c>
    </row>
    <row r="445" spans="1:10" x14ac:dyDescent="0.25">
      <c r="A445" s="2">
        <v>10.660549691776</v>
      </c>
      <c r="B445" s="3">
        <v>1.7882940933226801</v>
      </c>
      <c r="C445" s="5">
        <v>1.0083409158588E-7</v>
      </c>
      <c r="D445" s="6">
        <v>6.3172957000779295E-7</v>
      </c>
      <c r="E445" s="3" t="s">
        <v>8565</v>
      </c>
      <c r="F445" s="3" t="s">
        <v>8566</v>
      </c>
      <c r="G445" s="3">
        <v>83961</v>
      </c>
      <c r="H445" s="7" t="str">
        <f>HYPERLINK("http://www.ensembl.org/Mus_musculus/Gene/Summary?db=core;g=ENSMUSG00000032311","ENSMUSG00000032311")</f>
        <v>ENSMUSG00000032311</v>
      </c>
      <c r="I445" s="7" t="str">
        <f>HYPERLINK("http://www.informatics.jax.org/marker/MGI:1933833","MGI:1933833")</f>
        <v>MGI:1933833</v>
      </c>
      <c r="J445" s="4" t="s">
        <v>12</v>
      </c>
    </row>
    <row r="446" spans="1:10" x14ac:dyDescent="0.25">
      <c r="A446" s="2">
        <v>2.1785997967402899</v>
      </c>
      <c r="B446" s="3">
        <v>1.7880783217765099</v>
      </c>
      <c r="C446" s="3">
        <v>1.3646609071049201E-4</v>
      </c>
      <c r="D446" s="4">
        <v>5.5695172279368198E-4</v>
      </c>
      <c r="E446" s="3" t="s">
        <v>10044</v>
      </c>
      <c r="F446" s="3" t="s">
        <v>10045</v>
      </c>
      <c r="G446" s="3">
        <v>60361</v>
      </c>
      <c r="H446" s="7" t="str">
        <f>HYPERLINK("http://www.ensembl.org/Mus_musculus/Gene/Summary?db=core;g=ENSMUSG00000056290","ENSMUSG00000056290")</f>
        <v>ENSMUSG00000056290</v>
      </c>
      <c r="I446" s="7" t="str">
        <f>HYPERLINK("http://www.informatics.jax.org/marker/MGI:1913083","MGI:1913083")</f>
        <v>MGI:1913083</v>
      </c>
      <c r="J446" s="4" t="s">
        <v>12</v>
      </c>
    </row>
    <row r="447" spans="1:10" x14ac:dyDescent="0.25">
      <c r="A447" s="2">
        <v>15.058055184761599</v>
      </c>
      <c r="B447" s="3">
        <v>1.7856647810686299</v>
      </c>
      <c r="C447" s="5">
        <v>1.4273601042863001E-6</v>
      </c>
      <c r="D447" s="6">
        <v>7.8095580608278998E-6</v>
      </c>
      <c r="E447" s="3" t="s">
        <v>9705</v>
      </c>
      <c r="F447" s="3" t="s">
        <v>9706</v>
      </c>
      <c r="G447" s="3">
        <v>72446</v>
      </c>
      <c r="H447" s="7" t="str">
        <f>HYPERLINK("http://www.ensembl.org/Mus_musculus/Gene/Summary?db=core;g=ENSMUSG00000032841","ENSMUSG00000032841")</f>
        <v>ENSMUSG00000032841</v>
      </c>
      <c r="I447" s="7" t="str">
        <f>HYPERLINK("http://www.informatics.jax.org/marker/MGI:1919696","MGI:1919696")</f>
        <v>MGI:1919696</v>
      </c>
      <c r="J447" s="4" t="s">
        <v>12</v>
      </c>
    </row>
    <row r="448" spans="1:10" x14ac:dyDescent="0.25">
      <c r="A448" s="2">
        <v>2.6222561044725299</v>
      </c>
      <c r="B448" s="3">
        <v>1.78524004514991</v>
      </c>
      <c r="C448" s="3">
        <v>1.42941053139287E-4</v>
      </c>
      <c r="D448" s="4">
        <v>5.8149569050524599E-4</v>
      </c>
      <c r="E448" s="3" t="s">
        <v>11863</v>
      </c>
      <c r="F448" s="3" t="s">
        <v>11864</v>
      </c>
      <c r="G448" s="3">
        <v>20254</v>
      </c>
      <c r="H448" s="7" t="str">
        <f>HYPERLINK("http://www.ensembl.org/Mus_musculus/Gene/Summary?db=core;g=ENSMUSG00000050711","ENSMUSG00000050711")</f>
        <v>ENSMUSG00000050711</v>
      </c>
      <c r="I448" s="7" t="str">
        <f>HYPERLINK("http://www.informatics.jax.org/marker/MGI:103033","MGI:103033")</f>
        <v>MGI:103033</v>
      </c>
      <c r="J448" s="4" t="s">
        <v>12</v>
      </c>
    </row>
    <row r="449" spans="1:10" x14ac:dyDescent="0.25">
      <c r="A449" s="2">
        <v>6.07465787446153</v>
      </c>
      <c r="B449" s="3">
        <v>1.7837243156131</v>
      </c>
      <c r="C449" s="5">
        <v>1.4882389800359301E-5</v>
      </c>
      <c r="D449" s="6">
        <v>7.0891676453619501E-5</v>
      </c>
      <c r="E449" s="3" t="s">
        <v>9269</v>
      </c>
      <c r="F449" s="3" t="s">
        <v>9270</v>
      </c>
      <c r="G449" s="3" t="s">
        <v>83</v>
      </c>
      <c r="H449" s="7" t="str">
        <f>HYPERLINK("http://www.ensembl.org/Mus_musculus/Gene/Summary?db=core;g=ENSMUSG00000093672","ENSMUSG00000093672")</f>
        <v>ENSMUSG00000093672</v>
      </c>
      <c r="I449" s="7" t="str">
        <f>HYPERLINK("http://www.informatics.jax.org/marker/MGI:5313102","MGI:5313102")</f>
        <v>MGI:5313102</v>
      </c>
      <c r="J449" s="4" t="s">
        <v>932</v>
      </c>
    </row>
    <row r="450" spans="1:10" x14ac:dyDescent="0.25">
      <c r="A450" s="2">
        <v>4.9481086039989002</v>
      </c>
      <c r="B450" s="3">
        <v>1.78013771999209</v>
      </c>
      <c r="C450" s="5">
        <v>5.6058504321416697E-5</v>
      </c>
      <c r="D450" s="4">
        <v>2.44242467429553E-4</v>
      </c>
      <c r="E450" s="3" t="s">
        <v>8995</v>
      </c>
      <c r="F450" s="3" t="s">
        <v>8996</v>
      </c>
      <c r="G450" s="3" t="s">
        <v>83</v>
      </c>
      <c r="H450" s="7" t="str">
        <f>HYPERLINK("http://www.ensembl.org/Mus_musculus/Gene/Summary?db=core;g=ENSMUSG00000118369","ENSMUSG00000118369")</f>
        <v>ENSMUSG00000118369</v>
      </c>
      <c r="I450" s="7" t="str">
        <f>HYPERLINK("http://www.informatics.jax.org/marker/MGI:5589700","MGI:5589700")</f>
        <v>MGI:5589700</v>
      </c>
      <c r="J450" s="4" t="s">
        <v>331</v>
      </c>
    </row>
    <row r="451" spans="1:10" x14ac:dyDescent="0.25">
      <c r="A451" s="2">
        <v>1005.5549271377801</v>
      </c>
      <c r="B451" s="3">
        <v>1.7790527292676499</v>
      </c>
      <c r="C451" s="5">
        <v>2.2246846589228199E-35</v>
      </c>
      <c r="D451" s="6">
        <v>6.59266307461275E-34</v>
      </c>
      <c r="E451" s="3" t="s">
        <v>766</v>
      </c>
      <c r="F451" s="3" t="s">
        <v>767</v>
      </c>
      <c r="G451" s="3">
        <v>12575</v>
      </c>
      <c r="H451" s="7" t="str">
        <f>HYPERLINK("http://www.ensembl.org/Mus_musculus/Gene/Summary?db=core;g=ENSMUSG00000023067","ENSMUSG00000023067")</f>
        <v>ENSMUSG00000023067</v>
      </c>
      <c r="I451" s="7" t="str">
        <f>HYPERLINK("http://www.informatics.jax.org/marker/MGI:104556","MGI:104556")</f>
        <v>MGI:104556</v>
      </c>
      <c r="J451" s="4" t="s">
        <v>12</v>
      </c>
    </row>
    <row r="452" spans="1:10" x14ac:dyDescent="0.25">
      <c r="A452" s="2">
        <v>132.49723945554001</v>
      </c>
      <c r="B452" s="3">
        <v>1.7762375325575399</v>
      </c>
      <c r="C452" s="5">
        <v>1.19289564064363E-39</v>
      </c>
      <c r="D452" s="6">
        <v>4.0712589982640799E-38</v>
      </c>
      <c r="E452" s="3" t="s">
        <v>1232</v>
      </c>
      <c r="F452" s="3" t="s">
        <v>1233</v>
      </c>
      <c r="G452" s="3">
        <v>218793</v>
      </c>
      <c r="H452" s="7" t="str">
        <f>HYPERLINK("http://www.ensembl.org/Mus_musculus/Gene/Summary?db=core;g=ENSMUSG00000058317","ENSMUSG00000058317")</f>
        <v>ENSMUSG00000058317</v>
      </c>
      <c r="I452" s="7" t="str">
        <f>HYPERLINK("http://www.informatics.jax.org/marker/MGI:2384997","MGI:2384997")</f>
        <v>MGI:2384997</v>
      </c>
      <c r="J452" s="4" t="s">
        <v>12</v>
      </c>
    </row>
    <row r="453" spans="1:10" x14ac:dyDescent="0.25">
      <c r="A453" s="2">
        <v>10.3949991660224</v>
      </c>
      <c r="B453" s="3">
        <v>1.7739084506260001</v>
      </c>
      <c r="C453" s="5">
        <v>4.3571198749678402E-6</v>
      </c>
      <c r="D453" s="6">
        <v>2.24381208593639E-5</v>
      </c>
      <c r="E453" s="3" t="s">
        <v>11269</v>
      </c>
      <c r="F453" s="3" t="s">
        <v>11270</v>
      </c>
      <c r="G453" s="3">
        <v>77627</v>
      </c>
      <c r="H453" s="7" t="str">
        <f>HYPERLINK("http://www.ensembl.org/Mus_musculus/Gene/Summary?db=core;g=ENSMUSG00000022441","ENSMUSG00000022441")</f>
        <v>ENSMUSG00000022441</v>
      </c>
      <c r="I453" s="7" t="str">
        <f>HYPERLINK("http://www.informatics.jax.org/marker/MGI:1924877","MGI:1924877")</f>
        <v>MGI:1924877</v>
      </c>
      <c r="J453" s="4" t="s">
        <v>12</v>
      </c>
    </row>
    <row r="454" spans="1:10" x14ac:dyDescent="0.25">
      <c r="A454" s="2">
        <v>384.83268372294202</v>
      </c>
      <c r="B454" s="3">
        <v>1.77236728935226</v>
      </c>
      <c r="C454" s="5">
        <v>1.90790927091112E-71</v>
      </c>
      <c r="D454" s="6">
        <v>1.5317905930552901E-69</v>
      </c>
      <c r="E454" s="3" t="s">
        <v>1444</v>
      </c>
      <c r="F454" s="3" t="s">
        <v>1445</v>
      </c>
      <c r="G454" s="3">
        <v>52668</v>
      </c>
      <c r="H454" s="7" t="str">
        <f>HYPERLINK("http://www.ensembl.org/Mus_musculus/Gene/Summary?db=core;g=ENSMUSG00000064215","ENSMUSG00000064215")</f>
        <v>ENSMUSG00000064215</v>
      </c>
      <c r="I454" s="7" t="str">
        <f>HYPERLINK("http://www.informatics.jax.org/marker/MGI:1277180","MGI:1277180")</f>
        <v>MGI:1277180</v>
      </c>
      <c r="J454" s="4" t="s">
        <v>12</v>
      </c>
    </row>
    <row r="455" spans="1:10" x14ac:dyDescent="0.25">
      <c r="A455" s="2">
        <v>8.6102269412301702</v>
      </c>
      <c r="B455" s="3">
        <v>1.770784872758</v>
      </c>
      <c r="C455" s="5">
        <v>5.6277798370395602E-5</v>
      </c>
      <c r="D455" s="4">
        <v>2.4511602848944499E-4</v>
      </c>
      <c r="E455" s="3" t="s">
        <v>8923</v>
      </c>
      <c r="F455" s="3" t="s">
        <v>8924</v>
      </c>
      <c r="G455" s="3">
        <v>20609</v>
      </c>
      <c r="H455" s="7" t="str">
        <f>HYPERLINK("http://www.ensembl.org/Mus_musculus/Gene/Summary?db=core;g=ENSMUSG00000050824","ENSMUSG00000050824")</f>
        <v>ENSMUSG00000050824</v>
      </c>
      <c r="I455" s="7" t="str">
        <f>HYPERLINK("http://www.informatics.jax.org/marker/MGI:894282","MGI:894282")</f>
        <v>MGI:894282</v>
      </c>
      <c r="J455" s="4" t="s">
        <v>12</v>
      </c>
    </row>
    <row r="456" spans="1:10" x14ac:dyDescent="0.25">
      <c r="A456" s="2">
        <v>2090.5972733611102</v>
      </c>
      <c r="B456" s="3">
        <v>1.76820971222363</v>
      </c>
      <c r="C456" s="5">
        <v>7.4509956085384799E-116</v>
      </c>
      <c r="D456" s="6">
        <v>1.5431181246092499E-113</v>
      </c>
      <c r="E456" s="3" t="s">
        <v>222</v>
      </c>
      <c r="F456" s="3" t="s">
        <v>223</v>
      </c>
      <c r="G456" s="3">
        <v>20525</v>
      </c>
      <c r="H456" s="7" t="str">
        <f>HYPERLINK("http://www.ensembl.org/Mus_musculus/Gene/Summary?db=core;g=ENSMUSG00000028645","ENSMUSG00000028645")</f>
        <v>ENSMUSG00000028645</v>
      </c>
      <c r="I456" s="7" t="str">
        <f>HYPERLINK("http://www.informatics.jax.org/marker/MGI:95755","MGI:95755")</f>
        <v>MGI:95755</v>
      </c>
      <c r="J456" s="4" t="s">
        <v>12</v>
      </c>
    </row>
    <row r="457" spans="1:10" x14ac:dyDescent="0.25">
      <c r="A457" s="2">
        <v>17.319558880517601</v>
      </c>
      <c r="B457" s="3">
        <v>1.7671518610164501</v>
      </c>
      <c r="C457" s="5">
        <v>3.2905669199080298E-8</v>
      </c>
      <c r="D457" s="6">
        <v>2.1650029644521201E-7</v>
      </c>
      <c r="E457" s="3" t="s">
        <v>7158</v>
      </c>
      <c r="F457" s="3" t="s">
        <v>7159</v>
      </c>
      <c r="G457" s="3">
        <v>71130</v>
      </c>
      <c r="H457" s="7" t="str">
        <f>HYPERLINK("http://www.ensembl.org/Mus_musculus/Gene/Summary?db=core;g=ENSMUSG00000052631","ENSMUSG00000052631")</f>
        <v>ENSMUSG00000052631</v>
      </c>
      <c r="I457" s="7" t="str">
        <f>HYPERLINK("http://www.informatics.jax.org/marker/MGI:1918380","MGI:1918380")</f>
        <v>MGI:1918380</v>
      </c>
      <c r="J457" s="4" t="s">
        <v>12</v>
      </c>
    </row>
    <row r="458" spans="1:10" x14ac:dyDescent="0.25">
      <c r="A458" s="2">
        <v>583.48637968157095</v>
      </c>
      <c r="B458" s="3">
        <v>1.7670294191826601</v>
      </c>
      <c r="C458" s="5">
        <v>2.2011022407695E-66</v>
      </c>
      <c r="D458" s="6">
        <v>1.5369765646752601E-64</v>
      </c>
      <c r="E458" s="3" t="s">
        <v>780</v>
      </c>
      <c r="F458" s="3" t="s">
        <v>781</v>
      </c>
      <c r="G458" s="3">
        <v>56738</v>
      </c>
      <c r="H458" s="7" t="str">
        <f>HYPERLINK("http://www.ensembl.org/Mus_musculus/Gene/Summary?db=core;g=ENSMUSG00000064120","ENSMUSG00000064120")</f>
        <v>ENSMUSG00000064120</v>
      </c>
      <c r="I458" s="7" t="str">
        <f>HYPERLINK("http://www.informatics.jax.org/marker/MGI:1928904","MGI:1928904")</f>
        <v>MGI:1928904</v>
      </c>
      <c r="J458" s="4" t="s">
        <v>12</v>
      </c>
    </row>
    <row r="459" spans="1:10" x14ac:dyDescent="0.25">
      <c r="A459" s="2">
        <v>1096.6486084488299</v>
      </c>
      <c r="B459" s="3">
        <v>1.7652937284103301</v>
      </c>
      <c r="C459" s="5">
        <v>3.4741561175220798E-179</v>
      </c>
      <c r="D459" s="6">
        <v>1.5443047619960901E-176</v>
      </c>
      <c r="E459" s="3" t="s">
        <v>59</v>
      </c>
      <c r="F459" s="3" t="s">
        <v>60</v>
      </c>
      <c r="G459" s="3">
        <v>21353</v>
      </c>
      <c r="H459" s="7" t="str">
        <f>HYPERLINK("http://www.ensembl.org/Mus_musculus/Gene/Summary?db=core;g=ENSMUSG00000064289","ENSMUSG00000064289")</f>
        <v>ENSMUSG00000064289</v>
      </c>
      <c r="I459" s="7" t="str">
        <f>HYPERLINK("http://www.informatics.jax.org/marker/MGI:107676","MGI:107676")</f>
        <v>MGI:107676</v>
      </c>
      <c r="J459" s="4" t="s">
        <v>12</v>
      </c>
    </row>
    <row r="460" spans="1:10" x14ac:dyDescent="0.25">
      <c r="A460" s="2">
        <v>20.605289977546501</v>
      </c>
      <c r="B460" s="3">
        <v>1.7615319409960899</v>
      </c>
      <c r="C460" s="5">
        <v>2.4407960897758E-11</v>
      </c>
      <c r="D460" s="6">
        <v>2.1988882222522999E-10</v>
      </c>
      <c r="E460" s="3" t="s">
        <v>8195</v>
      </c>
      <c r="F460" s="3" t="s">
        <v>8196</v>
      </c>
      <c r="G460" s="3">
        <v>242748</v>
      </c>
      <c r="H460" s="7" t="str">
        <f>HYPERLINK("http://www.ensembl.org/Mus_musculus/Gene/Summary?db=core;g=ENSMUSG00000041544","ENSMUSG00000041544")</f>
        <v>ENSMUSG00000041544</v>
      </c>
      <c r="I460" s="7" t="str">
        <f>HYPERLINK("http://www.informatics.jax.org/marker/MGI:2444403","MGI:2444403")</f>
        <v>MGI:2444403</v>
      </c>
      <c r="J460" s="4" t="s">
        <v>12</v>
      </c>
    </row>
    <row r="461" spans="1:10" x14ac:dyDescent="0.25">
      <c r="A461" s="2">
        <v>49.051123745921799</v>
      </c>
      <c r="B461" s="3">
        <v>1.7611113705602599</v>
      </c>
      <c r="C461" s="5">
        <v>1.52228920491589E-14</v>
      </c>
      <c r="D461" s="6">
        <v>1.7405094579417899E-13</v>
      </c>
      <c r="E461" s="3" t="s">
        <v>3062</v>
      </c>
      <c r="F461" s="3" t="s">
        <v>3063</v>
      </c>
      <c r="G461" s="3">
        <v>55948</v>
      </c>
      <c r="H461" s="7" t="str">
        <f>HYPERLINK("http://www.ensembl.org/Mus_musculus/Gene/Summary?db=core;g=ENSMUSG00000047281","ENSMUSG00000047281")</f>
        <v>ENSMUSG00000047281</v>
      </c>
      <c r="I461" s="7" t="str">
        <f>HYPERLINK("http://www.informatics.jax.org/marker/MGI:1891831","MGI:1891831")</f>
        <v>MGI:1891831</v>
      </c>
      <c r="J461" s="4" t="s">
        <v>12</v>
      </c>
    </row>
    <row r="462" spans="1:10" x14ac:dyDescent="0.25">
      <c r="A462" s="2">
        <v>7.5909006834025403</v>
      </c>
      <c r="B462" s="3">
        <v>1.76023963886067</v>
      </c>
      <c r="C462" s="5">
        <v>5.5743778483904698E-5</v>
      </c>
      <c r="D462" s="4">
        <v>2.4292930723796401E-4</v>
      </c>
      <c r="E462" s="3" t="s">
        <v>5049</v>
      </c>
      <c r="F462" s="3" t="s">
        <v>5050</v>
      </c>
      <c r="G462" s="3">
        <v>383435</v>
      </c>
      <c r="H462" s="7" t="str">
        <f>HYPERLINK("http://www.ensembl.org/Mus_musculus/Gene/Summary?db=core;g=ENSMUSG00000099398","ENSMUSG00000099398")</f>
        <v>ENSMUSG00000099398</v>
      </c>
      <c r="I462" s="7" t="str">
        <f>HYPERLINK("http://www.informatics.jax.org/marker/MGI:2686122","MGI:2686122")</f>
        <v>MGI:2686122</v>
      </c>
      <c r="J462" s="4" t="s">
        <v>12</v>
      </c>
    </row>
    <row r="463" spans="1:10" x14ac:dyDescent="0.25">
      <c r="A463" s="2">
        <v>89.221764355912995</v>
      </c>
      <c r="B463" s="3">
        <v>1.7588251474477099</v>
      </c>
      <c r="C463" s="5">
        <v>1.2797898943755001E-16</v>
      </c>
      <c r="D463" s="6">
        <v>1.67198357168412E-15</v>
      </c>
      <c r="E463" s="3" t="s">
        <v>4455</v>
      </c>
      <c r="F463" s="3" t="s">
        <v>4456</v>
      </c>
      <c r="G463" s="3">
        <v>30805</v>
      </c>
      <c r="H463" s="7" t="str">
        <f>HYPERLINK("http://www.ensembl.org/Mus_musculus/Gene/Summary?db=core;g=ENSMUSG00000020334","ENSMUSG00000020334")</f>
        <v>ENSMUSG00000020334</v>
      </c>
      <c r="I463" s="7" t="str">
        <f>HYPERLINK("http://www.informatics.jax.org/marker/MGI:1353479","MGI:1353479")</f>
        <v>MGI:1353479</v>
      </c>
      <c r="J463" s="4" t="s">
        <v>12</v>
      </c>
    </row>
    <row r="464" spans="1:10" x14ac:dyDescent="0.25">
      <c r="A464" s="2">
        <v>404.67501977021499</v>
      </c>
      <c r="B464" s="3">
        <v>1.75089832817601</v>
      </c>
      <c r="C464" s="5">
        <v>6.4834152874130198E-74</v>
      </c>
      <c r="D464" s="6">
        <v>5.5215067108926302E-72</v>
      </c>
      <c r="E464" s="3" t="s">
        <v>400</v>
      </c>
      <c r="F464" s="3" t="s">
        <v>401</v>
      </c>
      <c r="G464" s="3">
        <v>83921</v>
      </c>
      <c r="H464" s="7" t="str">
        <f>HYPERLINK("http://www.ensembl.org/Mus_musculus/Gene/Summary?db=core;g=ENSMUSG00000024754","ENSMUSG00000024754")</f>
        <v>ENSMUSG00000024754</v>
      </c>
      <c r="I464" s="7" t="str">
        <f>HYPERLINK("http://www.informatics.jax.org/marker/MGI:1890373","MGI:1890373")</f>
        <v>MGI:1890373</v>
      </c>
      <c r="J464" s="4" t="s">
        <v>12</v>
      </c>
    </row>
    <row r="465" spans="1:10" x14ac:dyDescent="0.25">
      <c r="A465" s="2">
        <v>20.830688769709798</v>
      </c>
      <c r="B465" s="3">
        <v>1.74992266941038</v>
      </c>
      <c r="C465" s="5">
        <v>8.5498547925877905E-9</v>
      </c>
      <c r="D465" s="6">
        <v>6.0023537594342303E-8</v>
      </c>
      <c r="E465" s="3" t="s">
        <v>6623</v>
      </c>
      <c r="F465" s="3" t="s">
        <v>6624</v>
      </c>
      <c r="G465" s="3">
        <v>68794</v>
      </c>
      <c r="H465" s="7" t="str">
        <f>HYPERLINK("http://www.ensembl.org/Mus_musculus/Gene/Summary?db=core;g=ENSMUSG00000068699","ENSMUSG00000068699")</f>
        <v>ENSMUSG00000068699</v>
      </c>
      <c r="I465" s="7" t="str">
        <f>HYPERLINK("http://www.informatics.jax.org/marker/MGI:95557","MGI:95557")</f>
        <v>MGI:95557</v>
      </c>
      <c r="J465" s="4" t="s">
        <v>12</v>
      </c>
    </row>
    <row r="466" spans="1:10" x14ac:dyDescent="0.25">
      <c r="A466" s="2">
        <v>474.500379240732</v>
      </c>
      <c r="B466" s="3">
        <v>1.7479137914949301</v>
      </c>
      <c r="C466" s="5">
        <v>6.1563349615494697E-59</v>
      </c>
      <c r="D466" s="6">
        <v>3.6076914686250499E-57</v>
      </c>
      <c r="E466" s="3" t="s">
        <v>530</v>
      </c>
      <c r="F466" s="3" t="s">
        <v>531</v>
      </c>
      <c r="G466" s="3">
        <v>17872</v>
      </c>
      <c r="H466" s="7" t="str">
        <f>HYPERLINK("http://www.ensembl.org/Mus_musculus/Gene/Summary?db=core;g=ENSMUSG00000040435","ENSMUSG00000040435")</f>
        <v>ENSMUSG00000040435</v>
      </c>
      <c r="I466" s="7" t="str">
        <f>HYPERLINK("http://www.informatics.jax.org/marker/MGI:1927072","MGI:1927072")</f>
        <v>MGI:1927072</v>
      </c>
      <c r="J466" s="4" t="s">
        <v>12</v>
      </c>
    </row>
    <row r="467" spans="1:10" x14ac:dyDescent="0.25">
      <c r="A467" s="2">
        <v>32.627880860929402</v>
      </c>
      <c r="B467" s="3">
        <v>1.74714967786715</v>
      </c>
      <c r="C467" s="5">
        <v>5.0715542884351303E-11</v>
      </c>
      <c r="D467" s="6">
        <v>4.44584304505677E-10</v>
      </c>
      <c r="E467" s="3" t="s">
        <v>7034</v>
      </c>
      <c r="F467" s="3" t="s">
        <v>7035</v>
      </c>
      <c r="G467" s="3">
        <v>54613</v>
      </c>
      <c r="H467" s="7" t="str">
        <f>HYPERLINK("http://www.ensembl.org/Mus_musculus/Gene/Summary?db=core;g=ENSMUSG00000022747","ENSMUSG00000022747")</f>
        <v>ENSMUSG00000022747</v>
      </c>
      <c r="I467" s="7" t="str">
        <f>HYPERLINK("http://www.informatics.jax.org/marker/MGI:1888707","MGI:1888707")</f>
        <v>MGI:1888707</v>
      </c>
      <c r="J467" s="4" t="s">
        <v>12</v>
      </c>
    </row>
    <row r="468" spans="1:10" x14ac:dyDescent="0.25">
      <c r="A468" s="2">
        <v>100.241076172627</v>
      </c>
      <c r="B468" s="3">
        <v>1.74121870575413</v>
      </c>
      <c r="C468" s="5">
        <v>3.25502643093058E-23</v>
      </c>
      <c r="D468" s="6">
        <v>5.9861611204550698E-22</v>
      </c>
      <c r="E468" s="3" t="s">
        <v>2796</v>
      </c>
      <c r="F468" s="3" t="s">
        <v>2797</v>
      </c>
      <c r="G468" s="3" t="s">
        <v>83</v>
      </c>
      <c r="H468" s="7" t="str">
        <f>HYPERLINK("http://www.ensembl.org/Mus_musculus/Gene/Summary?db=core;g=ENSMUSG00000116657","ENSMUSG00000116657")</f>
        <v>ENSMUSG00000116657</v>
      </c>
      <c r="I468" s="7" t="str">
        <f>HYPERLINK("http://www.informatics.jax.org/marker/MGI:6215288","MGI:6215288")</f>
        <v>MGI:6215288</v>
      </c>
      <c r="J468" s="4" t="s">
        <v>932</v>
      </c>
    </row>
    <row r="469" spans="1:10" x14ac:dyDescent="0.25">
      <c r="A469" s="2">
        <v>996.85767167179995</v>
      </c>
      <c r="B469" s="3">
        <v>1.73844254564429</v>
      </c>
      <c r="C469" s="5">
        <v>1.69330067788974E-35</v>
      </c>
      <c r="D469" s="6">
        <v>5.0425498128334302E-34</v>
      </c>
      <c r="E469" s="3" t="s">
        <v>666</v>
      </c>
      <c r="F469" s="3" t="s">
        <v>667</v>
      </c>
      <c r="G469" s="3">
        <v>56791</v>
      </c>
      <c r="H469" s="7" t="str">
        <f>HYPERLINK("http://www.ensembl.org/Mus_musculus/Gene/Summary?db=core;g=ENSMUSG00000027078","ENSMUSG00000027078")</f>
        <v>ENSMUSG00000027078</v>
      </c>
      <c r="I469" s="7" t="str">
        <f>HYPERLINK("http://www.informatics.jax.org/marker/MGI:1914500","MGI:1914500")</f>
        <v>MGI:1914500</v>
      </c>
      <c r="J469" s="4" t="s">
        <v>12</v>
      </c>
    </row>
    <row r="470" spans="1:10" x14ac:dyDescent="0.25">
      <c r="A470" s="2">
        <v>1305.9785759464701</v>
      </c>
      <c r="B470" s="3">
        <v>1.7358025278226901</v>
      </c>
      <c r="C470" s="5">
        <v>6.4408841292124605E-73</v>
      </c>
      <c r="D470" s="6">
        <v>5.36005083355694E-71</v>
      </c>
      <c r="E470" s="3" t="s">
        <v>430</v>
      </c>
      <c r="F470" s="3" t="s">
        <v>431</v>
      </c>
      <c r="G470" s="3">
        <v>16822</v>
      </c>
      <c r="H470" s="7" t="str">
        <f>HYPERLINK("http://www.ensembl.org/Mus_musculus/Gene/Summary?db=core;g=ENSMUSG00000002699","ENSMUSG00000002699")</f>
        <v>ENSMUSG00000002699</v>
      </c>
      <c r="I470" s="7" t="str">
        <f>HYPERLINK("http://www.informatics.jax.org/marker/MGI:1321402","MGI:1321402")</f>
        <v>MGI:1321402</v>
      </c>
      <c r="J470" s="4" t="s">
        <v>12</v>
      </c>
    </row>
    <row r="471" spans="1:10" x14ac:dyDescent="0.25">
      <c r="A471" s="2">
        <v>10.3876316200913</v>
      </c>
      <c r="B471" s="3">
        <v>1.73361942009567</v>
      </c>
      <c r="C471" s="5">
        <v>1.4045942412137999E-5</v>
      </c>
      <c r="D471" s="6">
        <v>6.7188267837589301E-5</v>
      </c>
      <c r="E471" s="3" t="s">
        <v>6713</v>
      </c>
      <c r="F471" s="3" t="s">
        <v>6714</v>
      </c>
      <c r="G471" s="3" t="s">
        <v>83</v>
      </c>
      <c r="H471" s="7" t="str">
        <f>HYPERLINK("http://www.ensembl.org/Mus_musculus/Gene/Summary?db=core;g=ENSMUSG00000106468","ENSMUSG00000106468")</f>
        <v>ENSMUSG00000106468</v>
      </c>
      <c r="I471" s="7" t="str">
        <f>HYPERLINK("http://www.informatics.jax.org/marker/MGI:6096129","MGI:6096129")</f>
        <v>MGI:6096129</v>
      </c>
      <c r="J471" s="4" t="s">
        <v>6715</v>
      </c>
    </row>
    <row r="472" spans="1:10" x14ac:dyDescent="0.25">
      <c r="A472" s="2">
        <v>115.75843447388399</v>
      </c>
      <c r="B472" s="3">
        <v>1.73301104574234</v>
      </c>
      <c r="C472" s="5">
        <v>2.7217726110863497E-23</v>
      </c>
      <c r="D472" s="6">
        <v>5.0308626609582804E-22</v>
      </c>
      <c r="E472" s="3" t="s">
        <v>4785</v>
      </c>
      <c r="F472" s="3" t="s">
        <v>4786</v>
      </c>
      <c r="G472" s="3">
        <v>235631</v>
      </c>
      <c r="H472" s="7" t="str">
        <f>HYPERLINK("http://www.ensembl.org/Mus_musculus/Gene/Summary?db=core;g=ENSMUSG00000048752","ENSMUSG00000048752")</f>
        <v>ENSMUSG00000048752</v>
      </c>
      <c r="I472" s="7" t="str">
        <f>HYPERLINK("http://www.informatics.jax.org/marker/MGI:2447303","MGI:2447303")</f>
        <v>MGI:2447303</v>
      </c>
      <c r="J472" s="4" t="s">
        <v>12</v>
      </c>
    </row>
    <row r="473" spans="1:10" x14ac:dyDescent="0.25">
      <c r="A473" s="2">
        <v>4756.7228155329904</v>
      </c>
      <c r="B473" s="3">
        <v>1.7327548978382701</v>
      </c>
      <c r="C473" s="5">
        <v>1.35585868028446E-56</v>
      </c>
      <c r="D473" s="6">
        <v>7.5107977046153002E-55</v>
      </c>
      <c r="E473" s="3" t="s">
        <v>586</v>
      </c>
      <c r="F473" s="3" t="s">
        <v>587</v>
      </c>
      <c r="G473" s="3">
        <v>21356</v>
      </c>
      <c r="H473" s="7" t="str">
        <f>HYPERLINK("http://www.ensembl.org/Mus_musculus/Gene/Summary?db=core;g=ENSMUSG00000024308","ENSMUSG00000024308")</f>
        <v>ENSMUSG00000024308</v>
      </c>
      <c r="I473" s="7" t="str">
        <f>HYPERLINK("http://www.informatics.jax.org/marker/MGI:1201689","MGI:1201689")</f>
        <v>MGI:1201689</v>
      </c>
      <c r="J473" s="4" t="s">
        <v>12</v>
      </c>
    </row>
    <row r="474" spans="1:10" x14ac:dyDescent="0.25">
      <c r="A474" s="2">
        <v>3.1973919899439198</v>
      </c>
      <c r="B474" s="3">
        <v>1.72550418364035</v>
      </c>
      <c r="C474" s="3">
        <v>2.1069629496935801E-4</v>
      </c>
      <c r="D474" s="4">
        <v>8.3422549985152103E-4</v>
      </c>
      <c r="E474" s="3" t="s">
        <v>8671</v>
      </c>
      <c r="F474" s="3" t="s">
        <v>8672</v>
      </c>
      <c r="G474" s="3">
        <v>100043332</v>
      </c>
      <c r="H474" s="7" t="str">
        <f>HYPERLINK("http://www.ensembl.org/Mus_musculus/Gene/Summary?db=core;g=ENSMUSG00000096140","ENSMUSG00000096140")</f>
        <v>ENSMUSG00000096140</v>
      </c>
      <c r="I474" s="7" t="str">
        <f>HYPERLINK("http://www.informatics.jax.org/marker/MGI:1925106","MGI:1925106")</f>
        <v>MGI:1925106</v>
      </c>
      <c r="J474" s="4" t="s">
        <v>12</v>
      </c>
    </row>
    <row r="475" spans="1:10" x14ac:dyDescent="0.25">
      <c r="A475" s="2">
        <v>3135.4785469184799</v>
      </c>
      <c r="B475" s="3">
        <v>1.72407741773419</v>
      </c>
      <c r="C475" s="5">
        <v>1.4508241734672601E-154</v>
      </c>
      <c r="D475" s="6">
        <v>5.0848597233540103E-152</v>
      </c>
      <c r="E475" s="3" t="s">
        <v>146</v>
      </c>
      <c r="F475" s="3" t="s">
        <v>147</v>
      </c>
      <c r="G475" s="3">
        <v>19271</v>
      </c>
      <c r="H475" s="7" t="str">
        <f>HYPERLINK("http://www.ensembl.org/Mus_musculus/Gene/Summary?db=core;g=ENSMUSG00000025314","ENSMUSG00000025314")</f>
        <v>ENSMUSG00000025314</v>
      </c>
      <c r="I475" s="7" t="str">
        <f>HYPERLINK("http://www.informatics.jax.org/marker/MGI:104574","MGI:104574")</f>
        <v>MGI:104574</v>
      </c>
      <c r="J475" s="4" t="s">
        <v>12</v>
      </c>
    </row>
    <row r="476" spans="1:10" x14ac:dyDescent="0.25">
      <c r="A476" s="2">
        <v>1112.4234727533999</v>
      </c>
      <c r="B476" s="3">
        <v>1.7237334519835901</v>
      </c>
      <c r="C476" s="5">
        <v>1.4284776068879199E-19</v>
      </c>
      <c r="D476" s="6">
        <v>2.1749377097353699E-18</v>
      </c>
      <c r="E476" s="3" t="s">
        <v>2958</v>
      </c>
      <c r="F476" s="3" t="s">
        <v>2959</v>
      </c>
      <c r="G476" s="3">
        <v>100041194</v>
      </c>
      <c r="H476" s="7" t="str">
        <f>HYPERLINK("http://www.ensembl.org/Mus_musculus/Gene/Summary?db=core;g=ENSMUSG00000072812","ENSMUSG00000072812")</f>
        <v>ENSMUSG00000072812</v>
      </c>
      <c r="I476" s="7" t="str">
        <f>HYPERLINK("http://www.informatics.jax.org/marker/MGI:2144831","MGI:2144831")</f>
        <v>MGI:2144831</v>
      </c>
      <c r="J476" s="4" t="s">
        <v>12</v>
      </c>
    </row>
    <row r="477" spans="1:10" x14ac:dyDescent="0.25">
      <c r="A477" s="2">
        <v>3.2367488935429201</v>
      </c>
      <c r="B477" s="3">
        <v>1.7235683386663101</v>
      </c>
      <c r="C477" s="3">
        <v>2.27488168400817E-4</v>
      </c>
      <c r="D477" s="4">
        <v>8.9487845221344604E-4</v>
      </c>
      <c r="E477" s="3" t="s">
        <v>6936</v>
      </c>
      <c r="F477" s="3" t="s">
        <v>6937</v>
      </c>
      <c r="G477" s="3">
        <v>72560</v>
      </c>
      <c r="H477" s="7" t="str">
        <f>HYPERLINK("http://www.ensembl.org/Mus_musculus/Gene/Summary?db=core;g=ENSMUSG00000043943","ENSMUSG00000043943")</f>
        <v>ENSMUSG00000043943</v>
      </c>
      <c r="I477" s="7" t="str">
        <f>HYPERLINK("http://www.informatics.jax.org/marker/MGI:1919810","MGI:1919810")</f>
        <v>MGI:1919810</v>
      </c>
      <c r="J477" s="4" t="s">
        <v>12</v>
      </c>
    </row>
    <row r="478" spans="1:10" x14ac:dyDescent="0.25">
      <c r="A478" s="2">
        <v>14.9471119900972</v>
      </c>
      <c r="B478" s="3">
        <v>1.71129878050496</v>
      </c>
      <c r="C478" s="5">
        <v>5.8430936924261899E-7</v>
      </c>
      <c r="D478" s="6">
        <v>3.3319894413162501E-6</v>
      </c>
      <c r="E478" s="3" t="s">
        <v>8125</v>
      </c>
      <c r="F478" s="3" t="s">
        <v>8126</v>
      </c>
      <c r="G478" s="3">
        <v>17395</v>
      </c>
      <c r="H478" s="7" t="str">
        <f>HYPERLINK("http://www.ensembl.org/Mus_musculus/Gene/Summary?db=core;g=ENSMUSG00000017737","ENSMUSG00000017737")</f>
        <v>ENSMUSG00000017737</v>
      </c>
      <c r="I478" s="7" t="str">
        <f>HYPERLINK("http://www.informatics.jax.org/marker/MGI:97011","MGI:97011")</f>
        <v>MGI:97011</v>
      </c>
      <c r="J478" s="4" t="s">
        <v>12</v>
      </c>
    </row>
    <row r="479" spans="1:10" x14ac:dyDescent="0.25">
      <c r="A479" s="2">
        <v>1072.98028000865</v>
      </c>
      <c r="B479" s="3">
        <v>1.7101859750822299</v>
      </c>
      <c r="C479" s="5">
        <v>3.1690131462191301E-93</v>
      </c>
      <c r="D479" s="6">
        <v>4.0672721542143398E-91</v>
      </c>
      <c r="E479" s="3" t="s">
        <v>246</v>
      </c>
      <c r="F479" s="3" t="s">
        <v>247</v>
      </c>
      <c r="G479" s="3">
        <v>13537</v>
      </c>
      <c r="H479" s="7" t="str">
        <f>HYPERLINK("http://www.ensembl.org/Mus_musculus/Gene/Summary?db=core;g=ENSMUSG00000027368","ENSMUSG00000027368")</f>
        <v>ENSMUSG00000027368</v>
      </c>
      <c r="I479" s="7" t="str">
        <f>HYPERLINK("http://www.informatics.jax.org/marker/MGI:101911","MGI:101911")</f>
        <v>MGI:101911</v>
      </c>
      <c r="J479" s="4" t="s">
        <v>12</v>
      </c>
    </row>
    <row r="480" spans="1:10" x14ac:dyDescent="0.25">
      <c r="A480" s="2">
        <v>3.1515225934154598</v>
      </c>
      <c r="B480" s="3">
        <v>1.7094664451080599</v>
      </c>
      <c r="C480" s="3">
        <v>2.3446486184210101E-4</v>
      </c>
      <c r="D480" s="4">
        <v>9.1974216682571901E-4</v>
      </c>
      <c r="E480" s="3" t="s">
        <v>7979</v>
      </c>
      <c r="F480" s="3" t="s">
        <v>7980</v>
      </c>
      <c r="G480" s="3">
        <v>70948</v>
      </c>
      <c r="H480" s="7" t="str">
        <f>HYPERLINK("http://www.ensembl.org/Mus_musculus/Gene/Summary?db=core;g=ENSMUSG00000035560","ENSMUSG00000035560")</f>
        <v>ENSMUSG00000035560</v>
      </c>
      <c r="I480" s="7" t="str">
        <f>HYPERLINK("http://www.informatics.jax.org/marker/MGI:1918198","MGI:1918198")</f>
        <v>MGI:1918198</v>
      </c>
      <c r="J480" s="4" t="s">
        <v>12</v>
      </c>
    </row>
    <row r="481" spans="1:10" x14ac:dyDescent="0.25">
      <c r="A481" s="2">
        <v>9825.7471035594499</v>
      </c>
      <c r="B481" s="3">
        <v>1.7085156010670599</v>
      </c>
      <c r="C481" s="5">
        <v>6.1173817941313701E-43</v>
      </c>
      <c r="D481" s="6">
        <v>2.3620610847043301E-41</v>
      </c>
      <c r="E481" s="3" t="s">
        <v>966</v>
      </c>
      <c r="F481" s="3" t="s">
        <v>967</v>
      </c>
      <c r="G481" s="3">
        <v>18412</v>
      </c>
      <c r="H481" s="7" t="str">
        <f>HYPERLINK("http://www.ensembl.org/Mus_musculus/Gene/Summary?db=core;g=ENSMUSG00000015837","ENSMUSG00000015837")</f>
        <v>ENSMUSG00000015837</v>
      </c>
      <c r="I481" s="7" t="str">
        <f>HYPERLINK("http://www.informatics.jax.org/marker/MGI:107931","MGI:107931")</f>
        <v>MGI:107931</v>
      </c>
      <c r="J481" s="4" t="s">
        <v>12</v>
      </c>
    </row>
    <row r="482" spans="1:10" x14ac:dyDescent="0.25">
      <c r="A482" s="2">
        <v>44.783671701054601</v>
      </c>
      <c r="B482" s="3">
        <v>1.70651160065513</v>
      </c>
      <c r="C482" s="5">
        <v>2.06525142826167E-15</v>
      </c>
      <c r="D482" s="6">
        <v>2.48443612409696E-14</v>
      </c>
      <c r="E482" s="3" t="s">
        <v>4529</v>
      </c>
      <c r="F482" s="3" t="s">
        <v>4530</v>
      </c>
      <c r="G482" s="3" t="s">
        <v>83</v>
      </c>
      <c r="H482" s="7" t="str">
        <f>HYPERLINK("http://www.ensembl.org/Mus_musculus/Gene/Summary?db=core;g=ENSMUSG00000097081","ENSMUSG00000097081")</f>
        <v>ENSMUSG00000097081</v>
      </c>
      <c r="I482" s="7" t="str">
        <f>HYPERLINK("http://www.informatics.jax.org/marker/MGI:3642471","MGI:3642471")</f>
        <v>MGI:3642471</v>
      </c>
      <c r="J482" s="4" t="s">
        <v>932</v>
      </c>
    </row>
    <row r="483" spans="1:10" x14ac:dyDescent="0.25">
      <c r="A483" s="2">
        <v>331.57764313412002</v>
      </c>
      <c r="B483" s="3">
        <v>1.7053325367432799</v>
      </c>
      <c r="C483" s="5">
        <v>5.1219789746080602E-20</v>
      </c>
      <c r="D483" s="6">
        <v>7.9977340722148298E-19</v>
      </c>
      <c r="E483" s="3" t="s">
        <v>2874</v>
      </c>
      <c r="F483" s="3" t="s">
        <v>2875</v>
      </c>
      <c r="G483" s="3">
        <v>50723</v>
      </c>
      <c r="H483" s="7" t="str">
        <f>HYPERLINK("http://www.ensembl.org/Mus_musculus/Gene/Summary?db=core;g=ENSMUSG00000000732","ENSMUSG00000000732")</f>
        <v>ENSMUSG00000000732</v>
      </c>
      <c r="I483" s="7" t="str">
        <f>HYPERLINK("http://www.informatics.jax.org/marker/MGI:1354701","MGI:1354701")</f>
        <v>MGI:1354701</v>
      </c>
      <c r="J483" s="4" t="s">
        <v>12</v>
      </c>
    </row>
    <row r="484" spans="1:10" x14ac:dyDescent="0.25">
      <c r="A484" s="2">
        <v>3.9354784788709001</v>
      </c>
      <c r="B484" s="3">
        <v>1.70189550980735</v>
      </c>
      <c r="C484" s="3">
        <v>2.8711248178236499E-4</v>
      </c>
      <c r="D484" s="4">
        <v>1.10743385830341E-3</v>
      </c>
      <c r="E484" s="3" t="s">
        <v>6900</v>
      </c>
      <c r="F484" s="3" t="s">
        <v>6901</v>
      </c>
      <c r="G484" s="3">
        <v>240327</v>
      </c>
      <c r="H484" s="7" t="str">
        <f>HYPERLINK("http://www.ensembl.org/Mus_musculus/Gene/Summary?db=core;g=ENSMUSG00000073555","ENSMUSG00000073555")</f>
        <v>ENSMUSG00000073555</v>
      </c>
      <c r="I484" s="7" t="str">
        <f>HYPERLINK("http://www.informatics.jax.org/marker/MGI:3644953","MGI:3644953")</f>
        <v>MGI:3644953</v>
      </c>
      <c r="J484" s="4" t="s">
        <v>12</v>
      </c>
    </row>
    <row r="485" spans="1:10" x14ac:dyDescent="0.25">
      <c r="A485" s="2">
        <v>43.6992296937253</v>
      </c>
      <c r="B485" s="3">
        <v>1.7010058904972201</v>
      </c>
      <c r="C485" s="5">
        <v>1.13744957480521E-9</v>
      </c>
      <c r="D485" s="6">
        <v>8.76904335906297E-9</v>
      </c>
      <c r="E485" s="3" t="s">
        <v>3052</v>
      </c>
      <c r="F485" s="3" t="s">
        <v>3053</v>
      </c>
      <c r="G485" s="3">
        <v>12579</v>
      </c>
      <c r="H485" s="7" t="str">
        <f>HYPERLINK("http://www.ensembl.org/Mus_musculus/Gene/Summary?db=core;g=ENSMUSG00000073802","ENSMUSG00000073802")</f>
        <v>ENSMUSG00000073802</v>
      </c>
      <c r="I485" s="7" t="str">
        <f>HYPERLINK("http://www.informatics.jax.org/marker/MGI:104737","MGI:104737")</f>
        <v>MGI:104737</v>
      </c>
      <c r="J485" s="4" t="s">
        <v>12</v>
      </c>
    </row>
    <row r="486" spans="1:10" x14ac:dyDescent="0.25">
      <c r="A486" s="2">
        <v>1105.90002929209</v>
      </c>
      <c r="B486" s="3">
        <v>1.69752944788475</v>
      </c>
      <c r="C486" s="5">
        <v>1.9648271670392301E-44</v>
      </c>
      <c r="D486" s="6">
        <v>8.0289181881815895E-43</v>
      </c>
      <c r="E486" s="3" t="s">
        <v>1526</v>
      </c>
      <c r="F486" s="3" t="s">
        <v>1527</v>
      </c>
      <c r="G486" s="3">
        <v>100213</v>
      </c>
      <c r="H486" s="7" t="str">
        <f>HYPERLINK("http://www.ensembl.org/Mus_musculus/Gene/Summary?db=core;g=ENSMUSG00000035969","ENSMUSG00000035969")</f>
        <v>ENSMUSG00000035969</v>
      </c>
      <c r="I486" s="7" t="str">
        <f>HYPERLINK("http://www.informatics.jax.org/marker/MGI:2140371","MGI:2140371")</f>
        <v>MGI:2140371</v>
      </c>
      <c r="J486" s="4" t="s">
        <v>12</v>
      </c>
    </row>
    <row r="487" spans="1:10" x14ac:dyDescent="0.25">
      <c r="A487" s="2">
        <v>3435.7487241379899</v>
      </c>
      <c r="B487" s="3">
        <v>1.69606372180285</v>
      </c>
      <c r="C487" s="5">
        <v>1.3476599097408399E-116</v>
      </c>
      <c r="D487" s="6">
        <v>2.82311515575022E-114</v>
      </c>
      <c r="E487" s="3" t="s">
        <v>214</v>
      </c>
      <c r="F487" s="3" t="s">
        <v>215</v>
      </c>
      <c r="G487" s="3">
        <v>192657</v>
      </c>
      <c r="H487" s="7" t="str">
        <f>HYPERLINK("http://www.ensembl.org/Mus_musculus/Gene/Summary?db=core;g=ENSMUSG00000001542","ENSMUSG00000001542")</f>
        <v>ENSMUSG00000001542</v>
      </c>
      <c r="I487" s="7" t="str">
        <f>HYPERLINK("http://www.informatics.jax.org/marker/MGI:2183438","MGI:2183438")</f>
        <v>MGI:2183438</v>
      </c>
      <c r="J487" s="4" t="s">
        <v>12</v>
      </c>
    </row>
    <row r="488" spans="1:10" x14ac:dyDescent="0.25">
      <c r="A488" s="2">
        <v>2724.0846691068</v>
      </c>
      <c r="B488" s="3">
        <v>1.6885390246105301</v>
      </c>
      <c r="C488" s="5">
        <v>1.2819327503914901E-134</v>
      </c>
      <c r="D488" s="6">
        <v>3.4870484143111699E-132</v>
      </c>
      <c r="E488" s="3" t="s">
        <v>572</v>
      </c>
      <c r="F488" s="3" t="s">
        <v>573</v>
      </c>
      <c r="G488" s="3">
        <v>23880</v>
      </c>
      <c r="H488" s="7" t="str">
        <f>HYPERLINK("http://www.ensembl.org/Mus_musculus/Gene/Summary?db=core;g=ENSMUSG00000022148","ENSMUSG00000022148")</f>
        <v>ENSMUSG00000022148</v>
      </c>
      <c r="I488" s="7" t="str">
        <f>HYPERLINK("http://www.informatics.jax.org/marker/MGI:1346327","MGI:1346327")</f>
        <v>MGI:1346327</v>
      </c>
      <c r="J488" s="4" t="s">
        <v>12</v>
      </c>
    </row>
    <row r="489" spans="1:10" x14ac:dyDescent="0.25">
      <c r="A489" s="2">
        <v>16.531348281079801</v>
      </c>
      <c r="B489" s="3">
        <v>1.6849102919204699</v>
      </c>
      <c r="C489" s="5">
        <v>4.27143139487681E-6</v>
      </c>
      <c r="D489" s="6">
        <v>2.2027967507535301E-5</v>
      </c>
      <c r="E489" s="3" t="s">
        <v>4121</v>
      </c>
      <c r="F489" s="3" t="s">
        <v>4122</v>
      </c>
      <c r="G489" s="3">
        <v>620913</v>
      </c>
      <c r="H489" s="7" t="str">
        <f>HYPERLINK("http://www.ensembl.org/Mus_musculus/Gene/Summary?db=core;g=ENSMUSG00000048852","ENSMUSG00000048852")</f>
        <v>ENSMUSG00000048852</v>
      </c>
      <c r="I489" s="7" t="str">
        <f>HYPERLINK("http://www.informatics.jax.org/marker/MGI:3652173","MGI:3652173")</f>
        <v>MGI:3652173</v>
      </c>
      <c r="J489" s="4" t="s">
        <v>12</v>
      </c>
    </row>
    <row r="490" spans="1:10" x14ac:dyDescent="0.25">
      <c r="A490" s="2">
        <v>1014.01141842323</v>
      </c>
      <c r="B490" s="3">
        <v>1.68443566262094</v>
      </c>
      <c r="C490" s="5">
        <v>9.5359578605428905E-161</v>
      </c>
      <c r="D490" s="6">
        <v>3.7781050436607402E-158</v>
      </c>
      <c r="E490" s="3" t="s">
        <v>71</v>
      </c>
      <c r="F490" s="3" t="s">
        <v>72</v>
      </c>
      <c r="G490" s="3">
        <v>22350</v>
      </c>
      <c r="H490" s="7" t="str">
        <f>HYPERLINK("http://www.ensembl.org/Mus_musculus/Gene/Summary?db=core;g=ENSMUSG00000052397","ENSMUSG00000052397")</f>
        <v>ENSMUSG00000052397</v>
      </c>
      <c r="I490" s="7" t="str">
        <f>HYPERLINK("http://www.informatics.jax.org/marker/MGI:98931","MGI:98931")</f>
        <v>MGI:98931</v>
      </c>
      <c r="J490" s="4" t="s">
        <v>12</v>
      </c>
    </row>
    <row r="491" spans="1:10" x14ac:dyDescent="0.25">
      <c r="A491" s="2">
        <v>3.1272643772853899</v>
      </c>
      <c r="B491" s="3">
        <v>1.6822634447734801</v>
      </c>
      <c r="C491" s="3">
        <v>1.9821847427507701E-4</v>
      </c>
      <c r="D491" s="4">
        <v>7.8773041728375003E-4</v>
      </c>
      <c r="E491" s="3" t="s">
        <v>10848</v>
      </c>
      <c r="F491" s="3" t="s">
        <v>10849</v>
      </c>
      <c r="G491" s="3" t="s">
        <v>83</v>
      </c>
      <c r="H491" s="7" t="str">
        <f>HYPERLINK("http://www.ensembl.org/Mus_musculus/Gene/Summary?db=core;g=ENSMUSG00000104568","ENSMUSG00000104568")</f>
        <v>ENSMUSG00000104568</v>
      </c>
      <c r="I491" s="7" t="str">
        <f>HYPERLINK("http://www.informatics.jax.org/marker/MGI:5663392","MGI:5663392")</f>
        <v>MGI:5663392</v>
      </c>
      <c r="J491" s="4" t="s">
        <v>932</v>
      </c>
    </row>
    <row r="492" spans="1:10" x14ac:dyDescent="0.25">
      <c r="A492" s="2">
        <v>401.50141852437298</v>
      </c>
      <c r="B492" s="3">
        <v>1.6812665377416101</v>
      </c>
      <c r="C492" s="5">
        <v>1.6324615156853599E-58</v>
      </c>
      <c r="D492" s="6">
        <v>9.4750353896068896E-57</v>
      </c>
      <c r="E492" s="3" t="s">
        <v>618</v>
      </c>
      <c r="F492" s="3" t="s">
        <v>619</v>
      </c>
      <c r="G492" s="3">
        <v>100121</v>
      </c>
      <c r="H492" s="7" t="str">
        <f>HYPERLINK("http://www.ensembl.org/Mus_musculus/Gene/Summary?db=core;g=ENSMUSG00000035517","ENSMUSG00000035517")</f>
        <v>ENSMUSG00000035517</v>
      </c>
      <c r="I492" s="7" t="str">
        <f>HYPERLINK("http://www.informatics.jax.org/marker/MGI:2140279","MGI:2140279")</f>
        <v>MGI:2140279</v>
      </c>
      <c r="J492" s="4" t="s">
        <v>12</v>
      </c>
    </row>
    <row r="493" spans="1:10" x14ac:dyDescent="0.25">
      <c r="A493" s="2">
        <v>1923.7849428238201</v>
      </c>
      <c r="B493" s="3">
        <v>1.6806193179029101</v>
      </c>
      <c r="C493" s="5">
        <v>4.6220085474271903E-64</v>
      </c>
      <c r="D493" s="6">
        <v>3.07431042981243E-62</v>
      </c>
      <c r="E493" s="3" t="s">
        <v>516</v>
      </c>
      <c r="F493" s="3" t="s">
        <v>517</v>
      </c>
      <c r="G493" s="3">
        <v>16656</v>
      </c>
      <c r="H493" s="7" t="str">
        <f>HYPERLINK("http://www.ensembl.org/Mus_musculus/Gene/Summary?db=core;g=ENSMUSG00000028634","ENSMUSG00000028634")</f>
        <v>ENSMUSG00000028634</v>
      </c>
      <c r="I493" s="7" t="str">
        <f>HYPERLINK("http://www.informatics.jax.org/marker/MGI:106589","MGI:106589")</f>
        <v>MGI:106589</v>
      </c>
      <c r="J493" s="4" t="s">
        <v>12</v>
      </c>
    </row>
    <row r="494" spans="1:10" x14ac:dyDescent="0.25">
      <c r="A494" s="2">
        <v>3.54693755443573</v>
      </c>
      <c r="B494" s="3">
        <v>1.6802209188377699</v>
      </c>
      <c r="C494" s="3">
        <v>1.6319537979612899E-4</v>
      </c>
      <c r="D494" s="4">
        <v>6.5801676920009802E-4</v>
      </c>
      <c r="E494" s="3" t="s">
        <v>12677</v>
      </c>
      <c r="F494" s="3" t="s">
        <v>12678</v>
      </c>
      <c r="G494" s="3">
        <v>12777</v>
      </c>
      <c r="H494" s="7" t="str">
        <f>HYPERLINK("http://www.ensembl.org/Mus_musculus/Gene/Summary?db=core;g=ENSMUSG00000044052","ENSMUSG00000044052")</f>
        <v>ENSMUSG00000044052</v>
      </c>
      <c r="I494" s="7" t="str">
        <f>HYPERLINK("http://www.informatics.jax.org/marker/MGI:1096320","MGI:1096320")</f>
        <v>MGI:1096320</v>
      </c>
      <c r="J494" s="4" t="s">
        <v>12</v>
      </c>
    </row>
    <row r="495" spans="1:10" x14ac:dyDescent="0.25">
      <c r="A495" s="2">
        <v>14035.4759159156</v>
      </c>
      <c r="B495" s="3">
        <v>1.6750334448049899</v>
      </c>
      <c r="C495" s="5">
        <v>1.3813802245536101E-108</v>
      </c>
      <c r="D495" s="6">
        <v>2.3528649151859398E-106</v>
      </c>
      <c r="E495" s="3" t="s">
        <v>198</v>
      </c>
      <c r="F495" s="3" t="s">
        <v>199</v>
      </c>
      <c r="G495" s="3">
        <v>17164</v>
      </c>
      <c r="H495" s="7" t="str">
        <f>HYPERLINK("http://www.ensembl.org/Mus_musculus/Gene/Summary?db=core;g=ENSMUSG00000016528","ENSMUSG00000016528")</f>
        <v>ENSMUSG00000016528</v>
      </c>
      <c r="I495" s="7" t="str">
        <f>HYPERLINK("http://www.informatics.jax.org/marker/MGI:109298","MGI:109298")</f>
        <v>MGI:109298</v>
      </c>
      <c r="J495" s="4" t="s">
        <v>12</v>
      </c>
    </row>
    <row r="496" spans="1:10" x14ac:dyDescent="0.25">
      <c r="A496" s="2">
        <v>47.935889984942399</v>
      </c>
      <c r="B496" s="3">
        <v>1.6749028175238001</v>
      </c>
      <c r="C496" s="5">
        <v>6.97088701181294E-19</v>
      </c>
      <c r="D496" s="6">
        <v>1.0320423703516701E-17</v>
      </c>
      <c r="E496" s="3" t="s">
        <v>4643</v>
      </c>
      <c r="F496" s="3" t="s">
        <v>4644</v>
      </c>
      <c r="G496" s="3" t="s">
        <v>83</v>
      </c>
      <c r="H496" s="7" t="str">
        <f>HYPERLINK("http://www.ensembl.org/Mus_musculus/Gene/Summary?db=core;g=ENSMUSG00000114980","ENSMUSG00000114980")</f>
        <v>ENSMUSG00000114980</v>
      </c>
      <c r="I496" s="7" t="str">
        <f>HYPERLINK("http://www.informatics.jax.org/marker/MGI:1918514","MGI:1918514")</f>
        <v>MGI:1918514</v>
      </c>
      <c r="J496" s="4" t="s">
        <v>939</v>
      </c>
    </row>
    <row r="497" spans="1:10" x14ac:dyDescent="0.25">
      <c r="A497" s="2">
        <v>413.79688923407798</v>
      </c>
      <c r="B497" s="3">
        <v>1.6695751216696999</v>
      </c>
      <c r="C497" s="5">
        <v>1.3593358096106599E-38</v>
      </c>
      <c r="D497" s="6">
        <v>4.4799087034637E-37</v>
      </c>
      <c r="E497" s="3" t="s">
        <v>1102</v>
      </c>
      <c r="F497" s="3" t="s">
        <v>1103</v>
      </c>
      <c r="G497" s="3">
        <v>212168</v>
      </c>
      <c r="H497" s="7" t="str">
        <f>HYPERLINK("http://www.ensembl.org/Mus_musculus/Gene/Summary?db=core;g=ENSMUSG00000035671","ENSMUSG00000035671")</f>
        <v>ENSMUSG00000035671</v>
      </c>
      <c r="I497" s="7" t="str">
        <f>HYPERLINK("http://www.informatics.jax.org/marker/MGI:2443726","MGI:2443726")</f>
        <v>MGI:2443726</v>
      </c>
      <c r="J497" s="4" t="s">
        <v>12</v>
      </c>
    </row>
    <row r="498" spans="1:10" x14ac:dyDescent="0.25">
      <c r="A498" s="2">
        <v>5.5905575545002897</v>
      </c>
      <c r="B498" s="3">
        <v>1.66670306787122</v>
      </c>
      <c r="C498" s="5">
        <v>4.7424292275884097E-5</v>
      </c>
      <c r="D498" s="4">
        <v>2.0897188750676699E-4</v>
      </c>
      <c r="E498" s="3" t="s">
        <v>8847</v>
      </c>
      <c r="F498" s="3" t="s">
        <v>8848</v>
      </c>
      <c r="G498" s="3" t="s">
        <v>83</v>
      </c>
      <c r="H498" s="7" t="str">
        <f>HYPERLINK("http://www.ensembl.org/Mus_musculus/Gene/Summary?db=core;g=ENSMUSG00000106149","ENSMUSG00000106149")</f>
        <v>ENSMUSG00000106149</v>
      </c>
      <c r="I498" s="7" t="str">
        <f>HYPERLINK("http://www.informatics.jax.org/marker/MGI:5663567","MGI:5663567")</f>
        <v>MGI:5663567</v>
      </c>
      <c r="J498" s="4" t="s">
        <v>1828</v>
      </c>
    </row>
    <row r="499" spans="1:10" x14ac:dyDescent="0.25">
      <c r="A499" s="2">
        <v>221.18993898280101</v>
      </c>
      <c r="B499" s="3">
        <v>1.66595538733103</v>
      </c>
      <c r="C499" s="5">
        <v>1.21631869312848E-39</v>
      </c>
      <c r="D499" s="6">
        <v>4.1434407817320598E-38</v>
      </c>
      <c r="E499" s="3" t="s">
        <v>1007</v>
      </c>
      <c r="F499" s="3" t="s">
        <v>1008</v>
      </c>
      <c r="G499" s="3">
        <v>21426</v>
      </c>
      <c r="H499" s="7" t="str">
        <f>HYPERLINK("http://www.ensembl.org/Mus_musculus/Gene/Summary?db=core;g=ENSMUSG00000029553","ENSMUSG00000029553")</f>
        <v>ENSMUSG00000029553</v>
      </c>
      <c r="I499" s="7" t="str">
        <f>HYPERLINK("http://www.informatics.jax.org/marker/MGI:1333760","MGI:1333760")</f>
        <v>MGI:1333760</v>
      </c>
      <c r="J499" s="4" t="s">
        <v>12</v>
      </c>
    </row>
    <row r="500" spans="1:10" x14ac:dyDescent="0.25">
      <c r="A500" s="2">
        <v>3.67658345365997</v>
      </c>
      <c r="B500" s="3">
        <v>1.6656459002494199</v>
      </c>
      <c r="C500" s="3">
        <v>2.4535957796662498E-4</v>
      </c>
      <c r="D500" s="4">
        <v>9.5773791142466096E-4</v>
      </c>
      <c r="E500" s="3" t="s">
        <v>8869</v>
      </c>
      <c r="F500" s="3" t="s">
        <v>8870</v>
      </c>
      <c r="G500" s="3">
        <v>19275</v>
      </c>
      <c r="H500" s="7" t="str">
        <f>HYPERLINK("http://www.ensembl.org/Mus_musculus/Gene/Summary?db=core;g=ENSMUSG00000026204","ENSMUSG00000026204")</f>
        <v>ENSMUSG00000026204</v>
      </c>
      <c r="I500" s="7" t="str">
        <f>HYPERLINK("http://www.informatics.jax.org/marker/MGI:102765","MGI:102765")</f>
        <v>MGI:102765</v>
      </c>
      <c r="J500" s="4" t="s">
        <v>12</v>
      </c>
    </row>
    <row r="501" spans="1:10" x14ac:dyDescent="0.25">
      <c r="A501" s="2">
        <v>2998.2512374128701</v>
      </c>
      <c r="B501" s="3">
        <v>1.66210717573151</v>
      </c>
      <c r="C501" s="5">
        <v>8.2526673155222798E-169</v>
      </c>
      <c r="D501" s="6">
        <v>3.4182923142134898E-166</v>
      </c>
      <c r="E501" s="3" t="s">
        <v>67</v>
      </c>
      <c r="F501" s="3" t="s">
        <v>68</v>
      </c>
      <c r="G501" s="3">
        <v>67579</v>
      </c>
      <c r="H501" s="7" t="str">
        <f>HYPERLINK("http://www.ensembl.org/Mus_musculus/Gene/Summary?db=core;g=ENSMUSG00000020300","ENSMUSG00000020300")</f>
        <v>ENSMUSG00000020300</v>
      </c>
      <c r="I501" s="7" t="str">
        <f>HYPERLINK("http://www.informatics.jax.org/marker/MGI:1914829","MGI:1914829")</f>
        <v>MGI:1914829</v>
      </c>
      <c r="J501" s="4" t="s">
        <v>12</v>
      </c>
    </row>
    <row r="502" spans="1:10" x14ac:dyDescent="0.25">
      <c r="A502" s="2">
        <v>144.18060288760799</v>
      </c>
      <c r="B502" s="3">
        <v>1.6617075745177099</v>
      </c>
      <c r="C502" s="5">
        <v>1.54564538183647E-9</v>
      </c>
      <c r="D502" s="6">
        <v>1.17666612714995E-8</v>
      </c>
      <c r="E502" s="3" t="s">
        <v>7578</v>
      </c>
      <c r="F502" s="3" t="s">
        <v>7579</v>
      </c>
      <c r="G502" s="3">
        <v>13198</v>
      </c>
      <c r="H502" s="7" t="str">
        <f>HYPERLINK("http://www.ensembl.org/Mus_musculus/Gene/Summary?db=core;g=ENSMUSG00000025408","ENSMUSG00000025408")</f>
        <v>ENSMUSG00000025408</v>
      </c>
      <c r="I502" s="7" t="str">
        <f>HYPERLINK("http://www.informatics.jax.org/marker/MGI:109247","MGI:109247")</f>
        <v>MGI:109247</v>
      </c>
      <c r="J502" s="4" t="s">
        <v>12</v>
      </c>
    </row>
    <row r="503" spans="1:10" x14ac:dyDescent="0.25">
      <c r="A503" s="2">
        <v>7.9436059034935296</v>
      </c>
      <c r="B503" s="3">
        <v>1.6599656516527299</v>
      </c>
      <c r="C503" s="5">
        <v>2.0740560219072E-5</v>
      </c>
      <c r="D503" s="6">
        <v>9.6699081604652794E-5</v>
      </c>
      <c r="E503" s="3" t="s">
        <v>11193</v>
      </c>
      <c r="F503" s="3" t="s">
        <v>11194</v>
      </c>
      <c r="G503" s="3">
        <v>319998</v>
      </c>
      <c r="H503" s="7" t="str">
        <f>HYPERLINK("http://www.ensembl.org/Mus_musculus/Gene/Summary?db=core;g=ENSMUSG00000051703","ENSMUSG00000051703")</f>
        <v>ENSMUSG00000051703</v>
      </c>
      <c r="I503" s="7" t="str">
        <f>HYPERLINK("http://www.informatics.jax.org/marker/MGI:2443133","MGI:2443133")</f>
        <v>MGI:2443133</v>
      </c>
      <c r="J503" s="4" t="s">
        <v>12</v>
      </c>
    </row>
    <row r="504" spans="1:10" x14ac:dyDescent="0.25">
      <c r="A504" s="2">
        <v>967.28857448540805</v>
      </c>
      <c r="B504" s="3">
        <v>1.6587752096672801</v>
      </c>
      <c r="C504" s="5">
        <v>1.2863510090068101E-155</v>
      </c>
      <c r="D504" s="6">
        <v>4.59681316453905E-153</v>
      </c>
      <c r="E504" s="3" t="s">
        <v>138</v>
      </c>
      <c r="F504" s="3" t="s">
        <v>139</v>
      </c>
      <c r="G504" s="3">
        <v>23872</v>
      </c>
      <c r="H504" s="7" t="str">
        <f>HYPERLINK("http://www.ensembl.org/Mus_musculus/Gene/Summary?db=core;g=ENSMUSG00000022895","ENSMUSG00000022895")</f>
        <v>ENSMUSG00000022895</v>
      </c>
      <c r="I504" s="7" t="str">
        <f>HYPERLINK("http://www.informatics.jax.org/marker/MGI:95456","MGI:95456")</f>
        <v>MGI:95456</v>
      </c>
      <c r="J504" s="4" t="s">
        <v>12</v>
      </c>
    </row>
    <row r="505" spans="1:10" x14ac:dyDescent="0.25">
      <c r="A505" s="2">
        <v>1566.0770318293501</v>
      </c>
      <c r="B505" s="3">
        <v>1.6585865209469199</v>
      </c>
      <c r="C505" s="5">
        <v>2.0499756112809502E-90</v>
      </c>
      <c r="D505" s="6">
        <v>2.50743661178492E-88</v>
      </c>
      <c r="E505" s="3" t="s">
        <v>466</v>
      </c>
      <c r="F505" s="3" t="s">
        <v>467</v>
      </c>
      <c r="G505" s="3">
        <v>208846</v>
      </c>
      <c r="H505" s="7" t="str">
        <f>HYPERLINK("http://www.ensembl.org/Mus_musculus/Gene/Summary?db=core;g=ENSMUSG00000034574","ENSMUSG00000034574")</f>
        <v>ENSMUSG00000034574</v>
      </c>
      <c r="I505" s="7" t="str">
        <f>HYPERLINK("http://www.informatics.jax.org/marker/MGI:1914596","MGI:1914596")</f>
        <v>MGI:1914596</v>
      </c>
      <c r="J505" s="4" t="s">
        <v>12</v>
      </c>
    </row>
    <row r="506" spans="1:10" x14ac:dyDescent="0.25">
      <c r="A506" s="2">
        <v>4.9134148482252904</v>
      </c>
      <c r="B506" s="3">
        <v>1.65691504743725</v>
      </c>
      <c r="C506" s="3">
        <v>3.96469920710223E-4</v>
      </c>
      <c r="D506" s="4">
        <v>1.4956870844429399E-3</v>
      </c>
      <c r="E506" s="3" t="s">
        <v>5595</v>
      </c>
      <c r="F506" s="3" t="s">
        <v>5596</v>
      </c>
      <c r="G506" s="3">
        <v>20555</v>
      </c>
      <c r="H506" s="7" t="str">
        <f>HYPERLINK("http://www.ensembl.org/Mus_musculus/Gene/Summary?db=core;g=ENSMUSG00000078763","ENSMUSG00000078763")</f>
        <v>ENSMUSG00000078763</v>
      </c>
      <c r="I506" s="7" t="str">
        <f>HYPERLINK("http://www.informatics.jax.org/marker/MGI:1313259","MGI:1313259")</f>
        <v>MGI:1313259</v>
      </c>
      <c r="J506" s="4" t="s">
        <v>12</v>
      </c>
    </row>
    <row r="507" spans="1:10" x14ac:dyDescent="0.25">
      <c r="A507" s="2">
        <v>3.5557397860700899</v>
      </c>
      <c r="B507" s="3">
        <v>1.6559094984892899</v>
      </c>
      <c r="C507" s="3">
        <v>3.38529821806356E-4</v>
      </c>
      <c r="D507" s="4">
        <v>1.2910035577360999E-3</v>
      </c>
      <c r="E507" s="3" t="s">
        <v>11599</v>
      </c>
      <c r="F507" s="3" t="s">
        <v>11600</v>
      </c>
      <c r="G507" s="3">
        <v>20511</v>
      </c>
      <c r="H507" s="7" t="str">
        <f>HYPERLINK("http://www.ensembl.org/Mus_musculus/Gene/Summary?db=core;g=ENSMUSG00000005089","ENSMUSG00000005089")</f>
        <v>ENSMUSG00000005089</v>
      </c>
      <c r="I507" s="7" t="str">
        <f>HYPERLINK("http://www.informatics.jax.org/marker/MGI:101931","MGI:101931")</f>
        <v>MGI:101931</v>
      </c>
      <c r="J507" s="4" t="s">
        <v>12</v>
      </c>
    </row>
    <row r="508" spans="1:10" x14ac:dyDescent="0.25">
      <c r="A508" s="2">
        <v>2.9079933873966599</v>
      </c>
      <c r="B508" s="3">
        <v>1.65571950668929</v>
      </c>
      <c r="C508" s="3">
        <v>4.2683547074414302E-4</v>
      </c>
      <c r="D508" s="4">
        <v>1.6019514938863299E-3</v>
      </c>
      <c r="E508" s="3" t="s">
        <v>10114</v>
      </c>
      <c r="F508" s="3" t="s">
        <v>10115</v>
      </c>
      <c r="G508" s="3">
        <v>12769</v>
      </c>
      <c r="H508" s="7" t="str">
        <f>HYPERLINK("http://www.ensembl.org/Mus_musculus/Gene/Summary?db=core;g=ENSMUSG00000029530","ENSMUSG00000029530")</f>
        <v>ENSMUSG00000029530</v>
      </c>
      <c r="I508" s="7" t="str">
        <f>HYPERLINK("http://www.informatics.jax.org/marker/MGI:1341902","MGI:1341902")</f>
        <v>MGI:1341902</v>
      </c>
      <c r="J508" s="4" t="s">
        <v>12</v>
      </c>
    </row>
    <row r="509" spans="1:10" x14ac:dyDescent="0.25">
      <c r="A509" s="2">
        <v>5.4937563994737904</v>
      </c>
      <c r="B509" s="3">
        <v>1.65304277890551</v>
      </c>
      <c r="C509" s="3">
        <v>2.55130151480286E-4</v>
      </c>
      <c r="D509" s="4">
        <v>9.9237712982443702E-4</v>
      </c>
      <c r="E509" s="3" t="s">
        <v>6019</v>
      </c>
      <c r="F509" s="3" t="s">
        <v>6020</v>
      </c>
      <c r="G509" s="3">
        <v>433470</v>
      </c>
      <c r="H509" s="7" t="str">
        <f>HYPERLINK("http://www.ensembl.org/Mus_musculus/Gene/Summary?db=core;g=ENSMUSG00000033213","ENSMUSG00000033213")</f>
        <v>ENSMUSG00000033213</v>
      </c>
      <c r="I509" s="7" t="str">
        <f>HYPERLINK("http://www.informatics.jax.org/marker/MGI:3034182","MGI:3034182")</f>
        <v>MGI:3034182</v>
      </c>
      <c r="J509" s="4" t="s">
        <v>12</v>
      </c>
    </row>
    <row r="510" spans="1:10" x14ac:dyDescent="0.25">
      <c r="A510" s="2">
        <v>261.43910802456799</v>
      </c>
      <c r="B510" s="3">
        <v>1.6523786509571901</v>
      </c>
      <c r="C510" s="5">
        <v>2.5123955537221101E-9</v>
      </c>
      <c r="D510" s="6">
        <v>1.86739025149207E-8</v>
      </c>
      <c r="E510" s="3" t="s">
        <v>4981</v>
      </c>
      <c r="F510" s="3" t="s">
        <v>4982</v>
      </c>
      <c r="G510" s="3">
        <v>246256</v>
      </c>
      <c r="H510" s="7" t="str">
        <f>HYPERLINK("http://www.ensembl.org/Mus_musculus/Gene/Summary?db=core;g=ENSMUSG00000059089","ENSMUSG00000059089")</f>
        <v>ENSMUSG00000059089</v>
      </c>
      <c r="I510" s="7" t="str">
        <f>HYPERLINK("http://www.informatics.jax.org/marker/MGI:2179523","MGI:2179523")</f>
        <v>MGI:2179523</v>
      </c>
      <c r="J510" s="4" t="s">
        <v>12</v>
      </c>
    </row>
    <row r="511" spans="1:10" x14ac:dyDescent="0.25">
      <c r="A511" s="2">
        <v>53.825374039031303</v>
      </c>
      <c r="B511" s="3">
        <v>1.6474909123593</v>
      </c>
      <c r="C511" s="5">
        <v>5.6126836642668701E-13</v>
      </c>
      <c r="D511" s="6">
        <v>5.78897338886608E-12</v>
      </c>
      <c r="E511" s="3" t="s">
        <v>4797</v>
      </c>
      <c r="F511" s="3" t="s">
        <v>4798</v>
      </c>
      <c r="G511" s="3">
        <v>12519</v>
      </c>
      <c r="H511" s="7" t="str">
        <f>HYPERLINK("http://www.ensembl.org/Mus_musculus/Gene/Summary?db=core;g=ENSMUSG00000075122","ENSMUSG00000075122")</f>
        <v>ENSMUSG00000075122</v>
      </c>
      <c r="I511" s="7" t="str">
        <f>HYPERLINK("http://www.informatics.jax.org/marker/MGI:101775","MGI:101775")</f>
        <v>MGI:101775</v>
      </c>
      <c r="J511" s="4" t="s">
        <v>12</v>
      </c>
    </row>
    <row r="512" spans="1:10" x14ac:dyDescent="0.25">
      <c r="A512" s="2">
        <v>105.020253527406</v>
      </c>
      <c r="B512" s="3">
        <v>1.645570028152</v>
      </c>
      <c r="C512" s="5">
        <v>4.52174222900674E-5</v>
      </c>
      <c r="D512" s="4">
        <v>1.99778793027025E-4</v>
      </c>
      <c r="E512" s="3" t="s">
        <v>8469</v>
      </c>
      <c r="F512" s="3" t="s">
        <v>8470</v>
      </c>
      <c r="G512" s="3">
        <v>11433</v>
      </c>
      <c r="H512" s="7" t="str">
        <f>HYPERLINK("http://www.ensembl.org/Mus_musculus/Gene/Summary?db=core;g=ENSMUSG00000001348","ENSMUSG00000001348")</f>
        <v>ENSMUSG00000001348</v>
      </c>
      <c r="I512" s="7" t="str">
        <f>HYPERLINK("http://www.informatics.jax.org/marker/MGI:87883","MGI:87883")</f>
        <v>MGI:87883</v>
      </c>
      <c r="J512" s="4" t="s">
        <v>12</v>
      </c>
    </row>
    <row r="513" spans="1:10" x14ac:dyDescent="0.25">
      <c r="A513" s="2">
        <v>5.6073907941893104</v>
      </c>
      <c r="B513" s="3">
        <v>1.6447910273511801</v>
      </c>
      <c r="C513" s="3">
        <v>2.6291805961976399E-4</v>
      </c>
      <c r="D513" s="4">
        <v>1.0205924678530799E-3</v>
      </c>
      <c r="E513" s="3" t="s">
        <v>6878</v>
      </c>
      <c r="F513" s="3" t="s">
        <v>6879</v>
      </c>
      <c r="G513" s="3">
        <v>12503</v>
      </c>
      <c r="H513" s="7" t="str">
        <f>HYPERLINK("http://www.ensembl.org/Mus_musculus/Gene/Summary?db=core;g=ENSMUSG00000005763","ENSMUSG00000005763")</f>
        <v>ENSMUSG00000005763</v>
      </c>
      <c r="I513" s="7" t="str">
        <f>HYPERLINK("http://www.informatics.jax.org/marker/MGI:88334","MGI:88334")</f>
        <v>MGI:88334</v>
      </c>
      <c r="J513" s="4" t="s">
        <v>12</v>
      </c>
    </row>
    <row r="514" spans="1:10" x14ac:dyDescent="0.25">
      <c r="A514" s="2">
        <v>3.2199667741914002</v>
      </c>
      <c r="B514" s="3">
        <v>1.6427991190319799</v>
      </c>
      <c r="C514" s="3">
        <v>3.0703679122288702E-4</v>
      </c>
      <c r="D514" s="4">
        <v>1.1785479191316599E-3</v>
      </c>
      <c r="E514" s="3" t="s">
        <v>11377</v>
      </c>
      <c r="F514" s="3" t="s">
        <v>11378</v>
      </c>
      <c r="G514" s="3">
        <v>217151</v>
      </c>
      <c r="H514" s="7" t="str">
        <f>HYPERLINK("http://www.ensembl.org/Mus_musculus/Gene/Summary?db=core;g=ENSMUSG00000038352","ENSMUSG00000038352")</f>
        <v>ENSMUSG00000038352</v>
      </c>
      <c r="I514" s="7" t="str">
        <f>HYPERLINK("http://www.informatics.jax.org/marker/MGI:3028577","MGI:3028577")</f>
        <v>MGI:3028577</v>
      </c>
      <c r="J514" s="4" t="s">
        <v>12</v>
      </c>
    </row>
    <row r="515" spans="1:10" x14ac:dyDescent="0.25">
      <c r="A515" s="2">
        <v>48.572516395963902</v>
      </c>
      <c r="B515" s="3">
        <v>1.6374713845446001</v>
      </c>
      <c r="C515" s="5">
        <v>2.2155613056004199E-6</v>
      </c>
      <c r="D515" s="6">
        <v>1.18342921437772E-5</v>
      </c>
      <c r="E515" s="3" t="s">
        <v>4937</v>
      </c>
      <c r="F515" s="3" t="s">
        <v>4938</v>
      </c>
      <c r="G515" s="3">
        <v>432555</v>
      </c>
      <c r="H515" s="7" t="str">
        <f>HYPERLINK("http://www.ensembl.org/Mus_musculus/Gene/Summary?db=core;g=ENSMUSG00000058163","ENSMUSG00000058163")</f>
        <v>ENSMUSG00000058163</v>
      </c>
      <c r="I515" s="7" t="str">
        <f>HYPERLINK("http://www.informatics.jax.org/marker/MGI:3645205","MGI:3645205")</f>
        <v>MGI:3645205</v>
      </c>
      <c r="J515" s="4" t="s">
        <v>12</v>
      </c>
    </row>
    <row r="516" spans="1:10" x14ac:dyDescent="0.25">
      <c r="A516" s="2">
        <v>3.6758843152181</v>
      </c>
      <c r="B516" s="3">
        <v>1.63710494810048</v>
      </c>
      <c r="C516" s="3">
        <v>2.4723489180564201E-4</v>
      </c>
      <c r="D516" s="4">
        <v>9.6464480906825495E-4</v>
      </c>
      <c r="E516" s="3" t="s">
        <v>9984</v>
      </c>
      <c r="F516" s="3" t="s">
        <v>9985</v>
      </c>
      <c r="G516" s="3" t="s">
        <v>83</v>
      </c>
      <c r="H516" s="7" t="str">
        <f>HYPERLINK("http://www.ensembl.org/Mus_musculus/Gene/Summary?db=core;g=ENSMUSG00000104920","ENSMUSG00000104920")</f>
        <v>ENSMUSG00000104920</v>
      </c>
      <c r="I516" s="7" t="str">
        <f>HYPERLINK("http://www.informatics.jax.org/marker/MGI:5663352","MGI:5663352")</f>
        <v>MGI:5663352</v>
      </c>
      <c r="J516" s="4" t="s">
        <v>1043</v>
      </c>
    </row>
    <row r="517" spans="1:10" x14ac:dyDescent="0.25">
      <c r="A517" s="2">
        <v>16.028009250222201</v>
      </c>
      <c r="B517" s="3">
        <v>1.6344120040605801</v>
      </c>
      <c r="C517" s="5">
        <v>3.5477311470614203E-8</v>
      </c>
      <c r="D517" s="6">
        <v>2.3183004716814101E-7</v>
      </c>
      <c r="E517" s="3" t="s">
        <v>7066</v>
      </c>
      <c r="F517" s="3" t="s">
        <v>7067</v>
      </c>
      <c r="G517" s="3">
        <v>78284</v>
      </c>
      <c r="H517" s="7" t="str">
        <f>HYPERLINK("http://www.ensembl.org/Mus_musculus/Gene/Summary?db=core;g=ENSMUSG00000027938","ENSMUSG00000027938")</f>
        <v>ENSMUSG00000027938</v>
      </c>
      <c r="I517" s="7" t="str">
        <f>HYPERLINK("http://www.informatics.jax.org/marker/MGI:1916603","MGI:1916603")</f>
        <v>MGI:1916603</v>
      </c>
      <c r="J517" s="4" t="s">
        <v>12</v>
      </c>
    </row>
    <row r="518" spans="1:10" x14ac:dyDescent="0.25">
      <c r="A518" s="2">
        <v>11.2597190901866</v>
      </c>
      <c r="B518" s="3">
        <v>1.63227347803963</v>
      </c>
      <c r="C518" s="5">
        <v>5.8255365238580503E-6</v>
      </c>
      <c r="D518" s="6">
        <v>2.9483588766263E-5</v>
      </c>
      <c r="E518" s="3" t="s">
        <v>6069</v>
      </c>
      <c r="F518" s="3" t="s">
        <v>6070</v>
      </c>
      <c r="G518" s="3" t="s">
        <v>83</v>
      </c>
      <c r="H518" s="7" t="str">
        <f>HYPERLINK("http://www.ensembl.org/Mus_musculus/Gene/Summary?db=core;g=ENSMUSG00000079323","ENSMUSG00000079323")</f>
        <v>ENSMUSG00000079323</v>
      </c>
      <c r="I518" s="7" t="str">
        <f>HYPERLINK("http://www.informatics.jax.org/marker/MGI:5313108","MGI:5313108")</f>
        <v>MGI:5313108</v>
      </c>
      <c r="J518" s="4" t="s">
        <v>12</v>
      </c>
    </row>
    <row r="519" spans="1:10" x14ac:dyDescent="0.25">
      <c r="A519" s="2">
        <v>547.731868318225</v>
      </c>
      <c r="B519" s="3">
        <v>1.63034365643884</v>
      </c>
      <c r="C519" s="5">
        <v>3.8435242182775001E-44</v>
      </c>
      <c r="D519" s="6">
        <v>1.5531758066099199E-42</v>
      </c>
      <c r="E519" s="3" t="s">
        <v>1066</v>
      </c>
      <c r="F519" s="3" t="s">
        <v>1067</v>
      </c>
      <c r="G519" s="3">
        <v>106759</v>
      </c>
      <c r="H519" s="7" t="str">
        <f>HYPERLINK("http://www.ensembl.org/Mus_musculus/Gene/Summary?db=core;g=ENSMUSG00000047123","ENSMUSG00000047123")</f>
        <v>ENSMUSG00000047123</v>
      </c>
      <c r="I519" s="7" t="str">
        <f>HYPERLINK("http://www.informatics.jax.org/marker/MGI:2147032","MGI:2147032")</f>
        <v>MGI:2147032</v>
      </c>
      <c r="J519" s="4" t="s">
        <v>12</v>
      </c>
    </row>
    <row r="520" spans="1:10" x14ac:dyDescent="0.25">
      <c r="A520" s="2">
        <v>16.559108488080199</v>
      </c>
      <c r="B520" s="3">
        <v>1.6265215343075301</v>
      </c>
      <c r="C520" s="5">
        <v>4.1783326654012299E-6</v>
      </c>
      <c r="D520" s="6">
        <v>2.1566160528727701E-5</v>
      </c>
      <c r="E520" s="3" t="s">
        <v>7780</v>
      </c>
      <c r="F520" s="3" t="s">
        <v>7781</v>
      </c>
      <c r="G520" s="3">
        <v>98365</v>
      </c>
      <c r="H520" s="7" t="str">
        <f>HYPERLINK("http://www.ensembl.org/Mus_musculus/Gene/Summary?db=core;g=ENSMUSG00000026548","ENSMUSG00000026548")</f>
        <v>ENSMUSG00000026548</v>
      </c>
      <c r="I520" s="7" t="str">
        <f>HYPERLINK("http://www.informatics.jax.org/marker/MGI:1923692","MGI:1923692")</f>
        <v>MGI:1923692</v>
      </c>
      <c r="J520" s="4" t="s">
        <v>12</v>
      </c>
    </row>
    <row r="521" spans="1:10" x14ac:dyDescent="0.25">
      <c r="A521" s="2">
        <v>19.900292476067399</v>
      </c>
      <c r="B521" s="3">
        <v>1.62351624209776</v>
      </c>
      <c r="C521" s="5">
        <v>4.9896219445418303E-9</v>
      </c>
      <c r="D521" s="6">
        <v>3.5985698432637502E-8</v>
      </c>
      <c r="E521" s="3" t="s">
        <v>9956</v>
      </c>
      <c r="F521" s="3" t="s">
        <v>9957</v>
      </c>
      <c r="G521" s="3">
        <v>11768</v>
      </c>
      <c r="H521" s="7" t="str">
        <f>HYPERLINK("http://www.ensembl.org/Mus_musculus/Gene/Summary?db=core;g=ENSMUSG00000003309","ENSMUSG00000003309")</f>
        <v>ENSMUSG00000003309</v>
      </c>
      <c r="I521" s="7" t="str">
        <f>HYPERLINK("http://www.informatics.jax.org/marker/MGI:1336974","MGI:1336974")</f>
        <v>MGI:1336974</v>
      </c>
      <c r="J521" s="4" t="s">
        <v>12</v>
      </c>
    </row>
    <row r="522" spans="1:10" x14ac:dyDescent="0.25">
      <c r="A522" s="2">
        <v>424.71054146977201</v>
      </c>
      <c r="B522" s="3">
        <v>1.6214145861373801</v>
      </c>
      <c r="C522" s="5">
        <v>1.94086574584433E-80</v>
      </c>
      <c r="D522" s="6">
        <v>1.86169885357963E-78</v>
      </c>
      <c r="E522" s="3" t="s">
        <v>854</v>
      </c>
      <c r="F522" s="3" t="s">
        <v>855</v>
      </c>
      <c r="G522" s="3">
        <v>71567</v>
      </c>
      <c r="H522" s="7" t="str">
        <f>HYPERLINK("http://www.ensembl.org/Mus_musculus/Gene/Summary?db=core;g=ENSMUSG00000058298","ENSMUSG00000058298")</f>
        <v>ENSMUSG00000058298</v>
      </c>
      <c r="I522" s="7" t="str">
        <f>HYPERLINK("http://www.informatics.jax.org/marker/MGI:1918817","MGI:1918817")</f>
        <v>MGI:1918817</v>
      </c>
      <c r="J522" s="4" t="s">
        <v>12</v>
      </c>
    </row>
    <row r="523" spans="1:10" x14ac:dyDescent="0.25">
      <c r="A523" s="2">
        <v>838.37194624239396</v>
      </c>
      <c r="B523" s="3">
        <v>1.6198863884335499</v>
      </c>
      <c r="C523" s="5">
        <v>2.0347899585600099E-7</v>
      </c>
      <c r="D523" s="6">
        <v>1.2328473070065201E-6</v>
      </c>
      <c r="E523" s="3" t="s">
        <v>3324</v>
      </c>
      <c r="F523" s="3" t="s">
        <v>3325</v>
      </c>
      <c r="G523" s="3">
        <v>20308</v>
      </c>
      <c r="H523" s="7" t="str">
        <f>HYPERLINK("http://www.ensembl.org/Mus_musculus/Gene/Summary?db=core;g=ENSMUSG00000019122","ENSMUSG00000019122")</f>
        <v>ENSMUSG00000019122</v>
      </c>
      <c r="I523" s="7" t="str">
        <f>HYPERLINK("http://www.informatics.jax.org/marker/MGI:104533","MGI:104533")</f>
        <v>MGI:104533</v>
      </c>
      <c r="J523" s="4" t="s">
        <v>12</v>
      </c>
    </row>
    <row r="524" spans="1:10" x14ac:dyDescent="0.25">
      <c r="A524" s="2">
        <v>3.3921266019599301</v>
      </c>
      <c r="B524" s="3">
        <v>1.6179264800517099</v>
      </c>
      <c r="C524" s="3">
        <v>3.1904361977212601E-4</v>
      </c>
      <c r="D524" s="4">
        <v>1.22154831309811E-3</v>
      </c>
      <c r="E524" s="3" t="s">
        <v>11769</v>
      </c>
      <c r="F524" s="3" t="s">
        <v>11770</v>
      </c>
      <c r="G524" s="3" t="s">
        <v>83</v>
      </c>
      <c r="H524" s="7" t="str">
        <f>HYPERLINK("http://www.ensembl.org/Mus_musculus/Gene/Summary?db=core;g=ENSMUSG00000085524","ENSMUSG00000085524")</f>
        <v>ENSMUSG00000085524</v>
      </c>
      <c r="I524" s="7" t="str">
        <f>HYPERLINK("http://www.informatics.jax.org/marker/MGI:3649242","MGI:3649242")</f>
        <v>MGI:3649242</v>
      </c>
      <c r="J524" s="4" t="s">
        <v>932</v>
      </c>
    </row>
    <row r="525" spans="1:10" x14ac:dyDescent="0.25">
      <c r="A525" s="2">
        <v>46.670035350649599</v>
      </c>
      <c r="B525" s="3">
        <v>1.6136623254221001</v>
      </c>
      <c r="C525" s="3">
        <v>1.46897392597894E-4</v>
      </c>
      <c r="D525" s="4">
        <v>5.9665811903200595E-4</v>
      </c>
      <c r="E525" s="3" t="s">
        <v>8351</v>
      </c>
      <c r="F525" s="3" t="s">
        <v>8352</v>
      </c>
      <c r="G525" s="3">
        <v>17381</v>
      </c>
      <c r="H525" s="7" t="str">
        <f>HYPERLINK("http://www.ensembl.org/Mus_musculus/Gene/Summary?db=core;g=ENSMUSG00000049723","ENSMUSG00000049723")</f>
        <v>ENSMUSG00000049723</v>
      </c>
      <c r="I525" s="7" t="str">
        <f>HYPERLINK("http://www.informatics.jax.org/marker/MGI:97005","MGI:97005")</f>
        <v>MGI:97005</v>
      </c>
      <c r="J525" s="4" t="s">
        <v>12</v>
      </c>
    </row>
    <row r="526" spans="1:10" x14ac:dyDescent="0.25">
      <c r="A526" s="2">
        <v>707.25667533627995</v>
      </c>
      <c r="B526" s="3">
        <v>1.6079407759617601</v>
      </c>
      <c r="C526" s="5">
        <v>1.05874314954156E-66</v>
      </c>
      <c r="D526" s="6">
        <v>7.4500362549787598E-65</v>
      </c>
      <c r="E526" s="3" t="s">
        <v>686</v>
      </c>
      <c r="F526" s="3" t="s">
        <v>687</v>
      </c>
      <c r="G526" s="3">
        <v>71607</v>
      </c>
      <c r="H526" s="7" t="str">
        <f>HYPERLINK("http://www.ensembl.org/Mus_musculus/Gene/Summary?db=core;g=ENSMUSG00000031662","ENSMUSG00000031662")</f>
        <v>ENSMUSG00000031662</v>
      </c>
      <c r="I526" s="7" t="str">
        <f>HYPERLINK("http://www.informatics.jax.org/marker/MGI:1918857","MGI:1918857")</f>
        <v>MGI:1918857</v>
      </c>
      <c r="J526" s="4" t="s">
        <v>12</v>
      </c>
    </row>
    <row r="527" spans="1:10" x14ac:dyDescent="0.25">
      <c r="A527" s="2">
        <v>3.6157404261516102</v>
      </c>
      <c r="B527" s="3">
        <v>1.6059443443478201</v>
      </c>
      <c r="C527" s="3">
        <v>6.2928491672874102E-4</v>
      </c>
      <c r="D527" s="4">
        <v>2.2964993206610598E-3</v>
      </c>
      <c r="E527" s="3" t="s">
        <v>7104</v>
      </c>
      <c r="F527" s="3" t="s">
        <v>7105</v>
      </c>
      <c r="G527" s="3">
        <v>18507</v>
      </c>
      <c r="H527" s="7" t="str">
        <f>HYPERLINK("http://www.ensembl.org/Mus_musculus/Gene/Summary?db=core;g=ENSMUSG00000014030","ENSMUSG00000014030")</f>
        <v>ENSMUSG00000014030</v>
      </c>
      <c r="I527" s="7" t="str">
        <f>HYPERLINK("http://www.informatics.jax.org/marker/MGI:97489","MGI:97489")</f>
        <v>MGI:97489</v>
      </c>
      <c r="J527" s="4" t="s">
        <v>12</v>
      </c>
    </row>
    <row r="528" spans="1:10" x14ac:dyDescent="0.25">
      <c r="A528" s="2">
        <v>882.89137609623003</v>
      </c>
      <c r="B528" s="3">
        <v>1.6024307617267399</v>
      </c>
      <c r="C528" s="5">
        <v>9.1314104324082008E-112</v>
      </c>
      <c r="D528" s="6">
        <v>1.7156696405220601E-109</v>
      </c>
      <c r="E528" s="3" t="s">
        <v>256</v>
      </c>
      <c r="F528" s="3" t="s">
        <v>257</v>
      </c>
      <c r="G528" s="3">
        <v>53380</v>
      </c>
      <c r="H528" s="7" t="str">
        <f>HYPERLINK("http://www.ensembl.org/Mus_musculus/Gene/Summary?db=core;g=ENSMUSG00000031429","ENSMUSG00000031429")</f>
        <v>ENSMUSG00000031429</v>
      </c>
      <c r="I528" s="7" t="str">
        <f>HYPERLINK("http://www.informatics.jax.org/marker/MGI:1858898","MGI:1858898")</f>
        <v>MGI:1858898</v>
      </c>
      <c r="J528" s="4" t="s">
        <v>12</v>
      </c>
    </row>
    <row r="529" spans="1:10" x14ac:dyDescent="0.25">
      <c r="A529" s="2">
        <v>1755.3522353951801</v>
      </c>
      <c r="B529" s="3">
        <v>1.6004249555738399</v>
      </c>
      <c r="C529" s="5">
        <v>1.65746387197746E-41</v>
      </c>
      <c r="D529" s="6">
        <v>6.0779233534787303E-40</v>
      </c>
      <c r="E529" s="3" t="s">
        <v>997</v>
      </c>
      <c r="F529" s="3" t="s">
        <v>998</v>
      </c>
      <c r="G529" s="3">
        <v>69550</v>
      </c>
      <c r="H529" s="7" t="str">
        <f>HYPERLINK("http://www.ensembl.org/Mus_musculus/Gene/Summary?db=core;g=ENSMUSG00000046718","ENSMUSG00000046718")</f>
        <v>ENSMUSG00000046718</v>
      </c>
      <c r="I529" s="7" t="str">
        <f>HYPERLINK("http://www.informatics.jax.org/marker/MGI:1916800","MGI:1916800")</f>
        <v>MGI:1916800</v>
      </c>
      <c r="J529" s="4" t="s">
        <v>12</v>
      </c>
    </row>
    <row r="530" spans="1:10" x14ac:dyDescent="0.25">
      <c r="A530" s="2">
        <v>2181.4144758656198</v>
      </c>
      <c r="B530" s="3">
        <v>1.59628489960015</v>
      </c>
      <c r="C530" s="5">
        <v>6.40424563974979E-249</v>
      </c>
      <c r="D530" s="6">
        <v>7.2948360490274897E-246</v>
      </c>
      <c r="E530" s="3" t="s">
        <v>49</v>
      </c>
      <c r="F530" s="3" t="s">
        <v>50</v>
      </c>
      <c r="G530" s="3">
        <v>231549</v>
      </c>
      <c r="H530" s="7" t="str">
        <f>HYPERLINK("http://www.ensembl.org/Mus_musculus/Gene/Summary?db=core;g=ENSMUSG00000046079","ENSMUSG00000046079")</f>
        <v>ENSMUSG00000046079</v>
      </c>
      <c r="I530" s="7" t="str">
        <f>HYPERLINK("http://www.informatics.jax.org/marker/MGI:1922368","MGI:1922368")</f>
        <v>MGI:1922368</v>
      </c>
      <c r="J530" s="4" t="s">
        <v>12</v>
      </c>
    </row>
    <row r="531" spans="1:10" x14ac:dyDescent="0.25">
      <c r="A531" s="2">
        <v>32.679299268716299</v>
      </c>
      <c r="B531" s="3">
        <v>1.5927418252337799</v>
      </c>
      <c r="C531" s="5">
        <v>9.41538189940927E-12</v>
      </c>
      <c r="D531" s="6">
        <v>8.7593330840599306E-11</v>
      </c>
      <c r="E531" s="3" t="s">
        <v>7360</v>
      </c>
      <c r="F531" s="3" t="s">
        <v>7361</v>
      </c>
      <c r="G531" s="3">
        <v>13197</v>
      </c>
      <c r="H531" s="7" t="str">
        <f>HYPERLINK("http://www.ensembl.org/Mus_musculus/Gene/Summary?db=core;g=ENSMUSG00000036390","ENSMUSG00000036390")</f>
        <v>ENSMUSG00000036390</v>
      </c>
      <c r="I531" s="7" t="str">
        <f>HYPERLINK("http://www.informatics.jax.org/marker/MGI:107799","MGI:107799")</f>
        <v>MGI:107799</v>
      </c>
      <c r="J531" s="4" t="s">
        <v>12</v>
      </c>
    </row>
    <row r="532" spans="1:10" x14ac:dyDescent="0.25">
      <c r="A532" s="2">
        <v>47.926382861894801</v>
      </c>
      <c r="B532" s="3">
        <v>1.5923708572964601</v>
      </c>
      <c r="C532" s="5">
        <v>9.7476862797037001E-17</v>
      </c>
      <c r="D532" s="6">
        <v>1.27991053636599E-15</v>
      </c>
      <c r="E532" s="3" t="s">
        <v>2956</v>
      </c>
      <c r="F532" s="3" t="s">
        <v>2957</v>
      </c>
      <c r="G532" s="3">
        <v>74121</v>
      </c>
      <c r="H532" s="7" t="str">
        <f>HYPERLINK("http://www.ensembl.org/Mus_musculus/Gene/Summary?db=core;g=ENSMUSG00000027380","ENSMUSG00000027380")</f>
        <v>ENSMUSG00000027380</v>
      </c>
      <c r="I532" s="7" t="str">
        <f>HYPERLINK("http://www.informatics.jax.org/marker/MGI:1921371","MGI:1921371")</f>
        <v>MGI:1921371</v>
      </c>
      <c r="J532" s="4" t="s">
        <v>12</v>
      </c>
    </row>
    <row r="533" spans="1:10" x14ac:dyDescent="0.25">
      <c r="A533" s="2">
        <v>572.19540765819602</v>
      </c>
      <c r="B533" s="3">
        <v>1.59003967686303</v>
      </c>
      <c r="C533" s="5">
        <v>1.1714075287848299E-114</v>
      </c>
      <c r="D533" s="6">
        <v>2.37210024578929E-112</v>
      </c>
      <c r="E533" s="3" t="s">
        <v>148</v>
      </c>
      <c r="F533" s="3" t="s">
        <v>149</v>
      </c>
      <c r="G533" s="3">
        <v>73205</v>
      </c>
      <c r="H533" s="7" t="str">
        <f>HYPERLINK("http://www.ensembl.org/Mus_musculus/Gene/Summary?db=core;g=ENSMUSG00000028300","ENSMUSG00000028300")</f>
        <v>ENSMUSG00000028300</v>
      </c>
      <c r="I533" s="7" t="str">
        <f>HYPERLINK("http://www.informatics.jax.org/marker/MGI:1920455","MGI:1920455")</f>
        <v>MGI:1920455</v>
      </c>
      <c r="J533" s="4" t="s">
        <v>12</v>
      </c>
    </row>
    <row r="534" spans="1:10" x14ac:dyDescent="0.25">
      <c r="A534" s="2">
        <v>8.7662699111859297</v>
      </c>
      <c r="B534" s="3">
        <v>1.5818217954895599</v>
      </c>
      <c r="C534" s="3">
        <v>1.3057116315698801E-4</v>
      </c>
      <c r="D534" s="4">
        <v>5.3523604330546904E-4</v>
      </c>
      <c r="E534" s="3" t="s">
        <v>6617</v>
      </c>
      <c r="F534" s="3" t="s">
        <v>6618</v>
      </c>
      <c r="G534" s="3">
        <v>110751</v>
      </c>
      <c r="H534" s="7" t="str">
        <f>HYPERLINK("http://www.ensembl.org/Mus_musculus/Gene/Summary?db=core;g=ENSMUSG00000027318","ENSMUSG00000027318")</f>
        <v>ENSMUSG00000027318</v>
      </c>
      <c r="I534" s="7" t="str">
        <f>HYPERLINK("http://www.informatics.jax.org/marker/MGI:1341813","MGI:1341813")</f>
        <v>MGI:1341813</v>
      </c>
      <c r="J534" s="4" t="s">
        <v>12</v>
      </c>
    </row>
    <row r="535" spans="1:10" x14ac:dyDescent="0.25">
      <c r="A535" s="2">
        <v>2.4161035253173302</v>
      </c>
      <c r="B535" s="3">
        <v>1.58066534066048</v>
      </c>
      <c r="C535" s="3">
        <v>7.5808405052432205E-4</v>
      </c>
      <c r="D535" s="4">
        <v>2.72130821760996E-3</v>
      </c>
      <c r="E535" s="3" t="s">
        <v>10218</v>
      </c>
      <c r="F535" s="3" t="s">
        <v>10219</v>
      </c>
      <c r="G535" s="3" t="s">
        <v>83</v>
      </c>
      <c r="H535" s="7" t="str">
        <f>HYPERLINK("http://www.ensembl.org/Mus_musculus/Gene/Summary?db=core;g=ENSMUSG00000074805","ENSMUSG00000074805")</f>
        <v>ENSMUSG00000074805</v>
      </c>
      <c r="I535" s="7" t="str">
        <f>HYPERLINK("http://www.informatics.jax.org/marker/MGI:3650458","MGI:3650458")</f>
        <v>MGI:3650458</v>
      </c>
      <c r="J535" s="4" t="s">
        <v>932</v>
      </c>
    </row>
    <row r="536" spans="1:10" x14ac:dyDescent="0.25">
      <c r="A536" s="2">
        <v>4.75350406643964</v>
      </c>
      <c r="B536" s="3">
        <v>1.57235700919598</v>
      </c>
      <c r="C536" s="3">
        <v>7.5693998151018496E-4</v>
      </c>
      <c r="D536" s="4">
        <v>2.7177366357413499E-3</v>
      </c>
      <c r="E536" s="3" t="s">
        <v>5815</v>
      </c>
      <c r="F536" s="3" t="s">
        <v>5816</v>
      </c>
      <c r="G536" s="3">
        <v>16497</v>
      </c>
      <c r="H536" s="7" t="str">
        <f>HYPERLINK("http://www.ensembl.org/Mus_musculus/Gene/Summary?db=core;g=ENSMUSG00000027827","ENSMUSG00000027827")</f>
        <v>ENSMUSG00000027827</v>
      </c>
      <c r="I536" s="7" t="str">
        <f>HYPERLINK("http://www.informatics.jax.org/marker/MGI:109155","MGI:109155")</f>
        <v>MGI:109155</v>
      </c>
      <c r="J536" s="4" t="s">
        <v>12</v>
      </c>
    </row>
    <row r="537" spans="1:10" x14ac:dyDescent="0.25">
      <c r="A537" s="2">
        <v>661.33197100641905</v>
      </c>
      <c r="B537" s="3">
        <v>1.5718997380219399</v>
      </c>
      <c r="C537" s="5">
        <v>3.91893064196803E-60</v>
      </c>
      <c r="D537" s="6">
        <v>2.3967285553646801E-58</v>
      </c>
      <c r="E537" s="3" t="s">
        <v>582</v>
      </c>
      <c r="F537" s="3" t="s">
        <v>583</v>
      </c>
      <c r="G537" s="3">
        <v>52118</v>
      </c>
      <c r="H537" s="7" t="str">
        <f>HYPERLINK("http://www.ensembl.org/Mus_musculus/Gene/Summary?db=core;g=ENSMUSG00000040511","ENSMUSG00000040511")</f>
        <v>ENSMUSG00000040511</v>
      </c>
      <c r="I537" s="7" t="str">
        <f>HYPERLINK("http://www.informatics.jax.org/marker/MGI:107741","MGI:107741")</f>
        <v>MGI:107741</v>
      </c>
      <c r="J537" s="4" t="s">
        <v>12</v>
      </c>
    </row>
    <row r="538" spans="1:10" x14ac:dyDescent="0.25">
      <c r="A538" s="2">
        <v>5.2165337242409802</v>
      </c>
      <c r="B538" s="3">
        <v>1.5699198592705099</v>
      </c>
      <c r="C538" s="3">
        <v>2.9067951264958198E-4</v>
      </c>
      <c r="D538" s="4">
        <v>1.1204809894328799E-3</v>
      </c>
      <c r="E538" s="3" t="s">
        <v>11747</v>
      </c>
      <c r="F538" s="3" t="s">
        <v>11748</v>
      </c>
      <c r="G538" s="3" t="s">
        <v>83</v>
      </c>
      <c r="H538" s="7" t="str">
        <f>HYPERLINK("http://www.ensembl.org/Mus_musculus/Gene/Summary?db=core;g=ENSMUSG00000115739","ENSMUSG00000115739")</f>
        <v>ENSMUSG00000115739</v>
      </c>
      <c r="I538" s="7" t="str">
        <f>HYPERLINK("http://www.informatics.jax.org/marker/MGI:6118725","MGI:6118725")</f>
        <v>MGI:6118725</v>
      </c>
      <c r="J538" s="4" t="s">
        <v>1828</v>
      </c>
    </row>
    <row r="539" spans="1:10" x14ac:dyDescent="0.25">
      <c r="A539" s="2">
        <v>231.76511913303901</v>
      </c>
      <c r="B539" s="3">
        <v>1.5681726347110401</v>
      </c>
      <c r="C539" s="5">
        <v>1.13841031035808E-38</v>
      </c>
      <c r="D539" s="6">
        <v>3.7586101279485501E-37</v>
      </c>
      <c r="E539" s="3" t="s">
        <v>1378</v>
      </c>
      <c r="F539" s="3" t="s">
        <v>1379</v>
      </c>
      <c r="G539" s="3" t="s">
        <v>83</v>
      </c>
      <c r="H539" s="7" t="str">
        <f>HYPERLINK("http://www.ensembl.org/Mus_musculus/Gene/Summary?db=core;g=ENSMUSG00000110388","ENSMUSG00000110388")</f>
        <v>ENSMUSG00000110388</v>
      </c>
      <c r="I539" s="7" t="str">
        <f>HYPERLINK("http://www.informatics.jax.org/marker/MGI:5589488","MGI:5589488")</f>
        <v>MGI:5589488</v>
      </c>
      <c r="J539" s="4" t="s">
        <v>932</v>
      </c>
    </row>
    <row r="540" spans="1:10" x14ac:dyDescent="0.25">
      <c r="A540" s="2">
        <v>763.16075684904001</v>
      </c>
      <c r="B540" s="3">
        <v>1.5665758314489999</v>
      </c>
      <c r="C540" s="5">
        <v>1.9429326481514299E-71</v>
      </c>
      <c r="D540" s="6">
        <v>1.5530678733578799E-69</v>
      </c>
      <c r="E540" s="3" t="s">
        <v>414</v>
      </c>
      <c r="F540" s="3" t="s">
        <v>415</v>
      </c>
      <c r="G540" s="3">
        <v>97287</v>
      </c>
      <c r="H540" s="7" t="str">
        <f>HYPERLINK("http://www.ensembl.org/Mus_musculus/Gene/Summary?db=core;g=ENSMUSG00000030269","ENSMUSG00000030269")</f>
        <v>ENSMUSG00000030269</v>
      </c>
      <c r="I540" s="7" t="str">
        <f>HYPERLINK("http://www.informatics.jax.org/marker/MGI:1916075","MGI:1916075")</f>
        <v>MGI:1916075</v>
      </c>
      <c r="J540" s="4" t="s">
        <v>12</v>
      </c>
    </row>
    <row r="541" spans="1:10" x14ac:dyDescent="0.25">
      <c r="A541" s="2">
        <v>236.02993757382299</v>
      </c>
      <c r="B541" s="3">
        <v>1.5662966501748401</v>
      </c>
      <c r="C541" s="5">
        <v>1.1127400070215899E-41</v>
      </c>
      <c r="D541" s="6">
        <v>4.1218875260098398E-40</v>
      </c>
      <c r="E541" s="3" t="s">
        <v>2075</v>
      </c>
      <c r="F541" s="3" t="s">
        <v>2076</v>
      </c>
      <c r="G541" s="3">
        <v>11549</v>
      </c>
      <c r="H541" s="7" t="str">
        <f>HYPERLINK("http://www.ensembl.org/Mus_musculus/Gene/Summary?db=core;g=ENSMUSG00000045875","ENSMUSG00000045875")</f>
        <v>ENSMUSG00000045875</v>
      </c>
      <c r="I541" s="7" t="str">
        <f>HYPERLINK("http://www.informatics.jax.org/marker/MGI:104773","MGI:104773")</f>
        <v>MGI:104773</v>
      </c>
      <c r="J541" s="4" t="s">
        <v>12</v>
      </c>
    </row>
    <row r="542" spans="1:10" x14ac:dyDescent="0.25">
      <c r="A542" s="2">
        <v>2.1226126626006101</v>
      </c>
      <c r="B542" s="3">
        <v>1.5622663086864701</v>
      </c>
      <c r="C542" s="3">
        <v>8.7423928152550198E-4</v>
      </c>
      <c r="D542" s="4">
        <v>3.10706140908781E-3</v>
      </c>
      <c r="E542" s="3" t="s">
        <v>11677</v>
      </c>
      <c r="F542" s="3" t="s">
        <v>11678</v>
      </c>
      <c r="G542" s="3" t="s">
        <v>83</v>
      </c>
      <c r="H542" s="7" t="str">
        <f>HYPERLINK("http://www.ensembl.org/Mus_musculus/Gene/Summary?db=core;g=ENSMUSG00000116308","ENSMUSG00000116308")</f>
        <v>ENSMUSG00000116308</v>
      </c>
      <c r="I542" s="7" t="str">
        <f>HYPERLINK("http://www.informatics.jax.org/marker/MGI:6155155","MGI:6155155")</f>
        <v>MGI:6155155</v>
      </c>
      <c r="J542" s="4" t="s">
        <v>932</v>
      </c>
    </row>
    <row r="543" spans="1:10" x14ac:dyDescent="0.25">
      <c r="A543" s="2">
        <v>158.56361561447801</v>
      </c>
      <c r="B543" s="3">
        <v>1.5597274339408</v>
      </c>
      <c r="C543" s="5">
        <v>6.2998848013392096E-16</v>
      </c>
      <c r="D543" s="6">
        <v>7.8640685276991202E-15</v>
      </c>
      <c r="E543" s="3" t="s">
        <v>2583</v>
      </c>
      <c r="F543" s="3" t="s">
        <v>2584</v>
      </c>
      <c r="G543" s="3" t="s">
        <v>83</v>
      </c>
      <c r="H543" s="7" t="str">
        <f>HYPERLINK("http://www.ensembl.org/Mus_musculus/Gene/Summary?db=core;g=ENSMUSG00000085148","ENSMUSG00000085148")</f>
        <v>ENSMUSG00000085148</v>
      </c>
      <c r="I543" s="7" t="str">
        <f>HYPERLINK("http://www.informatics.jax.org/marker/MGI:1914348","MGI:1914348")</f>
        <v>MGI:1914348</v>
      </c>
      <c r="J543" s="4" t="s">
        <v>331</v>
      </c>
    </row>
    <row r="544" spans="1:10" x14ac:dyDescent="0.25">
      <c r="A544" s="2">
        <v>4.8662412563239901</v>
      </c>
      <c r="B544" s="3">
        <v>1.5581249077988899</v>
      </c>
      <c r="C544" s="3">
        <v>2.2576256290761899E-4</v>
      </c>
      <c r="D544" s="4">
        <v>8.8904985068957395E-4</v>
      </c>
      <c r="E544" s="3" t="s">
        <v>11125</v>
      </c>
      <c r="F544" s="3" t="s">
        <v>11126</v>
      </c>
      <c r="G544" s="3" t="s">
        <v>83</v>
      </c>
      <c r="H544" s="7" t="str">
        <f>HYPERLINK("http://www.ensembl.org/Mus_musculus/Gene/Summary?db=core;g=ENSMUSG00000097472","ENSMUSG00000097472")</f>
        <v>ENSMUSG00000097472</v>
      </c>
      <c r="I544" s="7" t="str">
        <f>HYPERLINK("http://www.informatics.jax.org/marker/MGI:5477080","MGI:5477080")</f>
        <v>MGI:5477080</v>
      </c>
      <c r="J544" s="4" t="s">
        <v>932</v>
      </c>
    </row>
    <row r="545" spans="1:10" x14ac:dyDescent="0.25">
      <c r="A545" s="2">
        <v>18.6553370146307</v>
      </c>
      <c r="B545" s="3">
        <v>1.5540260349771799</v>
      </c>
      <c r="C545" s="5">
        <v>4.8305585147718601E-8</v>
      </c>
      <c r="D545" s="6">
        <v>3.1119451725598198E-7</v>
      </c>
      <c r="E545" s="3" t="s">
        <v>11805</v>
      </c>
      <c r="F545" s="3" t="s">
        <v>11806</v>
      </c>
      <c r="G545" s="3">
        <v>63953</v>
      </c>
      <c r="H545" s="7" t="str">
        <f>HYPERLINK("http://www.ensembl.org/Mus_musculus/Gene/Summary?db=core;g=ENSMUSG00000039384","ENSMUSG00000039384")</f>
        <v>ENSMUSG00000039384</v>
      </c>
      <c r="I545" s="7" t="str">
        <f>HYPERLINK("http://www.informatics.jax.org/marker/MGI:1927070","MGI:1927070")</f>
        <v>MGI:1927070</v>
      </c>
      <c r="J545" s="4" t="s">
        <v>12</v>
      </c>
    </row>
    <row r="546" spans="1:10" x14ac:dyDescent="0.25">
      <c r="A546" s="2">
        <v>2725.1141011807699</v>
      </c>
      <c r="B546" s="3">
        <v>1.55401925466786</v>
      </c>
      <c r="C546" s="5">
        <v>1.2613863227009299E-53</v>
      </c>
      <c r="D546" s="6">
        <v>6.49400161898997E-52</v>
      </c>
      <c r="E546" s="3" t="s">
        <v>1258</v>
      </c>
      <c r="F546" s="3" t="s">
        <v>1259</v>
      </c>
      <c r="G546" s="3">
        <v>18844</v>
      </c>
      <c r="H546" s="7" t="str">
        <f>HYPERLINK("http://www.ensembl.org/Mus_musculus/Gene/Summary?db=core;g=ENSMUSG00000030084","ENSMUSG00000030084")</f>
        <v>ENSMUSG00000030084</v>
      </c>
      <c r="I546" s="7" t="str">
        <f>HYPERLINK("http://www.informatics.jax.org/marker/MGI:107685","MGI:107685")</f>
        <v>MGI:107685</v>
      </c>
      <c r="J546" s="4" t="s">
        <v>12</v>
      </c>
    </row>
    <row r="547" spans="1:10" x14ac:dyDescent="0.25">
      <c r="A547" s="2">
        <v>18.720731297671101</v>
      </c>
      <c r="B547" s="3">
        <v>1.5490058477703099</v>
      </c>
      <c r="C547" s="3">
        <v>1.2304671072423001E-4</v>
      </c>
      <c r="D547" s="4">
        <v>5.0598517665819103E-4</v>
      </c>
      <c r="E547" s="3" t="s">
        <v>11371</v>
      </c>
      <c r="F547" s="3" t="s">
        <v>11372</v>
      </c>
      <c r="G547" s="3">
        <v>69065</v>
      </c>
      <c r="H547" s="7" t="str">
        <f>HYPERLINK("http://www.ensembl.org/Mus_musculus/Gene/Summary?db=core;g=ENSMUSG00000027313","ENSMUSG00000027313")</f>
        <v>ENSMUSG00000027313</v>
      </c>
      <c r="I547" s="7" t="str">
        <f>HYPERLINK("http://www.informatics.jax.org/marker/MGI:1916315","MGI:1916315")</f>
        <v>MGI:1916315</v>
      </c>
      <c r="J547" s="4" t="s">
        <v>12</v>
      </c>
    </row>
    <row r="548" spans="1:10" x14ac:dyDescent="0.25">
      <c r="A548" s="2">
        <v>270.77742440422003</v>
      </c>
      <c r="B548" s="3">
        <v>1.5471939145064499</v>
      </c>
      <c r="C548" s="5">
        <v>3.34480783694718E-27</v>
      </c>
      <c r="D548" s="6">
        <v>7.3268176476397098E-26</v>
      </c>
      <c r="E548" s="3" t="s">
        <v>2429</v>
      </c>
      <c r="F548" s="3" t="s">
        <v>2430</v>
      </c>
      <c r="G548" s="3">
        <v>14659</v>
      </c>
      <c r="H548" s="7" t="str">
        <f>HYPERLINK("http://www.ensembl.org/Mus_musculus/Gene/Summary?db=core;g=ENSMUSG00000062310","ENSMUSG00000062310")</f>
        <v>ENSMUSG00000062310</v>
      </c>
      <c r="I548" s="7" t="str">
        <f>HYPERLINK("http://www.informatics.jax.org/marker/MGI:108038","MGI:108038")</f>
        <v>MGI:108038</v>
      </c>
      <c r="J548" s="4" t="s">
        <v>12</v>
      </c>
    </row>
    <row r="549" spans="1:10" x14ac:dyDescent="0.25">
      <c r="A549" s="2">
        <v>894.88220332212904</v>
      </c>
      <c r="B549" s="3">
        <v>1.5460132954213199</v>
      </c>
      <c r="C549" s="5">
        <v>5.5970314638780702E-38</v>
      </c>
      <c r="D549" s="6">
        <v>1.8054141314898699E-36</v>
      </c>
      <c r="E549" s="3" t="s">
        <v>1374</v>
      </c>
      <c r="F549" s="3" t="s">
        <v>1375</v>
      </c>
      <c r="G549" s="3">
        <v>72432</v>
      </c>
      <c r="H549" s="7" t="str">
        <f>HYPERLINK("http://www.ensembl.org/Mus_musculus/Gene/Summary?db=core;g=ENSMUSG00000055561","ENSMUSG00000055561")</f>
        <v>ENSMUSG00000055561</v>
      </c>
      <c r="I549" s="7" t="str">
        <f>HYPERLINK("http://www.informatics.jax.org/marker/MGI:1919682","MGI:1919682")</f>
        <v>MGI:1919682</v>
      </c>
      <c r="J549" s="4" t="s">
        <v>12</v>
      </c>
    </row>
    <row r="550" spans="1:10" x14ac:dyDescent="0.25">
      <c r="A550" s="2">
        <v>1592.64792848711</v>
      </c>
      <c r="B550" s="3">
        <v>1.54215441949626</v>
      </c>
      <c r="C550" s="5">
        <v>7.7367384471094703E-178</v>
      </c>
      <c r="D550" s="6">
        <v>3.35719186187072E-175</v>
      </c>
      <c r="E550" s="3" t="s">
        <v>122</v>
      </c>
      <c r="F550" s="3" t="s">
        <v>123</v>
      </c>
      <c r="G550" s="3">
        <v>241075</v>
      </c>
      <c r="H550" s="7" t="str">
        <f>HYPERLINK("http://www.ensembl.org/Mus_musculus/Gene/Summary?db=core;g=ENSMUSG00000051344","ENSMUSG00000051344")</f>
        <v>ENSMUSG00000051344</v>
      </c>
      <c r="I550" s="7" t="str">
        <f>HYPERLINK("http://www.informatics.jax.org/marker/MGI:2443627","MGI:2443627")</f>
        <v>MGI:2443627</v>
      </c>
      <c r="J550" s="4" t="s">
        <v>12</v>
      </c>
    </row>
    <row r="551" spans="1:10" x14ac:dyDescent="0.25">
      <c r="A551" s="2">
        <v>4223.2874494371399</v>
      </c>
      <c r="B551" s="3">
        <v>1.5399989761941499</v>
      </c>
      <c r="C551" s="5">
        <v>5.1686972305373004E-109</v>
      </c>
      <c r="D551" s="6">
        <v>8.9713816215754595E-107</v>
      </c>
      <c r="E551" s="3" t="s">
        <v>208</v>
      </c>
      <c r="F551" s="3" t="s">
        <v>209</v>
      </c>
      <c r="G551" s="3">
        <v>22323</v>
      </c>
      <c r="H551" s="7" t="str">
        <f>HYPERLINK("http://www.ensembl.org/Mus_musculus/Gene/Summary?db=core;g=ENSMUSG00000030403","ENSMUSG00000030403")</f>
        <v>ENSMUSG00000030403</v>
      </c>
      <c r="I551" s="7" t="str">
        <f>HYPERLINK("http://www.informatics.jax.org/marker/MGI:109268","MGI:109268")</f>
        <v>MGI:109268</v>
      </c>
      <c r="J551" s="4" t="s">
        <v>12</v>
      </c>
    </row>
    <row r="552" spans="1:10" x14ac:dyDescent="0.25">
      <c r="A552" s="2">
        <v>132.47144164359</v>
      </c>
      <c r="B552" s="3">
        <v>1.5367346505591899</v>
      </c>
      <c r="C552" s="5">
        <v>9.3853394577143207E-28</v>
      </c>
      <c r="D552" s="6">
        <v>2.1143116392687701E-26</v>
      </c>
      <c r="E552" s="3" t="s">
        <v>6327</v>
      </c>
      <c r="F552" s="3" t="s">
        <v>6328</v>
      </c>
      <c r="G552" s="3">
        <v>67434</v>
      </c>
      <c r="H552" s="7" t="str">
        <f>HYPERLINK("http://www.ensembl.org/Mus_musculus/Gene/Summary?db=core;g=ENSMUSG00000022237","ENSMUSG00000022237")</f>
        <v>ENSMUSG00000022237</v>
      </c>
      <c r="I552" s="7" t="str">
        <f>HYPERLINK("http://www.informatics.jax.org/marker/MGI:1917904","MGI:1917904")</f>
        <v>MGI:1917904</v>
      </c>
      <c r="J552" s="4" t="s">
        <v>12</v>
      </c>
    </row>
    <row r="553" spans="1:10" x14ac:dyDescent="0.25">
      <c r="A553" s="2">
        <v>4021.4858128020801</v>
      </c>
      <c r="B553" s="3">
        <v>1.53302363323003</v>
      </c>
      <c r="C553" s="5">
        <v>1.8059988653263701E-216</v>
      </c>
      <c r="D553" s="6">
        <v>1.31657317282293E-213</v>
      </c>
      <c r="E553" s="3" t="s">
        <v>86</v>
      </c>
      <c r="F553" s="3" t="s">
        <v>87</v>
      </c>
      <c r="G553" s="3">
        <v>192185</v>
      </c>
      <c r="H553" s="7" t="str">
        <f>HYPERLINK("http://www.ensembl.org/Mus_musculus/Gene/Summary?db=core;g=ENSMUSG00000029063","ENSMUSG00000029063")</f>
        <v>ENSMUSG00000029063</v>
      </c>
      <c r="I553" s="7" t="str">
        <f>HYPERLINK("http://www.informatics.jax.org/marker/MGI:2183149","MGI:2183149")</f>
        <v>MGI:2183149</v>
      </c>
      <c r="J553" s="4" t="s">
        <v>12</v>
      </c>
    </row>
    <row r="554" spans="1:10" x14ac:dyDescent="0.25">
      <c r="A554" s="2">
        <v>5.4801163813847698</v>
      </c>
      <c r="B554" s="3">
        <v>1.5329610516141701</v>
      </c>
      <c r="C554" s="3">
        <v>3.5309219377676899E-4</v>
      </c>
      <c r="D554" s="4">
        <v>1.3412057589790799E-3</v>
      </c>
      <c r="E554" s="3" t="s">
        <v>6834</v>
      </c>
      <c r="F554" s="3" t="s">
        <v>6835</v>
      </c>
      <c r="G554" s="3">
        <v>66643</v>
      </c>
      <c r="H554" s="7" t="str">
        <f>HYPERLINK("http://www.ensembl.org/Mus_musculus/Gene/Summary?db=core;g=ENSMUSG00000047786","ENSMUSG00000047786")</f>
        <v>ENSMUSG00000047786</v>
      </c>
      <c r="I554" s="7" t="str">
        <f>HYPERLINK("http://www.informatics.jax.org/marker/MGI:1913893","MGI:1913893")</f>
        <v>MGI:1913893</v>
      </c>
      <c r="J554" s="4" t="s">
        <v>12</v>
      </c>
    </row>
    <row r="555" spans="1:10" x14ac:dyDescent="0.25">
      <c r="A555" s="2">
        <v>2547.73954961855</v>
      </c>
      <c r="B555" s="3">
        <v>1.53211068388897</v>
      </c>
      <c r="C555" s="5">
        <v>3.6621075031037399E-76</v>
      </c>
      <c r="D555" s="6">
        <v>3.2398985069934799E-74</v>
      </c>
      <c r="E555" s="3" t="s">
        <v>842</v>
      </c>
      <c r="F555" s="3" t="s">
        <v>843</v>
      </c>
      <c r="G555" s="3">
        <v>70350</v>
      </c>
      <c r="H555" s="7" t="str">
        <f>HYPERLINK("http://www.ensembl.org/Mus_musculus/Gene/Summary?db=core;g=ENSMUSG00000045763","ENSMUSG00000045763")</f>
        <v>ENSMUSG00000045763</v>
      </c>
      <c r="I555" s="7" t="str">
        <f>HYPERLINK("http://www.informatics.jax.org/marker/MGI:1917600","MGI:1917600")</f>
        <v>MGI:1917600</v>
      </c>
      <c r="J555" s="4" t="s">
        <v>12</v>
      </c>
    </row>
    <row r="556" spans="1:10" x14ac:dyDescent="0.25">
      <c r="A556" s="2">
        <v>174.542462785239</v>
      </c>
      <c r="B556" s="3">
        <v>1.53209545085358</v>
      </c>
      <c r="C556" s="5">
        <v>1.57778329959261E-19</v>
      </c>
      <c r="D556" s="6">
        <v>2.39744898792493E-18</v>
      </c>
      <c r="E556" s="3" t="s">
        <v>1981</v>
      </c>
      <c r="F556" s="3" t="s">
        <v>1982</v>
      </c>
      <c r="G556" s="3">
        <v>72580</v>
      </c>
      <c r="H556" s="7" t="str">
        <f>HYPERLINK("http://www.ensembl.org/Mus_musculus/Gene/Summary?db=core;g=ENSMUSG00000039531","ENSMUSG00000039531")</f>
        <v>ENSMUSG00000039531</v>
      </c>
      <c r="I556" s="7" t="str">
        <f>HYPERLINK("http://www.informatics.jax.org/marker/MGI:1919830","MGI:1919830")</f>
        <v>MGI:1919830</v>
      </c>
      <c r="J556" s="4" t="s">
        <v>12</v>
      </c>
    </row>
    <row r="557" spans="1:10" x14ac:dyDescent="0.25">
      <c r="A557" s="2">
        <v>1734.6281455941801</v>
      </c>
      <c r="B557" s="3">
        <v>1.5311035749611399</v>
      </c>
      <c r="C557" s="5">
        <v>1.96003129745123E-30</v>
      </c>
      <c r="D557" s="6">
        <v>4.92711315807568E-29</v>
      </c>
      <c r="E557" s="3" t="s">
        <v>1184</v>
      </c>
      <c r="F557" s="3" t="s">
        <v>1185</v>
      </c>
      <c r="G557" s="3">
        <v>171504</v>
      </c>
      <c r="H557" s="7" t="str">
        <f>HYPERLINK("http://www.ensembl.org/Mus_musculus/Gene/Summary?db=core;g=ENSMUSG00000042759","ENSMUSG00000042759")</f>
        <v>ENSMUSG00000042759</v>
      </c>
      <c r="I557" s="7" t="str">
        <f>HYPERLINK("http://www.informatics.jax.org/marker/MGI:2176230","MGI:2176230")</f>
        <v>MGI:2176230</v>
      </c>
      <c r="J557" s="4" t="s">
        <v>12</v>
      </c>
    </row>
    <row r="558" spans="1:10" x14ac:dyDescent="0.25">
      <c r="A558" s="2">
        <v>1189.0390142090901</v>
      </c>
      <c r="B558" s="3">
        <v>1.52999076704436</v>
      </c>
      <c r="C558" s="5">
        <v>5.3620510202468696E-32</v>
      </c>
      <c r="D558" s="6">
        <v>1.426618683854E-30</v>
      </c>
      <c r="E558" s="3" t="s">
        <v>2994</v>
      </c>
      <c r="F558" s="3" t="s">
        <v>2995</v>
      </c>
      <c r="G558" s="3">
        <v>73690</v>
      </c>
      <c r="H558" s="7" t="str">
        <f>HYPERLINK("http://www.ensembl.org/Mus_musculus/Gene/Summary?db=core;g=ENSMUSG00000056888","ENSMUSG00000056888")</f>
        <v>ENSMUSG00000056888</v>
      </c>
      <c r="I558" s="7" t="str">
        <f>HYPERLINK("http://www.informatics.jax.org/marker/MGI:1920940","MGI:1920940")</f>
        <v>MGI:1920940</v>
      </c>
      <c r="J558" s="4" t="s">
        <v>12</v>
      </c>
    </row>
    <row r="559" spans="1:10" x14ac:dyDescent="0.25">
      <c r="A559" s="2">
        <v>17.297850243121999</v>
      </c>
      <c r="B559" s="3">
        <v>1.52732076460778</v>
      </c>
      <c r="C559" s="5">
        <v>4.26255303846054E-7</v>
      </c>
      <c r="D559" s="6">
        <v>2.4787820397556898E-6</v>
      </c>
      <c r="E559" s="3" t="s">
        <v>8105</v>
      </c>
      <c r="F559" s="3" t="s">
        <v>8106</v>
      </c>
      <c r="G559" s="3">
        <v>14422</v>
      </c>
      <c r="H559" s="7" t="str">
        <f>HYPERLINK("http://www.ensembl.org/Mus_musculus/Gene/Summary?db=core;g=ENSMUSG00000013418","ENSMUSG00000013418")</f>
        <v>ENSMUSG00000013418</v>
      </c>
      <c r="I559" s="7" t="str">
        <f>HYPERLINK("http://www.informatics.jax.org/marker/MGI:1342058","MGI:1342058")</f>
        <v>MGI:1342058</v>
      </c>
      <c r="J559" s="4" t="s">
        <v>12</v>
      </c>
    </row>
    <row r="560" spans="1:10" x14ac:dyDescent="0.25">
      <c r="A560" s="2">
        <v>8361.9665338519408</v>
      </c>
      <c r="B560" s="3">
        <v>1.5267100202047099</v>
      </c>
      <c r="C560" s="5">
        <v>3.06490900062373E-39</v>
      </c>
      <c r="D560" s="6">
        <v>1.03058978849387E-37</v>
      </c>
      <c r="E560" s="3" t="s">
        <v>804</v>
      </c>
      <c r="F560" s="3" t="s">
        <v>805</v>
      </c>
      <c r="G560" s="3">
        <v>286940</v>
      </c>
      <c r="H560" s="7" t="str">
        <f>HYPERLINK("http://www.ensembl.org/Mus_musculus/Gene/Summary?db=core;g=ENSMUSG00000025278","ENSMUSG00000025278")</f>
        <v>ENSMUSG00000025278</v>
      </c>
      <c r="I560" s="7" t="str">
        <f>HYPERLINK("http://www.informatics.jax.org/marker/MGI:2446089","MGI:2446089")</f>
        <v>MGI:2446089</v>
      </c>
      <c r="J560" s="4" t="s">
        <v>12</v>
      </c>
    </row>
    <row r="561" spans="1:10" x14ac:dyDescent="0.25">
      <c r="A561" s="2">
        <v>842.42059879840701</v>
      </c>
      <c r="B561" s="3">
        <v>1.52528178536449</v>
      </c>
      <c r="C561" s="5">
        <v>5.1328526524458602E-58</v>
      </c>
      <c r="D561" s="6">
        <v>2.9509854760512899E-56</v>
      </c>
      <c r="E561" s="3" t="s">
        <v>738</v>
      </c>
      <c r="F561" s="3" t="s">
        <v>739</v>
      </c>
      <c r="G561" s="3">
        <v>54721</v>
      </c>
      <c r="H561" s="7" t="str">
        <f>HYPERLINK("http://www.ensembl.org/Mus_musculus/Gene/Summary?db=core;g=ENSMUSG00000032175","ENSMUSG00000032175")</f>
        <v>ENSMUSG00000032175</v>
      </c>
      <c r="I561" s="7" t="str">
        <f>HYPERLINK("http://www.informatics.jax.org/marker/MGI:1929470","MGI:1929470")</f>
        <v>MGI:1929470</v>
      </c>
      <c r="J561" s="4" t="s">
        <v>12</v>
      </c>
    </row>
    <row r="562" spans="1:10" x14ac:dyDescent="0.25">
      <c r="A562" s="2">
        <v>4.4165159210399896</v>
      </c>
      <c r="B562" s="3">
        <v>1.5177765510785199</v>
      </c>
      <c r="C562" s="3">
        <v>1.2674565055037701E-3</v>
      </c>
      <c r="D562" s="4">
        <v>4.3782022010625697E-3</v>
      </c>
      <c r="E562" s="3" t="s">
        <v>7516</v>
      </c>
      <c r="F562" s="3" t="s">
        <v>7517</v>
      </c>
      <c r="G562" s="3" t="s">
        <v>83</v>
      </c>
      <c r="H562" s="7" t="str">
        <f>HYPERLINK("http://www.ensembl.org/Mus_musculus/Gene/Summary?db=core;g=ENSMUSG00000029409","ENSMUSG00000029409")</f>
        <v>ENSMUSG00000029409</v>
      </c>
      <c r="I562" s="7" t="str">
        <f>HYPERLINK("http://www.informatics.jax.org/marker/MGI:1930915","MGI:1930915")</f>
        <v>MGI:1930915</v>
      </c>
      <c r="J562" s="4" t="s">
        <v>331</v>
      </c>
    </row>
    <row r="563" spans="1:10" x14ac:dyDescent="0.25">
      <c r="A563" s="2">
        <v>1.8996615104153201</v>
      </c>
      <c r="B563" s="3">
        <v>1.5161399736678101</v>
      </c>
      <c r="C563" s="3">
        <v>1.16973246889559E-3</v>
      </c>
      <c r="D563" s="4">
        <v>4.0629644073989198E-3</v>
      </c>
      <c r="E563" s="3" t="s">
        <v>10930</v>
      </c>
      <c r="F563" s="3" t="s">
        <v>10931</v>
      </c>
      <c r="G563" s="3" t="s">
        <v>83</v>
      </c>
      <c r="H563" s="7" t="str">
        <f>HYPERLINK("http://www.ensembl.org/Mus_musculus/Gene/Summary?db=core;g=ENSMUSG00000117384","ENSMUSG00000117384")</f>
        <v>ENSMUSG00000117384</v>
      </c>
      <c r="I563" s="7" t="str">
        <f>HYPERLINK("http://www.informatics.jax.org/marker/MGI:3026976","MGI:3026976")</f>
        <v>MGI:3026976</v>
      </c>
      <c r="J563" s="4" t="s">
        <v>939</v>
      </c>
    </row>
    <row r="564" spans="1:10" x14ac:dyDescent="0.25">
      <c r="A564" s="2">
        <v>7720.8422892981898</v>
      </c>
      <c r="B564" s="3">
        <v>1.5133204212343501</v>
      </c>
      <c r="C564" s="5">
        <v>6.9869877445377996E-84</v>
      </c>
      <c r="D564" s="6">
        <v>7.3182673358736404E-82</v>
      </c>
      <c r="E564" s="3" t="s">
        <v>336</v>
      </c>
      <c r="F564" s="3" t="s">
        <v>337</v>
      </c>
      <c r="G564" s="3">
        <v>83490</v>
      </c>
      <c r="H564" s="7" t="str">
        <f>HYPERLINK("http://www.ensembl.org/Mus_musculus/Gene/Summary?db=core;g=ENSMUSG00000025017","ENSMUSG00000025017")</f>
        <v>ENSMUSG00000025017</v>
      </c>
      <c r="I564" s="7" t="str">
        <f>HYPERLINK("http://www.informatics.jax.org/marker/MGI:1933177","MGI:1933177")</f>
        <v>MGI:1933177</v>
      </c>
      <c r="J564" s="4" t="s">
        <v>12</v>
      </c>
    </row>
    <row r="565" spans="1:10" x14ac:dyDescent="0.25">
      <c r="A565" s="2">
        <v>97.938268490598205</v>
      </c>
      <c r="B565" s="3">
        <v>1.51203391782414</v>
      </c>
      <c r="C565" s="5">
        <v>7.8230415256005097E-14</v>
      </c>
      <c r="D565" s="6">
        <v>8.5476577820185397E-13</v>
      </c>
      <c r="E565" s="3" t="s">
        <v>3696</v>
      </c>
      <c r="F565" s="3" t="s">
        <v>3697</v>
      </c>
      <c r="G565" s="3">
        <v>27062</v>
      </c>
      <c r="H565" s="7" t="str">
        <f>HYPERLINK("http://www.ensembl.org/Mus_musculus/Gene/Summary?db=core;g=ENSMUSG00000054423","ENSMUSG00000054423")</f>
        <v>ENSMUSG00000054423</v>
      </c>
      <c r="I565" s="7" t="str">
        <f>HYPERLINK("http://www.informatics.jax.org/marker/MGI:1350922","MGI:1350922")</f>
        <v>MGI:1350922</v>
      </c>
      <c r="J565" s="4" t="s">
        <v>12</v>
      </c>
    </row>
    <row r="566" spans="1:10" x14ac:dyDescent="0.25">
      <c r="A566" s="2">
        <v>2.5488473250330399</v>
      </c>
      <c r="B566" s="3">
        <v>1.51083573724286</v>
      </c>
      <c r="C566" s="3">
        <v>1.3020260370043299E-3</v>
      </c>
      <c r="D566" s="4">
        <v>4.4879878256196097E-3</v>
      </c>
      <c r="E566" s="3" t="s">
        <v>9649</v>
      </c>
      <c r="F566" s="3" t="s">
        <v>9650</v>
      </c>
      <c r="G566" s="3" t="s">
        <v>83</v>
      </c>
      <c r="H566" s="7" t="str">
        <f>HYPERLINK("http://www.ensembl.org/Mus_musculus/Gene/Summary?db=core;g=ENSMUSG00000103907","ENSMUSG00000103907")</f>
        <v>ENSMUSG00000103907</v>
      </c>
      <c r="I566" s="7" t="str">
        <f>HYPERLINK("http://www.informatics.jax.org/marker/MGI:5610726","MGI:5610726")</f>
        <v>MGI:5610726</v>
      </c>
      <c r="J566" s="4" t="s">
        <v>1828</v>
      </c>
    </row>
    <row r="567" spans="1:10" x14ac:dyDescent="0.25">
      <c r="A567" s="2">
        <v>15.076650544398399</v>
      </c>
      <c r="B567" s="3">
        <v>1.5108053937441199</v>
      </c>
      <c r="C567" s="5">
        <v>4.8640131146861198E-6</v>
      </c>
      <c r="D567" s="6">
        <v>2.49147383404032E-5</v>
      </c>
      <c r="E567" s="3" t="s">
        <v>4539</v>
      </c>
      <c r="F567" s="3" t="s">
        <v>4540</v>
      </c>
      <c r="G567" s="3">
        <v>85031</v>
      </c>
      <c r="H567" s="7" t="str">
        <f>HYPERLINK("http://www.ensembl.org/Mus_musculus/Gene/Summary?db=core;g=ENSMUSG00000002847","ENSMUSG00000002847")</f>
        <v>ENSMUSG00000002847</v>
      </c>
      <c r="I567" s="7" t="str">
        <f>HYPERLINK("http://www.informatics.jax.org/marker/MGI:1934677","MGI:1934677")</f>
        <v>MGI:1934677</v>
      </c>
      <c r="J567" s="4" t="s">
        <v>12</v>
      </c>
    </row>
    <row r="568" spans="1:10" x14ac:dyDescent="0.25">
      <c r="A568" s="2">
        <v>2.74226893622596</v>
      </c>
      <c r="B568" s="3">
        <v>1.5071020910005499</v>
      </c>
      <c r="C568" s="3">
        <v>1.3328783467930999E-3</v>
      </c>
      <c r="D568" s="4">
        <v>4.5850713231982299E-3</v>
      </c>
      <c r="E568" s="3" t="s">
        <v>7848</v>
      </c>
      <c r="F568" s="3" t="s">
        <v>7849</v>
      </c>
      <c r="G568" s="3" t="s">
        <v>83</v>
      </c>
      <c r="H568" s="7" t="str">
        <f>HYPERLINK("http://www.ensembl.org/Mus_musculus/Gene/Summary?db=core;g=ENSMUSG00000092284","ENSMUSG00000092284")</f>
        <v>ENSMUSG00000092284</v>
      </c>
      <c r="I568" s="7" t="str">
        <f>HYPERLINK("http://www.informatics.jax.org/marker/MGI:3779813","MGI:3779813")</f>
        <v>MGI:3779813</v>
      </c>
      <c r="J568" s="4" t="s">
        <v>2683</v>
      </c>
    </row>
    <row r="569" spans="1:10" x14ac:dyDescent="0.25">
      <c r="A569" s="2">
        <v>21.4212019745652</v>
      </c>
      <c r="B569" s="3">
        <v>1.50130407920952</v>
      </c>
      <c r="C569" s="5">
        <v>1.5774935291924401E-7</v>
      </c>
      <c r="D569" s="6">
        <v>9.6898616681941794E-7</v>
      </c>
      <c r="E569" s="3" t="s">
        <v>7770</v>
      </c>
      <c r="F569" s="3" t="s">
        <v>7771</v>
      </c>
      <c r="G569" s="3" t="s">
        <v>83</v>
      </c>
      <c r="H569" s="7" t="str">
        <f>HYPERLINK("http://www.ensembl.org/Mus_musculus/Gene/Summary?db=core;g=ENSMUSG00000104818","ENSMUSG00000104818")</f>
        <v>ENSMUSG00000104818</v>
      </c>
      <c r="I569" s="7" t="str">
        <f>HYPERLINK("http://www.informatics.jax.org/marker/MGI:5663798","MGI:5663798")</f>
        <v>MGI:5663798</v>
      </c>
      <c r="J569" s="4" t="s">
        <v>939</v>
      </c>
    </row>
    <row r="570" spans="1:10" x14ac:dyDescent="0.25">
      <c r="A570" s="2">
        <v>6.2558314772530004</v>
      </c>
      <c r="B570" s="3">
        <v>1.5003791313136301</v>
      </c>
      <c r="C570" s="3">
        <v>1.6429951526291799E-4</v>
      </c>
      <c r="D570" s="4">
        <v>6.6202933134350804E-4</v>
      </c>
      <c r="E570" s="3" t="s">
        <v>9101</v>
      </c>
      <c r="F570" s="3" t="s">
        <v>9102</v>
      </c>
      <c r="G570" s="3">
        <v>76072</v>
      </c>
      <c r="H570" s="7" t="str">
        <f>HYPERLINK("http://www.ensembl.org/Mus_musculus/Gene/Summary?db=core;g=ENSMUSG00000063851","ENSMUSG00000063851")</f>
        <v>ENSMUSG00000063851</v>
      </c>
      <c r="I570" s="7" t="str">
        <f>HYPERLINK("http://www.informatics.jax.org/marker/MGI:1923322","MGI:1923322")</f>
        <v>MGI:1923322</v>
      </c>
      <c r="J570" s="4" t="s">
        <v>12</v>
      </c>
    </row>
    <row r="571" spans="1:10" x14ac:dyDescent="0.25">
      <c r="A571" s="2">
        <v>4236.7899967940102</v>
      </c>
      <c r="B571" s="3">
        <v>1.49833577452462</v>
      </c>
      <c r="C571" s="5">
        <v>3.05033744843047E-105</v>
      </c>
      <c r="D571" s="6">
        <v>4.8765263155829198E-103</v>
      </c>
      <c r="E571" s="3" t="s">
        <v>426</v>
      </c>
      <c r="F571" s="3" t="s">
        <v>427</v>
      </c>
      <c r="G571" s="3">
        <v>115488166</v>
      </c>
      <c r="H571" s="7" t="str">
        <f>HYPERLINK("http://www.ensembl.org/Mus_musculus/Gene/Summary?db=core;g=ENSMUSG00000021451","ENSMUSG00000021451")</f>
        <v>ENSMUSG00000021451</v>
      </c>
      <c r="I571" s="7" t="str">
        <f>HYPERLINK("http://www.informatics.jax.org/marker/MGI:109244","MGI:109244")</f>
        <v>MGI:109244</v>
      </c>
      <c r="J571" s="4" t="s">
        <v>12</v>
      </c>
    </row>
    <row r="572" spans="1:10" x14ac:dyDescent="0.25">
      <c r="A572" s="2">
        <v>424.68836336754299</v>
      </c>
      <c r="B572" s="3">
        <v>1.4973079173763899</v>
      </c>
      <c r="C572" s="5">
        <v>1.5817588398833301E-26</v>
      </c>
      <c r="D572" s="6">
        <v>3.3914770419851399E-25</v>
      </c>
      <c r="E572" s="3" t="s">
        <v>2309</v>
      </c>
      <c r="F572" s="3" t="s">
        <v>2310</v>
      </c>
      <c r="G572" s="3">
        <v>102657</v>
      </c>
      <c r="H572" s="7" t="str">
        <f>HYPERLINK("http://www.ensembl.org/Mus_musculus/Gene/Summary?db=core;g=ENSMUSG00000035914","ENSMUSG00000035914")</f>
        <v>ENSMUSG00000035914</v>
      </c>
      <c r="I572" s="7" t="str">
        <f>HYPERLINK("http://www.informatics.jax.org/marker/MGI:2183926","MGI:2183926")</f>
        <v>MGI:2183926</v>
      </c>
      <c r="J572" s="4" t="s">
        <v>12</v>
      </c>
    </row>
    <row r="573" spans="1:10" x14ac:dyDescent="0.25">
      <c r="A573" s="2">
        <v>58.150138703230198</v>
      </c>
      <c r="B573" s="3">
        <v>1.4954298837231099</v>
      </c>
      <c r="C573" s="5">
        <v>8.2579899545142404E-17</v>
      </c>
      <c r="D573" s="6">
        <v>1.08901495601318E-15</v>
      </c>
      <c r="E573" s="3" t="s">
        <v>1983</v>
      </c>
      <c r="F573" s="3" t="s">
        <v>1984</v>
      </c>
      <c r="G573" s="3">
        <v>622675</v>
      </c>
      <c r="H573" s="7" t="str">
        <f>HYPERLINK("http://www.ensembl.org/Mus_musculus/Gene/Summary?db=core;g=ENSMUSG00000071064","ENSMUSG00000071064")</f>
        <v>ENSMUSG00000071064</v>
      </c>
      <c r="I573" s="7" t="str">
        <f>HYPERLINK("http://www.informatics.jax.org/marker/MGI:2444807","MGI:2444807")</f>
        <v>MGI:2444807</v>
      </c>
      <c r="J573" s="4" t="s">
        <v>12</v>
      </c>
    </row>
    <row r="574" spans="1:10" x14ac:dyDescent="0.25">
      <c r="A574" s="2">
        <v>3.7980963303715201</v>
      </c>
      <c r="B574" s="3">
        <v>1.49352293838914</v>
      </c>
      <c r="C574" s="3">
        <v>5.5049923241644501E-4</v>
      </c>
      <c r="D574" s="4">
        <v>2.0325868133690699E-3</v>
      </c>
      <c r="E574" s="3" t="s">
        <v>11639</v>
      </c>
      <c r="F574" s="3" t="s">
        <v>11640</v>
      </c>
      <c r="G574" s="3">
        <v>16994</v>
      </c>
      <c r="H574" s="7" t="str">
        <f>HYPERLINK("http://www.ensembl.org/Mus_musculus/Gene/Summary?db=core;g=ENSMUSG00000024399","ENSMUSG00000024399")</f>
        <v>ENSMUSG00000024399</v>
      </c>
      <c r="I574" s="7" t="str">
        <f>HYPERLINK("http://www.informatics.jax.org/marker/MGI:104796","MGI:104796")</f>
        <v>MGI:104796</v>
      </c>
      <c r="J574" s="4" t="s">
        <v>12</v>
      </c>
    </row>
    <row r="575" spans="1:10" x14ac:dyDescent="0.25">
      <c r="A575" s="2">
        <v>2.20677741383671</v>
      </c>
      <c r="B575" s="3">
        <v>1.49334633068899</v>
      </c>
      <c r="C575" s="3">
        <v>1.48986823650051E-3</v>
      </c>
      <c r="D575" s="4">
        <v>5.0743503289519404E-3</v>
      </c>
      <c r="E575" s="3" t="s">
        <v>10540</v>
      </c>
      <c r="F575" s="3" t="s">
        <v>10541</v>
      </c>
      <c r="G575" s="3">
        <v>243312</v>
      </c>
      <c r="H575" s="7" t="str">
        <f>HYPERLINK("http://www.ensembl.org/Mus_musculus/Gene/Summary?db=core;g=ENSMUSG00000048988","ENSMUSG00000048988")</f>
        <v>ENSMUSG00000048988</v>
      </c>
      <c r="I575" s="7" t="str">
        <f>HYPERLINK("http://www.informatics.jax.org/marker/MGI:2442479","MGI:2442479")</f>
        <v>MGI:2442479</v>
      </c>
      <c r="J575" s="4" t="s">
        <v>12</v>
      </c>
    </row>
    <row r="576" spans="1:10" x14ac:dyDescent="0.25">
      <c r="A576" s="2">
        <v>177.25607885463799</v>
      </c>
      <c r="B576" s="3">
        <v>1.4931471175681901</v>
      </c>
      <c r="C576" s="5">
        <v>5.8879944968391199E-30</v>
      </c>
      <c r="D576" s="6">
        <v>1.45404742147552E-28</v>
      </c>
      <c r="E576" s="3" t="s">
        <v>3394</v>
      </c>
      <c r="F576" s="3" t="s">
        <v>3395</v>
      </c>
      <c r="G576" s="3">
        <v>16706</v>
      </c>
      <c r="H576" s="7" t="str">
        <f>HYPERLINK("http://www.ensembl.org/Mus_musculus/Gene/Summary?db=core;g=ENSMUSG00000018334","ENSMUSG00000018334")</f>
        <v>ENSMUSG00000018334</v>
      </c>
      <c r="I576" s="7" t="str">
        <f>HYPERLINK("http://www.informatics.jax.org/marker/MGI:105051","MGI:105051")</f>
        <v>MGI:105051</v>
      </c>
      <c r="J576" s="4" t="s">
        <v>12</v>
      </c>
    </row>
    <row r="577" spans="1:10" x14ac:dyDescent="0.25">
      <c r="A577" s="2">
        <v>17.291952244982099</v>
      </c>
      <c r="B577" s="3">
        <v>1.4922621226789601</v>
      </c>
      <c r="C577" s="5">
        <v>5.6051314418461803E-7</v>
      </c>
      <c r="D577" s="6">
        <v>3.20130117604659E-6</v>
      </c>
      <c r="E577" s="3" t="s">
        <v>4671</v>
      </c>
      <c r="F577" s="3" t="s">
        <v>4672</v>
      </c>
      <c r="G577" s="3">
        <v>14066</v>
      </c>
      <c r="H577" s="7" t="str">
        <f>HYPERLINK("http://www.ensembl.org/Mus_musculus/Gene/Summary?db=core;g=ENSMUSG00000028128","ENSMUSG00000028128")</f>
        <v>ENSMUSG00000028128</v>
      </c>
      <c r="I577" s="7" t="str">
        <f>HYPERLINK("http://www.informatics.jax.org/marker/MGI:88381","MGI:88381")</f>
        <v>MGI:88381</v>
      </c>
      <c r="J577" s="4" t="s">
        <v>12</v>
      </c>
    </row>
    <row r="578" spans="1:10" x14ac:dyDescent="0.25">
      <c r="A578" s="2">
        <v>71.119914227939901</v>
      </c>
      <c r="B578" s="3">
        <v>1.4882989913758999</v>
      </c>
      <c r="C578" s="5">
        <v>2.72853443618066E-14</v>
      </c>
      <c r="D578" s="6">
        <v>3.0582742988556301E-13</v>
      </c>
      <c r="E578" s="3" t="s">
        <v>2615</v>
      </c>
      <c r="F578" s="3" t="s">
        <v>2616</v>
      </c>
      <c r="G578" s="3">
        <v>68667</v>
      </c>
      <c r="H578" s="7" t="str">
        <f>HYPERLINK("http://www.ensembl.org/Mus_musculus/Gene/Summary?db=core;g=ENSMUSG00000038260","ENSMUSG00000038260")</f>
        <v>ENSMUSG00000038260</v>
      </c>
      <c r="I578" s="7" t="str">
        <f>HYPERLINK("http://www.informatics.jax.org/marker/MGI:1915917","MGI:1915917")</f>
        <v>MGI:1915917</v>
      </c>
      <c r="J578" s="4" t="s">
        <v>12</v>
      </c>
    </row>
    <row r="579" spans="1:10" x14ac:dyDescent="0.25">
      <c r="A579" s="2">
        <v>4.1848755209468997</v>
      </c>
      <c r="B579" s="3">
        <v>1.4874308259645901</v>
      </c>
      <c r="C579" s="3">
        <v>1.2102765302713001E-3</v>
      </c>
      <c r="D579" s="4">
        <v>4.1934010958544496E-3</v>
      </c>
      <c r="E579" s="3" t="s">
        <v>11613</v>
      </c>
      <c r="F579" s="3" t="s">
        <v>11614</v>
      </c>
      <c r="G579" s="3" t="s">
        <v>83</v>
      </c>
      <c r="H579" s="7" t="str">
        <f>HYPERLINK("http://www.ensembl.org/Mus_musculus/Gene/Summary?db=core;g=ENSMUSG00000101191","ENSMUSG00000101191")</f>
        <v>ENSMUSG00000101191</v>
      </c>
      <c r="I579" s="7" t="str">
        <f>HYPERLINK("http://www.informatics.jax.org/marker/MGI:5579515","MGI:5579515")</f>
        <v>MGI:5579515</v>
      </c>
      <c r="J579" s="4" t="s">
        <v>932</v>
      </c>
    </row>
    <row r="580" spans="1:10" x14ac:dyDescent="0.25">
      <c r="A580" s="2">
        <v>90.415541431507407</v>
      </c>
      <c r="B580" s="3">
        <v>1.48739266719889</v>
      </c>
      <c r="C580" s="5">
        <v>4.0239176457674902E-26</v>
      </c>
      <c r="D580" s="6">
        <v>8.4683486251861991E-25</v>
      </c>
      <c r="E580" s="3" t="s">
        <v>2990</v>
      </c>
      <c r="F580" s="3" t="s">
        <v>2991</v>
      </c>
      <c r="G580" s="3">
        <v>17869</v>
      </c>
      <c r="H580" s="7" t="str">
        <f>HYPERLINK("http://www.ensembl.org/Mus_musculus/Gene/Summary?db=core;g=ENSMUSG00000022346","ENSMUSG00000022346")</f>
        <v>ENSMUSG00000022346</v>
      </c>
      <c r="I580" s="7" t="str">
        <f>HYPERLINK("http://www.informatics.jax.org/marker/MGI:97250","MGI:97250")</f>
        <v>MGI:97250</v>
      </c>
      <c r="J580" s="4" t="s">
        <v>12</v>
      </c>
    </row>
    <row r="581" spans="1:10" x14ac:dyDescent="0.25">
      <c r="A581" s="2">
        <v>406.00434190024498</v>
      </c>
      <c r="B581" s="3">
        <v>1.4873790237264899</v>
      </c>
      <c r="C581" s="5">
        <v>1.3338741475569499E-36</v>
      </c>
      <c r="D581" s="6">
        <v>4.1063946518961898E-35</v>
      </c>
      <c r="E581" s="3" t="s">
        <v>1041</v>
      </c>
      <c r="F581" s="3" t="s">
        <v>1042</v>
      </c>
      <c r="G581" s="3" t="s">
        <v>83</v>
      </c>
      <c r="H581" s="7" t="str">
        <f>HYPERLINK("http://www.ensembl.org/Mus_musculus/Gene/Summary?db=core;g=ENSMUSG00000091549","ENSMUSG00000091549")</f>
        <v>ENSMUSG00000091549</v>
      </c>
      <c r="I581" s="7" t="str">
        <f>HYPERLINK("http://www.informatics.jax.org/marker/MGI:3644071","MGI:3644071")</f>
        <v>MGI:3644071</v>
      </c>
      <c r="J581" s="4" t="s">
        <v>1043</v>
      </c>
    </row>
    <row r="582" spans="1:10" x14ac:dyDescent="0.25">
      <c r="A582" s="2">
        <v>11.081974536877601</v>
      </c>
      <c r="B582" s="3">
        <v>1.4774036874830601</v>
      </c>
      <c r="C582" s="5">
        <v>6.5278979375462196E-6</v>
      </c>
      <c r="D582" s="6">
        <v>3.2828625803471298E-5</v>
      </c>
      <c r="E582" s="3" t="s">
        <v>6932</v>
      </c>
      <c r="F582" s="3" t="s">
        <v>6933</v>
      </c>
      <c r="G582" s="3">
        <v>381522</v>
      </c>
      <c r="H582" s="7" t="str">
        <f>HYPERLINK("http://www.ensembl.org/Mus_musculus/Gene/Summary?db=core;g=ENSMUSG00000035539","ENSMUSG00000035539")</f>
        <v>ENSMUSG00000035539</v>
      </c>
      <c r="I582" s="7" t="str">
        <f>HYPERLINK("http://www.informatics.jax.org/marker/MGI:2685871","MGI:2685871")</f>
        <v>MGI:2685871</v>
      </c>
      <c r="J582" s="4" t="s">
        <v>12</v>
      </c>
    </row>
    <row r="583" spans="1:10" x14ac:dyDescent="0.25">
      <c r="A583" s="2">
        <v>2307.2264997757302</v>
      </c>
      <c r="B583" s="3">
        <v>1.47714379463379</v>
      </c>
      <c r="C583" s="5">
        <v>7.6388793146542903E-100</v>
      </c>
      <c r="D583" s="6">
        <v>1.13185833747622E-97</v>
      </c>
      <c r="E583" s="3" t="s">
        <v>136</v>
      </c>
      <c r="F583" s="3" t="s">
        <v>137</v>
      </c>
      <c r="G583" s="3">
        <v>56417</v>
      </c>
      <c r="H583" s="7" t="str">
        <f>HYPERLINK("http://www.ensembl.org/Mus_musculus/Gene/Summary?db=core;g=ENSMUSG00000027951","ENSMUSG00000027951")</f>
        <v>ENSMUSG00000027951</v>
      </c>
      <c r="I583" s="7" t="str">
        <f>HYPERLINK("http://www.informatics.jax.org/marker/MGI:1889575","MGI:1889575")</f>
        <v>MGI:1889575</v>
      </c>
      <c r="J583" s="4" t="s">
        <v>12</v>
      </c>
    </row>
    <row r="584" spans="1:10" x14ac:dyDescent="0.25">
      <c r="A584" s="2">
        <v>2613.1471628316699</v>
      </c>
      <c r="B584" s="3">
        <v>1.4769667128224599</v>
      </c>
      <c r="C584" s="5">
        <v>3.2365192081936701E-180</v>
      </c>
      <c r="D584" s="6">
        <v>1.4746390642332401E-177</v>
      </c>
      <c r="E584" s="3" t="s">
        <v>100</v>
      </c>
      <c r="F584" s="3" t="s">
        <v>101</v>
      </c>
      <c r="G584" s="3">
        <v>218756</v>
      </c>
      <c r="H584" s="7" t="str">
        <f>HYPERLINK("http://www.ensembl.org/Mus_musculus/Gene/Summary?db=core;g=ENSMUSG00000021733","ENSMUSG00000021733")</f>
        <v>ENSMUSG00000021733</v>
      </c>
      <c r="I584" s="7" t="str">
        <f>HYPERLINK("http://www.informatics.jax.org/marker/MGI:2443878","MGI:2443878")</f>
        <v>MGI:2443878</v>
      </c>
      <c r="J584" s="4" t="s">
        <v>12</v>
      </c>
    </row>
    <row r="585" spans="1:10" x14ac:dyDescent="0.25">
      <c r="A585" s="2">
        <v>763.74052951792305</v>
      </c>
      <c r="B585" s="3">
        <v>1.47691766215808</v>
      </c>
      <c r="C585" s="5">
        <v>2.85659788566339E-29</v>
      </c>
      <c r="D585" s="6">
        <v>6.8322173840177396E-28</v>
      </c>
      <c r="E585" s="3" t="s">
        <v>1716</v>
      </c>
      <c r="F585" s="3" t="s">
        <v>1717</v>
      </c>
      <c r="G585" s="3">
        <v>384309</v>
      </c>
      <c r="H585" s="7" t="str">
        <f>HYPERLINK("http://www.ensembl.org/Mus_musculus/Gene/Summary?db=core;g=ENSMUSG00000043279","ENSMUSG00000043279")</f>
        <v>ENSMUSG00000043279</v>
      </c>
      <c r="I585" s="7" t="str">
        <f>HYPERLINK("http://www.informatics.jax.org/marker/MGI:2685298","MGI:2685298")</f>
        <v>MGI:2685298</v>
      </c>
      <c r="J585" s="4" t="s">
        <v>12</v>
      </c>
    </row>
    <row r="586" spans="1:10" x14ac:dyDescent="0.25">
      <c r="A586" s="2">
        <v>1.6916291279854601</v>
      </c>
      <c r="B586" s="3">
        <v>1.47539656617881</v>
      </c>
      <c r="C586" s="3">
        <v>1.6908007099873999E-3</v>
      </c>
      <c r="D586" s="4">
        <v>5.6843466038591396E-3</v>
      </c>
      <c r="E586" s="3" t="s">
        <v>12743</v>
      </c>
      <c r="F586" s="3" t="s">
        <v>12744</v>
      </c>
      <c r="G586" s="3">
        <v>229595</v>
      </c>
      <c r="H586" s="7" t="str">
        <f>HYPERLINK("http://www.ensembl.org/Mus_musculus/Gene/Summary?db=core;g=ENSMUSG00000015850","ENSMUSG00000015850")</f>
        <v>ENSMUSG00000015850</v>
      </c>
      <c r="I586" s="7" t="str">
        <f>HYPERLINK("http://www.informatics.jax.org/marker/MGI:2389008","MGI:2389008")</f>
        <v>MGI:2389008</v>
      </c>
      <c r="J586" s="4" t="s">
        <v>12</v>
      </c>
    </row>
    <row r="587" spans="1:10" x14ac:dyDescent="0.25">
      <c r="A587" s="2">
        <v>2008.0897308257099</v>
      </c>
      <c r="B587" s="3">
        <v>1.4741737563841699</v>
      </c>
      <c r="C587" s="5">
        <v>1.9506743612721901E-234</v>
      </c>
      <c r="D587" s="6">
        <v>1.6159563742811601E-231</v>
      </c>
      <c r="E587" s="3" t="s">
        <v>37</v>
      </c>
      <c r="F587" s="3" t="s">
        <v>38</v>
      </c>
      <c r="G587" s="3">
        <v>67014</v>
      </c>
      <c r="H587" s="7" t="str">
        <f>HYPERLINK("http://www.ensembl.org/Mus_musculus/Gene/Summary?db=core;g=ENSMUSG00000022724","ENSMUSG00000022724")</f>
        <v>ENSMUSG00000022724</v>
      </c>
      <c r="I587" s="7" t="str">
        <f>HYPERLINK("http://www.informatics.jax.org/marker/MGI:1914264","MGI:1914264")</f>
        <v>MGI:1914264</v>
      </c>
      <c r="J587" s="4" t="s">
        <v>12</v>
      </c>
    </row>
    <row r="588" spans="1:10" x14ac:dyDescent="0.25">
      <c r="A588" s="2">
        <v>1603.3294845072201</v>
      </c>
      <c r="B588" s="3">
        <v>1.47356932180407</v>
      </c>
      <c r="C588" s="5">
        <v>2.2813275181544101E-91</v>
      </c>
      <c r="D588" s="6">
        <v>2.8283805454669501E-89</v>
      </c>
      <c r="E588" s="3" t="s">
        <v>284</v>
      </c>
      <c r="F588" s="3" t="s">
        <v>285</v>
      </c>
      <c r="G588" s="3">
        <v>214133</v>
      </c>
      <c r="H588" s="7" t="str">
        <f>HYPERLINK("http://www.ensembl.org/Mus_musculus/Gene/Summary?db=core;g=ENSMUSG00000040943","ENSMUSG00000040943")</f>
        <v>ENSMUSG00000040943</v>
      </c>
      <c r="I588" s="7" t="str">
        <f>HYPERLINK("http://www.informatics.jax.org/marker/MGI:2443298","MGI:2443298")</f>
        <v>MGI:2443298</v>
      </c>
      <c r="J588" s="4" t="s">
        <v>12</v>
      </c>
    </row>
    <row r="589" spans="1:10" x14ac:dyDescent="0.25">
      <c r="A589" s="2">
        <v>166.66117866839801</v>
      </c>
      <c r="B589" s="3">
        <v>1.47279347943854</v>
      </c>
      <c r="C589" s="5">
        <v>3.4788693124449897E-11</v>
      </c>
      <c r="D589" s="6">
        <v>3.08978524460575E-10</v>
      </c>
      <c r="E589" s="3" t="s">
        <v>1740</v>
      </c>
      <c r="F589" s="3" t="s">
        <v>1741</v>
      </c>
      <c r="G589" s="3">
        <v>434484</v>
      </c>
      <c r="H589" s="7" t="str">
        <f>HYPERLINK("http://www.ensembl.org/Mus_musculus/Gene/Summary?db=core;g=ENSMUSG00000070031","ENSMUSG00000070031")</f>
        <v>ENSMUSG00000070031</v>
      </c>
      <c r="I589" s="7" t="str">
        <f>HYPERLINK("http://www.informatics.jax.org/marker/MGI:3702467","MGI:3702467")</f>
        <v>MGI:3702467</v>
      </c>
      <c r="J589" s="4" t="s">
        <v>12</v>
      </c>
    </row>
    <row r="590" spans="1:10" x14ac:dyDescent="0.25">
      <c r="A590" s="2">
        <v>23.995669939923399</v>
      </c>
      <c r="B590" s="3">
        <v>1.47131553502079</v>
      </c>
      <c r="C590" s="5">
        <v>3.0829512112941198E-8</v>
      </c>
      <c r="D590" s="6">
        <v>2.0372293627931601E-7</v>
      </c>
      <c r="E590" s="3" t="s">
        <v>9099</v>
      </c>
      <c r="F590" s="3" t="s">
        <v>9100</v>
      </c>
      <c r="G590" s="3">
        <v>69068</v>
      </c>
      <c r="H590" s="7" t="str">
        <f>HYPERLINK("http://www.ensembl.org/Mus_musculus/Gene/Summary?db=core;g=ENSMUSG00000056313","ENSMUSG00000056313")</f>
        <v>ENSMUSG00000056313</v>
      </c>
      <c r="I590" s="7" t="str">
        <f>HYPERLINK("http://www.informatics.jax.org/marker/MGI:1916318","MGI:1916318")</f>
        <v>MGI:1916318</v>
      </c>
      <c r="J590" s="4" t="s">
        <v>12</v>
      </c>
    </row>
    <row r="591" spans="1:10" x14ac:dyDescent="0.25">
      <c r="A591" s="2">
        <v>1230.59547229277</v>
      </c>
      <c r="B591" s="3">
        <v>1.4706687114347601</v>
      </c>
      <c r="C591" s="5">
        <v>4.6946054219035301E-88</v>
      </c>
      <c r="D591" s="6">
        <v>5.5199473428510802E-86</v>
      </c>
      <c r="E591" s="3" t="s">
        <v>308</v>
      </c>
      <c r="F591" s="3" t="s">
        <v>309</v>
      </c>
      <c r="G591" s="3">
        <v>319520</v>
      </c>
      <c r="H591" s="7" t="str">
        <f>HYPERLINK("http://www.ensembl.org/Mus_musculus/Gene/Summary?db=core;g=ENSMUSG00000031530","ENSMUSG00000031530")</f>
        <v>ENSMUSG00000031530</v>
      </c>
      <c r="I591" s="7" t="str">
        <f>HYPERLINK("http://www.informatics.jax.org/marker/MGI:2442191","MGI:2442191")</f>
        <v>MGI:2442191</v>
      </c>
      <c r="J591" s="4" t="s">
        <v>12</v>
      </c>
    </row>
    <row r="592" spans="1:10" x14ac:dyDescent="0.25">
      <c r="A592" s="2">
        <v>6.19170873499196</v>
      </c>
      <c r="B592" s="3">
        <v>1.46926427970969</v>
      </c>
      <c r="C592" s="3">
        <v>7.06289363055333E-4</v>
      </c>
      <c r="D592" s="4">
        <v>2.5504504936959501E-3</v>
      </c>
      <c r="E592" s="3" t="s">
        <v>7380</v>
      </c>
      <c r="F592" s="3" t="s">
        <v>7381</v>
      </c>
      <c r="G592" s="3">
        <v>319165</v>
      </c>
      <c r="H592" s="7" t="str">
        <f>HYPERLINK("http://www.ensembl.org/Mus_musculus/Gene/Summary?db=core;g=ENSMUSG00000071478","ENSMUSG00000071478")</f>
        <v>ENSMUSG00000071478</v>
      </c>
      <c r="I592" s="7" t="str">
        <f>HYPERLINK("http://www.informatics.jax.org/marker/MGI:2448289","MGI:2448289")</f>
        <v>MGI:2448289</v>
      </c>
      <c r="J592" s="4" t="s">
        <v>12</v>
      </c>
    </row>
    <row r="593" spans="1:10" x14ac:dyDescent="0.25">
      <c r="A593" s="2">
        <v>432.78501964259999</v>
      </c>
      <c r="B593" s="3">
        <v>1.46464571843074</v>
      </c>
      <c r="C593" s="5">
        <v>5.2574196122554402E-45</v>
      </c>
      <c r="D593" s="6">
        <v>2.18759069482546E-43</v>
      </c>
      <c r="E593" s="3" t="s">
        <v>1889</v>
      </c>
      <c r="F593" s="3" t="s">
        <v>1890</v>
      </c>
      <c r="G593" s="3">
        <v>74442</v>
      </c>
      <c r="H593" s="7" t="str">
        <f>HYPERLINK("http://www.ensembl.org/Mus_musculus/Gene/Summary?db=core;g=ENSMUSG00000050931","ENSMUSG00000050931")</f>
        <v>ENSMUSG00000050931</v>
      </c>
      <c r="I593" s="7" t="str">
        <f>HYPERLINK("http://www.informatics.jax.org/marker/MGI:1921692","MGI:1921692")</f>
        <v>MGI:1921692</v>
      </c>
      <c r="J593" s="4" t="s">
        <v>12</v>
      </c>
    </row>
    <row r="594" spans="1:10" x14ac:dyDescent="0.25">
      <c r="A594" s="2">
        <v>70.346320825972398</v>
      </c>
      <c r="B594" s="3">
        <v>1.46360583011265</v>
      </c>
      <c r="C594" s="5">
        <v>1.12889000614442E-21</v>
      </c>
      <c r="D594" s="6">
        <v>1.92101030457348E-20</v>
      </c>
      <c r="E594" s="3" t="s">
        <v>2856</v>
      </c>
      <c r="F594" s="3" t="s">
        <v>2857</v>
      </c>
      <c r="G594" s="3" t="s">
        <v>83</v>
      </c>
      <c r="H594" s="7" t="str">
        <f>HYPERLINK("http://www.ensembl.org/Mus_musculus/Gene/Summary?db=core;g=ENSMUSG00000081650","ENSMUSG00000081650")</f>
        <v>ENSMUSG00000081650</v>
      </c>
      <c r="I594" s="7" t="str">
        <f>HYPERLINK("http://www.informatics.jax.org/marker/MGI:3802038","MGI:3802038")</f>
        <v>MGI:3802038</v>
      </c>
      <c r="J594" s="4" t="s">
        <v>12</v>
      </c>
    </row>
    <row r="595" spans="1:10" x14ac:dyDescent="0.25">
      <c r="A595" s="2">
        <v>16.1819416565063</v>
      </c>
      <c r="B595" s="3">
        <v>1.4625485058088199</v>
      </c>
      <c r="C595" s="5">
        <v>5.9197365804142103E-7</v>
      </c>
      <c r="D595" s="6">
        <v>3.3725288895920298E-6</v>
      </c>
      <c r="E595" s="3" t="s">
        <v>8011</v>
      </c>
      <c r="F595" s="3" t="s">
        <v>8012</v>
      </c>
      <c r="G595" s="3">
        <v>70166</v>
      </c>
      <c r="H595" s="7" t="str">
        <f>HYPERLINK("http://www.ensembl.org/Mus_musculus/Gene/Summary?db=core;g=ENSMUSG00000024770","ENSMUSG00000024770")</f>
        <v>ENSMUSG00000024770</v>
      </c>
      <c r="I595" s="7" t="str">
        <f>HYPERLINK("http://www.informatics.jax.org/marker/MGI:1917416","MGI:1917416")</f>
        <v>MGI:1917416</v>
      </c>
      <c r="J595" s="4" t="s">
        <v>12</v>
      </c>
    </row>
    <row r="596" spans="1:10" x14ac:dyDescent="0.25">
      <c r="A596" s="2">
        <v>20.033908968479</v>
      </c>
      <c r="B596" s="3">
        <v>1.4608835664097899</v>
      </c>
      <c r="C596" s="5">
        <v>4.0601250214551403E-5</v>
      </c>
      <c r="D596" s="4">
        <v>1.8043350040482801E-4</v>
      </c>
      <c r="E596" s="3" t="s">
        <v>4847</v>
      </c>
      <c r="F596" s="3" t="s">
        <v>4848</v>
      </c>
      <c r="G596" s="3">
        <v>330188</v>
      </c>
      <c r="H596" s="7" t="str">
        <f>HYPERLINK("http://www.ensembl.org/Mus_musculus/Gene/Summary?db=core;g=ENSMUSG00000043036","ENSMUSG00000043036")</f>
        <v>ENSMUSG00000043036</v>
      </c>
      <c r="I596" s="7" t="str">
        <f>HYPERLINK("http://www.informatics.jax.org/marker/MGI:3607777","MGI:3607777")</f>
        <v>MGI:3607777</v>
      </c>
      <c r="J596" s="4" t="s">
        <v>12</v>
      </c>
    </row>
    <row r="597" spans="1:10" x14ac:dyDescent="0.25">
      <c r="A597" s="2">
        <v>473.895665945926</v>
      </c>
      <c r="B597" s="3">
        <v>1.4593795676230199</v>
      </c>
      <c r="C597" s="5">
        <v>3.0435047867280599E-56</v>
      </c>
      <c r="D597" s="6">
        <v>1.6757666084023899E-54</v>
      </c>
      <c r="E597" s="3" t="s">
        <v>860</v>
      </c>
      <c r="F597" s="3" t="s">
        <v>861</v>
      </c>
      <c r="G597" s="3">
        <v>71901</v>
      </c>
      <c r="H597" s="7" t="str">
        <f>HYPERLINK("http://www.ensembl.org/Mus_musculus/Gene/Summary?db=core;g=ENSMUSG00000028439","ENSMUSG00000028439")</f>
        <v>ENSMUSG00000028439</v>
      </c>
      <c r="I597" s="7" t="str">
        <f>HYPERLINK("http://www.informatics.jax.org/marker/MGI:1919151","MGI:1919151")</f>
        <v>MGI:1919151</v>
      </c>
      <c r="J597" s="4" t="s">
        <v>12</v>
      </c>
    </row>
    <row r="598" spans="1:10" x14ac:dyDescent="0.25">
      <c r="A598" s="2">
        <v>317.94339531827302</v>
      </c>
      <c r="B598" s="3">
        <v>1.4548967308678999</v>
      </c>
      <c r="C598" s="5">
        <v>2.0787051581163099E-18</v>
      </c>
      <c r="D598" s="6">
        <v>3.0019335583732E-17</v>
      </c>
      <c r="E598" s="3" t="s">
        <v>5047</v>
      </c>
      <c r="F598" s="3" t="s">
        <v>5048</v>
      </c>
      <c r="G598" s="3">
        <v>238161</v>
      </c>
      <c r="H598" s="7" t="str">
        <f>HYPERLINK("http://www.ensembl.org/Mus_musculus/Gene/Summary?db=core;g=ENSMUSG00000061603","ENSMUSG00000061603")</f>
        <v>ENSMUSG00000061603</v>
      </c>
      <c r="I598" s="7" t="str">
        <f>HYPERLINK("http://www.informatics.jax.org/marker/MGI:3050566","MGI:3050566")</f>
        <v>MGI:3050566</v>
      </c>
      <c r="J598" s="4" t="s">
        <v>12</v>
      </c>
    </row>
    <row r="599" spans="1:10" x14ac:dyDescent="0.25">
      <c r="A599" s="2">
        <v>424.56349292369799</v>
      </c>
      <c r="B599" s="3">
        <v>1.4548446184561199</v>
      </c>
      <c r="C599" s="5">
        <v>1.3362483293228999E-47</v>
      </c>
      <c r="D599" s="6">
        <v>6.0579914930123803E-46</v>
      </c>
      <c r="E599" s="3" t="s">
        <v>2449</v>
      </c>
      <c r="F599" s="3" t="s">
        <v>2450</v>
      </c>
      <c r="G599" s="3">
        <v>74241</v>
      </c>
      <c r="H599" s="7" t="str">
        <f>HYPERLINK("http://www.ensembl.org/Mus_musculus/Gene/Summary?db=core;g=ENSMUSG00000032997","ENSMUSG00000032997")</f>
        <v>ENSMUSG00000032997</v>
      </c>
      <c r="I599" s="7" t="str">
        <f>HYPERLINK("http://www.informatics.jax.org/marker/MGI:106576","MGI:106576")</f>
        <v>MGI:106576</v>
      </c>
      <c r="J599" s="4" t="s">
        <v>12</v>
      </c>
    </row>
    <row r="600" spans="1:10" x14ac:dyDescent="0.25">
      <c r="A600" s="2">
        <v>13.6405744751426</v>
      </c>
      <c r="B600" s="3">
        <v>1.4547849393458301</v>
      </c>
      <c r="C600" s="5">
        <v>1.5201787628959501E-5</v>
      </c>
      <c r="D600" s="6">
        <v>7.2356380135227803E-5</v>
      </c>
      <c r="E600" s="3" t="s">
        <v>5141</v>
      </c>
      <c r="F600" s="3" t="s">
        <v>5142</v>
      </c>
      <c r="G600" s="3" t="s">
        <v>83</v>
      </c>
      <c r="H600" s="7" t="str">
        <f>HYPERLINK("http://www.ensembl.org/Mus_musculus/Gene/Summary?db=core;g=ENSMUSG00000097077","ENSMUSG00000097077")</f>
        <v>ENSMUSG00000097077</v>
      </c>
      <c r="I600" s="7" t="str">
        <f>HYPERLINK("http://www.informatics.jax.org/marker/MGI:4439636","MGI:4439636")</f>
        <v>MGI:4439636</v>
      </c>
      <c r="J600" s="4" t="s">
        <v>932</v>
      </c>
    </row>
    <row r="601" spans="1:10" x14ac:dyDescent="0.25">
      <c r="A601" s="2">
        <v>3525.13790786767</v>
      </c>
      <c r="B601" s="3">
        <v>1.45471071411157</v>
      </c>
      <c r="C601" s="5">
        <v>3.47918836048365E-42</v>
      </c>
      <c r="D601" s="6">
        <v>1.3073857292745299E-40</v>
      </c>
      <c r="E601" s="3" t="s">
        <v>1456</v>
      </c>
      <c r="F601" s="3" t="s">
        <v>1457</v>
      </c>
      <c r="G601" s="3">
        <v>14972</v>
      </c>
      <c r="H601" s="7" t="str">
        <f>HYPERLINK("http://www.ensembl.org/Mus_musculus/Gene/Summary?db=core;g=ENSMUSG00000061232","ENSMUSG00000061232")</f>
        <v>ENSMUSG00000061232</v>
      </c>
      <c r="I601" s="7" t="str">
        <f>HYPERLINK("http://www.informatics.jax.org/marker/MGI:95904","MGI:95904")</f>
        <v>MGI:95904</v>
      </c>
      <c r="J601" s="4" t="s">
        <v>12</v>
      </c>
    </row>
    <row r="602" spans="1:10" x14ac:dyDescent="0.25">
      <c r="A602" s="2">
        <v>465.32360853006799</v>
      </c>
      <c r="B602" s="3">
        <v>1.4528942763870001</v>
      </c>
      <c r="C602" s="5">
        <v>5.0014983591477399E-63</v>
      </c>
      <c r="D602" s="6">
        <v>3.2671077991207003E-61</v>
      </c>
      <c r="E602" s="3" t="s">
        <v>598</v>
      </c>
      <c r="F602" s="3" t="s">
        <v>599</v>
      </c>
      <c r="G602" s="3">
        <v>231830</v>
      </c>
      <c r="H602" s="7" t="str">
        <f>HYPERLINK("http://www.ensembl.org/Mus_musculus/Gene/Summary?db=core;g=ENSMUSG00000036718","ENSMUSG00000036718")</f>
        <v>ENSMUSG00000036718</v>
      </c>
      <c r="I602" s="7" t="str">
        <f>HYPERLINK("http://www.informatics.jax.org/marker/MGI:2444818","MGI:2444818")</f>
        <v>MGI:2444818</v>
      </c>
      <c r="J602" s="4" t="s">
        <v>12</v>
      </c>
    </row>
    <row r="603" spans="1:10" x14ac:dyDescent="0.25">
      <c r="A603" s="2">
        <v>19.585456798996699</v>
      </c>
      <c r="B603" s="3">
        <v>1.4526035663218999</v>
      </c>
      <c r="C603" s="5">
        <v>7.9072425315471404E-9</v>
      </c>
      <c r="D603" s="6">
        <v>5.5705255174892398E-8</v>
      </c>
      <c r="E603" s="3" t="s">
        <v>9139</v>
      </c>
      <c r="F603" s="3" t="s">
        <v>9140</v>
      </c>
      <c r="G603" s="3">
        <v>12228</v>
      </c>
      <c r="H603" s="7" t="str">
        <f>HYPERLINK("http://www.ensembl.org/Mus_musculus/Gene/Summary?db=core;g=ENSMUSG00000022863","ENSMUSG00000022863")</f>
        <v>ENSMUSG00000022863</v>
      </c>
      <c r="I603" s="7" t="str">
        <f>HYPERLINK("http://www.informatics.jax.org/marker/MGI:109532","MGI:109532")</f>
        <v>MGI:109532</v>
      </c>
      <c r="J603" s="4" t="s">
        <v>12</v>
      </c>
    </row>
    <row r="604" spans="1:10" x14ac:dyDescent="0.25">
      <c r="A604" s="2">
        <v>1745.3102279032801</v>
      </c>
      <c r="B604" s="3">
        <v>1.45153078986006</v>
      </c>
      <c r="C604" s="5">
        <v>9.7313241203714994E-96</v>
      </c>
      <c r="D604" s="6">
        <v>1.3235327021923201E-93</v>
      </c>
      <c r="E604" s="3" t="s">
        <v>364</v>
      </c>
      <c r="F604" s="3" t="s">
        <v>365</v>
      </c>
      <c r="G604" s="3">
        <v>27008</v>
      </c>
      <c r="H604" s="7" t="str">
        <f>HYPERLINK("http://www.ensembl.org/Mus_musculus/Gene/Summary?db=core;g=ENSMUSG00000033039","ENSMUSG00000033039")</f>
        <v>ENSMUSG00000033039</v>
      </c>
      <c r="I604" s="7" t="str">
        <f>HYPERLINK("http://www.informatics.jax.org/marker/MGI:105870","MGI:105870")</f>
        <v>MGI:105870</v>
      </c>
      <c r="J604" s="4" t="s">
        <v>12</v>
      </c>
    </row>
    <row r="605" spans="1:10" x14ac:dyDescent="0.25">
      <c r="A605" s="2">
        <v>9.3341803438992503</v>
      </c>
      <c r="B605" s="3">
        <v>1.45106919822956</v>
      </c>
      <c r="C605" s="3">
        <v>3.5028550801336497E-4</v>
      </c>
      <c r="D605" s="4">
        <v>1.3316548568092601E-3</v>
      </c>
      <c r="E605" s="3" t="s">
        <v>7760</v>
      </c>
      <c r="F605" s="3" t="s">
        <v>7761</v>
      </c>
      <c r="G605" s="3">
        <v>107527</v>
      </c>
      <c r="H605" s="7" t="str">
        <f>HYPERLINK("http://www.ensembl.org/Mus_musculus/Gene/Summary?db=core;g=ENSMUSG00000070942","ENSMUSG00000070942")</f>
        <v>ENSMUSG00000070942</v>
      </c>
      <c r="I605" s="7" t="str">
        <f>HYPERLINK("http://www.informatics.jax.org/marker/MGI:1913107","MGI:1913107")</f>
        <v>MGI:1913107</v>
      </c>
      <c r="J605" s="4" t="s">
        <v>12</v>
      </c>
    </row>
    <row r="606" spans="1:10" x14ac:dyDescent="0.25">
      <c r="A606" s="2">
        <v>13.100962041903699</v>
      </c>
      <c r="B606" s="3">
        <v>1.4489590993266599</v>
      </c>
      <c r="C606" s="5">
        <v>6.8199987538707998E-6</v>
      </c>
      <c r="D606" s="6">
        <v>3.4184399694525703E-5</v>
      </c>
      <c r="E606" s="3" t="s">
        <v>8345</v>
      </c>
      <c r="F606" s="3" t="s">
        <v>8346</v>
      </c>
      <c r="G606" s="3" t="s">
        <v>83</v>
      </c>
      <c r="H606" s="7" t="str">
        <f>HYPERLINK("http://www.ensembl.org/Mus_musculus/Gene/Summary?db=core;g=ENSMUSG00000104763","ENSMUSG00000104763")</f>
        <v>ENSMUSG00000104763</v>
      </c>
      <c r="I606" s="7" t="str">
        <f>HYPERLINK("http://www.informatics.jax.org/marker/MGI:5439414","MGI:5439414")</f>
        <v>MGI:5439414</v>
      </c>
      <c r="J606" s="4" t="s">
        <v>939</v>
      </c>
    </row>
    <row r="607" spans="1:10" x14ac:dyDescent="0.25">
      <c r="A607" s="2">
        <v>514.30820522614601</v>
      </c>
      <c r="B607" s="3">
        <v>1.44779443058154</v>
      </c>
      <c r="C607" s="5">
        <v>1.01737863292362E-29</v>
      </c>
      <c r="D607" s="6">
        <v>2.4788403188546798E-28</v>
      </c>
      <c r="E607" s="3" t="s">
        <v>1720</v>
      </c>
      <c r="F607" s="3" t="s">
        <v>1721</v>
      </c>
      <c r="G607" s="3">
        <v>66548</v>
      </c>
      <c r="H607" s="7" t="str">
        <f>HYPERLINK("http://www.ensembl.org/Mus_musculus/Gene/Summary?db=core;g=ENSMUSG00000043822","ENSMUSG00000043822")</f>
        <v>ENSMUSG00000043822</v>
      </c>
      <c r="I607" s="7" t="str">
        <f>HYPERLINK("http://www.informatics.jax.org/marker/MGI:1913798","MGI:1913798")</f>
        <v>MGI:1913798</v>
      </c>
      <c r="J607" s="4" t="s">
        <v>12</v>
      </c>
    </row>
    <row r="608" spans="1:10" x14ac:dyDescent="0.25">
      <c r="A608" s="2">
        <v>2.88074438621911</v>
      </c>
      <c r="B608" s="3">
        <v>1.4474009399015799</v>
      </c>
      <c r="C608" s="3">
        <v>2.05983255522118E-3</v>
      </c>
      <c r="D608" s="4">
        <v>6.7921925671984799E-3</v>
      </c>
      <c r="E608" s="3" t="s">
        <v>10898</v>
      </c>
      <c r="F608" s="3" t="s">
        <v>10899</v>
      </c>
      <c r="G608" s="3" t="s">
        <v>83</v>
      </c>
      <c r="H608" s="7" t="str">
        <f>HYPERLINK("http://www.ensembl.org/Mus_musculus/Gene/Summary?db=core;g=ENSMUSG00000118024","ENSMUSG00000118024")</f>
        <v>ENSMUSG00000118024</v>
      </c>
      <c r="I608" s="7" t="str">
        <f>HYPERLINK("http://www.informatics.jax.org/marker/MGI:6303343","MGI:6303343")</f>
        <v>MGI:6303343</v>
      </c>
      <c r="J608" s="4" t="s">
        <v>939</v>
      </c>
    </row>
    <row r="609" spans="1:10" x14ac:dyDescent="0.25">
      <c r="A609" s="2">
        <v>2.6367540654118802</v>
      </c>
      <c r="B609" s="3">
        <v>1.4447088214379999</v>
      </c>
      <c r="C609" s="3">
        <v>1.9437369053002501E-3</v>
      </c>
      <c r="D609" s="4">
        <v>6.4513941174826001E-3</v>
      </c>
      <c r="E609" s="3" t="s">
        <v>10822</v>
      </c>
      <c r="F609" s="3" t="s">
        <v>10823</v>
      </c>
      <c r="G609" s="3">
        <v>19894</v>
      </c>
      <c r="H609" s="7" t="str">
        <f>HYPERLINK("http://www.ensembl.org/Mus_musculus/Gene/Summary?db=core;g=ENSMUSG00000029608","ENSMUSG00000029608")</f>
        <v>ENSMUSG00000029608</v>
      </c>
      <c r="I609" s="7" t="str">
        <f>HYPERLINK("http://www.informatics.jax.org/marker/MGI:102788","MGI:102788")</f>
        <v>MGI:102788</v>
      </c>
      <c r="J609" s="4" t="s">
        <v>12</v>
      </c>
    </row>
    <row r="610" spans="1:10" x14ac:dyDescent="0.25">
      <c r="A610" s="2">
        <v>297.09133371903698</v>
      </c>
      <c r="B610" s="3">
        <v>1.44385862818347</v>
      </c>
      <c r="C610" s="5">
        <v>1.0376844927555701E-46</v>
      </c>
      <c r="D610" s="6">
        <v>4.5680676039783198E-45</v>
      </c>
      <c r="E610" s="3" t="s">
        <v>930</v>
      </c>
      <c r="F610" s="3" t="s">
        <v>931</v>
      </c>
      <c r="G610" s="3" t="s">
        <v>83</v>
      </c>
      <c r="H610" s="7" t="str">
        <f>HYPERLINK("http://www.ensembl.org/Mus_musculus/Gene/Summary?db=core;g=ENSMUSG00000085295","ENSMUSG00000085295")</f>
        <v>ENSMUSG00000085295</v>
      </c>
      <c r="I610" s="7" t="str">
        <f>HYPERLINK("http://www.informatics.jax.org/marker/MGI:1918889","MGI:1918889")</f>
        <v>MGI:1918889</v>
      </c>
      <c r="J610" s="4" t="s">
        <v>932</v>
      </c>
    </row>
    <row r="611" spans="1:10" x14ac:dyDescent="0.25">
      <c r="A611" s="2">
        <v>199.28572613182399</v>
      </c>
      <c r="B611" s="3">
        <v>1.44333933780734</v>
      </c>
      <c r="C611" s="5">
        <v>5.6506298106943902E-16</v>
      </c>
      <c r="D611" s="6">
        <v>7.0875931383279603E-15</v>
      </c>
      <c r="E611" s="3" t="s">
        <v>2213</v>
      </c>
      <c r="F611" s="3" t="s">
        <v>2214</v>
      </c>
      <c r="G611" s="3">
        <v>15040</v>
      </c>
      <c r="H611" s="7" t="str">
        <f>HYPERLINK("http://www.ensembl.org/Mus_musculus/Gene/Summary?db=core;g=ENSMUSG00000067212","ENSMUSG00000067212")</f>
        <v>ENSMUSG00000067212</v>
      </c>
      <c r="I611" s="7" t="str">
        <f>HYPERLINK("http://www.informatics.jax.org/marker/MGI:95957","MGI:95957")</f>
        <v>MGI:95957</v>
      </c>
      <c r="J611" s="4" t="s">
        <v>12</v>
      </c>
    </row>
    <row r="612" spans="1:10" x14ac:dyDescent="0.25">
      <c r="A612" s="2">
        <v>47.574035920841297</v>
      </c>
      <c r="B612" s="3">
        <v>1.4409172620966499</v>
      </c>
      <c r="C612" s="5">
        <v>2.2764259264481099E-10</v>
      </c>
      <c r="D612" s="6">
        <v>1.89010763141306E-9</v>
      </c>
      <c r="E612" s="3" t="s">
        <v>5097</v>
      </c>
      <c r="F612" s="3" t="s">
        <v>5098</v>
      </c>
      <c r="G612" s="3">
        <v>58218</v>
      </c>
      <c r="H612" s="7" t="str">
        <f>HYPERLINK("http://www.ensembl.org/Mus_musculus/Gene/Summary?db=core;g=ENSMUSG00000041754","ENSMUSG00000041754")</f>
        <v>ENSMUSG00000041754</v>
      </c>
      <c r="I612" s="7" t="str">
        <f>HYPERLINK("http://www.informatics.jax.org/marker/MGI:1930003","MGI:1930003")</f>
        <v>MGI:1930003</v>
      </c>
      <c r="J612" s="4" t="s">
        <v>12</v>
      </c>
    </row>
    <row r="613" spans="1:10" x14ac:dyDescent="0.25">
      <c r="A613" s="2">
        <v>1521.3858383327299</v>
      </c>
      <c r="B613" s="3">
        <v>1.44084319356984</v>
      </c>
      <c r="C613" s="5">
        <v>9.7840444554786E-72</v>
      </c>
      <c r="D613" s="6">
        <v>7.9604558125489901E-70</v>
      </c>
      <c r="E613" s="3" t="s">
        <v>506</v>
      </c>
      <c r="F613" s="3" t="s">
        <v>507</v>
      </c>
      <c r="G613" s="3">
        <v>78388</v>
      </c>
      <c r="H613" s="7" t="str">
        <f>HYPERLINK("http://www.ensembl.org/Mus_musculus/Gene/Summary?db=core;g=ENSMUSG00000030681","ENSMUSG00000030681")</f>
        <v>ENSMUSG00000030681</v>
      </c>
      <c r="I613" s="7" t="str">
        <f>HYPERLINK("http://www.informatics.jax.org/marker/MGI:1925638","MGI:1925638")</f>
        <v>MGI:1925638</v>
      </c>
      <c r="J613" s="4" t="s">
        <v>12</v>
      </c>
    </row>
    <row r="614" spans="1:10" x14ac:dyDescent="0.25">
      <c r="A614" s="2">
        <v>16.545784353679402</v>
      </c>
      <c r="B614" s="3">
        <v>1.43937177697922</v>
      </c>
      <c r="C614" s="3">
        <v>1.02273492001292E-4</v>
      </c>
      <c r="D614" s="4">
        <v>4.2711603843344301E-4</v>
      </c>
      <c r="E614" s="3" t="s">
        <v>10764</v>
      </c>
      <c r="F614" s="3" t="s">
        <v>10765</v>
      </c>
      <c r="G614" s="3">
        <v>14086</v>
      </c>
      <c r="H614" s="7" t="str">
        <f>HYPERLINK("http://www.ensembl.org/Mus_musculus/Gene/Summary?db=core;g=ENSMUSG00000029581","ENSMUSG00000029581")</f>
        <v>ENSMUSG00000029581</v>
      </c>
      <c r="I614" s="7" t="str">
        <f>HYPERLINK("http://www.informatics.jax.org/marker/MGI:1352745","MGI:1352745")</f>
        <v>MGI:1352745</v>
      </c>
      <c r="J614" s="4" t="s">
        <v>12</v>
      </c>
    </row>
    <row r="615" spans="1:10" x14ac:dyDescent="0.25">
      <c r="A615" s="2">
        <v>47.981920625215103</v>
      </c>
      <c r="B615" s="3">
        <v>1.4388751722559801</v>
      </c>
      <c r="C615" s="5">
        <v>9.0299705657764199E-13</v>
      </c>
      <c r="D615" s="6">
        <v>9.1683127332186696E-12</v>
      </c>
      <c r="E615" s="3" t="s">
        <v>4022</v>
      </c>
      <c r="F615" s="3" t="s">
        <v>4023</v>
      </c>
      <c r="G615" s="3" t="s">
        <v>83</v>
      </c>
      <c r="H615" s="7" t="str">
        <f>HYPERLINK("http://www.ensembl.org/Mus_musculus/Gene/Summary?db=core;g=ENSMUSG00000117628","ENSMUSG00000117628")</f>
        <v>ENSMUSG00000117628</v>
      </c>
      <c r="I615" s="7" t="str">
        <f>HYPERLINK("http://www.informatics.jax.org/marker/MGI:6275301","MGI:6275301")</f>
        <v>MGI:6275301</v>
      </c>
      <c r="J615" s="4" t="s">
        <v>4024</v>
      </c>
    </row>
    <row r="616" spans="1:10" x14ac:dyDescent="0.25">
      <c r="A616" s="2">
        <v>3.2118617446148701</v>
      </c>
      <c r="B616" s="3">
        <v>1.43643477849924</v>
      </c>
      <c r="C616" s="3">
        <v>2.0623972504907901E-3</v>
      </c>
      <c r="D616" s="4">
        <v>6.7981895261701401E-3</v>
      </c>
      <c r="E616" s="3" t="s">
        <v>7088</v>
      </c>
      <c r="F616" s="3" t="s">
        <v>7089</v>
      </c>
      <c r="G616" s="3">
        <v>19771</v>
      </c>
      <c r="H616" s="7" t="str">
        <f>HYPERLINK("http://www.ensembl.org/Mus_musculus/Gene/Summary?db=core;g=ENSMUSG00000039194","ENSMUSG00000039194")</f>
        <v>ENSMUSG00000039194</v>
      </c>
      <c r="I616" s="7" t="str">
        <f>HYPERLINK("http://www.informatics.jax.org/marker/MGI:97930","MGI:97930")</f>
        <v>MGI:97930</v>
      </c>
      <c r="J616" s="4" t="s">
        <v>12</v>
      </c>
    </row>
    <row r="617" spans="1:10" x14ac:dyDescent="0.25">
      <c r="A617" s="2">
        <v>15.638458062233701</v>
      </c>
      <c r="B617" s="3">
        <v>1.4362099380389599</v>
      </c>
      <c r="C617" s="5">
        <v>2.9565741238724201E-5</v>
      </c>
      <c r="D617" s="4">
        <v>1.3462588563292201E-4</v>
      </c>
      <c r="E617" s="3" t="s">
        <v>7578</v>
      </c>
      <c r="F617" s="3" t="s">
        <v>7579</v>
      </c>
      <c r="G617" s="3" t="s">
        <v>83</v>
      </c>
      <c r="H617" s="7" t="str">
        <f>HYPERLINK("http://www.ensembl.org/Mus_musculus/Gene/Summary?db=core;g=ENSMUSG00000116429","ENSMUSG00000116429")</f>
        <v>ENSMUSG00000116429</v>
      </c>
      <c r="I617" s="7" t="str">
        <f>HYPERLINK("http://www.informatics.jax.org/marker/MGI:109247","MGI:109247")</f>
        <v>MGI:109247</v>
      </c>
      <c r="J617" s="4" t="s">
        <v>12</v>
      </c>
    </row>
    <row r="618" spans="1:10" x14ac:dyDescent="0.25">
      <c r="A618" s="2">
        <v>29.361898505277701</v>
      </c>
      <c r="B618" s="3">
        <v>1.4357858334803899</v>
      </c>
      <c r="C618" s="5">
        <v>3.19921542367332E-9</v>
      </c>
      <c r="D618" s="6">
        <v>2.3595993968614402E-8</v>
      </c>
      <c r="E618" s="3" t="s">
        <v>10800</v>
      </c>
      <c r="F618" s="3" t="s">
        <v>10801</v>
      </c>
      <c r="G618" s="3">
        <v>19411</v>
      </c>
      <c r="H618" s="7" t="str">
        <f>HYPERLINK("http://www.ensembl.org/Mus_musculus/Gene/Summary?db=core;g=ENSMUSG00000001288","ENSMUSG00000001288")</f>
        <v>ENSMUSG00000001288</v>
      </c>
      <c r="I618" s="7" t="str">
        <f>HYPERLINK("http://www.informatics.jax.org/marker/MGI:97858","MGI:97858")</f>
        <v>MGI:97858</v>
      </c>
      <c r="J618" s="4" t="s">
        <v>12</v>
      </c>
    </row>
    <row r="619" spans="1:10" x14ac:dyDescent="0.25">
      <c r="A619" s="2">
        <v>2.8072146791885499</v>
      </c>
      <c r="B619" s="3">
        <v>1.43492540225272</v>
      </c>
      <c r="C619" s="3">
        <v>2.2440246165117699E-3</v>
      </c>
      <c r="D619" s="4">
        <v>7.3463891927298304E-3</v>
      </c>
      <c r="E619" s="3" t="s">
        <v>8693</v>
      </c>
      <c r="F619" s="3" t="s">
        <v>8694</v>
      </c>
      <c r="G619" s="3">
        <v>629303</v>
      </c>
      <c r="H619" s="7" t="str">
        <f>HYPERLINK("http://www.ensembl.org/Mus_musculus/Gene/Summary?db=core;g=ENSMUSG00000018925","ENSMUSG00000018925")</f>
        <v>ENSMUSG00000018925</v>
      </c>
      <c r="I619" s="7" t="str">
        <f>HYPERLINK("http://www.informatics.jax.org/marker/MGI:3650286","MGI:3650286")</f>
        <v>MGI:3650286</v>
      </c>
      <c r="J619" s="4" t="s">
        <v>12</v>
      </c>
    </row>
    <row r="620" spans="1:10" x14ac:dyDescent="0.25">
      <c r="A620" s="2">
        <v>447.060908772608</v>
      </c>
      <c r="B620" s="3">
        <v>1.4328950876853199</v>
      </c>
      <c r="C620" s="5">
        <v>9.8801321487344397E-20</v>
      </c>
      <c r="D620" s="6">
        <v>1.52082270617133E-18</v>
      </c>
      <c r="E620" s="3" t="s">
        <v>4241</v>
      </c>
      <c r="F620" s="3" t="s">
        <v>4242</v>
      </c>
      <c r="G620" s="3">
        <v>110796</v>
      </c>
      <c r="H620" s="7" t="str">
        <f>HYPERLINK("http://www.ensembl.org/Mus_musculus/Gene/Summary?db=core;g=ENSMUSG00000046982","ENSMUSG00000046982")</f>
        <v>ENSMUSG00000046982</v>
      </c>
      <c r="I620" s="7" t="str">
        <f>HYPERLINK("http://www.informatics.jax.org/marker/MGI:1346031","MGI:1346031")</f>
        <v>MGI:1346031</v>
      </c>
      <c r="J620" s="4" t="s">
        <v>12</v>
      </c>
    </row>
    <row r="621" spans="1:10" x14ac:dyDescent="0.25">
      <c r="A621" s="2">
        <v>1025.9628324211301</v>
      </c>
      <c r="B621" s="3">
        <v>1.4290264508998101</v>
      </c>
      <c r="C621" s="5">
        <v>4.0581677780631198E-57</v>
      </c>
      <c r="D621" s="6">
        <v>2.2827193751605001E-55</v>
      </c>
      <c r="E621" s="3" t="s">
        <v>1380</v>
      </c>
      <c r="F621" s="3" t="s">
        <v>1381</v>
      </c>
      <c r="G621" s="3">
        <v>11787</v>
      </c>
      <c r="H621" s="7" t="str">
        <f>HYPERLINK("http://www.ensembl.org/Mus_musculus/Gene/Summary?db=core;g=ENSMUSG00000029207","ENSMUSG00000029207")</f>
        <v>ENSMUSG00000029207</v>
      </c>
      <c r="I621" s="7" t="str">
        <f>HYPERLINK("http://www.informatics.jax.org/marker/MGI:108405","MGI:108405")</f>
        <v>MGI:108405</v>
      </c>
      <c r="J621" s="4" t="s">
        <v>12</v>
      </c>
    </row>
    <row r="622" spans="1:10" x14ac:dyDescent="0.25">
      <c r="A622" s="2">
        <v>148.41170887545999</v>
      </c>
      <c r="B622" s="3">
        <v>1.42809870380325</v>
      </c>
      <c r="C622" s="5">
        <v>3.7170864925920902E-39</v>
      </c>
      <c r="D622" s="6">
        <v>1.2407307935437901E-37</v>
      </c>
      <c r="E622" s="3" t="s">
        <v>2295</v>
      </c>
      <c r="F622" s="3" t="s">
        <v>2296</v>
      </c>
      <c r="G622" s="3">
        <v>214424</v>
      </c>
      <c r="H622" s="7" t="str">
        <f>HYPERLINK("http://www.ensembl.org/Mus_musculus/Gene/Summary?db=core;g=ENSMUSG00000032392","ENSMUSG00000032392")</f>
        <v>ENSMUSG00000032392</v>
      </c>
      <c r="I622" s="7" t="str">
        <f>HYPERLINK("http://www.informatics.jax.org/marker/MGI:2446133","MGI:2446133")</f>
        <v>MGI:2446133</v>
      </c>
      <c r="J622" s="4" t="s">
        <v>12</v>
      </c>
    </row>
    <row r="623" spans="1:10" x14ac:dyDescent="0.25">
      <c r="A623" s="2">
        <v>278.40991070128501</v>
      </c>
      <c r="B623" s="3">
        <v>1.4279360216997099</v>
      </c>
      <c r="C623" s="5">
        <v>2.4784955636508699E-24</v>
      </c>
      <c r="D623" s="6">
        <v>4.7698607864347497E-23</v>
      </c>
      <c r="E623" s="3" t="s">
        <v>972</v>
      </c>
      <c r="F623" s="3" t="s">
        <v>973</v>
      </c>
      <c r="G623" s="3">
        <v>64685</v>
      </c>
      <c r="H623" s="7" t="str">
        <f>HYPERLINK("http://www.ensembl.org/Mus_musculus/Gene/Summary?db=core;g=ENSMUSG00000026946","ENSMUSG00000026946")</f>
        <v>ENSMUSG00000026946</v>
      </c>
      <c r="I623" s="7" t="str">
        <f>HYPERLINK("http://www.informatics.jax.org/marker/MGI:1928368","MGI:1928368")</f>
        <v>MGI:1928368</v>
      </c>
      <c r="J623" s="4" t="s">
        <v>12</v>
      </c>
    </row>
    <row r="624" spans="1:10" x14ac:dyDescent="0.25">
      <c r="A624" s="2">
        <v>1030.2560035824599</v>
      </c>
      <c r="B624" s="3">
        <v>1.4272585676255101</v>
      </c>
      <c r="C624" s="5">
        <v>4.1876091142604099E-44</v>
      </c>
      <c r="D624" s="6">
        <v>1.6847500244458299E-42</v>
      </c>
      <c r="E624" s="3" t="s">
        <v>758</v>
      </c>
      <c r="F624" s="3" t="s">
        <v>759</v>
      </c>
      <c r="G624" s="3">
        <v>66674</v>
      </c>
      <c r="H624" s="7" t="str">
        <f>HYPERLINK("http://www.ensembl.org/Mus_musculus/Gene/Summary?db=core;g=ENSMUSG00000021930","ENSMUSG00000021930")</f>
        <v>ENSMUSG00000021930</v>
      </c>
      <c r="I624" s="7" t="str">
        <f>HYPERLINK("http://www.informatics.jax.org/marker/MGI:1913924","MGI:1913924")</f>
        <v>MGI:1913924</v>
      </c>
      <c r="J624" s="4" t="s">
        <v>12</v>
      </c>
    </row>
    <row r="625" spans="1:10" x14ac:dyDescent="0.25">
      <c r="A625" s="2">
        <v>3.7358276119853899</v>
      </c>
      <c r="B625" s="3">
        <v>1.42695164371229</v>
      </c>
      <c r="C625" s="3">
        <v>9.6708935973247295E-4</v>
      </c>
      <c r="D625" s="4">
        <v>3.4111096537883302E-3</v>
      </c>
      <c r="E625" s="3" t="s">
        <v>12853</v>
      </c>
      <c r="F625" s="3" t="s">
        <v>12854</v>
      </c>
      <c r="G625" s="3">
        <v>21933</v>
      </c>
      <c r="H625" s="7" t="str">
        <f>HYPERLINK("http://www.ensembl.org/Mus_musculus/Gene/Summary?db=core;g=ENSMUSG00000022074","ENSMUSG00000022074")</f>
        <v>ENSMUSG00000022074</v>
      </c>
      <c r="I625" s="7" t="str">
        <f>HYPERLINK("http://www.informatics.jax.org/marker/MGI:1341090","MGI:1341090")</f>
        <v>MGI:1341090</v>
      </c>
      <c r="J625" s="4" t="s">
        <v>12</v>
      </c>
    </row>
    <row r="626" spans="1:10" x14ac:dyDescent="0.25">
      <c r="A626" s="2">
        <v>1104.6171698445701</v>
      </c>
      <c r="B626" s="3">
        <v>1.4268322564711999</v>
      </c>
      <c r="C626" s="5">
        <v>2.3952105350751001E-14</v>
      </c>
      <c r="D626" s="6">
        <v>2.70295430351354E-13</v>
      </c>
      <c r="E626" s="3" t="s">
        <v>5283</v>
      </c>
      <c r="F626" s="3" t="s">
        <v>5284</v>
      </c>
      <c r="G626" s="3">
        <v>22793</v>
      </c>
      <c r="H626" s="7" t="str">
        <f>HYPERLINK("http://www.ensembl.org/Mus_musculus/Gene/Summary?db=core;g=ENSMUSG00000029860","ENSMUSG00000029860")</f>
        <v>ENSMUSG00000029860</v>
      </c>
      <c r="I626" s="7" t="str">
        <f>HYPERLINK("http://www.informatics.jax.org/marker/MGI:103072","MGI:103072")</f>
        <v>MGI:103072</v>
      </c>
      <c r="J626" s="4" t="s">
        <v>12</v>
      </c>
    </row>
    <row r="627" spans="1:10" x14ac:dyDescent="0.25">
      <c r="A627" s="2">
        <v>3.2148507828374102</v>
      </c>
      <c r="B627" s="3">
        <v>1.4254939355501199</v>
      </c>
      <c r="C627" s="3">
        <v>2.4244458368931601E-3</v>
      </c>
      <c r="D627" s="4">
        <v>7.8649920572050093E-3</v>
      </c>
      <c r="E627" s="3" t="s">
        <v>8163</v>
      </c>
      <c r="F627" s="3" t="s">
        <v>8164</v>
      </c>
      <c r="G627" s="3">
        <v>17329</v>
      </c>
      <c r="H627" s="7" t="str">
        <f>HYPERLINK("http://www.ensembl.org/Mus_musculus/Gene/Summary?db=core;g=ENSMUSG00000029417","ENSMUSG00000029417")</f>
        <v>ENSMUSG00000029417</v>
      </c>
      <c r="I627" s="7" t="str">
        <f>HYPERLINK("http://www.informatics.jax.org/marker/MGI:1352449","MGI:1352449")</f>
        <v>MGI:1352449</v>
      </c>
      <c r="J627" s="4" t="s">
        <v>12</v>
      </c>
    </row>
    <row r="628" spans="1:10" x14ac:dyDescent="0.25">
      <c r="A628" s="2">
        <v>4.0059122503950197</v>
      </c>
      <c r="B628" s="3">
        <v>1.42272596731068</v>
      </c>
      <c r="C628" s="3">
        <v>1.28830191498697E-3</v>
      </c>
      <c r="D628" s="4">
        <v>4.4451538054974598E-3</v>
      </c>
      <c r="E628" s="3" t="s">
        <v>12077</v>
      </c>
      <c r="F628" s="3" t="s">
        <v>12078</v>
      </c>
      <c r="G628" s="3" t="s">
        <v>83</v>
      </c>
      <c r="H628" s="7" t="str">
        <f>HYPERLINK("http://www.ensembl.org/Mus_musculus/Gene/Summary?db=core;g=ENSMUSG00000103845","ENSMUSG00000103845")</f>
        <v>ENSMUSG00000103845</v>
      </c>
      <c r="I628" s="7" t="str">
        <f>HYPERLINK("http://www.informatics.jax.org/marker/MGI:5011211","MGI:5011211")</f>
        <v>MGI:5011211</v>
      </c>
      <c r="J628" s="4" t="s">
        <v>1043</v>
      </c>
    </row>
    <row r="629" spans="1:10" x14ac:dyDescent="0.25">
      <c r="A629" s="2">
        <v>3999.0475764144298</v>
      </c>
      <c r="B629" s="3">
        <v>1.41976260029354</v>
      </c>
      <c r="C629" s="5">
        <v>8.3463775349703604E-200</v>
      </c>
      <c r="D629" s="6">
        <v>4.3460780164238499E-197</v>
      </c>
      <c r="E629" s="3" t="s">
        <v>116</v>
      </c>
      <c r="F629" s="3" t="s">
        <v>117</v>
      </c>
      <c r="G629" s="3">
        <v>72472</v>
      </c>
      <c r="H629" s="7" t="str">
        <f>HYPERLINK("http://www.ensembl.org/Mus_musculus/Gene/Summary?db=core;g=ENSMUSG00000019838","ENSMUSG00000019838")</f>
        <v>ENSMUSG00000019838</v>
      </c>
      <c r="I629" s="7" t="str">
        <f>HYPERLINK("http://www.informatics.jax.org/marker/MGI:1919722","MGI:1919722")</f>
        <v>MGI:1919722</v>
      </c>
      <c r="J629" s="4" t="s">
        <v>12</v>
      </c>
    </row>
    <row r="630" spans="1:10" x14ac:dyDescent="0.25">
      <c r="A630" s="2">
        <v>4.3147018166472701</v>
      </c>
      <c r="B630" s="3">
        <v>1.4194015122033199</v>
      </c>
      <c r="C630" s="3">
        <v>1.7972340402169699E-3</v>
      </c>
      <c r="D630" s="4">
        <v>6.0100165840283101E-3</v>
      </c>
      <c r="E630" s="3" t="s">
        <v>13269</v>
      </c>
      <c r="F630" s="3" t="s">
        <v>13270</v>
      </c>
      <c r="G630" s="3">
        <v>241919</v>
      </c>
      <c r="H630" s="7" t="str">
        <f>HYPERLINK("http://www.ensembl.org/Mus_musculus/Gene/Summary?db=core;g=ENSMUSG00000069072","ENSMUSG00000069072")</f>
        <v>ENSMUSG00000069072</v>
      </c>
      <c r="I630" s="7" t="str">
        <f>HYPERLINK("http://www.informatics.jax.org/marker/MGI:3040688","MGI:3040688")</f>
        <v>MGI:3040688</v>
      </c>
      <c r="J630" s="4" t="s">
        <v>12</v>
      </c>
    </row>
    <row r="631" spans="1:10" x14ac:dyDescent="0.25">
      <c r="A631" s="2">
        <v>455.04531903869901</v>
      </c>
      <c r="B631" s="3">
        <v>1.4140066038307799</v>
      </c>
      <c r="C631" s="5">
        <v>3.2676719971299602E-11</v>
      </c>
      <c r="D631" s="6">
        <v>2.9135676197501702E-10</v>
      </c>
      <c r="E631" s="3" t="s">
        <v>2980</v>
      </c>
      <c r="F631" s="3" t="s">
        <v>2981</v>
      </c>
      <c r="G631" s="3">
        <v>21355</v>
      </c>
      <c r="H631" s="7" t="str">
        <f>HYPERLINK("http://www.ensembl.org/Mus_musculus/Gene/Summary?db=core;g=ENSMUSG00000024339","ENSMUSG00000024339")</f>
        <v>ENSMUSG00000024339</v>
      </c>
      <c r="I631" s="7" t="str">
        <f>HYPERLINK("http://www.informatics.jax.org/marker/MGI:98484","MGI:98484")</f>
        <v>MGI:98484</v>
      </c>
      <c r="J631" s="4" t="s">
        <v>12</v>
      </c>
    </row>
    <row r="632" spans="1:10" x14ac:dyDescent="0.25">
      <c r="A632" s="2">
        <v>26.3967174772927</v>
      </c>
      <c r="B632" s="3">
        <v>1.4124716071107299</v>
      </c>
      <c r="C632" s="5">
        <v>6.6426990296038996E-5</v>
      </c>
      <c r="D632" s="4">
        <v>2.8519008201302902E-4</v>
      </c>
      <c r="E632" s="3" t="s">
        <v>13853</v>
      </c>
      <c r="F632" s="3" t="s">
        <v>13854</v>
      </c>
      <c r="G632" s="3" t="s">
        <v>83</v>
      </c>
      <c r="H632" s="7" t="str">
        <f>HYPERLINK("http://www.ensembl.org/Mus_musculus/Gene/Summary?db=core;g=ENSMUSG00000085586","ENSMUSG00000085586")</f>
        <v>ENSMUSG00000085586</v>
      </c>
      <c r="I632" s="7" t="str">
        <f>HYPERLINK("http://www.informatics.jax.org/marker/MGI:3651819","MGI:3651819")</f>
        <v>MGI:3651819</v>
      </c>
      <c r="J632" s="4" t="s">
        <v>331</v>
      </c>
    </row>
    <row r="633" spans="1:10" x14ac:dyDescent="0.25">
      <c r="A633" s="2">
        <v>9896.8681104637199</v>
      </c>
      <c r="B633" s="3">
        <v>1.4123296834323</v>
      </c>
      <c r="C633" s="5">
        <v>1.0394943666163201E-94</v>
      </c>
      <c r="D633" s="6">
        <v>1.4033173949320301E-92</v>
      </c>
      <c r="E633" s="3" t="s">
        <v>164</v>
      </c>
      <c r="F633" s="3" t="s">
        <v>165</v>
      </c>
      <c r="G633" s="3">
        <v>50493</v>
      </c>
      <c r="H633" s="7" t="str">
        <f>HYPERLINK("http://www.ensembl.org/Mus_musculus/Gene/Summary?db=core;g=ENSMUSG00000020250","ENSMUSG00000020250")</f>
        <v>ENSMUSG00000020250</v>
      </c>
      <c r="I633" s="7" t="str">
        <f>HYPERLINK("http://www.informatics.jax.org/marker/MGI:1354175","MGI:1354175")</f>
        <v>MGI:1354175</v>
      </c>
      <c r="J633" s="4" t="s">
        <v>12</v>
      </c>
    </row>
    <row r="634" spans="1:10" x14ac:dyDescent="0.25">
      <c r="A634" s="2">
        <v>100.583121991355</v>
      </c>
      <c r="B634" s="3">
        <v>1.4114559395000501</v>
      </c>
      <c r="C634" s="5">
        <v>7.7041368230615397E-11</v>
      </c>
      <c r="D634" s="6">
        <v>6.6512502889766297E-10</v>
      </c>
      <c r="E634" s="3" t="s">
        <v>6357</v>
      </c>
      <c r="F634" s="3" t="s">
        <v>6358</v>
      </c>
      <c r="G634" s="3">
        <v>98496</v>
      </c>
      <c r="H634" s="7" t="str">
        <f>HYPERLINK("http://www.ensembl.org/Mus_musculus/Gene/Summary?db=core;g=ENSMUSG00000045658","ENSMUSG00000045658")</f>
        <v>ENSMUSG00000045658</v>
      </c>
      <c r="I634" s="7" t="str">
        <f>HYPERLINK("http://www.informatics.jax.org/marker/MGI:2138391","MGI:2138391")</f>
        <v>MGI:2138391</v>
      </c>
      <c r="J634" s="4" t="s">
        <v>12</v>
      </c>
    </row>
    <row r="635" spans="1:10" x14ac:dyDescent="0.25">
      <c r="A635" s="2">
        <v>45.879844639114701</v>
      </c>
      <c r="B635" s="3">
        <v>1.4111668349628299</v>
      </c>
      <c r="C635" s="3">
        <v>2.2417083034470699E-4</v>
      </c>
      <c r="D635" s="4">
        <v>8.83163290754924E-4</v>
      </c>
      <c r="E635" s="3" t="s">
        <v>10066</v>
      </c>
      <c r="F635" s="3" t="s">
        <v>10067</v>
      </c>
      <c r="G635" s="3" t="s">
        <v>83</v>
      </c>
      <c r="H635" s="7" t="str">
        <f>HYPERLINK("http://www.ensembl.org/Mus_musculus/Gene/Summary?db=core;g=ENSMUSG00000093765","ENSMUSG00000093765")</f>
        <v>ENSMUSG00000093765</v>
      </c>
      <c r="I635" s="7" t="str">
        <f>HYPERLINK("http://www.informatics.jax.org/marker/MGI:5313105","MGI:5313105")</f>
        <v>MGI:5313105</v>
      </c>
      <c r="J635" s="4" t="s">
        <v>932</v>
      </c>
    </row>
    <row r="636" spans="1:10" x14ac:dyDescent="0.25">
      <c r="A636" s="2">
        <v>24.091833504902901</v>
      </c>
      <c r="B636" s="3">
        <v>1.41055239139525</v>
      </c>
      <c r="C636" s="5">
        <v>2.4841165069692801E-6</v>
      </c>
      <c r="D636" s="6">
        <v>1.3168418656054401E-5</v>
      </c>
      <c r="E636" s="3" t="s">
        <v>3600</v>
      </c>
      <c r="F636" s="3" t="s">
        <v>3601</v>
      </c>
      <c r="G636" s="3" t="s">
        <v>83</v>
      </c>
      <c r="H636" s="7" t="str">
        <f>HYPERLINK("http://www.ensembl.org/Mus_musculus/Gene/Summary?db=core;g=ENSMUSG00000072844","ENSMUSG00000072844")</f>
        <v>ENSMUSG00000072844</v>
      </c>
      <c r="I636" s="7" t="str">
        <f>HYPERLINK("http://www.informatics.jax.org/marker/MGI:3603513","MGI:3603513")</f>
        <v>MGI:3603513</v>
      </c>
      <c r="J636" s="4" t="s">
        <v>331</v>
      </c>
    </row>
    <row r="637" spans="1:10" x14ac:dyDescent="0.25">
      <c r="A637" s="2">
        <v>914.69693360633096</v>
      </c>
      <c r="B637" s="3">
        <v>1.40859988914194</v>
      </c>
      <c r="C637" s="5">
        <v>9.3957080797020906E-126</v>
      </c>
      <c r="D637" s="6">
        <v>2.2531155230601399E-123</v>
      </c>
      <c r="E637" s="3" t="s">
        <v>346</v>
      </c>
      <c r="F637" s="3" t="s">
        <v>347</v>
      </c>
      <c r="G637" s="3">
        <v>212632</v>
      </c>
      <c r="H637" s="7" t="str">
        <f>HYPERLINK("http://www.ensembl.org/Mus_musculus/Gene/Summary?db=core;g=ENSMUSG00000041025","ENSMUSG00000041025")</f>
        <v>ENSMUSG00000041025</v>
      </c>
      <c r="I637" s="7" t="str">
        <f>HYPERLINK("http://www.informatics.jax.org/marker/MGI:2140675","MGI:2140675")</f>
        <v>MGI:2140675</v>
      </c>
      <c r="J637" s="4" t="s">
        <v>12</v>
      </c>
    </row>
    <row r="638" spans="1:10" x14ac:dyDescent="0.25">
      <c r="A638" s="2">
        <v>1.6325510036172299</v>
      </c>
      <c r="B638" s="3">
        <v>1.4057171145220999</v>
      </c>
      <c r="C638" s="3">
        <v>2.4143094669727698E-3</v>
      </c>
      <c r="D638" s="4">
        <v>7.8362938620799207E-3</v>
      </c>
      <c r="E638" s="3" t="s">
        <v>11949</v>
      </c>
      <c r="F638" s="3" t="s">
        <v>11950</v>
      </c>
      <c r="G638" s="3" t="s">
        <v>83</v>
      </c>
      <c r="H638" s="7" t="str">
        <f>HYPERLINK("http://www.ensembl.org/Mus_musculus/Gene/Summary?db=core;g=ENSMUSG00000112662","ENSMUSG00000112662")</f>
        <v>ENSMUSG00000112662</v>
      </c>
      <c r="I638" s="7" t="str">
        <f>HYPERLINK("http://www.informatics.jax.org/marker/MGI:6097178","MGI:6097178")</f>
        <v>MGI:6097178</v>
      </c>
      <c r="J638" s="4" t="s">
        <v>939</v>
      </c>
    </row>
    <row r="639" spans="1:10" x14ac:dyDescent="0.25">
      <c r="A639" s="2">
        <v>2456.0262430673001</v>
      </c>
      <c r="B639" s="3">
        <v>1.4026985390183999</v>
      </c>
      <c r="C639" s="5">
        <v>1.54255002708863E-102</v>
      </c>
      <c r="D639" s="6">
        <v>2.36243481039414E-100</v>
      </c>
      <c r="E639" s="3" t="s">
        <v>420</v>
      </c>
      <c r="F639" s="3" t="s">
        <v>421</v>
      </c>
      <c r="G639" s="3">
        <v>170737</v>
      </c>
      <c r="H639" s="7" t="str">
        <f>HYPERLINK("http://www.ensembl.org/Mus_musculus/Gene/Summary?db=core;g=ENSMUSG00000033545","ENSMUSG00000033545")</f>
        <v>ENSMUSG00000033545</v>
      </c>
      <c r="I639" s="7" t="str">
        <f>HYPERLINK("http://www.informatics.jax.org/marker/MGI:2177308","MGI:2177308")</f>
        <v>MGI:2177308</v>
      </c>
      <c r="J639" s="4" t="s">
        <v>12</v>
      </c>
    </row>
    <row r="640" spans="1:10" x14ac:dyDescent="0.25">
      <c r="A640" s="2">
        <v>3.7080590920696999</v>
      </c>
      <c r="B640" s="3">
        <v>1.40121014891379</v>
      </c>
      <c r="C640" s="3">
        <v>2.9345046936502901E-3</v>
      </c>
      <c r="D640" s="4">
        <v>9.3238054466137504E-3</v>
      </c>
      <c r="E640" s="3" t="s">
        <v>10086</v>
      </c>
      <c r="F640" s="3" t="s">
        <v>10087</v>
      </c>
      <c r="G640" s="3">
        <v>239827</v>
      </c>
      <c r="H640" s="7" t="str">
        <f>HYPERLINK("http://www.ensembl.org/Mus_musculus/Gene/Summary?db=core;g=ENSMUSG00000045625","ENSMUSG00000045625")</f>
        <v>ENSMUSG00000045625</v>
      </c>
      <c r="I640" s="7" t="str">
        <f>HYPERLINK("http://www.informatics.jax.org/marker/MGI:2443822","MGI:2443822")</f>
        <v>MGI:2443822</v>
      </c>
      <c r="J640" s="4" t="s">
        <v>12</v>
      </c>
    </row>
    <row r="641" spans="1:10" x14ac:dyDescent="0.25">
      <c r="A641" s="2">
        <v>17.666491108693801</v>
      </c>
      <c r="B641" s="3">
        <v>1.39921081590125</v>
      </c>
      <c r="C641" s="5">
        <v>1.19316448169592E-6</v>
      </c>
      <c r="D641" s="6">
        <v>6.5835369902840299E-6</v>
      </c>
      <c r="E641" s="3" t="s">
        <v>6826</v>
      </c>
      <c r="F641" s="3" t="s">
        <v>6827</v>
      </c>
      <c r="G641" s="3" t="s">
        <v>83</v>
      </c>
      <c r="H641" s="7" t="str">
        <f>HYPERLINK("http://www.ensembl.org/Mus_musculus/Gene/Summary?db=core;g=ENSMUSG00000099470","ENSMUSG00000099470")</f>
        <v>ENSMUSG00000099470</v>
      </c>
      <c r="I641" s="7" t="str">
        <f>HYPERLINK("http://www.informatics.jax.org/marker/MGI:5580046","MGI:5580046")</f>
        <v>MGI:5580046</v>
      </c>
      <c r="J641" s="4" t="s">
        <v>939</v>
      </c>
    </row>
    <row r="642" spans="1:10" x14ac:dyDescent="0.25">
      <c r="A642" s="2">
        <v>2.63014183075633</v>
      </c>
      <c r="B642" s="3">
        <v>1.3966298600607501</v>
      </c>
      <c r="C642" s="3">
        <v>2.9389377508336001E-3</v>
      </c>
      <c r="D642" s="4">
        <v>9.3362629438630603E-3</v>
      </c>
      <c r="E642" s="3" t="s">
        <v>8033</v>
      </c>
      <c r="F642" s="3" t="s">
        <v>8034</v>
      </c>
      <c r="G642" s="3">
        <v>20299</v>
      </c>
      <c r="H642" s="7" t="str">
        <f>HYPERLINK("http://www.ensembl.org/Mus_musculus/Gene/Summary?db=core;g=ENSMUSG00000031779","ENSMUSG00000031779")</f>
        <v>ENSMUSG00000031779</v>
      </c>
      <c r="I642" s="7" t="str">
        <f>HYPERLINK("http://www.informatics.jax.org/marker/MGI:1306779","MGI:1306779")</f>
        <v>MGI:1306779</v>
      </c>
      <c r="J642" s="4" t="s">
        <v>12</v>
      </c>
    </row>
    <row r="643" spans="1:10" x14ac:dyDescent="0.25">
      <c r="A643" s="2">
        <v>3745.24659511755</v>
      </c>
      <c r="B643" s="3">
        <v>1.3936125257338201</v>
      </c>
      <c r="C643" s="5">
        <v>9.2940537360449604E-79</v>
      </c>
      <c r="D643" s="6">
        <v>8.5981791542852398E-77</v>
      </c>
      <c r="E643" s="3" t="s">
        <v>312</v>
      </c>
      <c r="F643" s="3" t="s">
        <v>313</v>
      </c>
      <c r="G643" s="3">
        <v>15163</v>
      </c>
      <c r="H643" s="7" t="str">
        <f>HYPERLINK("http://www.ensembl.org/Mus_musculus/Gene/Summary?db=core;g=ENSMUSG00000022831","ENSMUSG00000022831")</f>
        <v>ENSMUSG00000022831</v>
      </c>
      <c r="I643" s="7" t="str">
        <f>HYPERLINK("http://www.informatics.jax.org/marker/MGI:104568","MGI:104568")</f>
        <v>MGI:104568</v>
      </c>
      <c r="J643" s="4" t="s">
        <v>12</v>
      </c>
    </row>
    <row r="644" spans="1:10" x14ac:dyDescent="0.25">
      <c r="A644" s="2">
        <v>240.470243359542</v>
      </c>
      <c r="B644" s="3">
        <v>1.39356206924097</v>
      </c>
      <c r="C644" s="5">
        <v>9.7202109616163099E-55</v>
      </c>
      <c r="D644" s="6">
        <v>5.1497338597516696E-53</v>
      </c>
      <c r="E644" s="3" t="s">
        <v>702</v>
      </c>
      <c r="F644" s="3" t="s">
        <v>703</v>
      </c>
      <c r="G644" s="3">
        <v>68262</v>
      </c>
      <c r="H644" s="7" t="str">
        <f>HYPERLINK("http://www.ensembl.org/Mus_musculus/Gene/Summary?db=core;g=ENSMUSG00000023827","ENSMUSG00000023827")</f>
        <v>ENSMUSG00000023827</v>
      </c>
      <c r="I644" s="7" t="str">
        <f>HYPERLINK("http://www.informatics.jax.org/marker/MGI:1915512","MGI:1915512")</f>
        <v>MGI:1915512</v>
      </c>
      <c r="J644" s="4" t="s">
        <v>12</v>
      </c>
    </row>
    <row r="645" spans="1:10" x14ac:dyDescent="0.25">
      <c r="A645" s="2">
        <v>2.91316722489052</v>
      </c>
      <c r="B645" s="3">
        <v>1.39207109788577</v>
      </c>
      <c r="C645" s="3">
        <v>3.0753306685394901E-3</v>
      </c>
      <c r="D645" s="4">
        <v>9.7187274898790001E-3</v>
      </c>
      <c r="E645" s="3" t="s">
        <v>9037</v>
      </c>
      <c r="F645" s="3" t="s">
        <v>9038</v>
      </c>
      <c r="G645" s="3" t="s">
        <v>83</v>
      </c>
      <c r="H645" s="7" t="str">
        <f>HYPERLINK("http://www.ensembl.org/Mus_musculus/Gene/Summary?db=core;g=ENSMUSG00000086196","ENSMUSG00000086196")</f>
        <v>ENSMUSG00000086196</v>
      </c>
      <c r="I645" s="7" t="str">
        <f>HYPERLINK("http://www.informatics.jax.org/marker/MGI:3652223","MGI:3652223")</f>
        <v>MGI:3652223</v>
      </c>
      <c r="J645" s="4" t="s">
        <v>932</v>
      </c>
    </row>
    <row r="646" spans="1:10" x14ac:dyDescent="0.25">
      <c r="A646" s="2">
        <v>50.228294319840302</v>
      </c>
      <c r="B646" s="3">
        <v>1.3906289835993699</v>
      </c>
      <c r="C646" s="5">
        <v>1.90171570686843E-6</v>
      </c>
      <c r="D646" s="6">
        <v>1.02238255922351E-5</v>
      </c>
      <c r="E646" s="3" t="s">
        <v>4939</v>
      </c>
      <c r="F646" s="3" t="s">
        <v>4940</v>
      </c>
      <c r="G646" s="3">
        <v>77579</v>
      </c>
      <c r="H646" s="7" t="str">
        <f>HYPERLINK("http://www.ensembl.org/Mus_musculus/Gene/Summary?db=core;g=ENSMUSG00000020900","ENSMUSG00000020900")</f>
        <v>ENSMUSG00000020900</v>
      </c>
      <c r="I646" s="7" t="str">
        <f>HYPERLINK("http://www.informatics.jax.org/marker/MGI:1930780","MGI:1930780")</f>
        <v>MGI:1930780</v>
      </c>
      <c r="J646" s="4" t="s">
        <v>12</v>
      </c>
    </row>
    <row r="647" spans="1:10" x14ac:dyDescent="0.25">
      <c r="A647" s="2">
        <v>1736.1464661742</v>
      </c>
      <c r="B647" s="3">
        <v>1.3901118842268601</v>
      </c>
      <c r="C647" s="5">
        <v>4.9215549930701496E-84</v>
      </c>
      <c r="D647" s="6">
        <v>5.1847017195782299E-82</v>
      </c>
      <c r="E647" s="3" t="s">
        <v>362</v>
      </c>
      <c r="F647" s="3" t="s">
        <v>363</v>
      </c>
      <c r="G647" s="3">
        <v>66878</v>
      </c>
      <c r="H647" s="7" t="str">
        <f>HYPERLINK("http://www.ensembl.org/Mus_musculus/Gene/Summary?db=core;g=ENSMUSG00000024404","ENSMUSG00000024404")</f>
        <v>ENSMUSG00000024404</v>
      </c>
      <c r="I647" s="7" t="str">
        <f>HYPERLINK("http://www.informatics.jax.org/marker/MGI:1914128","MGI:1914128")</f>
        <v>MGI:1914128</v>
      </c>
      <c r="J647" s="4" t="s">
        <v>12</v>
      </c>
    </row>
    <row r="648" spans="1:10" x14ac:dyDescent="0.25">
      <c r="A648" s="2">
        <v>105.196965838884</v>
      </c>
      <c r="B648" s="3">
        <v>1.3900652523626</v>
      </c>
      <c r="C648" s="5">
        <v>6.0907684416104706E-14</v>
      </c>
      <c r="D648" s="6">
        <v>6.6829774141090196E-13</v>
      </c>
      <c r="E648" s="3" t="s">
        <v>2441</v>
      </c>
      <c r="F648" s="3" t="s">
        <v>2442</v>
      </c>
      <c r="G648" s="3">
        <v>107607</v>
      </c>
      <c r="H648" s="7" t="str">
        <f>HYPERLINK("http://www.ensembl.org/Mus_musculus/Gene/Summary?db=core;g=ENSMUSG00000038058","ENSMUSG00000038058")</f>
        <v>ENSMUSG00000038058</v>
      </c>
      <c r="I648" s="7" t="str">
        <f>HYPERLINK("http://www.informatics.jax.org/marker/MGI:1341839","MGI:1341839")</f>
        <v>MGI:1341839</v>
      </c>
      <c r="J648" s="4" t="s">
        <v>12</v>
      </c>
    </row>
    <row r="649" spans="1:10" x14ac:dyDescent="0.25">
      <c r="A649" s="2">
        <v>35.571167763773403</v>
      </c>
      <c r="B649" s="3">
        <v>1.3897897818510101</v>
      </c>
      <c r="C649" s="5">
        <v>1.6767688007661101E-9</v>
      </c>
      <c r="D649" s="6">
        <v>1.2717066747383401E-8</v>
      </c>
      <c r="E649" s="3" t="s">
        <v>6141</v>
      </c>
      <c r="F649" s="3" t="s">
        <v>6142</v>
      </c>
      <c r="G649" s="3" t="s">
        <v>83</v>
      </c>
      <c r="H649" s="7" t="str">
        <f>HYPERLINK("http://www.ensembl.org/Mus_musculus/Gene/Summary?db=core;g=ENSMUSG00000113769","ENSMUSG00000113769")</f>
        <v>ENSMUSG00000113769</v>
      </c>
      <c r="I649" s="7" t="str">
        <f>HYPERLINK("http://www.informatics.jax.org/marker/MGI:1923205","MGI:1923205")</f>
        <v>MGI:1923205</v>
      </c>
      <c r="J649" s="4" t="s">
        <v>939</v>
      </c>
    </row>
    <row r="650" spans="1:10" x14ac:dyDescent="0.25">
      <c r="A650" s="2">
        <v>33.579344066375398</v>
      </c>
      <c r="B650" s="3">
        <v>1.3889677789850501</v>
      </c>
      <c r="C650" s="5">
        <v>1.7059097349774099E-5</v>
      </c>
      <c r="D650" s="6">
        <v>8.0565444208249203E-5</v>
      </c>
      <c r="E650" s="3" t="s">
        <v>9941</v>
      </c>
      <c r="F650" s="3" t="s">
        <v>9942</v>
      </c>
      <c r="G650" s="3">
        <v>238377</v>
      </c>
      <c r="H650" s="7" t="str">
        <f>HYPERLINK("http://www.ensembl.org/Mus_musculus/Gene/Summary?db=core;g=ENSMUSG00000047415","ENSMUSG00000047415")</f>
        <v>ENSMUSG00000047415</v>
      </c>
      <c r="I650" s="7" t="str">
        <f>HYPERLINK("http://www.informatics.jax.org/marker/MGI:2441763","MGI:2441763")</f>
        <v>MGI:2441763</v>
      </c>
      <c r="J650" s="4" t="s">
        <v>12</v>
      </c>
    </row>
    <row r="651" spans="1:10" x14ac:dyDescent="0.25">
      <c r="A651" s="2">
        <v>38.190560610475103</v>
      </c>
      <c r="B651" s="3">
        <v>1.38752509766334</v>
      </c>
      <c r="C651" s="5">
        <v>1.2811347897277E-7</v>
      </c>
      <c r="D651" s="6">
        <v>7.9255538162889801E-7</v>
      </c>
      <c r="E651" s="3" t="s">
        <v>8785</v>
      </c>
      <c r="F651" s="3" t="s">
        <v>8786</v>
      </c>
      <c r="G651" s="3" t="s">
        <v>83</v>
      </c>
      <c r="H651" s="7" t="str">
        <f>HYPERLINK("http://www.ensembl.org/Mus_musculus/Gene/Summary?db=core;g=ENSMUSG00000114055","ENSMUSG00000114055")</f>
        <v>ENSMUSG00000114055</v>
      </c>
      <c r="I651" s="7" t="str">
        <f>HYPERLINK("http://www.informatics.jax.org/marker/MGI:5591248","MGI:5591248")</f>
        <v>MGI:5591248</v>
      </c>
      <c r="J651" s="4" t="s">
        <v>939</v>
      </c>
    </row>
    <row r="652" spans="1:10" x14ac:dyDescent="0.25">
      <c r="A652" s="2">
        <v>8.2604094693490993</v>
      </c>
      <c r="B652" s="3">
        <v>1.3861231822770199</v>
      </c>
      <c r="C652" s="3">
        <v>2.20091142315955E-4</v>
      </c>
      <c r="D652" s="4">
        <v>8.6802879651769703E-4</v>
      </c>
      <c r="E652" s="3" t="s">
        <v>10758</v>
      </c>
      <c r="F652" s="3" t="s">
        <v>10759</v>
      </c>
      <c r="G652" s="3">
        <v>77352</v>
      </c>
      <c r="H652" s="7" t="str">
        <f>HYPERLINK("http://www.ensembl.org/Mus_musculus/Gene/Summary?db=core;g=ENSMUSG00000026601","ENSMUSG00000026601")</f>
        <v>ENSMUSG00000026601</v>
      </c>
      <c r="I652" s="7" t="str">
        <f>HYPERLINK("http://www.informatics.jax.org/marker/MGI:1924602","MGI:1924602")</f>
        <v>MGI:1924602</v>
      </c>
      <c r="J652" s="4" t="s">
        <v>12</v>
      </c>
    </row>
    <row r="653" spans="1:10" x14ac:dyDescent="0.25">
      <c r="A653" s="2">
        <v>3158.95245331674</v>
      </c>
      <c r="B653" s="3">
        <v>1.38529141935876</v>
      </c>
      <c r="C653" s="5">
        <v>2.3533730923698999E-83</v>
      </c>
      <c r="D653" s="6">
        <v>2.4508699776252201E-81</v>
      </c>
      <c r="E653" s="3" t="s">
        <v>694</v>
      </c>
      <c r="F653" s="3" t="s">
        <v>695</v>
      </c>
      <c r="G653" s="3">
        <v>75547</v>
      </c>
      <c r="H653" s="7" t="str">
        <f>HYPERLINK("http://www.ensembl.org/Mus_musculus/Gene/Summary?db=core;g=ENSMUSG00000066406","ENSMUSG00000066406")</f>
        <v>ENSMUSG00000066406</v>
      </c>
      <c r="I653" s="7" t="str">
        <f>HYPERLINK("http://www.informatics.jax.org/marker/MGI:2676556","MGI:2676556")</f>
        <v>MGI:2676556</v>
      </c>
      <c r="J653" s="4" t="s">
        <v>12</v>
      </c>
    </row>
    <row r="654" spans="1:10" x14ac:dyDescent="0.25">
      <c r="A654" s="2">
        <v>4.2616558701408396</v>
      </c>
      <c r="B654" s="3">
        <v>1.3845385297656601</v>
      </c>
      <c r="C654" s="3">
        <v>2.7678979751226099E-3</v>
      </c>
      <c r="D654" s="4">
        <v>8.8624280738948506E-3</v>
      </c>
      <c r="E654" s="3" t="s">
        <v>7074</v>
      </c>
      <c r="F654" s="3" t="s">
        <v>7075</v>
      </c>
      <c r="G654" s="3" t="s">
        <v>83</v>
      </c>
      <c r="H654" s="7" t="str">
        <f>HYPERLINK("http://www.ensembl.org/Mus_musculus/Gene/Summary?db=core;g=ENSMUSG00000118342","ENSMUSG00000118342")</f>
        <v>ENSMUSG00000118342</v>
      </c>
      <c r="I654" s="7" t="str">
        <f>HYPERLINK("http://www.informatics.jax.org/marker/MGI:6303075","MGI:6303075")</f>
        <v>MGI:6303075</v>
      </c>
      <c r="J654" s="4" t="s">
        <v>939</v>
      </c>
    </row>
    <row r="655" spans="1:10" x14ac:dyDescent="0.25">
      <c r="A655" s="2">
        <v>23.561604955322998</v>
      </c>
      <c r="B655" s="3">
        <v>1.3782746013047</v>
      </c>
      <c r="C655" s="5">
        <v>1.2347911213734899E-5</v>
      </c>
      <c r="D655" s="6">
        <v>5.9566667458122503E-5</v>
      </c>
      <c r="E655" s="3" t="s">
        <v>10946</v>
      </c>
      <c r="F655" s="3" t="s">
        <v>10947</v>
      </c>
      <c r="G655" s="3" t="s">
        <v>83</v>
      </c>
      <c r="H655" s="7" t="str">
        <f>HYPERLINK("http://www.ensembl.org/Mus_musculus/Gene/Summary?db=core;g=ENSMUSG00000097960","ENSMUSG00000097960")</f>
        <v>ENSMUSG00000097960</v>
      </c>
      <c r="I655" s="7" t="str">
        <f>HYPERLINK("http://www.informatics.jax.org/marker/MGI:3045392","MGI:3045392")</f>
        <v>MGI:3045392</v>
      </c>
      <c r="J655" s="4" t="s">
        <v>939</v>
      </c>
    </row>
    <row r="656" spans="1:10" x14ac:dyDescent="0.25">
      <c r="A656" s="2">
        <v>59.120780710466903</v>
      </c>
      <c r="B656" s="3">
        <v>1.3776637599602399</v>
      </c>
      <c r="C656" s="5">
        <v>6.0621789707221003E-12</v>
      </c>
      <c r="D656" s="6">
        <v>5.7245187430782502E-11</v>
      </c>
      <c r="E656" s="3" t="s">
        <v>4469</v>
      </c>
      <c r="F656" s="3" t="s">
        <v>4470</v>
      </c>
      <c r="G656" s="3">
        <v>226098</v>
      </c>
      <c r="H656" s="7" t="str">
        <f>HYPERLINK("http://www.ensembl.org/Mus_musculus/Gene/Summary?db=core;g=ENSMUSG00000041180","ENSMUSG00000041180")</f>
        <v>ENSMUSG00000041180</v>
      </c>
      <c r="I656" s="7" t="str">
        <f>HYPERLINK("http://www.informatics.jax.org/marker/MGI:2442663","MGI:2442663")</f>
        <v>MGI:2442663</v>
      </c>
      <c r="J656" s="4" t="s">
        <v>12</v>
      </c>
    </row>
    <row r="657" spans="1:10" x14ac:dyDescent="0.25">
      <c r="A657" s="2">
        <v>1.4416603084980599</v>
      </c>
      <c r="B657" s="3">
        <v>1.3773123785749899</v>
      </c>
      <c r="C657" s="3">
        <v>2.9425320379284502E-3</v>
      </c>
      <c r="D657" s="4">
        <v>9.3460520026570192E-3</v>
      </c>
      <c r="E657" s="3" t="s">
        <v>12003</v>
      </c>
      <c r="F657" s="3" t="s">
        <v>12004</v>
      </c>
      <c r="G657" s="3">
        <v>232313</v>
      </c>
      <c r="H657" s="7" t="str">
        <f>HYPERLINK("http://www.ensembl.org/Mus_musculus/Gene/Summary?db=core;g=ENSMUSG00000030074","ENSMUSG00000030074")</f>
        <v>ENSMUSG00000030074</v>
      </c>
      <c r="I657" s="7" t="str">
        <f>HYPERLINK("http://www.informatics.jax.org/marker/MGI:2682940","MGI:2682940")</f>
        <v>MGI:2682940</v>
      </c>
      <c r="J657" s="4" t="s">
        <v>12</v>
      </c>
    </row>
    <row r="658" spans="1:10" x14ac:dyDescent="0.25">
      <c r="A658" s="2">
        <v>5.9693421981689596</v>
      </c>
      <c r="B658" s="3">
        <v>1.37453041884623</v>
      </c>
      <c r="C658" s="3">
        <v>1.51995963452887E-3</v>
      </c>
      <c r="D658" s="4">
        <v>5.1681463319568502E-3</v>
      </c>
      <c r="E658" s="3" t="s">
        <v>9605</v>
      </c>
      <c r="F658" s="3" t="s">
        <v>9606</v>
      </c>
      <c r="G658" s="3" t="s">
        <v>83</v>
      </c>
      <c r="H658" s="7" t="str">
        <f>HYPERLINK("http://www.ensembl.org/Mus_musculus/Gene/Summary?db=core;g=ENSMUSG00000113679","ENSMUSG00000113679")</f>
        <v>ENSMUSG00000113679</v>
      </c>
      <c r="I658" s="7" t="str">
        <f>HYPERLINK("http://www.informatics.jax.org/marker/MGI:3642011","MGI:3642011")</f>
        <v>MGI:3642011</v>
      </c>
      <c r="J658" s="4" t="s">
        <v>331</v>
      </c>
    </row>
    <row r="659" spans="1:10" x14ac:dyDescent="0.25">
      <c r="A659" s="2">
        <v>518.44578939115399</v>
      </c>
      <c r="B659" s="3">
        <v>1.37226708672248</v>
      </c>
      <c r="C659" s="5">
        <v>1.5234257993205E-41</v>
      </c>
      <c r="D659" s="6">
        <v>5.6203310106510297E-40</v>
      </c>
      <c r="E659" s="3" t="s">
        <v>1150</v>
      </c>
      <c r="F659" s="3" t="s">
        <v>1151</v>
      </c>
      <c r="G659" s="3">
        <v>54397</v>
      </c>
      <c r="H659" s="7" t="str">
        <f>HYPERLINK("http://www.ensembl.org/Mus_musculus/Gene/Summary?db=core;g=ENSMUSG00000015474","ENSMUSG00000015474")</f>
        <v>ENSMUSG00000015474</v>
      </c>
      <c r="I659" s="7" t="str">
        <f>HYPERLINK("http://www.informatics.jax.org/marker/MGI:1860075","MGI:1860075")</f>
        <v>MGI:1860075</v>
      </c>
      <c r="J659" s="4" t="s">
        <v>12</v>
      </c>
    </row>
    <row r="660" spans="1:10" x14ac:dyDescent="0.25">
      <c r="A660" s="2">
        <v>2.29275276809499</v>
      </c>
      <c r="B660" s="3">
        <v>1.3722548015984699</v>
      </c>
      <c r="C660" s="3">
        <v>3.4471453546781202E-3</v>
      </c>
      <c r="D660" s="4">
        <v>1.07776286365798E-2</v>
      </c>
      <c r="E660" s="3" t="s">
        <v>8701</v>
      </c>
      <c r="F660" s="3" t="s">
        <v>8702</v>
      </c>
      <c r="G660" s="3">
        <v>24046</v>
      </c>
      <c r="H660" s="7" t="str">
        <f>HYPERLINK("http://www.ensembl.org/Mus_musculus/Gene/Summary?db=core;g=ENSMUSG00000034115","ENSMUSG00000034115")</f>
        <v>ENSMUSG00000034115</v>
      </c>
      <c r="I660" s="7" t="str">
        <f>HYPERLINK("http://www.informatics.jax.org/marker/MGI:1345149","MGI:1345149")</f>
        <v>MGI:1345149</v>
      </c>
      <c r="J660" s="4" t="s">
        <v>12</v>
      </c>
    </row>
    <row r="661" spans="1:10" x14ac:dyDescent="0.25">
      <c r="A661" s="2">
        <v>865.67254300970797</v>
      </c>
      <c r="B661" s="3">
        <v>1.3709969533989199</v>
      </c>
      <c r="C661" s="5">
        <v>1.63591018126775E-41</v>
      </c>
      <c r="D661" s="6">
        <v>6.0109804543557898E-40</v>
      </c>
      <c r="E661" s="3" t="s">
        <v>496</v>
      </c>
      <c r="F661" s="3" t="s">
        <v>497</v>
      </c>
      <c r="G661" s="3">
        <v>235610</v>
      </c>
      <c r="H661" s="7" t="str">
        <f>HYPERLINK("http://www.ensembl.org/Mus_musculus/Gene/Summary?db=core;g=ENSMUSG00000025646","ENSMUSG00000025646")</f>
        <v>ENSMUSG00000025646</v>
      </c>
      <c r="I661" s="7" t="str">
        <f>HYPERLINK("http://www.informatics.jax.org/marker/MGI:1925349","MGI:1925349")</f>
        <v>MGI:1925349</v>
      </c>
      <c r="J661" s="4" t="s">
        <v>12</v>
      </c>
    </row>
    <row r="662" spans="1:10" x14ac:dyDescent="0.25">
      <c r="A662" s="2">
        <v>49.402877947861299</v>
      </c>
      <c r="B662" s="3">
        <v>1.3701889467397901</v>
      </c>
      <c r="C662" s="5">
        <v>3.2374837339817201E-9</v>
      </c>
      <c r="D662" s="6">
        <v>2.3858932896003601E-8</v>
      </c>
      <c r="E662" s="3" t="s">
        <v>3270</v>
      </c>
      <c r="F662" s="3" t="s">
        <v>3271</v>
      </c>
      <c r="G662" s="3">
        <v>69217</v>
      </c>
      <c r="H662" s="7" t="str">
        <f>HYPERLINK("http://www.ensembl.org/Mus_musculus/Gene/Summary?db=core;g=ENSMUSG00000040428","ENSMUSG00000040428")</f>
        <v>ENSMUSG00000040428</v>
      </c>
      <c r="I662" s="7" t="str">
        <f>HYPERLINK("http://www.informatics.jax.org/marker/MGI:1916467","MGI:1916467")</f>
        <v>MGI:1916467</v>
      </c>
      <c r="J662" s="4" t="s">
        <v>12</v>
      </c>
    </row>
    <row r="663" spans="1:10" x14ac:dyDescent="0.25">
      <c r="A663" s="2">
        <v>2.72188014193725</v>
      </c>
      <c r="B663" s="3">
        <v>1.3697718245011501</v>
      </c>
      <c r="C663" s="3">
        <v>3.4781970755224799E-3</v>
      </c>
      <c r="D663" s="4">
        <v>1.0865639647137E-2</v>
      </c>
      <c r="E663" s="3" t="s">
        <v>8937</v>
      </c>
      <c r="F663" s="3" t="s">
        <v>8938</v>
      </c>
      <c r="G663" s="3" t="s">
        <v>83</v>
      </c>
      <c r="H663" s="7" t="str">
        <f>HYPERLINK("http://www.ensembl.org/Mus_musculus/Gene/Summary?db=core;g=ENSMUSG00000114163","ENSMUSG00000114163")</f>
        <v>ENSMUSG00000114163</v>
      </c>
      <c r="I663" s="7" t="str">
        <f>HYPERLINK("http://www.informatics.jax.org/marker/MGI:5591455","MGI:5591455")</f>
        <v>MGI:5591455</v>
      </c>
      <c r="J663" s="4" t="s">
        <v>939</v>
      </c>
    </row>
    <row r="664" spans="1:10" x14ac:dyDescent="0.25">
      <c r="A664" s="2">
        <v>1.68266201350101</v>
      </c>
      <c r="B664" s="3">
        <v>1.3697092889557501</v>
      </c>
      <c r="C664" s="3">
        <v>2.6749952798031402E-3</v>
      </c>
      <c r="D664" s="4">
        <v>8.5906236078259306E-3</v>
      </c>
      <c r="E664" s="3" t="s">
        <v>13477</v>
      </c>
      <c r="F664" s="3" t="s">
        <v>13478</v>
      </c>
      <c r="G664" s="3">
        <v>12835</v>
      </c>
      <c r="H664" s="7" t="str">
        <f>HYPERLINK("http://www.ensembl.org/Mus_musculus/Gene/Summary?db=core;g=ENSMUSG00000048126","ENSMUSG00000048126")</f>
        <v>ENSMUSG00000048126</v>
      </c>
      <c r="I664" s="7" t="str">
        <f>HYPERLINK("http://www.informatics.jax.org/marker/MGI:88461","MGI:88461")</f>
        <v>MGI:88461</v>
      </c>
      <c r="J664" s="4" t="s">
        <v>12</v>
      </c>
    </row>
    <row r="665" spans="1:10" x14ac:dyDescent="0.25">
      <c r="A665" s="2">
        <v>4.9994682068048402</v>
      </c>
      <c r="B665" s="3">
        <v>1.3692914132790599</v>
      </c>
      <c r="C665" s="3">
        <v>2.2690954332111302E-3</v>
      </c>
      <c r="D665" s="4">
        <v>7.41381575300695E-3</v>
      </c>
      <c r="E665" s="3" t="s">
        <v>12081</v>
      </c>
      <c r="F665" s="3" t="s">
        <v>12082</v>
      </c>
      <c r="G665" s="3">
        <v>71740</v>
      </c>
      <c r="H665" s="7" t="str">
        <f>HYPERLINK("http://www.ensembl.org/Mus_musculus/Gene/Summary?db=core;g=ENSMUSG00000006411","ENSMUSG00000006411")</f>
        <v>ENSMUSG00000006411</v>
      </c>
      <c r="I665" s="7" t="str">
        <f>HYPERLINK("http://www.informatics.jax.org/marker/MGI:1918990","MGI:1918990")</f>
        <v>MGI:1918990</v>
      </c>
      <c r="J665" s="4" t="s">
        <v>12</v>
      </c>
    </row>
    <row r="666" spans="1:10" x14ac:dyDescent="0.25">
      <c r="A666" s="2">
        <v>44.987920016128598</v>
      </c>
      <c r="B666" s="3">
        <v>1.3691364476605601</v>
      </c>
      <c r="C666" s="5">
        <v>1.0805175040990101E-8</v>
      </c>
      <c r="D666" s="6">
        <v>7.5018786713159505E-8</v>
      </c>
      <c r="E666" s="3" t="s">
        <v>6840</v>
      </c>
      <c r="F666" s="3" t="s">
        <v>6841</v>
      </c>
      <c r="G666" s="3" t="s">
        <v>83</v>
      </c>
      <c r="H666" s="7" t="str">
        <f>HYPERLINK("http://www.ensembl.org/Mus_musculus/Gene/Summary?db=core;g=ENSMUSG00000112843","ENSMUSG00000112843")</f>
        <v>ENSMUSG00000112843</v>
      </c>
      <c r="I666" s="7" t="str">
        <f>HYPERLINK("http://www.informatics.jax.org/marker/MGI:5825861","MGI:5825861")</f>
        <v>MGI:5825861</v>
      </c>
      <c r="J666" s="4" t="s">
        <v>939</v>
      </c>
    </row>
    <row r="667" spans="1:10" x14ac:dyDescent="0.25">
      <c r="A667" s="2">
        <v>3.19459952497182</v>
      </c>
      <c r="B667" s="3">
        <v>1.3641492362104299</v>
      </c>
      <c r="C667" s="3">
        <v>3.01073493369652E-3</v>
      </c>
      <c r="D667" s="4">
        <v>9.5377445101023795E-3</v>
      </c>
      <c r="E667" s="3" t="s">
        <v>11469</v>
      </c>
      <c r="F667" s="3" t="s">
        <v>11470</v>
      </c>
      <c r="G667" s="3" t="s">
        <v>83</v>
      </c>
      <c r="H667" s="7" t="str">
        <f>HYPERLINK("http://www.ensembl.org/Mus_musculus/Gene/Summary?db=core;g=ENSMUSG00000098419","ENSMUSG00000098419")</f>
        <v>ENSMUSG00000098419</v>
      </c>
      <c r="I667" s="7" t="str">
        <f>HYPERLINK("http://www.informatics.jax.org/marker/MGI:5531106","MGI:5531106")</f>
        <v>MGI:5531106</v>
      </c>
      <c r="J667" s="4" t="s">
        <v>6715</v>
      </c>
    </row>
    <row r="668" spans="1:10" x14ac:dyDescent="0.25">
      <c r="A668" s="2">
        <v>134.511575680276</v>
      </c>
      <c r="B668" s="3">
        <v>1.3637650678865301</v>
      </c>
      <c r="C668" s="5">
        <v>1.3144357730606901E-27</v>
      </c>
      <c r="D668" s="6">
        <v>2.9501960546836402E-26</v>
      </c>
      <c r="E668" s="3" t="s">
        <v>4361</v>
      </c>
      <c r="F668" s="3" t="s">
        <v>4362</v>
      </c>
      <c r="G668" s="3">
        <v>213484</v>
      </c>
      <c r="H668" s="7" t="str">
        <f>HYPERLINK("http://www.ensembl.org/Mus_musculus/Gene/Summary?db=core;g=ENSMUSG00000045211","ENSMUSG00000045211")</f>
        <v>ENSMUSG00000045211</v>
      </c>
      <c r="I668" s="7" t="str">
        <f>HYPERLINK("http://www.informatics.jax.org/marker/MGI:2385853","MGI:2385853")</f>
        <v>MGI:2385853</v>
      </c>
      <c r="J668" s="4" t="s">
        <v>12</v>
      </c>
    </row>
    <row r="669" spans="1:10" x14ac:dyDescent="0.25">
      <c r="A669" s="2">
        <v>150.16499834403601</v>
      </c>
      <c r="B669" s="3">
        <v>1.36325169710492</v>
      </c>
      <c r="C669" s="5">
        <v>1.8868242547399599E-17</v>
      </c>
      <c r="D669" s="6">
        <v>2.5719799583123298E-16</v>
      </c>
      <c r="E669" s="3" t="s">
        <v>4471</v>
      </c>
      <c r="F669" s="3" t="s">
        <v>4472</v>
      </c>
      <c r="G669" s="3">
        <v>14367</v>
      </c>
      <c r="H669" s="7" t="str">
        <f>HYPERLINK("http://www.ensembl.org/Mus_musculus/Gene/Summary?db=core;g=ENSMUSG00000045005","ENSMUSG00000045005")</f>
        <v>ENSMUSG00000045005</v>
      </c>
      <c r="I669" s="7" t="str">
        <f>HYPERLINK("http://www.informatics.jax.org/marker/MGI:108571","MGI:108571")</f>
        <v>MGI:108571</v>
      </c>
      <c r="J669" s="4" t="s">
        <v>12</v>
      </c>
    </row>
    <row r="670" spans="1:10" x14ac:dyDescent="0.25">
      <c r="A670" s="2">
        <v>1.50364369837679</v>
      </c>
      <c r="B670" s="3">
        <v>1.36230948206021</v>
      </c>
      <c r="C670" s="3">
        <v>2.9622144727783099E-3</v>
      </c>
      <c r="D670" s="4">
        <v>9.4003758952437306E-3</v>
      </c>
      <c r="E670" s="3" t="s">
        <v>13091</v>
      </c>
      <c r="F670" s="3" t="s">
        <v>13092</v>
      </c>
      <c r="G670" s="3" t="s">
        <v>83</v>
      </c>
      <c r="H670" s="7" t="str">
        <f>HYPERLINK("http://www.ensembl.org/Mus_musculus/Gene/Summary?db=core;g=ENSMUSG00000112963","ENSMUSG00000112963")</f>
        <v>ENSMUSG00000112963</v>
      </c>
      <c r="I670" s="7" t="str">
        <f>HYPERLINK("http://www.informatics.jax.org/marker/MGI:3648840","MGI:3648840")</f>
        <v>MGI:3648840</v>
      </c>
      <c r="J670" s="4" t="s">
        <v>939</v>
      </c>
    </row>
    <row r="671" spans="1:10" x14ac:dyDescent="0.25">
      <c r="A671" s="2">
        <v>104.19215376542699</v>
      </c>
      <c r="B671" s="3">
        <v>1.3587986052924701</v>
      </c>
      <c r="C671" s="5">
        <v>1.6875699926263001E-27</v>
      </c>
      <c r="D671" s="6">
        <v>3.7598976913953899E-26</v>
      </c>
      <c r="E671" s="3" t="s">
        <v>2746</v>
      </c>
      <c r="F671" s="3" t="s">
        <v>2747</v>
      </c>
      <c r="G671" s="3">
        <v>108811</v>
      </c>
      <c r="H671" s="7" t="str">
        <f>HYPERLINK("http://www.ensembl.org/Mus_musculus/Gene/Summary?db=core;g=ENSMUSG00000034795","ENSMUSG00000034795")</f>
        <v>ENSMUSG00000034795</v>
      </c>
      <c r="I671" s="7" t="str">
        <f>HYPERLINK("http://www.informatics.jax.org/marker/MGI:1918358","MGI:1918358")</f>
        <v>MGI:1918358</v>
      </c>
      <c r="J671" s="4" t="s">
        <v>12</v>
      </c>
    </row>
    <row r="672" spans="1:10" x14ac:dyDescent="0.25">
      <c r="A672" s="2">
        <v>520.14602504670199</v>
      </c>
      <c r="B672" s="3">
        <v>1.3566910595430599</v>
      </c>
      <c r="C672" s="5">
        <v>1.6353316489704601E-24</v>
      </c>
      <c r="D672" s="6">
        <v>3.1841794126588302E-23</v>
      </c>
      <c r="E672" s="3" t="s">
        <v>2423</v>
      </c>
      <c r="F672" s="3" t="s">
        <v>2424</v>
      </c>
      <c r="G672" s="3">
        <v>12273</v>
      </c>
      <c r="H672" s="7" t="str">
        <f>HYPERLINK("http://www.ensembl.org/Mus_musculus/Gene/Summary?db=core;g=ENSMUSG00000049130","ENSMUSG00000049130")</f>
        <v>ENSMUSG00000049130</v>
      </c>
      <c r="I672" s="7" t="str">
        <f>HYPERLINK("http://www.informatics.jax.org/marker/MGI:88232","MGI:88232")</f>
        <v>MGI:88232</v>
      </c>
      <c r="J672" s="4" t="s">
        <v>12</v>
      </c>
    </row>
    <row r="673" spans="1:10" x14ac:dyDescent="0.25">
      <c r="A673" s="2">
        <v>10.562393103711299</v>
      </c>
      <c r="B673" s="3">
        <v>1.3540272531794399</v>
      </c>
      <c r="C673" s="3">
        <v>2.8933194297222199E-4</v>
      </c>
      <c r="D673" s="4">
        <v>1.1157584978139499E-3</v>
      </c>
      <c r="E673" s="3" t="s">
        <v>12523</v>
      </c>
      <c r="F673" s="3" t="s">
        <v>12524</v>
      </c>
      <c r="G673" s="3" t="s">
        <v>83</v>
      </c>
      <c r="H673" s="7" t="str">
        <f>HYPERLINK("http://www.ensembl.org/Mus_musculus/Gene/Summary?db=core;g=ENSMUSG00000089525","ENSMUSG00000089525")</f>
        <v>ENSMUSG00000089525</v>
      </c>
      <c r="I673" s="7" t="str">
        <f>HYPERLINK("http://www.informatics.jax.org/marker/MGI:5453610","MGI:5453610")</f>
        <v>MGI:5453610</v>
      </c>
      <c r="J673" s="4" t="s">
        <v>9951</v>
      </c>
    </row>
    <row r="674" spans="1:10" x14ac:dyDescent="0.25">
      <c r="A674" s="2">
        <v>54.711966169674902</v>
      </c>
      <c r="B674" s="3">
        <v>1.3478743415249701</v>
      </c>
      <c r="C674" s="5">
        <v>3.3920613039607498E-16</v>
      </c>
      <c r="D674" s="6">
        <v>4.3230991094184996E-15</v>
      </c>
      <c r="E674" s="3" t="s">
        <v>5777</v>
      </c>
      <c r="F674" s="3" t="s">
        <v>5778</v>
      </c>
      <c r="G674" s="3">
        <v>29816</v>
      </c>
      <c r="H674" s="7" t="str">
        <f>HYPERLINK("http://www.ensembl.org/Mus_musculus/Gene/Summary?db=core;g=ENSMUSG00000000915","ENSMUSG00000000915")</f>
        <v>ENSMUSG00000000915</v>
      </c>
      <c r="I674" s="7" t="str">
        <f>HYPERLINK("http://www.informatics.jax.org/marker/MGI:1352504","MGI:1352504")</f>
        <v>MGI:1352504</v>
      </c>
      <c r="J674" s="4" t="s">
        <v>12</v>
      </c>
    </row>
    <row r="675" spans="1:10" x14ac:dyDescent="0.25">
      <c r="A675" s="2">
        <v>182.71644461298101</v>
      </c>
      <c r="B675" s="3">
        <v>1.3432117058075701</v>
      </c>
      <c r="C675" s="5">
        <v>4.8311602128857104E-13</v>
      </c>
      <c r="D675" s="6">
        <v>5.0141170204921499E-12</v>
      </c>
      <c r="E675" s="3" t="s">
        <v>4313</v>
      </c>
      <c r="F675" s="3" t="s">
        <v>4314</v>
      </c>
      <c r="G675" s="3">
        <v>58217</v>
      </c>
      <c r="H675" s="7" t="str">
        <f>HYPERLINK("http://www.ensembl.org/Mus_musculus/Gene/Summary?db=core;g=ENSMUSG00000042265","ENSMUSG00000042265")</f>
        <v>ENSMUSG00000042265</v>
      </c>
      <c r="I675" s="7" t="str">
        <f>HYPERLINK("http://www.informatics.jax.org/marker/MGI:1930005","MGI:1930005")</f>
        <v>MGI:1930005</v>
      </c>
      <c r="J675" s="4" t="s">
        <v>12</v>
      </c>
    </row>
    <row r="676" spans="1:10" x14ac:dyDescent="0.25">
      <c r="A676" s="2">
        <v>4.4992689908269901</v>
      </c>
      <c r="B676" s="3">
        <v>1.3424735639538901</v>
      </c>
      <c r="C676" s="3">
        <v>1.0909293894215001E-3</v>
      </c>
      <c r="D676" s="4">
        <v>3.8183576190141998E-3</v>
      </c>
      <c r="E676" s="3" t="s">
        <v>12145</v>
      </c>
      <c r="F676" s="3" t="s">
        <v>12146</v>
      </c>
      <c r="G676" s="3">
        <v>384009</v>
      </c>
      <c r="H676" s="7" t="str">
        <f>HYPERLINK("http://www.ensembl.org/Mus_musculus/Gene/Summary?db=core;g=ENSMUSG00000028480","ENSMUSG00000028480")</f>
        <v>ENSMUSG00000028480</v>
      </c>
      <c r="I676" s="7" t="str">
        <f>HYPERLINK("http://www.informatics.jax.org/marker/MGI:1917770","MGI:1917770")</f>
        <v>MGI:1917770</v>
      </c>
      <c r="J676" s="4" t="s">
        <v>12</v>
      </c>
    </row>
    <row r="677" spans="1:10" x14ac:dyDescent="0.25">
      <c r="A677" s="2">
        <v>131.67664958052299</v>
      </c>
      <c r="B677" s="3">
        <v>1.3402754403703101</v>
      </c>
      <c r="C677" s="5">
        <v>2.3562170608773801E-21</v>
      </c>
      <c r="D677" s="6">
        <v>3.9432558250220698E-20</v>
      </c>
      <c r="E677" s="3" t="s">
        <v>2665</v>
      </c>
      <c r="F677" s="3" t="s">
        <v>2666</v>
      </c>
      <c r="G677" s="3">
        <v>214106</v>
      </c>
      <c r="H677" s="7" t="str">
        <f>HYPERLINK("http://www.ensembl.org/Mus_musculus/Gene/Summary?db=core;g=ENSMUSG00000058046","ENSMUSG00000058046")</f>
        <v>ENSMUSG00000058046</v>
      </c>
      <c r="I677" s="7" t="str">
        <f>HYPERLINK("http://www.informatics.jax.org/marker/MGI:3045314","MGI:3045314")</f>
        <v>MGI:3045314</v>
      </c>
      <c r="J677" s="4" t="s">
        <v>12</v>
      </c>
    </row>
    <row r="678" spans="1:10" x14ac:dyDescent="0.25">
      <c r="A678" s="2">
        <v>796.37242321341205</v>
      </c>
      <c r="B678" s="3">
        <v>1.3401960986977099</v>
      </c>
      <c r="C678" s="5">
        <v>6.1424251325996705E-7</v>
      </c>
      <c r="D678" s="6">
        <v>3.4939356442456E-6</v>
      </c>
      <c r="E678" s="3" t="s">
        <v>10626</v>
      </c>
      <c r="F678" s="3" t="s">
        <v>10627</v>
      </c>
      <c r="G678" s="3">
        <v>230784</v>
      </c>
      <c r="H678" s="7" t="str">
        <f>HYPERLINK("http://www.ensembl.org/Mus_musculus/Gene/Summary?db=core;g=ENSMUSG00000028893","ENSMUSG00000028893")</f>
        <v>ENSMUSG00000028893</v>
      </c>
      <c r="I678" s="7" t="str">
        <f>HYPERLINK("http://www.informatics.jax.org/marker/MGI:2651874","MGI:2651874")</f>
        <v>MGI:2651874</v>
      </c>
      <c r="J678" s="4" t="s">
        <v>12</v>
      </c>
    </row>
    <row r="679" spans="1:10" x14ac:dyDescent="0.25">
      <c r="A679" s="2">
        <v>97.300504829903701</v>
      </c>
      <c r="B679" s="3">
        <v>1.3384733859728299</v>
      </c>
      <c r="C679" s="5">
        <v>8.4654514515808007E-18</v>
      </c>
      <c r="D679" s="6">
        <v>1.1795325130356299E-16</v>
      </c>
      <c r="E679" s="3" t="s">
        <v>4335</v>
      </c>
      <c r="F679" s="3" t="s">
        <v>4336</v>
      </c>
      <c r="G679" s="3">
        <v>67933</v>
      </c>
      <c r="H679" s="7" t="str">
        <f>HYPERLINK("http://www.ensembl.org/Mus_musculus/Gene/Summary?db=core;g=ENSMUSG00000020246","ENSMUSG00000020246")</f>
        <v>ENSMUSG00000020246</v>
      </c>
      <c r="I679" s="7" t="str">
        <f>HYPERLINK("http://www.informatics.jax.org/marker/MGI:1915183","MGI:1915183")</f>
        <v>MGI:1915183</v>
      </c>
      <c r="J679" s="4" t="s">
        <v>12</v>
      </c>
    </row>
    <row r="680" spans="1:10" x14ac:dyDescent="0.25">
      <c r="A680" s="2">
        <v>880.12745152298601</v>
      </c>
      <c r="B680" s="3">
        <v>1.33785607332612</v>
      </c>
      <c r="C680" s="5">
        <v>7.5934703046944003E-26</v>
      </c>
      <c r="D680" s="6">
        <v>1.5816113863206299E-24</v>
      </c>
      <c r="E680" s="3" t="s">
        <v>3151</v>
      </c>
      <c r="F680" s="3" t="s">
        <v>3152</v>
      </c>
      <c r="G680" s="3">
        <v>11770</v>
      </c>
      <c r="H680" s="7" t="str">
        <f>HYPERLINK("http://www.ensembl.org/Mus_musculus/Gene/Summary?db=core;g=ENSMUSG00000062515","ENSMUSG00000062515")</f>
        <v>ENSMUSG00000062515</v>
      </c>
      <c r="I680" s="7" t="str">
        <f>HYPERLINK("http://www.informatics.jax.org/marker/MGI:88038","MGI:88038")</f>
        <v>MGI:88038</v>
      </c>
      <c r="J680" s="4" t="s">
        <v>12</v>
      </c>
    </row>
    <row r="681" spans="1:10" x14ac:dyDescent="0.25">
      <c r="A681" s="2">
        <v>460.34332834512099</v>
      </c>
      <c r="B681" s="3">
        <v>1.3326107435161101</v>
      </c>
      <c r="C681" s="5">
        <v>1.1456653782257901E-18</v>
      </c>
      <c r="D681" s="6">
        <v>1.6770884753546199E-17</v>
      </c>
      <c r="E681" s="3" t="s">
        <v>5055</v>
      </c>
      <c r="F681" s="3" t="s">
        <v>5056</v>
      </c>
      <c r="G681" s="3">
        <v>99696</v>
      </c>
      <c r="H681" s="7" t="str">
        <f>HYPERLINK("http://www.ensembl.org/Mus_musculus/Gene/Summary?db=core;g=ENSMUSG00000044864","ENSMUSG00000044864")</f>
        <v>ENSMUSG00000044864</v>
      </c>
      <c r="I681" s="7" t="str">
        <f>HYPERLINK("http://www.informatics.jax.org/marker/MGI:2139777","MGI:2139777")</f>
        <v>MGI:2139777</v>
      </c>
      <c r="J681" s="4" t="s">
        <v>12</v>
      </c>
    </row>
    <row r="682" spans="1:10" x14ac:dyDescent="0.25">
      <c r="A682" s="2">
        <v>13.6425389225051</v>
      </c>
      <c r="B682" s="3">
        <v>1.33259866560914</v>
      </c>
      <c r="C682" s="5">
        <v>5.5836723915840198E-6</v>
      </c>
      <c r="D682" s="6">
        <v>2.83145323696769E-5</v>
      </c>
      <c r="E682" s="3" t="s">
        <v>12185</v>
      </c>
      <c r="F682" s="3" t="s">
        <v>12186</v>
      </c>
      <c r="G682" s="3" t="s">
        <v>83</v>
      </c>
      <c r="H682" s="7" t="str">
        <f>HYPERLINK("http://www.ensembl.org/Mus_musculus/Gene/Summary?db=core;g=ENSMUSG00000117401","ENSMUSG00000117401")</f>
        <v>ENSMUSG00000117401</v>
      </c>
      <c r="I682" s="7" t="str">
        <f>HYPERLINK("http://www.informatics.jax.org/marker/MGI:1921165","MGI:1921165")</f>
        <v>MGI:1921165</v>
      </c>
      <c r="J682" s="4" t="s">
        <v>939</v>
      </c>
    </row>
    <row r="683" spans="1:10" x14ac:dyDescent="0.25">
      <c r="A683" s="2">
        <v>7.2661237700692798</v>
      </c>
      <c r="B683" s="3">
        <v>1.3315276501440001</v>
      </c>
      <c r="C683" s="3">
        <v>2.1354916315282E-4</v>
      </c>
      <c r="D683" s="4">
        <v>8.4460362379777502E-4</v>
      </c>
      <c r="E683" s="3" t="s">
        <v>13409</v>
      </c>
      <c r="F683" s="3" t="s">
        <v>13410</v>
      </c>
      <c r="G683" s="3" t="s">
        <v>83</v>
      </c>
      <c r="H683" s="7" t="str">
        <f>HYPERLINK("http://www.ensembl.org/Mus_musculus/Gene/Summary?db=core;g=ENSMUSG00000108122","ENSMUSG00000108122")</f>
        <v>ENSMUSG00000108122</v>
      </c>
      <c r="I683" s="7" t="str">
        <f>HYPERLINK("http://www.informatics.jax.org/marker/MGI:5690508","MGI:5690508")</f>
        <v>MGI:5690508</v>
      </c>
      <c r="J683" s="4" t="s">
        <v>1828</v>
      </c>
    </row>
    <row r="684" spans="1:10" x14ac:dyDescent="0.25">
      <c r="A684" s="2">
        <v>1597.1505549337901</v>
      </c>
      <c r="B684" s="3">
        <v>1.32627715387333</v>
      </c>
      <c r="C684" s="5">
        <v>4.0323141749153199E-121</v>
      </c>
      <c r="D684" s="6">
        <v>9.0727068935594705E-119</v>
      </c>
      <c r="E684" s="3" t="s">
        <v>354</v>
      </c>
      <c r="F684" s="3" t="s">
        <v>355</v>
      </c>
      <c r="G684" s="3">
        <v>239393</v>
      </c>
      <c r="H684" s="7" t="str">
        <f>HYPERLINK("http://www.ensembl.org/Mus_musculus/Gene/Summary?db=core;g=ENSMUSG00000022305","ENSMUSG00000022305")</f>
        <v>ENSMUSG00000022305</v>
      </c>
      <c r="I684" s="7" t="str">
        <f>HYPERLINK("http://www.informatics.jax.org/marker/MGI:2443132","MGI:2443132")</f>
        <v>MGI:2443132</v>
      </c>
      <c r="J684" s="4" t="s">
        <v>12</v>
      </c>
    </row>
    <row r="685" spans="1:10" x14ac:dyDescent="0.25">
      <c r="A685" s="2">
        <v>364.07610952736201</v>
      </c>
      <c r="B685" s="3">
        <v>1.3257769491475</v>
      </c>
      <c r="C685" s="5">
        <v>3.1108571871575202E-59</v>
      </c>
      <c r="D685" s="6">
        <v>1.8527899423511699E-57</v>
      </c>
      <c r="E685" s="3" t="s">
        <v>784</v>
      </c>
      <c r="F685" s="3" t="s">
        <v>785</v>
      </c>
      <c r="G685" s="3">
        <v>225849</v>
      </c>
      <c r="H685" s="7" t="str">
        <f>HYPERLINK("http://www.ensembl.org/Mus_musculus/Gene/Summary?db=core;g=ENSMUSG00000024777","ENSMUSG00000024777")</f>
        <v>ENSMUSG00000024777</v>
      </c>
      <c r="I685" s="7" t="str">
        <f>HYPERLINK("http://www.informatics.jax.org/marker/MGI:2388480","MGI:2388480")</f>
        <v>MGI:2388480</v>
      </c>
      <c r="J685" s="4" t="s">
        <v>12</v>
      </c>
    </row>
    <row r="686" spans="1:10" x14ac:dyDescent="0.25">
      <c r="A686" s="2">
        <v>58.134985981754497</v>
      </c>
      <c r="B686" s="3">
        <v>1.32509892235231</v>
      </c>
      <c r="C686" s="5">
        <v>7.0691834466004399E-6</v>
      </c>
      <c r="D686" s="6">
        <v>3.5345917233002199E-5</v>
      </c>
      <c r="E686" s="3" t="s">
        <v>4519</v>
      </c>
      <c r="F686" s="3" t="s">
        <v>4520</v>
      </c>
      <c r="G686" s="3">
        <v>73656</v>
      </c>
      <c r="H686" s="7" t="str">
        <f>HYPERLINK("http://www.ensembl.org/Mus_musculus/Gene/Summary?db=core;g=ENSMUSG00000079419","ENSMUSG00000079419")</f>
        <v>ENSMUSG00000079419</v>
      </c>
      <c r="I686" s="7" t="str">
        <f>HYPERLINK("http://www.informatics.jax.org/marker/MGI:2385644","MGI:2385644")</f>
        <v>MGI:2385644</v>
      </c>
      <c r="J686" s="4" t="s">
        <v>12</v>
      </c>
    </row>
    <row r="687" spans="1:10" x14ac:dyDescent="0.25">
      <c r="A687" s="2">
        <v>149.04313666787701</v>
      </c>
      <c r="B687" s="3">
        <v>1.3239188433664499</v>
      </c>
      <c r="C687" s="5">
        <v>1.11743900467027E-10</v>
      </c>
      <c r="D687" s="6">
        <v>9.4987527332628996E-10</v>
      </c>
      <c r="E687" s="3" t="s">
        <v>2617</v>
      </c>
      <c r="F687" s="3" t="s">
        <v>2618</v>
      </c>
      <c r="G687" s="3">
        <v>11541</v>
      </c>
      <c r="H687" s="7" t="str">
        <f>HYPERLINK("http://www.ensembl.org/Mus_musculus/Gene/Summary?db=core;g=ENSMUSG00000018500","ENSMUSG00000018500")</f>
        <v>ENSMUSG00000018500</v>
      </c>
      <c r="I687" s="7" t="str">
        <f>HYPERLINK("http://www.informatics.jax.org/marker/MGI:99403","MGI:99403")</f>
        <v>MGI:99403</v>
      </c>
      <c r="J687" s="4" t="s">
        <v>12</v>
      </c>
    </row>
    <row r="688" spans="1:10" x14ac:dyDescent="0.25">
      <c r="A688" s="2">
        <v>584.65542550323005</v>
      </c>
      <c r="B688" s="3">
        <v>1.3237222438881899</v>
      </c>
      <c r="C688" s="5">
        <v>1.1263973141668E-15</v>
      </c>
      <c r="D688" s="6">
        <v>1.38239670375016E-14</v>
      </c>
      <c r="E688" s="3" t="s">
        <v>1937</v>
      </c>
      <c r="F688" s="3" t="s">
        <v>1938</v>
      </c>
      <c r="G688" s="3">
        <v>16362</v>
      </c>
      <c r="H688" s="7" t="str">
        <f>HYPERLINK("http://www.ensembl.org/Mus_musculus/Gene/Summary?db=core;g=ENSMUSG00000018899","ENSMUSG00000018899")</f>
        <v>ENSMUSG00000018899</v>
      </c>
      <c r="I688" s="7" t="str">
        <f>HYPERLINK("http://www.informatics.jax.org/marker/MGI:96590","MGI:96590")</f>
        <v>MGI:96590</v>
      </c>
      <c r="J688" s="4" t="s">
        <v>12</v>
      </c>
    </row>
    <row r="689" spans="1:10" x14ac:dyDescent="0.25">
      <c r="A689" s="2">
        <v>476.312136080134</v>
      </c>
      <c r="B689" s="3">
        <v>1.3236251992852801</v>
      </c>
      <c r="C689" s="5">
        <v>1.59812524092775E-60</v>
      </c>
      <c r="D689" s="6">
        <v>9.9405571726649107E-59</v>
      </c>
      <c r="E689" s="3" t="s">
        <v>380</v>
      </c>
      <c r="F689" s="3" t="s">
        <v>381</v>
      </c>
      <c r="G689" s="3">
        <v>56772</v>
      </c>
      <c r="H689" s="7" t="str">
        <f>HYPERLINK("http://www.ensembl.org/Mus_musculus/Gene/Summary?db=core;g=ENSMUSG00000053192","ENSMUSG00000053192")</f>
        <v>ENSMUSG00000053192</v>
      </c>
      <c r="I689" s="7" t="str">
        <f>HYPERLINK("http://www.informatics.jax.org/marker/MGI:1929671","MGI:1929671")</f>
        <v>MGI:1929671</v>
      </c>
      <c r="J689" s="4" t="s">
        <v>12</v>
      </c>
    </row>
    <row r="690" spans="1:10" x14ac:dyDescent="0.25">
      <c r="A690" s="2">
        <v>657.12199224211702</v>
      </c>
      <c r="B690" s="3">
        <v>1.3221683250060099</v>
      </c>
      <c r="C690" s="5">
        <v>8.82204041324003E-53</v>
      </c>
      <c r="D690" s="6">
        <v>4.46615795920276E-51</v>
      </c>
      <c r="E690" s="3" t="s">
        <v>991</v>
      </c>
      <c r="F690" s="3" t="s">
        <v>992</v>
      </c>
      <c r="G690" s="3">
        <v>71310</v>
      </c>
      <c r="H690" s="7" t="str">
        <f>HYPERLINK("http://www.ensembl.org/Mus_musculus/Gene/Summary?db=core;g=ENSMUSG00000031709","ENSMUSG00000031709")</f>
        <v>ENSMUSG00000031709</v>
      </c>
      <c r="I690" s="7" t="str">
        <f>HYPERLINK("http://www.informatics.jax.org/marker/MGI:1918560","MGI:1918560")</f>
        <v>MGI:1918560</v>
      </c>
      <c r="J690" s="4" t="s">
        <v>12</v>
      </c>
    </row>
    <row r="691" spans="1:10" x14ac:dyDescent="0.25">
      <c r="A691" s="2">
        <v>256.45182493273802</v>
      </c>
      <c r="B691" s="3">
        <v>1.3210946145373501</v>
      </c>
      <c r="C691" s="5">
        <v>2.8736185527880101E-38</v>
      </c>
      <c r="D691" s="6">
        <v>9.40245926832341E-37</v>
      </c>
      <c r="E691" s="3" t="s">
        <v>1322</v>
      </c>
      <c r="F691" s="3" t="s">
        <v>1323</v>
      </c>
      <c r="G691" s="3" t="s">
        <v>83</v>
      </c>
      <c r="H691" s="7" t="str">
        <f>HYPERLINK("http://www.ensembl.org/Mus_musculus/Gene/Summary?db=core;g=ENSMUSG00000092176","ENSMUSG00000092176")</f>
        <v>ENSMUSG00000092176</v>
      </c>
      <c r="I691" s="7" t="str">
        <f>HYPERLINK("http://www.informatics.jax.org/marker/MGI:5141925","MGI:5141925")</f>
        <v>MGI:5141925</v>
      </c>
      <c r="J691" s="4" t="s">
        <v>331</v>
      </c>
    </row>
    <row r="692" spans="1:10" x14ac:dyDescent="0.25">
      <c r="A692" s="2">
        <v>3748.93508900899</v>
      </c>
      <c r="B692" s="3">
        <v>1.3209132954978</v>
      </c>
      <c r="C692" s="5">
        <v>3.91653936635434E-132</v>
      </c>
      <c r="D692" s="6">
        <v>1.00533704157476E-129</v>
      </c>
      <c r="E692" s="3" t="s">
        <v>152</v>
      </c>
      <c r="F692" s="3" t="s">
        <v>153</v>
      </c>
      <c r="G692" s="3">
        <v>19229</v>
      </c>
      <c r="H692" s="7" t="str">
        <f>HYPERLINK("http://www.ensembl.org/Mus_musculus/Gene/Summary?db=core;g=ENSMUSG00000059456","ENSMUSG00000059456")</f>
        <v>ENSMUSG00000059456</v>
      </c>
      <c r="I692" s="7" t="str">
        <f>HYPERLINK("http://www.informatics.jax.org/marker/MGI:104908","MGI:104908")</f>
        <v>MGI:104908</v>
      </c>
      <c r="J692" s="4" t="s">
        <v>12</v>
      </c>
    </row>
    <row r="693" spans="1:10" x14ac:dyDescent="0.25">
      <c r="A693" s="2">
        <v>2.9101953303562502</v>
      </c>
      <c r="B693" s="3">
        <v>1.32046332573556</v>
      </c>
      <c r="C693" s="3">
        <v>3.9916804466505603E-3</v>
      </c>
      <c r="D693" s="4">
        <v>1.22906531745576E-2</v>
      </c>
      <c r="E693" s="3" t="s">
        <v>11353</v>
      </c>
      <c r="F693" s="3" t="s">
        <v>11354</v>
      </c>
      <c r="G693" s="3">
        <v>80708</v>
      </c>
      <c r="H693" s="7" t="str">
        <f>HYPERLINK("http://www.ensembl.org/Mus_musculus/Gene/Summary?db=core;g=ENSMUSG00000027257","ENSMUSG00000027257")</f>
        <v>ENSMUSG00000027257</v>
      </c>
      <c r="I693" s="7" t="str">
        <f>HYPERLINK("http://www.informatics.jax.org/marker/MGI:1891410","MGI:1891410")</f>
        <v>MGI:1891410</v>
      </c>
      <c r="J693" s="4" t="s">
        <v>12</v>
      </c>
    </row>
    <row r="694" spans="1:10" x14ac:dyDescent="0.25">
      <c r="A694" s="2">
        <v>2286.3938917171799</v>
      </c>
      <c r="B694" s="3">
        <v>1.3192637195953201</v>
      </c>
      <c r="C694" s="5">
        <v>9.6011812925166304E-60</v>
      </c>
      <c r="D694" s="6">
        <v>5.8133398357513499E-58</v>
      </c>
      <c r="E694" s="3" t="s">
        <v>436</v>
      </c>
      <c r="F694" s="3" t="s">
        <v>437</v>
      </c>
      <c r="G694" s="3">
        <v>72075</v>
      </c>
      <c r="H694" s="7" t="str">
        <f>HYPERLINK("http://www.ensembl.org/Mus_musculus/Gene/Summary?db=core;g=ENSMUSG00000049401","ENSMUSG00000049401")</f>
        <v>ENSMUSG00000049401</v>
      </c>
      <c r="I694" s="7" t="str">
        <f>HYPERLINK("http://www.informatics.jax.org/marker/MGI:1919325","MGI:1919325")</f>
        <v>MGI:1919325</v>
      </c>
      <c r="J694" s="4" t="s">
        <v>12</v>
      </c>
    </row>
    <row r="695" spans="1:10" x14ac:dyDescent="0.25">
      <c r="A695" s="2">
        <v>1.90037001210532</v>
      </c>
      <c r="B695" s="3">
        <v>1.3192043034793199</v>
      </c>
      <c r="C695" s="3">
        <v>5.0486617531329296E-3</v>
      </c>
      <c r="D695" s="4">
        <v>1.51759624692145E-2</v>
      </c>
      <c r="E695" s="3" t="s">
        <v>13332</v>
      </c>
      <c r="F695" s="3" t="s">
        <v>13333</v>
      </c>
      <c r="G695" s="3" t="s">
        <v>83</v>
      </c>
      <c r="H695" s="7" t="str">
        <f>HYPERLINK("http://www.ensembl.org/Mus_musculus/Gene/Summary?db=core;g=ENSMUSG00000098609","ENSMUSG00000098609")</f>
        <v>ENSMUSG00000098609</v>
      </c>
      <c r="I695" s="7" t="str">
        <f>HYPERLINK("http://www.informatics.jax.org/marker/MGI:3642737","MGI:3642737")</f>
        <v>MGI:3642737</v>
      </c>
      <c r="J695" s="4" t="s">
        <v>932</v>
      </c>
    </row>
    <row r="696" spans="1:10" x14ac:dyDescent="0.25">
      <c r="A696" s="2">
        <v>1270.89462739086</v>
      </c>
      <c r="B696" s="3">
        <v>1.31479045280201</v>
      </c>
      <c r="C696" s="5">
        <v>2.8961177158102802E-42</v>
      </c>
      <c r="D696" s="6">
        <v>1.09278975922655E-40</v>
      </c>
      <c r="E696" s="3" t="s">
        <v>2415</v>
      </c>
      <c r="F696" s="3" t="s">
        <v>2416</v>
      </c>
      <c r="G696" s="3" t="s">
        <v>83</v>
      </c>
      <c r="H696" s="7" t="str">
        <f>HYPERLINK("http://www.ensembl.org/Mus_musculus/Gene/Summary?db=core;g=ENSMUSG00000097715","ENSMUSG00000097715")</f>
        <v>ENSMUSG00000097715</v>
      </c>
      <c r="I696" s="7" t="str">
        <f>HYPERLINK("http://www.informatics.jax.org/marker/MGI:3710533","MGI:3710533")</f>
        <v>MGI:3710533</v>
      </c>
      <c r="J696" s="4" t="s">
        <v>320</v>
      </c>
    </row>
    <row r="697" spans="1:10" x14ac:dyDescent="0.25">
      <c r="A697" s="2">
        <v>5.7252624856420304</v>
      </c>
      <c r="B697" s="3">
        <v>1.3131040854038101</v>
      </c>
      <c r="C697" s="3">
        <v>1.55093669367526E-3</v>
      </c>
      <c r="D697" s="4">
        <v>5.26169419996867E-3</v>
      </c>
      <c r="E697" s="3" t="s">
        <v>10380</v>
      </c>
      <c r="F697" s="3" t="s">
        <v>10381</v>
      </c>
      <c r="G697" s="3">
        <v>72282</v>
      </c>
      <c r="H697" s="7" t="str">
        <f>HYPERLINK("http://www.ensembl.org/Mus_musculus/Gene/Summary?db=core;g=ENSMUSG00000027713","ENSMUSG00000027713")</f>
        <v>ENSMUSG00000027713</v>
      </c>
      <c r="I697" s="7" t="str">
        <f>HYPERLINK("http://www.informatics.jax.org/marker/MGI:1919532","MGI:1919532")</f>
        <v>MGI:1919532</v>
      </c>
      <c r="J697" s="4" t="s">
        <v>12</v>
      </c>
    </row>
    <row r="698" spans="1:10" x14ac:dyDescent="0.25">
      <c r="A698" s="2">
        <v>648.53566551719803</v>
      </c>
      <c r="B698" s="3">
        <v>1.3130242764489899</v>
      </c>
      <c r="C698" s="5">
        <v>4.0867571713007998E-53</v>
      </c>
      <c r="D698" s="6">
        <v>2.0863067071976801E-51</v>
      </c>
      <c r="E698" s="3" t="s">
        <v>1911</v>
      </c>
      <c r="F698" s="3" t="s">
        <v>1912</v>
      </c>
      <c r="G698" s="3">
        <v>66569</v>
      </c>
      <c r="H698" s="7" t="str">
        <f>HYPERLINK("http://www.ensembl.org/Mus_musculus/Gene/Summary?db=core;g=ENSMUSG00000061666","ENSMUSG00000061666")</f>
        <v>ENSMUSG00000061666</v>
      </c>
      <c r="I698" s="7" t="str">
        <f>HYPERLINK("http://www.informatics.jax.org/marker/MGI:1913819","MGI:1913819")</f>
        <v>MGI:1913819</v>
      </c>
      <c r="J698" s="4" t="s">
        <v>12</v>
      </c>
    </row>
    <row r="699" spans="1:10" x14ac:dyDescent="0.25">
      <c r="A699" s="2">
        <v>2.0404247951536898</v>
      </c>
      <c r="B699" s="3">
        <v>1.3117674891211899</v>
      </c>
      <c r="C699" s="3">
        <v>4.9849970676994803E-3</v>
      </c>
      <c r="D699" s="4">
        <v>1.49994339704182E-2</v>
      </c>
      <c r="E699" s="3" t="s">
        <v>9771</v>
      </c>
      <c r="F699" s="3" t="s">
        <v>9772</v>
      </c>
      <c r="G699" s="3" t="s">
        <v>83</v>
      </c>
      <c r="H699" s="7" t="str">
        <f>HYPERLINK("http://www.ensembl.org/Mus_musculus/Gene/Summary?db=core;g=ENSMUSG00000113228","ENSMUSG00000113228")</f>
        <v>ENSMUSG00000113228</v>
      </c>
      <c r="I699" s="7" t="str">
        <f>HYPERLINK("http://www.informatics.jax.org/marker/MGI:1922270","MGI:1922270")</f>
        <v>MGI:1922270</v>
      </c>
      <c r="J699" s="4" t="s">
        <v>939</v>
      </c>
    </row>
    <row r="700" spans="1:10" x14ac:dyDescent="0.25">
      <c r="A700" s="2">
        <v>731.90344578196596</v>
      </c>
      <c r="B700" s="3">
        <v>1.3087683664255401</v>
      </c>
      <c r="C700" s="5">
        <v>3.7213452901993401E-35</v>
      </c>
      <c r="D700" s="6">
        <v>1.09037810150937E-33</v>
      </c>
      <c r="E700" s="3" t="s">
        <v>1498</v>
      </c>
      <c r="F700" s="3" t="s">
        <v>1499</v>
      </c>
      <c r="G700" s="3">
        <v>71720</v>
      </c>
      <c r="H700" s="7" t="str">
        <f>HYPERLINK("http://www.ensembl.org/Mus_musculus/Gene/Summary?db=core;g=ENSMUSG00000029822","ENSMUSG00000029822")</f>
        <v>ENSMUSG00000029822</v>
      </c>
      <c r="I700" s="7" t="str">
        <f>HYPERLINK("http://www.informatics.jax.org/marker/MGI:1918970","MGI:1918970")</f>
        <v>MGI:1918970</v>
      </c>
      <c r="J700" s="4" t="s">
        <v>12</v>
      </c>
    </row>
    <row r="701" spans="1:10" x14ac:dyDescent="0.25">
      <c r="A701" s="2">
        <v>93.143741001127793</v>
      </c>
      <c r="B701" s="3">
        <v>1.3086399986470001</v>
      </c>
      <c r="C701" s="5">
        <v>5.46844963450616E-22</v>
      </c>
      <c r="D701" s="6">
        <v>9.4646243674145097E-21</v>
      </c>
      <c r="E701" s="3" t="s">
        <v>2253</v>
      </c>
      <c r="F701" s="3" t="s">
        <v>2254</v>
      </c>
      <c r="G701" s="3">
        <v>20167</v>
      </c>
      <c r="H701" s="7" t="str">
        <f>HYPERLINK("http://www.ensembl.org/Mus_musculus/Gene/Summary?db=core;g=ENSMUSG00000030401","ENSMUSG00000030401")</f>
        <v>ENSMUSG00000030401</v>
      </c>
      <c r="I701" s="7" t="str">
        <f>HYPERLINK("http://www.informatics.jax.org/marker/MGI:107612","MGI:107612")</f>
        <v>MGI:107612</v>
      </c>
      <c r="J701" s="4" t="s">
        <v>12</v>
      </c>
    </row>
    <row r="702" spans="1:10" x14ac:dyDescent="0.25">
      <c r="A702" s="2">
        <v>624.50472299133196</v>
      </c>
      <c r="B702" s="3">
        <v>1.3084612104197699</v>
      </c>
      <c r="C702" s="5">
        <v>2.4058157132556298E-16</v>
      </c>
      <c r="D702" s="6">
        <v>3.0899218727331802E-15</v>
      </c>
      <c r="E702" s="3" t="s">
        <v>2517</v>
      </c>
      <c r="F702" s="3" t="s">
        <v>2518</v>
      </c>
      <c r="G702" s="3">
        <v>18854</v>
      </c>
      <c r="H702" s="7" t="str">
        <f>HYPERLINK("http://www.ensembl.org/Mus_musculus/Gene/Summary?db=core;g=ENSMUSG00000036986","ENSMUSG00000036986")</f>
        <v>ENSMUSG00000036986</v>
      </c>
      <c r="I702" s="7" t="str">
        <f>HYPERLINK("http://www.informatics.jax.org/marker/MGI:104662","MGI:104662")</f>
        <v>MGI:104662</v>
      </c>
      <c r="J702" s="4" t="s">
        <v>12</v>
      </c>
    </row>
    <row r="703" spans="1:10" x14ac:dyDescent="0.25">
      <c r="A703" s="2">
        <v>1528.7184165431499</v>
      </c>
      <c r="B703" s="3">
        <v>1.3076835200422301</v>
      </c>
      <c r="C703" s="5">
        <v>3.6256260124107899E-35</v>
      </c>
      <c r="D703" s="6">
        <v>1.0640424166857799E-33</v>
      </c>
      <c r="E703" s="3" t="s">
        <v>2573</v>
      </c>
      <c r="F703" s="3" t="s">
        <v>2574</v>
      </c>
      <c r="G703" s="3">
        <v>83924</v>
      </c>
      <c r="H703" s="7" t="str">
        <f>HYPERLINK("http://www.ensembl.org/Mus_musculus/Gene/Summary?db=core;g=ENSMUSG00000021306","ENSMUSG00000021306")</f>
        <v>ENSMUSG00000021306</v>
      </c>
      <c r="I703" s="7" t="str">
        <f>HYPERLINK("http://www.informatics.jax.org/marker/MGI:1891463","MGI:1891463")</f>
        <v>MGI:1891463</v>
      </c>
      <c r="J703" s="4" t="s">
        <v>12</v>
      </c>
    </row>
    <row r="704" spans="1:10" x14ac:dyDescent="0.25">
      <c r="A704" s="2">
        <v>1122.9101289539201</v>
      </c>
      <c r="B704" s="3">
        <v>1.3069968056343999</v>
      </c>
      <c r="C704" s="5">
        <v>2.02540339950075E-49</v>
      </c>
      <c r="D704" s="6">
        <v>9.56294739790183E-48</v>
      </c>
      <c r="E704" s="3" t="s">
        <v>560</v>
      </c>
      <c r="F704" s="3" t="s">
        <v>561</v>
      </c>
      <c r="G704" s="3">
        <v>18036</v>
      </c>
      <c r="H704" s="7" t="str">
        <f>HYPERLINK("http://www.ensembl.org/Mus_musculus/Gene/Summary?db=core;g=ENSMUSG00000030595","ENSMUSG00000030595")</f>
        <v>ENSMUSG00000030595</v>
      </c>
      <c r="I704" s="7" t="str">
        <f>HYPERLINK("http://www.informatics.jax.org/marker/MGI:104752","MGI:104752")</f>
        <v>MGI:104752</v>
      </c>
      <c r="J704" s="4" t="s">
        <v>12</v>
      </c>
    </row>
    <row r="705" spans="1:10" x14ac:dyDescent="0.25">
      <c r="A705" s="2">
        <v>1.7181898802814899</v>
      </c>
      <c r="B705" s="3">
        <v>1.3050260114908201</v>
      </c>
      <c r="C705" s="3">
        <v>5.6132101464467198E-3</v>
      </c>
      <c r="D705" s="4">
        <v>1.6664074754681801E-2</v>
      </c>
      <c r="E705" s="3" t="s">
        <v>13491</v>
      </c>
      <c r="F705" s="3" t="s">
        <v>13492</v>
      </c>
      <c r="G705" s="3" t="s">
        <v>83</v>
      </c>
      <c r="H705" s="7" t="str">
        <f>HYPERLINK("http://www.ensembl.org/Mus_musculus/Gene/Summary?db=core;g=ENSMUSG00000109297","ENSMUSG00000109297")</f>
        <v>ENSMUSG00000109297</v>
      </c>
      <c r="I705" s="7" t="str">
        <f>HYPERLINK("http://www.informatics.jax.org/marker/MGI:5590681","MGI:5590681")</f>
        <v>MGI:5590681</v>
      </c>
      <c r="J705" s="4" t="s">
        <v>939</v>
      </c>
    </row>
    <row r="706" spans="1:10" x14ac:dyDescent="0.25">
      <c r="A706" s="2">
        <v>994.26722771500704</v>
      </c>
      <c r="B706" s="3">
        <v>1.30365654428454</v>
      </c>
      <c r="C706" s="5">
        <v>7.3129527944793798E-105</v>
      </c>
      <c r="D706" s="6">
        <v>1.15894404069032E-102</v>
      </c>
      <c r="E706" s="3" t="s">
        <v>174</v>
      </c>
      <c r="F706" s="3" t="s">
        <v>175</v>
      </c>
      <c r="G706" s="3">
        <v>66306</v>
      </c>
      <c r="H706" s="7" t="str">
        <f>HYPERLINK("http://www.ensembl.org/Mus_musculus/Gene/Summary?db=core;g=ENSMUSG00000034300","ENSMUSG00000034300")</f>
        <v>ENSMUSG00000034300</v>
      </c>
      <c r="I706" s="7" t="str">
        <f>HYPERLINK("http://www.informatics.jax.org/marker/MGI:1913556","MGI:1913556")</f>
        <v>MGI:1913556</v>
      </c>
      <c r="J706" s="4" t="s">
        <v>12</v>
      </c>
    </row>
    <row r="707" spans="1:10" x14ac:dyDescent="0.25">
      <c r="A707" s="2">
        <v>1152.3418920363699</v>
      </c>
      <c r="B707" s="3">
        <v>1.3033723478956301</v>
      </c>
      <c r="C707" s="5">
        <v>3.0605449506619998E-27</v>
      </c>
      <c r="D707" s="6">
        <v>6.7365255707505901E-26</v>
      </c>
      <c r="E707" s="3" t="s">
        <v>2173</v>
      </c>
      <c r="F707" s="3" t="s">
        <v>2174</v>
      </c>
      <c r="G707" s="3">
        <v>17118</v>
      </c>
      <c r="H707" s="7" t="str">
        <f>HYPERLINK("http://www.ensembl.org/Mus_musculus/Gene/Summary?db=core;g=ENSMUSG00000069662","ENSMUSG00000069662")</f>
        <v>ENSMUSG00000069662</v>
      </c>
      <c r="I707" s="7" t="str">
        <f>HYPERLINK("http://www.informatics.jax.org/marker/MGI:96907","MGI:96907")</f>
        <v>MGI:96907</v>
      </c>
      <c r="J707" s="4" t="s">
        <v>12</v>
      </c>
    </row>
    <row r="708" spans="1:10" x14ac:dyDescent="0.25">
      <c r="A708" s="2">
        <v>62.521217079489801</v>
      </c>
      <c r="B708" s="3">
        <v>1.3032570806625801</v>
      </c>
      <c r="C708" s="3">
        <v>1.70209636121149E-4</v>
      </c>
      <c r="D708" s="4">
        <v>6.8402880227297596E-4</v>
      </c>
      <c r="E708" s="3" t="s">
        <v>11231</v>
      </c>
      <c r="F708" s="3" t="s">
        <v>11232</v>
      </c>
      <c r="G708" s="3">
        <v>74306</v>
      </c>
      <c r="H708" s="7" t="str">
        <f>HYPERLINK("http://www.ensembl.org/Mus_musculus/Gene/Summary?db=core;g=ENSMUSG00000049719","ENSMUSG00000049719")</f>
        <v>ENSMUSG00000049719</v>
      </c>
      <c r="I708" s="7" t="str">
        <f>HYPERLINK("http://www.informatics.jax.org/marker/MGI:1921556","MGI:1921556")</f>
        <v>MGI:1921556</v>
      </c>
      <c r="J708" s="4" t="s">
        <v>12</v>
      </c>
    </row>
    <row r="709" spans="1:10" x14ac:dyDescent="0.25">
      <c r="A709" s="2">
        <v>4902.1412352768602</v>
      </c>
      <c r="B709" s="3">
        <v>1.3021916728018501</v>
      </c>
      <c r="C709" s="5">
        <v>2.7808350366315502E-79</v>
      </c>
      <c r="D709" s="6">
        <v>2.5990112073133299E-77</v>
      </c>
      <c r="E709" s="3" t="s">
        <v>327</v>
      </c>
      <c r="F709" s="3" t="s">
        <v>328</v>
      </c>
      <c r="G709" s="3">
        <v>217069</v>
      </c>
      <c r="H709" s="7" t="str">
        <f>HYPERLINK("http://www.ensembl.org/Mus_musculus/Gene/Summary?db=core;g=ENSMUSG00000000275","ENSMUSG00000000275")</f>
        <v>ENSMUSG00000000275</v>
      </c>
      <c r="I709" s="7" t="str">
        <f>HYPERLINK("http://www.informatics.jax.org/marker/MGI:102749","MGI:102749")</f>
        <v>MGI:102749</v>
      </c>
      <c r="J709" s="4" t="s">
        <v>12</v>
      </c>
    </row>
    <row r="710" spans="1:10" x14ac:dyDescent="0.25">
      <c r="A710" s="2">
        <v>22.523154197571898</v>
      </c>
      <c r="B710" s="3">
        <v>1.3005103356490999</v>
      </c>
      <c r="C710" s="5">
        <v>6.4508454673898397E-7</v>
      </c>
      <c r="D710" s="6">
        <v>3.6602322118050999E-6</v>
      </c>
      <c r="E710" s="3" t="s">
        <v>11493</v>
      </c>
      <c r="F710" s="3" t="s">
        <v>11494</v>
      </c>
      <c r="G710" s="3" t="s">
        <v>83</v>
      </c>
      <c r="H710" s="7" t="str">
        <f>HYPERLINK("http://www.ensembl.org/Mus_musculus/Gene/Summary?db=core;g=ENSMUSG00000117171","ENSMUSG00000117171")</f>
        <v>ENSMUSG00000117171</v>
      </c>
      <c r="I710" s="7" t="str">
        <f>HYPERLINK("http://www.informatics.jax.org/marker/MGI:2442581","MGI:2442581")</f>
        <v>MGI:2442581</v>
      </c>
      <c r="J710" s="4" t="s">
        <v>3187</v>
      </c>
    </row>
    <row r="711" spans="1:10" x14ac:dyDescent="0.25">
      <c r="A711" s="2">
        <v>145.114695014793</v>
      </c>
      <c r="B711" s="3">
        <v>1.29932862746748</v>
      </c>
      <c r="C711" s="5">
        <v>1.1402329995923101E-8</v>
      </c>
      <c r="D711" s="6">
        <v>7.8954203714171107E-8</v>
      </c>
      <c r="E711" s="3" t="s">
        <v>6854</v>
      </c>
      <c r="F711" s="3" t="s">
        <v>6855</v>
      </c>
      <c r="G711" s="3">
        <v>75581</v>
      </c>
      <c r="H711" s="7" t="str">
        <f>HYPERLINK("http://www.ensembl.org/Mus_musculus/Gene/Summary?db=core;g=ENSMUSG00000029158","ENSMUSG00000029158")</f>
        <v>ENSMUSG00000029158</v>
      </c>
      <c r="I711" s="7" t="str">
        <f>HYPERLINK("http://www.informatics.jax.org/marker/MGI:1922831","MGI:1922831")</f>
        <v>MGI:1922831</v>
      </c>
      <c r="J711" s="4" t="s">
        <v>12</v>
      </c>
    </row>
    <row r="712" spans="1:10" x14ac:dyDescent="0.25">
      <c r="A712" s="2">
        <v>783.778466138564</v>
      </c>
      <c r="B712" s="3">
        <v>1.29869559501877</v>
      </c>
      <c r="C712" s="5">
        <v>1.5232958648045001E-27</v>
      </c>
      <c r="D712" s="6">
        <v>3.4063886056517799E-26</v>
      </c>
      <c r="E712" s="3" t="s">
        <v>2297</v>
      </c>
      <c r="F712" s="3" t="s">
        <v>2298</v>
      </c>
      <c r="G712" s="3">
        <v>19015</v>
      </c>
      <c r="H712" s="7" t="str">
        <f>HYPERLINK("http://www.ensembl.org/Mus_musculus/Gene/Summary?db=core;g=ENSMUSG00000002250","ENSMUSG00000002250")</f>
        <v>ENSMUSG00000002250</v>
      </c>
      <c r="I712" s="7" t="str">
        <f>HYPERLINK("http://www.informatics.jax.org/marker/MGI:101884","MGI:101884")</f>
        <v>MGI:101884</v>
      </c>
      <c r="J712" s="4" t="s">
        <v>12</v>
      </c>
    </row>
    <row r="713" spans="1:10" x14ac:dyDescent="0.25">
      <c r="A713" s="2">
        <v>644.64681077913804</v>
      </c>
      <c r="B713" s="3">
        <v>1.29660542399997</v>
      </c>
      <c r="C713" s="5">
        <v>1.6397932436330298E-5</v>
      </c>
      <c r="D713" s="6">
        <v>7.7583675662544095E-5</v>
      </c>
      <c r="E713" s="3" t="s">
        <v>12207</v>
      </c>
      <c r="F713" s="3" t="s">
        <v>12208</v>
      </c>
      <c r="G713" s="3">
        <v>64209</v>
      </c>
      <c r="H713" s="7" t="str">
        <f>HYPERLINK("http://www.ensembl.org/Mus_musculus/Gene/Summary?db=core;g=ENSMUSG00000031770","ENSMUSG00000031770")</f>
        <v>ENSMUSG00000031770</v>
      </c>
      <c r="I713" s="7" t="str">
        <f>HYPERLINK("http://www.informatics.jax.org/marker/MGI:1927406","MGI:1927406")</f>
        <v>MGI:1927406</v>
      </c>
      <c r="J713" s="4" t="s">
        <v>12</v>
      </c>
    </row>
    <row r="714" spans="1:10" x14ac:dyDescent="0.25">
      <c r="A714" s="2">
        <v>44.842824386338101</v>
      </c>
      <c r="B714" s="3">
        <v>1.2953287324552001</v>
      </c>
      <c r="C714" s="5">
        <v>4.6754439201490901E-7</v>
      </c>
      <c r="D714" s="6">
        <v>2.7050782680862598E-6</v>
      </c>
      <c r="E714" s="3" t="s">
        <v>3332</v>
      </c>
      <c r="F714" s="3" t="s">
        <v>3333</v>
      </c>
      <c r="G714" s="3">
        <v>628705</v>
      </c>
      <c r="H714" s="7" t="str">
        <f>HYPERLINK("http://www.ensembl.org/Mus_musculus/Gene/Summary?db=core;g=ENSMUSG00000091144","ENSMUSG00000091144")</f>
        <v>ENSMUSG00000091144</v>
      </c>
      <c r="I714" s="7" t="str">
        <f>HYPERLINK("http://www.informatics.jax.org/marker/MGI:3648476","MGI:3648476")</f>
        <v>MGI:3648476</v>
      </c>
      <c r="J714" s="4" t="s">
        <v>12</v>
      </c>
    </row>
    <row r="715" spans="1:10" x14ac:dyDescent="0.25">
      <c r="A715" s="2">
        <v>653.40048081596001</v>
      </c>
      <c r="B715" s="3">
        <v>1.2943433400322</v>
      </c>
      <c r="C715" s="5">
        <v>1.7888221384669698E-8</v>
      </c>
      <c r="D715" s="6">
        <v>1.2132967425962301E-7</v>
      </c>
      <c r="E715" s="3" t="s">
        <v>6333</v>
      </c>
      <c r="F715" s="3" t="s">
        <v>6334</v>
      </c>
      <c r="G715" s="3">
        <v>19073</v>
      </c>
      <c r="H715" s="7" t="str">
        <f>HYPERLINK("http://www.ensembl.org/Mus_musculus/Gene/Summary?db=core;g=ENSMUSG00000020077","ENSMUSG00000020077")</f>
        <v>ENSMUSG00000020077</v>
      </c>
      <c r="I715" s="7" t="str">
        <f>HYPERLINK("http://www.informatics.jax.org/marker/MGI:97756","MGI:97756")</f>
        <v>MGI:97756</v>
      </c>
      <c r="J715" s="4" t="s">
        <v>12</v>
      </c>
    </row>
    <row r="716" spans="1:10" x14ac:dyDescent="0.25">
      <c r="A716" s="2">
        <v>1.7305723662930499</v>
      </c>
      <c r="B716" s="3">
        <v>1.2923750578011599</v>
      </c>
      <c r="C716" s="3">
        <v>5.5767926872529704E-3</v>
      </c>
      <c r="D716" s="4">
        <v>1.6569456590346501E-2</v>
      </c>
      <c r="E716" s="3" t="s">
        <v>10206</v>
      </c>
      <c r="F716" s="3" t="s">
        <v>10207</v>
      </c>
      <c r="G716" s="3">
        <v>210530</v>
      </c>
      <c r="H716" s="7" t="str">
        <f>HYPERLINK("http://www.ensembl.org/Mus_musculus/Gene/Summary?db=core;g=ENSMUSG00000038168","ENSMUSG00000038168")</f>
        <v>ENSMUSG00000038168</v>
      </c>
      <c r="I716" s="7" t="str">
        <f>HYPERLINK("http://www.informatics.jax.org/marker/MGI:2146663","MGI:2146663")</f>
        <v>MGI:2146663</v>
      </c>
      <c r="J716" s="4" t="s">
        <v>12</v>
      </c>
    </row>
    <row r="717" spans="1:10" x14ac:dyDescent="0.25">
      <c r="A717" s="2">
        <v>2.2368038670932102</v>
      </c>
      <c r="B717" s="3">
        <v>1.2900810764683901</v>
      </c>
      <c r="C717" s="3">
        <v>6.02636281018013E-3</v>
      </c>
      <c r="D717" s="4">
        <v>1.77891905111002E-2</v>
      </c>
      <c r="E717" s="3" t="s">
        <v>10198</v>
      </c>
      <c r="F717" s="3" t="s">
        <v>10199</v>
      </c>
      <c r="G717" s="3">
        <v>66654</v>
      </c>
      <c r="H717" s="7" t="str">
        <f>HYPERLINK("http://www.ensembl.org/Mus_musculus/Gene/Summary?db=core;g=ENSMUSG00000032065","ENSMUSG00000032065")</f>
        <v>ENSMUSG00000032065</v>
      </c>
      <c r="I717" s="7" t="str">
        <f>HYPERLINK("http://www.informatics.jax.org/marker/MGI:1913904","MGI:1913904")</f>
        <v>MGI:1913904</v>
      </c>
      <c r="J717" s="4" t="s">
        <v>12</v>
      </c>
    </row>
    <row r="718" spans="1:10" x14ac:dyDescent="0.25">
      <c r="A718" s="2">
        <v>1386.5170754399501</v>
      </c>
      <c r="B718" s="3">
        <v>1.2899036976673399</v>
      </c>
      <c r="C718" s="5">
        <v>1.20291071578073E-77</v>
      </c>
      <c r="D718" s="6">
        <v>1.07995309335487E-75</v>
      </c>
      <c r="E718" s="3" t="s">
        <v>446</v>
      </c>
      <c r="F718" s="3" t="s">
        <v>447</v>
      </c>
      <c r="G718" s="3">
        <v>227731</v>
      </c>
      <c r="H718" s="7" t="str">
        <f>HYPERLINK("http://www.ensembl.org/Mus_musculus/Gene/Summary?db=core;g=ENSMUSG00000026819","ENSMUSG00000026819")</f>
        <v>ENSMUSG00000026819</v>
      </c>
      <c r="I718" s="7" t="str">
        <f>HYPERLINK("http://www.informatics.jax.org/marker/MGI:1915913","MGI:1915913")</f>
        <v>MGI:1915913</v>
      </c>
      <c r="J718" s="4" t="s">
        <v>12</v>
      </c>
    </row>
    <row r="719" spans="1:10" x14ac:dyDescent="0.25">
      <c r="A719" s="2">
        <v>57.602406454498102</v>
      </c>
      <c r="B719" s="3">
        <v>1.2892648363333401</v>
      </c>
      <c r="C719" s="5">
        <v>1.9069009772664499E-12</v>
      </c>
      <c r="D719" s="6">
        <v>1.8836460872997799E-11</v>
      </c>
      <c r="E719" s="3" t="s">
        <v>4915</v>
      </c>
      <c r="F719" s="3" t="s">
        <v>4916</v>
      </c>
      <c r="G719" s="3">
        <v>360213</v>
      </c>
      <c r="H719" s="7" t="str">
        <f>HYPERLINK("http://www.ensembl.org/Mus_musculus/Gene/Summary?db=core;g=ENSMUSG00000042766","ENSMUSG00000042766")</f>
        <v>ENSMUSG00000042766</v>
      </c>
      <c r="I719" s="7" t="str">
        <f>HYPERLINK("http://www.informatics.jax.org/marker/MGI:2673000","MGI:2673000")</f>
        <v>MGI:2673000</v>
      </c>
      <c r="J719" s="4" t="s">
        <v>12</v>
      </c>
    </row>
    <row r="720" spans="1:10" x14ac:dyDescent="0.25">
      <c r="A720" s="2">
        <v>11.434474646591299</v>
      </c>
      <c r="B720" s="3">
        <v>1.28618797166805</v>
      </c>
      <c r="C720" s="3">
        <v>3.0649368849588901E-4</v>
      </c>
      <c r="D720" s="4">
        <v>1.17671107496052E-3</v>
      </c>
      <c r="E720" s="3" t="s">
        <v>10656</v>
      </c>
      <c r="F720" s="3" t="s">
        <v>10657</v>
      </c>
      <c r="G720" s="3">
        <v>11905</v>
      </c>
      <c r="H720" s="7" t="str">
        <f>HYPERLINK("http://www.ensembl.org/Mus_musculus/Gene/Summary?db=core;g=ENSMUSG00000026715","ENSMUSG00000026715")</f>
        <v>ENSMUSG00000026715</v>
      </c>
      <c r="I720" s="7" t="str">
        <f>HYPERLINK("http://www.informatics.jax.org/marker/MGI:88095","MGI:88095")</f>
        <v>MGI:88095</v>
      </c>
      <c r="J720" s="4" t="s">
        <v>12</v>
      </c>
    </row>
    <row r="721" spans="1:10" x14ac:dyDescent="0.25">
      <c r="A721" s="2">
        <v>444.74630957480298</v>
      </c>
      <c r="B721" s="3">
        <v>1.28301311993687</v>
      </c>
      <c r="C721" s="5">
        <v>9.6502300716674902E-17</v>
      </c>
      <c r="D721" s="6">
        <v>1.2680277076866599E-15</v>
      </c>
      <c r="E721" s="3" t="s">
        <v>6031</v>
      </c>
      <c r="F721" s="3" t="s">
        <v>6032</v>
      </c>
      <c r="G721" s="3">
        <v>74152</v>
      </c>
      <c r="H721" s="7" t="str">
        <f>HYPERLINK("http://www.ensembl.org/Mus_musculus/Gene/Summary?db=core;g=ENSMUSG00000028327","ENSMUSG00000028327")</f>
        <v>ENSMUSG00000028327</v>
      </c>
      <c r="I721" s="7" t="str">
        <f>HYPERLINK("http://www.informatics.jax.org/marker/MGI:1921402","MGI:1921402")</f>
        <v>MGI:1921402</v>
      </c>
      <c r="J721" s="4" t="s">
        <v>12</v>
      </c>
    </row>
    <row r="722" spans="1:10" x14ac:dyDescent="0.25">
      <c r="A722" s="2">
        <v>1027.96399901984</v>
      </c>
      <c r="B722" s="3">
        <v>1.2809732662426201</v>
      </c>
      <c r="C722" s="5">
        <v>5.3007971076729199E-70</v>
      </c>
      <c r="D722" s="6">
        <v>3.99202592096442E-68</v>
      </c>
      <c r="E722" s="3" t="s">
        <v>1204</v>
      </c>
      <c r="F722" s="3" t="s">
        <v>1205</v>
      </c>
      <c r="G722" s="3">
        <v>18845</v>
      </c>
      <c r="H722" s="7" t="str">
        <f>HYPERLINK("http://www.ensembl.org/Mus_musculus/Gene/Summary?db=core;g=ENSMUSG00000026640","ENSMUSG00000026640")</f>
        <v>ENSMUSG00000026640</v>
      </c>
      <c r="I722" s="7" t="str">
        <f>HYPERLINK("http://www.informatics.jax.org/marker/MGI:107684","MGI:107684")</f>
        <v>MGI:107684</v>
      </c>
      <c r="J722" s="4" t="s">
        <v>12</v>
      </c>
    </row>
    <row r="723" spans="1:10" x14ac:dyDescent="0.25">
      <c r="A723" s="2">
        <v>1.9788301968322499</v>
      </c>
      <c r="B723" s="3">
        <v>1.28025971586606</v>
      </c>
      <c r="C723" s="3">
        <v>6.6030446600972301E-3</v>
      </c>
      <c r="D723" s="4">
        <v>1.9319391383893401E-2</v>
      </c>
      <c r="E723" s="3" t="s">
        <v>12255</v>
      </c>
      <c r="F723" s="3" t="s">
        <v>12256</v>
      </c>
      <c r="G723" s="3">
        <v>245423</v>
      </c>
      <c r="H723" s="7" t="str">
        <f>HYPERLINK("http://www.ensembl.org/Mus_musculus/Gene/Summary?db=core;g=ENSMUSG00000079584","ENSMUSG00000079584")</f>
        <v>ENSMUSG00000079584</v>
      </c>
      <c r="I723" s="7" t="str">
        <f>HYPERLINK("http://www.informatics.jax.org/marker/MGI:2685210","MGI:2685210")</f>
        <v>MGI:2685210</v>
      </c>
      <c r="J723" s="4" t="s">
        <v>12</v>
      </c>
    </row>
    <row r="724" spans="1:10" x14ac:dyDescent="0.25">
      <c r="A724" s="2">
        <v>1257.90761136585</v>
      </c>
      <c r="B724" s="3">
        <v>1.2742554748466199</v>
      </c>
      <c r="C724" s="5">
        <v>3.78071074918567E-47</v>
      </c>
      <c r="D724" s="6">
        <v>1.6805720342416799E-45</v>
      </c>
      <c r="E724" s="3" t="s">
        <v>444</v>
      </c>
      <c r="F724" s="3" t="s">
        <v>445</v>
      </c>
      <c r="G724" s="3">
        <v>101985</v>
      </c>
      <c r="H724" s="7" t="str">
        <f>HYPERLINK("http://www.ensembl.org/Mus_musculus/Gene/Summary?db=core;g=ENSMUSG00000031792","ENSMUSG00000031792")</f>
        <v>ENSMUSG00000031792</v>
      </c>
      <c r="I724" s="7" t="str">
        <f>HYPERLINK("http://www.informatics.jax.org/marker/MGI:2142454","MGI:2142454")</f>
        <v>MGI:2142454</v>
      </c>
      <c r="J724" s="4" t="s">
        <v>12</v>
      </c>
    </row>
    <row r="725" spans="1:10" x14ac:dyDescent="0.25">
      <c r="A725" s="2">
        <v>2634.8741969691901</v>
      </c>
      <c r="B725" s="3">
        <v>1.2696159741003501</v>
      </c>
      <c r="C725" s="5">
        <v>3.0103024479853101E-45</v>
      </c>
      <c r="D725" s="6">
        <v>1.26703838601691E-43</v>
      </c>
      <c r="E725" s="3" t="s">
        <v>688</v>
      </c>
      <c r="F725" s="3" t="s">
        <v>689</v>
      </c>
      <c r="G725" s="3">
        <v>14081</v>
      </c>
      <c r="H725" s="7" t="str">
        <f>HYPERLINK("http://www.ensembl.org/Mus_musculus/Gene/Summary?db=core;g=ENSMUSG00000018796","ENSMUSG00000018796")</f>
        <v>ENSMUSG00000018796</v>
      </c>
      <c r="I725" s="7" t="str">
        <f>HYPERLINK("http://www.informatics.jax.org/marker/MGI:102797","MGI:102797")</f>
        <v>MGI:102797</v>
      </c>
      <c r="J725" s="4" t="s">
        <v>12</v>
      </c>
    </row>
    <row r="726" spans="1:10" x14ac:dyDescent="0.25">
      <c r="A726" s="2">
        <v>5.1644997352500299</v>
      </c>
      <c r="B726" s="3">
        <v>1.2684420289729399</v>
      </c>
      <c r="C726" s="3">
        <v>3.3106126103508802E-3</v>
      </c>
      <c r="D726" s="4">
        <v>1.03973659871868E-2</v>
      </c>
      <c r="E726" s="3" t="s">
        <v>10694</v>
      </c>
      <c r="F726" s="3" t="s">
        <v>10695</v>
      </c>
      <c r="G726" s="3" t="s">
        <v>83</v>
      </c>
      <c r="H726" s="7" t="str">
        <f>HYPERLINK("http://www.ensembl.org/Mus_musculus/Gene/Summary?db=core;g=ENSMUSG00000086411","ENSMUSG00000086411")</f>
        <v>ENSMUSG00000086411</v>
      </c>
      <c r="I726" s="7" t="str">
        <f>HYPERLINK("http://www.informatics.jax.org/marker/MGI:3651467","MGI:3651467")</f>
        <v>MGI:3651467</v>
      </c>
      <c r="J726" s="4" t="s">
        <v>932</v>
      </c>
    </row>
    <row r="727" spans="1:10" x14ac:dyDescent="0.25">
      <c r="A727" s="2">
        <v>7.3175623932281599</v>
      </c>
      <c r="B727" s="3">
        <v>1.2682796677630701</v>
      </c>
      <c r="C727" s="3">
        <v>1.09759735350733E-3</v>
      </c>
      <c r="D727" s="4">
        <v>3.8394840245050202E-3</v>
      </c>
      <c r="E727" s="3" t="s">
        <v>11509</v>
      </c>
      <c r="F727" s="3" t="s">
        <v>11510</v>
      </c>
      <c r="G727" s="3" t="s">
        <v>83</v>
      </c>
      <c r="H727" s="7" t="str">
        <f>HYPERLINK("http://www.ensembl.org/Mus_musculus/Gene/Summary?db=core;g=ENSMUSG00000093392","ENSMUSG00000093392")</f>
        <v>ENSMUSG00000093392</v>
      </c>
      <c r="I727" s="7" t="str">
        <f>HYPERLINK("http://www.informatics.jax.org/marker/MGI:3648621","MGI:3648621")</f>
        <v>MGI:3648621</v>
      </c>
      <c r="J727" s="4" t="s">
        <v>5705</v>
      </c>
    </row>
    <row r="728" spans="1:10" x14ac:dyDescent="0.25">
      <c r="A728" s="2">
        <v>96.5204826467603</v>
      </c>
      <c r="B728" s="3">
        <v>1.2679608368516</v>
      </c>
      <c r="C728" s="5">
        <v>1.55071327900006E-16</v>
      </c>
      <c r="D728" s="6">
        <v>2.0158166554761899E-15</v>
      </c>
      <c r="E728" s="3" t="s">
        <v>3782</v>
      </c>
      <c r="F728" s="3" t="s">
        <v>3783</v>
      </c>
      <c r="G728" s="3">
        <v>240690</v>
      </c>
      <c r="H728" s="7" t="str">
        <f>HYPERLINK("http://www.ensembl.org/Mus_musculus/Gene/Summary?db=core;g=ENSMUSG00000033740","ENSMUSG00000033740")</f>
        <v>ENSMUSG00000033740</v>
      </c>
      <c r="I728" s="7" t="str">
        <f>HYPERLINK("http://www.informatics.jax.org/marker/MGI:2446700","MGI:2446700")</f>
        <v>MGI:2446700</v>
      </c>
      <c r="J728" s="4" t="s">
        <v>12</v>
      </c>
    </row>
    <row r="729" spans="1:10" x14ac:dyDescent="0.25">
      <c r="A729" s="2">
        <v>234.576763376336</v>
      </c>
      <c r="B729" s="3">
        <v>1.2678170567015301</v>
      </c>
      <c r="C729" s="5">
        <v>1.6353560645352799E-30</v>
      </c>
      <c r="D729" s="6">
        <v>4.1394950383549298E-29</v>
      </c>
      <c r="E729" s="3" t="s">
        <v>1580</v>
      </c>
      <c r="F729" s="3" t="s">
        <v>1581</v>
      </c>
      <c r="G729" s="3">
        <v>81905</v>
      </c>
      <c r="H729" s="7" t="str">
        <f>HYPERLINK("http://www.ensembl.org/Mus_musculus/Gene/Summary?db=core;g=ENSMUSG00000053395","ENSMUSG00000053395")</f>
        <v>ENSMUSG00000053395</v>
      </c>
      <c r="I729" s="7" t="str">
        <f>HYPERLINK("http://www.informatics.jax.org/marker/MGI:1932376","MGI:1932376")</f>
        <v>MGI:1932376</v>
      </c>
      <c r="J729" s="4" t="s">
        <v>12</v>
      </c>
    </row>
    <row r="730" spans="1:10" x14ac:dyDescent="0.25">
      <c r="A730" s="2">
        <v>36.228476997541399</v>
      </c>
      <c r="B730" s="3">
        <v>1.2656809400145701</v>
      </c>
      <c r="C730" s="5">
        <v>1.06442509548259E-5</v>
      </c>
      <c r="D730" s="6">
        <v>5.1855512871345298E-5</v>
      </c>
      <c r="E730" s="3" t="s">
        <v>3754</v>
      </c>
      <c r="F730" s="3" t="s">
        <v>3755</v>
      </c>
      <c r="G730" s="3" t="s">
        <v>83</v>
      </c>
      <c r="H730" s="7" t="str">
        <f>HYPERLINK("http://www.ensembl.org/Mus_musculus/Gene/Summary?db=core;g=ENSMUSG00000063611","ENSMUSG00000063611")</f>
        <v>ENSMUSG00000063611</v>
      </c>
      <c r="I730" s="7" t="str">
        <f>HYPERLINK("http://www.informatics.jax.org/marker/MGI:3642322","MGI:3642322")</f>
        <v>MGI:3642322</v>
      </c>
      <c r="J730" s="4" t="s">
        <v>939</v>
      </c>
    </row>
    <row r="731" spans="1:10" x14ac:dyDescent="0.25">
      <c r="A731" s="2">
        <v>29.864520426985798</v>
      </c>
      <c r="B731" s="3">
        <v>1.2623311974603899</v>
      </c>
      <c r="C731" s="5">
        <v>2.9762767213622901E-5</v>
      </c>
      <c r="D731" s="4">
        <v>1.3536971112260501E-4</v>
      </c>
      <c r="E731" s="3" t="s">
        <v>11068</v>
      </c>
      <c r="F731" s="3" t="s">
        <v>11069</v>
      </c>
      <c r="G731" s="3" t="s">
        <v>83</v>
      </c>
      <c r="H731" s="7" t="str">
        <f>HYPERLINK("http://www.ensembl.org/Mus_musculus/Gene/Summary?db=core;g=ENSMUSG00000089706","ENSMUSG00000089706")</f>
        <v>ENSMUSG00000089706</v>
      </c>
      <c r="I731" s="7" t="str">
        <f>HYPERLINK("http://www.informatics.jax.org/marker/MGI:1925853","MGI:1925853")</f>
        <v>MGI:1925853</v>
      </c>
      <c r="J731" s="4" t="s">
        <v>331</v>
      </c>
    </row>
    <row r="732" spans="1:10" x14ac:dyDescent="0.25">
      <c r="A732" s="2">
        <v>1293.2851925928301</v>
      </c>
      <c r="B732" s="3">
        <v>1.2618127722886801</v>
      </c>
      <c r="C732" s="5">
        <v>9.8307920695901894E-79</v>
      </c>
      <c r="D732" s="6">
        <v>9.04879724587279E-77</v>
      </c>
      <c r="E732" s="3" t="s">
        <v>186</v>
      </c>
      <c r="F732" s="3" t="s">
        <v>187</v>
      </c>
      <c r="G732" s="3">
        <v>56048</v>
      </c>
      <c r="H732" s="7" t="str">
        <f>HYPERLINK("http://www.ensembl.org/Mus_musculus/Gene/Summary?db=core;g=ENSMUSG00000057554","ENSMUSG00000057554")</f>
        <v>ENSMUSG00000057554</v>
      </c>
      <c r="I732" s="7" t="str">
        <f>HYPERLINK("http://www.informatics.jax.org/marker/MGI:1928481","MGI:1928481")</f>
        <v>MGI:1928481</v>
      </c>
      <c r="J732" s="4" t="s">
        <v>12</v>
      </c>
    </row>
    <row r="733" spans="1:10" x14ac:dyDescent="0.25">
      <c r="A733" s="2">
        <v>406.10375217886099</v>
      </c>
      <c r="B733" s="3">
        <v>1.2591263938541599</v>
      </c>
      <c r="C733" s="5">
        <v>1.5785672348476899E-19</v>
      </c>
      <c r="D733" s="6">
        <v>2.39744898792493E-18</v>
      </c>
      <c r="E733" s="3" t="s">
        <v>4069</v>
      </c>
      <c r="F733" s="3" t="s">
        <v>4070</v>
      </c>
      <c r="G733" s="3">
        <v>225912</v>
      </c>
      <c r="H733" s="7" t="str">
        <f>HYPERLINK("http://www.ensembl.org/Mus_musculus/Gene/Summary?db=core;g=ENSMUSG00000034445","ENSMUSG00000034445")</f>
        <v>ENSMUSG00000034445</v>
      </c>
      <c r="I733" s="7" t="str">
        <f>HYPERLINK("http://www.informatics.jax.org/marker/MGI:2686925","MGI:2686925")</f>
        <v>MGI:2686925</v>
      </c>
      <c r="J733" s="4" t="s">
        <v>12</v>
      </c>
    </row>
    <row r="734" spans="1:10" x14ac:dyDescent="0.25">
      <c r="A734" s="2">
        <v>105.57999155005101</v>
      </c>
      <c r="B734" s="3">
        <v>1.2532076339934</v>
      </c>
      <c r="C734" s="5">
        <v>2.48648405171509E-14</v>
      </c>
      <c r="D734" s="6">
        <v>2.80075227704002E-13</v>
      </c>
      <c r="E734" s="3" t="s">
        <v>4763</v>
      </c>
      <c r="F734" s="3" t="s">
        <v>4764</v>
      </c>
      <c r="G734" s="3" t="s">
        <v>83</v>
      </c>
      <c r="H734" s="7" t="str">
        <f>HYPERLINK("http://www.ensembl.org/Mus_musculus/Gene/Summary?db=core;g=ENSMUSG00000107355","ENSMUSG00000107355")</f>
        <v>ENSMUSG00000107355</v>
      </c>
      <c r="I734" s="7" t="str">
        <f>HYPERLINK("http://www.informatics.jax.org/marker/MGI:2140975","MGI:2140975")</f>
        <v>MGI:2140975</v>
      </c>
      <c r="J734" s="4" t="s">
        <v>939</v>
      </c>
    </row>
    <row r="735" spans="1:10" x14ac:dyDescent="0.25">
      <c r="A735" s="2">
        <v>673.29376174542199</v>
      </c>
      <c r="B735" s="3">
        <v>1.25224451695927</v>
      </c>
      <c r="C735" s="5">
        <v>2.9416037249730499E-36</v>
      </c>
      <c r="D735" s="6">
        <v>8.9351213146056397E-35</v>
      </c>
      <c r="E735" s="3" t="s">
        <v>1224</v>
      </c>
      <c r="F735" s="3" t="s">
        <v>1225</v>
      </c>
      <c r="G735" s="3" t="s">
        <v>83</v>
      </c>
      <c r="H735" s="7" t="str">
        <f>HYPERLINK("http://www.ensembl.org/Mus_musculus/Gene/Summary?db=core;g=ENSMUSG00000085894","ENSMUSG00000085894")</f>
        <v>ENSMUSG00000085894</v>
      </c>
      <c r="I735" s="7" t="str">
        <f>HYPERLINK("http://www.informatics.jax.org/marker/MGI:3834078","MGI:3834078")</f>
        <v>MGI:3834078</v>
      </c>
      <c r="J735" s="4" t="s">
        <v>331</v>
      </c>
    </row>
    <row r="736" spans="1:10" x14ac:dyDescent="0.25">
      <c r="A736" s="2">
        <v>2.9312458073939198</v>
      </c>
      <c r="B736" s="3">
        <v>1.25010261813797</v>
      </c>
      <c r="C736" s="3">
        <v>7.8148674876174409E-3</v>
      </c>
      <c r="D736" s="4">
        <v>2.2485942526338499E-2</v>
      </c>
      <c r="E736" s="3" t="s">
        <v>7524</v>
      </c>
      <c r="F736" s="3" t="s">
        <v>7525</v>
      </c>
      <c r="G736" s="3">
        <v>110168</v>
      </c>
      <c r="H736" s="7" t="str">
        <f>HYPERLINK("http://www.ensembl.org/Mus_musculus/Gene/Summary?db=core;g=ENSMUSG00000050350","ENSMUSG00000050350")</f>
        <v>ENSMUSG00000050350</v>
      </c>
      <c r="I736" s="7" t="str">
        <f>HYPERLINK("http://www.informatics.jax.org/marker/MGI:107859","MGI:107859")</f>
        <v>MGI:107859</v>
      </c>
      <c r="J736" s="4" t="s">
        <v>12</v>
      </c>
    </row>
    <row r="737" spans="1:10" x14ac:dyDescent="0.25">
      <c r="A737" s="2">
        <v>5557.9883929010202</v>
      </c>
      <c r="B737" s="3">
        <v>1.2497228488212699</v>
      </c>
      <c r="C737" s="5">
        <v>1.7030137628663799E-291</v>
      </c>
      <c r="D737" s="6">
        <v>3.1037425828239801E-288</v>
      </c>
      <c r="E737" s="3" t="s">
        <v>27</v>
      </c>
      <c r="F737" s="3" t="s">
        <v>28</v>
      </c>
      <c r="G737" s="3">
        <v>11491</v>
      </c>
      <c r="H737" s="7" t="str">
        <f>HYPERLINK("http://www.ensembl.org/Mus_musculus/Gene/Summary?db=core;g=ENSMUSG00000052593","ENSMUSG00000052593")</f>
        <v>ENSMUSG00000052593</v>
      </c>
      <c r="I737" s="7" t="str">
        <f>HYPERLINK("http://www.informatics.jax.org/marker/MGI:1096335","MGI:1096335")</f>
        <v>MGI:1096335</v>
      </c>
      <c r="J737" s="4" t="s">
        <v>12</v>
      </c>
    </row>
    <row r="738" spans="1:10" x14ac:dyDescent="0.25">
      <c r="A738" s="2">
        <v>51.208548238429699</v>
      </c>
      <c r="B738" s="3">
        <v>1.2469529988133199</v>
      </c>
      <c r="C738" s="5">
        <v>5.9717351928875996E-12</v>
      </c>
      <c r="D738" s="6">
        <v>5.6449623387124803E-11</v>
      </c>
      <c r="E738" s="3" t="s">
        <v>3080</v>
      </c>
      <c r="F738" s="3" t="s">
        <v>3081</v>
      </c>
      <c r="G738" s="3" t="s">
        <v>83</v>
      </c>
      <c r="H738" s="7" t="str">
        <f>HYPERLINK("http://www.ensembl.org/Mus_musculus/Gene/Summary?db=core;g=ENSMUSG00000097111","ENSMUSG00000097111")</f>
        <v>ENSMUSG00000097111</v>
      </c>
      <c r="I738" s="7" t="str">
        <f>HYPERLINK("http://www.informatics.jax.org/marker/MGI:5477083","MGI:5477083")</f>
        <v>MGI:5477083</v>
      </c>
      <c r="J738" s="4" t="s">
        <v>932</v>
      </c>
    </row>
    <row r="739" spans="1:10" x14ac:dyDescent="0.25">
      <c r="A739" s="2">
        <v>591.37375890468797</v>
      </c>
      <c r="B739" s="3">
        <v>1.2458124989721799</v>
      </c>
      <c r="C739" s="5">
        <v>6.4300815189743303E-18</v>
      </c>
      <c r="D739" s="6">
        <v>9.0144796679467003E-17</v>
      </c>
      <c r="E739" s="3" t="s">
        <v>3742</v>
      </c>
      <c r="F739" s="3" t="s">
        <v>3743</v>
      </c>
      <c r="G739" s="3">
        <v>58250</v>
      </c>
      <c r="H739" s="7" t="str">
        <f>HYPERLINK("http://www.ensembl.org/Mus_musculus/Gene/Summary?db=core;g=ENSMUSG00000034612","ENSMUSG00000034612")</f>
        <v>ENSMUSG00000034612</v>
      </c>
      <c r="I739" s="7" t="str">
        <f>HYPERLINK("http://www.informatics.jax.org/marker/MGI:1927166","MGI:1927166")</f>
        <v>MGI:1927166</v>
      </c>
      <c r="J739" s="4" t="s">
        <v>12</v>
      </c>
    </row>
    <row r="740" spans="1:10" x14ac:dyDescent="0.25">
      <c r="A740" s="2">
        <v>462.32187354730502</v>
      </c>
      <c r="B740" s="3">
        <v>1.24356846172336</v>
      </c>
      <c r="C740" s="5">
        <v>3.5417615857809199E-72</v>
      </c>
      <c r="D740" s="6">
        <v>2.90759481535393E-70</v>
      </c>
      <c r="E740" s="3" t="s">
        <v>338</v>
      </c>
      <c r="F740" s="3" t="s">
        <v>339</v>
      </c>
      <c r="G740" s="3">
        <v>18442</v>
      </c>
      <c r="H740" s="7" t="str">
        <f>HYPERLINK("http://www.ensembl.org/Mus_musculus/Gene/Summary?db=core;g=ENSMUSG00000032860","ENSMUSG00000032860")</f>
        <v>ENSMUSG00000032860</v>
      </c>
      <c r="I740" s="7" t="str">
        <f>HYPERLINK("http://www.informatics.jax.org/marker/MGI:105107","MGI:105107")</f>
        <v>MGI:105107</v>
      </c>
      <c r="J740" s="4" t="s">
        <v>12</v>
      </c>
    </row>
    <row r="741" spans="1:10" x14ac:dyDescent="0.25">
      <c r="A741" s="2">
        <v>53.719164242957298</v>
      </c>
      <c r="B741" s="3">
        <v>1.24290796551573</v>
      </c>
      <c r="C741" s="5">
        <v>1.07681565487463E-5</v>
      </c>
      <c r="D741" s="6">
        <v>5.2427958529648799E-5</v>
      </c>
      <c r="E741" s="3" t="s">
        <v>7656</v>
      </c>
      <c r="F741" s="3" t="s">
        <v>7657</v>
      </c>
      <c r="G741" s="3" t="s">
        <v>83</v>
      </c>
      <c r="H741" s="7" t="str">
        <f>HYPERLINK("http://www.ensembl.org/Mus_musculus/Gene/Summary?db=core;g=ENSMUSG00000067203","ENSMUSG00000067203")</f>
        <v>ENSMUSG00000067203</v>
      </c>
      <c r="I741" s="7" t="str">
        <f>HYPERLINK("http://www.informatics.jax.org/marker/MGI:95906","MGI:95906")</f>
        <v>MGI:95906</v>
      </c>
      <c r="J741" s="4" t="s">
        <v>320</v>
      </c>
    </row>
    <row r="742" spans="1:10" x14ac:dyDescent="0.25">
      <c r="A742" s="2">
        <v>3.76116875750267</v>
      </c>
      <c r="B742" s="3">
        <v>1.2428864790226899</v>
      </c>
      <c r="C742" s="3">
        <v>7.90458948802269E-3</v>
      </c>
      <c r="D742" s="4">
        <v>2.2718994388773599E-2</v>
      </c>
      <c r="E742" s="3" t="s">
        <v>7030</v>
      </c>
      <c r="F742" s="3" t="s">
        <v>7031</v>
      </c>
      <c r="G742" s="3">
        <v>22138</v>
      </c>
      <c r="H742" s="7" t="str">
        <f>HYPERLINK("http://www.ensembl.org/Mus_musculus/Gene/Summary?db=core;g=ENSMUSG00000051747","ENSMUSG00000051747")</f>
        <v>ENSMUSG00000051747</v>
      </c>
      <c r="I742" s="7" t="str">
        <f>HYPERLINK("http://www.informatics.jax.org/marker/MGI:98864","MGI:98864")</f>
        <v>MGI:98864</v>
      </c>
      <c r="J742" s="4" t="s">
        <v>12</v>
      </c>
    </row>
    <row r="743" spans="1:10" x14ac:dyDescent="0.25">
      <c r="A743" s="2">
        <v>1578.4321268194201</v>
      </c>
      <c r="B743" s="3">
        <v>1.2428260539954801</v>
      </c>
      <c r="C743" s="5">
        <v>2.1926572063708302E-59</v>
      </c>
      <c r="D743" s="6">
        <v>1.31451242059567E-57</v>
      </c>
      <c r="E743" s="3" t="s">
        <v>422</v>
      </c>
      <c r="F743" s="3" t="s">
        <v>423</v>
      </c>
      <c r="G743" s="3">
        <v>81018</v>
      </c>
      <c r="H743" s="7" t="str">
        <f>HYPERLINK("http://www.ensembl.org/Mus_musculus/Gene/Summary?db=core;g=ENSMUSG00000006418","ENSMUSG00000006418")</f>
        <v>ENSMUSG00000006418</v>
      </c>
      <c r="I743" s="7" t="str">
        <f>HYPERLINK("http://www.informatics.jax.org/marker/MGI:1933159","MGI:1933159")</f>
        <v>MGI:1933159</v>
      </c>
      <c r="J743" s="4" t="s">
        <v>12</v>
      </c>
    </row>
    <row r="744" spans="1:10" x14ac:dyDescent="0.25">
      <c r="A744" s="2">
        <v>1365.8275112020101</v>
      </c>
      <c r="B744" s="3">
        <v>1.24146498869309</v>
      </c>
      <c r="C744" s="5">
        <v>1.97502633979566E-55</v>
      </c>
      <c r="D744" s="6">
        <v>1.0617951340051899E-53</v>
      </c>
      <c r="E744" s="3" t="s">
        <v>802</v>
      </c>
      <c r="F744" s="3" t="s">
        <v>803</v>
      </c>
      <c r="G744" s="3">
        <v>12521</v>
      </c>
      <c r="H744" s="7" t="str">
        <f>HYPERLINK("http://www.ensembl.org/Mus_musculus/Gene/Summary?db=core;g=ENSMUSG00000027215","ENSMUSG00000027215")</f>
        <v>ENSMUSG00000027215</v>
      </c>
      <c r="I744" s="7" t="str">
        <f>HYPERLINK("http://www.informatics.jax.org/marker/MGI:104651","MGI:104651")</f>
        <v>MGI:104651</v>
      </c>
      <c r="J744" s="4" t="s">
        <v>12</v>
      </c>
    </row>
    <row r="745" spans="1:10" x14ac:dyDescent="0.25">
      <c r="A745" s="2">
        <v>1841.5313762234</v>
      </c>
      <c r="B745" s="3">
        <v>1.2409255766268701</v>
      </c>
      <c r="C745" s="5">
        <v>5.3885798272130797E-30</v>
      </c>
      <c r="D745" s="6">
        <v>1.3343324368336699E-28</v>
      </c>
      <c r="E745" s="3" t="s">
        <v>964</v>
      </c>
      <c r="F745" s="3" t="s">
        <v>965</v>
      </c>
      <c r="G745" s="3">
        <v>319448</v>
      </c>
      <c r="H745" s="7" t="str">
        <f>HYPERLINK("http://www.ensembl.org/Mus_musculus/Gene/Summary?db=core;g=ENSMUSG00000033487","ENSMUSG00000033487")</f>
        <v>ENSMUSG00000033487</v>
      </c>
      <c r="I745" s="7" t="str">
        <f>HYPERLINK("http://www.informatics.jax.org/marker/MGI:1196463","MGI:1196463")</f>
        <v>MGI:1196463</v>
      </c>
      <c r="J745" s="4" t="s">
        <v>12</v>
      </c>
    </row>
    <row r="746" spans="1:10" x14ac:dyDescent="0.25">
      <c r="A746" s="2">
        <v>737.34252197923797</v>
      </c>
      <c r="B746" s="3">
        <v>1.23957065667533</v>
      </c>
      <c r="C746" s="5">
        <v>1.93343989964018E-50</v>
      </c>
      <c r="D746" s="6">
        <v>9.32194237326516E-49</v>
      </c>
      <c r="E746" s="3" t="s">
        <v>864</v>
      </c>
      <c r="F746" s="3" t="s">
        <v>865</v>
      </c>
      <c r="G746" s="3">
        <v>107305</v>
      </c>
      <c r="H746" s="7" t="str">
        <f>HYPERLINK("http://www.ensembl.org/Mus_musculus/Gene/Summary?db=core;g=ENSMUSG00000048832","ENSMUSG00000048832")</f>
        <v>ENSMUSG00000048832</v>
      </c>
      <c r="I746" s="7" t="str">
        <f>HYPERLINK("http://www.informatics.jax.org/marker/MGI:2147661","MGI:2147661")</f>
        <v>MGI:2147661</v>
      </c>
      <c r="J746" s="4" t="s">
        <v>12</v>
      </c>
    </row>
    <row r="747" spans="1:10" x14ac:dyDescent="0.25">
      <c r="A747" s="2">
        <v>1460.83859864633</v>
      </c>
      <c r="B747" s="3">
        <v>1.23624927226226</v>
      </c>
      <c r="C747" s="5">
        <v>2.36594113096924E-8</v>
      </c>
      <c r="D747" s="6">
        <v>1.5823587930977699E-7</v>
      </c>
      <c r="E747" s="3" t="s">
        <v>5587</v>
      </c>
      <c r="F747" s="3" t="s">
        <v>5588</v>
      </c>
      <c r="G747" s="3">
        <v>17476</v>
      </c>
      <c r="H747" s="7" t="str">
        <f>HYPERLINK("http://www.ensembl.org/Mus_musculus/Gene/Summary?db=core;g=ENSMUSG00000046805","ENSMUSG00000046805")</f>
        <v>ENSMUSG00000046805</v>
      </c>
      <c r="I747" s="7" t="str">
        <f>HYPERLINK("http://www.informatics.jax.org/marker/MGI:1333743","MGI:1333743")</f>
        <v>MGI:1333743</v>
      </c>
      <c r="J747" s="4" t="s">
        <v>12</v>
      </c>
    </row>
    <row r="748" spans="1:10" x14ac:dyDescent="0.25">
      <c r="A748" s="2">
        <v>1.8465838183133401</v>
      </c>
      <c r="B748" s="3">
        <v>1.23613016461418</v>
      </c>
      <c r="C748" s="3">
        <v>8.68707401470575E-3</v>
      </c>
      <c r="D748" s="4">
        <v>2.4741666497579699E-2</v>
      </c>
      <c r="E748" s="3" t="s">
        <v>11877</v>
      </c>
      <c r="F748" s="3" t="s">
        <v>11878</v>
      </c>
      <c r="G748" s="3" t="s">
        <v>83</v>
      </c>
      <c r="H748" s="7" t="str">
        <f>HYPERLINK("http://www.ensembl.org/Mus_musculus/Gene/Summary?db=core;g=ENSMUSG00000092418","ENSMUSG00000092418")</f>
        <v>ENSMUSG00000092418</v>
      </c>
      <c r="I748" s="7" t="str">
        <f>HYPERLINK("http://www.informatics.jax.org/marker/MGI:5141871","MGI:5141871")</f>
        <v>MGI:5141871</v>
      </c>
      <c r="J748" s="4" t="s">
        <v>932</v>
      </c>
    </row>
    <row r="749" spans="1:10" x14ac:dyDescent="0.25">
      <c r="A749" s="2">
        <v>3.1775080804042699</v>
      </c>
      <c r="B749" s="3">
        <v>1.23592838026755</v>
      </c>
      <c r="C749" s="3">
        <v>7.0432049811951997E-3</v>
      </c>
      <c r="D749" s="4">
        <v>2.05150089151802E-2</v>
      </c>
      <c r="E749" s="3" t="s">
        <v>11237</v>
      </c>
      <c r="F749" s="3" t="s">
        <v>11238</v>
      </c>
      <c r="G749" s="3">
        <v>240697</v>
      </c>
      <c r="H749" s="7" t="str">
        <f>HYPERLINK("http://www.ensembl.org/Mus_musculus/Gene/Summary?db=core;g=ENSMUSG00000046101","ENSMUSG00000046101")</f>
        <v>ENSMUSG00000046101</v>
      </c>
      <c r="I749" s="7" t="str">
        <f>HYPERLINK("http://www.informatics.jax.org/marker/MGI:3045334","MGI:3045334")</f>
        <v>MGI:3045334</v>
      </c>
      <c r="J749" s="4" t="s">
        <v>12</v>
      </c>
    </row>
    <row r="750" spans="1:10" x14ac:dyDescent="0.25">
      <c r="A750" s="2">
        <v>2117.5532938016199</v>
      </c>
      <c r="B750" s="3">
        <v>1.2323280478232499</v>
      </c>
      <c r="C750" s="5">
        <v>2.21951273115078E-70</v>
      </c>
      <c r="D750" s="6">
        <v>1.7067771951570901E-68</v>
      </c>
      <c r="E750" s="3" t="s">
        <v>1244</v>
      </c>
      <c r="F750" s="3" t="s">
        <v>1245</v>
      </c>
      <c r="G750" s="3">
        <v>16478</v>
      </c>
      <c r="H750" s="7" t="str">
        <f>HYPERLINK("http://www.ensembl.org/Mus_musculus/Gene/Summary?db=core;g=ENSMUSG00000071076","ENSMUSG00000071076")</f>
        <v>ENSMUSG00000071076</v>
      </c>
      <c r="I750" s="7" t="str">
        <f>HYPERLINK("http://www.informatics.jax.org/marker/MGI:96648","MGI:96648")</f>
        <v>MGI:96648</v>
      </c>
      <c r="J750" s="4" t="s">
        <v>12</v>
      </c>
    </row>
    <row r="751" spans="1:10" x14ac:dyDescent="0.25">
      <c r="A751" s="2">
        <v>1581.2537786589301</v>
      </c>
      <c r="B751" s="3">
        <v>1.2319490008226599</v>
      </c>
      <c r="C751" s="5">
        <v>8.1701260527859005E-136</v>
      </c>
      <c r="D751" s="6">
        <v>2.2907776509541999E-133</v>
      </c>
      <c r="E751" s="3" t="s">
        <v>120</v>
      </c>
      <c r="F751" s="3" t="s">
        <v>121</v>
      </c>
      <c r="G751" s="3">
        <v>108058</v>
      </c>
      <c r="H751" s="7" t="str">
        <f>HYPERLINK("http://www.ensembl.org/Mus_musculus/Gene/Summary?db=core;g=ENSMUSG00000053819","ENSMUSG00000053819")</f>
        <v>ENSMUSG00000053819</v>
      </c>
      <c r="I751" s="7" t="str">
        <f>HYPERLINK("http://www.informatics.jax.org/marker/MGI:1341265","MGI:1341265")</f>
        <v>MGI:1341265</v>
      </c>
      <c r="J751" s="4" t="s">
        <v>12</v>
      </c>
    </row>
    <row r="752" spans="1:10" x14ac:dyDescent="0.25">
      <c r="A752" s="2">
        <v>1303.41011350945</v>
      </c>
      <c r="B752" s="3">
        <v>1.2310544909505201</v>
      </c>
      <c r="C752" s="5">
        <v>2.99865391171572E-80</v>
      </c>
      <c r="D752" s="6">
        <v>2.8612810230900001E-78</v>
      </c>
      <c r="E752" s="3" t="s">
        <v>268</v>
      </c>
      <c r="F752" s="3" t="s">
        <v>269</v>
      </c>
      <c r="G752" s="3">
        <v>229675</v>
      </c>
      <c r="H752" s="7" t="str">
        <f>HYPERLINK("http://www.ensembl.org/Mus_musculus/Gene/Summary?db=core;g=ENSMUSG00000044098","ENSMUSG00000044098")</f>
        <v>ENSMUSG00000044098</v>
      </c>
      <c r="I752" s="7" t="str">
        <f>HYPERLINK("http://www.informatics.jax.org/marker/MGI:2444993","MGI:2444993")</f>
        <v>MGI:2444993</v>
      </c>
      <c r="J752" s="4" t="s">
        <v>12</v>
      </c>
    </row>
    <row r="753" spans="1:10" x14ac:dyDescent="0.25">
      <c r="A753" s="2">
        <v>2.8838942568917099</v>
      </c>
      <c r="B753" s="3">
        <v>1.2304864603210099</v>
      </c>
      <c r="C753" s="3">
        <v>8.7122448859508796E-3</v>
      </c>
      <c r="D753" s="4">
        <v>2.4809478601008499E-2</v>
      </c>
      <c r="E753" s="3" t="s">
        <v>7470</v>
      </c>
      <c r="F753" s="3" t="s">
        <v>7471</v>
      </c>
      <c r="G753" s="3" t="s">
        <v>83</v>
      </c>
      <c r="H753" s="7" t="str">
        <f>HYPERLINK("http://www.ensembl.org/Mus_musculus/Gene/Summary?db=core;g=ENSMUSG00000106227","ENSMUSG00000106227")</f>
        <v>ENSMUSG00000106227</v>
      </c>
      <c r="I753" s="7" t="str">
        <f>HYPERLINK("http://www.informatics.jax.org/marker/MGI:5663601","MGI:5663601")</f>
        <v>MGI:5663601</v>
      </c>
      <c r="J753" s="4" t="s">
        <v>939</v>
      </c>
    </row>
    <row r="754" spans="1:10" x14ac:dyDescent="0.25">
      <c r="A754" s="2">
        <v>2184.31787183595</v>
      </c>
      <c r="B754" s="3">
        <v>1.2291481632047301</v>
      </c>
      <c r="C754" s="5">
        <v>2.5213291556764601E-79</v>
      </c>
      <c r="D754" s="6">
        <v>2.3686197867115201E-77</v>
      </c>
      <c r="E754" s="3" t="s">
        <v>360</v>
      </c>
      <c r="F754" s="3" t="s">
        <v>361</v>
      </c>
      <c r="G754" s="3">
        <v>12608</v>
      </c>
      <c r="H754" s="7" t="str">
        <f>HYPERLINK("http://www.ensembl.org/Mus_musculus/Gene/Summary?db=core;g=ENSMUSG00000056501","ENSMUSG00000056501")</f>
        <v>ENSMUSG00000056501</v>
      </c>
      <c r="I754" s="7" t="str">
        <f>HYPERLINK("http://www.informatics.jax.org/marker/MGI:88373","MGI:88373")</f>
        <v>MGI:88373</v>
      </c>
      <c r="J754" s="4" t="s">
        <v>12</v>
      </c>
    </row>
    <row r="755" spans="1:10" x14ac:dyDescent="0.25">
      <c r="A755" s="2">
        <v>1692.97607869953</v>
      </c>
      <c r="B755" s="3">
        <v>1.2289195284279</v>
      </c>
      <c r="C755" s="5">
        <v>1.1419471879546199E-61</v>
      </c>
      <c r="D755" s="6">
        <v>7.2515635890149802E-60</v>
      </c>
      <c r="E755" s="3" t="s">
        <v>462</v>
      </c>
      <c r="F755" s="3" t="s">
        <v>463</v>
      </c>
      <c r="G755" s="3">
        <v>20848</v>
      </c>
      <c r="H755" s="7" t="str">
        <f>HYPERLINK("http://www.ensembl.org/Mus_musculus/Gene/Summary?db=core;g=ENSMUSG00000004040","ENSMUSG00000004040")</f>
        <v>ENSMUSG00000004040</v>
      </c>
      <c r="I755" s="7" t="str">
        <f>HYPERLINK("http://www.informatics.jax.org/marker/MGI:103038","MGI:103038")</f>
        <v>MGI:103038</v>
      </c>
      <c r="J755" s="4" t="s">
        <v>12</v>
      </c>
    </row>
    <row r="756" spans="1:10" x14ac:dyDescent="0.25">
      <c r="A756" s="2">
        <v>1332.48811489685</v>
      </c>
      <c r="B756" s="3">
        <v>1.2282095791347001</v>
      </c>
      <c r="C756" s="5">
        <v>2.9117597957025101E-57</v>
      </c>
      <c r="D756" s="6">
        <v>1.6429356742005601E-55</v>
      </c>
      <c r="E756" s="3" t="s">
        <v>1136</v>
      </c>
      <c r="F756" s="3" t="s">
        <v>1137</v>
      </c>
      <c r="G756" s="3">
        <v>235283</v>
      </c>
      <c r="H756" s="7" t="str">
        <f>HYPERLINK("http://www.ensembl.org/Mus_musculus/Gene/Summary?db=core;g=ENSMUSG00000040111","ENSMUSG00000040111")</f>
        <v>ENSMUSG00000040111</v>
      </c>
      <c r="I756" s="7" t="str">
        <f>HYPERLINK("http://www.informatics.jax.org/marker/MGI:1925037","MGI:1925037")</f>
        <v>MGI:1925037</v>
      </c>
      <c r="J756" s="4" t="s">
        <v>12</v>
      </c>
    </row>
    <row r="757" spans="1:10" x14ac:dyDescent="0.25">
      <c r="A757" s="2">
        <v>2.5416079715917301</v>
      </c>
      <c r="B757" s="3">
        <v>1.2276974418789</v>
      </c>
      <c r="C757" s="3">
        <v>8.9758860042249405E-3</v>
      </c>
      <c r="D757" s="4">
        <v>2.54806109699376E-2</v>
      </c>
      <c r="E757" s="3" t="s">
        <v>10650</v>
      </c>
      <c r="F757" s="3" t="s">
        <v>10651</v>
      </c>
      <c r="G757" s="3">
        <v>230779</v>
      </c>
      <c r="H757" s="7" t="str">
        <f>HYPERLINK("http://www.ensembl.org/Mus_musculus/Gene/Summary?db=core;g=ENSMUSG00000023232","ENSMUSG00000023232")</f>
        <v>ENSMUSG00000023232</v>
      </c>
      <c r="I757" s="7" t="str">
        <f>HYPERLINK("http://www.informatics.jax.org/marker/MGI:1919132","MGI:1919132")</f>
        <v>MGI:1919132</v>
      </c>
      <c r="J757" s="4" t="s">
        <v>12</v>
      </c>
    </row>
    <row r="758" spans="1:10" x14ac:dyDescent="0.25">
      <c r="A758" s="2">
        <v>3329.3648952901599</v>
      </c>
      <c r="B758" s="3">
        <v>1.22439790355843</v>
      </c>
      <c r="C758" s="5">
        <v>3.2980709978614798E-64</v>
      </c>
      <c r="D758" s="6">
        <v>2.2098288211774099E-62</v>
      </c>
      <c r="E758" s="3" t="s">
        <v>952</v>
      </c>
      <c r="F758" s="3" t="s">
        <v>953</v>
      </c>
      <c r="G758" s="3">
        <v>102595</v>
      </c>
      <c r="H758" s="7" t="str">
        <f>HYPERLINK("http://www.ensembl.org/Mus_musculus/Gene/Summary?db=core;g=ENSMUSG00000050721","ENSMUSG00000050721")</f>
        <v>ENSMUSG00000050721</v>
      </c>
      <c r="I758" s="7" t="str">
        <f>HYPERLINK("http://www.informatics.jax.org/marker/MGI:2143132","MGI:2143132")</f>
        <v>MGI:2143132</v>
      </c>
      <c r="J758" s="4" t="s">
        <v>12</v>
      </c>
    </row>
    <row r="759" spans="1:10" x14ac:dyDescent="0.25">
      <c r="A759" s="2">
        <v>3125.2072340796899</v>
      </c>
      <c r="B759" s="3">
        <v>1.22411097815708</v>
      </c>
      <c r="C759" s="5">
        <v>1.7439727460218501E-36</v>
      </c>
      <c r="D759" s="6">
        <v>5.3598487852020403E-35</v>
      </c>
      <c r="E759" s="3" t="s">
        <v>1466</v>
      </c>
      <c r="F759" s="3" t="s">
        <v>1467</v>
      </c>
      <c r="G759" s="3">
        <v>67702</v>
      </c>
      <c r="H759" s="7" t="str">
        <f>HYPERLINK("http://www.ensembl.org/Mus_musculus/Gene/Summary?db=core;g=ENSMUSG00000048234","ENSMUSG00000048234")</f>
        <v>ENSMUSG00000048234</v>
      </c>
      <c r="I759" s="7" t="str">
        <f>HYPERLINK("http://www.informatics.jax.org/marker/MGI:2677438","MGI:2677438")</f>
        <v>MGI:2677438</v>
      </c>
      <c r="J759" s="4" t="s">
        <v>12</v>
      </c>
    </row>
    <row r="760" spans="1:10" x14ac:dyDescent="0.25">
      <c r="A760" s="2">
        <v>5.7232581946110503</v>
      </c>
      <c r="B760" s="3">
        <v>1.22266243280777</v>
      </c>
      <c r="C760" s="3">
        <v>9.3542635150586396E-3</v>
      </c>
      <c r="D760" s="4">
        <v>2.64148516519901E-2</v>
      </c>
      <c r="E760" s="3" t="s">
        <v>5717</v>
      </c>
      <c r="F760" s="3" t="s">
        <v>5718</v>
      </c>
      <c r="G760" s="3">
        <v>64380</v>
      </c>
      <c r="H760" s="7" t="str">
        <f>HYPERLINK("http://www.ensembl.org/Mus_musculus/Gene/Summary?db=core;g=ENSMUSG00000024675","ENSMUSG00000024675")</f>
        <v>ENSMUSG00000024675</v>
      </c>
      <c r="I760" s="7" t="str">
        <f>HYPERLINK("http://www.informatics.jax.org/marker/MGI:1927656","MGI:1927656")</f>
        <v>MGI:1927656</v>
      </c>
      <c r="J760" s="4" t="s">
        <v>12</v>
      </c>
    </row>
    <row r="761" spans="1:10" x14ac:dyDescent="0.25">
      <c r="A761" s="2">
        <v>45.567007046399098</v>
      </c>
      <c r="B761" s="3">
        <v>1.22124596883656</v>
      </c>
      <c r="C761" s="5">
        <v>1.2238485037216201E-11</v>
      </c>
      <c r="D761" s="6">
        <v>1.1282063217160601E-10</v>
      </c>
      <c r="E761" s="3" t="s">
        <v>4163</v>
      </c>
      <c r="F761" s="3" t="s">
        <v>4164</v>
      </c>
      <c r="G761" s="3" t="s">
        <v>83</v>
      </c>
      <c r="H761" s="7" t="str">
        <f>HYPERLINK("http://www.ensembl.org/Mus_musculus/Gene/Summary?db=core;g=ENSMUSG00000099843","ENSMUSG00000099843")</f>
        <v>ENSMUSG00000099843</v>
      </c>
      <c r="I761" s="7" t="str">
        <f>HYPERLINK("http://www.informatics.jax.org/marker/MGI:3646078","MGI:3646078")</f>
        <v>MGI:3646078</v>
      </c>
      <c r="J761" s="4" t="s">
        <v>939</v>
      </c>
    </row>
    <row r="762" spans="1:10" x14ac:dyDescent="0.25">
      <c r="A762" s="2">
        <v>2.0985876333384299</v>
      </c>
      <c r="B762" s="3">
        <v>1.2204800077103199</v>
      </c>
      <c r="C762" s="3">
        <v>9.4759578769869207E-3</v>
      </c>
      <c r="D762" s="4">
        <v>2.6725368664204101E-2</v>
      </c>
      <c r="E762" s="3" t="s">
        <v>9401</v>
      </c>
      <c r="F762" s="3" t="s">
        <v>9402</v>
      </c>
      <c r="G762" s="3">
        <v>242667</v>
      </c>
      <c r="H762" s="7" t="str">
        <f>HYPERLINK("http://www.ensembl.org/Mus_musculus/Gene/Summary?db=core;g=ENSMUSG00000042388","ENSMUSG00000042388")</f>
        <v>ENSMUSG00000042388</v>
      </c>
      <c r="I762" s="7" t="str">
        <f>HYPERLINK("http://www.informatics.jax.org/marker/MGI:3039563","MGI:3039563")</f>
        <v>MGI:3039563</v>
      </c>
      <c r="J762" s="4" t="s">
        <v>12</v>
      </c>
    </row>
    <row r="763" spans="1:10" x14ac:dyDescent="0.25">
      <c r="A763" s="2">
        <v>14301.349142335401</v>
      </c>
      <c r="B763" s="3">
        <v>1.21964586408234</v>
      </c>
      <c r="C763" s="5">
        <v>4.5929048722381298E-57</v>
      </c>
      <c r="D763" s="6">
        <v>2.5755597322012301E-55</v>
      </c>
      <c r="E763" s="3" t="s">
        <v>368</v>
      </c>
      <c r="F763" s="3" t="s">
        <v>369</v>
      </c>
      <c r="G763" s="3">
        <v>29876</v>
      </c>
      <c r="H763" s="7" t="str">
        <f>HYPERLINK("http://www.ensembl.org/Mus_musculus/Gene/Summary?db=core;g=ENSMUSG00000037242","ENSMUSG00000037242")</f>
        <v>ENSMUSG00000037242</v>
      </c>
      <c r="I763" s="7" t="str">
        <f>HYPERLINK("http://www.informatics.jax.org/marker/MGI:1352754","MGI:1352754")</f>
        <v>MGI:1352754</v>
      </c>
      <c r="J763" s="4" t="s">
        <v>12</v>
      </c>
    </row>
    <row r="764" spans="1:10" x14ac:dyDescent="0.25">
      <c r="A764" s="2">
        <v>2350.8140505531001</v>
      </c>
      <c r="B764" s="3">
        <v>1.2122024243634599</v>
      </c>
      <c r="C764" s="5">
        <v>2.4388108333534299E-124</v>
      </c>
      <c r="D764" s="6">
        <v>5.7723801867358795E-122</v>
      </c>
      <c r="E764" s="3" t="s">
        <v>150</v>
      </c>
      <c r="F764" s="3" t="s">
        <v>151</v>
      </c>
      <c r="G764" s="3">
        <v>319622</v>
      </c>
      <c r="H764" s="7" t="str">
        <f>HYPERLINK("http://www.ensembl.org/Mus_musculus/Gene/Summary?db=core;g=ENSMUSG00000095115","ENSMUSG00000095115")</f>
        <v>ENSMUSG00000095115</v>
      </c>
      <c r="I764" s="7" t="str">
        <f>HYPERLINK("http://www.informatics.jax.org/marker/MGI:2442416","MGI:2442416")</f>
        <v>MGI:2442416</v>
      </c>
      <c r="J764" s="4" t="s">
        <v>12</v>
      </c>
    </row>
    <row r="765" spans="1:10" x14ac:dyDescent="0.25">
      <c r="A765" s="2">
        <v>550.77805256430395</v>
      </c>
      <c r="B765" s="3">
        <v>1.2117443042692499</v>
      </c>
      <c r="C765" s="5">
        <v>9.8645681027513202E-26</v>
      </c>
      <c r="D765" s="6">
        <v>2.0383418783746399E-24</v>
      </c>
      <c r="E765" s="3" t="s">
        <v>2229</v>
      </c>
      <c r="F765" s="3" t="s">
        <v>2230</v>
      </c>
      <c r="G765" s="3">
        <v>217119</v>
      </c>
      <c r="H765" s="7" t="str">
        <f>HYPERLINK("http://www.ensembl.org/Mus_musculus/Gene/Summary?db=core;g=ENSMUSG00000020868","ENSMUSG00000020868")</f>
        <v>ENSMUSG00000020868</v>
      </c>
      <c r="I765" s="7" t="str">
        <f>HYPERLINK("http://www.informatics.jax.org/marker/MGI:2444797","MGI:2444797")</f>
        <v>MGI:2444797</v>
      </c>
      <c r="J765" s="4" t="s">
        <v>12</v>
      </c>
    </row>
    <row r="766" spans="1:10" x14ac:dyDescent="0.25">
      <c r="A766" s="2">
        <v>2762.7782137613199</v>
      </c>
      <c r="B766" s="3">
        <v>1.2097552340319799</v>
      </c>
      <c r="C766" s="5">
        <v>2.7710618943958299E-76</v>
      </c>
      <c r="D766" s="6">
        <v>2.4635416109933601E-74</v>
      </c>
      <c r="E766" s="3" t="s">
        <v>522</v>
      </c>
      <c r="F766" s="3" t="s">
        <v>523</v>
      </c>
      <c r="G766" s="3">
        <v>18081</v>
      </c>
      <c r="H766" s="7" t="str">
        <f>HYPERLINK("http://www.ensembl.org/Mus_musculus/Gene/Summary?db=core;g=ENSMUSG00000037966","ENSMUSG00000037966")</f>
        <v>ENSMUSG00000037966</v>
      </c>
      <c r="I766" s="7" t="str">
        <f>HYPERLINK("http://www.informatics.jax.org/marker/MGI:1196617","MGI:1196617")</f>
        <v>MGI:1196617</v>
      </c>
      <c r="J766" s="4" t="s">
        <v>12</v>
      </c>
    </row>
    <row r="767" spans="1:10" x14ac:dyDescent="0.25">
      <c r="A767" s="2">
        <v>647.43521488055706</v>
      </c>
      <c r="B767" s="3">
        <v>1.2095444534230799</v>
      </c>
      <c r="C767" s="5">
        <v>4.68010629449384E-29</v>
      </c>
      <c r="D767" s="6">
        <v>1.10916693390312E-27</v>
      </c>
      <c r="E767" s="3" t="s">
        <v>2629</v>
      </c>
      <c r="F767" s="3" t="s">
        <v>2630</v>
      </c>
      <c r="G767" s="3">
        <v>14284</v>
      </c>
      <c r="H767" s="7" t="str">
        <f>HYPERLINK("http://www.ensembl.org/Mus_musculus/Gene/Summary?db=core;g=ENSMUSG00000029135","ENSMUSG00000029135")</f>
        <v>ENSMUSG00000029135</v>
      </c>
      <c r="I767" s="7" t="str">
        <f>HYPERLINK("http://www.informatics.jax.org/marker/MGI:102858","MGI:102858")</f>
        <v>MGI:102858</v>
      </c>
      <c r="J767" s="4" t="s">
        <v>12</v>
      </c>
    </row>
    <row r="768" spans="1:10" x14ac:dyDescent="0.25">
      <c r="A768" s="2">
        <v>1.8208390744288401</v>
      </c>
      <c r="B768" s="3">
        <v>1.2082811684342201</v>
      </c>
      <c r="C768" s="3">
        <v>9.9758547298842096E-3</v>
      </c>
      <c r="D768" s="4">
        <v>2.79578582888113E-2</v>
      </c>
      <c r="E768" s="3" t="s">
        <v>13717</v>
      </c>
      <c r="F768" s="3" t="s">
        <v>13718</v>
      </c>
      <c r="G768" s="3">
        <v>110558</v>
      </c>
      <c r="H768" s="7" t="str">
        <f>HYPERLINK("http://www.ensembl.org/Mus_musculus/Gene/Summary?db=core;g=ENSMUSG00000060550","ENSMUSG00000060550")</f>
        <v>ENSMUSG00000060550</v>
      </c>
      <c r="I768" s="7" t="str">
        <f>HYPERLINK("http://www.informatics.jax.org/marker/MGI:95936","MGI:95936")</f>
        <v>MGI:95936</v>
      </c>
      <c r="J768" s="4" t="s">
        <v>12</v>
      </c>
    </row>
    <row r="769" spans="1:10" x14ac:dyDescent="0.25">
      <c r="A769" s="2">
        <v>1.69661656730748</v>
      </c>
      <c r="B769" s="3">
        <v>1.2046879422649901</v>
      </c>
      <c r="C769" s="3">
        <v>9.0953102045385897E-3</v>
      </c>
      <c r="D769" s="4">
        <v>2.57794756574986E-2</v>
      </c>
      <c r="E769" s="3" t="s">
        <v>11060</v>
      </c>
      <c r="F769" s="3" t="s">
        <v>11061</v>
      </c>
      <c r="G769" s="3">
        <v>15977</v>
      </c>
      <c r="H769" s="7" t="str">
        <f>HYPERLINK("http://www.ensembl.org/Mus_musculus/Gene/Summary?db=core;g=ENSMUSG00000048806","ENSMUSG00000048806")</f>
        <v>ENSMUSG00000048806</v>
      </c>
      <c r="I769" s="7" t="str">
        <f>HYPERLINK("http://www.informatics.jax.org/marker/MGI:107657","MGI:107657")</f>
        <v>MGI:107657</v>
      </c>
      <c r="J769" s="4" t="s">
        <v>12</v>
      </c>
    </row>
    <row r="770" spans="1:10" x14ac:dyDescent="0.25">
      <c r="A770" s="2">
        <v>27.3777347781879</v>
      </c>
      <c r="B770" s="3">
        <v>1.2005453563286701</v>
      </c>
      <c r="C770" s="5">
        <v>7.5989192729079393E-5</v>
      </c>
      <c r="D770" s="4">
        <v>3.2312250058037101E-4</v>
      </c>
      <c r="E770" s="3" t="s">
        <v>6435</v>
      </c>
      <c r="F770" s="3" t="s">
        <v>6436</v>
      </c>
      <c r="G770" s="3">
        <v>12870</v>
      </c>
      <c r="H770" s="7" t="str">
        <f>HYPERLINK("http://www.ensembl.org/Mus_musculus/Gene/Summary?db=core;g=ENSMUSG00000003617","ENSMUSG00000003617")</f>
        <v>ENSMUSG00000003617</v>
      </c>
      <c r="I770" s="7" t="str">
        <f>HYPERLINK("http://www.informatics.jax.org/marker/MGI:88476","MGI:88476")</f>
        <v>MGI:88476</v>
      </c>
      <c r="J770" s="4" t="s">
        <v>12</v>
      </c>
    </row>
    <row r="771" spans="1:10" x14ac:dyDescent="0.25">
      <c r="A771" s="2">
        <v>23.981027076710699</v>
      </c>
      <c r="B771" s="3">
        <v>1.2004692813642199</v>
      </c>
      <c r="C771" s="5">
        <v>6.1539891969367802E-7</v>
      </c>
      <c r="D771" s="6">
        <v>3.4994213140147502E-6</v>
      </c>
      <c r="E771" s="3" t="s">
        <v>7100</v>
      </c>
      <c r="F771" s="3" t="s">
        <v>7101</v>
      </c>
      <c r="G771" s="3" t="s">
        <v>83</v>
      </c>
      <c r="H771" s="7" t="str">
        <f>HYPERLINK("http://www.ensembl.org/Mus_musculus/Gene/Summary?db=core;g=ENSMUSG00000113165","ENSMUSG00000113165")</f>
        <v>ENSMUSG00000113165</v>
      </c>
      <c r="I771" s="7" t="str">
        <f>HYPERLINK("http://www.informatics.jax.org/marker/MGI:6097080","MGI:6097080")</f>
        <v>MGI:6097080</v>
      </c>
      <c r="J771" s="4" t="s">
        <v>3187</v>
      </c>
    </row>
    <row r="772" spans="1:10" x14ac:dyDescent="0.25">
      <c r="A772" s="2">
        <v>21.317228021366599</v>
      </c>
      <c r="B772" s="3">
        <v>1.1979643126988699</v>
      </c>
      <c r="C772" s="5">
        <v>3.4016559017083499E-6</v>
      </c>
      <c r="D772" s="6">
        <v>1.77331747164287E-5</v>
      </c>
      <c r="E772" s="3" t="s">
        <v>6473</v>
      </c>
      <c r="F772" s="3" t="s">
        <v>6474</v>
      </c>
      <c r="G772" s="3">
        <v>16797</v>
      </c>
      <c r="H772" s="7" t="str">
        <f>HYPERLINK("http://www.ensembl.org/Mus_musculus/Gene/Summary?db=core;g=ENSMUSG00000030742","ENSMUSG00000030742")</f>
        <v>ENSMUSG00000030742</v>
      </c>
      <c r="I772" s="7" t="str">
        <f>HYPERLINK("http://www.informatics.jax.org/marker/MGI:1342293","MGI:1342293")</f>
        <v>MGI:1342293</v>
      </c>
      <c r="J772" s="4" t="s">
        <v>12</v>
      </c>
    </row>
    <row r="773" spans="1:10" x14ac:dyDescent="0.25">
      <c r="A773" s="2">
        <v>1181.2237963954699</v>
      </c>
      <c r="B773" s="3">
        <v>1.19782009884345</v>
      </c>
      <c r="C773" s="5">
        <v>2.83105668653364E-40</v>
      </c>
      <c r="D773" s="6">
        <v>9.9223092523222397E-39</v>
      </c>
      <c r="E773" s="3" t="s">
        <v>1867</v>
      </c>
      <c r="F773" s="3" t="s">
        <v>1868</v>
      </c>
      <c r="G773" s="3">
        <v>239027</v>
      </c>
      <c r="H773" s="7" t="str">
        <f>HYPERLINK("http://www.ensembl.org/Mus_musculus/Gene/Summary?db=core;g=ENSMUSG00000063506","ENSMUSG00000063506")</f>
        <v>ENSMUSG00000063506</v>
      </c>
      <c r="I773" s="7" t="str">
        <f>HYPERLINK("http://www.informatics.jax.org/marker/MGI:2443418","MGI:2443418")</f>
        <v>MGI:2443418</v>
      </c>
      <c r="J773" s="4" t="s">
        <v>12</v>
      </c>
    </row>
    <row r="774" spans="1:10" x14ac:dyDescent="0.25">
      <c r="A774" s="2">
        <v>321.852199254732</v>
      </c>
      <c r="B774" s="3">
        <v>1.1960545630761199</v>
      </c>
      <c r="C774" s="5">
        <v>3.31889726363062E-25</v>
      </c>
      <c r="D774" s="6">
        <v>6.6984388294205996E-24</v>
      </c>
      <c r="E774" s="3" t="s">
        <v>1270</v>
      </c>
      <c r="F774" s="3" t="s">
        <v>1271</v>
      </c>
      <c r="G774" s="3">
        <v>11796</v>
      </c>
      <c r="H774" s="7" t="str">
        <f>HYPERLINK("http://www.ensembl.org/Mus_musculus/Gene/Summary?db=core;g=ENSMUSG00000032000","ENSMUSG00000032000")</f>
        <v>ENSMUSG00000032000</v>
      </c>
      <c r="I774" s="7" t="str">
        <f>HYPERLINK("http://www.informatics.jax.org/marker/MGI:1197007","MGI:1197007")</f>
        <v>MGI:1197007</v>
      </c>
      <c r="J774" s="4" t="s">
        <v>12</v>
      </c>
    </row>
    <row r="775" spans="1:10" x14ac:dyDescent="0.25">
      <c r="A775" s="2">
        <v>8.1049476436832393</v>
      </c>
      <c r="B775" s="3">
        <v>1.1960050637911399</v>
      </c>
      <c r="C775" s="3">
        <v>1.6431175481698801E-3</v>
      </c>
      <c r="D775" s="4">
        <v>5.5434685885590498E-3</v>
      </c>
      <c r="E775" s="3" t="s">
        <v>11811</v>
      </c>
      <c r="F775" s="3" t="s">
        <v>11812</v>
      </c>
      <c r="G775" s="3" t="s">
        <v>83</v>
      </c>
      <c r="H775" s="7" t="str">
        <f>HYPERLINK("http://www.ensembl.org/Mus_musculus/Gene/Summary?db=core;g=ENSMUSG00000086499","ENSMUSG00000086499")</f>
        <v>ENSMUSG00000086499</v>
      </c>
      <c r="I775" s="7" t="str">
        <f>HYPERLINK("http://www.informatics.jax.org/marker/MGI:3801959","MGI:3801959")</f>
        <v>MGI:3801959</v>
      </c>
      <c r="J775" s="4" t="s">
        <v>932</v>
      </c>
    </row>
    <row r="776" spans="1:10" x14ac:dyDescent="0.25">
      <c r="A776" s="2">
        <v>1.19615394948607</v>
      </c>
      <c r="B776" s="3">
        <v>1.1939071794901801</v>
      </c>
      <c r="C776" s="3">
        <v>8.7543700758109105E-3</v>
      </c>
      <c r="D776" s="4">
        <v>2.4916589096460499E-2</v>
      </c>
      <c r="E776" s="3" t="s">
        <v>13009</v>
      </c>
      <c r="F776" s="3" t="s">
        <v>13010</v>
      </c>
      <c r="G776" s="3" t="s">
        <v>83</v>
      </c>
      <c r="H776" s="7" t="str">
        <f>HYPERLINK("http://www.ensembl.org/Mus_musculus/Gene/Summary?db=core;g=ENSMUSG00000116338","ENSMUSG00000116338")</f>
        <v>ENSMUSG00000116338</v>
      </c>
      <c r="I776" s="7" t="str">
        <f>HYPERLINK("http://www.informatics.jax.org/marker/MGI:2443906","MGI:2443906")</f>
        <v>MGI:2443906</v>
      </c>
      <c r="J776" s="4" t="s">
        <v>939</v>
      </c>
    </row>
    <row r="777" spans="1:10" x14ac:dyDescent="0.25">
      <c r="A777" s="2">
        <v>205.14138314193099</v>
      </c>
      <c r="B777" s="3">
        <v>1.1921111216272799</v>
      </c>
      <c r="C777" s="5">
        <v>7.6956797926740204E-12</v>
      </c>
      <c r="D777" s="6">
        <v>7.2184129810336606E-11</v>
      </c>
      <c r="E777" s="3" t="s">
        <v>4367</v>
      </c>
      <c r="F777" s="3" t="s">
        <v>4368</v>
      </c>
      <c r="G777" s="3">
        <v>12517</v>
      </c>
      <c r="H777" s="7" t="str">
        <f>HYPERLINK("http://www.ensembl.org/Mus_musculus/Gene/Summary?db=core;g=ENSMUSG00000028459","ENSMUSG00000028459")</f>
        <v>ENSMUSG00000028459</v>
      </c>
      <c r="I777" s="7" t="str">
        <f>HYPERLINK("http://www.informatics.jax.org/marker/MGI:88345","MGI:88345")</f>
        <v>MGI:88345</v>
      </c>
      <c r="J777" s="4" t="s">
        <v>12</v>
      </c>
    </row>
    <row r="778" spans="1:10" x14ac:dyDescent="0.25">
      <c r="A778" s="2">
        <v>2.5092282253192</v>
      </c>
      <c r="B778" s="3">
        <v>1.1909112915903901</v>
      </c>
      <c r="C778" s="3">
        <v>1.11707663480484E-2</v>
      </c>
      <c r="D778" s="4">
        <v>3.0973256761476199E-2</v>
      </c>
      <c r="E778" s="3" t="s">
        <v>10732</v>
      </c>
      <c r="F778" s="3" t="s">
        <v>10733</v>
      </c>
      <c r="G778" s="3">
        <v>13082</v>
      </c>
      <c r="H778" s="7" t="str">
        <f>HYPERLINK("http://www.ensembl.org/Mus_musculus/Gene/Summary?db=core;g=ENSMUSG00000024987","ENSMUSG00000024987")</f>
        <v>ENSMUSG00000024987</v>
      </c>
      <c r="I778" s="7" t="str">
        <f>HYPERLINK("http://www.informatics.jax.org/marker/MGI:1096359","MGI:1096359")</f>
        <v>MGI:1096359</v>
      </c>
      <c r="J778" s="4" t="s">
        <v>12</v>
      </c>
    </row>
    <row r="779" spans="1:10" x14ac:dyDescent="0.25">
      <c r="A779" s="2">
        <v>176.61120114881101</v>
      </c>
      <c r="B779" s="3">
        <v>1.1900427986014399</v>
      </c>
      <c r="C779" s="5">
        <v>1.36905831339471E-27</v>
      </c>
      <c r="D779" s="6">
        <v>3.0652441967590399E-26</v>
      </c>
      <c r="E779" s="3" t="s">
        <v>3382</v>
      </c>
      <c r="F779" s="3" t="s">
        <v>3383</v>
      </c>
      <c r="G779" s="3">
        <v>12614</v>
      </c>
      <c r="H779" s="7" t="str">
        <f>HYPERLINK("http://www.ensembl.org/Mus_musculus/Gene/Summary?db=core;g=ENSMUSG00000016028","ENSMUSG00000016028")</f>
        <v>ENSMUSG00000016028</v>
      </c>
      <c r="I779" s="7" t="str">
        <f>HYPERLINK("http://www.informatics.jax.org/marker/MGI:1100883","MGI:1100883")</f>
        <v>MGI:1100883</v>
      </c>
      <c r="J779" s="4" t="s">
        <v>12</v>
      </c>
    </row>
    <row r="780" spans="1:10" x14ac:dyDescent="0.25">
      <c r="A780" s="2">
        <v>25.4641842224386</v>
      </c>
      <c r="B780" s="3">
        <v>1.18880297247496</v>
      </c>
      <c r="C780" s="5">
        <v>7.4288611899106905E-7</v>
      </c>
      <c r="D780" s="6">
        <v>4.1813154782619599E-6</v>
      </c>
      <c r="E780" s="3" t="s">
        <v>8541</v>
      </c>
      <c r="F780" s="3" t="s">
        <v>8542</v>
      </c>
      <c r="G780" s="3" t="s">
        <v>83</v>
      </c>
      <c r="H780" s="7" t="str">
        <f>HYPERLINK("http://www.ensembl.org/Mus_musculus/Gene/Summary?db=core;g=ENSMUSG00000112134","ENSMUSG00000112134")</f>
        <v>ENSMUSG00000112134</v>
      </c>
      <c r="I780" s="7" t="str">
        <f>HYPERLINK("http://www.informatics.jax.org/marker/MGI:5623608","MGI:5623608")</f>
        <v>MGI:5623608</v>
      </c>
      <c r="J780" s="4" t="s">
        <v>939</v>
      </c>
    </row>
    <row r="781" spans="1:10" x14ac:dyDescent="0.25">
      <c r="A781" s="2">
        <v>456.96729586875398</v>
      </c>
      <c r="B781" s="3">
        <v>1.18721718761137</v>
      </c>
      <c r="C781" s="5">
        <v>7.2708722997773706E-5</v>
      </c>
      <c r="D781" s="4">
        <v>3.1054991249927999E-4</v>
      </c>
      <c r="E781" s="3" t="s">
        <v>6451</v>
      </c>
      <c r="F781" s="3" t="s">
        <v>6452</v>
      </c>
      <c r="G781" s="3">
        <v>14130</v>
      </c>
      <c r="H781" s="7" t="str">
        <f>HYPERLINK("http://www.ensembl.org/Mus_musculus/Gene/Summary?db=core;g=ENSMUSG00000026656","ENSMUSG00000026656")</f>
        <v>ENSMUSG00000026656</v>
      </c>
      <c r="I781" s="7" t="str">
        <f>HYPERLINK("http://www.informatics.jax.org/marker/MGI:95499","MGI:95499")</f>
        <v>MGI:95499</v>
      </c>
      <c r="J781" s="4" t="s">
        <v>12</v>
      </c>
    </row>
    <row r="782" spans="1:10" x14ac:dyDescent="0.25">
      <c r="A782" s="2">
        <v>3.2411838748516799</v>
      </c>
      <c r="B782" s="3">
        <v>1.1852614323250501</v>
      </c>
      <c r="C782" s="3">
        <v>8.8630723094374995E-3</v>
      </c>
      <c r="D782" s="4">
        <v>2.51956781842924E-2</v>
      </c>
      <c r="E782" s="3" t="s">
        <v>13351</v>
      </c>
      <c r="F782" s="3" t="s">
        <v>13352</v>
      </c>
      <c r="G782" s="3">
        <v>76527</v>
      </c>
      <c r="H782" s="7" t="str">
        <f>HYPERLINK("http://www.ensembl.org/Mus_musculus/Gene/Summary?db=core;g=ENSMUSG00000031750","ENSMUSG00000031750")</f>
        <v>ENSMUSG00000031750</v>
      </c>
      <c r="I782" s="7" t="str">
        <f>HYPERLINK("http://www.informatics.jax.org/marker/MGI:1923777","MGI:1923777")</f>
        <v>MGI:1923777</v>
      </c>
      <c r="J782" s="4" t="s">
        <v>12</v>
      </c>
    </row>
    <row r="783" spans="1:10" x14ac:dyDescent="0.25">
      <c r="A783" s="2">
        <v>145.29338452414299</v>
      </c>
      <c r="B783" s="3">
        <v>1.1849675203429899</v>
      </c>
      <c r="C783" s="5">
        <v>2.5307359097964401E-10</v>
      </c>
      <c r="D783" s="6">
        <v>2.0945804703015502E-9</v>
      </c>
      <c r="E783" s="3" t="s">
        <v>3562</v>
      </c>
      <c r="F783" s="3" t="s">
        <v>3563</v>
      </c>
      <c r="G783" s="3">
        <v>213233</v>
      </c>
      <c r="H783" s="7" t="str">
        <f>HYPERLINK("http://www.ensembl.org/Mus_musculus/Gene/Summary?db=core;g=ENSMUSG00000038213","ENSMUSG00000038213")</f>
        <v>ENSMUSG00000038213</v>
      </c>
      <c r="I783" s="7" t="str">
        <f>HYPERLINK("http://www.informatics.jax.org/marker/MGI:2384853","MGI:2384853")</f>
        <v>MGI:2384853</v>
      </c>
      <c r="J783" s="4" t="s">
        <v>12</v>
      </c>
    </row>
    <row r="784" spans="1:10" x14ac:dyDescent="0.25">
      <c r="A784" s="2">
        <v>2.7020189146862101</v>
      </c>
      <c r="B784" s="3">
        <v>1.1824712744629799</v>
      </c>
      <c r="C784" s="3">
        <v>9.9912534183878507E-3</v>
      </c>
      <c r="D784" s="4">
        <v>2.7996708725417999E-2</v>
      </c>
      <c r="E784" s="3" t="s">
        <v>13581</v>
      </c>
      <c r="F784" s="3" t="s">
        <v>13582</v>
      </c>
      <c r="G784" s="3">
        <v>211147</v>
      </c>
      <c r="H784" s="7" t="str">
        <f>HYPERLINK("http://www.ensembl.org/Mus_musculus/Gene/Summary?db=core;g=ENSMUSG00000022269","ENSMUSG00000022269")</f>
        <v>ENSMUSG00000022269</v>
      </c>
      <c r="I784" s="7" t="str">
        <f>HYPERLINK("http://www.informatics.jax.org/marker/MGI:3608327","MGI:3608327")</f>
        <v>MGI:3608327</v>
      </c>
      <c r="J784" s="4" t="s">
        <v>12</v>
      </c>
    </row>
    <row r="785" spans="1:10" x14ac:dyDescent="0.25">
      <c r="A785" s="2">
        <v>127.871830033278</v>
      </c>
      <c r="B785" s="3">
        <v>1.1814345406491</v>
      </c>
      <c r="C785" s="5">
        <v>2.0079200615484599E-24</v>
      </c>
      <c r="D785" s="6">
        <v>3.8930152257149697E-23</v>
      </c>
      <c r="E785" s="3" t="s">
        <v>3046</v>
      </c>
      <c r="F785" s="3" t="s">
        <v>3047</v>
      </c>
      <c r="G785" s="3">
        <v>15200</v>
      </c>
      <c r="H785" s="7" t="str">
        <f>HYPERLINK("http://www.ensembl.org/Mus_musculus/Gene/Summary?db=core;g=ENSMUSG00000024486","ENSMUSG00000024486")</f>
        <v>ENSMUSG00000024486</v>
      </c>
      <c r="I785" s="7" t="str">
        <f>HYPERLINK("http://www.informatics.jax.org/marker/MGI:96070","MGI:96070")</f>
        <v>MGI:96070</v>
      </c>
      <c r="J785" s="4" t="s">
        <v>12</v>
      </c>
    </row>
    <row r="786" spans="1:10" x14ac:dyDescent="0.25">
      <c r="A786" s="2">
        <v>264.16294243314002</v>
      </c>
      <c r="B786" s="3">
        <v>1.1810238393208901</v>
      </c>
      <c r="C786" s="5">
        <v>2.29251814469323E-23</v>
      </c>
      <c r="D786" s="6">
        <v>4.2590360027557697E-22</v>
      </c>
      <c r="E786" s="3" t="s">
        <v>3084</v>
      </c>
      <c r="F786" s="3" t="s">
        <v>3085</v>
      </c>
      <c r="G786" s="3">
        <v>22038</v>
      </c>
      <c r="H786" s="7" t="str">
        <f>HYPERLINK("http://www.ensembl.org/Mus_musculus/Gene/Summary?db=core;g=ENSMUSG00000032369","ENSMUSG00000032369")</f>
        <v>ENSMUSG00000032369</v>
      </c>
      <c r="I786" s="7" t="str">
        <f>HYPERLINK("http://www.informatics.jax.org/marker/MGI:893575","MGI:893575")</f>
        <v>MGI:893575</v>
      </c>
      <c r="J786" s="4" t="s">
        <v>12</v>
      </c>
    </row>
    <row r="787" spans="1:10" x14ac:dyDescent="0.25">
      <c r="A787" s="2">
        <v>27.602501510362</v>
      </c>
      <c r="B787" s="3">
        <v>1.1796401364044999</v>
      </c>
      <c r="C787" s="5">
        <v>3.7632282034633399E-6</v>
      </c>
      <c r="D787" s="6">
        <v>1.9512043814543199E-5</v>
      </c>
      <c r="E787" s="3" t="s">
        <v>10052</v>
      </c>
      <c r="F787" s="3" t="s">
        <v>10053</v>
      </c>
      <c r="G787" s="3">
        <v>12822</v>
      </c>
      <c r="H787" s="7" t="str">
        <f>HYPERLINK("http://www.ensembl.org/Mus_musculus/Gene/Summary?db=core;g=ENSMUSG00000001435","ENSMUSG00000001435")</f>
        <v>ENSMUSG00000001435</v>
      </c>
      <c r="I787" s="7" t="str">
        <f>HYPERLINK("http://www.informatics.jax.org/marker/MGI:88451","MGI:88451")</f>
        <v>MGI:88451</v>
      </c>
      <c r="J787" s="4" t="s">
        <v>12</v>
      </c>
    </row>
    <row r="788" spans="1:10" x14ac:dyDescent="0.25">
      <c r="A788" s="2">
        <v>1002.24072717355</v>
      </c>
      <c r="B788" s="3">
        <v>1.1793047004074699</v>
      </c>
      <c r="C788" s="5">
        <v>1.1348880948234001E-68</v>
      </c>
      <c r="D788" s="6">
        <v>8.3400546484501997E-67</v>
      </c>
      <c r="E788" s="3" t="s">
        <v>270</v>
      </c>
      <c r="F788" s="3" t="s">
        <v>271</v>
      </c>
      <c r="G788" s="3">
        <v>17135</v>
      </c>
      <c r="H788" s="7" t="str">
        <f>HYPERLINK("http://www.ensembl.org/Mus_musculus/Gene/Summary?db=core;g=ENSMUSG00000018143","ENSMUSG00000018143")</f>
        <v>ENSMUSG00000018143</v>
      </c>
      <c r="I788" s="7" t="str">
        <f>HYPERLINK("http://www.informatics.jax.org/marker/MGI:99951","MGI:99951")</f>
        <v>MGI:99951</v>
      </c>
      <c r="J788" s="4" t="s">
        <v>12</v>
      </c>
    </row>
    <row r="789" spans="1:10" x14ac:dyDescent="0.25">
      <c r="A789" s="2">
        <v>737.51700056383504</v>
      </c>
      <c r="B789" s="3">
        <v>1.17916125185015</v>
      </c>
      <c r="C789" s="5">
        <v>9.9437836696972005E-17</v>
      </c>
      <c r="D789" s="6">
        <v>1.30378026892253E-15</v>
      </c>
      <c r="E789" s="3" t="s">
        <v>2181</v>
      </c>
      <c r="F789" s="3" t="s">
        <v>2182</v>
      </c>
      <c r="G789" s="3">
        <v>20708</v>
      </c>
      <c r="H789" s="7" t="str">
        <f>HYPERLINK("http://www.ensembl.org/Mus_musculus/Gene/Summary?db=core;g=ENSMUSG00000042842","ENSMUSG00000042842")</f>
        <v>ENSMUSG00000042842</v>
      </c>
      <c r="I789" s="7" t="str">
        <f>HYPERLINK("http://www.informatics.jax.org/marker/MGI:894688","MGI:894688")</f>
        <v>MGI:894688</v>
      </c>
      <c r="J789" s="4" t="s">
        <v>12</v>
      </c>
    </row>
    <row r="790" spans="1:10" x14ac:dyDescent="0.25">
      <c r="A790" s="2">
        <v>598.78788319161004</v>
      </c>
      <c r="B790" s="3">
        <v>1.1757501954594101</v>
      </c>
      <c r="C790" s="5">
        <v>1.4184813853894E-17</v>
      </c>
      <c r="D790" s="6">
        <v>1.9481404106045099E-16</v>
      </c>
      <c r="E790" s="3" t="s">
        <v>3472</v>
      </c>
      <c r="F790" s="3" t="s">
        <v>3473</v>
      </c>
      <c r="G790" s="3">
        <v>22151</v>
      </c>
      <c r="H790" s="7" t="str">
        <f>HYPERLINK("http://www.ensembl.org/Mus_musculus/Gene/Summary?db=core;g=ENSMUSG00000058672","ENSMUSG00000058672")</f>
        <v>ENSMUSG00000058672</v>
      </c>
      <c r="I790" s="7" t="str">
        <f>HYPERLINK("http://www.informatics.jax.org/marker/MGI:107861","MGI:107861")</f>
        <v>MGI:107861</v>
      </c>
      <c r="J790" s="4" t="s">
        <v>12</v>
      </c>
    </row>
    <row r="791" spans="1:10" x14ac:dyDescent="0.25">
      <c r="A791" s="2">
        <v>128.01826615689799</v>
      </c>
      <c r="B791" s="3">
        <v>1.1748364169514001</v>
      </c>
      <c r="C791" s="5">
        <v>2.55191797676743E-12</v>
      </c>
      <c r="D791" s="6">
        <v>2.4870965308335E-11</v>
      </c>
      <c r="E791" s="3" t="s">
        <v>4765</v>
      </c>
      <c r="F791" s="3" t="s">
        <v>4766</v>
      </c>
      <c r="G791" s="3">
        <v>17755</v>
      </c>
      <c r="H791" s="7" t="str">
        <f>HYPERLINK("http://www.ensembl.org/Mus_musculus/Gene/Summary?db=core;g=ENSMUSG00000052727","ENSMUSG00000052727")</f>
        <v>ENSMUSG00000052727</v>
      </c>
      <c r="I791" s="7" t="str">
        <f>HYPERLINK("http://www.informatics.jax.org/marker/MGI:1306778","MGI:1306778")</f>
        <v>MGI:1306778</v>
      </c>
      <c r="J791" s="4" t="s">
        <v>12</v>
      </c>
    </row>
    <row r="792" spans="1:10" x14ac:dyDescent="0.25">
      <c r="A792" s="2">
        <v>56.624250534628402</v>
      </c>
      <c r="B792" s="3">
        <v>1.1726986350395201</v>
      </c>
      <c r="C792" s="5">
        <v>6.9800492992444196E-9</v>
      </c>
      <c r="D792" s="6">
        <v>4.9537148940315299E-8</v>
      </c>
      <c r="E792" s="3" t="s">
        <v>3446</v>
      </c>
      <c r="F792" s="3" t="s">
        <v>3447</v>
      </c>
      <c r="G792" s="3" t="s">
        <v>83</v>
      </c>
      <c r="H792" s="7" t="str">
        <f>HYPERLINK("http://www.ensembl.org/Mus_musculus/Gene/Summary?db=core;g=ENSMUSG00000097000","ENSMUSG00000097000")</f>
        <v>ENSMUSG00000097000</v>
      </c>
      <c r="I792" s="7" t="str">
        <f>HYPERLINK("http://www.informatics.jax.org/marker/MGI:4937069","MGI:4937069")</f>
        <v>MGI:4937069</v>
      </c>
      <c r="J792" s="4" t="s">
        <v>932</v>
      </c>
    </row>
    <row r="793" spans="1:10" x14ac:dyDescent="0.25">
      <c r="A793" s="2">
        <v>51.4046994939917</v>
      </c>
      <c r="B793" s="3">
        <v>1.1718150827393601</v>
      </c>
      <c r="C793" s="5">
        <v>5.5199456437168997E-5</v>
      </c>
      <c r="D793" s="4">
        <v>2.4078748050919199E-4</v>
      </c>
      <c r="E793" s="3" t="s">
        <v>4773</v>
      </c>
      <c r="F793" s="3" t="s">
        <v>4774</v>
      </c>
      <c r="G793" s="3">
        <v>227671</v>
      </c>
      <c r="H793" s="7" t="str">
        <f>HYPERLINK("http://www.ensembl.org/Mus_musculus/Gene/Summary?db=core;g=ENSMUSG00000026829","ENSMUSG00000026829")</f>
        <v>ENSMUSG00000026829</v>
      </c>
      <c r="I793" s="7" t="str">
        <f>HYPERLINK("http://www.informatics.jax.org/marker/MGI:2449143","MGI:2449143")</f>
        <v>MGI:2449143</v>
      </c>
      <c r="J793" s="4" t="s">
        <v>12</v>
      </c>
    </row>
    <row r="794" spans="1:10" x14ac:dyDescent="0.25">
      <c r="A794" s="2">
        <v>19.573791598921702</v>
      </c>
      <c r="B794" s="3">
        <v>1.17030837911161</v>
      </c>
      <c r="C794" s="5">
        <v>8.5799476346403602E-5</v>
      </c>
      <c r="D794" s="4">
        <v>3.62302005656442E-4</v>
      </c>
      <c r="E794" s="3" t="s">
        <v>5535</v>
      </c>
      <c r="F794" s="3" t="s">
        <v>5536</v>
      </c>
      <c r="G794" s="3" t="s">
        <v>83</v>
      </c>
      <c r="H794" s="7" t="str">
        <f>HYPERLINK("http://www.ensembl.org/Mus_musculus/Gene/Summary?db=core;g=ENSMUSG00000112226","ENSMUSG00000112226")</f>
        <v>ENSMUSG00000112226</v>
      </c>
      <c r="I794" s="7" t="str">
        <f>HYPERLINK("http://www.informatics.jax.org/marker/MGI:6098486","MGI:6098486")</f>
        <v>MGI:6098486</v>
      </c>
      <c r="J794" s="4" t="s">
        <v>1043</v>
      </c>
    </row>
    <row r="795" spans="1:10" x14ac:dyDescent="0.25">
      <c r="A795" s="2">
        <v>2103.92704358827</v>
      </c>
      <c r="B795" s="3">
        <v>1.16558657952911</v>
      </c>
      <c r="C795" s="5">
        <v>6.6544043839213803E-102</v>
      </c>
      <c r="D795" s="6">
        <v>1.00228528840469E-99</v>
      </c>
      <c r="E795" s="3" t="s">
        <v>184</v>
      </c>
      <c r="F795" s="3" t="s">
        <v>185</v>
      </c>
      <c r="G795" s="3">
        <v>17355</v>
      </c>
      <c r="H795" s="7" t="str">
        <f>HYPERLINK("http://www.ensembl.org/Mus_musculus/Gene/Summary?db=core;g=ENSMUSG00000029313","ENSMUSG00000029313")</f>
        <v>ENSMUSG00000029313</v>
      </c>
      <c r="I795" s="7" t="str">
        <f>HYPERLINK("http://www.informatics.jax.org/marker/MGI:1100819","MGI:1100819")</f>
        <v>MGI:1100819</v>
      </c>
      <c r="J795" s="4" t="s">
        <v>12</v>
      </c>
    </row>
    <row r="796" spans="1:10" x14ac:dyDescent="0.25">
      <c r="A796" s="2">
        <v>36.692280291347302</v>
      </c>
      <c r="B796" s="3">
        <v>1.1648642016583599</v>
      </c>
      <c r="C796" s="5">
        <v>1.8125819251667599E-7</v>
      </c>
      <c r="D796" s="6">
        <v>1.10482627378476E-6</v>
      </c>
      <c r="E796" s="3" t="s">
        <v>6093</v>
      </c>
      <c r="F796" s="3" t="s">
        <v>6094</v>
      </c>
      <c r="G796" s="3">
        <v>620695</v>
      </c>
      <c r="H796" s="7" t="str">
        <f>HYPERLINK("http://www.ensembl.org/Mus_musculus/Gene/Summary?db=core;g=ENSMUSG00000087006","ENSMUSG00000087006")</f>
        <v>ENSMUSG00000087006</v>
      </c>
      <c r="I796" s="7" t="str">
        <f>HYPERLINK("http://www.informatics.jax.org/marker/MGI:3652053","MGI:3652053")</f>
        <v>MGI:3652053</v>
      </c>
      <c r="J796" s="4" t="s">
        <v>12</v>
      </c>
    </row>
    <row r="797" spans="1:10" x14ac:dyDescent="0.25">
      <c r="A797" s="2">
        <v>391.93066878083198</v>
      </c>
      <c r="B797" s="3">
        <v>1.1646167702477701</v>
      </c>
      <c r="C797" s="5">
        <v>2.95033913618536E-16</v>
      </c>
      <c r="D797" s="6">
        <v>3.7706823812747704E-15</v>
      </c>
      <c r="E797" s="3" t="s">
        <v>3572</v>
      </c>
      <c r="F797" s="3" t="s">
        <v>3573</v>
      </c>
      <c r="G797" s="3" t="s">
        <v>83</v>
      </c>
      <c r="H797" s="7" t="str">
        <f>HYPERLINK("http://www.ensembl.org/Mus_musculus/Gene/Summary?db=core;g=ENSMUSG00000097352","ENSMUSG00000097352")</f>
        <v>ENSMUSG00000097352</v>
      </c>
      <c r="I797" s="7" t="str">
        <f>HYPERLINK("http://www.informatics.jax.org/marker/MGI:3583961","MGI:3583961")</f>
        <v>MGI:3583961</v>
      </c>
      <c r="J797" s="4" t="s">
        <v>320</v>
      </c>
    </row>
    <row r="798" spans="1:10" x14ac:dyDescent="0.25">
      <c r="A798" s="2">
        <v>18.297764822211199</v>
      </c>
      <c r="B798" s="3">
        <v>1.1644806147793401</v>
      </c>
      <c r="C798" s="5">
        <v>5.7274846545815299E-6</v>
      </c>
      <c r="D798" s="6">
        <v>2.9019574042187501E-5</v>
      </c>
      <c r="E798" s="3" t="s">
        <v>12719</v>
      </c>
      <c r="F798" s="3" t="s">
        <v>12720</v>
      </c>
      <c r="G798" s="3" t="s">
        <v>83</v>
      </c>
      <c r="H798" s="7" t="str">
        <f>HYPERLINK("http://www.ensembl.org/Mus_musculus/Gene/Summary?db=core;g=ENSMUSG00000084817","ENSMUSG00000084817")</f>
        <v>ENSMUSG00000084817</v>
      </c>
      <c r="I798" s="7" t="str">
        <f>HYPERLINK("http://www.informatics.jax.org/marker/MGI:3643066","MGI:3643066")</f>
        <v>MGI:3643066</v>
      </c>
      <c r="J798" s="4" t="s">
        <v>1043</v>
      </c>
    </row>
    <row r="799" spans="1:10" x14ac:dyDescent="0.25">
      <c r="A799" s="2">
        <v>36.833115817794699</v>
      </c>
      <c r="B799" s="3">
        <v>1.15993237192265</v>
      </c>
      <c r="C799" s="5">
        <v>2.7630926985922899E-5</v>
      </c>
      <c r="D799" s="4">
        <v>1.2643074173197201E-4</v>
      </c>
      <c r="E799" s="3" t="s">
        <v>6403</v>
      </c>
      <c r="F799" s="3" t="s">
        <v>6404</v>
      </c>
      <c r="G799" s="3">
        <v>69553</v>
      </c>
      <c r="H799" s="7" t="str">
        <f>HYPERLINK("http://www.ensembl.org/Mus_musculus/Gene/Summary?db=core;g=ENSMUSG00000074577","ENSMUSG00000074577")</f>
        <v>ENSMUSG00000074577</v>
      </c>
      <c r="I799" s="7" t="str">
        <f>HYPERLINK("http://www.informatics.jax.org/marker/MGI:1916803","MGI:1916803")</f>
        <v>MGI:1916803</v>
      </c>
      <c r="J799" s="4" t="s">
        <v>12</v>
      </c>
    </row>
    <row r="800" spans="1:10" x14ac:dyDescent="0.25">
      <c r="A800" s="2">
        <v>863.55306764256602</v>
      </c>
      <c r="B800" s="3">
        <v>1.1586481569539699</v>
      </c>
      <c r="C800" s="5">
        <v>4.6606769259883598E-23</v>
      </c>
      <c r="D800" s="6">
        <v>8.4940836976137802E-22</v>
      </c>
      <c r="E800" s="3" t="s">
        <v>1344</v>
      </c>
      <c r="F800" s="3" t="s">
        <v>1345</v>
      </c>
      <c r="G800" s="3">
        <v>80287</v>
      </c>
      <c r="H800" s="7" t="str">
        <f>HYPERLINK("http://www.ensembl.org/Mus_musculus/Gene/Summary?db=core;g=ENSMUSG00000009585","ENSMUSG00000009585")</f>
        <v>ENSMUSG00000009585</v>
      </c>
      <c r="I800" s="7" t="str">
        <f>HYPERLINK("http://www.informatics.jax.org/marker/MGI:1933111","MGI:1933111")</f>
        <v>MGI:1933111</v>
      </c>
      <c r="J800" s="4" t="s">
        <v>12</v>
      </c>
    </row>
    <row r="801" spans="1:10" x14ac:dyDescent="0.25">
      <c r="A801" s="2">
        <v>2427.1222445998401</v>
      </c>
      <c r="B801" s="3">
        <v>1.15748157811785</v>
      </c>
      <c r="C801" s="5">
        <v>3.4178834574241301E-25</v>
      </c>
      <c r="D801" s="6">
        <v>6.8905891605702201E-24</v>
      </c>
      <c r="E801" s="3" t="s">
        <v>2009</v>
      </c>
      <c r="F801" s="3" t="s">
        <v>2010</v>
      </c>
      <c r="G801" s="3">
        <v>212032</v>
      </c>
      <c r="H801" s="7" t="str">
        <f>HYPERLINK("http://www.ensembl.org/Mus_musculus/Gene/Summary?db=core;g=ENSMUSG00000025877","ENSMUSG00000025877")</f>
        <v>ENSMUSG00000025877</v>
      </c>
      <c r="I801" s="7" t="str">
        <f>HYPERLINK("http://www.informatics.jax.org/marker/MGI:2670962","MGI:2670962")</f>
        <v>MGI:2670962</v>
      </c>
      <c r="J801" s="4" t="s">
        <v>12</v>
      </c>
    </row>
    <row r="802" spans="1:10" x14ac:dyDescent="0.25">
      <c r="A802" s="2">
        <v>367.40771938828101</v>
      </c>
      <c r="B802" s="3">
        <v>1.15720643998693</v>
      </c>
      <c r="C802" s="5">
        <v>1.08498387719081E-14</v>
      </c>
      <c r="D802" s="6">
        <v>1.25230089688426E-13</v>
      </c>
      <c r="E802" s="3" t="s">
        <v>1770</v>
      </c>
      <c r="F802" s="3" t="s">
        <v>1771</v>
      </c>
      <c r="G802" s="3">
        <v>15051</v>
      </c>
      <c r="H802" s="7" t="str">
        <f>HYPERLINK("http://www.ensembl.org/Mus_musculus/Gene/Summary?db=core;g=ENSMUSG00000056116","ENSMUSG00000056116")</f>
        <v>ENSMUSG00000056116</v>
      </c>
      <c r="I802" s="7" t="str">
        <f>HYPERLINK("http://www.informatics.jax.org/marker/MGI:95956","MGI:95956")</f>
        <v>MGI:95956</v>
      </c>
      <c r="J802" s="4" t="s">
        <v>12</v>
      </c>
    </row>
    <row r="803" spans="1:10" x14ac:dyDescent="0.25">
      <c r="A803" s="2">
        <v>2995.3178601914201</v>
      </c>
      <c r="B803" s="3">
        <v>1.1550498520349199</v>
      </c>
      <c r="C803" s="5">
        <v>1.4099869802047701E-34</v>
      </c>
      <c r="D803" s="6">
        <v>4.0853756302435399E-33</v>
      </c>
      <c r="E803" s="3" t="s">
        <v>1068</v>
      </c>
      <c r="F803" s="3" t="s">
        <v>1069</v>
      </c>
      <c r="G803" s="3">
        <v>26373</v>
      </c>
      <c r="H803" s="7" t="str">
        <f>HYPERLINK("http://www.ensembl.org/Mus_musculus/Gene/Summary?db=core;g=ENSMUSG00000036636","ENSMUSG00000036636")</f>
        <v>ENSMUSG00000036636</v>
      </c>
      <c r="I803" s="7" t="str">
        <f>HYPERLINK("http://www.informatics.jax.org/marker/MGI:1347048","MGI:1347048")</f>
        <v>MGI:1347048</v>
      </c>
      <c r="J803" s="4" t="s">
        <v>12</v>
      </c>
    </row>
    <row r="804" spans="1:10" x14ac:dyDescent="0.25">
      <c r="A804" s="2">
        <v>303.93868102671098</v>
      </c>
      <c r="B804" s="3">
        <v>1.15066260414874</v>
      </c>
      <c r="C804" s="5">
        <v>2.1393020128443401E-15</v>
      </c>
      <c r="D804" s="6">
        <v>2.57181920739368E-14</v>
      </c>
      <c r="E804" s="3" t="s">
        <v>3498</v>
      </c>
      <c r="F804" s="3" t="s">
        <v>3499</v>
      </c>
      <c r="G804" s="3">
        <v>12795</v>
      </c>
      <c r="H804" s="7" t="str">
        <f>HYPERLINK("http://www.ensembl.org/Mus_musculus/Gene/Summary?db=core;g=ENSMUSG00000028680","ENSMUSG00000028680")</f>
        <v>ENSMUSG00000028680</v>
      </c>
      <c r="I804" s="7" t="str">
        <f>HYPERLINK("http://www.informatics.jax.org/marker/MGI:109604","MGI:109604")</f>
        <v>MGI:109604</v>
      </c>
      <c r="J804" s="4" t="s">
        <v>12</v>
      </c>
    </row>
    <row r="805" spans="1:10" x14ac:dyDescent="0.25">
      <c r="A805" s="2">
        <v>201.79188303247199</v>
      </c>
      <c r="B805" s="3">
        <v>1.1502051586164299</v>
      </c>
      <c r="C805" s="5">
        <v>1.58050636791313E-6</v>
      </c>
      <c r="D805" s="6">
        <v>8.5958605058838708E-6</v>
      </c>
      <c r="E805" s="3" t="s">
        <v>8371</v>
      </c>
      <c r="F805" s="3" t="s">
        <v>8372</v>
      </c>
      <c r="G805" s="3" t="s">
        <v>83</v>
      </c>
      <c r="H805" s="7" t="str">
        <f>HYPERLINK("http://www.ensembl.org/Mus_musculus/Gene/Summary?db=core;g=ENSMUSG00000093264","ENSMUSG00000093264")</f>
        <v>ENSMUSG00000093264</v>
      </c>
      <c r="I805" s="7" t="str">
        <f>HYPERLINK("http://www.informatics.jax.org/marker/MGI:5453196","MGI:5453196")</f>
        <v>MGI:5453196</v>
      </c>
      <c r="J805" s="4" t="s">
        <v>6715</v>
      </c>
    </row>
    <row r="806" spans="1:10" x14ac:dyDescent="0.25">
      <c r="A806" s="2">
        <v>6207.4103318736697</v>
      </c>
      <c r="B806" s="3">
        <v>1.1495557666607501</v>
      </c>
      <c r="C806" s="5">
        <v>5.4665771505985602E-45</v>
      </c>
      <c r="D806" s="6">
        <v>2.2694389195822002E-43</v>
      </c>
      <c r="E806" s="3" t="s">
        <v>678</v>
      </c>
      <c r="F806" s="3" t="s">
        <v>679</v>
      </c>
      <c r="G806" s="3">
        <v>68585</v>
      </c>
      <c r="H806" s="7" t="str">
        <f>HYPERLINK("http://www.ensembl.org/Mus_musculus/Gene/Summary?db=core;g=ENSMUSG00000020458","ENSMUSG00000020458")</f>
        <v>ENSMUSG00000020458</v>
      </c>
      <c r="I806" s="7" t="str">
        <f>HYPERLINK("http://www.informatics.jax.org/marker/MGI:1915835","MGI:1915835")</f>
        <v>MGI:1915835</v>
      </c>
      <c r="J806" s="4" t="s">
        <v>12</v>
      </c>
    </row>
    <row r="807" spans="1:10" x14ac:dyDescent="0.25">
      <c r="A807" s="2">
        <v>317.028318708038</v>
      </c>
      <c r="B807" s="3">
        <v>1.1483263183505299</v>
      </c>
      <c r="C807" s="5">
        <v>4.8769254903792502E-24</v>
      </c>
      <c r="D807" s="6">
        <v>9.2875618664745802E-23</v>
      </c>
      <c r="E807" s="3" t="s">
        <v>5609</v>
      </c>
      <c r="F807" s="3" t="s">
        <v>5610</v>
      </c>
      <c r="G807" s="3">
        <v>270084</v>
      </c>
      <c r="H807" s="7" t="str">
        <f>HYPERLINK("http://www.ensembl.org/Mus_musculus/Gene/Summary?db=core;g=ENSMUSG00000033192","ENSMUSG00000033192")</f>
        <v>ENSMUSG00000033192</v>
      </c>
      <c r="I807" s="7" t="str">
        <f>HYPERLINK("http://www.informatics.jax.org/marker/MGI:3606214","MGI:3606214")</f>
        <v>MGI:3606214</v>
      </c>
      <c r="J807" s="4" t="s">
        <v>12</v>
      </c>
    </row>
    <row r="808" spans="1:10" x14ac:dyDescent="0.25">
      <c r="A808" s="2">
        <v>1312.0346934516399</v>
      </c>
      <c r="B808" s="3">
        <v>1.1481929628862999</v>
      </c>
      <c r="C808" s="5">
        <v>7.2560491828189403E-82</v>
      </c>
      <c r="D808" s="6">
        <v>7.1481889922635306E-80</v>
      </c>
      <c r="E808" s="3" t="s">
        <v>580</v>
      </c>
      <c r="F808" s="3" t="s">
        <v>581</v>
      </c>
      <c r="G808" s="3">
        <v>170755</v>
      </c>
      <c r="H808" s="7" t="str">
        <f>HYPERLINK("http://www.ensembl.org/Mus_musculus/Gene/Summary?db=core;g=ENSMUSG00000025915","ENSMUSG00000025915")</f>
        <v>ENSMUSG00000025915</v>
      </c>
      <c r="I808" s="7" t="str">
        <f>HYPERLINK("http://www.informatics.jax.org/marker/MGI:2182368","MGI:2182368")</f>
        <v>MGI:2182368</v>
      </c>
      <c r="J808" s="4" t="s">
        <v>12</v>
      </c>
    </row>
    <row r="809" spans="1:10" x14ac:dyDescent="0.25">
      <c r="A809" s="2">
        <v>2384.1417518216799</v>
      </c>
      <c r="B809" s="3">
        <v>1.1479154221963099</v>
      </c>
      <c r="C809" s="5">
        <v>1.7541524334448401E-55</v>
      </c>
      <c r="D809" s="6">
        <v>9.4864771808700996E-54</v>
      </c>
      <c r="E809" s="3" t="s">
        <v>672</v>
      </c>
      <c r="F809" s="3" t="s">
        <v>673</v>
      </c>
      <c r="G809" s="3">
        <v>20947</v>
      </c>
      <c r="H809" s="7" t="str">
        <f>HYPERLINK("http://www.ensembl.org/Mus_musculus/Gene/Summary?db=core;g=ENSMUSG00000031015","ENSMUSG00000031015")</f>
        <v>ENSMUSG00000031015</v>
      </c>
      <c r="I809" s="7" t="str">
        <f>HYPERLINK("http://www.informatics.jax.org/marker/MGI:1298390","MGI:1298390")</f>
        <v>MGI:1298390</v>
      </c>
      <c r="J809" s="4" t="s">
        <v>12</v>
      </c>
    </row>
    <row r="810" spans="1:10" x14ac:dyDescent="0.25">
      <c r="A810" s="2">
        <v>1546.40116615736</v>
      </c>
      <c r="B810" s="3">
        <v>1.1473171642062501</v>
      </c>
      <c r="C810" s="5">
        <v>1.4994743376980499E-55</v>
      </c>
      <c r="D810" s="6">
        <v>8.1333094656389802E-54</v>
      </c>
      <c r="E810" s="3" t="s">
        <v>478</v>
      </c>
      <c r="F810" s="3" t="s">
        <v>479</v>
      </c>
      <c r="G810" s="3">
        <v>30938</v>
      </c>
      <c r="H810" s="7" t="str">
        <f>HYPERLINK("http://www.ensembl.org/Mus_musculus/Gene/Summary?db=core;g=ENSMUSG00000037946","ENSMUSG00000037946")</f>
        <v>ENSMUSG00000037946</v>
      </c>
      <c r="I810" s="7" t="str">
        <f>HYPERLINK("http://www.informatics.jax.org/marker/MGI:1353657","MGI:1353657")</f>
        <v>MGI:1353657</v>
      </c>
      <c r="J810" s="4" t="s">
        <v>12</v>
      </c>
    </row>
    <row r="811" spans="1:10" x14ac:dyDescent="0.25">
      <c r="A811" s="2">
        <v>986.75482415954002</v>
      </c>
      <c r="B811" s="3">
        <v>1.1472119705083399</v>
      </c>
      <c r="C811" s="5">
        <v>6.2018992892285899E-28</v>
      </c>
      <c r="D811" s="6">
        <v>1.40934681479041E-26</v>
      </c>
      <c r="E811" s="3" t="s">
        <v>1965</v>
      </c>
      <c r="F811" s="3" t="s">
        <v>1966</v>
      </c>
      <c r="G811" s="3">
        <v>11852</v>
      </c>
      <c r="H811" s="7" t="str">
        <f>HYPERLINK("http://www.ensembl.org/Mus_musculus/Gene/Summary?db=core;g=ENSMUSG00000054364","ENSMUSG00000054364")</f>
        <v>ENSMUSG00000054364</v>
      </c>
      <c r="I811" s="7" t="str">
        <f>HYPERLINK("http://www.informatics.jax.org/marker/MGI:107949","MGI:107949")</f>
        <v>MGI:107949</v>
      </c>
      <c r="J811" s="4" t="s">
        <v>12</v>
      </c>
    </row>
    <row r="812" spans="1:10" x14ac:dyDescent="0.25">
      <c r="A812" s="2">
        <v>4140.9950763914803</v>
      </c>
      <c r="B812" s="3">
        <v>1.14526301116129</v>
      </c>
      <c r="C812" s="5">
        <v>9.9797651434371701E-154</v>
      </c>
      <c r="D812" s="6">
        <v>3.4317211271536298E-151</v>
      </c>
      <c r="E812" s="3" t="s">
        <v>75</v>
      </c>
      <c r="F812" s="3" t="s">
        <v>76</v>
      </c>
      <c r="G812" s="3">
        <v>319765</v>
      </c>
      <c r="H812" s="7" t="str">
        <f>HYPERLINK("http://www.ensembl.org/Mus_musculus/Gene/Summary?db=core;g=ENSMUSG00000033581","ENSMUSG00000033581")</f>
        <v>ENSMUSG00000033581</v>
      </c>
      <c r="I812" s="7" t="str">
        <f>HYPERLINK("http://www.informatics.jax.org/marker/MGI:1890358","MGI:1890358")</f>
        <v>MGI:1890358</v>
      </c>
      <c r="J812" s="4" t="s">
        <v>12</v>
      </c>
    </row>
    <row r="813" spans="1:10" x14ac:dyDescent="0.25">
      <c r="A813" s="2">
        <v>44.546370072520801</v>
      </c>
      <c r="B813" s="3">
        <v>1.14491561285437</v>
      </c>
      <c r="C813" s="5">
        <v>1.68771099394251E-6</v>
      </c>
      <c r="D813" s="6">
        <v>9.1352933960802799E-6</v>
      </c>
      <c r="E813" s="3" t="s">
        <v>3196</v>
      </c>
      <c r="F813" s="3" t="s">
        <v>3197</v>
      </c>
      <c r="G813" s="3">
        <v>16173</v>
      </c>
      <c r="H813" s="7" t="str">
        <f>HYPERLINK("http://www.ensembl.org/Mus_musculus/Gene/Summary?db=core;g=ENSMUSG00000039217","ENSMUSG00000039217")</f>
        <v>ENSMUSG00000039217</v>
      </c>
      <c r="I813" s="7" t="str">
        <f>HYPERLINK("http://www.informatics.jax.org/marker/MGI:107936","MGI:107936")</f>
        <v>MGI:107936</v>
      </c>
      <c r="J813" s="4" t="s">
        <v>12</v>
      </c>
    </row>
    <row r="814" spans="1:10" x14ac:dyDescent="0.25">
      <c r="A814" s="2">
        <v>50.503885751885797</v>
      </c>
      <c r="B814" s="3">
        <v>1.14439671116555</v>
      </c>
      <c r="C814" s="5">
        <v>4.10697299600666E-10</v>
      </c>
      <c r="D814" s="6">
        <v>3.3296077781237299E-9</v>
      </c>
      <c r="E814" s="3" t="s">
        <v>5289</v>
      </c>
      <c r="F814" s="3" t="s">
        <v>5290</v>
      </c>
      <c r="G814" s="3">
        <v>378431</v>
      </c>
      <c r="H814" s="7" t="str">
        <f>HYPERLINK("http://www.ensembl.org/Mus_musculus/Gene/Summary?db=core;g=ENSMUSG00000039891","ENSMUSG00000039891")</f>
        <v>ENSMUSG00000039891</v>
      </c>
      <c r="I814" s="7" t="str">
        <f>HYPERLINK("http://www.informatics.jax.org/marker/MGI:2671945","MGI:2671945")</f>
        <v>MGI:2671945</v>
      </c>
      <c r="J814" s="4" t="s">
        <v>12</v>
      </c>
    </row>
    <row r="815" spans="1:10" x14ac:dyDescent="0.25">
      <c r="A815" s="2">
        <v>4.7198777824027296</v>
      </c>
      <c r="B815" s="3">
        <v>1.1434663926794599</v>
      </c>
      <c r="C815" s="3">
        <v>9.9158951625279608E-3</v>
      </c>
      <c r="D815" s="4">
        <v>2.7806922501472899E-2</v>
      </c>
      <c r="E815" s="3" t="s">
        <v>10567</v>
      </c>
      <c r="F815" s="3" t="s">
        <v>10568</v>
      </c>
      <c r="G815" s="3">
        <v>109575</v>
      </c>
      <c r="H815" s="7" t="str">
        <f>HYPERLINK("http://www.ensembl.org/Mus_musculus/Gene/Summary?db=core;g=ENSMUSG00000037477","ENSMUSG00000037477")</f>
        <v>ENSMUSG00000037477</v>
      </c>
      <c r="I815" s="7" t="str">
        <f>HYPERLINK("http://www.informatics.jax.org/marker/MGI:1261436","MGI:1261436")</f>
        <v>MGI:1261436</v>
      </c>
      <c r="J815" s="4" t="s">
        <v>12</v>
      </c>
    </row>
    <row r="816" spans="1:10" x14ac:dyDescent="0.25">
      <c r="A816" s="2">
        <v>14.668605162452501</v>
      </c>
      <c r="B816" s="3">
        <v>1.1432013845623501</v>
      </c>
      <c r="C816" s="3">
        <v>2.3890362484582802E-3</v>
      </c>
      <c r="D816" s="4">
        <v>7.7625576088700601E-3</v>
      </c>
      <c r="E816" s="3" t="s">
        <v>6992</v>
      </c>
      <c r="F816" s="3" t="s">
        <v>6993</v>
      </c>
      <c r="G816" s="3">
        <v>12700</v>
      </c>
      <c r="H816" s="7" t="str">
        <f>HYPERLINK("http://www.ensembl.org/Mus_musculus/Gene/Summary?db=core;g=ENSMUSG00000032578","ENSMUSG00000032578")</f>
        <v>ENSMUSG00000032578</v>
      </c>
      <c r="I816" s="7" t="str">
        <f>HYPERLINK("http://www.informatics.jax.org/marker/MGI:103159","MGI:103159")</f>
        <v>MGI:103159</v>
      </c>
      <c r="J816" s="4" t="s">
        <v>12</v>
      </c>
    </row>
    <row r="817" spans="1:10" x14ac:dyDescent="0.25">
      <c r="A817" s="2">
        <v>8.7881825778695308</v>
      </c>
      <c r="B817" s="3">
        <v>1.14234599051768</v>
      </c>
      <c r="C817" s="3">
        <v>2.4901785080239601E-3</v>
      </c>
      <c r="D817" s="4">
        <v>8.0638776312609399E-3</v>
      </c>
      <c r="E817" s="3" t="s">
        <v>9449</v>
      </c>
      <c r="F817" s="3" t="s">
        <v>9450</v>
      </c>
      <c r="G817" s="3" t="s">
        <v>83</v>
      </c>
      <c r="H817" s="7" t="str">
        <f>HYPERLINK("http://www.ensembl.org/Mus_musculus/Gene/Summary?db=core;g=ENSMUSG00000091997","ENSMUSG00000091997")</f>
        <v>ENSMUSG00000091997</v>
      </c>
      <c r="I817" s="7" t="str">
        <f>HYPERLINK("http://www.informatics.jax.org/marker/MGI:3645568","MGI:3645568")</f>
        <v>MGI:3645568</v>
      </c>
      <c r="J817" s="4" t="s">
        <v>1043</v>
      </c>
    </row>
    <row r="818" spans="1:10" x14ac:dyDescent="0.25">
      <c r="A818" s="2">
        <v>3049.0623417987799</v>
      </c>
      <c r="B818" s="3">
        <v>1.14228840524744</v>
      </c>
      <c r="C818" s="5">
        <v>6.2108187139770098E-110</v>
      </c>
      <c r="D818" s="6">
        <v>1.1097271672767701E-107</v>
      </c>
      <c r="E818" s="3" t="s">
        <v>266</v>
      </c>
      <c r="F818" s="3" t="s">
        <v>267</v>
      </c>
      <c r="G818" s="3">
        <v>26965</v>
      </c>
      <c r="H818" s="7" t="str">
        <f>HYPERLINK("http://www.ensembl.org/Mus_musculus/Gene/Summary?db=core;g=ENSMUSG00000029686","ENSMUSG00000029686")</f>
        <v>ENSMUSG00000029686</v>
      </c>
      <c r="I818" s="7" t="str">
        <f>HYPERLINK("http://www.informatics.jax.org/marker/MGI:1349658","MGI:1349658")</f>
        <v>MGI:1349658</v>
      </c>
      <c r="J818" s="4" t="s">
        <v>12</v>
      </c>
    </row>
    <row r="819" spans="1:10" x14ac:dyDescent="0.25">
      <c r="A819" s="2">
        <v>1193.37770724956</v>
      </c>
      <c r="B819" s="3">
        <v>1.14227115485075</v>
      </c>
      <c r="C819" s="5">
        <v>6.6354316411326598E-19</v>
      </c>
      <c r="D819" s="6">
        <v>9.8477802654432204E-18</v>
      </c>
      <c r="E819" s="3" t="s">
        <v>2331</v>
      </c>
      <c r="F819" s="3" t="s">
        <v>2332</v>
      </c>
      <c r="G819" s="3">
        <v>12306</v>
      </c>
      <c r="H819" s="7" t="str">
        <f>HYPERLINK("http://www.ensembl.org/Mus_musculus/Gene/Summary?db=core;g=ENSMUSG00000032231","ENSMUSG00000032231")</f>
        <v>ENSMUSG00000032231</v>
      </c>
      <c r="I819" s="7" t="str">
        <f>HYPERLINK("http://www.informatics.jax.org/marker/MGI:88246","MGI:88246")</f>
        <v>MGI:88246</v>
      </c>
      <c r="J819" s="4" t="s">
        <v>12</v>
      </c>
    </row>
    <row r="820" spans="1:10" x14ac:dyDescent="0.25">
      <c r="A820" s="2">
        <v>1504.72041589433</v>
      </c>
      <c r="B820" s="3">
        <v>1.1396588991330701</v>
      </c>
      <c r="C820" s="5">
        <v>1.1127671802675699E-24</v>
      </c>
      <c r="D820" s="6">
        <v>2.1830120409447201E-23</v>
      </c>
      <c r="E820" s="3" t="s">
        <v>732</v>
      </c>
      <c r="F820" s="3" t="s">
        <v>733</v>
      </c>
      <c r="G820" s="3">
        <v>13163</v>
      </c>
      <c r="H820" s="7" t="str">
        <f>HYPERLINK("http://www.ensembl.org/Mus_musculus/Gene/Summary?db=core;g=ENSMUSG00000002307","ENSMUSG00000002307")</f>
        <v>ENSMUSG00000002307</v>
      </c>
      <c r="I820" s="7" t="str">
        <f>HYPERLINK("http://www.informatics.jax.org/marker/MGI:1197015","MGI:1197015")</f>
        <v>MGI:1197015</v>
      </c>
      <c r="J820" s="4" t="s">
        <v>12</v>
      </c>
    </row>
    <row r="821" spans="1:10" x14ac:dyDescent="0.25">
      <c r="A821" s="2">
        <v>44.877008646719702</v>
      </c>
      <c r="B821" s="3">
        <v>1.1389318351238999</v>
      </c>
      <c r="C821" s="5">
        <v>3.46329669414927E-7</v>
      </c>
      <c r="D821" s="6">
        <v>2.0420117195364098E-6</v>
      </c>
      <c r="E821" s="3" t="s">
        <v>10980</v>
      </c>
      <c r="F821" s="3" t="s">
        <v>10981</v>
      </c>
      <c r="G821" s="3">
        <v>12895</v>
      </c>
      <c r="H821" s="7" t="str">
        <f>HYPERLINK("http://www.ensembl.org/Mus_musculus/Gene/Summary?db=core;g=ENSMUSG00000078937","ENSMUSG00000078937")</f>
        <v>ENSMUSG00000078937</v>
      </c>
      <c r="I821" s="7" t="str">
        <f>HYPERLINK("http://www.informatics.jax.org/marker/MGI:1098297","MGI:1098297")</f>
        <v>MGI:1098297</v>
      </c>
      <c r="J821" s="4" t="s">
        <v>12</v>
      </c>
    </row>
    <row r="822" spans="1:10" x14ac:dyDescent="0.25">
      <c r="A822" s="2">
        <v>10.797322920512601</v>
      </c>
      <c r="B822" s="3">
        <v>1.1359418091362901</v>
      </c>
      <c r="C822" s="3">
        <v>1.1435129652711E-3</v>
      </c>
      <c r="D822" s="4">
        <v>3.9817584623740498E-3</v>
      </c>
      <c r="E822" s="3" t="s">
        <v>11032</v>
      </c>
      <c r="F822" s="3" t="s">
        <v>11033</v>
      </c>
      <c r="G822" s="3">
        <v>435653</v>
      </c>
      <c r="H822" s="7" t="str">
        <f>HYPERLINK("http://www.ensembl.org/Mus_musculus/Gene/Summary?db=core;g=ENSMUSG00000070524","ENSMUSG00000070524")</f>
        <v>ENSMUSG00000070524</v>
      </c>
      <c r="I822" s="7" t="str">
        <f>HYPERLINK("http://www.informatics.jax.org/marker/MGI:3576487","MGI:3576487")</f>
        <v>MGI:3576487</v>
      </c>
      <c r="J822" s="4" t="s">
        <v>12</v>
      </c>
    </row>
    <row r="823" spans="1:10" x14ac:dyDescent="0.25">
      <c r="A823" s="2">
        <v>391.45271436503998</v>
      </c>
      <c r="B823" s="3">
        <v>1.13553379442346</v>
      </c>
      <c r="C823" s="5">
        <v>1.6628883795091199E-20</v>
      </c>
      <c r="D823" s="6">
        <v>2.6795880385989098E-19</v>
      </c>
      <c r="E823" s="3" t="s">
        <v>2908</v>
      </c>
      <c r="F823" s="3" t="s">
        <v>2909</v>
      </c>
      <c r="G823" s="3">
        <v>214922</v>
      </c>
      <c r="H823" s="7" t="str">
        <f>HYPERLINK("http://www.ensembl.org/Mus_musculus/Gene/Summary?db=core;g=ENSMUSG00000072572","ENSMUSG00000072572")</f>
        <v>ENSMUSG00000072572</v>
      </c>
      <c r="I823" s="7" t="str">
        <f>HYPERLINK("http://www.informatics.jax.org/marker/MGI:2684326","MGI:2684326")</f>
        <v>MGI:2684326</v>
      </c>
      <c r="J823" s="4" t="s">
        <v>12</v>
      </c>
    </row>
    <row r="824" spans="1:10" x14ac:dyDescent="0.25">
      <c r="A824" s="2">
        <v>5138.7250576240804</v>
      </c>
      <c r="B824" s="3">
        <v>1.13480997601379</v>
      </c>
      <c r="C824" s="5">
        <v>2.3276078519508501E-120</v>
      </c>
      <c r="D824" s="6">
        <v>5.0500777502147804E-118</v>
      </c>
      <c r="E824" s="3" t="s">
        <v>110</v>
      </c>
      <c r="F824" s="3" t="s">
        <v>111</v>
      </c>
      <c r="G824" s="3">
        <v>17250</v>
      </c>
      <c r="H824" s="7" t="str">
        <f>HYPERLINK("http://www.ensembl.org/Mus_musculus/Gene/Summary?db=core;g=ENSMUSG00000023088","ENSMUSG00000023088")</f>
        <v>ENSMUSG00000023088</v>
      </c>
      <c r="I824" s="7" t="str">
        <f>HYPERLINK("http://www.informatics.jax.org/marker/MGI:102676","MGI:102676")</f>
        <v>MGI:102676</v>
      </c>
      <c r="J824" s="4" t="s">
        <v>12</v>
      </c>
    </row>
    <row r="825" spans="1:10" x14ac:dyDescent="0.25">
      <c r="A825" s="2">
        <v>23.469060172570298</v>
      </c>
      <c r="B825" s="3">
        <v>1.13471117499126</v>
      </c>
      <c r="C825" s="5">
        <v>9.8767595776838896E-6</v>
      </c>
      <c r="D825" s="6">
        <v>4.8336182412268802E-5</v>
      </c>
      <c r="E825" s="3" t="s">
        <v>10816</v>
      </c>
      <c r="F825" s="3" t="s">
        <v>10817</v>
      </c>
      <c r="G825" s="3" t="s">
        <v>83</v>
      </c>
      <c r="H825" s="7" t="str">
        <f>HYPERLINK("http://www.ensembl.org/Mus_musculus/Gene/Summary?db=core;g=ENSMUSG00000116508","ENSMUSG00000116508")</f>
        <v>ENSMUSG00000116508</v>
      </c>
      <c r="I825" s="7" t="str">
        <f>HYPERLINK("http://www.informatics.jax.org/marker/MGI:6155122","MGI:6155122")</f>
        <v>MGI:6155122</v>
      </c>
      <c r="J825" s="4" t="s">
        <v>932</v>
      </c>
    </row>
    <row r="826" spans="1:10" x14ac:dyDescent="0.25">
      <c r="A826" s="2">
        <v>34.963792189381003</v>
      </c>
      <c r="B826" s="3">
        <v>1.1315107330627501</v>
      </c>
      <c r="C826" s="5">
        <v>1.6697535355101801E-9</v>
      </c>
      <c r="D826" s="6">
        <v>1.2669133299197801E-8</v>
      </c>
      <c r="E826" s="3" t="s">
        <v>9765</v>
      </c>
      <c r="F826" s="3" t="s">
        <v>9766</v>
      </c>
      <c r="G826" s="3">
        <v>12927</v>
      </c>
      <c r="H826" s="7" t="str">
        <f>HYPERLINK("http://www.ensembl.org/Mus_musculus/Gene/Summary?db=core;g=ENSMUSG00000031955","ENSMUSG00000031955")</f>
        <v>ENSMUSG00000031955</v>
      </c>
      <c r="I826" s="7" t="str">
        <f>HYPERLINK("http://www.informatics.jax.org/marker/MGI:108091","MGI:108091")</f>
        <v>MGI:108091</v>
      </c>
      <c r="J826" s="4" t="s">
        <v>12</v>
      </c>
    </row>
    <row r="827" spans="1:10" x14ac:dyDescent="0.25">
      <c r="A827" s="2">
        <v>41.690762185429698</v>
      </c>
      <c r="B827" s="3">
        <v>1.1311589175607999</v>
      </c>
      <c r="C827" s="5">
        <v>1.9676479496046901E-9</v>
      </c>
      <c r="D827" s="6">
        <v>1.4775601104880699E-8</v>
      </c>
      <c r="E827" s="3" t="s">
        <v>5911</v>
      </c>
      <c r="F827" s="3" t="s">
        <v>5912</v>
      </c>
      <c r="G827" s="3" t="s">
        <v>83</v>
      </c>
      <c r="H827" s="7" t="str">
        <f>HYPERLINK("http://www.ensembl.org/Mus_musculus/Gene/Summary?db=core;g=ENSMUSG00000117575","ENSMUSG00000117575")</f>
        <v>ENSMUSG00000117575</v>
      </c>
      <c r="I827" s="7" t="str">
        <f>HYPERLINK("http://www.informatics.jax.org/marker/MGI:5595645","MGI:5595645")</f>
        <v>MGI:5595645</v>
      </c>
      <c r="J827" s="4" t="s">
        <v>331</v>
      </c>
    </row>
    <row r="828" spans="1:10" x14ac:dyDescent="0.25">
      <c r="A828" s="2">
        <v>8579.9671528728104</v>
      </c>
      <c r="B828" s="3">
        <v>1.12963003280051</v>
      </c>
      <c r="C828" s="5">
        <v>7.8898077644901506E-20</v>
      </c>
      <c r="D828" s="6">
        <v>1.2236934631025E-18</v>
      </c>
      <c r="E828" s="3" t="s">
        <v>3228</v>
      </c>
      <c r="F828" s="3" t="s">
        <v>3229</v>
      </c>
      <c r="G828" s="3">
        <v>11465</v>
      </c>
      <c r="H828" s="7" t="str">
        <f>HYPERLINK("http://www.ensembl.org/Mus_musculus/Gene/Summary?db=core;g=ENSMUSG00000062825","ENSMUSG00000062825")</f>
        <v>ENSMUSG00000062825</v>
      </c>
      <c r="I828" s="7" t="str">
        <f>HYPERLINK("http://www.informatics.jax.org/marker/MGI:87906","MGI:87906")</f>
        <v>MGI:87906</v>
      </c>
      <c r="J828" s="4" t="s">
        <v>12</v>
      </c>
    </row>
    <row r="829" spans="1:10" x14ac:dyDescent="0.25">
      <c r="A829" s="2">
        <v>6123.8397098238202</v>
      </c>
      <c r="B829" s="3">
        <v>1.12887175112404</v>
      </c>
      <c r="C829" s="5">
        <v>5.92337299712082E-93</v>
      </c>
      <c r="D829" s="6">
        <v>7.5491939071697197E-91</v>
      </c>
      <c r="E829" s="3" t="s">
        <v>404</v>
      </c>
      <c r="F829" s="3" t="s">
        <v>405</v>
      </c>
      <c r="G829" s="3">
        <v>20375</v>
      </c>
      <c r="H829" s="7" t="str">
        <f>HYPERLINK("http://www.ensembl.org/Mus_musculus/Gene/Summary?db=core;g=ENSMUSG00000002111","ENSMUSG00000002111")</f>
        <v>ENSMUSG00000002111</v>
      </c>
      <c r="I829" s="7" t="str">
        <f>HYPERLINK("http://www.informatics.jax.org/marker/MGI:98282","MGI:98282")</f>
        <v>MGI:98282</v>
      </c>
      <c r="J829" s="4" t="s">
        <v>12</v>
      </c>
    </row>
    <row r="830" spans="1:10" x14ac:dyDescent="0.25">
      <c r="A830" s="2">
        <v>3608.87890514732</v>
      </c>
      <c r="B830" s="3">
        <v>1.1243566054844201</v>
      </c>
      <c r="C830" s="5">
        <v>1.09687547807719E-137</v>
      </c>
      <c r="D830" s="6">
        <v>3.1731040615804402E-135</v>
      </c>
      <c r="E830" s="3" t="s">
        <v>73</v>
      </c>
      <c r="F830" s="3" t="s">
        <v>74</v>
      </c>
      <c r="G830" s="3">
        <v>78781</v>
      </c>
      <c r="H830" s="7" t="str">
        <f>HYPERLINK("http://www.ensembl.org/Mus_musculus/Gene/Summary?db=core;g=ENSMUSG00000029826","ENSMUSG00000029826")</f>
        <v>ENSMUSG00000029826</v>
      </c>
      <c r="I830" s="7" t="str">
        <f>HYPERLINK("http://www.informatics.jax.org/marker/MGI:1926031","MGI:1926031")</f>
        <v>MGI:1926031</v>
      </c>
      <c r="J830" s="4" t="s">
        <v>12</v>
      </c>
    </row>
    <row r="831" spans="1:10" x14ac:dyDescent="0.25">
      <c r="A831" s="2">
        <v>990.05211771749703</v>
      </c>
      <c r="B831" s="3">
        <v>1.12360088819125</v>
      </c>
      <c r="C831" s="5">
        <v>2.27141258209592E-30</v>
      </c>
      <c r="D831" s="6">
        <v>5.69415327492408E-29</v>
      </c>
      <c r="E831" s="3" t="s">
        <v>3738</v>
      </c>
      <c r="F831" s="3" t="s">
        <v>3739</v>
      </c>
      <c r="G831" s="3">
        <v>243910</v>
      </c>
      <c r="H831" s="7" t="str">
        <f>HYPERLINK("http://www.ensembl.org/Mus_musculus/Gene/Summary?db=core;g=ENSMUSG00000036931","ENSMUSG00000036931")</f>
        <v>ENSMUSG00000036931</v>
      </c>
      <c r="I831" s="7" t="str">
        <f>HYPERLINK("http://www.informatics.jax.org/marker/MGI:3041243","MGI:3041243")</f>
        <v>MGI:3041243</v>
      </c>
      <c r="J831" s="4" t="s">
        <v>12</v>
      </c>
    </row>
    <row r="832" spans="1:10" x14ac:dyDescent="0.25">
      <c r="A832" s="2">
        <v>2954.6569282443102</v>
      </c>
      <c r="B832" s="3">
        <v>1.1233577782823601</v>
      </c>
      <c r="C832" s="5">
        <v>1.76264632796691E-62</v>
      </c>
      <c r="D832" s="6">
        <v>1.1432110080853E-60</v>
      </c>
      <c r="E832" s="3" t="s">
        <v>750</v>
      </c>
      <c r="F832" s="3" t="s">
        <v>751</v>
      </c>
      <c r="G832" s="3">
        <v>212307</v>
      </c>
      <c r="H832" s="7" t="str">
        <f>HYPERLINK("http://www.ensembl.org/Mus_musculus/Gene/Summary?db=core;g=ENSMUSG00000024277","ENSMUSG00000024277")</f>
        <v>ENSMUSG00000024277</v>
      </c>
      <c r="I832" s="7" t="str">
        <f>HYPERLINK("http://www.informatics.jax.org/marker/MGI:106271","MGI:106271")</f>
        <v>MGI:106271</v>
      </c>
      <c r="J832" s="4" t="s">
        <v>12</v>
      </c>
    </row>
    <row r="833" spans="1:10" x14ac:dyDescent="0.25">
      <c r="A833" s="2">
        <v>56.346528276823904</v>
      </c>
      <c r="B833" s="3">
        <v>1.1223320248661299</v>
      </c>
      <c r="C833" s="5">
        <v>2.36611948958209E-11</v>
      </c>
      <c r="D833" s="6">
        <v>2.1358359434192001E-10</v>
      </c>
      <c r="E833" s="3" t="s">
        <v>6033</v>
      </c>
      <c r="F833" s="3" t="s">
        <v>6034</v>
      </c>
      <c r="G833" s="3">
        <v>18302</v>
      </c>
      <c r="H833" s="7" t="str">
        <f>HYPERLINK("http://www.ensembl.org/Mus_musculus/Gene/Summary?db=core;g=ENSMUSG00000009654","ENSMUSG00000009654")</f>
        <v>ENSMUSG00000009654</v>
      </c>
      <c r="I833" s="7" t="str">
        <f>HYPERLINK("http://www.informatics.jax.org/marker/MGI:1201782","MGI:1201782")</f>
        <v>MGI:1201782</v>
      </c>
      <c r="J833" s="4" t="s">
        <v>12</v>
      </c>
    </row>
    <row r="834" spans="1:10" x14ac:dyDescent="0.25">
      <c r="A834" s="2">
        <v>1.61194371608118</v>
      </c>
      <c r="B834" s="3">
        <v>1.1219868530652499</v>
      </c>
      <c r="C834" s="3">
        <v>1.66153027747366E-2</v>
      </c>
      <c r="D834" s="4">
        <v>4.3962528029845203E-2</v>
      </c>
      <c r="E834" s="3" t="s">
        <v>12213</v>
      </c>
      <c r="F834" s="3" t="s">
        <v>12214</v>
      </c>
      <c r="G834" s="3" t="s">
        <v>83</v>
      </c>
      <c r="H834" s="7" t="str">
        <f>HYPERLINK("http://www.ensembl.org/Mus_musculus/Gene/Summary?db=core;g=ENSMUSG00000113613","ENSMUSG00000113613")</f>
        <v>ENSMUSG00000113613</v>
      </c>
      <c r="I834" s="7" t="str">
        <f>HYPERLINK("http://www.informatics.jax.org/marker/MGI:5623778","MGI:5623778")</f>
        <v>MGI:5623778</v>
      </c>
      <c r="J834" s="4" t="s">
        <v>932</v>
      </c>
    </row>
    <row r="835" spans="1:10" x14ac:dyDescent="0.25">
      <c r="A835" s="2">
        <v>2059.6270460166202</v>
      </c>
      <c r="B835" s="3">
        <v>1.12025749467484</v>
      </c>
      <c r="C835" s="5">
        <v>1.45839450175893E-39</v>
      </c>
      <c r="D835" s="6">
        <v>4.9495791051315698E-38</v>
      </c>
      <c r="E835" s="3" t="s">
        <v>1384</v>
      </c>
      <c r="F835" s="3" t="s">
        <v>1385</v>
      </c>
      <c r="G835" s="3">
        <v>23849</v>
      </c>
      <c r="H835" s="7" t="str">
        <f>HYPERLINK("http://www.ensembl.org/Mus_musculus/Gene/Summary?db=core;g=ENSMUSG00000000078","ENSMUSG00000000078")</f>
        <v>ENSMUSG00000000078</v>
      </c>
      <c r="I835" s="7" t="str">
        <f>HYPERLINK("http://www.informatics.jax.org/marker/MGI:1346318","MGI:1346318")</f>
        <v>MGI:1346318</v>
      </c>
      <c r="J835" s="4" t="s">
        <v>12</v>
      </c>
    </row>
    <row r="836" spans="1:10" x14ac:dyDescent="0.25">
      <c r="A836" s="2">
        <v>2.0518046299766199</v>
      </c>
      <c r="B836" s="3">
        <v>1.11588896573917</v>
      </c>
      <c r="C836" s="3">
        <v>1.78215373923124E-2</v>
      </c>
      <c r="D836" s="4">
        <v>4.6706574485892098E-2</v>
      </c>
      <c r="E836" s="3" t="s">
        <v>13083</v>
      </c>
      <c r="F836" s="3" t="s">
        <v>13084</v>
      </c>
      <c r="G836" s="3">
        <v>225638</v>
      </c>
      <c r="H836" s="7" t="str">
        <f>HYPERLINK("http://www.ensembl.org/Mus_musculus/Gene/Summary?db=core;g=ENSMUSG00000032845","ENSMUSG00000032845")</f>
        <v>ENSMUSG00000032845</v>
      </c>
      <c r="I836" s="7" t="str">
        <f>HYPERLINK("http://www.informatics.jax.org/marker/MGI:2449492","MGI:2449492")</f>
        <v>MGI:2449492</v>
      </c>
      <c r="J836" s="4" t="s">
        <v>12</v>
      </c>
    </row>
    <row r="837" spans="1:10" x14ac:dyDescent="0.25">
      <c r="A837" s="2">
        <v>25.869432570775999</v>
      </c>
      <c r="B837" s="3">
        <v>1.1154114475143799</v>
      </c>
      <c r="C837" s="5">
        <v>1.89757517878207E-6</v>
      </c>
      <c r="D837" s="6">
        <v>1.0204575872913301E-5</v>
      </c>
      <c r="E837" s="3" t="s">
        <v>6511</v>
      </c>
      <c r="F837" s="3" t="s">
        <v>6512</v>
      </c>
      <c r="G837" s="3" t="s">
        <v>83</v>
      </c>
      <c r="H837" s="7" t="str">
        <f>HYPERLINK("http://www.ensembl.org/Mus_musculus/Gene/Summary?db=core;g=ENSMUSG00000090582","ENSMUSG00000090582")</f>
        <v>ENSMUSG00000090582</v>
      </c>
      <c r="I837" s="7" t="str">
        <f>HYPERLINK("http://www.informatics.jax.org/marker/MGI:4937851","MGI:4937851")</f>
        <v>MGI:4937851</v>
      </c>
      <c r="J837" s="4" t="s">
        <v>4024</v>
      </c>
    </row>
    <row r="838" spans="1:10" x14ac:dyDescent="0.25">
      <c r="A838" s="2">
        <v>874.24822565006104</v>
      </c>
      <c r="B838" s="3">
        <v>1.1150151451973001</v>
      </c>
      <c r="C838" s="5">
        <v>4.1984215276864604E-12</v>
      </c>
      <c r="D838" s="6">
        <v>4.0250516750176602E-11</v>
      </c>
      <c r="E838" s="3" t="s">
        <v>3434</v>
      </c>
      <c r="F838" s="3" t="s">
        <v>3435</v>
      </c>
      <c r="G838" s="3">
        <v>237886</v>
      </c>
      <c r="H838" s="7" t="str">
        <f>HYPERLINK("http://www.ensembl.org/Mus_musculus/Gene/Summary?db=core;g=ENSMUSG00000069793","ENSMUSG00000069793")</f>
        <v>ENSMUSG00000069793</v>
      </c>
      <c r="I838" s="7" t="str">
        <f>HYPERLINK("http://www.informatics.jax.org/marker/MGI:2445121","MGI:2445121")</f>
        <v>MGI:2445121</v>
      </c>
      <c r="J838" s="4" t="s">
        <v>12</v>
      </c>
    </row>
    <row r="839" spans="1:10" x14ac:dyDescent="0.25">
      <c r="A839" s="2">
        <v>2434.1135527902302</v>
      </c>
      <c r="B839" s="3">
        <v>1.1145565758863201</v>
      </c>
      <c r="C839" s="5">
        <v>5.8610731244596898E-53</v>
      </c>
      <c r="D839" s="6">
        <v>2.9837446283038501E-51</v>
      </c>
      <c r="E839" s="3" t="s">
        <v>1044</v>
      </c>
      <c r="F839" s="3" t="s">
        <v>1045</v>
      </c>
      <c r="G839" s="3">
        <v>69710</v>
      </c>
      <c r="H839" s="7" t="str">
        <f>HYPERLINK("http://www.ensembl.org/Mus_musculus/Gene/Summary?db=core;g=ENSMUSG00000032812","ENSMUSG00000032812")</f>
        <v>ENSMUSG00000032812</v>
      </c>
      <c r="I839" s="7" t="str">
        <f>HYPERLINK("http://www.informatics.jax.org/marker/MGI:1916960","MGI:1916960")</f>
        <v>MGI:1916960</v>
      </c>
      <c r="J839" s="4" t="s">
        <v>12</v>
      </c>
    </row>
    <row r="840" spans="1:10" x14ac:dyDescent="0.25">
      <c r="A840" s="2">
        <v>11.126566462103</v>
      </c>
      <c r="B840" s="3">
        <v>1.1083778795471999</v>
      </c>
      <c r="C840" s="3">
        <v>2.1723425700617498E-3</v>
      </c>
      <c r="D840" s="4">
        <v>7.1335033043919503E-3</v>
      </c>
      <c r="E840" s="3" t="s">
        <v>10250</v>
      </c>
      <c r="F840" s="3" t="s">
        <v>10251</v>
      </c>
      <c r="G840" s="3">
        <v>381853</v>
      </c>
      <c r="H840" s="7" t="str">
        <f>HYPERLINK("http://www.ensembl.org/Mus_musculus/Gene/Summary?db=core;g=ENSMUSG00000030406","ENSMUSG00000030406")</f>
        <v>ENSMUSG00000030406</v>
      </c>
      <c r="I840" s="7" t="str">
        <f>HYPERLINK("http://www.informatics.jax.org/marker/MGI:1352753","MGI:1352753")</f>
        <v>MGI:1352753</v>
      </c>
      <c r="J840" s="4" t="s">
        <v>12</v>
      </c>
    </row>
    <row r="841" spans="1:10" x14ac:dyDescent="0.25">
      <c r="A841" s="2">
        <v>2.9322893356008</v>
      </c>
      <c r="B841" s="3">
        <v>1.1080788858641</v>
      </c>
      <c r="C841" s="3">
        <v>1.67052927320906E-2</v>
      </c>
      <c r="D841" s="4">
        <v>4.4155759251972598E-2</v>
      </c>
      <c r="E841" s="3" t="s">
        <v>11427</v>
      </c>
      <c r="F841" s="3" t="s">
        <v>11428</v>
      </c>
      <c r="G841" s="3" t="s">
        <v>83</v>
      </c>
      <c r="H841" s="7" t="str">
        <f>HYPERLINK("http://www.ensembl.org/Mus_musculus/Gene/Summary?db=core;g=ENSMUSG00000050533","ENSMUSG00000050533")</f>
        <v>ENSMUSG00000050533</v>
      </c>
      <c r="I841" s="7" t="str">
        <f>HYPERLINK("http://www.informatics.jax.org/marker/MGI:3704215","MGI:3704215")</f>
        <v>MGI:3704215</v>
      </c>
      <c r="J841" s="4" t="s">
        <v>1043</v>
      </c>
    </row>
    <row r="842" spans="1:10" x14ac:dyDescent="0.25">
      <c r="A842" s="2">
        <v>319.80382699146003</v>
      </c>
      <c r="B842" s="3">
        <v>1.1062306436835001</v>
      </c>
      <c r="C842" s="5">
        <v>1.3570597312916201E-41</v>
      </c>
      <c r="D842" s="6">
        <v>5.0167167551297798E-40</v>
      </c>
      <c r="E842" s="3" t="s">
        <v>2059</v>
      </c>
      <c r="F842" s="3" t="s">
        <v>2060</v>
      </c>
      <c r="G842" s="3">
        <v>233189</v>
      </c>
      <c r="H842" s="7" t="str">
        <f>HYPERLINK("http://www.ensembl.org/Mus_musculus/Gene/Summary?db=core;g=ENSMUSG00000038888","ENSMUSG00000038888")</f>
        <v>ENSMUSG00000038888</v>
      </c>
      <c r="I842" s="7" t="str">
        <f>HYPERLINK("http://www.informatics.jax.org/marker/MGI:2385277","MGI:2385277")</f>
        <v>MGI:2385277</v>
      </c>
      <c r="J842" s="4" t="s">
        <v>12</v>
      </c>
    </row>
    <row r="843" spans="1:10" x14ac:dyDescent="0.25">
      <c r="A843" s="2">
        <v>1250.3467864259601</v>
      </c>
      <c r="B843" s="3">
        <v>1.10547180516902</v>
      </c>
      <c r="C843" s="5">
        <v>3.04814360220085E-99</v>
      </c>
      <c r="D843" s="6">
        <v>4.3400325898523902E-97</v>
      </c>
      <c r="E843" s="3" t="s">
        <v>340</v>
      </c>
      <c r="F843" s="3" t="s">
        <v>341</v>
      </c>
      <c r="G843" s="3">
        <v>74769</v>
      </c>
      <c r="H843" s="7" t="str">
        <f>HYPERLINK("http://www.ensembl.org/Mus_musculus/Gene/Summary?db=core;g=ENSMUSG00000032462","ENSMUSG00000032462")</f>
        <v>ENSMUSG00000032462</v>
      </c>
      <c r="I843" s="7" t="str">
        <f>HYPERLINK("http://www.informatics.jax.org/marker/MGI:1922019","MGI:1922019")</f>
        <v>MGI:1922019</v>
      </c>
      <c r="J843" s="4" t="s">
        <v>12</v>
      </c>
    </row>
    <row r="844" spans="1:10" x14ac:dyDescent="0.25">
      <c r="A844" s="2">
        <v>1270.3078675177201</v>
      </c>
      <c r="B844" s="3">
        <v>1.1049090289577801</v>
      </c>
      <c r="C844" s="5">
        <v>1.3947682805594299E-40</v>
      </c>
      <c r="D844" s="6">
        <v>4.9454575706606098E-39</v>
      </c>
      <c r="E844" s="3" t="s">
        <v>1268</v>
      </c>
      <c r="F844" s="3" t="s">
        <v>1269</v>
      </c>
      <c r="G844" s="3">
        <v>216874</v>
      </c>
      <c r="H844" s="7" t="str">
        <f>HYPERLINK("http://www.ensembl.org/Mus_musculus/Gene/Summary?db=core;g=ENSMUSG00000040712","ENSMUSG00000040712")</f>
        <v>ENSMUSG00000040712</v>
      </c>
      <c r="I844" s="7" t="str">
        <f>HYPERLINK("http://www.informatics.jax.org/marker/MGI:2135957","MGI:2135957")</f>
        <v>MGI:2135957</v>
      </c>
      <c r="J844" s="4" t="s">
        <v>12</v>
      </c>
    </row>
    <row r="845" spans="1:10" x14ac:dyDescent="0.25">
      <c r="A845" s="2">
        <v>4.96058272285656</v>
      </c>
      <c r="B845" s="3">
        <v>1.10165773632168</v>
      </c>
      <c r="C845" s="3">
        <v>1.7299260217108401E-2</v>
      </c>
      <c r="D845" s="4">
        <v>4.5521082508922998E-2</v>
      </c>
      <c r="E845" s="3" t="s">
        <v>7022</v>
      </c>
      <c r="F845" s="3" t="s">
        <v>7023</v>
      </c>
      <c r="G845" s="3">
        <v>228765</v>
      </c>
      <c r="H845" s="7" t="str">
        <f>HYPERLINK("http://www.ensembl.org/Mus_musculus/Gene/Summary?db=core;g=ENSMUSG00000027456","ENSMUSG00000027456")</f>
        <v>ENSMUSG00000027456</v>
      </c>
      <c r="I845" s="7" t="str">
        <f>HYPERLINK("http://www.informatics.jax.org/marker/MGI:2385156","MGI:2385156")</f>
        <v>MGI:2385156</v>
      </c>
      <c r="J845" s="4" t="s">
        <v>12</v>
      </c>
    </row>
    <row r="846" spans="1:10" x14ac:dyDescent="0.25">
      <c r="A846" s="2">
        <v>109813.02636484501</v>
      </c>
      <c r="B846" s="3">
        <v>1.0994925432309901</v>
      </c>
      <c r="C846" s="5">
        <v>4.46567731636322E-45</v>
      </c>
      <c r="D846" s="6">
        <v>1.8666736029981599E-43</v>
      </c>
      <c r="E846" s="3" t="s">
        <v>1290</v>
      </c>
      <c r="F846" s="3" t="s">
        <v>1291</v>
      </c>
      <c r="G846" s="3">
        <v>14319</v>
      </c>
      <c r="H846" s="7" t="str">
        <f>HYPERLINK("http://www.ensembl.org/Mus_musculus/Gene/Summary?db=core;g=ENSMUSG00000024661","ENSMUSG00000024661")</f>
        <v>ENSMUSG00000024661</v>
      </c>
      <c r="I846" s="7" t="str">
        <f>HYPERLINK("http://www.informatics.jax.org/marker/MGI:95588","MGI:95588")</f>
        <v>MGI:95588</v>
      </c>
      <c r="J846" s="4" t="s">
        <v>12</v>
      </c>
    </row>
    <row r="847" spans="1:10" x14ac:dyDescent="0.25">
      <c r="A847" s="2">
        <v>3.4875460047905902</v>
      </c>
      <c r="B847" s="3">
        <v>1.0994060264888701</v>
      </c>
      <c r="C847" s="3">
        <v>1.8817368174955201E-2</v>
      </c>
      <c r="D847" s="4">
        <v>4.8971374409333003E-2</v>
      </c>
      <c r="E847" s="3" t="s">
        <v>7888</v>
      </c>
      <c r="F847" s="3" t="s">
        <v>7889</v>
      </c>
      <c r="G847" s="3">
        <v>330122</v>
      </c>
      <c r="H847" s="7" t="str">
        <f>HYPERLINK("http://www.ensembl.org/Mus_musculus/Gene/Summary?db=core;g=ENSMUSG00000029379","ENSMUSG00000029379")</f>
        <v>ENSMUSG00000029379</v>
      </c>
      <c r="I847" s="7" t="str">
        <f>HYPERLINK("http://www.informatics.jax.org/marker/MGI:3037818","MGI:3037818")</f>
        <v>MGI:3037818</v>
      </c>
      <c r="J847" s="4" t="s">
        <v>12</v>
      </c>
    </row>
    <row r="848" spans="1:10" x14ac:dyDescent="0.25">
      <c r="A848" s="2">
        <v>266.90121343598298</v>
      </c>
      <c r="B848" s="3">
        <v>1.0969876894439301</v>
      </c>
      <c r="C848" s="5">
        <v>8.1895908896220397E-21</v>
      </c>
      <c r="D848" s="6">
        <v>1.33382747062879E-19</v>
      </c>
      <c r="E848" s="3" t="s">
        <v>1434</v>
      </c>
      <c r="F848" s="3" t="s">
        <v>1435</v>
      </c>
      <c r="G848" s="3">
        <v>69028</v>
      </c>
      <c r="H848" s="7" t="str">
        <f>HYPERLINK("http://www.ensembl.org/Mus_musculus/Gene/Summary?db=core;g=ENSMUSG00000026088","ENSMUSG00000026088")</f>
        <v>ENSMUSG00000026088</v>
      </c>
      <c r="I848" s="7" t="str">
        <f>HYPERLINK("http://www.informatics.jax.org/marker/MGI:1916278","MGI:1916278")</f>
        <v>MGI:1916278</v>
      </c>
      <c r="J848" s="4" t="s">
        <v>12</v>
      </c>
    </row>
    <row r="849" spans="1:10" x14ac:dyDescent="0.25">
      <c r="A849" s="2">
        <v>177.43568660265399</v>
      </c>
      <c r="B849" s="3">
        <v>1.0968539058798501</v>
      </c>
      <c r="C849" s="5">
        <v>3.4153443829180201E-19</v>
      </c>
      <c r="D849" s="6">
        <v>5.1272365221318801E-18</v>
      </c>
      <c r="E849" s="3" t="s">
        <v>3212</v>
      </c>
      <c r="F849" s="3" t="s">
        <v>3213</v>
      </c>
      <c r="G849" s="3" t="s">
        <v>83</v>
      </c>
      <c r="H849" s="7" t="str">
        <f>HYPERLINK("http://www.ensembl.org/Mus_musculus/Gene/Summary?db=core;g=ENSMUSG00000022639","ENSMUSG00000022639")</f>
        <v>ENSMUSG00000022639</v>
      </c>
      <c r="I849" s="7" t="str">
        <f>HYPERLINK("http://www.informatics.jax.org/marker/MGI:1915440","MGI:1915440")</f>
        <v>MGI:1915440</v>
      </c>
      <c r="J849" s="4" t="s">
        <v>939</v>
      </c>
    </row>
    <row r="850" spans="1:10" x14ac:dyDescent="0.25">
      <c r="A850" s="2">
        <v>2.15090186438717</v>
      </c>
      <c r="B850" s="3">
        <v>1.09476484425448</v>
      </c>
      <c r="C850" s="3">
        <v>2.01118656298627E-2</v>
      </c>
      <c r="D850" s="4">
        <v>5.1844236365522899E-2</v>
      </c>
      <c r="E850" s="3" t="s">
        <v>11631</v>
      </c>
      <c r="F850" s="3" t="s">
        <v>11632</v>
      </c>
      <c r="G850" s="3">
        <v>18566</v>
      </c>
      <c r="H850" s="7" t="str">
        <f>HYPERLINK("http://www.ensembl.org/Mus_musculus/Gene/Summary?db=core;g=ENSMUSG00000026285","ENSMUSG00000026285")</f>
        <v>ENSMUSG00000026285</v>
      </c>
      <c r="I850" s="7" t="str">
        <f>HYPERLINK("http://www.informatics.jax.org/marker/MGI:104879","MGI:104879")</f>
        <v>MGI:104879</v>
      </c>
      <c r="J850" s="4" t="s">
        <v>12</v>
      </c>
    </row>
    <row r="851" spans="1:10" x14ac:dyDescent="0.25">
      <c r="A851" s="2">
        <v>1.3362727028574</v>
      </c>
      <c r="B851" s="3">
        <v>1.0921682006441</v>
      </c>
      <c r="C851" s="3">
        <v>1.7010507999660699E-2</v>
      </c>
      <c r="D851" s="4">
        <v>4.4871400824115698E-2</v>
      </c>
      <c r="E851" s="3" t="s">
        <v>11611</v>
      </c>
      <c r="F851" s="3" t="s">
        <v>11612</v>
      </c>
      <c r="G851" s="3" t="s">
        <v>83</v>
      </c>
      <c r="H851" s="7" t="str">
        <f>HYPERLINK("http://www.ensembl.org/Mus_musculus/Gene/Summary?db=core;g=ENSMUSG00000085949","ENSMUSG00000085949")</f>
        <v>ENSMUSG00000085949</v>
      </c>
      <c r="I851" s="7" t="str">
        <f>HYPERLINK("http://www.informatics.jax.org/marker/MGI:3649537","MGI:3649537")</f>
        <v>MGI:3649537</v>
      </c>
      <c r="J851" s="4" t="s">
        <v>939</v>
      </c>
    </row>
    <row r="852" spans="1:10" x14ac:dyDescent="0.25">
      <c r="A852" s="2">
        <v>7366.5931003814803</v>
      </c>
      <c r="B852" s="3">
        <v>1.0910571120572801</v>
      </c>
      <c r="C852" s="5">
        <v>1.8934063718279898E-86</v>
      </c>
      <c r="D852" s="6">
        <v>2.1702723978971799E-84</v>
      </c>
      <c r="E852" s="3" t="s">
        <v>502</v>
      </c>
      <c r="F852" s="3" t="s">
        <v>503</v>
      </c>
      <c r="G852" s="3">
        <v>56722</v>
      </c>
      <c r="H852" s="7" t="str">
        <f>HYPERLINK("http://www.ensembl.org/Mus_musculus/Gene/Summary?db=core;g=ENSMUSG00000022500","ENSMUSG00000022500")</f>
        <v>ENSMUSG00000022500</v>
      </c>
      <c r="I852" s="7" t="str">
        <f>HYPERLINK("http://www.informatics.jax.org/marker/MGI:1929512","MGI:1929512")</f>
        <v>MGI:1929512</v>
      </c>
      <c r="J852" s="4" t="s">
        <v>12</v>
      </c>
    </row>
    <row r="853" spans="1:10" x14ac:dyDescent="0.25">
      <c r="A853" s="2">
        <v>4.91851898911868</v>
      </c>
      <c r="B853" s="3">
        <v>1.0882470082862901</v>
      </c>
      <c r="C853" s="3">
        <v>6.8095086625437704E-3</v>
      </c>
      <c r="D853" s="4">
        <v>1.9881976189500199E-2</v>
      </c>
      <c r="E853" s="3" t="s">
        <v>13579</v>
      </c>
      <c r="F853" s="3" t="s">
        <v>13580</v>
      </c>
      <c r="G853" s="3" t="s">
        <v>83</v>
      </c>
      <c r="H853" s="7" t="str">
        <f>HYPERLINK("http://www.ensembl.org/Mus_musculus/Gene/Summary?db=core;g=ENSMUSG00000091510","ENSMUSG00000091510")</f>
        <v>ENSMUSG00000091510</v>
      </c>
      <c r="I853" s="7" t="str">
        <f>HYPERLINK("http://www.informatics.jax.org/marker/MGI:1860766","MGI:1860766")</f>
        <v>MGI:1860766</v>
      </c>
      <c r="J853" s="4" t="s">
        <v>932</v>
      </c>
    </row>
    <row r="854" spans="1:10" x14ac:dyDescent="0.25">
      <c r="A854" s="2">
        <v>820.31334821581095</v>
      </c>
      <c r="B854" s="3">
        <v>1.0881716402639401</v>
      </c>
      <c r="C854" s="5">
        <v>1.10864267883314E-38</v>
      </c>
      <c r="D854" s="6">
        <v>3.6669714739989E-37</v>
      </c>
      <c r="E854" s="3" t="s">
        <v>2033</v>
      </c>
      <c r="F854" s="3" t="s">
        <v>2034</v>
      </c>
      <c r="G854" s="3">
        <v>68836</v>
      </c>
      <c r="H854" s="7" t="str">
        <f>HYPERLINK("http://www.ensembl.org/Mus_musculus/Gene/Summary?db=core;g=ENSMUSG00000010406","ENSMUSG00000010406")</f>
        <v>ENSMUSG00000010406</v>
      </c>
      <c r="I854" s="7" t="str">
        <f>HYPERLINK("http://www.informatics.jax.org/marker/MGI:1916086","MGI:1916086")</f>
        <v>MGI:1916086</v>
      </c>
      <c r="J854" s="4" t="s">
        <v>12</v>
      </c>
    </row>
    <row r="855" spans="1:10" x14ac:dyDescent="0.25">
      <c r="A855" s="2">
        <v>814.66028084490495</v>
      </c>
      <c r="B855" s="3">
        <v>1.08607558636113</v>
      </c>
      <c r="C855" s="5">
        <v>2.0232145333867701E-45</v>
      </c>
      <c r="D855" s="6">
        <v>8.5951246785486801E-44</v>
      </c>
      <c r="E855" s="3" t="s">
        <v>1664</v>
      </c>
      <c r="F855" s="3" t="s">
        <v>1665</v>
      </c>
      <c r="G855" s="3">
        <v>18806</v>
      </c>
      <c r="H855" s="7" t="str">
        <f>HYPERLINK("http://www.ensembl.org/Mus_musculus/Gene/Summary?db=core;g=ENSMUSG00000020828","ENSMUSG00000020828")</f>
        <v>ENSMUSG00000020828</v>
      </c>
      <c r="I855" s="7" t="str">
        <f>HYPERLINK("http://www.informatics.jax.org/marker/MGI:892877","MGI:892877")</f>
        <v>MGI:892877</v>
      </c>
      <c r="J855" s="4" t="s">
        <v>12</v>
      </c>
    </row>
    <row r="856" spans="1:10" x14ac:dyDescent="0.25">
      <c r="A856" s="2">
        <v>611.29038063784697</v>
      </c>
      <c r="B856" s="3">
        <v>1.0832410261865999</v>
      </c>
      <c r="C856" s="5">
        <v>2.1342036387943E-23</v>
      </c>
      <c r="D856" s="6">
        <v>3.9730195420864299E-22</v>
      </c>
      <c r="E856" s="3" t="s">
        <v>3576</v>
      </c>
      <c r="F856" s="3" t="s">
        <v>3577</v>
      </c>
      <c r="G856" s="3">
        <v>16911</v>
      </c>
      <c r="H856" s="7" t="str">
        <f>HYPERLINK("http://www.ensembl.org/Mus_musculus/Gene/Summary?db=core;g=ENSMUSG00000028266","ENSMUSG00000028266")</f>
        <v>ENSMUSG00000028266</v>
      </c>
      <c r="I856" s="7" t="str">
        <f>HYPERLINK("http://www.informatics.jax.org/marker/MGI:109360","MGI:109360")</f>
        <v>MGI:109360</v>
      </c>
      <c r="J856" s="4" t="s">
        <v>12</v>
      </c>
    </row>
    <row r="857" spans="1:10" x14ac:dyDescent="0.25">
      <c r="A857" s="2">
        <v>12.256058382881699</v>
      </c>
      <c r="B857" s="3">
        <v>1.0824194675288099</v>
      </c>
      <c r="C857" s="3">
        <v>1.23072493508489E-3</v>
      </c>
      <c r="D857" s="4">
        <v>4.2593926969088603E-3</v>
      </c>
      <c r="E857" s="3" t="s">
        <v>13569</v>
      </c>
      <c r="F857" s="3" t="s">
        <v>13570</v>
      </c>
      <c r="G857" s="3" t="s">
        <v>83</v>
      </c>
      <c r="H857" s="7" t="str">
        <f>HYPERLINK("http://www.ensembl.org/Mus_musculus/Gene/Summary?db=core;g=ENSMUSG00000104378","ENSMUSG00000104378")</f>
        <v>ENSMUSG00000104378</v>
      </c>
      <c r="I857" s="7" t="str">
        <f>HYPERLINK("http://www.informatics.jax.org/marker/MGI:5610738","MGI:5610738")</f>
        <v>MGI:5610738</v>
      </c>
      <c r="J857" s="4" t="s">
        <v>1828</v>
      </c>
    </row>
    <row r="858" spans="1:10" x14ac:dyDescent="0.25">
      <c r="A858" s="2">
        <v>310.89707410312599</v>
      </c>
      <c r="B858" s="3">
        <v>1.08087983653759</v>
      </c>
      <c r="C858" s="5">
        <v>2.8811732366515401E-24</v>
      </c>
      <c r="D858" s="6">
        <v>5.5273033934709802E-23</v>
      </c>
      <c r="E858" s="3" t="s">
        <v>6219</v>
      </c>
      <c r="F858" s="3" t="s">
        <v>6220</v>
      </c>
      <c r="G858" s="3">
        <v>242466</v>
      </c>
      <c r="H858" s="7" t="str">
        <f>HYPERLINK("http://www.ensembl.org/Mus_musculus/Gene/Summary?db=core;g=ENSMUSG00000060206","ENSMUSG00000060206")</f>
        <v>ENSMUSG00000060206</v>
      </c>
      <c r="I858" s="7" t="str">
        <f>HYPERLINK("http://www.informatics.jax.org/marker/MGI:107690","MGI:107690")</f>
        <v>MGI:107690</v>
      </c>
      <c r="J858" s="4" t="s">
        <v>12</v>
      </c>
    </row>
    <row r="859" spans="1:10" x14ac:dyDescent="0.25">
      <c r="A859" s="2">
        <v>544.75166499463796</v>
      </c>
      <c r="B859" s="3">
        <v>1.0792545817452699</v>
      </c>
      <c r="C859" s="5">
        <v>8.9514627723099804E-21</v>
      </c>
      <c r="D859" s="6">
        <v>1.4527195817039101E-19</v>
      </c>
      <c r="E859" s="3" t="s">
        <v>1454</v>
      </c>
      <c r="F859" s="3" t="s">
        <v>1455</v>
      </c>
      <c r="G859" s="3">
        <v>84035</v>
      </c>
      <c r="H859" s="7" t="str">
        <f>HYPERLINK("http://www.ensembl.org/Mus_musculus/Gene/Summary?db=core;g=ENSMUSG00000020393","ENSMUSG00000020393")</f>
        <v>ENSMUSG00000020393</v>
      </c>
      <c r="I859" s="7" t="str">
        <f>HYPERLINK("http://www.informatics.jax.org/marker/MGI:1933988","MGI:1933988")</f>
        <v>MGI:1933988</v>
      </c>
      <c r="J859" s="4" t="s">
        <v>12</v>
      </c>
    </row>
    <row r="860" spans="1:10" x14ac:dyDescent="0.25">
      <c r="A860" s="2">
        <v>40.471016606451897</v>
      </c>
      <c r="B860" s="3">
        <v>1.07872607808624</v>
      </c>
      <c r="C860" s="5">
        <v>9.3457766160911607E-9</v>
      </c>
      <c r="D860" s="6">
        <v>6.53594700031702E-8</v>
      </c>
      <c r="E860" s="3" t="s">
        <v>4985</v>
      </c>
      <c r="F860" s="3" t="s">
        <v>4986</v>
      </c>
      <c r="G860" s="3">
        <v>13488</v>
      </c>
      <c r="H860" s="7" t="str">
        <f>HYPERLINK("http://www.ensembl.org/Mus_musculus/Gene/Summary?db=core;g=ENSMUSG00000021478","ENSMUSG00000021478")</f>
        <v>ENSMUSG00000021478</v>
      </c>
      <c r="I860" s="7" t="str">
        <f>HYPERLINK("http://www.informatics.jax.org/marker/MGI:99578","MGI:99578")</f>
        <v>MGI:99578</v>
      </c>
      <c r="J860" s="4" t="s">
        <v>12</v>
      </c>
    </row>
    <row r="861" spans="1:10" x14ac:dyDescent="0.25">
      <c r="A861" s="2">
        <v>2.8643986717628298</v>
      </c>
      <c r="B861" s="3">
        <v>1.0779128068686099</v>
      </c>
      <c r="C861" s="3">
        <v>2.2118835739344499E-2</v>
      </c>
      <c r="D861" s="4">
        <v>5.6301086780663798E-2</v>
      </c>
      <c r="E861" s="3" t="s">
        <v>11281</v>
      </c>
      <c r="F861" s="3" t="s">
        <v>11282</v>
      </c>
      <c r="G861" s="3" t="s">
        <v>83</v>
      </c>
      <c r="H861" s="7" t="str">
        <f>HYPERLINK("http://www.ensembl.org/Mus_musculus/Gene/Summary?db=core;g=ENSMUSG00000055413","ENSMUSG00000055413")</f>
        <v>ENSMUSG00000055413</v>
      </c>
      <c r="I861" s="7" t="str">
        <f>HYPERLINK("http://www.informatics.jax.org/marker/MGI:95934","MGI:95934")</f>
        <v>MGI:95934</v>
      </c>
      <c r="J861" s="4" t="s">
        <v>976</v>
      </c>
    </row>
    <row r="862" spans="1:10" x14ac:dyDescent="0.25">
      <c r="A862" s="2">
        <v>4.64978406234696</v>
      </c>
      <c r="B862" s="3">
        <v>1.0767629370293601</v>
      </c>
      <c r="C862" s="3">
        <v>1.59903959483833E-2</v>
      </c>
      <c r="D862" s="4">
        <v>4.2500359655722103E-2</v>
      </c>
      <c r="E862" s="3" t="s">
        <v>11461</v>
      </c>
      <c r="F862" s="3" t="s">
        <v>11462</v>
      </c>
      <c r="G862" s="3" t="s">
        <v>83</v>
      </c>
      <c r="H862" s="7" t="str">
        <f>HYPERLINK("http://www.ensembl.org/Mus_musculus/Gene/Summary?db=core;g=ENSMUSG00000115961","ENSMUSG00000115961")</f>
        <v>ENSMUSG00000115961</v>
      </c>
      <c r="I862" s="7" t="str">
        <f>HYPERLINK("http://www.informatics.jax.org/marker/MGI:5624294","MGI:5624294")</f>
        <v>MGI:5624294</v>
      </c>
      <c r="J862" s="4" t="s">
        <v>939</v>
      </c>
    </row>
    <row r="863" spans="1:10" x14ac:dyDescent="0.25">
      <c r="A863" s="2">
        <v>218.35993854360001</v>
      </c>
      <c r="B863" s="3">
        <v>1.0755909400224799</v>
      </c>
      <c r="C863" s="5">
        <v>2.5162569324194399E-29</v>
      </c>
      <c r="D863" s="6">
        <v>6.0340503412295099E-28</v>
      </c>
      <c r="E863" s="3" t="s">
        <v>1194</v>
      </c>
      <c r="F863" s="3" t="s">
        <v>1195</v>
      </c>
      <c r="G863" s="3">
        <v>230801</v>
      </c>
      <c r="H863" s="7" t="str">
        <f>HYPERLINK("http://www.ensembl.org/Mus_musculus/Gene/Summary?db=core;g=ENSMUSG00000043257","ENSMUSG00000043257")</f>
        <v>ENSMUSG00000043257</v>
      </c>
      <c r="I863" s="7" t="str">
        <f>HYPERLINK("http://www.informatics.jax.org/marker/MGI:2442480","MGI:2442480")</f>
        <v>MGI:2442480</v>
      </c>
      <c r="J863" s="4" t="s">
        <v>12</v>
      </c>
    </row>
    <row r="864" spans="1:10" x14ac:dyDescent="0.25">
      <c r="A864" s="2">
        <v>9351.3910210264494</v>
      </c>
      <c r="B864" s="3">
        <v>1.0754084812799101</v>
      </c>
      <c r="C864" s="5">
        <v>5.2690397048915004E-203</v>
      </c>
      <c r="D864" s="6">
        <v>2.9099469279287101E-200</v>
      </c>
      <c r="E864" s="3" t="s">
        <v>43</v>
      </c>
      <c r="F864" s="3" t="s">
        <v>44</v>
      </c>
      <c r="G864" s="3">
        <v>17698</v>
      </c>
      <c r="H864" s="7" t="str">
        <f>HYPERLINK("http://www.ensembl.org/Mus_musculus/Gene/Summary?db=core;g=ENSMUSG00000031207","ENSMUSG00000031207")</f>
        <v>ENSMUSG00000031207</v>
      </c>
      <c r="I864" s="7" t="str">
        <f>HYPERLINK("http://www.informatics.jax.org/marker/MGI:97167","MGI:97167")</f>
        <v>MGI:97167</v>
      </c>
      <c r="J864" s="4" t="s">
        <v>12</v>
      </c>
    </row>
    <row r="865" spans="1:10" x14ac:dyDescent="0.25">
      <c r="A865" s="2">
        <v>1.5513971689377799</v>
      </c>
      <c r="B865" s="3">
        <v>1.0752332731526999</v>
      </c>
      <c r="C865" s="3">
        <v>2.2154196451081E-2</v>
      </c>
      <c r="D865" s="4">
        <v>5.6375346316804201E-2</v>
      </c>
      <c r="E865" s="3" t="s">
        <v>13143</v>
      </c>
      <c r="F865" s="3" t="s">
        <v>13144</v>
      </c>
      <c r="G865" s="3" t="s">
        <v>83</v>
      </c>
      <c r="H865" s="7" t="str">
        <f>HYPERLINK("http://www.ensembl.org/Mus_musculus/Gene/Summary?db=core;g=ENSMUSG00000109424","ENSMUSG00000109424")</f>
        <v>ENSMUSG00000109424</v>
      </c>
      <c r="I865" s="7" t="str">
        <f>HYPERLINK("http://www.informatics.jax.org/marker/MGI:5753234","MGI:5753234")</f>
        <v>MGI:5753234</v>
      </c>
      <c r="J865" s="4" t="s">
        <v>939</v>
      </c>
    </row>
    <row r="866" spans="1:10" x14ac:dyDescent="0.25">
      <c r="A866" s="2">
        <v>961.080069841306</v>
      </c>
      <c r="B866" s="3">
        <v>1.0737364166052099</v>
      </c>
      <c r="C866" s="5">
        <v>7.7667776824816004E-40</v>
      </c>
      <c r="D866" s="6">
        <v>2.67579439060921E-38</v>
      </c>
      <c r="E866" s="3" t="s">
        <v>1438</v>
      </c>
      <c r="F866" s="3" t="s">
        <v>1439</v>
      </c>
      <c r="G866" s="3">
        <v>114565</v>
      </c>
      <c r="H866" s="7" t="str">
        <f>HYPERLINK("http://www.ensembl.org/Mus_musculus/Gene/Summary?db=core;g=ENSMUSG00000046962","ENSMUSG00000046962")</f>
        <v>ENSMUSG00000046962</v>
      </c>
      <c r="I866" s="7" t="str">
        <f>HYPERLINK("http://www.informatics.jax.org/marker/MGI:1927240","MGI:1927240")</f>
        <v>MGI:1927240</v>
      </c>
      <c r="J866" s="4" t="s">
        <v>12</v>
      </c>
    </row>
    <row r="867" spans="1:10" x14ac:dyDescent="0.25">
      <c r="A867" s="2">
        <v>6285.2978877485702</v>
      </c>
      <c r="B867" s="3">
        <v>1.0735510569016999</v>
      </c>
      <c r="C867" s="5">
        <v>7.67908003187137E-57</v>
      </c>
      <c r="D867" s="6">
        <v>4.2668059018553603E-55</v>
      </c>
      <c r="E867" s="3" t="s">
        <v>822</v>
      </c>
      <c r="F867" s="3" t="s">
        <v>823</v>
      </c>
      <c r="G867" s="3">
        <v>11747</v>
      </c>
      <c r="H867" s="7" t="str">
        <f>HYPERLINK("http://www.ensembl.org/Mus_musculus/Gene/Summary?db=core;g=ENSMUSG00000027712","ENSMUSG00000027712")</f>
        <v>ENSMUSG00000027712</v>
      </c>
      <c r="I867" s="7" t="str">
        <f>HYPERLINK("http://www.informatics.jax.org/marker/MGI:106008","MGI:106008")</f>
        <v>MGI:106008</v>
      </c>
      <c r="J867" s="4" t="s">
        <v>12</v>
      </c>
    </row>
    <row r="868" spans="1:10" x14ac:dyDescent="0.25">
      <c r="A868" s="2">
        <v>35.4671183840682</v>
      </c>
      <c r="B868" s="3">
        <v>1.07129445765597</v>
      </c>
      <c r="C868" s="5">
        <v>1.5635988032951401E-6</v>
      </c>
      <c r="D868" s="6">
        <v>8.51152574374372E-6</v>
      </c>
      <c r="E868" s="3" t="s">
        <v>6868</v>
      </c>
      <c r="F868" s="3" t="s">
        <v>6869</v>
      </c>
      <c r="G868" s="3">
        <v>114643</v>
      </c>
      <c r="H868" s="7" t="str">
        <f>HYPERLINK("http://www.ensembl.org/Mus_musculus/Gene/Summary?db=core;g=ENSMUSG00000001166","ENSMUSG00000001166")</f>
        <v>ENSMUSG00000001166</v>
      </c>
      <c r="I868" s="7" t="str">
        <f>HYPERLINK("http://www.informatics.jax.org/marker/MGI:2149633","MGI:2149633")</f>
        <v>MGI:2149633</v>
      </c>
      <c r="J868" s="4" t="s">
        <v>12</v>
      </c>
    </row>
    <row r="869" spans="1:10" x14ac:dyDescent="0.25">
      <c r="A869" s="2">
        <v>6651.8129375886501</v>
      </c>
      <c r="B869" s="3">
        <v>1.0697945317255799</v>
      </c>
      <c r="C869" s="5">
        <v>3.5696869008269301E-86</v>
      </c>
      <c r="D869" s="6">
        <v>4.04084122779943E-84</v>
      </c>
      <c r="E869" s="3" t="s">
        <v>450</v>
      </c>
      <c r="F869" s="3" t="s">
        <v>451</v>
      </c>
      <c r="G869" s="3">
        <v>14489</v>
      </c>
      <c r="H869" s="7" t="str">
        <f>HYPERLINK("http://www.ensembl.org/Mus_musculus/Gene/Summary?db=core;g=ENSMUSG00000029840","ENSMUSG00000029840")</f>
        <v>ENSMUSG00000029840</v>
      </c>
      <c r="I869" s="7" t="str">
        <f>HYPERLINK("http://www.informatics.jax.org/marker/MGI:99445","MGI:99445")</f>
        <v>MGI:99445</v>
      </c>
      <c r="J869" s="4" t="s">
        <v>12</v>
      </c>
    </row>
    <row r="870" spans="1:10" x14ac:dyDescent="0.25">
      <c r="A870" s="2">
        <v>5422.5294858706702</v>
      </c>
      <c r="B870" s="3">
        <v>1.0694115882473301</v>
      </c>
      <c r="C870" s="5">
        <v>8.3028761240000496E-30</v>
      </c>
      <c r="D870" s="6">
        <v>2.0311398303342401E-28</v>
      </c>
      <c r="E870" s="3" t="s">
        <v>2443</v>
      </c>
      <c r="F870" s="3" t="s">
        <v>2444</v>
      </c>
      <c r="G870" s="3">
        <v>13518</v>
      </c>
      <c r="H870" s="7" t="str">
        <f>HYPERLINK("http://www.ensembl.org/Mus_musculus/Gene/Summary?db=core;g=ENSMUSG00000026131","ENSMUSG00000026131")</f>
        <v>ENSMUSG00000026131</v>
      </c>
      <c r="I870" s="7" t="str">
        <f>HYPERLINK("http://www.informatics.jax.org/marker/MGI:104627","MGI:104627")</f>
        <v>MGI:104627</v>
      </c>
      <c r="J870" s="4" t="s">
        <v>12</v>
      </c>
    </row>
    <row r="871" spans="1:10" x14ac:dyDescent="0.25">
      <c r="A871" s="2">
        <v>296.45282633321301</v>
      </c>
      <c r="B871" s="3">
        <v>1.06800190418241</v>
      </c>
      <c r="C871" s="5">
        <v>2.2397410543518801E-29</v>
      </c>
      <c r="D871" s="6">
        <v>5.38512938200039E-28</v>
      </c>
      <c r="E871" s="3" t="s">
        <v>1448</v>
      </c>
      <c r="F871" s="3" t="s">
        <v>1449</v>
      </c>
      <c r="G871" s="3">
        <v>213438</v>
      </c>
      <c r="H871" s="7" t="str">
        <f>HYPERLINK("http://www.ensembl.org/Mus_musculus/Gene/Summary?db=core;g=ENSMUSG00000054293","ENSMUSG00000054293")</f>
        <v>ENSMUSG00000054293</v>
      </c>
      <c r="I871" s="7" t="str">
        <f>HYPERLINK("http://www.informatics.jax.org/marker/MGI:2441814","MGI:2441814")</f>
        <v>MGI:2441814</v>
      </c>
      <c r="J871" s="4" t="s">
        <v>12</v>
      </c>
    </row>
    <row r="872" spans="1:10" x14ac:dyDescent="0.25">
      <c r="A872" s="2">
        <v>1537.3537980072099</v>
      </c>
      <c r="B872" s="3">
        <v>1.06762644630088</v>
      </c>
      <c r="C872" s="5">
        <v>1.0636874092665901E-79</v>
      </c>
      <c r="D872" s="6">
        <v>1.0096720330147701E-77</v>
      </c>
      <c r="E872" s="3" t="s">
        <v>624</v>
      </c>
      <c r="F872" s="3" t="s">
        <v>625</v>
      </c>
      <c r="G872" s="3">
        <v>217684</v>
      </c>
      <c r="H872" s="7" t="str">
        <f>HYPERLINK("http://www.ensembl.org/Mus_musculus/Gene/Summary?db=core;g=ENSMUSG00000021133","ENSMUSG00000021133")</f>
        <v>ENSMUSG00000021133</v>
      </c>
      <c r="I872" s="7" t="str">
        <f>HYPERLINK("http://www.informatics.jax.org/marker/MGI:2444661","MGI:2444661")</f>
        <v>MGI:2444661</v>
      </c>
      <c r="J872" s="4" t="s">
        <v>12</v>
      </c>
    </row>
    <row r="873" spans="1:10" x14ac:dyDescent="0.25">
      <c r="A873" s="2">
        <v>973.11799459537804</v>
      </c>
      <c r="B873" s="3">
        <v>1.06674911284578</v>
      </c>
      <c r="C873" s="5">
        <v>2.9970923213514901E-37</v>
      </c>
      <c r="D873" s="6">
        <v>9.4338527731659806E-36</v>
      </c>
      <c r="E873" s="3" t="s">
        <v>2645</v>
      </c>
      <c r="F873" s="3" t="s">
        <v>2646</v>
      </c>
      <c r="G873" s="3">
        <v>100494</v>
      </c>
      <c r="H873" s="7" t="str">
        <f>HYPERLINK("http://www.ensembl.org/Mus_musculus/Gene/Summary?db=core;g=ENSMUSG00000053581","ENSMUSG00000053581")</f>
        <v>ENSMUSG00000053581</v>
      </c>
      <c r="I873" s="7" t="str">
        <f>HYPERLINK("http://www.informatics.jax.org/marker/MGI:2140729","MGI:2140729")</f>
        <v>MGI:2140729</v>
      </c>
      <c r="J873" s="4" t="s">
        <v>12</v>
      </c>
    </row>
    <row r="874" spans="1:10" x14ac:dyDescent="0.25">
      <c r="A874" s="2">
        <v>1381.24252351478</v>
      </c>
      <c r="B874" s="3">
        <v>1.0663494375200999</v>
      </c>
      <c r="C874" s="5">
        <v>3.28377143513858E-46</v>
      </c>
      <c r="D874" s="6">
        <v>1.4249222477476299E-44</v>
      </c>
      <c r="E874" s="3" t="s">
        <v>1072</v>
      </c>
      <c r="F874" s="3" t="s">
        <v>1073</v>
      </c>
      <c r="G874" s="3">
        <v>15939</v>
      </c>
      <c r="H874" s="7" t="str">
        <f>HYPERLINK("http://www.ensembl.org/Mus_musculus/Gene/Summary?db=core;g=ENSMUSG00000056708","ENSMUSG00000056708")</f>
        <v>ENSMUSG00000056708</v>
      </c>
      <c r="I874" s="7" t="str">
        <f>HYPERLINK("http://www.informatics.jax.org/marker/MGI:1337072","MGI:1337072")</f>
        <v>MGI:1337072</v>
      </c>
      <c r="J874" s="4" t="s">
        <v>12</v>
      </c>
    </row>
    <row r="875" spans="1:10" x14ac:dyDescent="0.25">
      <c r="A875" s="2">
        <v>1316.7517198729599</v>
      </c>
      <c r="B875" s="3">
        <v>1.0653900235389</v>
      </c>
      <c r="C875" s="5">
        <v>4.4774469646588998E-19</v>
      </c>
      <c r="D875" s="6">
        <v>6.6941321518382702E-18</v>
      </c>
      <c r="E875" s="3" t="s">
        <v>1818</v>
      </c>
      <c r="F875" s="3" t="s">
        <v>1819</v>
      </c>
      <c r="G875" s="3">
        <v>19188</v>
      </c>
      <c r="H875" s="7" t="str">
        <f>HYPERLINK("http://www.ensembl.org/Mus_musculus/Gene/Summary?db=core;g=ENSMUSG00000079197","ENSMUSG00000079197")</f>
        <v>ENSMUSG00000079197</v>
      </c>
      <c r="I875" s="7" t="str">
        <f>HYPERLINK("http://www.informatics.jax.org/marker/MGI:1096365","MGI:1096365")</f>
        <v>MGI:1096365</v>
      </c>
      <c r="J875" s="4" t="s">
        <v>12</v>
      </c>
    </row>
    <row r="876" spans="1:10" x14ac:dyDescent="0.25">
      <c r="A876" s="2">
        <v>906.66318863890899</v>
      </c>
      <c r="B876" s="3">
        <v>1.0628083274443501</v>
      </c>
      <c r="C876" s="5">
        <v>4.8237787988887499E-45</v>
      </c>
      <c r="D876" s="6">
        <v>2.0117475654404502E-43</v>
      </c>
      <c r="E876" s="3" t="s">
        <v>884</v>
      </c>
      <c r="F876" s="3" t="s">
        <v>885</v>
      </c>
      <c r="G876" s="3">
        <v>75646</v>
      </c>
      <c r="H876" s="7" t="str">
        <f>HYPERLINK("http://www.ensembl.org/Mus_musculus/Gene/Summary?db=core;g=ENSMUSG00000022246","ENSMUSG00000022246")</f>
        <v>ENSMUSG00000022246</v>
      </c>
      <c r="I876" s="7" t="str">
        <f>HYPERLINK("http://www.informatics.jax.org/marker/MGI:1922896","MGI:1922896")</f>
        <v>MGI:1922896</v>
      </c>
      <c r="J876" s="4" t="s">
        <v>12</v>
      </c>
    </row>
    <row r="877" spans="1:10" x14ac:dyDescent="0.25">
      <c r="A877" s="2">
        <v>1305.98515145292</v>
      </c>
      <c r="B877" s="3">
        <v>1.06234843021828</v>
      </c>
      <c r="C877" s="5">
        <v>2.9964240502217797E-97</v>
      </c>
      <c r="D877" s="6">
        <v>4.2333200244412303E-95</v>
      </c>
      <c r="E877" s="3" t="s">
        <v>234</v>
      </c>
      <c r="F877" s="3" t="s">
        <v>235</v>
      </c>
      <c r="G877" s="3">
        <v>232314</v>
      </c>
      <c r="H877" s="7" t="str">
        <f>HYPERLINK("http://www.ensembl.org/Mus_musculus/Gene/Summary?db=core;g=ENSMUSG00000052144","ENSMUSG00000052144")</f>
        <v>ENSMUSG00000052144</v>
      </c>
      <c r="I877" s="7" t="str">
        <f>HYPERLINK("http://www.informatics.jax.org/marker/MGI:3027896","MGI:3027896")</f>
        <v>MGI:3027896</v>
      </c>
      <c r="J877" s="4" t="s">
        <v>12</v>
      </c>
    </row>
    <row r="878" spans="1:10" x14ac:dyDescent="0.25">
      <c r="A878" s="2">
        <v>2.17098354422785</v>
      </c>
      <c r="B878" s="3">
        <v>1.0600363968283899</v>
      </c>
      <c r="C878" s="3">
        <v>2.27755768058115E-2</v>
      </c>
      <c r="D878" s="4">
        <v>5.7771035112862301E-2</v>
      </c>
      <c r="E878" s="3" t="s">
        <v>8981</v>
      </c>
      <c r="F878" s="3" t="s">
        <v>8982</v>
      </c>
      <c r="G878" s="3" t="s">
        <v>83</v>
      </c>
      <c r="H878" s="7" t="str">
        <f>HYPERLINK("http://www.ensembl.org/Mus_musculus/Gene/Summary?db=core;g=ENSMUSG00000110500","ENSMUSG00000110500")</f>
        <v>ENSMUSG00000110500</v>
      </c>
      <c r="I878" s="7" t="str">
        <f>HYPERLINK("http://www.informatics.jax.org/marker/MGI:5591727","MGI:5591727")</f>
        <v>MGI:5591727</v>
      </c>
      <c r="J878" s="4" t="s">
        <v>939</v>
      </c>
    </row>
    <row r="879" spans="1:10" x14ac:dyDescent="0.25">
      <c r="A879" s="2">
        <v>1001.8568601639899</v>
      </c>
      <c r="B879" s="3">
        <v>1.05936960599385</v>
      </c>
      <c r="C879" s="5">
        <v>2.7392716126508699E-39</v>
      </c>
      <c r="D879" s="6">
        <v>9.2279528910465799E-38</v>
      </c>
      <c r="E879" s="3" t="s">
        <v>1857</v>
      </c>
      <c r="F879" s="3" t="s">
        <v>1858</v>
      </c>
      <c r="G879" s="3">
        <v>26889</v>
      </c>
      <c r="H879" s="7" t="str">
        <f>HYPERLINK("http://www.ensembl.org/Mus_musculus/Gene/Summary?db=core;g=ENSMUSG00000026317","ENSMUSG00000026317")</f>
        <v>ENSMUSG00000026317</v>
      </c>
      <c r="I879" s="7" t="str">
        <f>HYPERLINK("http://www.informatics.jax.org/marker/MGI:1349447","MGI:1349447")</f>
        <v>MGI:1349447</v>
      </c>
      <c r="J879" s="4" t="s">
        <v>12</v>
      </c>
    </row>
    <row r="880" spans="1:10" x14ac:dyDescent="0.25">
      <c r="A880" s="2">
        <v>6022.9043801202297</v>
      </c>
      <c r="B880" s="3">
        <v>1.05843952942103</v>
      </c>
      <c r="C880" s="5">
        <v>5.3396500011542897E-7</v>
      </c>
      <c r="D880" s="6">
        <v>3.06118657662903E-6</v>
      </c>
      <c r="E880" s="3" t="s">
        <v>6177</v>
      </c>
      <c r="F880" s="3" t="s">
        <v>6178</v>
      </c>
      <c r="G880" s="3">
        <v>12505</v>
      </c>
      <c r="H880" s="7" t="str">
        <f>HYPERLINK("http://www.ensembl.org/Mus_musculus/Gene/Summary?db=core;g=ENSMUSG00000005087","ENSMUSG00000005087")</f>
        <v>ENSMUSG00000005087</v>
      </c>
      <c r="I880" s="7" t="str">
        <f>HYPERLINK("http://www.informatics.jax.org/marker/MGI:88338","MGI:88338")</f>
        <v>MGI:88338</v>
      </c>
      <c r="J880" s="4" t="s">
        <v>12</v>
      </c>
    </row>
    <row r="881" spans="1:10" x14ac:dyDescent="0.25">
      <c r="A881" s="2">
        <v>3710.58088294349</v>
      </c>
      <c r="B881" s="3">
        <v>1.05496344363879</v>
      </c>
      <c r="C881" s="5">
        <v>4.8731680455039699E-38</v>
      </c>
      <c r="D881" s="6">
        <v>1.57750422076927E-36</v>
      </c>
      <c r="E881" s="3" t="s">
        <v>1756</v>
      </c>
      <c r="F881" s="3" t="s">
        <v>1757</v>
      </c>
      <c r="G881" s="3">
        <v>18557</v>
      </c>
      <c r="H881" s="7" t="str">
        <f>HYPERLINK("http://www.ensembl.org/Mus_musculus/Gene/Summary?db=core;g=ENSMUSG00000026437","ENSMUSG00000026437")</f>
        <v>ENSMUSG00000026437</v>
      </c>
      <c r="I881" s="7" t="str">
        <f>HYPERLINK("http://www.informatics.jax.org/marker/MGI:97518","MGI:97518")</f>
        <v>MGI:97518</v>
      </c>
      <c r="J881" s="4" t="s">
        <v>12</v>
      </c>
    </row>
    <row r="882" spans="1:10" x14ac:dyDescent="0.25">
      <c r="A882" s="2">
        <v>1938.7686635608</v>
      </c>
      <c r="B882" s="3">
        <v>1.0523506236418601</v>
      </c>
      <c r="C882" s="5">
        <v>1.8990537270857E-40</v>
      </c>
      <c r="D882" s="6">
        <v>6.69443987933015E-39</v>
      </c>
      <c r="E882" s="3" t="s">
        <v>1274</v>
      </c>
      <c r="F882" s="3" t="s">
        <v>1275</v>
      </c>
      <c r="G882" s="3">
        <v>105559</v>
      </c>
      <c r="H882" s="7" t="str">
        <f>HYPERLINK("http://www.ensembl.org/Mus_musculus/Gene/Summary?db=core;g=ENSMUSG00000022139","ENSMUSG00000022139")</f>
        <v>ENSMUSG00000022139</v>
      </c>
      <c r="I882" s="7" t="str">
        <f>HYPERLINK("http://www.informatics.jax.org/marker/MGI:2145597","MGI:2145597")</f>
        <v>MGI:2145597</v>
      </c>
      <c r="J882" s="4" t="s">
        <v>12</v>
      </c>
    </row>
    <row r="883" spans="1:10" x14ac:dyDescent="0.25">
      <c r="A883" s="2">
        <v>1.50114159828173</v>
      </c>
      <c r="B883" s="3">
        <v>1.0514074504981299</v>
      </c>
      <c r="C883" s="3">
        <v>2.48829277750078E-2</v>
      </c>
      <c r="D883" s="4">
        <v>6.2455771753135603E-2</v>
      </c>
      <c r="E883" s="3" t="s">
        <v>12495</v>
      </c>
      <c r="F883" s="3" t="s">
        <v>12496</v>
      </c>
      <c r="G883" s="3">
        <v>14582</v>
      </c>
      <c r="H883" s="7" t="str">
        <f>HYPERLINK("http://www.ensembl.org/Mus_musculus/Gene/Summary?db=core;g=ENSMUSG00000026815","ENSMUSG00000026815")</f>
        <v>ENSMUSG00000026815</v>
      </c>
      <c r="I883" s="7" t="str">
        <f>HYPERLINK("http://www.informatics.jax.org/marker/MGI:1276578","MGI:1276578")</f>
        <v>MGI:1276578</v>
      </c>
      <c r="J883" s="4" t="s">
        <v>12</v>
      </c>
    </row>
    <row r="884" spans="1:10" x14ac:dyDescent="0.25">
      <c r="A884" s="2">
        <v>5390.4230885685802</v>
      </c>
      <c r="B884" s="3">
        <v>1.05107428287746</v>
      </c>
      <c r="C884" s="5">
        <v>9.8853571813673099E-51</v>
      </c>
      <c r="D884" s="6">
        <v>4.7915062401707203E-49</v>
      </c>
      <c r="E884" s="3" t="s">
        <v>608</v>
      </c>
      <c r="F884" s="3" t="s">
        <v>609</v>
      </c>
      <c r="G884" s="3">
        <v>15982</v>
      </c>
      <c r="H884" s="7" t="str">
        <f>HYPERLINK("http://www.ensembl.org/Mus_musculus/Gene/Summary?db=core;g=ENSMUSG00000001627","ENSMUSG00000001627")</f>
        <v>ENSMUSG00000001627</v>
      </c>
      <c r="I884" s="7" t="str">
        <f>HYPERLINK("http://www.informatics.jax.org/marker/MGI:1316717","MGI:1316717")</f>
        <v>MGI:1316717</v>
      </c>
      <c r="J884" s="4" t="s">
        <v>12</v>
      </c>
    </row>
    <row r="885" spans="1:10" x14ac:dyDescent="0.25">
      <c r="A885" s="2">
        <v>427.23759693631501</v>
      </c>
      <c r="B885" s="3">
        <v>1.04983506992428</v>
      </c>
      <c r="C885" s="5">
        <v>6.0026162057338899E-11</v>
      </c>
      <c r="D885" s="6">
        <v>5.2393525071599698E-10</v>
      </c>
      <c r="E885" s="3" t="s">
        <v>3202</v>
      </c>
      <c r="F885" s="3" t="s">
        <v>3203</v>
      </c>
      <c r="G885" s="3">
        <v>18574</v>
      </c>
      <c r="H885" s="7" t="str">
        <f>HYPERLINK("http://www.ensembl.org/Mus_musculus/Gene/Summary?db=core;g=ENSMUSG00000022489","ENSMUSG00000022489")</f>
        <v>ENSMUSG00000022489</v>
      </c>
      <c r="I885" s="7" t="str">
        <f>HYPERLINK("http://www.informatics.jax.org/marker/MGI:97523","MGI:97523")</f>
        <v>MGI:97523</v>
      </c>
      <c r="J885" s="4" t="s">
        <v>12</v>
      </c>
    </row>
    <row r="886" spans="1:10" x14ac:dyDescent="0.25">
      <c r="A886" s="2">
        <v>2258.1198648043701</v>
      </c>
      <c r="B886" s="3">
        <v>1.0498094895594099</v>
      </c>
      <c r="C886" s="5">
        <v>1.0612861802651599E-39</v>
      </c>
      <c r="D886" s="6">
        <v>3.62888192032507E-38</v>
      </c>
      <c r="E886" s="3" t="s">
        <v>1993</v>
      </c>
      <c r="F886" s="3" t="s">
        <v>1994</v>
      </c>
      <c r="G886" s="3">
        <v>108686</v>
      </c>
      <c r="H886" s="7" t="str">
        <f>HYPERLINK("http://www.ensembl.org/Mus_musculus/Gene/Summary?db=core;g=ENSMUSG00000032740","ENSMUSG00000032740")</f>
        <v>ENSMUSG00000032740</v>
      </c>
      <c r="I886" s="7" t="str">
        <f>HYPERLINK("http://www.informatics.jax.org/marker/MGI:1925177","MGI:1925177")</f>
        <v>MGI:1925177</v>
      </c>
      <c r="J886" s="4" t="s">
        <v>12</v>
      </c>
    </row>
    <row r="887" spans="1:10" x14ac:dyDescent="0.25">
      <c r="A887" s="2">
        <v>661.60750659578196</v>
      </c>
      <c r="B887" s="3">
        <v>1.0483715965145901</v>
      </c>
      <c r="C887" s="5">
        <v>7.3450311960353598E-53</v>
      </c>
      <c r="D887" s="6">
        <v>3.7287797645611303E-51</v>
      </c>
      <c r="E887" s="3" t="s">
        <v>660</v>
      </c>
      <c r="F887" s="3" t="s">
        <v>661</v>
      </c>
      <c r="G887" s="3">
        <v>67123</v>
      </c>
      <c r="H887" s="7" t="str">
        <f>HYPERLINK("http://www.ensembl.org/Mus_musculus/Gene/Summary?db=core;g=ENSMUSG00000028437","ENSMUSG00000028437")</f>
        <v>ENSMUSG00000028437</v>
      </c>
      <c r="I887" s="7" t="str">
        <f>HYPERLINK("http://www.informatics.jax.org/marker/MGI:2149543","MGI:2149543")</f>
        <v>MGI:2149543</v>
      </c>
      <c r="J887" s="4" t="s">
        <v>12</v>
      </c>
    </row>
    <row r="888" spans="1:10" x14ac:dyDescent="0.25">
      <c r="A888" s="2">
        <v>894.18636303050096</v>
      </c>
      <c r="B888" s="3">
        <v>1.04835314036876</v>
      </c>
      <c r="C888" s="5">
        <v>7.81829345116945E-27</v>
      </c>
      <c r="D888" s="6">
        <v>1.6942734619210799E-25</v>
      </c>
      <c r="E888" s="3" t="s">
        <v>1354</v>
      </c>
      <c r="F888" s="3" t="s">
        <v>1355</v>
      </c>
      <c r="G888" s="3">
        <v>73112</v>
      </c>
      <c r="H888" s="7" t="str">
        <f>HYPERLINK("http://www.ensembl.org/Mus_musculus/Gene/Summary?db=core;g=ENSMUSG00000078453","ENSMUSG00000078453")</f>
        <v>ENSMUSG00000078453</v>
      </c>
      <c r="I888" s="7" t="str">
        <f>HYPERLINK("http://www.informatics.jax.org/marker/MGI:1920362","MGI:1920362")</f>
        <v>MGI:1920362</v>
      </c>
      <c r="J888" s="4" t="s">
        <v>12</v>
      </c>
    </row>
    <row r="889" spans="1:10" x14ac:dyDescent="0.25">
      <c r="A889" s="2">
        <v>1495.0119668243301</v>
      </c>
      <c r="B889" s="3">
        <v>1.0481063496362499</v>
      </c>
      <c r="C889" s="5">
        <v>7.1895176961216305E-58</v>
      </c>
      <c r="D889" s="6">
        <v>4.1074909094613404E-56</v>
      </c>
      <c r="E889" s="3" t="s">
        <v>1250</v>
      </c>
      <c r="F889" s="3" t="s">
        <v>1251</v>
      </c>
      <c r="G889" s="3">
        <v>16476</v>
      </c>
      <c r="H889" s="7" t="str">
        <f>HYPERLINK("http://www.ensembl.org/Mus_musculus/Gene/Summary?db=core;g=ENSMUSG00000052684","ENSMUSG00000052684")</f>
        <v>ENSMUSG00000052684</v>
      </c>
      <c r="I889" s="7" t="str">
        <f>HYPERLINK("http://www.informatics.jax.org/marker/MGI:96646","MGI:96646")</f>
        <v>MGI:96646</v>
      </c>
      <c r="J889" s="4" t="s">
        <v>12</v>
      </c>
    </row>
    <row r="890" spans="1:10" x14ac:dyDescent="0.25">
      <c r="A890" s="2">
        <v>374.26247440705299</v>
      </c>
      <c r="B890" s="3">
        <v>1.0475373378337001</v>
      </c>
      <c r="C890" s="5">
        <v>3.6560751295021598E-16</v>
      </c>
      <c r="D890" s="6">
        <v>4.6530704773168202E-15</v>
      </c>
      <c r="E890" s="3" t="s">
        <v>3494</v>
      </c>
      <c r="F890" s="3" t="s">
        <v>3495</v>
      </c>
      <c r="G890" s="3">
        <v>102866</v>
      </c>
      <c r="H890" s="7" t="str">
        <f>HYPERLINK("http://www.ensembl.org/Mus_musculus/Gene/Summary?db=core;g=ENSMUSG00000016382","ENSMUSG00000016382")</f>
        <v>ENSMUSG00000016382</v>
      </c>
      <c r="I890" s="7" t="str">
        <f>HYPERLINK("http://www.informatics.jax.org/marker/MGI:104807","MGI:104807")</f>
        <v>MGI:104807</v>
      </c>
      <c r="J890" s="4" t="s">
        <v>12</v>
      </c>
    </row>
    <row r="891" spans="1:10" x14ac:dyDescent="0.25">
      <c r="A891" s="2">
        <v>8.3775663226169996</v>
      </c>
      <c r="B891" s="3">
        <v>1.0470985921628699</v>
      </c>
      <c r="C891" s="3">
        <v>1.7578629121931799E-3</v>
      </c>
      <c r="D891" s="4">
        <v>5.8902466583417397E-3</v>
      </c>
      <c r="E891" s="3" t="s">
        <v>10880</v>
      </c>
      <c r="F891" s="3" t="s">
        <v>10881</v>
      </c>
      <c r="G891" s="3" t="s">
        <v>83</v>
      </c>
      <c r="H891" s="7" t="str">
        <f>HYPERLINK("http://www.ensembl.org/Mus_musculus/Gene/Summary?db=core;g=ENSMUSG00000107352","ENSMUSG00000107352")</f>
        <v>ENSMUSG00000107352</v>
      </c>
      <c r="I891" s="7" t="str">
        <f>HYPERLINK("http://www.informatics.jax.org/marker/MGI:5663797","MGI:5663797")</f>
        <v>MGI:5663797</v>
      </c>
      <c r="J891" s="4" t="s">
        <v>939</v>
      </c>
    </row>
    <row r="892" spans="1:10" x14ac:dyDescent="0.25">
      <c r="A892" s="2">
        <v>1579.25573851478</v>
      </c>
      <c r="B892" s="3">
        <v>1.0449999822420899</v>
      </c>
      <c r="C892" s="5">
        <v>3.2027080051796401E-21</v>
      </c>
      <c r="D892" s="6">
        <v>5.33053455656611E-20</v>
      </c>
      <c r="E892" s="3" t="s">
        <v>2163</v>
      </c>
      <c r="F892" s="3" t="s">
        <v>2164</v>
      </c>
      <c r="G892" s="3">
        <v>19731</v>
      </c>
      <c r="H892" s="7" t="str">
        <f>HYPERLINK("http://www.ensembl.org/Mus_musculus/Gene/Summary?db=core;g=ENSMUSG00000026482","ENSMUSG00000026482")</f>
        <v>ENSMUSG00000026482</v>
      </c>
      <c r="I892" s="7" t="str">
        <f>HYPERLINK("http://www.informatics.jax.org/marker/MGI:107484","MGI:107484")</f>
        <v>MGI:107484</v>
      </c>
      <c r="J892" s="4" t="s">
        <v>12</v>
      </c>
    </row>
    <row r="893" spans="1:10" x14ac:dyDescent="0.25">
      <c r="A893" s="2">
        <v>243.06946287066501</v>
      </c>
      <c r="B893" s="3">
        <v>1.0443339934715099</v>
      </c>
      <c r="C893" s="5">
        <v>7.9963319577606604E-20</v>
      </c>
      <c r="D893" s="6">
        <v>1.23712351383861E-18</v>
      </c>
      <c r="E893" s="3" t="s">
        <v>2473</v>
      </c>
      <c r="F893" s="3" t="s">
        <v>2474</v>
      </c>
      <c r="G893" s="3">
        <v>99526</v>
      </c>
      <c r="H893" s="7" t="str">
        <f>HYPERLINK("http://www.ensembl.org/Mus_musculus/Gene/Summary?db=core;g=ENSMUSG00000039701","ENSMUSG00000039701")</f>
        <v>ENSMUSG00000039701</v>
      </c>
      <c r="I893" s="7" t="str">
        <f>HYPERLINK("http://www.informatics.jax.org/marker/MGI:2139607","MGI:2139607")</f>
        <v>MGI:2139607</v>
      </c>
      <c r="J893" s="4" t="s">
        <v>12</v>
      </c>
    </row>
    <row r="894" spans="1:10" x14ac:dyDescent="0.25">
      <c r="A894" s="2">
        <v>22.3137477272635</v>
      </c>
      <c r="B894" s="3">
        <v>1.04317047121372</v>
      </c>
      <c r="C894" s="5">
        <v>4.5740206519644701E-5</v>
      </c>
      <c r="D894" s="4">
        <v>2.01848438528341E-4</v>
      </c>
      <c r="E894" s="3" t="s">
        <v>10020</v>
      </c>
      <c r="F894" s="3" t="s">
        <v>10021</v>
      </c>
      <c r="G894" s="3">
        <v>14998</v>
      </c>
      <c r="H894" s="7" t="str">
        <f>HYPERLINK("http://www.ensembl.org/Mus_musculus/Gene/Summary?db=core;g=ENSMUSG00000037649","ENSMUSG00000037649")</f>
        <v>ENSMUSG00000037649</v>
      </c>
      <c r="I894" s="7" t="str">
        <f>HYPERLINK("http://www.informatics.jax.org/marker/MGI:95921","MGI:95921")</f>
        <v>MGI:95921</v>
      </c>
      <c r="J894" s="4" t="s">
        <v>12</v>
      </c>
    </row>
    <row r="895" spans="1:10" x14ac:dyDescent="0.25">
      <c r="A895" s="2">
        <v>19.6840489238588</v>
      </c>
      <c r="B895" s="3">
        <v>1.04154876006965</v>
      </c>
      <c r="C895" s="3">
        <v>5.1948116874771602E-4</v>
      </c>
      <c r="D895" s="4">
        <v>1.92390658411443E-3</v>
      </c>
      <c r="E895" s="3" t="s">
        <v>8879</v>
      </c>
      <c r="F895" s="3" t="s">
        <v>8880</v>
      </c>
      <c r="G895" s="3" t="s">
        <v>83</v>
      </c>
      <c r="H895" s="7" t="str">
        <f>HYPERLINK("http://www.ensembl.org/Mus_musculus/Gene/Summary?db=core;g=ENSMUSG00000100658","ENSMUSG00000100658")</f>
        <v>ENSMUSG00000100658</v>
      </c>
      <c r="I895" s="7" t="str">
        <f>HYPERLINK("http://www.informatics.jax.org/marker/MGI:3643355","MGI:3643355")</f>
        <v>MGI:3643355</v>
      </c>
      <c r="J895" s="4" t="s">
        <v>939</v>
      </c>
    </row>
    <row r="896" spans="1:10" x14ac:dyDescent="0.25">
      <c r="A896" s="2">
        <v>2188.4498916078801</v>
      </c>
      <c r="B896" s="3">
        <v>1.0415451834907301</v>
      </c>
      <c r="C896" s="5">
        <v>1.6613463871558299E-30</v>
      </c>
      <c r="D896" s="6">
        <v>4.1994504723876699E-29</v>
      </c>
      <c r="E896" s="3" t="s">
        <v>910</v>
      </c>
      <c r="F896" s="3" t="s">
        <v>911</v>
      </c>
      <c r="G896" s="3">
        <v>208263</v>
      </c>
      <c r="H896" s="7" t="str">
        <f>HYPERLINK("http://www.ensembl.org/Mus_musculus/Gene/Summary?db=core;g=ENSMUSG00000026466","ENSMUSG00000026466")</f>
        <v>ENSMUSG00000026466</v>
      </c>
      <c r="I896" s="7" t="str">
        <f>HYPERLINK("http://www.informatics.jax.org/marker/MGI:3582693","MGI:3582693")</f>
        <v>MGI:3582693</v>
      </c>
      <c r="J896" s="4" t="s">
        <v>12</v>
      </c>
    </row>
    <row r="897" spans="1:10" x14ac:dyDescent="0.25">
      <c r="A897" s="2">
        <v>974.60519471653799</v>
      </c>
      <c r="B897" s="3">
        <v>1.04146160776644</v>
      </c>
      <c r="C897" s="5">
        <v>1.0648733203802E-41</v>
      </c>
      <c r="D897" s="6">
        <v>3.9526102370527601E-40</v>
      </c>
      <c r="E897" s="3" t="s">
        <v>987</v>
      </c>
      <c r="F897" s="3" t="s">
        <v>988</v>
      </c>
      <c r="G897" s="3">
        <v>232164</v>
      </c>
      <c r="H897" s="7" t="str">
        <f>HYPERLINK("http://www.ensembl.org/Mus_musculus/Gene/Summary?db=core;g=ENSMUSG00000045896","ENSMUSG00000045896")</f>
        <v>ENSMUSG00000045896</v>
      </c>
      <c r="I897" s="7" t="str">
        <f>HYPERLINK("http://www.informatics.jax.org/marker/MGI:2386865","MGI:2386865")</f>
        <v>MGI:2386865</v>
      </c>
      <c r="J897" s="4" t="s">
        <v>12</v>
      </c>
    </row>
    <row r="898" spans="1:10" x14ac:dyDescent="0.25">
      <c r="A898" s="2">
        <v>2558.0641922741802</v>
      </c>
      <c r="B898" s="3">
        <v>1.0404821265709401</v>
      </c>
      <c r="C898" s="5">
        <v>2.8238091971271801E-6</v>
      </c>
      <c r="D898" s="6">
        <v>1.48579256090634E-5</v>
      </c>
      <c r="E898" s="3" t="s">
        <v>4449</v>
      </c>
      <c r="F898" s="3" t="s">
        <v>4450</v>
      </c>
      <c r="G898" s="3">
        <v>12977</v>
      </c>
      <c r="H898" s="7" t="str">
        <f>HYPERLINK("http://www.ensembl.org/Mus_musculus/Gene/Summary?db=core;g=ENSMUSG00000014599","ENSMUSG00000014599")</f>
        <v>ENSMUSG00000014599</v>
      </c>
      <c r="I898" s="7" t="str">
        <f>HYPERLINK("http://www.informatics.jax.org/marker/MGI:1339753","MGI:1339753")</f>
        <v>MGI:1339753</v>
      </c>
      <c r="J898" s="4" t="s">
        <v>12</v>
      </c>
    </row>
    <row r="899" spans="1:10" x14ac:dyDescent="0.25">
      <c r="A899" s="2">
        <v>1445.0470016730601</v>
      </c>
      <c r="B899" s="3">
        <v>1.03964541142916</v>
      </c>
      <c r="C899" s="5">
        <v>5.3531580179890098E-19</v>
      </c>
      <c r="D899" s="6">
        <v>7.9837401700367994E-18</v>
      </c>
      <c r="E899" s="3" t="s">
        <v>1310</v>
      </c>
      <c r="F899" s="3" t="s">
        <v>1311</v>
      </c>
      <c r="G899" s="3">
        <v>18950</v>
      </c>
      <c r="H899" s="7" t="str">
        <f>HYPERLINK("http://www.ensembl.org/Mus_musculus/Gene/Summary?db=core;g=ENSMUSG00000115338","ENSMUSG00000115338")</f>
        <v>ENSMUSG00000115338</v>
      </c>
      <c r="I899" s="7" t="str">
        <f>HYPERLINK("http://www.informatics.jax.org/marker/MGI:97365","MGI:97365")</f>
        <v>MGI:97365</v>
      </c>
      <c r="J899" s="4" t="s">
        <v>12</v>
      </c>
    </row>
    <row r="900" spans="1:10" x14ac:dyDescent="0.25">
      <c r="A900" s="2">
        <v>2198.0872859813599</v>
      </c>
      <c r="B900" s="3">
        <v>1.0389677601204399</v>
      </c>
      <c r="C900" s="5">
        <v>1.61127160267572E-91</v>
      </c>
      <c r="D900" s="6">
        <v>2.02520172129413E-89</v>
      </c>
      <c r="E900" s="3" t="s">
        <v>278</v>
      </c>
      <c r="F900" s="3" t="s">
        <v>279</v>
      </c>
      <c r="G900" s="3">
        <v>233977</v>
      </c>
      <c r="H900" s="7" t="str">
        <f>HYPERLINK("http://www.ensembl.org/Mus_musculus/Gene/Summary?db=core;g=ENSMUSG00000037519","ENSMUSG00000037519")</f>
        <v>ENSMUSG00000037519</v>
      </c>
      <c r="I900" s="7" t="str">
        <f>HYPERLINK("http://www.informatics.jax.org/marker/MGI:1924750","MGI:1924750")</f>
        <v>MGI:1924750</v>
      </c>
      <c r="J900" s="4" t="s">
        <v>12</v>
      </c>
    </row>
    <row r="901" spans="1:10" x14ac:dyDescent="0.25">
      <c r="A901" s="2">
        <v>777.16725876466296</v>
      </c>
      <c r="B901" s="3">
        <v>1.0388377122905199</v>
      </c>
      <c r="C901" s="5">
        <v>1.10270547778746E-27</v>
      </c>
      <c r="D901" s="6">
        <v>2.4810873250217901E-26</v>
      </c>
      <c r="E901" s="3" t="s">
        <v>1120</v>
      </c>
      <c r="F901" s="3" t="s">
        <v>1121</v>
      </c>
      <c r="G901" s="3">
        <v>22782</v>
      </c>
      <c r="H901" s="7" t="str">
        <f>HYPERLINK("http://www.ensembl.org/Mus_musculus/Gene/Summary?db=core;g=ENSMUSG00000037434","ENSMUSG00000037434")</f>
        <v>ENSMUSG00000037434</v>
      </c>
      <c r="I901" s="7" t="str">
        <f>HYPERLINK("http://www.informatics.jax.org/marker/MGI:1345281","MGI:1345281")</f>
        <v>MGI:1345281</v>
      </c>
      <c r="J901" s="4" t="s">
        <v>12</v>
      </c>
    </row>
    <row r="902" spans="1:10" x14ac:dyDescent="0.25">
      <c r="A902" s="2">
        <v>268.432330327324</v>
      </c>
      <c r="B902" s="3">
        <v>1.0377959686890399</v>
      </c>
      <c r="C902" s="5">
        <v>1.67413330199096E-29</v>
      </c>
      <c r="D902" s="6">
        <v>4.0465622584595902E-28</v>
      </c>
      <c r="E902" s="3" t="s">
        <v>1592</v>
      </c>
      <c r="F902" s="3" t="s">
        <v>1593</v>
      </c>
      <c r="G902" s="3">
        <v>65247</v>
      </c>
      <c r="H902" s="7" t="str">
        <f>HYPERLINK("http://www.ensembl.org/Mus_musculus/Gene/Summary?db=core;g=ENSMUSG00000026311","ENSMUSG00000026311")</f>
        <v>ENSMUSG00000026311</v>
      </c>
      <c r="I902" s="7" t="str">
        <f>HYPERLINK("http://www.informatics.jax.org/marker/MGI:1929735","MGI:1929735")</f>
        <v>MGI:1929735</v>
      </c>
      <c r="J902" s="4" t="s">
        <v>12</v>
      </c>
    </row>
    <row r="903" spans="1:10" x14ac:dyDescent="0.25">
      <c r="A903" s="2">
        <v>65.103611397443103</v>
      </c>
      <c r="B903" s="3">
        <v>1.0376536904584599</v>
      </c>
      <c r="C903" s="5">
        <v>2.27123098263386E-8</v>
      </c>
      <c r="D903" s="6">
        <v>1.52236795360434E-7</v>
      </c>
      <c r="E903" s="3" t="s">
        <v>6363</v>
      </c>
      <c r="F903" s="3" t="s">
        <v>6364</v>
      </c>
      <c r="G903" s="3">
        <v>19260</v>
      </c>
      <c r="H903" s="7" t="str">
        <f>HYPERLINK("http://www.ensembl.org/Mus_musculus/Gene/Summary?db=core;g=ENSMUSG00000027843","ENSMUSG00000027843")</f>
        <v>ENSMUSG00000027843</v>
      </c>
      <c r="I903" s="7" t="str">
        <f>HYPERLINK("http://www.informatics.jax.org/marker/MGI:107170","MGI:107170")</f>
        <v>MGI:107170</v>
      </c>
      <c r="J903" s="4" t="s">
        <v>12</v>
      </c>
    </row>
    <row r="904" spans="1:10" x14ac:dyDescent="0.25">
      <c r="A904" s="2">
        <v>515.68585908525597</v>
      </c>
      <c r="B904" s="3">
        <v>1.03691983230914</v>
      </c>
      <c r="C904" s="5">
        <v>5.37584817049839E-46</v>
      </c>
      <c r="D904" s="6">
        <v>2.3161899032466502E-44</v>
      </c>
      <c r="E904" s="3" t="s">
        <v>3276</v>
      </c>
      <c r="F904" s="3" t="s">
        <v>3277</v>
      </c>
      <c r="G904" s="3">
        <v>381269</v>
      </c>
      <c r="H904" s="7" t="str">
        <f>HYPERLINK("http://www.ensembl.org/Mus_musculus/Gene/Summary?db=core;g=ENSMUSG00000039395","ENSMUSG00000039395")</f>
        <v>ENSMUSG00000039395</v>
      </c>
      <c r="I904" s="7" t="str">
        <f>HYPERLINK("http://www.informatics.jax.org/marker/MGI:2151839","MGI:2151839")</f>
        <v>MGI:2151839</v>
      </c>
      <c r="J904" s="4" t="s">
        <v>12</v>
      </c>
    </row>
    <row r="905" spans="1:10" x14ac:dyDescent="0.25">
      <c r="A905" s="2">
        <v>8.5489359013700703</v>
      </c>
      <c r="B905" s="3">
        <v>1.0362121641290301</v>
      </c>
      <c r="C905" s="3">
        <v>2.3337304259700002E-3</v>
      </c>
      <c r="D905" s="4">
        <v>7.6004712318268799E-3</v>
      </c>
      <c r="E905" s="3" t="s">
        <v>12471</v>
      </c>
      <c r="F905" s="3" t="s">
        <v>12472</v>
      </c>
      <c r="G905" s="3" t="s">
        <v>83</v>
      </c>
      <c r="H905" s="7" t="str">
        <f>HYPERLINK("http://www.ensembl.org/Mus_musculus/Gene/Summary?db=core;g=ENSMUSG00000102059","ENSMUSG00000102059")</f>
        <v>ENSMUSG00000102059</v>
      </c>
      <c r="I905" s="7" t="str">
        <f>HYPERLINK("http://www.informatics.jax.org/marker/MGI:5012442","MGI:5012442")</f>
        <v>MGI:5012442</v>
      </c>
      <c r="J905" s="4" t="s">
        <v>320</v>
      </c>
    </row>
    <row r="906" spans="1:10" x14ac:dyDescent="0.25">
      <c r="A906" s="2">
        <v>3.8886547635588</v>
      </c>
      <c r="B906" s="3">
        <v>1.0359519624759399</v>
      </c>
      <c r="C906" s="3">
        <v>2.7632912987591102E-2</v>
      </c>
      <c r="D906" s="4">
        <v>6.8434548063439002E-2</v>
      </c>
      <c r="E906" s="3" t="s">
        <v>5953</v>
      </c>
      <c r="F906" s="3" t="s">
        <v>5954</v>
      </c>
      <c r="G906" s="3" t="s">
        <v>83</v>
      </c>
      <c r="H906" s="7" t="str">
        <f>HYPERLINK("http://www.ensembl.org/Mus_musculus/Gene/Summary?db=core;g=ENSMUSG00000099241","ENSMUSG00000099241")</f>
        <v>ENSMUSG00000099241</v>
      </c>
      <c r="I906" s="7" t="str">
        <f>HYPERLINK("http://www.informatics.jax.org/marker/MGI:5011037","MGI:5011037")</f>
        <v>MGI:5011037</v>
      </c>
      <c r="J906" s="4" t="s">
        <v>1043</v>
      </c>
    </row>
    <row r="907" spans="1:10" x14ac:dyDescent="0.25">
      <c r="A907" s="2">
        <v>4516.4840344601998</v>
      </c>
      <c r="B907" s="3">
        <v>1.0327286245981</v>
      </c>
      <c r="C907" s="5">
        <v>1.5863078182322599E-35</v>
      </c>
      <c r="D907" s="6">
        <v>4.7316628457091596E-34</v>
      </c>
      <c r="E907" s="3" t="s">
        <v>1690</v>
      </c>
      <c r="F907" s="3" t="s">
        <v>1691</v>
      </c>
      <c r="G907" s="3">
        <v>226519</v>
      </c>
      <c r="H907" s="7" t="str">
        <f>HYPERLINK("http://www.ensembl.org/Mus_musculus/Gene/Summary?db=core;g=ENSMUSG00000026478","ENSMUSG00000026478")</f>
        <v>ENSMUSG00000026478</v>
      </c>
      <c r="I907" s="7" t="str">
        <f>HYPERLINK("http://www.informatics.jax.org/marker/MGI:99914","MGI:99914")</f>
        <v>MGI:99914</v>
      </c>
      <c r="J907" s="4" t="s">
        <v>12</v>
      </c>
    </row>
    <row r="908" spans="1:10" x14ac:dyDescent="0.25">
      <c r="A908" s="2">
        <v>2.6969138702314899</v>
      </c>
      <c r="B908" s="3">
        <v>1.0324599272003701</v>
      </c>
      <c r="C908" s="3">
        <v>2.6488778365484002E-2</v>
      </c>
      <c r="D908" s="4">
        <v>6.5970430985107201E-2</v>
      </c>
      <c r="E908" s="3" t="s">
        <v>13173</v>
      </c>
      <c r="F908" s="3" t="s">
        <v>13174</v>
      </c>
      <c r="G908" s="3" t="s">
        <v>83</v>
      </c>
      <c r="H908" s="7" t="str">
        <f>HYPERLINK("http://www.ensembl.org/Mus_musculus/Gene/Summary?db=core;g=ENSMUSG00000111148","ENSMUSG00000111148")</f>
        <v>ENSMUSG00000111148</v>
      </c>
      <c r="I908" s="7" t="str">
        <f>HYPERLINK("http://www.informatics.jax.org/marker/MGI:3780943","MGI:3780943")</f>
        <v>MGI:3780943</v>
      </c>
      <c r="J908" s="4" t="s">
        <v>1043</v>
      </c>
    </row>
    <row r="909" spans="1:10" x14ac:dyDescent="0.25">
      <c r="A909" s="2">
        <v>282.49545561803001</v>
      </c>
      <c r="B909" s="3">
        <v>1.0321070455939001</v>
      </c>
      <c r="C909" s="5">
        <v>8.8465548840831604E-21</v>
      </c>
      <c r="D909" s="6">
        <v>1.4369738214119E-19</v>
      </c>
      <c r="E909" s="3" t="s">
        <v>3181</v>
      </c>
      <c r="F909" s="3" t="s">
        <v>3182</v>
      </c>
      <c r="G909" s="3">
        <v>67399</v>
      </c>
      <c r="H909" s="7" t="str">
        <f>HYPERLINK("http://www.ensembl.org/Mus_musculus/Gene/Summary?db=core;g=ENSMUSG00000021493","ENSMUSG00000021493")</f>
        <v>ENSMUSG00000021493</v>
      </c>
      <c r="I909" s="7" t="str">
        <f>HYPERLINK("http://www.informatics.jax.org/marker/MGI:1914649","MGI:1914649")</f>
        <v>MGI:1914649</v>
      </c>
      <c r="J909" s="4" t="s">
        <v>12</v>
      </c>
    </row>
    <row r="910" spans="1:10" x14ac:dyDescent="0.25">
      <c r="A910" s="2">
        <v>4822.2258857876104</v>
      </c>
      <c r="B910" s="3">
        <v>1.0317384374246099</v>
      </c>
      <c r="C910" s="5">
        <v>1.9313449015846001E-20</v>
      </c>
      <c r="D910" s="6">
        <v>3.0984824675509998E-19</v>
      </c>
      <c r="E910" s="3" t="s">
        <v>2019</v>
      </c>
      <c r="F910" s="3" t="s">
        <v>2020</v>
      </c>
      <c r="G910" s="3">
        <v>13885</v>
      </c>
      <c r="H910" s="7" t="str">
        <f>HYPERLINK("http://www.ensembl.org/Mus_musculus/Gene/Summary?db=core;g=ENSMUSG00000021996","ENSMUSG00000021996")</f>
        <v>ENSMUSG00000021996</v>
      </c>
      <c r="I910" s="7" t="str">
        <f>HYPERLINK("http://www.informatics.jax.org/marker/MGI:95421","MGI:95421")</f>
        <v>MGI:95421</v>
      </c>
      <c r="J910" s="4" t="s">
        <v>12</v>
      </c>
    </row>
    <row r="911" spans="1:10" x14ac:dyDescent="0.25">
      <c r="A911" s="2">
        <v>264.18577599763199</v>
      </c>
      <c r="B911" s="3">
        <v>1.0297559361211499</v>
      </c>
      <c r="C911" s="3">
        <v>2.3908426937816201E-4</v>
      </c>
      <c r="D911" s="4">
        <v>9.3604958311858401E-4</v>
      </c>
      <c r="E911" s="3" t="s">
        <v>7987</v>
      </c>
      <c r="F911" s="3" t="s">
        <v>7988</v>
      </c>
      <c r="G911" s="3">
        <v>17119</v>
      </c>
      <c r="H911" s="7" t="str">
        <f>HYPERLINK("http://www.ensembl.org/Mus_musculus/Gene/Summary?db=core;g=ENSMUSG00000001156","ENSMUSG00000001156")</f>
        <v>ENSMUSG00000001156</v>
      </c>
      <c r="I911" s="7" t="str">
        <f>HYPERLINK("http://www.informatics.jax.org/marker/MGI:96908","MGI:96908")</f>
        <v>MGI:96908</v>
      </c>
      <c r="J911" s="4" t="s">
        <v>12</v>
      </c>
    </row>
    <row r="912" spans="1:10" x14ac:dyDescent="0.25">
      <c r="A912" s="2">
        <v>585.09228171868904</v>
      </c>
      <c r="B912" s="3">
        <v>1.02933777186734</v>
      </c>
      <c r="C912" s="5">
        <v>1.7487857132220501E-14</v>
      </c>
      <c r="D912" s="6">
        <v>1.9919762264669899E-13</v>
      </c>
      <c r="E912" s="3" t="s">
        <v>1957</v>
      </c>
      <c r="F912" s="3" t="s">
        <v>1958</v>
      </c>
      <c r="G912" s="3" t="s">
        <v>83</v>
      </c>
      <c r="H912" s="7" t="str">
        <f>HYPERLINK("http://www.ensembl.org/Mus_musculus/Gene/Summary?db=core;g=ENSMUSG00000021871","ENSMUSG00000021871")</f>
        <v>ENSMUSG00000021871</v>
      </c>
      <c r="I912" s="7" t="str">
        <f>HYPERLINK("http://www.informatics.jax.org/marker/MGI:6121535","MGI:6121535")</f>
        <v>MGI:6121535</v>
      </c>
      <c r="J912" s="4" t="s">
        <v>12</v>
      </c>
    </row>
    <row r="913" spans="1:10" x14ac:dyDescent="0.25">
      <c r="A913" s="2">
        <v>149.44529971332099</v>
      </c>
      <c r="B913" s="3">
        <v>1.02891480834383</v>
      </c>
      <c r="C913" s="3">
        <v>1.47158633363657E-4</v>
      </c>
      <c r="D913" s="4">
        <v>5.9758602786378105E-4</v>
      </c>
      <c r="E913" s="3" t="s">
        <v>7722</v>
      </c>
      <c r="F913" s="3" t="s">
        <v>7723</v>
      </c>
      <c r="G913" s="3">
        <v>16912</v>
      </c>
      <c r="H913" s="7" t="str">
        <f>HYPERLINK("http://www.ensembl.org/Mus_musculus/Gene/Summary?db=core;g=ENSMUSG00000096727","ENSMUSG00000096727")</f>
        <v>ENSMUSG00000096727</v>
      </c>
      <c r="I913" s="7" t="str">
        <f>HYPERLINK("http://www.informatics.jax.org/marker/MGI:1346526","MGI:1346526")</f>
        <v>MGI:1346526</v>
      </c>
      <c r="J913" s="4" t="s">
        <v>12</v>
      </c>
    </row>
    <row r="914" spans="1:10" x14ac:dyDescent="0.25">
      <c r="A914" s="2">
        <v>65.419064593912395</v>
      </c>
      <c r="B914" s="3">
        <v>1.0275020305176901</v>
      </c>
      <c r="C914" s="5">
        <v>1.68008106945162E-8</v>
      </c>
      <c r="D914" s="6">
        <v>1.1412403090106501E-7</v>
      </c>
      <c r="E914" s="3" t="s">
        <v>7626</v>
      </c>
      <c r="F914" s="3" t="s">
        <v>7627</v>
      </c>
      <c r="G914" s="3">
        <v>232566</v>
      </c>
      <c r="H914" s="7" t="str">
        <f>HYPERLINK("http://www.ensembl.org/Mus_musculus/Gene/Summary?db=core;g=ENSMUSG00000068250","ENSMUSG00000068250")</f>
        <v>ENSMUSG00000068250</v>
      </c>
      <c r="I914" s="7" t="str">
        <f>HYPERLINK("http://www.informatics.jax.org/marker/MGI:2442933","MGI:2442933")</f>
        <v>MGI:2442933</v>
      </c>
      <c r="J914" s="4" t="s">
        <v>12</v>
      </c>
    </row>
    <row r="915" spans="1:10" x14ac:dyDescent="0.25">
      <c r="A915" s="2">
        <v>2.6278483770337799</v>
      </c>
      <c r="B915" s="3">
        <v>1.02653608911302</v>
      </c>
      <c r="C915" s="3">
        <v>2.7900262744946398E-2</v>
      </c>
      <c r="D915" s="4">
        <v>6.9012254143138899E-2</v>
      </c>
      <c r="E915" s="3" t="s">
        <v>10912</v>
      </c>
      <c r="F915" s="3" t="s">
        <v>10913</v>
      </c>
      <c r="G915" s="3" t="s">
        <v>83</v>
      </c>
      <c r="H915" s="7" t="str">
        <f>HYPERLINK("http://www.ensembl.org/Mus_musculus/Gene/Summary?db=core;g=ENSMUSG00000117239","ENSMUSG00000117239")</f>
        <v>ENSMUSG00000117239</v>
      </c>
      <c r="I915" s="7" t="str">
        <f>HYPERLINK("http://www.informatics.jax.org/marker/MGI:1354371","MGI:1354371")</f>
        <v>MGI:1354371</v>
      </c>
      <c r="J915" s="4" t="s">
        <v>5705</v>
      </c>
    </row>
    <row r="916" spans="1:10" x14ac:dyDescent="0.25">
      <c r="A916" s="2">
        <v>1.8745519277924301</v>
      </c>
      <c r="B916" s="3">
        <v>1.02568175603001</v>
      </c>
      <c r="C916" s="3">
        <v>2.8492334951362198E-2</v>
      </c>
      <c r="D916" s="4">
        <v>7.0333577744626299E-2</v>
      </c>
      <c r="E916" s="3" t="s">
        <v>11637</v>
      </c>
      <c r="F916" s="3" t="s">
        <v>11638</v>
      </c>
      <c r="G916" s="3" t="s">
        <v>83</v>
      </c>
      <c r="H916" s="7" t="str">
        <f>HYPERLINK("http://www.ensembl.org/Mus_musculus/Gene/Summary?db=core;g=ENSMUSG00000090881","ENSMUSG00000090881")</f>
        <v>ENSMUSG00000090881</v>
      </c>
      <c r="I916" s="7" t="str">
        <f>HYPERLINK("http://www.informatics.jax.org/marker/MGI:3644962","MGI:3644962")</f>
        <v>MGI:3644962</v>
      </c>
      <c r="J916" s="4" t="s">
        <v>2683</v>
      </c>
    </row>
    <row r="917" spans="1:10" x14ac:dyDescent="0.25">
      <c r="A917" s="2">
        <v>234.65969323234501</v>
      </c>
      <c r="B917" s="3">
        <v>1.0253710246632399</v>
      </c>
      <c r="C917" s="5">
        <v>5.5398373134153403E-23</v>
      </c>
      <c r="D917" s="6">
        <v>1.0056128987748499E-21</v>
      </c>
      <c r="E917" s="3" t="s">
        <v>2117</v>
      </c>
      <c r="F917" s="3" t="s">
        <v>2118</v>
      </c>
      <c r="G917" s="3">
        <v>67876</v>
      </c>
      <c r="H917" s="7" t="str">
        <f>HYPERLINK("http://www.ensembl.org/Mus_musculus/Gene/Summary?db=core;g=ENSMUSG00000025981","ENSMUSG00000025981")</f>
        <v>ENSMUSG00000025981</v>
      </c>
      <c r="I917" s="7" t="str">
        <f>HYPERLINK("http://www.informatics.jax.org/marker/MGI:1915126","MGI:1915126")</f>
        <v>MGI:1915126</v>
      </c>
      <c r="J917" s="4" t="s">
        <v>12</v>
      </c>
    </row>
    <row r="918" spans="1:10" x14ac:dyDescent="0.25">
      <c r="A918" s="2">
        <v>245.281158978387</v>
      </c>
      <c r="B918" s="3">
        <v>1.02486385743911</v>
      </c>
      <c r="C918" s="5">
        <v>4.4115462508118697E-17</v>
      </c>
      <c r="D918" s="6">
        <v>5.8944597082878504E-16</v>
      </c>
      <c r="E918" s="3" t="s">
        <v>1873</v>
      </c>
      <c r="F918" s="3" t="s">
        <v>1874</v>
      </c>
      <c r="G918" s="3">
        <v>192656</v>
      </c>
      <c r="H918" s="7" t="str">
        <f>HYPERLINK("http://www.ensembl.org/Mus_musculus/Gene/Summary?db=core;g=ENSMUSG00000041135","ENSMUSG00000041135")</f>
        <v>ENSMUSG00000041135</v>
      </c>
      <c r="I918" s="7" t="str">
        <f>HYPERLINK("http://www.informatics.jax.org/marker/MGI:1891456","MGI:1891456")</f>
        <v>MGI:1891456</v>
      </c>
      <c r="J918" s="4" t="s">
        <v>12</v>
      </c>
    </row>
    <row r="919" spans="1:10" x14ac:dyDescent="0.25">
      <c r="A919" s="2">
        <v>19.701354649294</v>
      </c>
      <c r="B919" s="3">
        <v>1.02290759749996</v>
      </c>
      <c r="C919" s="3">
        <v>4.9030926519890404E-4</v>
      </c>
      <c r="D919" s="4">
        <v>1.8243949281849801E-3</v>
      </c>
      <c r="E919" s="3" t="s">
        <v>10597</v>
      </c>
      <c r="F919" s="3" t="s">
        <v>10598</v>
      </c>
      <c r="G919" s="3">
        <v>636741</v>
      </c>
      <c r="H919" s="7" t="str">
        <f>HYPERLINK("http://www.ensembl.org/Mus_musculus/Gene/Summary?db=core;g=ENSMUSG00000091764","ENSMUSG00000091764")</f>
        <v>ENSMUSG00000091764</v>
      </c>
      <c r="I919" s="7" t="str">
        <f>HYPERLINK("http://www.informatics.jax.org/marker/MGI:3646490","MGI:3646490")</f>
        <v>MGI:3646490</v>
      </c>
      <c r="J919" s="4" t="s">
        <v>12</v>
      </c>
    </row>
    <row r="920" spans="1:10" x14ac:dyDescent="0.25">
      <c r="A920" s="2">
        <v>187.217960775893</v>
      </c>
      <c r="B920" s="3">
        <v>1.0195440593387199</v>
      </c>
      <c r="C920" s="5">
        <v>2.42593715089435E-15</v>
      </c>
      <c r="D920" s="6">
        <v>2.9049083163633002E-14</v>
      </c>
      <c r="E920" s="3" t="s">
        <v>3334</v>
      </c>
      <c r="F920" s="3" t="s">
        <v>3335</v>
      </c>
      <c r="G920" s="3">
        <v>242109</v>
      </c>
      <c r="H920" s="7" t="str">
        <f>HYPERLINK("http://www.ensembl.org/Mus_musculus/Gene/Summary?db=core;g=ENSMUSG00000050064","ENSMUSG00000050064")</f>
        <v>ENSMUSG00000050064</v>
      </c>
      <c r="I920" s="7" t="str">
        <f>HYPERLINK("http://www.informatics.jax.org/marker/MGI:2139736","MGI:2139736")</f>
        <v>MGI:2139736</v>
      </c>
      <c r="J920" s="4" t="s">
        <v>12</v>
      </c>
    </row>
    <row r="921" spans="1:10" x14ac:dyDescent="0.25">
      <c r="A921" s="2">
        <v>143.044512565742</v>
      </c>
      <c r="B921" s="3">
        <v>1.0193586821865499</v>
      </c>
      <c r="C921" s="5">
        <v>2.0913976205683998E-9</v>
      </c>
      <c r="D921" s="6">
        <v>1.5666141239152898E-8</v>
      </c>
      <c r="E921" s="3" t="s">
        <v>6197</v>
      </c>
      <c r="F921" s="3" t="s">
        <v>6198</v>
      </c>
      <c r="G921" s="3">
        <v>69573</v>
      </c>
      <c r="H921" s="7" t="str">
        <f>HYPERLINK("http://www.ensembl.org/Mus_musculus/Gene/Summary?db=core;g=ENSMUSG00000043421","ENSMUSG00000043421")</f>
        <v>ENSMUSG00000043421</v>
      </c>
      <c r="I921" s="7" t="str">
        <f>HYPERLINK("http://www.informatics.jax.org/marker/MGI:1916823","MGI:1916823")</f>
        <v>MGI:1916823</v>
      </c>
      <c r="J921" s="4" t="s">
        <v>12</v>
      </c>
    </row>
    <row r="922" spans="1:10" x14ac:dyDescent="0.25">
      <c r="A922" s="2">
        <v>1153.04003516127</v>
      </c>
      <c r="B922" s="3">
        <v>1.0185399269215001</v>
      </c>
      <c r="C922" s="5">
        <v>2.4945028585888299E-26</v>
      </c>
      <c r="D922" s="6">
        <v>5.2924696854227504E-25</v>
      </c>
      <c r="E922" s="3" t="s">
        <v>902</v>
      </c>
      <c r="F922" s="3" t="s">
        <v>903</v>
      </c>
      <c r="G922" s="3">
        <v>74568</v>
      </c>
      <c r="H922" s="7" t="str">
        <f>HYPERLINK("http://www.ensembl.org/Mus_musculus/Gene/Summary?db=core;g=ENSMUSG00000012519","ENSMUSG00000012519")</f>
        <v>ENSMUSG00000012519</v>
      </c>
      <c r="I922" s="7" t="str">
        <f>HYPERLINK("http://www.informatics.jax.org/marker/MGI:1921818","MGI:1921818")</f>
        <v>MGI:1921818</v>
      </c>
      <c r="J922" s="4" t="s">
        <v>12</v>
      </c>
    </row>
    <row r="923" spans="1:10" x14ac:dyDescent="0.25">
      <c r="A923" s="2">
        <v>1751.36748234623</v>
      </c>
      <c r="B923" s="3">
        <v>1.0178467826942299</v>
      </c>
      <c r="C923" s="5">
        <v>2.8698677091299902E-26</v>
      </c>
      <c r="D923" s="6">
        <v>6.0747199766427504E-25</v>
      </c>
      <c r="E923" s="3" t="s">
        <v>2107</v>
      </c>
      <c r="F923" s="3" t="s">
        <v>2108</v>
      </c>
      <c r="G923" s="3">
        <v>16151</v>
      </c>
      <c r="H923" s="7" t="str">
        <f>HYPERLINK("http://www.ensembl.org/Mus_musculus/Gene/Summary?db=core;g=ENSMUSG00000004221","ENSMUSG00000004221")</f>
        <v>ENSMUSG00000004221</v>
      </c>
      <c r="I923" s="7" t="str">
        <f>HYPERLINK("http://www.informatics.jax.org/marker/MGI:1338074","MGI:1338074")</f>
        <v>MGI:1338074</v>
      </c>
      <c r="J923" s="4" t="s">
        <v>12</v>
      </c>
    </row>
    <row r="924" spans="1:10" x14ac:dyDescent="0.25">
      <c r="A924" s="2">
        <v>8.3846075642254796</v>
      </c>
      <c r="B924" s="3">
        <v>1.0170698438400601</v>
      </c>
      <c r="C924" s="3">
        <v>1.6785768892544801E-2</v>
      </c>
      <c r="D924" s="4">
        <v>4.4349179192030901E-2</v>
      </c>
      <c r="E924" s="3" t="s">
        <v>11999</v>
      </c>
      <c r="F924" s="3" t="s">
        <v>12000</v>
      </c>
      <c r="G924" s="3">
        <v>18104</v>
      </c>
      <c r="H924" s="7" t="str">
        <f>HYPERLINK("http://www.ensembl.org/Mus_musculus/Gene/Summary?db=core;g=ENSMUSG00000003849","ENSMUSG00000003849")</f>
        <v>ENSMUSG00000003849</v>
      </c>
      <c r="I924" s="7" t="str">
        <f>HYPERLINK("http://www.informatics.jax.org/marker/MGI:103187","MGI:103187")</f>
        <v>MGI:103187</v>
      </c>
      <c r="J924" s="4" t="s">
        <v>12</v>
      </c>
    </row>
    <row r="925" spans="1:10" x14ac:dyDescent="0.25">
      <c r="A925" s="2">
        <v>768.49276489478302</v>
      </c>
      <c r="B925" s="3">
        <v>1.01578154176006</v>
      </c>
      <c r="C925" s="5">
        <v>4.85137647432297E-19</v>
      </c>
      <c r="D925" s="6">
        <v>7.2413051797326797E-18</v>
      </c>
      <c r="E925" s="3" t="s">
        <v>2115</v>
      </c>
      <c r="F925" s="3" t="s">
        <v>2116</v>
      </c>
      <c r="G925" s="3">
        <v>22021</v>
      </c>
      <c r="H925" s="7" t="str">
        <f>HYPERLINK("http://www.ensembl.org/Mus_musculus/Gene/Summary?db=core;g=ENSMUSG00000034118","ENSMUSG00000034118")</f>
        <v>ENSMUSG00000034118</v>
      </c>
      <c r="I925" s="7" t="str">
        <f>HYPERLINK("http://www.informatics.jax.org/marker/MGI:1298231","MGI:1298231")</f>
        <v>MGI:1298231</v>
      </c>
      <c r="J925" s="4" t="s">
        <v>12</v>
      </c>
    </row>
    <row r="926" spans="1:10" x14ac:dyDescent="0.25">
      <c r="A926" s="2">
        <v>1606.8884442648</v>
      </c>
      <c r="B926" s="3">
        <v>1.0153428479522</v>
      </c>
      <c r="C926" s="5">
        <v>3.7536387707224601E-11</v>
      </c>
      <c r="D926" s="6">
        <v>3.3257203012356302E-10</v>
      </c>
      <c r="E926" s="3" t="s">
        <v>5805</v>
      </c>
      <c r="F926" s="3" t="s">
        <v>5806</v>
      </c>
      <c r="G926" s="3">
        <v>65970</v>
      </c>
      <c r="H926" s="7" t="str">
        <f>HYPERLINK("http://www.ensembl.org/Mus_musculus/Gene/Summary?db=core;g=ENSMUSG00000023022","ENSMUSG00000023022")</f>
        <v>ENSMUSG00000023022</v>
      </c>
      <c r="I926" s="7" t="str">
        <f>HYPERLINK("http://www.informatics.jax.org/marker/MGI:1920992","MGI:1920992")</f>
        <v>MGI:1920992</v>
      </c>
      <c r="J926" s="4" t="s">
        <v>12</v>
      </c>
    </row>
    <row r="927" spans="1:10" x14ac:dyDescent="0.25">
      <c r="A927" s="2">
        <v>4381.9070290405498</v>
      </c>
      <c r="B927" s="3">
        <v>1.01359902995464</v>
      </c>
      <c r="C927" s="5">
        <v>4.4342886036912203E-37</v>
      </c>
      <c r="D927" s="6">
        <v>1.3814514496115E-35</v>
      </c>
      <c r="E927" s="3" t="s">
        <v>2471</v>
      </c>
      <c r="F927" s="3" t="s">
        <v>2472</v>
      </c>
      <c r="G927" s="3">
        <v>407243</v>
      </c>
      <c r="H927" s="7" t="str">
        <f>HYPERLINK("http://www.ensembl.org/Mus_musculus/Gene/Summary?db=core;g=ENSMUSG00000090213","ENSMUSG00000090213")</f>
        <v>ENSMUSG00000090213</v>
      </c>
      <c r="I927" s="7" t="str">
        <f>HYPERLINK("http://www.informatics.jax.org/marker/MGI:2142624","MGI:2142624")</f>
        <v>MGI:2142624</v>
      </c>
      <c r="J927" s="4" t="s">
        <v>12</v>
      </c>
    </row>
    <row r="928" spans="1:10" x14ac:dyDescent="0.25">
      <c r="A928" s="2">
        <v>15.8854416586454</v>
      </c>
      <c r="B928" s="3">
        <v>1.01348300898191</v>
      </c>
      <c r="C928" s="3">
        <v>6.1843356177084799E-3</v>
      </c>
      <c r="D928" s="4">
        <v>1.82083225577927E-2</v>
      </c>
      <c r="E928" s="3" t="s">
        <v>10026</v>
      </c>
      <c r="F928" s="3" t="s">
        <v>10027</v>
      </c>
      <c r="G928" s="3" t="s">
        <v>83</v>
      </c>
      <c r="H928" s="7" t="str">
        <f>HYPERLINK("http://www.ensembl.org/Mus_musculus/Gene/Summary?db=core;g=ENSMUSG00000108060","ENSMUSG00000108060")</f>
        <v>ENSMUSG00000108060</v>
      </c>
      <c r="I928" s="7" t="str">
        <f>HYPERLINK("http://www.informatics.jax.org/marker/MGI:2443531","MGI:2443531")</f>
        <v>MGI:2443531</v>
      </c>
      <c r="J928" s="4" t="s">
        <v>331</v>
      </c>
    </row>
    <row r="929" spans="1:10" x14ac:dyDescent="0.25">
      <c r="A929" s="2">
        <v>754.82567424325998</v>
      </c>
      <c r="B929" s="3">
        <v>1.01144801770282</v>
      </c>
      <c r="C929" s="5">
        <v>7.3966621608400403E-17</v>
      </c>
      <c r="D929" s="6">
        <v>9.7755016592682799E-16</v>
      </c>
      <c r="E929" s="3" t="s">
        <v>3310</v>
      </c>
      <c r="F929" s="3" t="s">
        <v>3311</v>
      </c>
      <c r="G929" s="3">
        <v>67800</v>
      </c>
      <c r="H929" s="7" t="str">
        <f>HYPERLINK("http://www.ensembl.org/Mus_musculus/Gene/Summary?db=core;g=ENSMUSG00000030747","ENSMUSG00000030747")</f>
        <v>ENSMUSG00000030747</v>
      </c>
      <c r="I929" s="7" t="str">
        <f>HYPERLINK("http://www.informatics.jax.org/marker/MGI:1915050","MGI:1915050")</f>
        <v>MGI:1915050</v>
      </c>
      <c r="J929" s="4" t="s">
        <v>12</v>
      </c>
    </row>
    <row r="930" spans="1:10" x14ac:dyDescent="0.25">
      <c r="A930" s="2">
        <v>370.78956918984898</v>
      </c>
      <c r="B930" s="3">
        <v>1.01122767400518</v>
      </c>
      <c r="C930" s="5">
        <v>4.82864456420636E-23</v>
      </c>
      <c r="D930" s="6">
        <v>8.7914133049611404E-22</v>
      </c>
      <c r="E930" s="3" t="s">
        <v>3956</v>
      </c>
      <c r="F930" s="3" t="s">
        <v>3957</v>
      </c>
      <c r="G930" s="3">
        <v>12585</v>
      </c>
      <c r="H930" s="7" t="str">
        <f>HYPERLINK("http://www.ensembl.org/Mus_musculus/Gene/Summary?db=core;g=ENSMUSG00000030878","ENSMUSG00000030878")</f>
        <v>ENSMUSG00000030878</v>
      </c>
      <c r="I930" s="7" t="str">
        <f>HYPERLINK("http://www.informatics.jax.org/marker/MGI:1100885","MGI:1100885")</f>
        <v>MGI:1100885</v>
      </c>
      <c r="J930" s="4" t="s">
        <v>12</v>
      </c>
    </row>
    <row r="931" spans="1:10" x14ac:dyDescent="0.25">
      <c r="A931" s="2">
        <v>1.5896997836414599</v>
      </c>
      <c r="B931" s="3">
        <v>1.0111462099756501</v>
      </c>
      <c r="C931" s="3">
        <v>2.16652437736637E-2</v>
      </c>
      <c r="D931" s="4">
        <v>5.5285503748952802E-2</v>
      </c>
      <c r="E931" s="3" t="s">
        <v>13683</v>
      </c>
      <c r="F931" s="3" t="s">
        <v>13684</v>
      </c>
      <c r="G931" s="3" t="s">
        <v>83</v>
      </c>
      <c r="H931" s="7" t="str">
        <f>HYPERLINK("http://www.ensembl.org/Mus_musculus/Gene/Summary?db=core;g=ENSMUSG00000085431","ENSMUSG00000085431")</f>
        <v>ENSMUSG00000085431</v>
      </c>
      <c r="I931" s="7" t="str">
        <f>HYPERLINK("http://www.informatics.jax.org/marker/MGI:1925408","MGI:1925408")</f>
        <v>MGI:1925408</v>
      </c>
      <c r="J931" s="4" t="s">
        <v>939</v>
      </c>
    </row>
    <row r="932" spans="1:10" x14ac:dyDescent="0.25">
      <c r="A932" s="2">
        <v>6.7973375804060101</v>
      </c>
      <c r="B932" s="3">
        <v>1.0096595495345699</v>
      </c>
      <c r="C932" s="3">
        <v>1.54514354330879E-2</v>
      </c>
      <c r="D932" s="4">
        <v>4.1314907683102697E-2</v>
      </c>
      <c r="E932" s="3" t="s">
        <v>9131</v>
      </c>
      <c r="F932" s="3" t="s">
        <v>9132</v>
      </c>
      <c r="G932" s="3">
        <v>242125</v>
      </c>
      <c r="H932" s="7" t="str">
        <f>HYPERLINK("http://www.ensembl.org/Mus_musculus/Gene/Summary?db=core;g=ENSMUSG00000044313","ENSMUSG00000044313")</f>
        <v>ENSMUSG00000044313</v>
      </c>
      <c r="I932" s="7" t="str">
        <f>HYPERLINK("http://www.informatics.jax.org/marker/MGI:2446273","MGI:2446273")</f>
        <v>MGI:2446273</v>
      </c>
      <c r="J932" s="4" t="s">
        <v>12</v>
      </c>
    </row>
    <row r="933" spans="1:10" x14ac:dyDescent="0.25">
      <c r="A933" s="2">
        <v>5140.3805778419401</v>
      </c>
      <c r="B933" s="3">
        <v>1.0094412475313199</v>
      </c>
      <c r="C933" s="5">
        <v>1.1540354235334199E-37</v>
      </c>
      <c r="D933" s="6">
        <v>3.6834142896491499E-36</v>
      </c>
      <c r="E933" s="3" t="s">
        <v>960</v>
      </c>
      <c r="F933" s="3" t="s">
        <v>961</v>
      </c>
      <c r="G933" s="3">
        <v>215449</v>
      </c>
      <c r="H933" s="7" t="str">
        <f>HYPERLINK("http://www.ensembl.org/Mus_musculus/Gene/Summary?db=core;g=ENSMUSG00000052681","ENSMUSG00000052681")</f>
        <v>ENSMUSG00000052681</v>
      </c>
      <c r="I933" s="7" t="str">
        <f>HYPERLINK("http://www.informatics.jax.org/marker/MGI:894315","MGI:894315")</f>
        <v>MGI:894315</v>
      </c>
      <c r="J933" s="4" t="s">
        <v>12</v>
      </c>
    </row>
    <row r="934" spans="1:10" x14ac:dyDescent="0.25">
      <c r="A934" s="2">
        <v>1263.37152560803</v>
      </c>
      <c r="B934" s="3">
        <v>1.0083921502214901</v>
      </c>
      <c r="C934" s="5">
        <v>3.2177863537240798E-39</v>
      </c>
      <c r="D934" s="6">
        <v>1.0800028783908201E-37</v>
      </c>
      <c r="E934" s="3" t="s">
        <v>1122</v>
      </c>
      <c r="F934" s="3" t="s">
        <v>1123</v>
      </c>
      <c r="G934" s="3">
        <v>69053</v>
      </c>
      <c r="H934" s="7" t="str">
        <f>HYPERLINK("http://www.ensembl.org/Mus_musculus/Gene/Summary?db=core;g=ENSMUSG00000022507","ENSMUSG00000022507")</f>
        <v>ENSMUSG00000022507</v>
      </c>
      <c r="I934" s="7" t="str">
        <f>HYPERLINK("http://www.informatics.jax.org/marker/MGI:1916303","MGI:1916303")</f>
        <v>MGI:1916303</v>
      </c>
      <c r="J934" s="4" t="s">
        <v>12</v>
      </c>
    </row>
    <row r="935" spans="1:10" x14ac:dyDescent="0.25">
      <c r="A935" s="2">
        <v>96.5424929208571</v>
      </c>
      <c r="B935" s="3">
        <v>1.0082006000346799</v>
      </c>
      <c r="C935" s="5">
        <v>1.41354460478447E-9</v>
      </c>
      <c r="D935" s="6">
        <v>1.07970873521362E-8</v>
      </c>
      <c r="E935" s="3" t="s">
        <v>9031</v>
      </c>
      <c r="F935" s="3" t="s">
        <v>9032</v>
      </c>
      <c r="G935" s="3">
        <v>218461</v>
      </c>
      <c r="H935" s="7" t="str">
        <f>HYPERLINK("http://www.ensembl.org/Mus_musculus/Gene/Summary?db=core;g=ENSMUSG00000021684","ENSMUSG00000021684")</f>
        <v>ENSMUSG00000021684</v>
      </c>
      <c r="I935" s="7" t="str">
        <f>HYPERLINK("http://www.informatics.jax.org/marker/MGI:2443999","MGI:2443999")</f>
        <v>MGI:2443999</v>
      </c>
      <c r="J935" s="4" t="s">
        <v>12</v>
      </c>
    </row>
    <row r="936" spans="1:10" x14ac:dyDescent="0.25">
      <c r="A936" s="2">
        <v>3192.9930515435699</v>
      </c>
      <c r="B936" s="3">
        <v>1.0078233924788</v>
      </c>
      <c r="C936" s="5">
        <v>1.4068452773973901E-51</v>
      </c>
      <c r="D936" s="6">
        <v>6.8739290028331001E-50</v>
      </c>
      <c r="E936" s="3" t="s">
        <v>1532</v>
      </c>
      <c r="F936" s="3" t="s">
        <v>1533</v>
      </c>
      <c r="G936" s="3">
        <v>11790</v>
      </c>
      <c r="H936" s="7" t="str">
        <f>HYPERLINK("http://www.ensembl.org/Mus_musculus/Gene/Summary?db=core;g=ENSMUSG00000026207","ENSMUSG00000026207")</f>
        <v>ENSMUSG00000026207</v>
      </c>
      <c r="I936" s="7" t="str">
        <f>HYPERLINK("http://www.informatics.jax.org/marker/MGI:109282","MGI:109282")</f>
        <v>MGI:109282</v>
      </c>
      <c r="J936" s="4" t="s">
        <v>12</v>
      </c>
    </row>
    <row r="937" spans="1:10" x14ac:dyDescent="0.25">
      <c r="A937" s="2">
        <v>9.5056272065546601</v>
      </c>
      <c r="B937" s="3">
        <v>1.0054299549913299</v>
      </c>
      <c r="C937" s="3">
        <v>4.4214140508332103E-3</v>
      </c>
      <c r="D937" s="4">
        <v>1.34592067941265E-2</v>
      </c>
      <c r="E937" s="3" t="s">
        <v>13841</v>
      </c>
      <c r="F937" s="3" t="s">
        <v>13842</v>
      </c>
      <c r="G937" s="3">
        <v>320502</v>
      </c>
      <c r="H937" s="7" t="str">
        <f>HYPERLINK("http://www.ensembl.org/Mus_musculus/Gene/Summary?db=core;g=ENSMUSG00000044086","ENSMUSG00000044086")</f>
        <v>ENSMUSG00000044086</v>
      </c>
      <c r="I937" s="7" t="str">
        <f>HYPERLINK("http://www.informatics.jax.org/marker/MGI:2444169","MGI:2444169")</f>
        <v>MGI:2444169</v>
      </c>
      <c r="J937" s="4" t="s">
        <v>12</v>
      </c>
    </row>
    <row r="938" spans="1:10" x14ac:dyDescent="0.25">
      <c r="A938" s="2">
        <v>402.326130404249</v>
      </c>
      <c r="B938" s="3">
        <v>1.0019687166839</v>
      </c>
      <c r="C938" s="5">
        <v>6.8833573641148299E-31</v>
      </c>
      <c r="D938" s="6">
        <v>1.7619267972049499E-29</v>
      </c>
      <c r="E938" s="3" t="s">
        <v>1520</v>
      </c>
      <c r="F938" s="3" t="s">
        <v>1521</v>
      </c>
      <c r="G938" s="3">
        <v>71520</v>
      </c>
      <c r="H938" s="7" t="str">
        <f>HYPERLINK("http://www.ensembl.org/Mus_musculus/Gene/Summary?db=core;g=ENSMUSG00000004837","ENSMUSG00000004837")</f>
        <v>ENSMUSG00000004837</v>
      </c>
      <c r="I938" s="7" t="str">
        <f>HYPERLINK("http://www.informatics.jax.org/marker/MGI:1918770","MGI:1918770")</f>
        <v>MGI:1918770</v>
      </c>
      <c r="J938" s="4" t="s">
        <v>12</v>
      </c>
    </row>
    <row r="939" spans="1:10" x14ac:dyDescent="0.25">
      <c r="A939" s="2">
        <v>9578.2604170295799</v>
      </c>
      <c r="B939" s="3">
        <v>1.00196837214514</v>
      </c>
      <c r="C939" s="5">
        <v>2.5357647396139502E-70</v>
      </c>
      <c r="D939" s="6">
        <v>1.9417778310699301E-68</v>
      </c>
      <c r="E939" s="3" t="s">
        <v>474</v>
      </c>
      <c r="F939" s="3" t="s">
        <v>475</v>
      </c>
      <c r="G939" s="3">
        <v>18187</v>
      </c>
      <c r="H939" s="7" t="str">
        <f>HYPERLINK("http://www.ensembl.org/Mus_musculus/Gene/Summary?db=core;g=ENSMUSG00000025969","ENSMUSG00000025969")</f>
        <v>ENSMUSG00000025969</v>
      </c>
      <c r="I939" s="7" t="str">
        <f>HYPERLINK("http://www.informatics.jax.org/marker/MGI:1100492","MGI:1100492")</f>
        <v>MGI:1100492</v>
      </c>
      <c r="J939" s="4" t="s">
        <v>12</v>
      </c>
    </row>
    <row r="940" spans="1:10" x14ac:dyDescent="0.25">
      <c r="A940" s="2">
        <v>544.50923524966697</v>
      </c>
      <c r="B940" s="3">
        <v>1.00088978718026</v>
      </c>
      <c r="C940" s="5">
        <v>1.1417947490770401E-18</v>
      </c>
      <c r="D940" s="6">
        <v>1.6727660210553901E-17</v>
      </c>
      <c r="E940" s="3" t="s">
        <v>6311</v>
      </c>
      <c r="F940" s="3" t="s">
        <v>6312</v>
      </c>
      <c r="G940" s="3">
        <v>210126</v>
      </c>
      <c r="H940" s="7" t="str">
        <f>HYPERLINK("http://www.ensembl.org/Mus_musculus/Gene/Summary?db=core;g=ENSMUSG00000033306","ENSMUSG00000033306")</f>
        <v>ENSMUSG00000033306</v>
      </c>
      <c r="I940" s="7" t="str">
        <f>HYPERLINK("http://www.informatics.jax.org/marker/MGI:2441849","MGI:2441849")</f>
        <v>MGI:2441849</v>
      </c>
      <c r="J940" s="4" t="s">
        <v>12</v>
      </c>
    </row>
    <row r="941" spans="1:10" x14ac:dyDescent="0.25">
      <c r="A941" s="2">
        <v>1584.3744798016101</v>
      </c>
      <c r="B941" s="3">
        <v>1.00031684908428</v>
      </c>
      <c r="C941" s="5">
        <v>2.5989699406259999E-73</v>
      </c>
      <c r="D941" s="6">
        <v>2.2030803333911101E-71</v>
      </c>
      <c r="E941" s="3" t="s">
        <v>584</v>
      </c>
      <c r="F941" s="3" t="s">
        <v>585</v>
      </c>
      <c r="G941" s="3">
        <v>216238</v>
      </c>
      <c r="H941" s="7" t="str">
        <f>HYPERLINK("http://www.ensembl.org/Mus_musculus/Gene/Summary?db=core;g=ENSMUSG00000036499","ENSMUSG00000036499")</f>
        <v>ENSMUSG00000036499</v>
      </c>
      <c r="I941" s="7" t="str">
        <f>HYPERLINK("http://www.informatics.jax.org/marker/MGI:2442192","MGI:2442192")</f>
        <v>MGI:2442192</v>
      </c>
      <c r="J941" s="4" t="s">
        <v>12</v>
      </c>
    </row>
    <row r="942" spans="1:10" x14ac:dyDescent="0.25">
      <c r="A942" s="2">
        <v>103.568990636552</v>
      </c>
      <c r="B942" s="3">
        <v>0.99970219647412095</v>
      </c>
      <c r="C942" s="5">
        <v>6.0046126547150004E-10</v>
      </c>
      <c r="D942" s="6">
        <v>4.78086787383927E-9</v>
      </c>
      <c r="E942" s="3" t="s">
        <v>8081</v>
      </c>
      <c r="F942" s="3" t="s">
        <v>8082</v>
      </c>
      <c r="G942" s="3">
        <v>56213</v>
      </c>
      <c r="H942" s="7" t="str">
        <f>HYPERLINK("http://www.ensembl.org/Mus_musculus/Gene/Summary?db=core;g=ENSMUSG00000006205","ENSMUSG00000006205")</f>
        <v>ENSMUSG00000006205</v>
      </c>
      <c r="I942" s="7" t="str">
        <f>HYPERLINK("http://www.informatics.jax.org/marker/MGI:1929076","MGI:1929076")</f>
        <v>MGI:1929076</v>
      </c>
      <c r="J942" s="4" t="s">
        <v>12</v>
      </c>
    </row>
    <row r="943" spans="1:10" x14ac:dyDescent="0.25">
      <c r="A943" s="2">
        <v>21.1672267384516</v>
      </c>
      <c r="B943" s="3">
        <v>0.99947156594876696</v>
      </c>
      <c r="C943" s="5">
        <v>6.2301895002076505E-5</v>
      </c>
      <c r="D943" s="4">
        <v>2.6906446360493901E-4</v>
      </c>
      <c r="E943" s="3" t="s">
        <v>11791</v>
      </c>
      <c r="F943" s="3" t="s">
        <v>11792</v>
      </c>
      <c r="G943" s="3" t="s">
        <v>83</v>
      </c>
      <c r="H943" s="7" t="str">
        <f>HYPERLINK("http://www.ensembl.org/Mus_musculus/Gene/Summary?db=core;g=ENSMUSG00000043889","ENSMUSG00000043889")</f>
        <v>ENSMUSG00000043889</v>
      </c>
      <c r="I943" s="7" t="str">
        <f>HYPERLINK("http://www.informatics.jax.org/marker/MGI:3647971","MGI:3647971")</f>
        <v>MGI:3647971</v>
      </c>
      <c r="J943" s="4" t="s">
        <v>1043</v>
      </c>
    </row>
    <row r="944" spans="1:10" x14ac:dyDescent="0.25">
      <c r="A944" s="2">
        <v>2.2533163591126399</v>
      </c>
      <c r="B944" s="3">
        <v>0.99825733420690599</v>
      </c>
      <c r="C944" s="3">
        <v>3.40213830588844E-2</v>
      </c>
      <c r="D944" s="4">
        <v>8.2048393045939999E-2</v>
      </c>
      <c r="E944" s="3" t="s">
        <v>11241</v>
      </c>
      <c r="F944" s="3" t="s">
        <v>11242</v>
      </c>
      <c r="G944" s="3" t="s">
        <v>83</v>
      </c>
      <c r="H944" s="7" t="str">
        <f>HYPERLINK("http://www.ensembl.org/Mus_musculus/Gene/Summary?db=core;g=ENSMUSG00000098434","ENSMUSG00000098434")</f>
        <v>ENSMUSG00000098434</v>
      </c>
      <c r="I944" s="7" t="str">
        <f>HYPERLINK("http://www.informatics.jax.org/marker/MGI:1923941","MGI:1923941")</f>
        <v>MGI:1923941</v>
      </c>
      <c r="J944" s="4" t="s">
        <v>939</v>
      </c>
    </row>
    <row r="945" spans="1:10" x14ac:dyDescent="0.25">
      <c r="A945" s="2">
        <v>2.6850865823579402</v>
      </c>
      <c r="B945" s="3">
        <v>0.99727795625884297</v>
      </c>
      <c r="C945" s="3">
        <v>3.3434269848509703E-2</v>
      </c>
      <c r="D945" s="4">
        <v>8.0814266311550295E-2</v>
      </c>
      <c r="E945" s="3" t="s">
        <v>13743</v>
      </c>
      <c r="F945" s="3" t="s">
        <v>13744</v>
      </c>
      <c r="G945" s="3">
        <v>106766</v>
      </c>
      <c r="H945" s="7" t="str">
        <f>HYPERLINK("http://www.ensembl.org/Mus_musculus/Gene/Summary?db=core;g=ENSMUSG00000038781","ENSMUSG00000038781")</f>
        <v>ENSMUSG00000038781</v>
      </c>
      <c r="I945" s="7" t="str">
        <f>HYPERLINK("http://www.informatics.jax.org/marker/MGI:2147039","MGI:2147039")</f>
        <v>MGI:2147039</v>
      </c>
      <c r="J945" s="4" t="s">
        <v>12</v>
      </c>
    </row>
    <row r="946" spans="1:10" x14ac:dyDescent="0.25">
      <c r="A946" s="2">
        <v>16811.473564454202</v>
      </c>
      <c r="B946" s="3">
        <v>0.99668617255655401</v>
      </c>
      <c r="C946" s="5">
        <v>6.1515685077200398E-26</v>
      </c>
      <c r="D946" s="6">
        <v>1.28421919877661E-24</v>
      </c>
      <c r="E946" s="3" t="s">
        <v>1174</v>
      </c>
      <c r="F946" s="3" t="s">
        <v>1175</v>
      </c>
      <c r="G946" s="3">
        <v>56193</v>
      </c>
      <c r="H946" s="7" t="str">
        <f>HYPERLINK("http://www.ensembl.org/Mus_musculus/Gene/Summary?db=core;g=ENSMUSG00000020120","ENSMUSG00000020120")</f>
        <v>ENSMUSG00000020120</v>
      </c>
      <c r="I946" s="7" t="str">
        <f>HYPERLINK("http://www.informatics.jax.org/marker/MGI:1860485","MGI:1860485")</f>
        <v>MGI:1860485</v>
      </c>
      <c r="J946" s="4" t="s">
        <v>12</v>
      </c>
    </row>
    <row r="947" spans="1:10" x14ac:dyDescent="0.25">
      <c r="A947" s="2">
        <v>375.01975700696102</v>
      </c>
      <c r="B947" s="3">
        <v>0.99643144338076295</v>
      </c>
      <c r="C947" s="5">
        <v>1.91768263056788E-13</v>
      </c>
      <c r="D947" s="6">
        <v>2.0486380974266998E-12</v>
      </c>
      <c r="E947" s="3" t="s">
        <v>3153</v>
      </c>
      <c r="F947" s="3" t="s">
        <v>3154</v>
      </c>
      <c r="G947" s="3">
        <v>16570</v>
      </c>
      <c r="H947" s="7" t="str">
        <f>HYPERLINK("http://www.ensembl.org/Mus_musculus/Gene/Summary?db=core;g=ENSMUSG00000020668","ENSMUSG00000020668")</f>
        <v>ENSMUSG00000020668</v>
      </c>
      <c r="I947" s="7" t="str">
        <f>HYPERLINK("http://www.informatics.jax.org/marker/MGI:107979","MGI:107979")</f>
        <v>MGI:107979</v>
      </c>
      <c r="J947" s="4" t="s">
        <v>12</v>
      </c>
    </row>
    <row r="948" spans="1:10" x14ac:dyDescent="0.25">
      <c r="A948" s="2">
        <v>77.558859655440898</v>
      </c>
      <c r="B948" s="3">
        <v>0.99549379122979897</v>
      </c>
      <c r="C948" s="5">
        <v>1.2843718952349399E-8</v>
      </c>
      <c r="D948" s="6">
        <v>8.8665446176729993E-8</v>
      </c>
      <c r="E948" s="3" t="s">
        <v>6471</v>
      </c>
      <c r="F948" s="3" t="s">
        <v>6472</v>
      </c>
      <c r="G948" s="3" t="s">
        <v>83</v>
      </c>
      <c r="H948" s="7" t="str">
        <f>HYPERLINK("http://www.ensembl.org/Mus_musculus/Gene/Summary?db=core;g=ENSMUSG00000084289","ENSMUSG00000084289")</f>
        <v>ENSMUSG00000084289</v>
      </c>
      <c r="I948" s="7" t="str">
        <f>HYPERLINK("http://www.informatics.jax.org/marker/MGI:3647597","MGI:3647597")</f>
        <v>MGI:3647597</v>
      </c>
      <c r="J948" s="4" t="s">
        <v>1043</v>
      </c>
    </row>
    <row r="949" spans="1:10" x14ac:dyDescent="0.25">
      <c r="A949" s="2">
        <v>1625.75510913318</v>
      </c>
      <c r="B949" s="3">
        <v>0.99466298129763897</v>
      </c>
      <c r="C949" s="5">
        <v>2.0533601987754901E-52</v>
      </c>
      <c r="D949" s="6">
        <v>1.02527368829269E-50</v>
      </c>
      <c r="E949" s="3" t="s">
        <v>1212</v>
      </c>
      <c r="F949" s="3" t="s">
        <v>1213</v>
      </c>
      <c r="G949" s="3">
        <v>18611</v>
      </c>
      <c r="H949" s="7" t="str">
        <f>HYPERLINK("http://www.ensembl.org/Mus_musculus/Gene/Summary?db=core;g=ENSMUSG00000013698","ENSMUSG00000013698")</f>
        <v>ENSMUSG00000013698</v>
      </c>
      <c r="I949" s="7" t="str">
        <f>HYPERLINK("http://www.informatics.jax.org/marker/MGI:104799","MGI:104799")</f>
        <v>MGI:104799</v>
      </c>
      <c r="J949" s="4" t="s">
        <v>12</v>
      </c>
    </row>
    <row r="950" spans="1:10" x14ac:dyDescent="0.25">
      <c r="A950" s="2">
        <v>92.295614689664205</v>
      </c>
      <c r="B950" s="3">
        <v>0.99441729606199203</v>
      </c>
      <c r="C950" s="5">
        <v>2.34873455212914E-11</v>
      </c>
      <c r="D950" s="6">
        <v>2.1211936180650999E-10</v>
      </c>
      <c r="E950" s="3" t="s">
        <v>4613</v>
      </c>
      <c r="F950" s="3" t="s">
        <v>4614</v>
      </c>
      <c r="G950" s="3">
        <v>12916</v>
      </c>
      <c r="H950" s="7" t="str">
        <f>HYPERLINK("http://www.ensembl.org/Mus_musculus/Gene/Summary?db=core;g=ENSMUSG00000063889","ENSMUSG00000063889")</f>
        <v>ENSMUSG00000063889</v>
      </c>
      <c r="I950" s="7" t="str">
        <f>HYPERLINK("http://www.informatics.jax.org/marker/MGI:88495","MGI:88495")</f>
        <v>MGI:88495</v>
      </c>
      <c r="J950" s="4" t="s">
        <v>12</v>
      </c>
    </row>
    <row r="951" spans="1:10" x14ac:dyDescent="0.25">
      <c r="A951" s="2">
        <v>395.70400744006201</v>
      </c>
      <c r="B951" s="3">
        <v>0.99434168953308399</v>
      </c>
      <c r="C951" s="5">
        <v>3.7998267456606197E-5</v>
      </c>
      <c r="D951" s="4">
        <v>1.69444194860937E-4</v>
      </c>
      <c r="E951" s="3" t="s">
        <v>9743</v>
      </c>
      <c r="F951" s="3" t="s">
        <v>9744</v>
      </c>
      <c r="G951" s="3" t="s">
        <v>83</v>
      </c>
      <c r="H951" s="7" t="str">
        <f>HYPERLINK("http://www.ensembl.org/Mus_musculus/Gene/Summary?db=core;g=ENSMUSG00000101609","ENSMUSG00000101609")</f>
        <v>ENSMUSG00000101609</v>
      </c>
      <c r="I951" s="7" t="str">
        <f>HYPERLINK("http://www.informatics.jax.org/marker/MGI:1926855","MGI:1926855")</f>
        <v>MGI:1926855</v>
      </c>
      <c r="J951" s="4" t="s">
        <v>932</v>
      </c>
    </row>
    <row r="952" spans="1:10" x14ac:dyDescent="0.25">
      <c r="A952" s="2">
        <v>216.83298309783601</v>
      </c>
      <c r="B952" s="3">
        <v>0.993810653057983</v>
      </c>
      <c r="C952" s="5">
        <v>6.5179853766003702E-9</v>
      </c>
      <c r="D952" s="6">
        <v>4.63300637630818E-8</v>
      </c>
      <c r="E952" s="3" t="s">
        <v>3306</v>
      </c>
      <c r="F952" s="3" t="s">
        <v>3307</v>
      </c>
      <c r="G952" s="3">
        <v>56312</v>
      </c>
      <c r="H952" s="7" t="str">
        <f>HYPERLINK("http://www.ensembl.org/Mus_musculus/Gene/Summary?db=core;g=ENSMUSG00000030717","ENSMUSG00000030717")</f>
        <v>ENSMUSG00000030717</v>
      </c>
      <c r="I952" s="7" t="str">
        <f>HYPERLINK("http://www.informatics.jax.org/marker/MGI:1891834","MGI:1891834")</f>
        <v>MGI:1891834</v>
      </c>
      <c r="J952" s="4" t="s">
        <v>12</v>
      </c>
    </row>
    <row r="953" spans="1:10" x14ac:dyDescent="0.25">
      <c r="A953" s="2">
        <v>4.3309036446612001</v>
      </c>
      <c r="B953" s="3">
        <v>0.99263461025125399</v>
      </c>
      <c r="C953" s="3">
        <v>1.9674194262409201E-2</v>
      </c>
      <c r="D953" s="4">
        <v>5.0910434535341102E-2</v>
      </c>
      <c r="E953" s="3" t="s">
        <v>12149</v>
      </c>
      <c r="F953" s="3" t="s">
        <v>12150</v>
      </c>
      <c r="G953" s="3">
        <v>69543</v>
      </c>
      <c r="H953" s="7" t="str">
        <f>HYPERLINK("http://www.ensembl.org/Mus_musculus/Gene/Summary?db=core;g=ENSMUSG00000078144","ENSMUSG00000078144")</f>
        <v>ENSMUSG00000078144</v>
      </c>
      <c r="I953" s="7" t="str">
        <f>HYPERLINK("http://www.informatics.jax.org/marker/MGI:1916793","MGI:1916793")</f>
        <v>MGI:1916793</v>
      </c>
      <c r="J953" s="4" t="s">
        <v>12</v>
      </c>
    </row>
    <row r="954" spans="1:10" x14ac:dyDescent="0.25">
      <c r="A954" s="2">
        <v>5549.5424177965997</v>
      </c>
      <c r="B954" s="3">
        <v>0.99174800445339595</v>
      </c>
      <c r="C954" s="5">
        <v>2.60860154028957E-27</v>
      </c>
      <c r="D954" s="6">
        <v>5.7696314407496897E-26</v>
      </c>
      <c r="E954" s="3" t="s">
        <v>2379</v>
      </c>
      <c r="F954" s="3" t="s">
        <v>2380</v>
      </c>
      <c r="G954" s="3">
        <v>50934</v>
      </c>
      <c r="H954" s="7" t="str">
        <f>HYPERLINK("http://www.ensembl.org/Mus_musculus/Gene/Summary?db=core;g=ENSMUSG00000022180","ENSMUSG00000022180")</f>
        <v>ENSMUSG00000022180</v>
      </c>
      <c r="I954" s="7" t="str">
        <f>HYPERLINK("http://www.informatics.jax.org/marker/MGI:1355323","MGI:1355323")</f>
        <v>MGI:1355323</v>
      </c>
      <c r="J954" s="4" t="s">
        <v>12</v>
      </c>
    </row>
    <row r="955" spans="1:10" x14ac:dyDescent="0.25">
      <c r="A955" s="2">
        <v>305.18331921227599</v>
      </c>
      <c r="B955" s="3">
        <v>0.99126083570082302</v>
      </c>
      <c r="C955" s="5">
        <v>1.5446777907176201E-31</v>
      </c>
      <c r="D955" s="6">
        <v>4.0159419024006501E-30</v>
      </c>
      <c r="E955" s="3" t="s">
        <v>2017</v>
      </c>
      <c r="F955" s="3" t="s">
        <v>2018</v>
      </c>
      <c r="G955" s="3">
        <v>338365</v>
      </c>
      <c r="H955" s="7" t="str">
        <f>HYPERLINK("http://www.ensembl.org/Mus_musculus/Gene/Summary?db=core;g=ENSMUSG00000034591","ENSMUSG00000034591")</f>
        <v>ENSMUSG00000034591</v>
      </c>
      <c r="I955" s="7" t="str">
        <f>HYPERLINK("http://www.informatics.jax.org/marker/MGI:2442940","MGI:2442940")</f>
        <v>MGI:2442940</v>
      </c>
      <c r="J955" s="4" t="s">
        <v>12</v>
      </c>
    </row>
    <row r="956" spans="1:10" x14ac:dyDescent="0.25">
      <c r="A956" s="2">
        <v>5.7543822287635402</v>
      </c>
      <c r="B956" s="3">
        <v>0.99033537310749198</v>
      </c>
      <c r="C956" s="3">
        <v>1.04819510236612E-2</v>
      </c>
      <c r="D956" s="4">
        <v>2.92592368519261E-2</v>
      </c>
      <c r="E956" s="3" t="s">
        <v>10950</v>
      </c>
      <c r="F956" s="3" t="s">
        <v>10951</v>
      </c>
      <c r="G956" s="3" t="s">
        <v>83</v>
      </c>
      <c r="H956" s="7" t="str">
        <f>HYPERLINK("http://www.ensembl.org/Mus_musculus/Gene/Summary?db=core;g=ENSMUSG00000096929","ENSMUSG00000096929")</f>
        <v>ENSMUSG00000096929</v>
      </c>
      <c r="I956" s="7" t="str">
        <f>HYPERLINK("http://www.informatics.jax.org/marker/MGI:2443958","MGI:2443958")</f>
        <v>MGI:2443958</v>
      </c>
      <c r="J956" s="4" t="s">
        <v>331</v>
      </c>
    </row>
    <row r="957" spans="1:10" x14ac:dyDescent="0.25">
      <c r="A957" s="2">
        <v>1644.28642441737</v>
      </c>
      <c r="B957" s="3">
        <v>0.98982632871923504</v>
      </c>
      <c r="C957" s="5">
        <v>3.5364818908584402E-56</v>
      </c>
      <c r="D957" s="6">
        <v>1.9355069808076601E-54</v>
      </c>
      <c r="E957" s="3" t="s">
        <v>610</v>
      </c>
      <c r="F957" s="3" t="s">
        <v>611</v>
      </c>
      <c r="G957" s="3">
        <v>17936</v>
      </c>
      <c r="H957" s="7" t="str">
        <f>HYPERLINK("http://www.ensembl.org/Mus_musculus/Gene/Summary?db=core;g=ENSMUSG00000002881","ENSMUSG00000002881")</f>
        <v>ENSMUSG00000002881</v>
      </c>
      <c r="I957" s="7" t="str">
        <f>HYPERLINK("http://www.informatics.jax.org/marker/MGI:107564","MGI:107564")</f>
        <v>MGI:107564</v>
      </c>
      <c r="J957" s="4" t="s">
        <v>12</v>
      </c>
    </row>
    <row r="958" spans="1:10" x14ac:dyDescent="0.25">
      <c r="A958" s="2">
        <v>2.0968948036845698</v>
      </c>
      <c r="B958" s="3">
        <v>0.98942287773787396</v>
      </c>
      <c r="C958" s="3">
        <v>3.6009336460200603E-2</v>
      </c>
      <c r="D958" s="4">
        <v>8.6339810861484095E-2</v>
      </c>
      <c r="E958" s="3" t="s">
        <v>11096</v>
      </c>
      <c r="F958" s="3" t="s">
        <v>11097</v>
      </c>
      <c r="G958" s="3">
        <v>68393</v>
      </c>
      <c r="H958" s="7" t="str">
        <f>HYPERLINK("http://www.ensembl.org/Mus_musculus/Gene/Summary?db=core;g=ENSMUSG00000012187","ENSMUSG00000012187")</f>
        <v>ENSMUSG00000012187</v>
      </c>
      <c r="I958" s="7" t="str">
        <f>HYPERLINK("http://www.informatics.jax.org/marker/MGI:1915643","MGI:1915643")</f>
        <v>MGI:1915643</v>
      </c>
      <c r="J958" s="4" t="s">
        <v>12</v>
      </c>
    </row>
    <row r="959" spans="1:10" x14ac:dyDescent="0.25">
      <c r="A959" s="2">
        <v>2868.41741834201</v>
      </c>
      <c r="B959" s="3">
        <v>0.98882969453430702</v>
      </c>
      <c r="C959" s="5">
        <v>5.6489907527984504E-60</v>
      </c>
      <c r="D959" s="6">
        <v>3.4317618823250598E-58</v>
      </c>
      <c r="E959" s="3" t="s">
        <v>528</v>
      </c>
      <c r="F959" s="3" t="s">
        <v>529</v>
      </c>
      <c r="G959" s="3">
        <v>68184</v>
      </c>
      <c r="H959" s="7" t="str">
        <f>HYPERLINK("http://www.ensembl.org/Mus_musculus/Gene/Summary?db=core;g=ENSMUSG00000023106","ENSMUSG00000023106")</f>
        <v>ENSMUSG00000023106</v>
      </c>
      <c r="I959" s="7" t="str">
        <f>HYPERLINK("http://www.informatics.jax.org/marker/MGI:1915434","MGI:1915434")</f>
        <v>MGI:1915434</v>
      </c>
      <c r="J959" s="4" t="s">
        <v>12</v>
      </c>
    </row>
    <row r="960" spans="1:10" x14ac:dyDescent="0.25">
      <c r="A960" s="2">
        <v>2.8569827452099101</v>
      </c>
      <c r="B960" s="3">
        <v>0.98741992992619898</v>
      </c>
      <c r="C960" s="3">
        <v>3.5874006575792698E-2</v>
      </c>
      <c r="D960" s="4">
        <v>8.6062875962095095E-2</v>
      </c>
      <c r="E960" s="3" t="s">
        <v>8531</v>
      </c>
      <c r="F960" s="3" t="s">
        <v>8532</v>
      </c>
      <c r="G960" s="3" t="s">
        <v>83</v>
      </c>
      <c r="H960" s="7" t="str">
        <f>HYPERLINK("http://www.ensembl.org/Mus_musculus/Gene/Summary?db=core;g=ENSMUSG00000079491","ENSMUSG00000079491")</f>
        <v>ENSMUSG00000079491</v>
      </c>
      <c r="I960" s="7" t="str">
        <f>HYPERLINK("http://www.informatics.jax.org/marker/MGI:95942","MGI:95942")</f>
        <v>MGI:95942</v>
      </c>
      <c r="J960" s="4" t="s">
        <v>976</v>
      </c>
    </row>
    <row r="961" spans="1:10" x14ac:dyDescent="0.25">
      <c r="A961" s="2">
        <v>1.1556693251899299</v>
      </c>
      <c r="B961" s="3">
        <v>0.98674962972124902</v>
      </c>
      <c r="C961" s="3">
        <v>2.54798575720173E-2</v>
      </c>
      <c r="D961" s="4">
        <v>6.3804672197034201E-2</v>
      </c>
      <c r="E961" s="3" t="s">
        <v>13789</v>
      </c>
      <c r="F961" s="3" t="s">
        <v>13790</v>
      </c>
      <c r="G961" s="3" t="s">
        <v>83</v>
      </c>
      <c r="H961" s="7" t="str">
        <f>HYPERLINK("http://www.ensembl.org/Mus_musculus/Gene/Summary?db=core;g=ENSMUSG00000086554","ENSMUSG00000086554")</f>
        <v>ENSMUSG00000086554</v>
      </c>
      <c r="I961" s="7" t="str">
        <f>HYPERLINK("http://www.informatics.jax.org/marker/MGI:1925865","MGI:1925865")</f>
        <v>MGI:1925865</v>
      </c>
      <c r="J961" s="4" t="s">
        <v>932</v>
      </c>
    </row>
    <row r="962" spans="1:10" x14ac:dyDescent="0.25">
      <c r="A962" s="2">
        <v>1774.6593891816301</v>
      </c>
      <c r="B962" s="3">
        <v>0.98623011577209996</v>
      </c>
      <c r="C962" s="5">
        <v>3.98818928725361E-36</v>
      </c>
      <c r="D962" s="6">
        <v>1.2014008224826001E-34</v>
      </c>
      <c r="E962" s="3" t="s">
        <v>1338</v>
      </c>
      <c r="F962" s="3" t="s">
        <v>1339</v>
      </c>
      <c r="G962" s="3">
        <v>80750</v>
      </c>
      <c r="H962" s="7" t="str">
        <f>HYPERLINK("http://www.ensembl.org/Mus_musculus/Gene/Summary?db=core;g=ENSMUSG00000031652","ENSMUSG00000031652")</f>
        <v>ENSMUSG00000031652</v>
      </c>
      <c r="I962" s="7" t="str">
        <f>HYPERLINK("http://www.informatics.jax.org/marker/MGI:2136825","MGI:2136825")</f>
        <v>MGI:2136825</v>
      </c>
      <c r="J962" s="4" t="s">
        <v>12</v>
      </c>
    </row>
    <row r="963" spans="1:10" x14ac:dyDescent="0.25">
      <c r="A963" s="2">
        <v>822.43338105829798</v>
      </c>
      <c r="B963" s="3">
        <v>0.98570910392599498</v>
      </c>
      <c r="C963" s="5">
        <v>4.09774503818554E-33</v>
      </c>
      <c r="D963" s="6">
        <v>1.13325346465753E-31</v>
      </c>
      <c r="E963" s="3" t="s">
        <v>1714</v>
      </c>
      <c r="F963" s="3" t="s">
        <v>1715</v>
      </c>
      <c r="G963" s="3">
        <v>19655</v>
      </c>
      <c r="H963" s="7" t="str">
        <f>HYPERLINK("http://www.ensembl.org/Mus_musculus/Gene/Summary?db=core;g=ENSMUSG00000031134","ENSMUSG00000031134")</f>
        <v>ENSMUSG00000031134</v>
      </c>
      <c r="I963" s="7" t="str">
        <f>HYPERLINK("http://www.informatics.jax.org/marker/MGI:1343044","MGI:1343044")</f>
        <v>MGI:1343044</v>
      </c>
      <c r="J963" s="4" t="s">
        <v>12</v>
      </c>
    </row>
    <row r="964" spans="1:10" x14ac:dyDescent="0.25">
      <c r="A964" s="2">
        <v>2.13129076178324</v>
      </c>
      <c r="B964" s="3">
        <v>0.98523378810468998</v>
      </c>
      <c r="C964" s="3">
        <v>3.1298389897660803E-2</v>
      </c>
      <c r="D964" s="4">
        <v>7.6360529569594104E-2</v>
      </c>
      <c r="E964" s="3" t="s">
        <v>10400</v>
      </c>
      <c r="F964" s="3" t="s">
        <v>10401</v>
      </c>
      <c r="G964" s="3">
        <v>209590</v>
      </c>
      <c r="H964" s="7" t="str">
        <f>HYPERLINK("http://www.ensembl.org/Mus_musculus/Gene/Summary?db=core;g=ENSMUSG00000049093","ENSMUSG00000049093")</f>
        <v>ENSMUSG00000049093</v>
      </c>
      <c r="I964" s="7" t="str">
        <f>HYPERLINK("http://www.informatics.jax.org/marker/MGI:2181693","MGI:2181693")</f>
        <v>MGI:2181693</v>
      </c>
      <c r="J964" s="4" t="s">
        <v>12</v>
      </c>
    </row>
    <row r="965" spans="1:10" x14ac:dyDescent="0.25">
      <c r="A965" s="2">
        <v>1282.00817688756</v>
      </c>
      <c r="B965" s="3">
        <v>0.98299688610209501</v>
      </c>
      <c r="C965" s="5">
        <v>2.2396572363480801E-72</v>
      </c>
      <c r="D965" s="6">
        <v>1.8469571553141999E-70</v>
      </c>
      <c r="E965" s="3" t="s">
        <v>480</v>
      </c>
      <c r="F965" s="3" t="s">
        <v>481</v>
      </c>
      <c r="G965" s="3">
        <v>238130</v>
      </c>
      <c r="H965" s="7" t="str">
        <f>HYPERLINK("http://www.ensembl.org/Mus_musculus/Gene/Summary?db=core;g=ENSMUSG00000035954","ENSMUSG00000035954")</f>
        <v>ENSMUSG00000035954</v>
      </c>
      <c r="I965" s="7" t="str">
        <f>HYPERLINK("http://www.informatics.jax.org/marker/MGI:1918006","MGI:1918006")</f>
        <v>MGI:1918006</v>
      </c>
      <c r="J965" s="4" t="s">
        <v>12</v>
      </c>
    </row>
    <row r="966" spans="1:10" x14ac:dyDescent="0.25">
      <c r="A966" s="2">
        <v>16.9715524441146</v>
      </c>
      <c r="B966" s="3">
        <v>0.982772897407866</v>
      </c>
      <c r="C966" s="3">
        <v>1.3464268771326299E-3</v>
      </c>
      <c r="D966" s="4">
        <v>4.6264385059845798E-3</v>
      </c>
      <c r="E966" s="3" t="s">
        <v>7995</v>
      </c>
      <c r="F966" s="3" t="s">
        <v>7996</v>
      </c>
      <c r="G966" s="3">
        <v>71648</v>
      </c>
      <c r="H966" s="7" t="str">
        <f>HYPERLINK("http://www.ensembl.org/Mus_musculus/Gene/Summary?db=core;g=ENSMUSG00000026672","ENSMUSG00000026672")</f>
        <v>ENSMUSG00000026672</v>
      </c>
      <c r="I966" s="7" t="str">
        <f>HYPERLINK("http://www.informatics.jax.org/marker/MGI:1918898","MGI:1918898")</f>
        <v>MGI:1918898</v>
      </c>
      <c r="J966" s="4" t="s">
        <v>12</v>
      </c>
    </row>
    <row r="967" spans="1:10" x14ac:dyDescent="0.25">
      <c r="A967" s="2">
        <v>715.32143061074999</v>
      </c>
      <c r="B967" s="3">
        <v>0.98128439550593605</v>
      </c>
      <c r="C967" s="5">
        <v>1.35054957648407E-43</v>
      </c>
      <c r="D967" s="6">
        <v>5.33921172048203E-42</v>
      </c>
      <c r="E967" s="3" t="s">
        <v>888</v>
      </c>
      <c r="F967" s="3" t="s">
        <v>889</v>
      </c>
      <c r="G967" s="3">
        <v>66220</v>
      </c>
      <c r="H967" s="7" t="str">
        <f>HYPERLINK("http://www.ensembl.org/Mus_musculus/Gene/Summary?db=core;g=ENSMUSG00000015335","ENSMUSG00000015335")</f>
        <v>ENSMUSG00000015335</v>
      </c>
      <c r="I967" s="7" t="str">
        <f>HYPERLINK("http://www.informatics.jax.org/marker/MGI:1913470","MGI:1913470")</f>
        <v>MGI:1913470</v>
      </c>
      <c r="J967" s="4" t="s">
        <v>12</v>
      </c>
    </row>
    <row r="968" spans="1:10" x14ac:dyDescent="0.25">
      <c r="A968" s="2">
        <v>776.54213785440902</v>
      </c>
      <c r="B968" s="3">
        <v>0.98053296325583195</v>
      </c>
      <c r="C968" s="5">
        <v>2.1611846860322601E-29</v>
      </c>
      <c r="D968" s="6">
        <v>5.2031163676272001E-28</v>
      </c>
      <c r="E968" s="3" t="s">
        <v>1915</v>
      </c>
      <c r="F968" s="3" t="s">
        <v>1916</v>
      </c>
      <c r="G968" s="3">
        <v>12048</v>
      </c>
      <c r="H968" s="7" t="str">
        <f>HYPERLINK("http://www.ensembl.org/Mus_musculus/Gene/Summary?db=core;g=ENSMUSG00000007659","ENSMUSG00000007659")</f>
        <v>ENSMUSG00000007659</v>
      </c>
      <c r="I968" s="7" t="str">
        <f>HYPERLINK("http://www.informatics.jax.org/marker/MGI:88139","MGI:88139")</f>
        <v>MGI:88139</v>
      </c>
      <c r="J968" s="4" t="s">
        <v>12</v>
      </c>
    </row>
    <row r="969" spans="1:10" x14ac:dyDescent="0.25">
      <c r="A969" s="2">
        <v>3022.6625183003198</v>
      </c>
      <c r="B969" s="3">
        <v>0.97705957138275701</v>
      </c>
      <c r="C969" s="5">
        <v>6.8535160596515596E-82</v>
      </c>
      <c r="D969" s="6">
        <v>6.7883331623450901E-80</v>
      </c>
      <c r="E969" s="3" t="s">
        <v>252</v>
      </c>
      <c r="F969" s="3" t="s">
        <v>253</v>
      </c>
      <c r="G969" s="3">
        <v>74427</v>
      </c>
      <c r="H969" s="7" t="str">
        <f>HYPERLINK("http://www.ensembl.org/Mus_musculus/Gene/Summary?db=core;g=ENSMUSG00000021890","ENSMUSG00000021890")</f>
        <v>ENSMUSG00000021890</v>
      </c>
      <c r="I969" s="7" t="str">
        <f>HYPERLINK("http://www.informatics.jax.org/marker/MGI:1921677","MGI:1921677")</f>
        <v>MGI:1921677</v>
      </c>
      <c r="J969" s="4" t="s">
        <v>12</v>
      </c>
    </row>
    <row r="970" spans="1:10" x14ac:dyDescent="0.25">
      <c r="A970" s="2">
        <v>2.16009174593884</v>
      </c>
      <c r="B970" s="3">
        <v>0.97663488615581295</v>
      </c>
      <c r="C970" s="3">
        <v>3.8464690590324702E-2</v>
      </c>
      <c r="D970" s="4">
        <v>9.1361786264651093E-2</v>
      </c>
      <c r="E970" s="3" t="s">
        <v>11549</v>
      </c>
      <c r="F970" s="3" t="s">
        <v>11550</v>
      </c>
      <c r="G970" s="3">
        <v>69453</v>
      </c>
      <c r="H970" s="7" t="str">
        <f>HYPERLINK("http://www.ensembl.org/Mus_musculus/Gene/Summary?db=core;g=ENSMUSG00000036480","ENSMUSG00000036480")</f>
        <v>ENSMUSG00000036480</v>
      </c>
      <c r="I970" s="7" t="str">
        <f>HYPERLINK("http://www.informatics.jax.org/marker/MGI:1916703","MGI:1916703")</f>
        <v>MGI:1916703</v>
      </c>
      <c r="J970" s="4" t="s">
        <v>12</v>
      </c>
    </row>
    <row r="971" spans="1:10" x14ac:dyDescent="0.25">
      <c r="A971" s="2">
        <v>767.90441021806498</v>
      </c>
      <c r="B971" s="3">
        <v>0.97652053993242205</v>
      </c>
      <c r="C971" s="5">
        <v>1.05078132479093E-18</v>
      </c>
      <c r="D971" s="6">
        <v>1.5431498504685401E-17</v>
      </c>
      <c r="E971" s="3" t="s">
        <v>5823</v>
      </c>
      <c r="F971" s="3" t="s">
        <v>5824</v>
      </c>
      <c r="G971" s="3">
        <v>16210</v>
      </c>
      <c r="H971" s="7" t="str">
        <f>HYPERLINK("http://www.ensembl.org/Mus_musculus/Gene/Summary?db=core;g=ENSMUSG00000024423","ENSMUSG00000024423")</f>
        <v>ENSMUSG00000024423</v>
      </c>
      <c r="I971" s="7" t="str">
        <f>HYPERLINK("http://www.informatics.jax.org/marker/MGI:1098233","MGI:1098233")</f>
        <v>MGI:1098233</v>
      </c>
      <c r="J971" s="4" t="s">
        <v>12</v>
      </c>
    </row>
    <row r="972" spans="1:10" x14ac:dyDescent="0.25">
      <c r="A972" s="2">
        <v>1516.53176703451</v>
      </c>
      <c r="B972" s="3">
        <v>0.97621980811112796</v>
      </c>
      <c r="C972" s="5">
        <v>2.1258807116411301E-45</v>
      </c>
      <c r="D972" s="6">
        <v>9.0065082443085406E-44</v>
      </c>
      <c r="E972" s="3" t="s">
        <v>1879</v>
      </c>
      <c r="F972" s="3" t="s">
        <v>1880</v>
      </c>
      <c r="G972" s="3">
        <v>237436</v>
      </c>
      <c r="H972" s="7" t="str">
        <f>HYPERLINK("http://www.ensembl.org/Mus_musculus/Gene/Summary?db=core;g=ENSMUSG00000074802","ENSMUSG00000074802")</f>
        <v>ENSMUSG00000074802</v>
      </c>
      <c r="I972" s="7" t="str">
        <f>HYPERLINK("http://www.informatics.jax.org/marker/MGI:1918780","MGI:1918780")</f>
        <v>MGI:1918780</v>
      </c>
      <c r="J972" s="4" t="s">
        <v>12</v>
      </c>
    </row>
    <row r="973" spans="1:10" x14ac:dyDescent="0.25">
      <c r="A973" s="2">
        <v>110.04387357950699</v>
      </c>
      <c r="B973" s="3">
        <v>0.97502205767060302</v>
      </c>
      <c r="C973" s="5">
        <v>1.9786557948536699E-12</v>
      </c>
      <c r="D973" s="6">
        <v>1.9524094131677401E-11</v>
      </c>
      <c r="E973" s="3" t="s">
        <v>4199</v>
      </c>
      <c r="F973" s="3" t="s">
        <v>4200</v>
      </c>
      <c r="G973" s="3">
        <v>14077</v>
      </c>
      <c r="H973" s="7" t="str">
        <f>HYPERLINK("http://www.ensembl.org/Mus_musculus/Gene/Summary?db=core;g=ENSMUSG00000028773","ENSMUSG00000028773")</f>
        <v>ENSMUSG00000028773</v>
      </c>
      <c r="I973" s="7" t="str">
        <f>HYPERLINK("http://www.informatics.jax.org/marker/MGI:95476","MGI:95476")</f>
        <v>MGI:95476</v>
      </c>
      <c r="J973" s="4" t="s">
        <v>12</v>
      </c>
    </row>
    <row r="974" spans="1:10" x14ac:dyDescent="0.25">
      <c r="A974" s="2">
        <v>98.582994685613897</v>
      </c>
      <c r="B974" s="3">
        <v>0.969814876120205</v>
      </c>
      <c r="C974" s="5">
        <v>3.50528996057779E-11</v>
      </c>
      <c r="D974" s="6">
        <v>3.1117345120082899E-10</v>
      </c>
      <c r="E974" s="3" t="s">
        <v>5091</v>
      </c>
      <c r="F974" s="3" t="s">
        <v>5092</v>
      </c>
      <c r="G974" s="3" t="s">
        <v>83</v>
      </c>
      <c r="H974" s="7" t="str">
        <f>HYPERLINK("http://www.ensembl.org/Mus_musculus/Gene/Summary?db=core;g=ENSMUSG00000059195","ENSMUSG00000059195")</f>
        <v>ENSMUSG00000059195</v>
      </c>
      <c r="I974" s="7" t="str">
        <f>HYPERLINK("http://www.informatics.jax.org/marker/MGI:3650759","MGI:3650759")</f>
        <v>MGI:3650759</v>
      </c>
      <c r="J974" s="4" t="s">
        <v>1043</v>
      </c>
    </row>
    <row r="975" spans="1:10" x14ac:dyDescent="0.25">
      <c r="A975" s="2">
        <v>2.2612273569716699</v>
      </c>
      <c r="B975" s="3">
        <v>0.96927379044553896</v>
      </c>
      <c r="C975" s="3">
        <v>3.9313194344154798E-2</v>
      </c>
      <c r="D975" s="4">
        <v>9.3061821914822804E-2</v>
      </c>
      <c r="E975" s="3" t="s">
        <v>11465</v>
      </c>
      <c r="F975" s="3" t="s">
        <v>11466</v>
      </c>
      <c r="G975" s="3">
        <v>14584</v>
      </c>
      <c r="H975" s="7" t="str">
        <f>HYPERLINK("http://www.ensembl.org/Mus_musculus/Gene/Summary?db=core;g=ENSMUSG00000020363","ENSMUSG00000020363")</f>
        <v>ENSMUSG00000020363</v>
      </c>
      <c r="I975" s="7" t="str">
        <f>HYPERLINK("http://www.informatics.jax.org/marker/MGI:1338883","MGI:1338883")</f>
        <v>MGI:1338883</v>
      </c>
      <c r="J975" s="4" t="s">
        <v>12</v>
      </c>
    </row>
    <row r="976" spans="1:10" x14ac:dyDescent="0.25">
      <c r="A976" s="2">
        <v>1805.74956088927</v>
      </c>
      <c r="B976" s="3">
        <v>0.96887822251673505</v>
      </c>
      <c r="C976" s="5">
        <v>1.9756307445769301E-82</v>
      </c>
      <c r="D976" s="6">
        <v>2.0228017033659802E-80</v>
      </c>
      <c r="E976" s="3" t="s">
        <v>274</v>
      </c>
      <c r="F976" s="3" t="s">
        <v>275</v>
      </c>
      <c r="G976" s="3">
        <v>54711</v>
      </c>
      <c r="H976" s="7" t="str">
        <f>HYPERLINK("http://www.ensembl.org/Mus_musculus/Gene/Summary?db=core;g=ENSMUSG00000051413","ENSMUSG00000051413")</f>
        <v>ENSMUSG00000051413</v>
      </c>
      <c r="I976" s="7" t="str">
        <f>HYPERLINK("http://www.informatics.jax.org/marker/MGI:1933165","MGI:1933165")</f>
        <v>MGI:1933165</v>
      </c>
      <c r="J976" s="4" t="s">
        <v>12</v>
      </c>
    </row>
    <row r="977" spans="1:10" x14ac:dyDescent="0.25">
      <c r="A977" s="2">
        <v>5.7859523706098797</v>
      </c>
      <c r="B977" s="3">
        <v>0.96817208169159497</v>
      </c>
      <c r="C977" s="3">
        <v>1.42047930626187E-2</v>
      </c>
      <c r="D977" s="4">
        <v>3.82792183300645E-2</v>
      </c>
      <c r="E977" s="3" t="s">
        <v>9567</v>
      </c>
      <c r="F977" s="3" t="s">
        <v>9568</v>
      </c>
      <c r="G977" s="3" t="s">
        <v>83</v>
      </c>
      <c r="H977" s="7" t="str">
        <f>HYPERLINK("http://www.ensembl.org/Mus_musculus/Gene/Summary?db=core;g=ENSMUSG00000094210","ENSMUSG00000094210")</f>
        <v>ENSMUSG00000094210</v>
      </c>
      <c r="I977" s="7" t="str">
        <f>HYPERLINK("http://www.informatics.jax.org/marker/MGI:5453227","MGI:5453227")</f>
        <v>MGI:5453227</v>
      </c>
      <c r="J977" s="4" t="s">
        <v>6715</v>
      </c>
    </row>
    <row r="978" spans="1:10" x14ac:dyDescent="0.25">
      <c r="A978" s="2">
        <v>2419.8733846458399</v>
      </c>
      <c r="B978" s="3">
        <v>0.96754551305454495</v>
      </c>
      <c r="C978" s="5">
        <v>8.0245706824958506E-21</v>
      </c>
      <c r="D978" s="6">
        <v>1.3081198630455E-19</v>
      </c>
      <c r="E978" s="3" t="s">
        <v>3528</v>
      </c>
      <c r="F978" s="3" t="s">
        <v>3529</v>
      </c>
      <c r="G978" s="3">
        <v>11432</v>
      </c>
      <c r="H978" s="7" t="str">
        <f>HYPERLINK("http://www.ensembl.org/Mus_musculus/Gene/Summary?db=core;g=ENSMUSG00000002103","ENSMUSG00000002103")</f>
        <v>ENSMUSG00000002103</v>
      </c>
      <c r="I978" s="7" t="str">
        <f>HYPERLINK("http://www.informatics.jax.org/marker/MGI:87882","MGI:87882")</f>
        <v>MGI:87882</v>
      </c>
      <c r="J978" s="4" t="s">
        <v>12</v>
      </c>
    </row>
    <row r="979" spans="1:10" x14ac:dyDescent="0.25">
      <c r="A979" s="2">
        <v>484.17504143763398</v>
      </c>
      <c r="B979" s="3">
        <v>0.96681084887547897</v>
      </c>
      <c r="C979" s="5">
        <v>3.3174972677041202E-28</v>
      </c>
      <c r="D979" s="6">
        <v>7.6630402666549596E-27</v>
      </c>
      <c r="E979" s="3" t="s">
        <v>958</v>
      </c>
      <c r="F979" s="3" t="s">
        <v>959</v>
      </c>
      <c r="G979" s="3">
        <v>227525</v>
      </c>
      <c r="H979" s="7" t="str">
        <f>HYPERLINK("http://www.ensembl.org/Mus_musculus/Gene/Summary?db=core;g=ENSMUSG00000026648","ENSMUSG00000026648")</f>
        <v>ENSMUSG00000026648</v>
      </c>
      <c r="I979" s="7" t="str">
        <f>HYPERLINK("http://www.informatics.jax.org/marker/MGI:2441769","MGI:2441769")</f>
        <v>MGI:2441769</v>
      </c>
      <c r="J979" s="4" t="s">
        <v>12</v>
      </c>
    </row>
    <row r="980" spans="1:10" x14ac:dyDescent="0.25">
      <c r="A980" s="2">
        <v>1849.21297680983</v>
      </c>
      <c r="B980" s="3">
        <v>0.96597280524783602</v>
      </c>
      <c r="C980" s="5">
        <v>9.2308182678989997E-20</v>
      </c>
      <c r="D980" s="6">
        <v>1.4232797202407699E-18</v>
      </c>
      <c r="E980" s="3" t="s">
        <v>2249</v>
      </c>
      <c r="F980" s="3" t="s">
        <v>2250</v>
      </c>
      <c r="G980" s="3">
        <v>223693</v>
      </c>
      <c r="H980" s="7" t="str">
        <f>HYPERLINK("http://www.ensembl.org/Mus_musculus/Gene/Summary?db=core;g=ENSMUSG00000009035","ENSMUSG00000009035")</f>
        <v>ENSMUSG00000009035</v>
      </c>
      <c r="I980" s="7" t="str">
        <f>HYPERLINK("http://www.informatics.jax.org/marker/MGI:2445179","MGI:2445179")</f>
        <v>MGI:2445179</v>
      </c>
      <c r="J980" s="4" t="s">
        <v>12</v>
      </c>
    </row>
    <row r="981" spans="1:10" x14ac:dyDescent="0.25">
      <c r="A981" s="2">
        <v>1.0631257682572299</v>
      </c>
      <c r="B981" s="3">
        <v>0.96464136758744101</v>
      </c>
      <c r="C981" s="3">
        <v>2.9969105702497102E-2</v>
      </c>
      <c r="D981" s="4">
        <v>7.3530822755521003E-2</v>
      </c>
      <c r="E981" s="3" t="s">
        <v>13340</v>
      </c>
      <c r="F981" s="3" t="s">
        <v>13341</v>
      </c>
      <c r="G981" s="3" t="s">
        <v>83</v>
      </c>
      <c r="H981" s="7" t="str">
        <f>HYPERLINK("http://www.ensembl.org/Mus_musculus/Gene/Summary?db=core;g=ENSMUSG00000077338","ENSMUSG00000077338")</f>
        <v>ENSMUSG00000077338</v>
      </c>
      <c r="I981" s="7" t="str">
        <f>HYPERLINK("http://www.informatics.jax.org/marker/MGI:5453071","MGI:5453071")</f>
        <v>MGI:5453071</v>
      </c>
      <c r="J981" s="4" t="s">
        <v>13342</v>
      </c>
    </row>
    <row r="982" spans="1:10" x14ac:dyDescent="0.25">
      <c r="A982" s="2">
        <v>1352.3292515790299</v>
      </c>
      <c r="B982" s="3">
        <v>0.96092239922877098</v>
      </c>
      <c r="C982" s="5">
        <v>1.16191458286345E-34</v>
      </c>
      <c r="D982" s="6">
        <v>3.3773354501892103E-33</v>
      </c>
      <c r="E982" s="3" t="s">
        <v>1572</v>
      </c>
      <c r="F982" s="3" t="s">
        <v>1573</v>
      </c>
      <c r="G982" s="3">
        <v>19222</v>
      </c>
      <c r="H982" s="7" t="str">
        <f>HYPERLINK("http://www.ensembl.org/Mus_musculus/Gene/Summary?db=core;g=ENSMUSG00000043017","ENSMUSG00000043017")</f>
        <v>ENSMUSG00000043017</v>
      </c>
      <c r="I982" s="7" t="str">
        <f>HYPERLINK("http://www.informatics.jax.org/marker/MGI:99535","MGI:99535")</f>
        <v>MGI:99535</v>
      </c>
      <c r="J982" s="4" t="s">
        <v>12</v>
      </c>
    </row>
    <row r="983" spans="1:10" x14ac:dyDescent="0.25">
      <c r="A983" s="2">
        <v>962.44858394390599</v>
      </c>
      <c r="B983" s="3">
        <v>0.95746914206624301</v>
      </c>
      <c r="C983" s="5">
        <v>3.77062846117685E-29</v>
      </c>
      <c r="D983" s="6">
        <v>8.9947256158309006E-28</v>
      </c>
      <c r="E983" s="3" t="s">
        <v>1462</v>
      </c>
      <c r="F983" s="3" t="s">
        <v>1463</v>
      </c>
      <c r="G983" s="3">
        <v>52552</v>
      </c>
      <c r="H983" s="7" t="str">
        <f>HYPERLINK("http://www.ensembl.org/Mus_musculus/Gene/Summary?db=core;g=ENSMUSG00000021725","ENSMUSG00000021725")</f>
        <v>ENSMUSG00000021725</v>
      </c>
      <c r="I983" s="7" t="str">
        <f>HYPERLINK("http://www.informatics.jax.org/marker/MGI:1098713","MGI:1098713")</f>
        <v>MGI:1098713</v>
      </c>
      <c r="J983" s="4" t="s">
        <v>12</v>
      </c>
    </row>
    <row r="984" spans="1:10" x14ac:dyDescent="0.25">
      <c r="A984" s="2">
        <v>2878.6106727249498</v>
      </c>
      <c r="B984" s="3">
        <v>0.95686279547108599</v>
      </c>
      <c r="C984" s="5">
        <v>5.3324773645867199E-61</v>
      </c>
      <c r="D984" s="6">
        <v>3.3282328756709901E-59</v>
      </c>
      <c r="E984" s="3" t="s">
        <v>204</v>
      </c>
      <c r="F984" s="3" t="s">
        <v>205</v>
      </c>
      <c r="G984" s="3">
        <v>14571</v>
      </c>
      <c r="H984" s="7" t="str">
        <f>HYPERLINK("http://www.ensembl.org/Mus_musculus/Gene/Summary?db=core;g=ENSMUSG00000026827","ENSMUSG00000026827")</f>
        <v>ENSMUSG00000026827</v>
      </c>
      <c r="I984" s="7" t="str">
        <f>HYPERLINK("http://www.informatics.jax.org/marker/MGI:99778","MGI:99778")</f>
        <v>MGI:99778</v>
      </c>
      <c r="J984" s="4" t="s">
        <v>12</v>
      </c>
    </row>
    <row r="985" spans="1:10" x14ac:dyDescent="0.25">
      <c r="A985" s="2">
        <v>2182.53052012833</v>
      </c>
      <c r="B985" s="3">
        <v>0.956064155450014</v>
      </c>
      <c r="C985" s="5">
        <v>7.13605212784556E-62</v>
      </c>
      <c r="D985" s="6">
        <v>4.54736188916032E-60</v>
      </c>
      <c r="E985" s="3" t="s">
        <v>662</v>
      </c>
      <c r="F985" s="3" t="s">
        <v>663</v>
      </c>
      <c r="G985" s="3">
        <v>30791</v>
      </c>
      <c r="H985" s="7" t="str">
        <f>HYPERLINK("http://www.ensembl.org/Mus_musculus/Gene/Summary?db=core;g=ENSMUSG00000052310","ENSMUSG00000052310")</f>
        <v>ENSMUSG00000052310</v>
      </c>
      <c r="I985" s="7" t="str">
        <f>HYPERLINK("http://www.informatics.jax.org/marker/MGI:1353474","MGI:1353474")</f>
        <v>MGI:1353474</v>
      </c>
      <c r="J985" s="4" t="s">
        <v>12</v>
      </c>
    </row>
    <row r="986" spans="1:10" x14ac:dyDescent="0.25">
      <c r="A986" s="2">
        <v>154.61888562470099</v>
      </c>
      <c r="B986" s="3">
        <v>0.95329240753736699</v>
      </c>
      <c r="C986" s="5">
        <v>8.1182919876973303E-16</v>
      </c>
      <c r="D986" s="6">
        <v>1.00513499643875E-14</v>
      </c>
      <c r="E986" s="3" t="s">
        <v>5559</v>
      </c>
      <c r="F986" s="3" t="s">
        <v>5560</v>
      </c>
      <c r="G986" s="3" t="s">
        <v>83</v>
      </c>
      <c r="H986" s="7" t="str">
        <f>HYPERLINK("http://www.ensembl.org/Mus_musculus/Gene/Summary?db=core;g=ENSMUSG00000042549","ENSMUSG00000042549")</f>
        <v>ENSMUSG00000042549</v>
      </c>
      <c r="I986" s="7" t="str">
        <f>HYPERLINK("http://www.informatics.jax.org/marker/MGI:1344334","MGI:1344334")</f>
        <v>MGI:1344334</v>
      </c>
      <c r="J986" s="4" t="s">
        <v>932</v>
      </c>
    </row>
    <row r="987" spans="1:10" x14ac:dyDescent="0.25">
      <c r="A987" s="2">
        <v>3.1704166579855002</v>
      </c>
      <c r="B987" s="3">
        <v>0.95328316650535605</v>
      </c>
      <c r="C987" s="3">
        <v>4.3119179179092401E-2</v>
      </c>
      <c r="D987" s="4">
        <v>0.100705864991441</v>
      </c>
      <c r="E987" s="3" t="s">
        <v>8381</v>
      </c>
      <c r="F987" s="3" t="s">
        <v>8382</v>
      </c>
      <c r="G987" s="3">
        <v>326623</v>
      </c>
      <c r="H987" s="7" t="str">
        <f>HYPERLINK("http://www.ensembl.org/Mus_musculus/Gene/Summary?db=core;g=ENSMUSG00000050395","ENSMUSG00000050395")</f>
        <v>ENSMUSG00000050395</v>
      </c>
      <c r="I987" s="7" t="str">
        <f>HYPERLINK("http://www.informatics.jax.org/marker/MGI:2180140","MGI:2180140")</f>
        <v>MGI:2180140</v>
      </c>
      <c r="J987" s="4" t="s">
        <v>12</v>
      </c>
    </row>
    <row r="988" spans="1:10" x14ac:dyDescent="0.25">
      <c r="A988" s="2">
        <v>1641.9008804133</v>
      </c>
      <c r="B988" s="3">
        <v>0.95164971275573795</v>
      </c>
      <c r="C988" s="5">
        <v>1.93793798260315E-34</v>
      </c>
      <c r="D988" s="6">
        <v>5.5884366666048202E-33</v>
      </c>
      <c r="E988" s="3" t="s">
        <v>3163</v>
      </c>
      <c r="F988" s="3" t="s">
        <v>3164</v>
      </c>
      <c r="G988" s="3">
        <v>20650</v>
      </c>
      <c r="H988" s="7" t="str">
        <f>HYPERLINK("http://www.ensembl.org/Mus_musculus/Gene/Summary?db=core;g=ENSMUSG00000041308","ENSMUSG00000041308")</f>
        <v>ENSMUSG00000041308</v>
      </c>
      <c r="I988" s="7" t="str">
        <f>HYPERLINK("http://www.informatics.jax.org/marker/MGI:101771","MGI:101771")</f>
        <v>MGI:101771</v>
      </c>
      <c r="J988" s="4" t="s">
        <v>12</v>
      </c>
    </row>
    <row r="989" spans="1:10" x14ac:dyDescent="0.25">
      <c r="A989" s="2">
        <v>1371.72989518132</v>
      </c>
      <c r="B989" s="3">
        <v>0.95019436692644799</v>
      </c>
      <c r="C989" s="5">
        <v>5.1682607481020402E-64</v>
      </c>
      <c r="D989" s="6">
        <v>3.4127373961652099E-62</v>
      </c>
      <c r="E989" s="3" t="s">
        <v>448</v>
      </c>
      <c r="F989" s="3" t="s">
        <v>449</v>
      </c>
      <c r="G989" s="3">
        <v>67921</v>
      </c>
      <c r="H989" s="7" t="str">
        <f>HYPERLINK("http://www.ensembl.org/Mus_musculus/Gene/Summary?db=core;g=ENSMUSG00000034343","ENSMUSG00000034343")</f>
        <v>ENSMUSG00000034343</v>
      </c>
      <c r="I989" s="7" t="str">
        <f>HYPERLINK("http://www.informatics.jax.org/marker/MGI:1915171","MGI:1915171")</f>
        <v>MGI:1915171</v>
      </c>
      <c r="J989" s="4" t="s">
        <v>12</v>
      </c>
    </row>
    <row r="990" spans="1:10" x14ac:dyDescent="0.25">
      <c r="A990" s="2">
        <v>2692.4477964476901</v>
      </c>
      <c r="B990" s="3">
        <v>0.94948149462179199</v>
      </c>
      <c r="C990" s="5">
        <v>3.4874680847120003E-8</v>
      </c>
      <c r="D990" s="6">
        <v>2.2838342020796401E-7</v>
      </c>
      <c r="E990" s="3" t="s">
        <v>5825</v>
      </c>
      <c r="F990" s="3" t="s">
        <v>5826</v>
      </c>
      <c r="G990" s="3">
        <v>14630</v>
      </c>
      <c r="H990" s="7" t="str">
        <f>HYPERLINK("http://www.ensembl.org/Mus_musculus/Gene/Summary?db=core;g=ENSMUSG00000028124","ENSMUSG00000028124")</f>
        <v>ENSMUSG00000028124</v>
      </c>
      <c r="I990" s="7" t="str">
        <f>HYPERLINK("http://www.informatics.jax.org/marker/MGI:104995","MGI:104995")</f>
        <v>MGI:104995</v>
      </c>
      <c r="J990" s="4" t="s">
        <v>12</v>
      </c>
    </row>
    <row r="991" spans="1:10" x14ac:dyDescent="0.25">
      <c r="A991" s="2">
        <v>72.048103551528698</v>
      </c>
      <c r="B991" s="3">
        <v>0.94889878372522296</v>
      </c>
      <c r="C991" s="5">
        <v>1.5129703100684901E-6</v>
      </c>
      <c r="D991" s="6">
        <v>8.2531828497450603E-6</v>
      </c>
      <c r="E991" s="3" t="s">
        <v>9359</v>
      </c>
      <c r="F991" s="3" t="s">
        <v>9360</v>
      </c>
      <c r="G991" s="3" t="s">
        <v>83</v>
      </c>
      <c r="H991" s="7" t="str">
        <f>HYPERLINK("http://www.ensembl.org/Mus_musculus/Gene/Summary?db=core;g=ENSMUSG00000031640","ENSMUSG00000031640")</f>
        <v>ENSMUSG00000031640</v>
      </c>
      <c r="I991" s="7" t="str">
        <f>HYPERLINK("http://www.informatics.jax.org/marker/MGI:5804868","MGI:5804868")</f>
        <v>MGI:5804868</v>
      </c>
      <c r="J991" s="4" t="s">
        <v>12</v>
      </c>
    </row>
    <row r="992" spans="1:10" x14ac:dyDescent="0.25">
      <c r="A992" s="2">
        <v>1479.43512603253</v>
      </c>
      <c r="B992" s="3">
        <v>0.94760133098805299</v>
      </c>
      <c r="C992" s="5">
        <v>4.58663215384097E-56</v>
      </c>
      <c r="D992" s="6">
        <v>2.50273565879496E-54</v>
      </c>
      <c r="E992" s="3" t="s">
        <v>1046</v>
      </c>
      <c r="F992" s="3" t="s">
        <v>1047</v>
      </c>
      <c r="G992" s="3">
        <v>23897</v>
      </c>
      <c r="H992" s="7" t="str">
        <f>HYPERLINK("http://www.ensembl.org/Mus_musculus/Gene/Summary?db=core;g=ENSMUSG00000027944","ENSMUSG00000027944")</f>
        <v>ENSMUSG00000027944</v>
      </c>
      <c r="I992" s="7" t="str">
        <f>HYPERLINK("http://www.informatics.jax.org/marker/MGI:1346319","MGI:1346319")</f>
        <v>MGI:1346319</v>
      </c>
      <c r="J992" s="4" t="s">
        <v>12</v>
      </c>
    </row>
    <row r="993" spans="1:10" x14ac:dyDescent="0.25">
      <c r="A993" s="2">
        <v>880.76223785071898</v>
      </c>
      <c r="B993" s="3">
        <v>0.94699851637937105</v>
      </c>
      <c r="C993" s="5">
        <v>3.89834540019053E-20</v>
      </c>
      <c r="D993" s="6">
        <v>6.1247711136614096E-19</v>
      </c>
      <c r="E993" s="3" t="s">
        <v>3724</v>
      </c>
      <c r="F993" s="3" t="s">
        <v>3725</v>
      </c>
      <c r="G993" s="3">
        <v>14425</v>
      </c>
      <c r="H993" s="7" t="str">
        <f>HYPERLINK("http://www.ensembl.org/Mus_musculus/Gene/Summary?db=core;g=ENSMUSG00000026994","ENSMUSG00000026994")</f>
        <v>ENSMUSG00000026994</v>
      </c>
      <c r="I993" s="7" t="str">
        <f>HYPERLINK("http://www.informatics.jax.org/marker/MGI:894695","MGI:894695")</f>
        <v>MGI:894695</v>
      </c>
      <c r="J993" s="4" t="s">
        <v>12</v>
      </c>
    </row>
    <row r="994" spans="1:10" x14ac:dyDescent="0.25">
      <c r="A994" s="2">
        <v>120.85050897372599</v>
      </c>
      <c r="B994" s="3">
        <v>0.94612952994878596</v>
      </c>
      <c r="C994" s="3">
        <v>2.9525913891107099E-3</v>
      </c>
      <c r="D994" s="4">
        <v>9.3731019102147196E-3</v>
      </c>
      <c r="E994" s="3" t="s">
        <v>5145</v>
      </c>
      <c r="F994" s="3" t="s">
        <v>5146</v>
      </c>
      <c r="G994" s="3">
        <v>75695</v>
      </c>
      <c r="H994" s="7" t="str">
        <f>HYPERLINK("http://www.ensembl.org/Mus_musculus/Gene/Summary?db=core;g=ENSMUSG00000029392","ENSMUSG00000029392")</f>
        <v>ENSMUSG00000029392</v>
      </c>
      <c r="I994" s="7" t="str">
        <f>HYPERLINK("http://www.informatics.jax.org/marker/MGI:1922945","MGI:1922945")</f>
        <v>MGI:1922945</v>
      </c>
      <c r="J994" s="4" t="s">
        <v>12</v>
      </c>
    </row>
    <row r="995" spans="1:10" x14ac:dyDescent="0.25">
      <c r="A995" s="2">
        <v>1184.35660302001</v>
      </c>
      <c r="B995" s="3">
        <v>0.94477240758107495</v>
      </c>
      <c r="C995" s="5">
        <v>6.6797221430144101E-25</v>
      </c>
      <c r="D995" s="6">
        <v>1.32612130780433E-23</v>
      </c>
      <c r="E995" s="3" t="s">
        <v>4093</v>
      </c>
      <c r="F995" s="3" t="s">
        <v>4094</v>
      </c>
      <c r="G995" s="3">
        <v>18784</v>
      </c>
      <c r="H995" s="7" t="str">
        <f>HYPERLINK("http://www.ensembl.org/Mus_musculus/Gene/Summary?db=core;g=ENSMUSG00000041193","ENSMUSG00000041193")</f>
        <v>ENSMUSG00000041193</v>
      </c>
      <c r="I995" s="7" t="str">
        <f>HYPERLINK("http://www.informatics.jax.org/marker/MGI:101899","MGI:101899")</f>
        <v>MGI:101899</v>
      </c>
      <c r="J995" s="4" t="s">
        <v>12</v>
      </c>
    </row>
    <row r="996" spans="1:10" x14ac:dyDescent="0.25">
      <c r="A996" s="2">
        <v>1063.3215516983801</v>
      </c>
      <c r="B996" s="3">
        <v>0.94466725067985902</v>
      </c>
      <c r="C996" s="5">
        <v>3.2509256718958401E-37</v>
      </c>
      <c r="D996" s="6">
        <v>1.02151931672934E-35</v>
      </c>
      <c r="E996" s="3" t="s">
        <v>1316</v>
      </c>
      <c r="F996" s="3" t="s">
        <v>1317</v>
      </c>
      <c r="G996" s="3">
        <v>21754</v>
      </c>
      <c r="H996" s="7" t="str">
        <f>HYPERLINK("http://www.ensembl.org/Mus_musculus/Gene/Summary?db=core;g=ENSMUSG00000028458","ENSMUSG00000028458")</f>
        <v>ENSMUSG00000028458</v>
      </c>
      <c r="I996" s="7" t="str">
        <f>HYPERLINK("http://www.informatics.jax.org/marker/MGI:1201675","MGI:1201675")</f>
        <v>MGI:1201675</v>
      </c>
      <c r="J996" s="4" t="s">
        <v>12</v>
      </c>
    </row>
    <row r="997" spans="1:10" x14ac:dyDescent="0.25">
      <c r="A997" s="2">
        <v>61.371464223493298</v>
      </c>
      <c r="B997" s="3">
        <v>0.94449514795224798</v>
      </c>
      <c r="C997" s="5">
        <v>8.1973134578987096E-10</v>
      </c>
      <c r="D997" s="6">
        <v>6.4422612233809404E-9</v>
      </c>
      <c r="E997" s="3" t="s">
        <v>7258</v>
      </c>
      <c r="F997" s="3" t="s">
        <v>7259</v>
      </c>
      <c r="G997" s="3">
        <v>15412</v>
      </c>
      <c r="H997" s="7" t="str">
        <f>HYPERLINK("http://www.ensembl.org/Mus_musculus/Gene/Summary?db=core;g=ENSMUSG00000038692","ENSMUSG00000038692")</f>
        <v>ENSMUSG00000038692</v>
      </c>
      <c r="I997" s="7" t="str">
        <f>HYPERLINK("http://www.informatics.jax.org/marker/MGI:96185","MGI:96185")</f>
        <v>MGI:96185</v>
      </c>
      <c r="J997" s="4" t="s">
        <v>12</v>
      </c>
    </row>
    <row r="998" spans="1:10" x14ac:dyDescent="0.25">
      <c r="A998" s="2">
        <v>1014.40417089159</v>
      </c>
      <c r="B998" s="3">
        <v>0.94386808281687196</v>
      </c>
      <c r="C998" s="5">
        <v>2.3501912281598402E-44</v>
      </c>
      <c r="D998" s="6">
        <v>9.5607667708064899E-43</v>
      </c>
      <c r="E998" s="3" t="s">
        <v>772</v>
      </c>
      <c r="F998" s="3" t="s">
        <v>773</v>
      </c>
      <c r="G998" s="3">
        <v>21753</v>
      </c>
      <c r="H998" s="7" t="str">
        <f>HYPERLINK("http://www.ensembl.org/Mus_musculus/Gene/Summary?db=core;g=ENSMUSG00000029552","ENSMUSG00000029552")</f>
        <v>ENSMUSG00000029552</v>
      </c>
      <c r="I998" s="7" t="str">
        <f>HYPERLINK("http://www.informatics.jax.org/marker/MGI:105081","MGI:105081")</f>
        <v>MGI:105081</v>
      </c>
      <c r="J998" s="4" t="s">
        <v>12</v>
      </c>
    </row>
    <row r="999" spans="1:10" x14ac:dyDescent="0.25">
      <c r="A999" s="2">
        <v>92.196854184365804</v>
      </c>
      <c r="B999" s="3">
        <v>0.94355249016798903</v>
      </c>
      <c r="C999" s="5">
        <v>2.5911588484923901E-14</v>
      </c>
      <c r="D999" s="6">
        <v>2.91145931034364E-13</v>
      </c>
      <c r="E999" s="3" t="s">
        <v>9183</v>
      </c>
      <c r="F999" s="3" t="s">
        <v>9184</v>
      </c>
      <c r="G999" s="3">
        <v>110895</v>
      </c>
      <c r="H999" s="7" t="str">
        <f>HYPERLINK("http://www.ensembl.org/Mus_musculus/Gene/Summary?db=core;g=ENSMUSG00000026065","ENSMUSG00000026065")</f>
        <v>ENSMUSG00000026065</v>
      </c>
      <c r="I999" s="7" t="str">
        <f>HYPERLINK("http://www.informatics.jax.org/marker/MGI:105074","MGI:105074")</f>
        <v>MGI:105074</v>
      </c>
      <c r="J999" s="4" t="s">
        <v>12</v>
      </c>
    </row>
    <row r="1000" spans="1:10" x14ac:dyDescent="0.25">
      <c r="A1000" s="2">
        <v>1.9868042457048201</v>
      </c>
      <c r="B1000" s="3">
        <v>0.94343448236535199</v>
      </c>
      <c r="C1000" s="3">
        <v>4.4241924645299101E-2</v>
      </c>
      <c r="D1000" s="4">
        <v>0.10292431410015</v>
      </c>
      <c r="E1000" s="3" t="s">
        <v>10336</v>
      </c>
      <c r="F1000" s="3" t="s">
        <v>10337</v>
      </c>
      <c r="G1000" s="3">
        <v>240047</v>
      </c>
      <c r="H1000" s="7" t="str">
        <f>HYPERLINK("http://www.ensembl.org/Mus_musculus/Gene/Summary?db=core;g=ENSMUSG00000023903","ENSMUSG00000023903")</f>
        <v>ENSMUSG00000023903</v>
      </c>
      <c r="I1000" s="7" t="str">
        <f>HYPERLINK("http://www.informatics.jax.org/marker/MGI:2443938","MGI:2443938")</f>
        <v>MGI:2443938</v>
      </c>
      <c r="J1000" s="4" t="s">
        <v>12</v>
      </c>
    </row>
    <row r="1001" spans="1:10" x14ac:dyDescent="0.25">
      <c r="A1001" s="2">
        <v>665.42066917740897</v>
      </c>
      <c r="B1001" s="3">
        <v>0.94227319247257302</v>
      </c>
      <c r="C1001" s="5">
        <v>1.5321577464487601E-9</v>
      </c>
      <c r="D1001" s="6">
        <v>1.16737353382227E-8</v>
      </c>
      <c r="E1001" s="3" t="s">
        <v>5801</v>
      </c>
      <c r="F1001" s="3" t="s">
        <v>5802</v>
      </c>
      <c r="G1001" s="3">
        <v>102294</v>
      </c>
      <c r="H1001" s="7" t="str">
        <f>HYPERLINK("http://www.ensembl.org/Mus_musculus/Gene/Summary?db=core;g=ENSMUSG00000079057","ENSMUSG00000079057")</f>
        <v>ENSMUSG00000079057</v>
      </c>
      <c r="I1001" s="7" t="str">
        <f>HYPERLINK("http://www.informatics.jax.org/marker/MGI:2142763","MGI:2142763")</f>
        <v>MGI:2142763</v>
      </c>
      <c r="J1001" s="4" t="s">
        <v>12</v>
      </c>
    </row>
    <row r="1002" spans="1:10" x14ac:dyDescent="0.25">
      <c r="A1002" s="2">
        <v>2662.7846887188498</v>
      </c>
      <c r="B1002" s="3">
        <v>0.94160008622973301</v>
      </c>
      <c r="C1002" s="5">
        <v>3.14208784140997E-70</v>
      </c>
      <c r="D1002" s="6">
        <v>2.37612244438576E-68</v>
      </c>
      <c r="E1002" s="3" t="s">
        <v>532</v>
      </c>
      <c r="F1002" s="3" t="s">
        <v>533</v>
      </c>
      <c r="G1002" s="3">
        <v>56336</v>
      </c>
      <c r="H1002" s="7" t="str">
        <f>HYPERLINK("http://www.ensembl.org/Mus_musculus/Gene/Summary?db=core;g=ENSMUSG00000017929","ENSMUSG00000017929")</f>
        <v>ENSMUSG00000017929</v>
      </c>
      <c r="I1002" s="7" t="str">
        <f>HYPERLINK("http://www.informatics.jax.org/marker/MGI:1927169","MGI:1927169")</f>
        <v>MGI:1927169</v>
      </c>
      <c r="J1002" s="4" t="s">
        <v>12</v>
      </c>
    </row>
    <row r="1003" spans="1:10" x14ac:dyDescent="0.25">
      <c r="A1003" s="2">
        <v>1651.6447829645599</v>
      </c>
      <c r="B1003" s="3">
        <v>0.94082839181945399</v>
      </c>
      <c r="C1003" s="5">
        <v>1.23716425130344E-30</v>
      </c>
      <c r="D1003" s="6">
        <v>3.1402950529255E-29</v>
      </c>
      <c r="E1003" s="3" t="s">
        <v>2541</v>
      </c>
      <c r="F1003" s="3" t="s">
        <v>2542</v>
      </c>
      <c r="G1003" s="3">
        <v>11303</v>
      </c>
      <c r="H1003" s="7" t="str">
        <f>HYPERLINK("http://www.ensembl.org/Mus_musculus/Gene/Summary?db=core;g=ENSMUSG00000015243","ENSMUSG00000015243")</f>
        <v>ENSMUSG00000015243</v>
      </c>
      <c r="I1003" s="7" t="str">
        <f>HYPERLINK("http://www.informatics.jax.org/marker/MGI:99607","MGI:99607")</f>
        <v>MGI:99607</v>
      </c>
      <c r="J1003" s="4" t="s">
        <v>12</v>
      </c>
    </row>
    <row r="1004" spans="1:10" x14ac:dyDescent="0.25">
      <c r="A1004" s="2">
        <v>1486.29364444766</v>
      </c>
      <c r="B1004" s="3">
        <v>0.94048694993212001</v>
      </c>
      <c r="C1004" s="3">
        <v>1.3230400929814E-4</v>
      </c>
      <c r="D1004" s="4">
        <v>5.4164862501769899E-4</v>
      </c>
      <c r="E1004" s="3" t="s">
        <v>8353</v>
      </c>
      <c r="F1004" s="3" t="s">
        <v>8354</v>
      </c>
      <c r="G1004" s="3">
        <v>11501</v>
      </c>
      <c r="H1004" s="7" t="str">
        <f>HYPERLINK("http://www.ensembl.org/Mus_musculus/Gene/Summary?db=core;g=ENSMUSG00000025473","ENSMUSG00000025473")</f>
        <v>ENSMUSG00000025473</v>
      </c>
      <c r="I1004" s="7" t="str">
        <f>HYPERLINK("http://www.informatics.jax.org/marker/MGI:107825","MGI:107825")</f>
        <v>MGI:107825</v>
      </c>
      <c r="J1004" s="4" t="s">
        <v>12</v>
      </c>
    </row>
    <row r="1005" spans="1:10" x14ac:dyDescent="0.25">
      <c r="A1005" s="2">
        <v>3.0096818701144699</v>
      </c>
      <c r="B1005" s="3">
        <v>0.93828733846508905</v>
      </c>
      <c r="C1005" s="3">
        <v>4.6748457747678898E-2</v>
      </c>
      <c r="D1005" s="4">
        <v>0.10792888807340401</v>
      </c>
      <c r="E1005" s="3" t="s">
        <v>7618</v>
      </c>
      <c r="F1005" s="3" t="s">
        <v>7619</v>
      </c>
      <c r="G1005" s="3">
        <v>623781</v>
      </c>
      <c r="H1005" s="7" t="str">
        <f>HYPERLINK("http://www.ensembl.org/Mus_musculus/Gene/Summary?db=core;g=ENSMUSG00000055926","ENSMUSG00000055926")</f>
        <v>ENSMUSG00000055926</v>
      </c>
      <c r="I1005" s="7" t="str">
        <f>HYPERLINK("http://www.informatics.jax.org/marker/MGI:3651144","MGI:3651144")</f>
        <v>MGI:3651144</v>
      </c>
      <c r="J1005" s="4" t="s">
        <v>12</v>
      </c>
    </row>
    <row r="1006" spans="1:10" x14ac:dyDescent="0.25">
      <c r="A1006" s="2">
        <v>1289.8703244752401</v>
      </c>
      <c r="B1006" s="3">
        <v>0.93649236466827401</v>
      </c>
      <c r="C1006" s="5">
        <v>1.20120364854802E-17</v>
      </c>
      <c r="D1006" s="6">
        <v>1.6572245643291201E-16</v>
      </c>
      <c r="E1006" s="3" t="s">
        <v>4211</v>
      </c>
      <c r="F1006" s="3" t="s">
        <v>4212</v>
      </c>
      <c r="G1006" s="3">
        <v>14411</v>
      </c>
      <c r="H1006" s="7" t="str">
        <f>HYPERLINK("http://www.ensembl.org/Mus_musculus/Gene/Summary?db=core;g=ENSMUSG00000030109","ENSMUSG00000030109")</f>
        <v>ENSMUSG00000030109</v>
      </c>
      <c r="I1006" s="7" t="str">
        <f>HYPERLINK("http://www.informatics.jax.org/marker/MGI:95628","MGI:95628")</f>
        <v>MGI:95628</v>
      </c>
      <c r="J1006" s="4" t="s">
        <v>12</v>
      </c>
    </row>
    <row r="1007" spans="1:10" x14ac:dyDescent="0.25">
      <c r="A1007" s="2">
        <v>107.318089564961</v>
      </c>
      <c r="B1007" s="3">
        <v>0.93383253114084297</v>
      </c>
      <c r="C1007" s="5">
        <v>7.3825866272411294E-8</v>
      </c>
      <c r="D1007" s="6">
        <v>4.6766646257028E-7</v>
      </c>
      <c r="E1007" s="3" t="s">
        <v>5695</v>
      </c>
      <c r="F1007" s="3" t="s">
        <v>5696</v>
      </c>
      <c r="G1007" s="3">
        <v>16818</v>
      </c>
      <c r="H1007" s="7" t="str">
        <f>HYPERLINK("http://www.ensembl.org/Mus_musculus/Gene/Summary?db=core;g=ENSMUSG00000000409","ENSMUSG00000000409")</f>
        <v>ENSMUSG00000000409</v>
      </c>
      <c r="I1007" s="7" t="str">
        <f>HYPERLINK("http://www.informatics.jax.org/marker/MGI:96756","MGI:96756")</f>
        <v>MGI:96756</v>
      </c>
      <c r="J1007" s="4" t="s">
        <v>12</v>
      </c>
    </row>
    <row r="1008" spans="1:10" x14ac:dyDescent="0.25">
      <c r="A1008" s="2">
        <v>1526.3203210198401</v>
      </c>
      <c r="B1008" s="3">
        <v>0.93357313898330696</v>
      </c>
      <c r="C1008" s="5">
        <v>9.2938589670358504E-17</v>
      </c>
      <c r="D1008" s="6">
        <v>1.22208210443166E-15</v>
      </c>
      <c r="E1008" s="3" t="s">
        <v>2237</v>
      </c>
      <c r="F1008" s="3" t="s">
        <v>2238</v>
      </c>
      <c r="G1008" s="3">
        <v>17454</v>
      </c>
      <c r="H1008" s="7" t="str">
        <f>HYPERLINK("http://www.ensembl.org/Mus_musculus/Gene/Summary?db=core;g=ENSMUSG00000002227","ENSMUSG00000002227")</f>
        <v>ENSMUSG00000002227</v>
      </c>
      <c r="I1008" s="7" t="str">
        <f>HYPERLINK("http://www.informatics.jax.org/marker/MGI:97054","MGI:97054")</f>
        <v>MGI:97054</v>
      </c>
      <c r="J1008" s="4" t="s">
        <v>12</v>
      </c>
    </row>
    <row r="1009" spans="1:10" x14ac:dyDescent="0.25">
      <c r="A1009" s="2">
        <v>1301.2258511761199</v>
      </c>
      <c r="B1009" s="3">
        <v>0.93356392285478096</v>
      </c>
      <c r="C1009" s="5">
        <v>1.00097699999304E-17</v>
      </c>
      <c r="D1009" s="6">
        <v>1.3893987680786899E-16</v>
      </c>
      <c r="E1009" s="3" t="s">
        <v>5139</v>
      </c>
      <c r="F1009" s="3" t="s">
        <v>5140</v>
      </c>
      <c r="G1009" s="3">
        <v>217944</v>
      </c>
      <c r="H1009" s="7" t="str">
        <f>HYPERLINK("http://www.ensembl.org/Mus_musculus/Gene/Summary?db=core;g=ENSMUSG00000041992","ENSMUSG00000041992")</f>
        <v>ENSMUSG00000041992</v>
      </c>
      <c r="I1009" s="7" t="str">
        <f>HYPERLINK("http://www.informatics.jax.org/marker/MGI:2444365","MGI:2444365")</f>
        <v>MGI:2444365</v>
      </c>
      <c r="J1009" s="4" t="s">
        <v>12</v>
      </c>
    </row>
    <row r="1010" spans="1:10" x14ac:dyDescent="0.25">
      <c r="A1010" s="2">
        <v>5.9294400666975502</v>
      </c>
      <c r="B1010" s="3">
        <v>0.93263293074123899</v>
      </c>
      <c r="C1010" s="3">
        <v>1.9293578293149101E-2</v>
      </c>
      <c r="D1010" s="4">
        <v>5.0039200852802397E-2</v>
      </c>
      <c r="E1010" s="3" t="s">
        <v>10617</v>
      </c>
      <c r="F1010" s="3" t="s">
        <v>8624</v>
      </c>
      <c r="G1010" s="3" t="s">
        <v>83</v>
      </c>
      <c r="H1010" s="7" t="str">
        <f>HYPERLINK("http://www.ensembl.org/Mus_musculus/Gene/Summary?db=core;g=ENSMUSG00000115115","ENSMUSG00000115115")</f>
        <v>ENSMUSG00000115115</v>
      </c>
      <c r="I1010" s="3" t="s">
        <v>83</v>
      </c>
      <c r="J1010" s="4" t="s">
        <v>12</v>
      </c>
    </row>
    <row r="1011" spans="1:10" x14ac:dyDescent="0.25">
      <c r="A1011" s="2">
        <v>2370.28245893134</v>
      </c>
      <c r="B1011" s="3">
        <v>0.931918523222659</v>
      </c>
      <c r="C1011" s="5">
        <v>5.31842668537827E-27</v>
      </c>
      <c r="D1011" s="6">
        <v>1.15528398499427E-25</v>
      </c>
      <c r="E1011" s="3" t="s">
        <v>1700</v>
      </c>
      <c r="F1011" s="3" t="s">
        <v>1701</v>
      </c>
      <c r="G1011" s="3">
        <v>11658</v>
      </c>
      <c r="H1011" s="7" t="str">
        <f>HYPERLINK("http://www.ensembl.org/Mus_musculus/Gene/Summary?db=core;g=ENSMUSG00000022636","ENSMUSG00000022636")</f>
        <v>ENSMUSG00000022636</v>
      </c>
      <c r="I1011" s="7" t="str">
        <f>HYPERLINK("http://www.informatics.jax.org/marker/MGI:1313266","MGI:1313266")</f>
        <v>MGI:1313266</v>
      </c>
      <c r="J1011" s="4" t="s">
        <v>12</v>
      </c>
    </row>
    <row r="1012" spans="1:10" x14ac:dyDescent="0.25">
      <c r="A1012" s="2">
        <v>10.543199164238599</v>
      </c>
      <c r="B1012" s="3">
        <v>0.93099995206674901</v>
      </c>
      <c r="C1012" s="3">
        <v>5.0796094019975799E-3</v>
      </c>
      <c r="D1012" s="4">
        <v>1.5256407605703E-2</v>
      </c>
      <c r="E1012" s="3" t="s">
        <v>10260</v>
      </c>
      <c r="F1012" s="3" t="s">
        <v>10261</v>
      </c>
      <c r="G1012" s="3">
        <v>320181</v>
      </c>
      <c r="H1012" s="7" t="str">
        <f>HYPERLINK("http://www.ensembl.org/Mus_musculus/Gene/Summary?db=core;g=ENSMUSG00000045326","ENSMUSG00000045326")</f>
        <v>ENSMUSG00000045326</v>
      </c>
      <c r="I1012" s="7" t="str">
        <f>HYPERLINK("http://www.informatics.jax.org/marker/MGI:2443535","MGI:2443535")</f>
        <v>MGI:2443535</v>
      </c>
      <c r="J1012" s="4" t="s">
        <v>12</v>
      </c>
    </row>
    <row r="1013" spans="1:10" x14ac:dyDescent="0.25">
      <c r="A1013" s="2">
        <v>157.07211109697599</v>
      </c>
      <c r="B1013" s="3">
        <v>0.92985568471829605</v>
      </c>
      <c r="C1013" s="5">
        <v>2.41143213005831E-13</v>
      </c>
      <c r="D1013" s="6">
        <v>2.5581112089821101E-12</v>
      </c>
      <c r="E1013" s="3" t="s">
        <v>3896</v>
      </c>
      <c r="F1013" s="3" t="s">
        <v>3897</v>
      </c>
      <c r="G1013" s="3">
        <v>225372</v>
      </c>
      <c r="H1013" s="7" t="str">
        <f>HYPERLINK("http://www.ensembl.org/Mus_musculus/Gene/Summary?db=core;g=ENSMUSG00000117679","ENSMUSG00000117679")</f>
        <v>ENSMUSG00000117679</v>
      </c>
      <c r="I1013" s="7" t="str">
        <f>HYPERLINK("http://www.informatics.jax.org/marker/MGI:108404","MGI:108404")</f>
        <v>MGI:108404</v>
      </c>
      <c r="J1013" s="4" t="s">
        <v>12</v>
      </c>
    </row>
    <row r="1014" spans="1:10" x14ac:dyDescent="0.25">
      <c r="A1014" s="2">
        <v>5.3980842741570498</v>
      </c>
      <c r="B1014" s="3">
        <v>0.927669172649083</v>
      </c>
      <c r="C1014" s="3">
        <v>1.86440563678535E-2</v>
      </c>
      <c r="D1014" s="4">
        <v>4.8575829493084997E-2</v>
      </c>
      <c r="E1014" s="3" t="s">
        <v>13499</v>
      </c>
      <c r="F1014" s="3" t="s">
        <v>13500</v>
      </c>
      <c r="G1014" s="3" t="s">
        <v>83</v>
      </c>
      <c r="H1014" s="7" t="str">
        <f>HYPERLINK("http://www.ensembl.org/Mus_musculus/Gene/Summary?db=core;g=ENSMUSG00000111720","ENSMUSG00000111720")</f>
        <v>ENSMUSG00000111720</v>
      </c>
      <c r="I1014" s="7" t="str">
        <f>HYPERLINK("http://www.informatics.jax.org/marker/MGI:5622344","MGI:5622344")</f>
        <v>MGI:5622344</v>
      </c>
      <c r="J1014" s="4" t="s">
        <v>939</v>
      </c>
    </row>
    <row r="1015" spans="1:10" x14ac:dyDescent="0.25">
      <c r="A1015" s="2">
        <v>2.33855253207502</v>
      </c>
      <c r="B1015" s="3">
        <v>0.925419886231865</v>
      </c>
      <c r="C1015" s="3">
        <v>4.9049518661148102E-2</v>
      </c>
      <c r="D1015" s="4">
        <v>0.112500311804609</v>
      </c>
      <c r="E1015" s="3" t="s">
        <v>9335</v>
      </c>
      <c r="F1015" s="3" t="s">
        <v>9336</v>
      </c>
      <c r="G1015" s="3">
        <v>16196</v>
      </c>
      <c r="H1015" s="7" t="str">
        <f>HYPERLINK("http://www.ensembl.org/Mus_musculus/Gene/Summary?db=core;g=ENSMUSG00000040329","ENSMUSG00000040329")</f>
        <v>ENSMUSG00000040329</v>
      </c>
      <c r="I1015" s="7" t="str">
        <f>HYPERLINK("http://www.informatics.jax.org/marker/MGI:96561","MGI:96561")</f>
        <v>MGI:96561</v>
      </c>
      <c r="J1015" s="4" t="s">
        <v>12</v>
      </c>
    </row>
    <row r="1016" spans="1:10" x14ac:dyDescent="0.25">
      <c r="A1016" s="2">
        <v>239.97770803347001</v>
      </c>
      <c r="B1016" s="3">
        <v>0.92428809238055298</v>
      </c>
      <c r="C1016" s="5">
        <v>5.30391199240965E-18</v>
      </c>
      <c r="D1016" s="6">
        <v>7.4933175241601495E-17</v>
      </c>
      <c r="E1016" s="3" t="s">
        <v>3872</v>
      </c>
      <c r="F1016" s="3" t="s">
        <v>3873</v>
      </c>
      <c r="G1016" s="3">
        <v>79560</v>
      </c>
      <c r="H1016" s="7" t="str">
        <f>HYPERLINK("http://www.ensembl.org/Mus_musculus/Gene/Summary?db=core;g=ENSMUSG00000041231","ENSMUSG00000041231")</f>
        <v>ENSMUSG00000041231</v>
      </c>
      <c r="I1016" s="7" t="str">
        <f>HYPERLINK("http://www.informatics.jax.org/marker/MGI:1933105","MGI:1933105")</f>
        <v>MGI:1933105</v>
      </c>
      <c r="J1016" s="4" t="s">
        <v>12</v>
      </c>
    </row>
    <row r="1017" spans="1:10" x14ac:dyDescent="0.25">
      <c r="A1017" s="2">
        <v>1724.2370862922701</v>
      </c>
      <c r="B1017" s="3">
        <v>0.92211550511976603</v>
      </c>
      <c r="C1017" s="5">
        <v>7.7490707096836995E-29</v>
      </c>
      <c r="D1017" s="6">
        <v>1.8199331660307402E-27</v>
      </c>
      <c r="E1017" s="3" t="s">
        <v>1843</v>
      </c>
      <c r="F1017" s="3" t="s">
        <v>1844</v>
      </c>
      <c r="G1017" s="3">
        <v>14782</v>
      </c>
      <c r="H1017" s="7" t="str">
        <f>HYPERLINK("http://www.ensembl.org/Mus_musculus/Gene/Summary?db=core;g=ENSMUSG00000031584","ENSMUSG00000031584")</f>
        <v>ENSMUSG00000031584</v>
      </c>
      <c r="I1017" s="7" t="str">
        <f>HYPERLINK("http://www.informatics.jax.org/marker/MGI:95804","MGI:95804")</f>
        <v>MGI:95804</v>
      </c>
      <c r="J1017" s="4" t="s">
        <v>12</v>
      </c>
    </row>
    <row r="1018" spans="1:10" x14ac:dyDescent="0.25">
      <c r="A1018" s="2">
        <v>345.84974774983101</v>
      </c>
      <c r="B1018" s="3">
        <v>0.92201523317434197</v>
      </c>
      <c r="C1018" s="5">
        <v>2.3972482126718099E-11</v>
      </c>
      <c r="D1018" s="6">
        <v>2.1607244646856399E-10</v>
      </c>
      <c r="E1018" s="3" t="s">
        <v>3244</v>
      </c>
      <c r="F1018" s="3" t="s">
        <v>3245</v>
      </c>
      <c r="G1018" s="3">
        <v>239122</v>
      </c>
      <c r="H1018" s="7" t="str">
        <f>HYPERLINK("http://www.ensembl.org/Mus_musculus/Gene/Summary?db=core;g=ENSMUSG00000071350","ENSMUSG00000071350")</f>
        <v>ENSMUSG00000071350</v>
      </c>
      <c r="I1018" s="7" t="str">
        <f>HYPERLINK("http://www.informatics.jax.org/marker/MGI:2685139","MGI:2685139")</f>
        <v>MGI:2685139</v>
      </c>
      <c r="J1018" s="4" t="s">
        <v>12</v>
      </c>
    </row>
    <row r="1019" spans="1:10" x14ac:dyDescent="0.25">
      <c r="A1019" s="2">
        <v>64.358554632953002</v>
      </c>
      <c r="B1019" s="3">
        <v>0.921834935238938</v>
      </c>
      <c r="C1019" s="3">
        <v>6.78420685797789E-4</v>
      </c>
      <c r="D1019" s="4">
        <v>2.46291669032884E-3</v>
      </c>
      <c r="E1019" s="3" t="s">
        <v>9949</v>
      </c>
      <c r="F1019" s="3" t="s">
        <v>9950</v>
      </c>
      <c r="G1019" s="3" t="s">
        <v>83</v>
      </c>
      <c r="H1019" s="7" t="str">
        <f>HYPERLINK("http://www.ensembl.org/Mus_musculus/Gene/Summary?db=core;g=ENSMUSG00000098974","ENSMUSG00000098974")</f>
        <v>ENSMUSG00000098974</v>
      </c>
      <c r="I1019" s="7" t="str">
        <f>HYPERLINK("http://www.informatics.jax.org/marker/MGI:5530887","MGI:5530887")</f>
        <v>MGI:5530887</v>
      </c>
      <c r="J1019" s="4" t="s">
        <v>9951</v>
      </c>
    </row>
    <row r="1020" spans="1:10" x14ac:dyDescent="0.25">
      <c r="A1020" s="2">
        <v>3389.8455793357102</v>
      </c>
      <c r="B1020" s="3">
        <v>0.92017041669461297</v>
      </c>
      <c r="C1020" s="5">
        <v>2.81842145669617E-30</v>
      </c>
      <c r="D1020" s="6">
        <v>7.0557322868527104E-29</v>
      </c>
      <c r="E1020" s="3" t="s">
        <v>1808</v>
      </c>
      <c r="F1020" s="3" t="s">
        <v>1809</v>
      </c>
      <c r="G1020" s="3">
        <v>99237</v>
      </c>
      <c r="H1020" s="7" t="str">
        <f>HYPERLINK("http://www.ensembl.org/Mus_musculus/Gene/Summary?db=core;g=ENSMUSG00000068040","ENSMUSG00000068040")</f>
        <v>ENSMUSG00000068040</v>
      </c>
      <c r="I1020" s="7" t="str">
        <f>HYPERLINK("http://www.informatics.jax.org/marker/MGI:2139220","MGI:2139220")</f>
        <v>MGI:2139220</v>
      </c>
      <c r="J1020" s="4" t="s">
        <v>12</v>
      </c>
    </row>
    <row r="1021" spans="1:10" x14ac:dyDescent="0.25">
      <c r="A1021" s="2">
        <v>2408.0697250201601</v>
      </c>
      <c r="B1021" s="3">
        <v>0.91979359806928296</v>
      </c>
      <c r="C1021" s="5">
        <v>1.7315514352649501E-42</v>
      </c>
      <c r="D1021" s="6">
        <v>6.5744843557716003E-41</v>
      </c>
      <c r="E1021" s="3" t="s">
        <v>524</v>
      </c>
      <c r="F1021" s="3" t="s">
        <v>525</v>
      </c>
      <c r="G1021" s="3">
        <v>22682</v>
      </c>
      <c r="H1021" s="7" t="str">
        <f>HYPERLINK("http://www.ensembl.org/Mus_musculus/Gene/Summary?db=core;g=ENSMUSG00000024750","ENSMUSG00000024750")</f>
        <v>ENSMUSG00000024750</v>
      </c>
      <c r="I1021" s="7" t="str">
        <f>HYPERLINK("http://www.informatics.jax.org/marker/MGI:1278334","MGI:1278334")</f>
        <v>MGI:1278334</v>
      </c>
      <c r="J1021" s="4" t="s">
        <v>12</v>
      </c>
    </row>
    <row r="1022" spans="1:10" x14ac:dyDescent="0.25">
      <c r="A1022" s="2">
        <v>635.61982143759894</v>
      </c>
      <c r="B1022" s="3">
        <v>0.91823189374172798</v>
      </c>
      <c r="C1022" s="5">
        <v>6.3216789884771703E-40</v>
      </c>
      <c r="D1022" s="6">
        <v>2.1945257059999299E-38</v>
      </c>
      <c r="E1022" s="3" t="s">
        <v>2553</v>
      </c>
      <c r="F1022" s="3" t="s">
        <v>2554</v>
      </c>
      <c r="G1022" s="3">
        <v>13496</v>
      </c>
      <c r="H1022" s="7" t="str">
        <f>HYPERLINK("http://www.ensembl.org/Mus_musculus/Gene/Summary?db=core;g=ENSMUSG00000019564","ENSMUSG00000019564")</f>
        <v>ENSMUSG00000019564</v>
      </c>
      <c r="I1022" s="7" t="str">
        <f>HYPERLINK("http://www.informatics.jax.org/marker/MGI:1328360","MGI:1328360")</f>
        <v>MGI:1328360</v>
      </c>
      <c r="J1022" s="4" t="s">
        <v>12</v>
      </c>
    </row>
    <row r="1023" spans="1:10" x14ac:dyDescent="0.25">
      <c r="A1023" s="2">
        <v>2092.73284284891</v>
      </c>
      <c r="B1023" s="3">
        <v>0.91735654986927395</v>
      </c>
      <c r="C1023" s="5">
        <v>2.0403479738801401E-26</v>
      </c>
      <c r="D1023" s="6">
        <v>4.3491627864287198E-25</v>
      </c>
      <c r="E1023" s="3" t="s">
        <v>1927</v>
      </c>
      <c r="F1023" s="3" t="s">
        <v>1928</v>
      </c>
      <c r="G1023" s="3">
        <v>104831</v>
      </c>
      <c r="H1023" s="7" t="str">
        <f>HYPERLINK("http://www.ensembl.org/Mus_musculus/Gene/Summary?db=core;g=ENSMUSG00000036057","ENSMUSG00000036057")</f>
        <v>ENSMUSG00000036057</v>
      </c>
      <c r="I1023" s="7" t="str">
        <f>HYPERLINK("http://www.informatics.jax.org/marker/MGI:2144837","MGI:2144837")</f>
        <v>MGI:2144837</v>
      </c>
      <c r="J1023" s="4" t="s">
        <v>12</v>
      </c>
    </row>
    <row r="1024" spans="1:10" x14ac:dyDescent="0.25">
      <c r="A1024" s="2">
        <v>491.96351346598698</v>
      </c>
      <c r="B1024" s="3">
        <v>0.91709399719095896</v>
      </c>
      <c r="C1024" s="5">
        <v>8.4913924391262793E-31</v>
      </c>
      <c r="D1024" s="6">
        <v>2.16744575914673E-29</v>
      </c>
      <c r="E1024" s="3" t="s">
        <v>2677</v>
      </c>
      <c r="F1024" s="3" t="s">
        <v>2678</v>
      </c>
      <c r="G1024" s="3">
        <v>217882</v>
      </c>
      <c r="H1024" s="7" t="str">
        <f>HYPERLINK("http://www.ensembl.org/Mus_musculus/Gene/Summary?db=core;g=ENSMUSG00000072825","ENSMUSG00000072825")</f>
        <v>ENSMUSG00000072825</v>
      </c>
      <c r="I1024" s="7" t="str">
        <f>HYPERLINK("http://www.informatics.jax.org/marker/MGI:2145043","MGI:2145043")</f>
        <v>MGI:2145043</v>
      </c>
      <c r="J1024" s="4" t="s">
        <v>12</v>
      </c>
    </row>
    <row r="1025" spans="1:10" x14ac:dyDescent="0.25">
      <c r="A1025" s="2">
        <v>595.75345137542001</v>
      </c>
      <c r="B1025" s="3">
        <v>0.91585147804371003</v>
      </c>
      <c r="C1025" s="5">
        <v>3.39665765937248E-21</v>
      </c>
      <c r="D1025" s="6">
        <v>5.6430342608991301E-20</v>
      </c>
      <c r="E1025" s="3" t="s">
        <v>2567</v>
      </c>
      <c r="F1025" s="3" t="s">
        <v>2568</v>
      </c>
      <c r="G1025" s="3">
        <v>81703</v>
      </c>
      <c r="H1025" s="7" t="str">
        <f>HYPERLINK("http://www.ensembl.org/Mus_musculus/Gene/Summary?db=core;g=ENSMUSG00000034271","ENSMUSG00000034271")</f>
        <v>ENSMUSG00000034271</v>
      </c>
      <c r="I1025" s="7" t="str">
        <f>HYPERLINK("http://www.informatics.jax.org/marker/MGI:1932093","MGI:1932093")</f>
        <v>MGI:1932093</v>
      </c>
      <c r="J1025" s="4" t="s">
        <v>12</v>
      </c>
    </row>
    <row r="1026" spans="1:10" x14ac:dyDescent="0.25">
      <c r="A1026" s="2">
        <v>693.55163448634005</v>
      </c>
      <c r="B1026" s="3">
        <v>0.91555463323403996</v>
      </c>
      <c r="C1026" s="5">
        <v>9.44619026183315E-29</v>
      </c>
      <c r="D1026" s="6">
        <v>2.2043126443266202E-27</v>
      </c>
      <c r="E1026" s="3" t="s">
        <v>2289</v>
      </c>
      <c r="F1026" s="3" t="s">
        <v>2290</v>
      </c>
      <c r="G1026" s="3">
        <v>54004</v>
      </c>
      <c r="H1026" s="7" t="str">
        <f>HYPERLINK("http://www.ensembl.org/Mus_musculus/Gene/Summary?db=core;g=ENSMUSG00000034480","ENSMUSG00000034480")</f>
        <v>ENSMUSG00000034480</v>
      </c>
      <c r="I1026" s="7" t="str">
        <f>HYPERLINK("http://www.informatics.jax.org/marker/MGI:1858500","MGI:1858500")</f>
        <v>MGI:1858500</v>
      </c>
      <c r="J1026" s="4" t="s">
        <v>12</v>
      </c>
    </row>
    <row r="1027" spans="1:10" x14ac:dyDescent="0.25">
      <c r="A1027" s="2">
        <v>311.02312493107502</v>
      </c>
      <c r="B1027" s="3">
        <v>0.915369069558156</v>
      </c>
      <c r="C1027" s="5">
        <v>4.7838523503705503E-19</v>
      </c>
      <c r="D1027" s="6">
        <v>7.1463695971724004E-18</v>
      </c>
      <c r="E1027" s="3" t="s">
        <v>4081</v>
      </c>
      <c r="F1027" s="3" t="s">
        <v>4082</v>
      </c>
      <c r="G1027" s="3">
        <v>15273</v>
      </c>
      <c r="H1027" s="7" t="str">
        <f>HYPERLINK("http://www.ensembl.org/Mus_musculus/Gene/Summary?db=core;g=ENSMUSG00000015501","ENSMUSG00000015501")</f>
        <v>ENSMUSG00000015501</v>
      </c>
      <c r="I1027" s="7" t="str">
        <f>HYPERLINK("http://www.informatics.jax.org/marker/MGI:1338076","MGI:1338076")</f>
        <v>MGI:1338076</v>
      </c>
      <c r="J1027" s="4" t="s">
        <v>12</v>
      </c>
    </row>
    <row r="1028" spans="1:10" x14ac:dyDescent="0.25">
      <c r="A1028" s="2">
        <v>1.58449776191728</v>
      </c>
      <c r="B1028" s="3">
        <v>0.91530050845656896</v>
      </c>
      <c r="C1028" s="3">
        <v>4.1034594238720599E-2</v>
      </c>
      <c r="D1028" s="4">
        <v>9.6534849619295607E-2</v>
      </c>
      <c r="E1028" s="3" t="s">
        <v>11845</v>
      </c>
      <c r="F1028" s="3" t="s">
        <v>11846</v>
      </c>
      <c r="G1028" s="3">
        <v>75886</v>
      </c>
      <c r="H1028" s="7" t="str">
        <f>HYPERLINK("http://www.ensembl.org/Mus_musculus/Gene/Summary?db=core;g=ENSMUSG00000009093","ENSMUSG00000009093")</f>
        <v>ENSMUSG00000009093</v>
      </c>
      <c r="I1028" s="7" t="str">
        <f>HYPERLINK("http://www.informatics.jax.org/marker/MGI:1923136","MGI:1923136")</f>
        <v>MGI:1923136</v>
      </c>
      <c r="J1028" s="4" t="s">
        <v>12</v>
      </c>
    </row>
    <row r="1029" spans="1:10" x14ac:dyDescent="0.25">
      <c r="A1029" s="2">
        <v>257.12057193211098</v>
      </c>
      <c r="B1029" s="3">
        <v>0.91318763536727199</v>
      </c>
      <c r="C1029" s="5">
        <v>5.7103946365053904E-16</v>
      </c>
      <c r="D1029" s="6">
        <v>7.1527108075815001E-15</v>
      </c>
      <c r="E1029" s="3" t="s">
        <v>3246</v>
      </c>
      <c r="F1029" s="3" t="s">
        <v>3247</v>
      </c>
      <c r="G1029" s="3">
        <v>93691</v>
      </c>
      <c r="H1029" s="7" t="str">
        <f>HYPERLINK("http://www.ensembl.org/Mus_musculus/Gene/Summary?db=core;g=ENSMUSG00000025959","ENSMUSG00000025959")</f>
        <v>ENSMUSG00000025959</v>
      </c>
      <c r="I1029" s="7" t="str">
        <f>HYPERLINK("http://www.informatics.jax.org/marker/MGI:1935151","MGI:1935151")</f>
        <v>MGI:1935151</v>
      </c>
      <c r="J1029" s="4" t="s">
        <v>12</v>
      </c>
    </row>
    <row r="1030" spans="1:10" x14ac:dyDescent="0.25">
      <c r="A1030" s="2">
        <v>1162.75498465443</v>
      </c>
      <c r="B1030" s="3">
        <v>0.910504422809855</v>
      </c>
      <c r="C1030" s="5">
        <v>2.3789775267004299E-24</v>
      </c>
      <c r="D1030" s="6">
        <v>4.5928882864528899E-23</v>
      </c>
      <c r="E1030" s="3" t="s">
        <v>1372</v>
      </c>
      <c r="F1030" s="3" t="s">
        <v>1373</v>
      </c>
      <c r="G1030" s="3">
        <v>54720</v>
      </c>
      <c r="H1030" s="7" t="str">
        <f>HYPERLINK("http://www.ensembl.org/Mus_musculus/Gene/Summary?db=core;g=ENSMUSG00000022951","ENSMUSG00000022951")</f>
        <v>ENSMUSG00000022951</v>
      </c>
      <c r="I1030" s="7" t="str">
        <f>HYPERLINK("http://www.informatics.jax.org/marker/MGI:1890564","MGI:1890564")</f>
        <v>MGI:1890564</v>
      </c>
      <c r="J1030" s="4" t="s">
        <v>12</v>
      </c>
    </row>
    <row r="1031" spans="1:10" x14ac:dyDescent="0.25">
      <c r="A1031" s="2">
        <v>5380.5228065342999</v>
      </c>
      <c r="B1031" s="3">
        <v>0.91036565443651296</v>
      </c>
      <c r="C1031" s="5">
        <v>8.3910480660841504E-48</v>
      </c>
      <c r="D1031" s="6">
        <v>3.8520617381456803E-46</v>
      </c>
      <c r="E1031" s="3" t="s">
        <v>800</v>
      </c>
      <c r="F1031" s="3" t="s">
        <v>801</v>
      </c>
      <c r="G1031" s="3">
        <v>17113</v>
      </c>
      <c r="H1031" s="7" t="str">
        <f>HYPERLINK("http://www.ensembl.org/Mus_musculus/Gene/Summary?db=core;g=ENSMUSG00000007458","ENSMUSG00000007458")</f>
        <v>ENSMUSG00000007458</v>
      </c>
      <c r="I1031" s="7" t="str">
        <f>HYPERLINK("http://www.informatics.jax.org/marker/MGI:96904","MGI:96904")</f>
        <v>MGI:96904</v>
      </c>
      <c r="J1031" s="4" t="s">
        <v>12</v>
      </c>
    </row>
    <row r="1032" spans="1:10" x14ac:dyDescent="0.25">
      <c r="A1032" s="2">
        <v>190.95582601230399</v>
      </c>
      <c r="B1032" s="3">
        <v>0.91015337236482396</v>
      </c>
      <c r="C1032" s="5">
        <v>3.5203182749227601E-13</v>
      </c>
      <c r="D1032" s="6">
        <v>3.69147298967016E-12</v>
      </c>
      <c r="E1032" s="3" t="s">
        <v>5185</v>
      </c>
      <c r="F1032" s="3" t="s">
        <v>5186</v>
      </c>
      <c r="G1032" s="3">
        <v>21950</v>
      </c>
      <c r="H1032" s="7" t="str">
        <f>HYPERLINK("http://www.ensembl.org/Mus_musculus/Gene/Summary?db=core;g=ENSMUSG00000035678","ENSMUSG00000035678")</f>
        <v>ENSMUSG00000035678</v>
      </c>
      <c r="I1032" s="7" t="str">
        <f>HYPERLINK("http://www.informatics.jax.org/marker/MGI:1101058","MGI:1101058")</f>
        <v>MGI:1101058</v>
      </c>
      <c r="J1032" s="4" t="s">
        <v>12</v>
      </c>
    </row>
    <row r="1033" spans="1:10" x14ac:dyDescent="0.25">
      <c r="A1033" s="2">
        <v>75.461307590187502</v>
      </c>
      <c r="B1033" s="3">
        <v>0.90959154782072904</v>
      </c>
      <c r="C1033" s="5">
        <v>5.9190443517655098E-5</v>
      </c>
      <c r="D1033" s="4">
        <v>2.5672199740820199E-4</v>
      </c>
      <c r="E1033" s="3" t="s">
        <v>8165</v>
      </c>
      <c r="F1033" s="3" t="s">
        <v>8166</v>
      </c>
      <c r="G1033" s="3">
        <v>319924</v>
      </c>
      <c r="H1033" s="7" t="str">
        <f>HYPERLINK("http://www.ensembl.org/Mus_musculus/Gene/Summary?db=core;g=ENSMUSG00000024897","ENSMUSG00000024897")</f>
        <v>ENSMUSG00000024897</v>
      </c>
      <c r="I1033" s="7" t="str">
        <f>HYPERLINK("http://www.informatics.jax.org/marker/MGI:1860297","MGI:1860297")</f>
        <v>MGI:1860297</v>
      </c>
      <c r="J1033" s="4" t="s">
        <v>12</v>
      </c>
    </row>
    <row r="1034" spans="1:10" x14ac:dyDescent="0.25">
      <c r="A1034" s="2">
        <v>280.27142507025297</v>
      </c>
      <c r="B1034" s="3">
        <v>0.90864657976241203</v>
      </c>
      <c r="C1034" s="3">
        <v>2.6312721634428201E-3</v>
      </c>
      <c r="D1034" s="4">
        <v>8.4672731162534608E-3</v>
      </c>
      <c r="E1034" s="3" t="s">
        <v>13113</v>
      </c>
      <c r="F1034" s="3" t="s">
        <v>13114</v>
      </c>
      <c r="G1034" s="3">
        <v>219140</v>
      </c>
      <c r="H1034" s="7" t="str">
        <f>HYPERLINK("http://www.ensembl.org/Mus_musculus/Gene/Summary?db=core;g=ENSMUSG00000021990","ENSMUSG00000021990")</f>
        <v>ENSMUSG00000021990</v>
      </c>
      <c r="I1034" s="7" t="str">
        <f>HYPERLINK("http://www.informatics.jax.org/marker/MGI:104838","MGI:104838")</f>
        <v>MGI:104838</v>
      </c>
      <c r="J1034" s="4" t="s">
        <v>12</v>
      </c>
    </row>
    <row r="1035" spans="1:10" x14ac:dyDescent="0.25">
      <c r="A1035" s="2">
        <v>11495.6003546217</v>
      </c>
      <c r="B1035" s="3">
        <v>0.90859144562666405</v>
      </c>
      <c r="C1035" s="5">
        <v>2.8617398540772399E-68</v>
      </c>
      <c r="D1035" s="6">
        <v>2.0696511444665701E-66</v>
      </c>
      <c r="E1035" s="3" t="s">
        <v>486</v>
      </c>
      <c r="F1035" s="3" t="s">
        <v>487</v>
      </c>
      <c r="G1035" s="3">
        <v>29875</v>
      </c>
      <c r="H1035" s="7" t="str">
        <f>HYPERLINK("http://www.ensembl.org/Mus_musculus/Gene/Summary?db=core;g=ENSMUSG00000030536","ENSMUSG00000030536")</f>
        <v>ENSMUSG00000030536</v>
      </c>
      <c r="I1035" s="7" t="str">
        <f>HYPERLINK("http://www.informatics.jax.org/marker/MGI:1352757","MGI:1352757")</f>
        <v>MGI:1352757</v>
      </c>
      <c r="J1035" s="4" t="s">
        <v>12</v>
      </c>
    </row>
    <row r="1036" spans="1:10" x14ac:dyDescent="0.25">
      <c r="A1036" s="2">
        <v>2.51888257252457</v>
      </c>
      <c r="B1036" s="3">
        <v>0.90787770893300401</v>
      </c>
      <c r="C1036" s="3">
        <v>5.3803181913399299E-2</v>
      </c>
      <c r="D1036" s="4">
        <v>0.121431949272037</v>
      </c>
      <c r="E1036" s="3" t="s">
        <v>10382</v>
      </c>
      <c r="F1036" s="3" t="s">
        <v>10383</v>
      </c>
      <c r="G1036" s="3" t="s">
        <v>83</v>
      </c>
      <c r="H1036" s="7" t="str">
        <f>HYPERLINK("http://www.ensembl.org/Mus_musculus/Gene/Summary?db=core;g=ENSMUSG00000082088","ENSMUSG00000082088")</f>
        <v>ENSMUSG00000082088</v>
      </c>
      <c r="I1036" s="7" t="str">
        <f>HYPERLINK("http://www.informatics.jax.org/marker/MGI:3783195","MGI:3783195")</f>
        <v>MGI:3783195</v>
      </c>
      <c r="J1036" s="4" t="s">
        <v>2683</v>
      </c>
    </row>
    <row r="1037" spans="1:10" x14ac:dyDescent="0.25">
      <c r="A1037" s="2">
        <v>450.61938898508402</v>
      </c>
      <c r="B1037" s="3">
        <v>0.906943364393059</v>
      </c>
      <c r="C1037" s="5">
        <v>5.9651670025519306E-17</v>
      </c>
      <c r="D1037" s="6">
        <v>7.9123121267473803E-16</v>
      </c>
      <c r="E1037" s="3" t="s">
        <v>2984</v>
      </c>
      <c r="F1037" s="3" t="s">
        <v>2985</v>
      </c>
      <c r="G1037" s="3">
        <v>22393</v>
      </c>
      <c r="H1037" s="7" t="str">
        <f>HYPERLINK("http://www.ensembl.org/Mus_musculus/Gene/Summary?db=core;g=ENSMUSG00000039474","ENSMUSG00000039474")</f>
        <v>ENSMUSG00000039474</v>
      </c>
      <c r="I1037" s="7" t="str">
        <f>HYPERLINK("http://www.informatics.jax.org/marker/MGI:1328355","MGI:1328355")</f>
        <v>MGI:1328355</v>
      </c>
      <c r="J1037" s="4" t="s">
        <v>12</v>
      </c>
    </row>
    <row r="1038" spans="1:10" x14ac:dyDescent="0.25">
      <c r="A1038" s="2">
        <v>8.2439523703342807</v>
      </c>
      <c r="B1038" s="3">
        <v>0.90619475750939704</v>
      </c>
      <c r="C1038" s="3">
        <v>1.01656454264041E-2</v>
      </c>
      <c r="D1038" s="4">
        <v>2.8437281334798802E-2</v>
      </c>
      <c r="E1038" s="3" t="s">
        <v>12875</v>
      </c>
      <c r="F1038" s="3" t="s">
        <v>12876</v>
      </c>
      <c r="G1038" s="3" t="s">
        <v>83</v>
      </c>
      <c r="H1038" s="7" t="str">
        <f>HYPERLINK("http://www.ensembl.org/Mus_musculus/Gene/Summary?db=core;g=ENSMUSG00000106028","ENSMUSG00000106028")</f>
        <v>ENSMUSG00000106028</v>
      </c>
      <c r="I1038" s="7" t="str">
        <f>HYPERLINK("http://www.informatics.jax.org/marker/MGI:3779800","MGI:3779800")</f>
        <v>MGI:3779800</v>
      </c>
      <c r="J1038" s="4" t="s">
        <v>2683</v>
      </c>
    </row>
    <row r="1039" spans="1:10" x14ac:dyDescent="0.25">
      <c r="A1039" s="2">
        <v>2950.51908174453</v>
      </c>
      <c r="B1039" s="3">
        <v>0.90357234175280099</v>
      </c>
      <c r="C1039" s="5">
        <v>3.9318999151425698E-42</v>
      </c>
      <c r="D1039" s="6">
        <v>1.47143482450664E-40</v>
      </c>
      <c r="E1039" s="3" t="s">
        <v>1748</v>
      </c>
      <c r="F1039" s="3" t="s">
        <v>1749</v>
      </c>
      <c r="G1039" s="3">
        <v>51897</v>
      </c>
      <c r="H1039" s="7" t="str">
        <f>HYPERLINK("http://www.ensembl.org/Mus_musculus/Gene/Summary?db=core;g=ENSMUSG00000027244","ENSMUSG00000027244")</f>
        <v>ENSMUSG00000027244</v>
      </c>
      <c r="I1039" s="7" t="str">
        <f>HYPERLINK("http://www.informatics.jax.org/marker/MGI:1196429","MGI:1196429")</f>
        <v>MGI:1196429</v>
      </c>
      <c r="J1039" s="4" t="s">
        <v>12</v>
      </c>
    </row>
    <row r="1040" spans="1:10" x14ac:dyDescent="0.25">
      <c r="A1040" s="2">
        <v>542.19029868231405</v>
      </c>
      <c r="B1040" s="3">
        <v>0.903150968656243</v>
      </c>
      <c r="C1040" s="5">
        <v>2.1424684838828801E-41</v>
      </c>
      <c r="D1040" s="6">
        <v>7.7937102033464095E-40</v>
      </c>
      <c r="E1040" s="3" t="s">
        <v>999</v>
      </c>
      <c r="F1040" s="3" t="s">
        <v>1000</v>
      </c>
      <c r="G1040" s="3">
        <v>22234</v>
      </c>
      <c r="H1040" s="7" t="str">
        <f>HYPERLINK("http://www.ensembl.org/Mus_musculus/Gene/Summary?db=core;g=ENSMUSG00000028381","ENSMUSG00000028381")</f>
        <v>ENSMUSG00000028381</v>
      </c>
      <c r="I1040" s="7" t="str">
        <f>HYPERLINK("http://www.informatics.jax.org/marker/MGI:1332243","MGI:1332243")</f>
        <v>MGI:1332243</v>
      </c>
      <c r="J1040" s="4" t="s">
        <v>12</v>
      </c>
    </row>
    <row r="1041" spans="1:10" x14ac:dyDescent="0.25">
      <c r="A1041" s="2">
        <v>22.228663804249599</v>
      </c>
      <c r="B1041" s="3">
        <v>0.90175043813644196</v>
      </c>
      <c r="C1041" s="3">
        <v>7.0885348016566305E-4</v>
      </c>
      <c r="D1041" s="4">
        <v>2.5581890447562801E-3</v>
      </c>
      <c r="E1041" s="3" t="s">
        <v>6866</v>
      </c>
      <c r="F1041" s="3" t="s">
        <v>6867</v>
      </c>
      <c r="G1041" s="3">
        <v>319181</v>
      </c>
      <c r="H1041" s="7" t="str">
        <f>HYPERLINK("http://www.ensembl.org/Mus_musculus/Gene/Summary?db=core;g=ENSMUSG00000058385","ENSMUSG00000058385")</f>
        <v>ENSMUSG00000058385</v>
      </c>
      <c r="I1041" s="7" t="str">
        <f>HYPERLINK("http://www.informatics.jax.org/marker/MGI:2448386","MGI:2448386")</f>
        <v>MGI:2448386</v>
      </c>
      <c r="J1041" s="4" t="s">
        <v>12</v>
      </c>
    </row>
    <row r="1042" spans="1:10" x14ac:dyDescent="0.25">
      <c r="A1042" s="2">
        <v>1389.3538547048099</v>
      </c>
      <c r="B1042" s="3">
        <v>0.901600916651498</v>
      </c>
      <c r="C1042" s="5">
        <v>8.8700657782600601E-12</v>
      </c>
      <c r="D1042" s="6">
        <v>8.2773655304039694E-11</v>
      </c>
      <c r="E1042" s="3" t="s">
        <v>9203</v>
      </c>
      <c r="F1042" s="3" t="s">
        <v>9204</v>
      </c>
      <c r="G1042" s="3">
        <v>16000</v>
      </c>
      <c r="H1042" s="7" t="str">
        <f>HYPERLINK("http://www.ensembl.org/Mus_musculus/Gene/Summary?db=core;g=ENSMUSG00000020053","ENSMUSG00000020053")</f>
        <v>ENSMUSG00000020053</v>
      </c>
      <c r="I1042" s="7" t="str">
        <f>HYPERLINK("http://www.informatics.jax.org/marker/MGI:96432","MGI:96432")</f>
        <v>MGI:96432</v>
      </c>
      <c r="J1042" s="4" t="s">
        <v>12</v>
      </c>
    </row>
    <row r="1043" spans="1:10" x14ac:dyDescent="0.25">
      <c r="A1043" s="2">
        <v>5297.5647342400398</v>
      </c>
      <c r="B1043" s="3">
        <v>0.900861031338822</v>
      </c>
      <c r="C1043" s="5">
        <v>4.0254719785362303E-40</v>
      </c>
      <c r="D1043" s="6">
        <v>1.4081425491136799E-38</v>
      </c>
      <c r="E1043" s="3" t="s">
        <v>1410</v>
      </c>
      <c r="F1043" s="3" t="s">
        <v>1411</v>
      </c>
      <c r="G1043" s="3">
        <v>11820</v>
      </c>
      <c r="H1043" s="7" t="str">
        <f>HYPERLINK("http://www.ensembl.org/Mus_musculus/Gene/Summary?db=core;g=ENSMUSG00000022892","ENSMUSG00000022892")</f>
        <v>ENSMUSG00000022892</v>
      </c>
      <c r="I1043" s="7" t="str">
        <f>HYPERLINK("http://www.informatics.jax.org/marker/MGI:88059","MGI:88059")</f>
        <v>MGI:88059</v>
      </c>
      <c r="J1043" s="4" t="s">
        <v>12</v>
      </c>
    </row>
    <row r="1044" spans="1:10" x14ac:dyDescent="0.25">
      <c r="A1044" s="2">
        <v>941.49085361570303</v>
      </c>
      <c r="B1044" s="3">
        <v>0.90057723842551696</v>
      </c>
      <c r="C1044" s="5">
        <v>3.21807277341755E-23</v>
      </c>
      <c r="D1044" s="6">
        <v>5.9301694939873498E-22</v>
      </c>
      <c r="E1044" s="3" t="s">
        <v>1698</v>
      </c>
      <c r="F1044" s="3" t="s">
        <v>1699</v>
      </c>
      <c r="G1044" s="3">
        <v>16423</v>
      </c>
      <c r="H1044" s="7" t="str">
        <f>HYPERLINK("http://www.ensembl.org/Mus_musculus/Gene/Summary?db=core;g=ENSMUSG00000055447","ENSMUSG00000055447")</f>
        <v>ENSMUSG00000055447</v>
      </c>
      <c r="I1044" s="7" t="str">
        <f>HYPERLINK("http://www.informatics.jax.org/marker/MGI:96617","MGI:96617")</f>
        <v>MGI:96617</v>
      </c>
      <c r="J1044" s="4" t="s">
        <v>12</v>
      </c>
    </row>
    <row r="1045" spans="1:10" x14ac:dyDescent="0.25">
      <c r="A1045" s="2">
        <v>370.00834927005002</v>
      </c>
      <c r="B1045" s="3">
        <v>0.89859673984600597</v>
      </c>
      <c r="C1045" s="5">
        <v>5.3718164400606903E-41</v>
      </c>
      <c r="D1045" s="6">
        <v>1.92719202008083E-39</v>
      </c>
      <c r="E1045" s="3" t="s">
        <v>1096</v>
      </c>
      <c r="F1045" s="3" t="s">
        <v>1097</v>
      </c>
      <c r="G1045" s="3">
        <v>226551</v>
      </c>
      <c r="H1045" s="7" t="str">
        <f>HYPERLINK("http://www.ensembl.org/Mus_musculus/Gene/Summary?db=core;g=ENSMUSG00000040297","ENSMUSG00000040297")</f>
        <v>ENSMUSG00000040297</v>
      </c>
      <c r="I1045" s="7" t="str">
        <f>HYPERLINK("http://www.informatics.jax.org/marker/MGI:2138346","MGI:2138346")</f>
        <v>MGI:2138346</v>
      </c>
      <c r="J1045" s="4" t="s">
        <v>12</v>
      </c>
    </row>
    <row r="1046" spans="1:10" x14ac:dyDescent="0.25">
      <c r="A1046" s="2">
        <v>3.5668221122225598</v>
      </c>
      <c r="B1046" s="3">
        <v>0.89804749259651995</v>
      </c>
      <c r="C1046" s="3">
        <v>4.6365432860854698E-2</v>
      </c>
      <c r="D1046" s="4">
        <v>0.10727561430609101</v>
      </c>
      <c r="E1046" s="3" t="s">
        <v>13959</v>
      </c>
      <c r="F1046" s="3" t="s">
        <v>13960</v>
      </c>
      <c r="G1046" s="3" t="s">
        <v>83</v>
      </c>
      <c r="H1046" s="7" t="str">
        <f>HYPERLINK("http://www.ensembl.org/Mus_musculus/Gene/Summary?db=core;g=ENSMUSG00000110245","ENSMUSG00000110245")</f>
        <v>ENSMUSG00000110245</v>
      </c>
      <c r="I1046" s="7" t="str">
        <f>HYPERLINK("http://www.informatics.jax.org/marker/MGI:5012285","MGI:5012285")</f>
        <v>MGI:5012285</v>
      </c>
      <c r="J1046" s="4" t="s">
        <v>1828</v>
      </c>
    </row>
    <row r="1047" spans="1:10" x14ac:dyDescent="0.25">
      <c r="A1047" s="2">
        <v>1923.1049410942301</v>
      </c>
      <c r="B1047" s="3">
        <v>0.89762753916428395</v>
      </c>
      <c r="C1047" s="5">
        <v>2.01756417208765E-68</v>
      </c>
      <c r="D1047" s="6">
        <v>1.47080428145189E-66</v>
      </c>
      <c r="E1047" s="3" t="s">
        <v>626</v>
      </c>
      <c r="F1047" s="3" t="s">
        <v>627</v>
      </c>
      <c r="G1047" s="3">
        <v>78514</v>
      </c>
      <c r="H1047" s="7" t="str">
        <f>HYPERLINK("http://www.ensembl.org/Mus_musculus/Gene/Summary?db=core;g=ENSMUSG00000037148","ENSMUSG00000037148")</f>
        <v>ENSMUSG00000037148</v>
      </c>
      <c r="I1047" s="7" t="str">
        <f>HYPERLINK("http://www.informatics.jax.org/marker/MGI:1925764","MGI:1925764")</f>
        <v>MGI:1925764</v>
      </c>
      <c r="J1047" s="4" t="s">
        <v>12</v>
      </c>
    </row>
    <row r="1048" spans="1:10" x14ac:dyDescent="0.25">
      <c r="A1048" s="2">
        <v>802.930705393121</v>
      </c>
      <c r="B1048" s="3">
        <v>0.89679811369235596</v>
      </c>
      <c r="C1048" s="5">
        <v>2.86164076672718E-28</v>
      </c>
      <c r="D1048" s="6">
        <v>6.6184521540105195E-27</v>
      </c>
      <c r="E1048" s="3" t="s">
        <v>820</v>
      </c>
      <c r="F1048" s="3" t="s">
        <v>821</v>
      </c>
      <c r="G1048" s="3">
        <v>70617</v>
      </c>
      <c r="H1048" s="7" t="str">
        <f>HYPERLINK("http://www.ensembl.org/Mus_musculus/Gene/Summary?db=core;g=ENSMUSG00000050549","ENSMUSG00000050549")</f>
        <v>ENSMUSG00000050549</v>
      </c>
      <c r="I1048" s="7" t="str">
        <f>HYPERLINK("http://www.informatics.jax.org/marker/MGI:1917867","MGI:1917867")</f>
        <v>MGI:1917867</v>
      </c>
      <c r="J1048" s="4" t="s">
        <v>12</v>
      </c>
    </row>
    <row r="1049" spans="1:10" x14ac:dyDescent="0.25">
      <c r="A1049" s="2">
        <v>3713.0067885124499</v>
      </c>
      <c r="B1049" s="3">
        <v>0.89178253569179</v>
      </c>
      <c r="C1049" s="5">
        <v>3.30703943170483E-27</v>
      </c>
      <c r="D1049" s="6">
        <v>7.25280308577865E-26</v>
      </c>
      <c r="E1049" s="3" t="s">
        <v>933</v>
      </c>
      <c r="F1049" s="3" t="s">
        <v>934</v>
      </c>
      <c r="G1049" s="3">
        <v>240832</v>
      </c>
      <c r="H1049" s="7" t="str">
        <f>HYPERLINK("http://www.ensembl.org/Mus_musculus/Gene/Summary?db=core;g=ENSMUSG00000050565","ENSMUSG00000050565")</f>
        <v>ENSMUSG00000050565</v>
      </c>
      <c r="I1049" s="7" t="str">
        <f>HYPERLINK("http://www.informatics.jax.org/marker/MGI:3582695","MGI:3582695")</f>
        <v>MGI:3582695</v>
      </c>
      <c r="J1049" s="4" t="s">
        <v>12</v>
      </c>
    </row>
    <row r="1050" spans="1:10" x14ac:dyDescent="0.25">
      <c r="A1050" s="2">
        <v>98.418428742350301</v>
      </c>
      <c r="B1050" s="3">
        <v>0.89008880241085098</v>
      </c>
      <c r="C1050" s="5">
        <v>3.3747684522691597E-11</v>
      </c>
      <c r="D1050" s="6">
        <v>3.00318139856472E-10</v>
      </c>
      <c r="E1050" s="3" t="s">
        <v>5003</v>
      </c>
      <c r="F1050" s="3" t="s">
        <v>5004</v>
      </c>
      <c r="G1050" s="3">
        <v>56380</v>
      </c>
      <c r="H1050" s="7" t="str">
        <f>HYPERLINK("http://www.ensembl.org/Mus_musculus/Gene/Summary?db=core;g=ENSMUSG00000004661","ENSMUSG00000004661")</f>
        <v>ENSMUSG00000004661</v>
      </c>
      <c r="I1050" s="7" t="str">
        <f>HYPERLINK("http://www.informatics.jax.org/marker/MGI:1930768","MGI:1930768")</f>
        <v>MGI:1930768</v>
      </c>
      <c r="J1050" s="4" t="s">
        <v>12</v>
      </c>
    </row>
    <row r="1051" spans="1:10" x14ac:dyDescent="0.25">
      <c r="A1051" s="2">
        <v>95.584220181326501</v>
      </c>
      <c r="B1051" s="3">
        <v>0.886983668158836</v>
      </c>
      <c r="C1051" s="5">
        <v>1.4124121253522899E-7</v>
      </c>
      <c r="D1051" s="6">
        <v>8.7199224202389998E-7</v>
      </c>
      <c r="E1051" s="3" t="s">
        <v>10498</v>
      </c>
      <c r="F1051" s="3" t="s">
        <v>10499</v>
      </c>
      <c r="G1051" s="3">
        <v>53328</v>
      </c>
      <c r="H1051" s="7" t="str">
        <f>HYPERLINK("http://www.ensembl.org/Mus_musculus/Gene/Summary?db=core;g=ENSMUSG00000006373","ENSMUSG00000006373")</f>
        <v>ENSMUSG00000006373</v>
      </c>
      <c r="I1051" s="7" t="str">
        <f>HYPERLINK("http://www.informatics.jax.org/marker/MGI:1858305","MGI:1858305")</f>
        <v>MGI:1858305</v>
      </c>
      <c r="J1051" s="4" t="s">
        <v>12</v>
      </c>
    </row>
    <row r="1052" spans="1:10" x14ac:dyDescent="0.25">
      <c r="A1052" s="2">
        <v>204.28145205956201</v>
      </c>
      <c r="B1052" s="3">
        <v>0.88672385611134397</v>
      </c>
      <c r="C1052" s="5">
        <v>3.3037413446172102E-25</v>
      </c>
      <c r="D1052" s="6">
        <v>6.6752423509588404E-24</v>
      </c>
      <c r="E1052" s="3" t="s">
        <v>2758</v>
      </c>
      <c r="F1052" s="3" t="s">
        <v>2759</v>
      </c>
      <c r="G1052" s="3">
        <v>17364</v>
      </c>
      <c r="H1052" s="7" t="str">
        <f>HYPERLINK("http://www.ensembl.org/Mus_musculus/Gene/Summary?db=core;g=ENSMUSG00000030523","ENSMUSG00000030523")</f>
        <v>ENSMUSG00000030523</v>
      </c>
      <c r="I1052" s="7" t="str">
        <f>HYPERLINK("http://www.informatics.jax.org/marker/MGI:1330305","MGI:1330305")</f>
        <v>MGI:1330305</v>
      </c>
      <c r="J1052" s="4" t="s">
        <v>12</v>
      </c>
    </row>
    <row r="1053" spans="1:10" x14ac:dyDescent="0.25">
      <c r="A1053" s="2">
        <v>1619.31225188028</v>
      </c>
      <c r="B1053" s="3">
        <v>0.88665693901349896</v>
      </c>
      <c r="C1053" s="5">
        <v>4.0174574594218799E-33</v>
      </c>
      <c r="D1053" s="6">
        <v>1.11273802732468E-31</v>
      </c>
      <c r="E1053" s="3" t="s">
        <v>808</v>
      </c>
      <c r="F1053" s="3" t="s">
        <v>809</v>
      </c>
      <c r="G1053" s="3">
        <v>71982</v>
      </c>
      <c r="H1053" s="7" t="str">
        <f>HYPERLINK("http://www.ensembl.org/Mus_musculus/Gene/Summary?db=core;g=ENSMUSG00000038301","ENSMUSG00000038301")</f>
        <v>ENSMUSG00000038301</v>
      </c>
      <c r="I1053" s="7" t="str">
        <f>HYPERLINK("http://www.informatics.jax.org/marker/MGI:1919232","MGI:1919232")</f>
        <v>MGI:1919232</v>
      </c>
      <c r="J1053" s="4" t="s">
        <v>12</v>
      </c>
    </row>
    <row r="1054" spans="1:10" x14ac:dyDescent="0.25">
      <c r="A1054" s="2">
        <v>2281.5524103274602</v>
      </c>
      <c r="B1054" s="3">
        <v>0.88526602199165905</v>
      </c>
      <c r="C1054" s="5">
        <v>1.3645506084433701E-35</v>
      </c>
      <c r="D1054" s="6">
        <v>4.0835689390608301E-34</v>
      </c>
      <c r="E1054" s="3" t="s">
        <v>824</v>
      </c>
      <c r="F1054" s="3" t="s">
        <v>825</v>
      </c>
      <c r="G1054" s="3">
        <v>30940</v>
      </c>
      <c r="H1054" s="7" t="str">
        <f>HYPERLINK("http://www.ensembl.org/Mus_musculus/Gene/Summary?db=core;g=ENSMUSG00000022867","ENSMUSG00000022867")</f>
        <v>ENSMUSG00000022867</v>
      </c>
      <c r="I1054" s="7" t="str">
        <f>HYPERLINK("http://www.informatics.jax.org/marker/MGI:1353655","MGI:1353655")</f>
        <v>MGI:1353655</v>
      </c>
      <c r="J1054" s="4" t="s">
        <v>12</v>
      </c>
    </row>
    <row r="1055" spans="1:10" x14ac:dyDescent="0.25">
      <c r="A1055" s="2">
        <v>5.7580391771549202</v>
      </c>
      <c r="B1055" s="3">
        <v>0.88502589866766301</v>
      </c>
      <c r="C1055" s="3">
        <v>4.3147450889384702E-2</v>
      </c>
      <c r="D1055" s="4">
        <v>0.100738187606845</v>
      </c>
      <c r="E1055" s="3" t="s">
        <v>13575</v>
      </c>
      <c r="F1055" s="3" t="s">
        <v>13576</v>
      </c>
      <c r="G1055" s="3">
        <v>110454</v>
      </c>
      <c r="H1055" s="7" t="str">
        <f>HYPERLINK("http://www.ensembl.org/Mus_musculus/Gene/Summary?db=core;g=ENSMUSG00000075602","ENSMUSG00000075602")</f>
        <v>ENSMUSG00000075602</v>
      </c>
      <c r="I1055" s="7" t="str">
        <f>HYPERLINK("http://www.informatics.jax.org/marker/MGI:107527","MGI:107527")</f>
        <v>MGI:107527</v>
      </c>
      <c r="J1055" s="4" t="s">
        <v>12</v>
      </c>
    </row>
    <row r="1056" spans="1:10" x14ac:dyDescent="0.25">
      <c r="A1056" s="2">
        <v>264.81405400766897</v>
      </c>
      <c r="B1056" s="3">
        <v>0.88373193728662602</v>
      </c>
      <c r="C1056" s="5">
        <v>1.3171509676602399E-21</v>
      </c>
      <c r="D1056" s="6">
        <v>2.23907750292397E-20</v>
      </c>
      <c r="E1056" s="3" t="s">
        <v>2169</v>
      </c>
      <c r="F1056" s="3" t="s">
        <v>2170</v>
      </c>
      <c r="G1056" s="3">
        <v>19663</v>
      </c>
      <c r="H1056" s="7" t="str">
        <f>HYPERLINK("http://www.ensembl.org/Mus_musculus/Gene/Summary?db=core;g=ENSMUSG00000031586","ENSMUSG00000031586")</f>
        <v>ENSMUSG00000031586</v>
      </c>
      <c r="I1056" s="7" t="str">
        <f>HYPERLINK("http://www.informatics.jax.org/marker/MGI:1334446","MGI:1334446")</f>
        <v>MGI:1334446</v>
      </c>
      <c r="J1056" s="4" t="s">
        <v>12</v>
      </c>
    </row>
    <row r="1057" spans="1:10" x14ac:dyDescent="0.25">
      <c r="A1057" s="2">
        <v>2133.6012755102502</v>
      </c>
      <c r="B1057" s="3">
        <v>0.88301108643089499</v>
      </c>
      <c r="C1057" s="5">
        <v>2.9397435315888303E-23</v>
      </c>
      <c r="D1057" s="6">
        <v>5.4227556541706803E-22</v>
      </c>
      <c r="E1057" s="3" t="s">
        <v>1458</v>
      </c>
      <c r="F1057" s="3" t="s">
        <v>1459</v>
      </c>
      <c r="G1057" s="3">
        <v>16477</v>
      </c>
      <c r="H1057" s="7" t="str">
        <f>HYPERLINK("http://www.ensembl.org/Mus_musculus/Gene/Summary?db=core;g=ENSMUSG00000052837","ENSMUSG00000052837")</f>
        <v>ENSMUSG00000052837</v>
      </c>
      <c r="I1057" s="7" t="str">
        <f>HYPERLINK("http://www.informatics.jax.org/marker/MGI:96647","MGI:96647")</f>
        <v>MGI:96647</v>
      </c>
      <c r="J1057" s="4" t="s">
        <v>12</v>
      </c>
    </row>
    <row r="1058" spans="1:10" x14ac:dyDescent="0.25">
      <c r="A1058" s="2">
        <v>167.374574553569</v>
      </c>
      <c r="B1058" s="3">
        <v>0.88212438240512603</v>
      </c>
      <c r="C1058" s="5">
        <v>6.0657425554140698E-8</v>
      </c>
      <c r="D1058" s="6">
        <v>3.8748039983323302E-7</v>
      </c>
      <c r="E1058" s="3" t="s">
        <v>4203</v>
      </c>
      <c r="F1058" s="3" t="s">
        <v>4204</v>
      </c>
      <c r="G1058" s="3" t="s">
        <v>83</v>
      </c>
      <c r="H1058" s="7" t="str">
        <f>HYPERLINK("http://www.ensembl.org/Mus_musculus/Gene/Summary?db=core;g=ENSMUSG00000098050","ENSMUSG00000098050")</f>
        <v>ENSMUSG00000098050</v>
      </c>
      <c r="I1058" s="7" t="str">
        <f>HYPERLINK("http://www.informatics.jax.org/marker/MGI:3644320","MGI:3644320")</f>
        <v>MGI:3644320</v>
      </c>
      <c r="J1058" s="4" t="s">
        <v>1043</v>
      </c>
    </row>
    <row r="1059" spans="1:10" x14ac:dyDescent="0.25">
      <c r="A1059" s="2">
        <v>535.95002124055804</v>
      </c>
      <c r="B1059" s="3">
        <v>0.88206571725292005</v>
      </c>
      <c r="C1059" s="5">
        <v>2.5780141001963801E-12</v>
      </c>
      <c r="D1059" s="6">
        <v>2.51118690411967E-11</v>
      </c>
      <c r="E1059" s="3" t="s">
        <v>2407</v>
      </c>
      <c r="F1059" s="3" t="s">
        <v>2408</v>
      </c>
      <c r="G1059" s="3">
        <v>235587</v>
      </c>
      <c r="H1059" s="7" t="str">
        <f>HYPERLINK("http://www.ensembl.org/Mus_musculus/Gene/Summary?db=core;g=ENSMUSG00000023249","ENSMUSG00000023249")</f>
        <v>ENSMUSG00000023249</v>
      </c>
      <c r="I1059" s="7" t="str">
        <f>HYPERLINK("http://www.informatics.jax.org/marker/MGI:1891258","MGI:1891258")</f>
        <v>MGI:1891258</v>
      </c>
      <c r="J1059" s="4" t="s">
        <v>12</v>
      </c>
    </row>
    <row r="1060" spans="1:10" x14ac:dyDescent="0.25">
      <c r="A1060" s="2">
        <v>2001.1118099642199</v>
      </c>
      <c r="B1060" s="3">
        <v>0.88098627284392705</v>
      </c>
      <c r="C1060" s="5">
        <v>3.8687786213639397E-15</v>
      </c>
      <c r="D1060" s="6">
        <v>4.58442720249401E-14</v>
      </c>
      <c r="E1060" s="3" t="s">
        <v>6527</v>
      </c>
      <c r="F1060" s="3" t="s">
        <v>6528</v>
      </c>
      <c r="G1060" s="3">
        <v>207521</v>
      </c>
      <c r="H1060" s="7" t="str">
        <f>HYPERLINK("http://www.ensembl.org/Mus_musculus/Gene/Summary?db=core;g=ENSMUSG00000039982","ENSMUSG00000039982")</f>
        <v>ENSMUSG00000039982</v>
      </c>
      <c r="I1060" s="7" t="str">
        <f>HYPERLINK("http://www.informatics.jax.org/marker/MGI:2672905","MGI:2672905")</f>
        <v>MGI:2672905</v>
      </c>
      <c r="J1060" s="4" t="s">
        <v>12</v>
      </c>
    </row>
    <row r="1061" spans="1:10" x14ac:dyDescent="0.25">
      <c r="A1061" s="2">
        <v>3739.94078739115</v>
      </c>
      <c r="B1061" s="3">
        <v>0.87762301944464005</v>
      </c>
      <c r="C1061" s="5">
        <v>7.5807306337312697E-33</v>
      </c>
      <c r="D1061" s="6">
        <v>2.0807050572251898E-31</v>
      </c>
      <c r="E1061" s="3" t="s">
        <v>692</v>
      </c>
      <c r="F1061" s="3" t="s">
        <v>693</v>
      </c>
      <c r="G1061" s="3">
        <v>241447</v>
      </c>
      <c r="H1061" s="7" t="str">
        <f>HYPERLINK("http://www.ensembl.org/Mus_musculus/Gene/Summary?db=core;g=ENSMUSG00000027035","ENSMUSG00000027035")</f>
        <v>ENSMUSG00000027035</v>
      </c>
      <c r="I1061" s="7" t="str">
        <f>HYPERLINK("http://www.informatics.jax.org/marker/MGI:2442564","MGI:2442564")</f>
        <v>MGI:2442564</v>
      </c>
      <c r="J1061" s="4" t="s">
        <v>12</v>
      </c>
    </row>
    <row r="1062" spans="1:10" x14ac:dyDescent="0.25">
      <c r="A1062" s="2">
        <v>3157.8055598333299</v>
      </c>
      <c r="B1062" s="3">
        <v>0.87658199141549498</v>
      </c>
      <c r="C1062" s="5">
        <v>4.1809430841268602E-55</v>
      </c>
      <c r="D1062" s="6">
        <v>2.2345362964285001E-53</v>
      </c>
      <c r="E1062" s="3" t="s">
        <v>724</v>
      </c>
      <c r="F1062" s="3" t="s">
        <v>725</v>
      </c>
      <c r="G1062" s="3">
        <v>108664</v>
      </c>
      <c r="H1062" s="7" t="str">
        <f>HYPERLINK("http://www.ensembl.org/Mus_musculus/Gene/Summary?db=core;g=ENSMUSG00000033793","ENSMUSG00000033793")</f>
        <v>ENSMUSG00000033793</v>
      </c>
      <c r="I1062" s="7" t="str">
        <f>HYPERLINK("http://www.informatics.jax.org/marker/MGI:1914864","MGI:1914864")</f>
        <v>MGI:1914864</v>
      </c>
      <c r="J1062" s="4" t="s">
        <v>12</v>
      </c>
    </row>
    <row r="1063" spans="1:10" x14ac:dyDescent="0.25">
      <c r="A1063" s="2">
        <v>1430.4175739494599</v>
      </c>
      <c r="B1063" s="3">
        <v>0.87582011127206405</v>
      </c>
      <c r="C1063" s="5">
        <v>2.0844093027578499E-20</v>
      </c>
      <c r="D1063" s="6">
        <v>3.3381686768683498E-19</v>
      </c>
      <c r="E1063" s="3" t="s">
        <v>4351</v>
      </c>
      <c r="F1063" s="3" t="s">
        <v>4352</v>
      </c>
      <c r="G1063" s="3">
        <v>320706</v>
      </c>
      <c r="H1063" s="7" t="str">
        <f>HYPERLINK("http://www.ensembl.org/Mus_musculus/Gene/Summary?db=core;g=ENSMUSG00000055485","ENSMUSG00000055485")</f>
        <v>ENSMUSG00000055485</v>
      </c>
      <c r="I1063" s="7" t="str">
        <f>HYPERLINK("http://www.informatics.jax.org/marker/MGI:2444575","MGI:2444575")</f>
        <v>MGI:2444575</v>
      </c>
      <c r="J1063" s="4" t="s">
        <v>12</v>
      </c>
    </row>
    <row r="1064" spans="1:10" x14ac:dyDescent="0.25">
      <c r="A1064" s="2">
        <v>965.18918624267906</v>
      </c>
      <c r="B1064" s="3">
        <v>0.87569492199640098</v>
      </c>
      <c r="C1064" s="5">
        <v>2.9066236379284001E-43</v>
      </c>
      <c r="D1064" s="6">
        <v>1.13433010281039E-41</v>
      </c>
      <c r="E1064" s="3" t="s">
        <v>989</v>
      </c>
      <c r="F1064" s="3" t="s">
        <v>990</v>
      </c>
      <c r="G1064" s="3">
        <v>19707</v>
      </c>
      <c r="H1064" s="7" t="str">
        <f>HYPERLINK("http://www.ensembl.org/Mus_musculus/Gene/Summary?db=core;g=ENSMUSG00000019854","ENSMUSG00000019854")</f>
        <v>ENSMUSG00000019854</v>
      </c>
      <c r="I1064" s="7" t="str">
        <f>HYPERLINK("http://www.informatics.jax.org/marker/MGI:1196373","MGI:1196373")</f>
        <v>MGI:1196373</v>
      </c>
      <c r="J1064" s="4" t="s">
        <v>12</v>
      </c>
    </row>
    <row r="1065" spans="1:10" x14ac:dyDescent="0.25">
      <c r="A1065" s="2">
        <v>2.292141084856</v>
      </c>
      <c r="B1065" s="3">
        <v>0.87548705043361796</v>
      </c>
      <c r="C1065" s="3">
        <v>6.3380378142974897E-2</v>
      </c>
      <c r="D1065" s="4">
        <v>0.13920310817735801</v>
      </c>
      <c r="E1065" s="3" t="s">
        <v>10587</v>
      </c>
      <c r="F1065" s="3" t="s">
        <v>10588</v>
      </c>
      <c r="G1065" s="3" t="s">
        <v>83</v>
      </c>
      <c r="H1065" s="7" t="str">
        <f>HYPERLINK("http://www.ensembl.org/Mus_musculus/Gene/Summary?db=core;g=ENSMUSG00000081769","ENSMUSG00000081769")</f>
        <v>ENSMUSG00000081769</v>
      </c>
      <c r="I1065" s="7" t="str">
        <f>HYPERLINK("http://www.informatics.jax.org/marker/MGI:3650088","MGI:3650088")</f>
        <v>MGI:3650088</v>
      </c>
      <c r="J1065" s="4" t="s">
        <v>12</v>
      </c>
    </row>
    <row r="1066" spans="1:10" x14ac:dyDescent="0.25">
      <c r="A1066" s="2">
        <v>73.176747340680905</v>
      </c>
      <c r="B1066" s="3">
        <v>0.873875133505429</v>
      </c>
      <c r="C1066" s="5">
        <v>8.5531786212089499E-7</v>
      </c>
      <c r="D1066" s="6">
        <v>4.7889917164833503E-6</v>
      </c>
      <c r="E1066" s="3" t="s">
        <v>4135</v>
      </c>
      <c r="F1066" s="3" t="s">
        <v>4136</v>
      </c>
      <c r="G1066" s="3">
        <v>243382</v>
      </c>
      <c r="H1066" s="7" t="str">
        <f>HYPERLINK("http://www.ensembl.org/Mus_musculus/Gene/Summary?db=core;g=ENSMUSG00000037826","ENSMUSG00000037826")</f>
        <v>ENSMUSG00000037826</v>
      </c>
      <c r="I1066" s="7" t="str">
        <f>HYPERLINK("http://www.informatics.jax.org/marker/MGI:2442111","MGI:2442111")</f>
        <v>MGI:2442111</v>
      </c>
      <c r="J1066" s="4" t="s">
        <v>12</v>
      </c>
    </row>
    <row r="1067" spans="1:10" x14ac:dyDescent="0.25">
      <c r="A1067" s="2">
        <v>63.2375070336889</v>
      </c>
      <c r="B1067" s="3">
        <v>0.87376378017987699</v>
      </c>
      <c r="C1067" s="5">
        <v>7.0217802411712204E-7</v>
      </c>
      <c r="D1067" s="6">
        <v>3.9656629964470301E-6</v>
      </c>
      <c r="E1067" s="3" t="s">
        <v>11721</v>
      </c>
      <c r="F1067" s="3" t="s">
        <v>11722</v>
      </c>
      <c r="G1067" s="3">
        <v>60322</v>
      </c>
      <c r="H1067" s="7" t="str">
        <f>HYPERLINK("http://www.ensembl.org/Mus_musculus/Gene/Summary?db=core;g=ENSMUSG00000037347","ENSMUSG00000037347")</f>
        <v>ENSMUSG00000037347</v>
      </c>
      <c r="I1067" s="7" t="str">
        <f>HYPERLINK("http://www.informatics.jax.org/marker/MGI:1891767","MGI:1891767")</f>
        <v>MGI:1891767</v>
      </c>
      <c r="J1067" s="4" t="s">
        <v>12</v>
      </c>
    </row>
    <row r="1068" spans="1:10" x14ac:dyDescent="0.25">
      <c r="A1068" s="2">
        <v>154.72970242892899</v>
      </c>
      <c r="B1068" s="3">
        <v>0.87342617091019703</v>
      </c>
      <c r="C1068" s="5">
        <v>2.3390471421369599E-17</v>
      </c>
      <c r="D1068" s="6">
        <v>3.1718105777861701E-16</v>
      </c>
      <c r="E1068" s="3" t="s">
        <v>5219</v>
      </c>
      <c r="F1068" s="3" t="s">
        <v>5220</v>
      </c>
      <c r="G1068" s="3">
        <v>666468</v>
      </c>
      <c r="H1068" s="7" t="str">
        <f>HYPERLINK("http://www.ensembl.org/Mus_musculus/Gene/Summary?db=core;g=ENSMUSG00000079418","ENSMUSG00000079418")</f>
        <v>ENSMUSG00000079418</v>
      </c>
      <c r="I1068" s="7" t="str">
        <f>HYPERLINK("http://www.informatics.jax.org/marker/MGI:2147903","MGI:2147903")</f>
        <v>MGI:2147903</v>
      </c>
      <c r="J1068" s="4" t="s">
        <v>12</v>
      </c>
    </row>
    <row r="1069" spans="1:10" x14ac:dyDescent="0.25">
      <c r="A1069" s="2">
        <v>903.00856424344295</v>
      </c>
      <c r="B1069" s="3">
        <v>0.87298635780048095</v>
      </c>
      <c r="C1069" s="5">
        <v>2.8382299304249E-25</v>
      </c>
      <c r="D1069" s="6">
        <v>5.7538087299214397E-24</v>
      </c>
      <c r="E1069" s="3" t="s">
        <v>1360</v>
      </c>
      <c r="F1069" s="3" t="s">
        <v>1361</v>
      </c>
      <c r="G1069" s="3">
        <v>19267</v>
      </c>
      <c r="H1069" s="7" t="str">
        <f>HYPERLINK("http://www.ensembl.org/Mus_musculus/Gene/Summary?db=core;g=ENSMUSG00000041836","ENSMUSG00000041836")</f>
        <v>ENSMUSG00000041836</v>
      </c>
      <c r="I1069" s="7" t="str">
        <f>HYPERLINK("http://www.informatics.jax.org/marker/MGI:97813","MGI:97813")</f>
        <v>MGI:97813</v>
      </c>
      <c r="J1069" s="4" t="s">
        <v>12</v>
      </c>
    </row>
    <row r="1070" spans="1:10" x14ac:dyDescent="0.25">
      <c r="A1070" s="2">
        <v>2.5125698882039802</v>
      </c>
      <c r="B1070" s="3">
        <v>0.87298539824399701</v>
      </c>
      <c r="C1070" s="3">
        <v>5.9862363058932597E-2</v>
      </c>
      <c r="D1070" s="4">
        <v>0.13270789037210201</v>
      </c>
      <c r="E1070" s="3" t="s">
        <v>9421</v>
      </c>
      <c r="F1070" s="3" t="s">
        <v>9422</v>
      </c>
      <c r="G1070" s="3">
        <v>627214</v>
      </c>
      <c r="H1070" s="7" t="str">
        <f>HYPERLINK("http://www.ensembl.org/Mus_musculus/Gene/Summary?db=core;g=ENSMUSG00000073805","ENSMUSG00000073805")</f>
        <v>ENSMUSG00000073805</v>
      </c>
      <c r="I1070" s="7" t="str">
        <f>HYPERLINK("http://www.informatics.jax.org/marker/MGI:3605068","MGI:3605068")</f>
        <v>MGI:3605068</v>
      </c>
      <c r="J1070" s="4" t="s">
        <v>12</v>
      </c>
    </row>
    <row r="1071" spans="1:10" x14ac:dyDescent="0.25">
      <c r="A1071" s="2">
        <v>951.01775499344797</v>
      </c>
      <c r="B1071" s="3">
        <v>0.87290628112827695</v>
      </c>
      <c r="C1071" s="5">
        <v>2.9008224499198402E-12</v>
      </c>
      <c r="D1071" s="6">
        <v>2.81060548377401E-11</v>
      </c>
      <c r="E1071" s="3" t="s">
        <v>3736</v>
      </c>
      <c r="F1071" s="3" t="s">
        <v>3737</v>
      </c>
      <c r="G1071" s="3">
        <v>217203</v>
      </c>
      <c r="H1071" s="7" t="str">
        <f>HYPERLINK("http://www.ensembl.org/Mus_musculus/Gene/Summary?db=core;g=ENSMUSG00000034947","ENSMUSG00000034947")</f>
        <v>ENSMUSG00000034947</v>
      </c>
      <c r="I1071" s="7" t="str">
        <f>HYPERLINK("http://www.informatics.jax.org/marker/MGI:1922056","MGI:1922056")</f>
        <v>MGI:1922056</v>
      </c>
      <c r="J1071" s="4" t="s">
        <v>12</v>
      </c>
    </row>
    <row r="1072" spans="1:10" x14ac:dyDescent="0.25">
      <c r="A1072" s="2">
        <v>19.380789573733701</v>
      </c>
      <c r="B1072" s="3">
        <v>0.87265378864793797</v>
      </c>
      <c r="C1072" s="3">
        <v>2.9278329495769398E-4</v>
      </c>
      <c r="D1072" s="4">
        <v>1.12811322422917E-3</v>
      </c>
      <c r="E1072" s="3" t="s">
        <v>12005</v>
      </c>
      <c r="F1072" s="3" t="s">
        <v>12006</v>
      </c>
      <c r="G1072" s="3" t="s">
        <v>83</v>
      </c>
      <c r="H1072" s="7" t="str">
        <f>HYPERLINK("http://www.ensembl.org/Mus_musculus/Gene/Summary?db=core;g=ENSMUSG00000080989","ENSMUSG00000080989")</f>
        <v>ENSMUSG00000080989</v>
      </c>
      <c r="I1072" s="7" t="str">
        <f>HYPERLINK("http://www.informatics.jax.org/marker/MGI:3650660","MGI:3650660")</f>
        <v>MGI:3650660</v>
      </c>
      <c r="J1072" s="4" t="s">
        <v>1043</v>
      </c>
    </row>
    <row r="1073" spans="1:10" x14ac:dyDescent="0.25">
      <c r="A1073" s="2">
        <v>14.9518305998537</v>
      </c>
      <c r="B1073" s="3">
        <v>0.87178565615896497</v>
      </c>
      <c r="C1073" s="3">
        <v>9.7882181171033106E-4</v>
      </c>
      <c r="D1073" s="4">
        <v>3.4504888817061502E-3</v>
      </c>
      <c r="E1073" s="3" t="s">
        <v>9053</v>
      </c>
      <c r="F1073" s="3" t="s">
        <v>9054</v>
      </c>
      <c r="G1073" s="3" t="s">
        <v>83</v>
      </c>
      <c r="H1073" s="7" t="str">
        <f>HYPERLINK("http://www.ensembl.org/Mus_musculus/Gene/Summary?db=core;g=ENSMUSG00000098679","ENSMUSG00000098679")</f>
        <v>ENSMUSG00000098679</v>
      </c>
      <c r="I1073" s="7" t="str">
        <f>HYPERLINK("http://www.informatics.jax.org/marker/MGI:5531256","MGI:5531256")</f>
        <v>MGI:5531256</v>
      </c>
      <c r="J1073" s="4" t="s">
        <v>6715</v>
      </c>
    </row>
    <row r="1074" spans="1:10" x14ac:dyDescent="0.25">
      <c r="A1074" s="2">
        <v>1973.5776160189901</v>
      </c>
      <c r="B1074" s="3">
        <v>0.87040307850315901</v>
      </c>
      <c r="C1074" s="5">
        <v>1.01937144860142E-40</v>
      </c>
      <c r="D1074" s="6">
        <v>3.6427538530903699E-39</v>
      </c>
      <c r="E1074" s="3" t="s">
        <v>656</v>
      </c>
      <c r="F1074" s="3" t="s">
        <v>657</v>
      </c>
      <c r="G1074" s="3">
        <v>27416</v>
      </c>
      <c r="H1074" s="7" t="str">
        <f>HYPERLINK("http://www.ensembl.org/Mus_musculus/Gene/Summary?db=core;g=ENSMUSG00000022822","ENSMUSG00000022822")</f>
        <v>ENSMUSG00000022822</v>
      </c>
      <c r="I1074" s="7" t="str">
        <f>HYPERLINK("http://www.informatics.jax.org/marker/MGI:1351644","MGI:1351644")</f>
        <v>MGI:1351644</v>
      </c>
      <c r="J1074" s="4" t="s">
        <v>12</v>
      </c>
    </row>
    <row r="1075" spans="1:10" x14ac:dyDescent="0.25">
      <c r="A1075" s="2">
        <v>2.9281941055212899</v>
      </c>
      <c r="B1075" s="3">
        <v>0.86941759455127898</v>
      </c>
      <c r="C1075" s="3">
        <v>6.5279395251844202E-2</v>
      </c>
      <c r="D1075" s="4">
        <v>0.14278888363716499</v>
      </c>
      <c r="E1075" s="3" t="s">
        <v>9195</v>
      </c>
      <c r="F1075" s="3" t="s">
        <v>9196</v>
      </c>
      <c r="G1075" s="3" t="s">
        <v>83</v>
      </c>
      <c r="H1075" s="7" t="str">
        <f>HYPERLINK("http://www.ensembl.org/Mus_musculus/Gene/Summary?db=core;g=ENSMUSG00000118258","ENSMUSG00000118258")</f>
        <v>ENSMUSG00000118258</v>
      </c>
      <c r="I1075" s="7" t="str">
        <f>HYPERLINK("http://www.informatics.jax.org/marker/MGI:5011261","MGI:5011261")</f>
        <v>MGI:5011261</v>
      </c>
      <c r="J1075" s="4" t="s">
        <v>1043</v>
      </c>
    </row>
    <row r="1076" spans="1:10" x14ac:dyDescent="0.25">
      <c r="A1076" s="2">
        <v>607.18877527894495</v>
      </c>
      <c r="B1076" s="3">
        <v>0.86905308096454204</v>
      </c>
      <c r="C1076" s="5">
        <v>7.7363541082614004E-33</v>
      </c>
      <c r="D1076" s="6">
        <v>2.1202263702716402E-31</v>
      </c>
      <c r="E1076" s="3" t="s">
        <v>2800</v>
      </c>
      <c r="F1076" s="3" t="s">
        <v>2801</v>
      </c>
      <c r="G1076" s="3">
        <v>75788</v>
      </c>
      <c r="H1076" s="7" t="str">
        <f>HYPERLINK("http://www.ensembl.org/Mus_musculus/Gene/Summary?db=core;g=ENSMUSG00000038780","ENSMUSG00000038780")</f>
        <v>ENSMUSG00000038780</v>
      </c>
      <c r="I1076" s="7" t="str">
        <f>HYPERLINK("http://www.informatics.jax.org/marker/MGI:1923038","MGI:1923038")</f>
        <v>MGI:1923038</v>
      </c>
      <c r="J1076" s="4" t="s">
        <v>12</v>
      </c>
    </row>
    <row r="1077" spans="1:10" x14ac:dyDescent="0.25">
      <c r="A1077" s="2">
        <v>3.8546665354924099</v>
      </c>
      <c r="B1077" s="3">
        <v>0.86860602763545902</v>
      </c>
      <c r="C1077" s="3">
        <v>4.5575658636639003E-2</v>
      </c>
      <c r="D1077" s="4">
        <v>0.10570812445895</v>
      </c>
      <c r="E1077" s="3" t="s">
        <v>11795</v>
      </c>
      <c r="F1077" s="3" t="s">
        <v>11796</v>
      </c>
      <c r="G1077" s="3">
        <v>16876</v>
      </c>
      <c r="H1077" s="7" t="str">
        <f>HYPERLINK("http://www.ensembl.org/Mus_musculus/Gene/Summary?db=core;g=ENSMUSG00000019230","ENSMUSG00000019230")</f>
        <v>ENSMUSG00000019230</v>
      </c>
      <c r="I1077" s="7" t="str">
        <f>HYPERLINK("http://www.informatics.jax.org/marker/MGI:1316721","MGI:1316721")</f>
        <v>MGI:1316721</v>
      </c>
      <c r="J1077" s="4" t="s">
        <v>12</v>
      </c>
    </row>
    <row r="1078" spans="1:10" x14ac:dyDescent="0.25">
      <c r="A1078" s="2">
        <v>1911.48947136791</v>
      </c>
      <c r="B1078" s="3">
        <v>0.86778953308448203</v>
      </c>
      <c r="C1078" s="5">
        <v>9.3126235975906001E-38</v>
      </c>
      <c r="D1078" s="6">
        <v>2.98807332862832E-36</v>
      </c>
      <c r="E1078" s="3" t="s">
        <v>1003</v>
      </c>
      <c r="F1078" s="3" t="s">
        <v>1004</v>
      </c>
      <c r="G1078" s="3">
        <v>19664</v>
      </c>
      <c r="H1078" s="7" t="str">
        <f>HYPERLINK("http://www.ensembl.org/Mus_musculus/Gene/Summary?db=core;g=ENSMUSG00000039191","ENSMUSG00000039191")</f>
        <v>ENSMUSG00000039191</v>
      </c>
      <c r="I1078" s="7" t="str">
        <f>HYPERLINK("http://www.informatics.jax.org/marker/MGI:96522","MGI:96522")</f>
        <v>MGI:96522</v>
      </c>
      <c r="J1078" s="4" t="s">
        <v>12</v>
      </c>
    </row>
    <row r="1079" spans="1:10" x14ac:dyDescent="0.25">
      <c r="A1079" s="2">
        <v>3484.2779358100502</v>
      </c>
      <c r="B1079" s="3">
        <v>0.86774258338409405</v>
      </c>
      <c r="C1079" s="5">
        <v>6.08869132741999E-67</v>
      </c>
      <c r="D1079" s="6">
        <v>4.3346249782120798E-65</v>
      </c>
      <c r="E1079" s="3" t="s">
        <v>500</v>
      </c>
      <c r="F1079" s="3" t="s">
        <v>501</v>
      </c>
      <c r="G1079" s="3">
        <v>54338</v>
      </c>
      <c r="H1079" s="7" t="str">
        <f>HYPERLINK("http://www.ensembl.org/Mus_musculus/Gene/Summary?db=core;g=ENSMUSG00000027340","ENSMUSG00000027340")</f>
        <v>ENSMUSG00000027340</v>
      </c>
      <c r="I1079" s="7" t="str">
        <f>HYPERLINK("http://www.informatics.jax.org/marker/MGI:1859682","MGI:1859682")</f>
        <v>MGI:1859682</v>
      </c>
      <c r="J1079" s="4" t="s">
        <v>12</v>
      </c>
    </row>
    <row r="1080" spans="1:10" x14ac:dyDescent="0.25">
      <c r="A1080" s="2">
        <v>61.564321411149002</v>
      </c>
      <c r="B1080" s="3">
        <v>0.86765749234132705</v>
      </c>
      <c r="C1080" s="5">
        <v>6.4635178664317801E-9</v>
      </c>
      <c r="D1080" s="6">
        <v>4.60146926233278E-8</v>
      </c>
      <c r="E1080" s="3" t="s">
        <v>8355</v>
      </c>
      <c r="F1080" s="3" t="s">
        <v>8356</v>
      </c>
      <c r="G1080" s="3">
        <v>20130</v>
      </c>
      <c r="H1080" s="7" t="str">
        <f>HYPERLINK("http://www.ensembl.org/Mus_musculus/Gene/Summary?db=core;g=ENSMUSG00000038387","ENSMUSG00000038387")</f>
        <v>ENSMUSG00000038387</v>
      </c>
      <c r="I1080" s="7" t="str">
        <f>HYPERLINK("http://www.informatics.jax.org/marker/MGI:98179","MGI:98179")</f>
        <v>MGI:98179</v>
      </c>
      <c r="J1080" s="4" t="s">
        <v>12</v>
      </c>
    </row>
    <row r="1081" spans="1:10" x14ac:dyDescent="0.25">
      <c r="A1081" s="2">
        <v>692.99019893277898</v>
      </c>
      <c r="B1081" s="3">
        <v>0.86684932451445096</v>
      </c>
      <c r="C1081" s="5">
        <v>7.5435595241849697E-51</v>
      </c>
      <c r="D1081" s="6">
        <v>3.6661699287539E-49</v>
      </c>
      <c r="E1081" s="3" t="s">
        <v>852</v>
      </c>
      <c r="F1081" s="3" t="s">
        <v>853</v>
      </c>
      <c r="G1081" s="3">
        <v>67222</v>
      </c>
      <c r="H1081" s="7" t="str">
        <f>HYPERLINK("http://www.ensembl.org/Mus_musculus/Gene/Summary?db=core;g=ENSMUSG00000024528","ENSMUSG00000024528")</f>
        <v>ENSMUSG00000024528</v>
      </c>
      <c r="I1081" s="7" t="str">
        <f>HYPERLINK("http://www.informatics.jax.org/marker/MGI:1914472","MGI:1914472")</f>
        <v>MGI:1914472</v>
      </c>
      <c r="J1081" s="4" t="s">
        <v>12</v>
      </c>
    </row>
    <row r="1082" spans="1:10" x14ac:dyDescent="0.25">
      <c r="A1082" s="2">
        <v>343.71264163182599</v>
      </c>
      <c r="B1082" s="3">
        <v>0.86492944669260996</v>
      </c>
      <c r="C1082" s="3">
        <v>1.9163350118841499E-4</v>
      </c>
      <c r="D1082" s="4">
        <v>7.6289221475728903E-4</v>
      </c>
      <c r="E1082" s="3" t="s">
        <v>10902</v>
      </c>
      <c r="F1082" s="3" t="s">
        <v>10903</v>
      </c>
      <c r="G1082" s="3">
        <v>71839</v>
      </c>
      <c r="H1082" s="7" t="str">
        <f>HYPERLINK("http://www.ensembl.org/Mus_musculus/Gene/Summary?db=core;g=ENSMUSG00000074063","ENSMUSG00000074063")</f>
        <v>ENSMUSG00000074063</v>
      </c>
      <c r="I1082" s="7" t="str">
        <f>HYPERLINK("http://www.informatics.jax.org/marker/MGI:1919089","MGI:1919089")</f>
        <v>MGI:1919089</v>
      </c>
      <c r="J1082" s="4" t="s">
        <v>12</v>
      </c>
    </row>
    <row r="1083" spans="1:10" x14ac:dyDescent="0.25">
      <c r="A1083" s="2">
        <v>2802.8907663270202</v>
      </c>
      <c r="B1083" s="3">
        <v>0.86390136379482396</v>
      </c>
      <c r="C1083" s="5">
        <v>2.4093579246032798E-12</v>
      </c>
      <c r="D1083" s="6">
        <v>2.35698057841625E-11</v>
      </c>
      <c r="E1083" s="3" t="s">
        <v>4919</v>
      </c>
      <c r="F1083" s="3" t="s">
        <v>4920</v>
      </c>
      <c r="G1083" s="3">
        <v>17768</v>
      </c>
      <c r="H1083" s="7" t="str">
        <f>HYPERLINK("http://www.ensembl.org/Mus_musculus/Gene/Summary?db=core;g=ENSMUSG00000005667","ENSMUSG00000005667")</f>
        <v>ENSMUSG00000005667</v>
      </c>
      <c r="I1083" s="7" t="str">
        <f>HYPERLINK("http://www.informatics.jax.org/marker/MGI:1338850","MGI:1338850")</f>
        <v>MGI:1338850</v>
      </c>
      <c r="J1083" s="4" t="s">
        <v>12</v>
      </c>
    </row>
    <row r="1084" spans="1:10" x14ac:dyDescent="0.25">
      <c r="A1084" s="2">
        <v>1598.2724828560999</v>
      </c>
      <c r="B1084" s="3">
        <v>0.86289477835211903</v>
      </c>
      <c r="C1084" s="5">
        <v>1.56345692327969E-39</v>
      </c>
      <c r="D1084" s="6">
        <v>5.2962829789539597E-38</v>
      </c>
      <c r="E1084" s="3" t="s">
        <v>2143</v>
      </c>
      <c r="F1084" s="3" t="s">
        <v>2144</v>
      </c>
      <c r="G1084" s="3">
        <v>59043</v>
      </c>
      <c r="H1084" s="7" t="str">
        <f>HYPERLINK("http://www.ensembl.org/Mus_musculus/Gene/Summary?db=core;g=ENSMUSG00000029364","ENSMUSG00000029364")</f>
        <v>ENSMUSG00000029364</v>
      </c>
      <c r="I1084" s="7" t="str">
        <f>HYPERLINK("http://www.informatics.jax.org/marker/MGI:2144041","MGI:2144041")</f>
        <v>MGI:2144041</v>
      </c>
      <c r="J1084" s="4" t="s">
        <v>12</v>
      </c>
    </row>
    <row r="1085" spans="1:10" x14ac:dyDescent="0.25">
      <c r="A1085" s="2">
        <v>1995.4503196968401</v>
      </c>
      <c r="B1085" s="3">
        <v>0.86254125298891204</v>
      </c>
      <c r="C1085" s="5">
        <v>2.3392280532373599E-31</v>
      </c>
      <c r="D1085" s="6">
        <v>6.0385879986191003E-30</v>
      </c>
      <c r="E1085" s="3" t="s">
        <v>2387</v>
      </c>
      <c r="F1085" s="3" t="s">
        <v>2388</v>
      </c>
      <c r="G1085" s="3">
        <v>54446</v>
      </c>
      <c r="H1085" s="7" t="str">
        <f>HYPERLINK("http://www.ensembl.org/Mus_musculus/Gene/Summary?db=core;g=ENSMUSG00000003847","ENSMUSG00000003847")</f>
        <v>ENSMUSG00000003847</v>
      </c>
      <c r="I1085" s="7" t="str">
        <f>HYPERLINK("http://www.informatics.jax.org/marker/MGI:1859333","MGI:1859333")</f>
        <v>MGI:1859333</v>
      </c>
      <c r="J1085" s="4" t="s">
        <v>12</v>
      </c>
    </row>
    <row r="1086" spans="1:10" x14ac:dyDescent="0.25">
      <c r="A1086" s="2">
        <v>242.114166847522</v>
      </c>
      <c r="B1086" s="3">
        <v>0.86192819758852801</v>
      </c>
      <c r="C1086" s="5">
        <v>3.49289423657819E-17</v>
      </c>
      <c r="D1086" s="6">
        <v>4.6910830848664298E-16</v>
      </c>
      <c r="E1086" s="3" t="s">
        <v>2589</v>
      </c>
      <c r="F1086" s="3" t="s">
        <v>2590</v>
      </c>
      <c r="G1086" s="3">
        <v>71398</v>
      </c>
      <c r="H1086" s="7" t="str">
        <f>HYPERLINK("http://www.ensembl.org/Mus_musculus/Gene/Summary?db=core;g=ENSMUSG00000025058","ENSMUSG00000025058")</f>
        <v>ENSMUSG00000025058</v>
      </c>
      <c r="I1086" s="7" t="str">
        <f>HYPERLINK("http://www.informatics.jax.org/marker/MGI:1918648","MGI:1918648")</f>
        <v>MGI:1918648</v>
      </c>
      <c r="J1086" s="4" t="s">
        <v>12</v>
      </c>
    </row>
    <row r="1087" spans="1:10" x14ac:dyDescent="0.25">
      <c r="A1087" s="2">
        <v>3413.3499848117599</v>
      </c>
      <c r="B1087" s="3">
        <v>0.85910264159060801</v>
      </c>
      <c r="C1087" s="5">
        <v>4.9701931937929802E-21</v>
      </c>
      <c r="D1087" s="6">
        <v>8.1752500863607403E-20</v>
      </c>
      <c r="E1087" s="3" t="s">
        <v>7394</v>
      </c>
      <c r="F1087" s="3" t="s">
        <v>7395</v>
      </c>
      <c r="G1087" s="3">
        <v>72145</v>
      </c>
      <c r="H1087" s="7" t="str">
        <f>HYPERLINK("http://www.ensembl.org/Mus_musculus/Gene/Summary?db=core;g=ENSMUSG00000043940","ENSMUSG00000043940")</f>
        <v>ENSMUSG00000043940</v>
      </c>
      <c r="I1087" s="7" t="str">
        <f>HYPERLINK("http://www.informatics.jax.org/marker/MGI:1096875","MGI:1096875")</f>
        <v>MGI:1096875</v>
      </c>
      <c r="J1087" s="4" t="s">
        <v>12</v>
      </c>
    </row>
    <row r="1088" spans="1:10" x14ac:dyDescent="0.25">
      <c r="A1088" s="2">
        <v>9085.6428922137893</v>
      </c>
      <c r="B1088" s="3">
        <v>0.85904059944578404</v>
      </c>
      <c r="C1088" s="5">
        <v>2.8838570047466001E-84</v>
      </c>
      <c r="D1088" s="6">
        <v>3.0557147622969099E-82</v>
      </c>
      <c r="E1088" s="3" t="s">
        <v>190</v>
      </c>
      <c r="F1088" s="3" t="s">
        <v>191</v>
      </c>
      <c r="G1088" s="3">
        <v>17210</v>
      </c>
      <c r="H1088" s="7" t="str">
        <f>HYPERLINK("http://www.ensembl.org/Mus_musculus/Gene/Summary?db=core;g=ENSMUSG00000038612","ENSMUSG00000038612")</f>
        <v>ENSMUSG00000038612</v>
      </c>
      <c r="I1088" s="7" t="str">
        <f>HYPERLINK("http://www.informatics.jax.org/marker/MGI:101769","MGI:101769")</f>
        <v>MGI:101769</v>
      </c>
      <c r="J1088" s="4" t="s">
        <v>12</v>
      </c>
    </row>
    <row r="1089" spans="1:10" x14ac:dyDescent="0.25">
      <c r="A1089" s="2">
        <v>677.56972705169403</v>
      </c>
      <c r="B1089" s="3">
        <v>0.85818686488378404</v>
      </c>
      <c r="C1089" s="5">
        <v>4.4323068776707797E-26</v>
      </c>
      <c r="D1089" s="6">
        <v>9.2956033193958602E-25</v>
      </c>
      <c r="E1089" s="3" t="s">
        <v>2333</v>
      </c>
      <c r="F1089" s="3" t="s">
        <v>2334</v>
      </c>
      <c r="G1089" s="3">
        <v>58244</v>
      </c>
      <c r="H1089" s="7" t="str">
        <f>HYPERLINK("http://www.ensembl.org/Mus_musculus/Gene/Summary?db=core;g=ENSMUSG00000026470","ENSMUSG00000026470")</f>
        <v>ENSMUSG00000026470</v>
      </c>
      <c r="I1089" s="7" t="str">
        <f>HYPERLINK("http://www.informatics.jax.org/marker/MGI:1926235","MGI:1926235")</f>
        <v>MGI:1926235</v>
      </c>
      <c r="J1089" s="4" t="s">
        <v>12</v>
      </c>
    </row>
    <row r="1090" spans="1:10" x14ac:dyDescent="0.25">
      <c r="A1090" s="2">
        <v>1067.80049892477</v>
      </c>
      <c r="B1090" s="3">
        <v>0.85727828870974898</v>
      </c>
      <c r="C1090" s="5">
        <v>9.6104437654924196E-58</v>
      </c>
      <c r="D1090" s="6">
        <v>5.4734480508156001E-56</v>
      </c>
      <c r="E1090" s="3" t="s">
        <v>314</v>
      </c>
      <c r="F1090" s="3" t="s">
        <v>315</v>
      </c>
      <c r="G1090" s="3">
        <v>99929</v>
      </c>
      <c r="H1090" s="7" t="str">
        <f>HYPERLINK("http://www.ensembl.org/Mus_musculus/Gene/Summary?db=core;g=ENSMUSG00000034640","ENSMUSG00000034640")</f>
        <v>ENSMUSG00000034640</v>
      </c>
      <c r="I1090" s="7" t="str">
        <f>HYPERLINK("http://www.informatics.jax.org/marker/MGI:2159210","MGI:2159210")</f>
        <v>MGI:2159210</v>
      </c>
      <c r="J1090" s="4" t="s">
        <v>12</v>
      </c>
    </row>
    <row r="1091" spans="1:10" x14ac:dyDescent="0.25">
      <c r="A1091" s="2">
        <v>80.296439982637807</v>
      </c>
      <c r="B1091" s="3">
        <v>0.85668458464597497</v>
      </c>
      <c r="C1091" s="5">
        <v>1.9992929573026799E-10</v>
      </c>
      <c r="D1091" s="6">
        <v>1.6660774644188999E-9</v>
      </c>
      <c r="E1091" s="3" t="s">
        <v>12531</v>
      </c>
      <c r="F1091" s="3" t="s">
        <v>12532</v>
      </c>
      <c r="G1091" s="3" t="s">
        <v>83</v>
      </c>
      <c r="H1091" s="7" t="str">
        <f>HYPERLINK("http://www.ensembl.org/Mus_musculus/Gene/Summary?db=core;g=ENSMUSG00000098702","ENSMUSG00000098702")</f>
        <v>ENSMUSG00000098702</v>
      </c>
      <c r="I1091" s="7" t="str">
        <f>HYPERLINK("http://www.informatics.jax.org/marker/MGI:1916232","MGI:1916232")</f>
        <v>MGI:1916232</v>
      </c>
      <c r="J1091" s="4" t="s">
        <v>932</v>
      </c>
    </row>
    <row r="1092" spans="1:10" x14ac:dyDescent="0.25">
      <c r="A1092" s="2">
        <v>5.98081624313585</v>
      </c>
      <c r="B1092" s="3">
        <v>0.85614585216062999</v>
      </c>
      <c r="C1092" s="3">
        <v>2.7128457672604599E-2</v>
      </c>
      <c r="D1092" s="4">
        <v>6.7368325532527404E-2</v>
      </c>
      <c r="E1092" s="3" t="s">
        <v>11459</v>
      </c>
      <c r="F1092" s="3" t="s">
        <v>11460</v>
      </c>
      <c r="G1092" s="3" t="s">
        <v>83</v>
      </c>
      <c r="H1092" s="7" t="str">
        <f>HYPERLINK("http://www.ensembl.org/Mus_musculus/Gene/Summary?db=core;g=ENSMUSG00000115044","ENSMUSG00000115044")</f>
        <v>ENSMUSG00000115044</v>
      </c>
      <c r="I1092" s="7" t="str">
        <f>HYPERLINK("http://www.informatics.jax.org/marker/MGI:6118322","MGI:6118322")</f>
        <v>MGI:6118322</v>
      </c>
      <c r="J1092" s="4" t="s">
        <v>1828</v>
      </c>
    </row>
    <row r="1093" spans="1:10" x14ac:dyDescent="0.25">
      <c r="A1093" s="2">
        <v>30.867102021289501</v>
      </c>
      <c r="B1093" s="3">
        <v>0.85564961856724797</v>
      </c>
      <c r="C1093" s="3">
        <v>4.8261672774381801E-4</v>
      </c>
      <c r="D1093" s="4">
        <v>1.7983418243980899E-3</v>
      </c>
      <c r="E1093" s="3" t="s">
        <v>6009</v>
      </c>
      <c r="F1093" s="3" t="s">
        <v>6010</v>
      </c>
      <c r="G1093" s="3" t="s">
        <v>83</v>
      </c>
      <c r="H1093" s="7" t="str">
        <f>HYPERLINK("http://www.ensembl.org/Mus_musculus/Gene/Summary?db=core;g=ENSMUSG00000115902","ENSMUSG00000115902")</f>
        <v>ENSMUSG00000115902</v>
      </c>
      <c r="I1093" s="3" t="s">
        <v>83</v>
      </c>
      <c r="J1093" s="4" t="s">
        <v>932</v>
      </c>
    </row>
    <row r="1094" spans="1:10" x14ac:dyDescent="0.25">
      <c r="A1094" s="2">
        <v>11.971838619868199</v>
      </c>
      <c r="B1094" s="3">
        <v>0.85527937688753397</v>
      </c>
      <c r="C1094" s="3">
        <v>6.1014516152181003E-3</v>
      </c>
      <c r="D1094" s="4">
        <v>1.7987537315973801E-2</v>
      </c>
      <c r="E1094" s="3" t="s">
        <v>9285</v>
      </c>
      <c r="F1094" s="3" t="s">
        <v>9286</v>
      </c>
      <c r="G1094" s="3" t="s">
        <v>83</v>
      </c>
      <c r="H1094" s="7" t="str">
        <f>HYPERLINK("http://www.ensembl.org/Mus_musculus/Gene/Summary?db=core;g=ENSMUSG00000102606","ENSMUSG00000102606")</f>
        <v>ENSMUSG00000102606</v>
      </c>
      <c r="I1094" s="7" t="str">
        <f>HYPERLINK("http://www.informatics.jax.org/marker/MGI:3647596","MGI:3647596")</f>
        <v>MGI:3647596</v>
      </c>
      <c r="J1094" s="4" t="s">
        <v>1043</v>
      </c>
    </row>
    <row r="1095" spans="1:10" x14ac:dyDescent="0.25">
      <c r="A1095" s="2">
        <v>24.295689538565401</v>
      </c>
      <c r="B1095" s="3">
        <v>0.853980080986944</v>
      </c>
      <c r="C1095" s="3">
        <v>4.1418994199995599E-4</v>
      </c>
      <c r="D1095" s="4">
        <v>1.5586644007741499E-3</v>
      </c>
      <c r="E1095" s="3" t="s">
        <v>10366</v>
      </c>
      <c r="F1095" s="3" t="s">
        <v>10367</v>
      </c>
      <c r="G1095" s="3" t="s">
        <v>83</v>
      </c>
      <c r="H1095" s="7" t="str">
        <f>HYPERLINK("http://www.ensembl.org/Mus_musculus/Gene/Summary?db=core;g=ENSMUSG00000107019","ENSMUSG00000107019")</f>
        <v>ENSMUSG00000107019</v>
      </c>
      <c r="I1095" s="7" t="str">
        <f>HYPERLINK("http://www.informatics.jax.org/marker/MGI:5663819","MGI:5663819")</f>
        <v>MGI:5663819</v>
      </c>
      <c r="J1095" s="4" t="s">
        <v>1828</v>
      </c>
    </row>
    <row r="1096" spans="1:10" x14ac:dyDescent="0.25">
      <c r="A1096" s="2">
        <v>1545.61107424225</v>
      </c>
      <c r="B1096" s="3">
        <v>0.85370568542874103</v>
      </c>
      <c r="C1096" s="5">
        <v>2.6513116806756399E-16</v>
      </c>
      <c r="D1096" s="6">
        <v>3.39804186922036E-15</v>
      </c>
      <c r="E1096" s="3" t="s">
        <v>3050</v>
      </c>
      <c r="F1096" s="3" t="s">
        <v>3051</v>
      </c>
      <c r="G1096" s="3">
        <v>66940</v>
      </c>
      <c r="H1096" s="7" t="str">
        <f>HYPERLINK("http://www.ensembl.org/Mus_musculus/Gene/Summary?db=core;g=ENSMUSG00000025647","ENSMUSG00000025647")</f>
        <v>ENSMUSG00000025647</v>
      </c>
      <c r="I1096" s="7" t="str">
        <f>HYPERLINK("http://www.informatics.jax.org/marker/MGI:1915044","MGI:1915044")</f>
        <v>MGI:1915044</v>
      </c>
      <c r="J1096" s="4" t="s">
        <v>12</v>
      </c>
    </row>
    <row r="1097" spans="1:10" x14ac:dyDescent="0.25">
      <c r="A1097" s="2">
        <v>47.181606017409301</v>
      </c>
      <c r="B1097" s="3">
        <v>0.85253296329270201</v>
      </c>
      <c r="C1097" s="5">
        <v>4.1908311062580498E-5</v>
      </c>
      <c r="D1097" s="4">
        <v>1.85962292320701E-4</v>
      </c>
      <c r="E1097" s="3" t="s">
        <v>8483</v>
      </c>
      <c r="F1097" s="3" t="s">
        <v>8484</v>
      </c>
      <c r="G1097" s="3" t="s">
        <v>83</v>
      </c>
      <c r="H1097" s="7" t="str">
        <f>HYPERLINK("http://www.ensembl.org/Mus_musculus/Gene/Summary?db=core;g=ENSMUSG00000087484","ENSMUSG00000087484")</f>
        <v>ENSMUSG00000087484</v>
      </c>
      <c r="I1097" s="7" t="str">
        <f>HYPERLINK("http://www.informatics.jax.org/marker/MGI:1914527","MGI:1914527")</f>
        <v>MGI:1914527</v>
      </c>
      <c r="J1097" s="4" t="s">
        <v>932</v>
      </c>
    </row>
    <row r="1098" spans="1:10" x14ac:dyDescent="0.25">
      <c r="A1098" s="2">
        <v>7.3822255815429303</v>
      </c>
      <c r="B1098" s="3">
        <v>0.85028428122096</v>
      </c>
      <c r="C1098" s="3">
        <v>1.79913168428904E-2</v>
      </c>
      <c r="D1098" s="4">
        <v>4.7077063813593202E-2</v>
      </c>
      <c r="E1098" s="3" t="s">
        <v>13411</v>
      </c>
      <c r="F1098" s="3" t="s">
        <v>13412</v>
      </c>
      <c r="G1098" s="3">
        <v>12354</v>
      </c>
      <c r="H1098" s="7" t="str">
        <f>HYPERLINK("http://www.ensembl.org/Mus_musculus/Gene/Summary?db=core;g=ENSMUSG00000031883","ENSMUSG00000031883")</f>
        <v>ENSMUSG00000031883</v>
      </c>
      <c r="I1098" s="7" t="str">
        <f>HYPERLINK("http://www.informatics.jax.org/marker/MGI:103100","MGI:103100")</f>
        <v>MGI:103100</v>
      </c>
      <c r="J1098" s="4" t="s">
        <v>12</v>
      </c>
    </row>
    <row r="1099" spans="1:10" x14ac:dyDescent="0.25">
      <c r="A1099" s="2">
        <v>2422.7055185814202</v>
      </c>
      <c r="B1099" s="3">
        <v>0.84859015963599604</v>
      </c>
      <c r="C1099" s="5">
        <v>5.2240571582705097E-28</v>
      </c>
      <c r="D1099" s="6">
        <v>1.19159501513742E-26</v>
      </c>
      <c r="E1099" s="3" t="s">
        <v>798</v>
      </c>
      <c r="F1099" s="3" t="s">
        <v>799</v>
      </c>
      <c r="G1099" s="3">
        <v>11750</v>
      </c>
      <c r="H1099" s="7" t="str">
        <f>HYPERLINK("http://www.ensembl.org/Mus_musculus/Gene/Summary?db=core;g=ENSMUSG00000021814","ENSMUSG00000021814")</f>
        <v>ENSMUSG00000021814</v>
      </c>
      <c r="I1099" s="7" t="str">
        <f>HYPERLINK("http://www.informatics.jax.org/marker/MGI:88031","MGI:88031")</f>
        <v>MGI:88031</v>
      </c>
      <c r="J1099" s="4" t="s">
        <v>12</v>
      </c>
    </row>
    <row r="1100" spans="1:10" x14ac:dyDescent="0.25">
      <c r="A1100" s="2">
        <v>791.48493522681599</v>
      </c>
      <c r="B1100" s="3">
        <v>0.848502965138903</v>
      </c>
      <c r="C1100" s="5">
        <v>7.8276145300338199E-23</v>
      </c>
      <c r="D1100" s="6">
        <v>1.40827517087726E-21</v>
      </c>
      <c r="E1100" s="3" t="s">
        <v>2287</v>
      </c>
      <c r="F1100" s="3" t="s">
        <v>2288</v>
      </c>
      <c r="G1100" s="3">
        <v>72123</v>
      </c>
      <c r="H1100" s="7" t="str">
        <f>HYPERLINK("http://www.ensembl.org/Mus_musculus/Gene/Summary?db=core;g=ENSMUSG00000090946","ENSMUSG00000090946")</f>
        <v>ENSMUSG00000090946</v>
      </c>
      <c r="I1100" s="7" t="str">
        <f>HYPERLINK("http://www.informatics.jax.org/marker/MGI:1919373","MGI:1919373")</f>
        <v>MGI:1919373</v>
      </c>
      <c r="J1100" s="4" t="s">
        <v>12</v>
      </c>
    </row>
    <row r="1101" spans="1:10" x14ac:dyDescent="0.25">
      <c r="A1101" s="2">
        <v>1522.87711828139</v>
      </c>
      <c r="B1101" s="3">
        <v>0.84629959409218403</v>
      </c>
      <c r="C1101" s="5">
        <v>2.20003202064759E-32</v>
      </c>
      <c r="D1101" s="6">
        <v>5.9225381944316603E-31</v>
      </c>
      <c r="E1101" s="3" t="s">
        <v>4975</v>
      </c>
      <c r="F1101" s="3" t="s">
        <v>4976</v>
      </c>
      <c r="G1101" s="3">
        <v>107895</v>
      </c>
      <c r="H1101" s="7" t="str">
        <f>HYPERLINK("http://www.ensembl.org/Mus_musculus/Gene/Summary?db=core;g=ENSMUSG00000036155","ENSMUSG00000036155")</f>
        <v>ENSMUSG00000036155</v>
      </c>
      <c r="I1101" s="7" t="str">
        <f>HYPERLINK("http://www.informatics.jax.org/marker/MGI:894701","MGI:894701")</f>
        <v>MGI:894701</v>
      </c>
      <c r="J1101" s="4" t="s">
        <v>12</v>
      </c>
    </row>
    <row r="1102" spans="1:10" x14ac:dyDescent="0.25">
      <c r="A1102" s="2">
        <v>116.33807760213401</v>
      </c>
      <c r="B1102" s="3">
        <v>0.84560315869569702</v>
      </c>
      <c r="C1102" s="5">
        <v>4.3530240024043398E-6</v>
      </c>
      <c r="D1102" s="6">
        <v>2.2423364172928001E-5</v>
      </c>
      <c r="E1102" s="3" t="s">
        <v>11337</v>
      </c>
      <c r="F1102" s="3" t="s">
        <v>11338</v>
      </c>
      <c r="G1102" s="3" t="s">
        <v>83</v>
      </c>
      <c r="H1102" s="7" t="str">
        <f>HYPERLINK("http://www.ensembl.org/Mus_musculus/Gene/Summary?db=core;g=ENSMUSG00000086813","ENSMUSG00000086813")</f>
        <v>ENSMUSG00000086813</v>
      </c>
      <c r="I1102" s="7" t="str">
        <f>HYPERLINK("http://www.informatics.jax.org/marker/MGI:3650031","MGI:3650031")</f>
        <v>MGI:3650031</v>
      </c>
      <c r="J1102" s="4" t="s">
        <v>331</v>
      </c>
    </row>
    <row r="1103" spans="1:10" x14ac:dyDescent="0.25">
      <c r="A1103" s="2">
        <v>815.37455381199095</v>
      </c>
      <c r="B1103" s="3">
        <v>0.84475895874570295</v>
      </c>
      <c r="C1103" s="5">
        <v>9.2432933992510207E-25</v>
      </c>
      <c r="D1103" s="6">
        <v>1.81724943043527E-23</v>
      </c>
      <c r="E1103" s="3" t="s">
        <v>1035</v>
      </c>
      <c r="F1103" s="3" t="s">
        <v>1036</v>
      </c>
      <c r="G1103" s="3">
        <v>12362</v>
      </c>
      <c r="H1103" s="7" t="str">
        <f>HYPERLINK("http://www.ensembl.org/Mus_musculus/Gene/Summary?db=core;g=ENSMUSG00000025888","ENSMUSG00000025888")</f>
        <v>ENSMUSG00000025888</v>
      </c>
      <c r="I1103" s="7" t="str">
        <f>HYPERLINK("http://www.informatics.jax.org/marker/MGI:96544","MGI:96544")</f>
        <v>MGI:96544</v>
      </c>
      <c r="J1103" s="4" t="s">
        <v>12</v>
      </c>
    </row>
    <row r="1104" spans="1:10" x14ac:dyDescent="0.25">
      <c r="A1104" s="2">
        <v>1.1673012098689499</v>
      </c>
      <c r="B1104" s="3">
        <v>0.84464908959377605</v>
      </c>
      <c r="C1104" s="3">
        <v>5.6851440096222297E-2</v>
      </c>
      <c r="D1104" s="4">
        <v>0.127177794986333</v>
      </c>
      <c r="E1104" s="3" t="s">
        <v>12447</v>
      </c>
      <c r="F1104" s="3" t="s">
        <v>12448</v>
      </c>
      <c r="G1104" s="3" t="s">
        <v>83</v>
      </c>
      <c r="H1104" s="7" t="str">
        <f>HYPERLINK("http://www.ensembl.org/Mus_musculus/Gene/Summary?db=core;g=ENSMUSG00000107715","ENSMUSG00000107715")</f>
        <v>ENSMUSG00000107715</v>
      </c>
      <c r="I1104" s="7" t="str">
        <f>HYPERLINK("http://www.informatics.jax.org/marker/MGI:5690527","MGI:5690527")</f>
        <v>MGI:5690527</v>
      </c>
      <c r="J1104" s="4" t="s">
        <v>1828</v>
      </c>
    </row>
    <row r="1105" spans="1:10" x14ac:dyDescent="0.25">
      <c r="A1105" s="2">
        <v>242.43953575255</v>
      </c>
      <c r="B1105" s="3">
        <v>0.83842692105086003</v>
      </c>
      <c r="C1105" s="5">
        <v>5.42511997786514E-19</v>
      </c>
      <c r="D1105" s="6">
        <v>8.0778440846888993E-18</v>
      </c>
      <c r="E1105" s="3" t="s">
        <v>2868</v>
      </c>
      <c r="F1105" s="3" t="s">
        <v>2869</v>
      </c>
      <c r="G1105" s="3">
        <v>68818</v>
      </c>
      <c r="H1105" s="7" t="str">
        <f>HYPERLINK("http://www.ensembl.org/Mus_musculus/Gene/Summary?db=core;g=ENSMUSG00000026197","ENSMUSG00000026197")</f>
        <v>ENSMUSG00000026197</v>
      </c>
      <c r="I1105" s="7" t="str">
        <f>HYPERLINK("http://www.informatics.jax.org/marker/MGI:1916068","MGI:1916068")</f>
        <v>MGI:1916068</v>
      </c>
      <c r="J1105" s="4" t="s">
        <v>12</v>
      </c>
    </row>
    <row r="1106" spans="1:10" x14ac:dyDescent="0.25">
      <c r="A1106" s="2">
        <v>517.11886651254804</v>
      </c>
      <c r="B1106" s="3">
        <v>0.83801577137416305</v>
      </c>
      <c r="C1106" s="5">
        <v>1.4278850000658401E-19</v>
      </c>
      <c r="D1106" s="6">
        <v>2.1749377097353699E-18</v>
      </c>
      <c r="E1106" s="3" t="s">
        <v>1816</v>
      </c>
      <c r="F1106" s="3" t="s">
        <v>1817</v>
      </c>
      <c r="G1106" s="3">
        <v>268749</v>
      </c>
      <c r="H1106" s="7" t="str">
        <f>HYPERLINK("http://www.ensembl.org/Mus_musculus/Gene/Summary?db=core;g=ENSMUSG00000047098","ENSMUSG00000047098")</f>
        <v>ENSMUSG00000047098</v>
      </c>
      <c r="I1106" s="7" t="str">
        <f>HYPERLINK("http://www.informatics.jax.org/marker/MGI:1934704","MGI:1934704")</f>
        <v>MGI:1934704</v>
      </c>
      <c r="J1106" s="4" t="s">
        <v>12</v>
      </c>
    </row>
    <row r="1107" spans="1:10" x14ac:dyDescent="0.25">
      <c r="A1107" s="2">
        <v>88.005025596014093</v>
      </c>
      <c r="B1107" s="3">
        <v>0.837656322655976</v>
      </c>
      <c r="C1107" s="5">
        <v>2.0797756017189099E-5</v>
      </c>
      <c r="D1107" s="6">
        <v>9.6891386353085502E-5</v>
      </c>
      <c r="E1107" s="3" t="s">
        <v>5661</v>
      </c>
      <c r="F1107" s="3" t="s">
        <v>5662</v>
      </c>
      <c r="G1107" s="3">
        <v>76073</v>
      </c>
      <c r="H1107" s="7" t="str">
        <f>HYPERLINK("http://www.ensembl.org/Mus_musculus/Gene/Summary?db=core;g=ENSMUSG00000024805","ENSMUSG00000024805")</f>
        <v>ENSMUSG00000024805</v>
      </c>
      <c r="I1107" s="7" t="str">
        <f>HYPERLINK("http://www.informatics.jax.org/marker/MGI:1923505","MGI:1923505")</f>
        <v>MGI:1923505</v>
      </c>
      <c r="J1107" s="4" t="s">
        <v>12</v>
      </c>
    </row>
    <row r="1108" spans="1:10" x14ac:dyDescent="0.25">
      <c r="A1108" s="2">
        <v>772.51301932281899</v>
      </c>
      <c r="B1108" s="3">
        <v>0.83760140920783299</v>
      </c>
      <c r="C1108" s="5">
        <v>7.7274003470253397E-17</v>
      </c>
      <c r="D1108" s="6">
        <v>1.02052080669954E-15</v>
      </c>
      <c r="E1108" s="3" t="s">
        <v>3464</v>
      </c>
      <c r="F1108" s="3" t="s">
        <v>3465</v>
      </c>
      <c r="G1108" s="3">
        <v>66205</v>
      </c>
      <c r="H1108" s="7" t="str">
        <f>HYPERLINK("http://www.ensembl.org/Mus_musculus/Gene/Summary?db=core;g=ENSMUSG00000060703","ENSMUSG00000060703")</f>
        <v>ENSMUSG00000060703</v>
      </c>
      <c r="I1108" s="7" t="str">
        <f>HYPERLINK("http://www.informatics.jax.org/marker/MGI:1913455","MGI:1913455")</f>
        <v>MGI:1913455</v>
      </c>
      <c r="J1108" s="4" t="s">
        <v>12</v>
      </c>
    </row>
    <row r="1109" spans="1:10" x14ac:dyDescent="0.25">
      <c r="A1109" s="2">
        <v>868.11338603968397</v>
      </c>
      <c r="B1109" s="3">
        <v>0.837505359658542</v>
      </c>
      <c r="C1109" s="5">
        <v>4.8733896835760898E-22</v>
      </c>
      <c r="D1109" s="6">
        <v>8.4668757848593106E-21</v>
      </c>
      <c r="E1109" s="3" t="s">
        <v>2952</v>
      </c>
      <c r="F1109" s="3" t="s">
        <v>2953</v>
      </c>
      <c r="G1109" s="3">
        <v>67048</v>
      </c>
      <c r="H1109" s="7" t="str">
        <f>HYPERLINK("http://www.ensembl.org/Mus_musculus/Gene/Summary?db=core;g=ENSMUSG00000073131","ENSMUSG00000073131")</f>
        <v>ENSMUSG00000073131</v>
      </c>
      <c r="I1109" s="7" t="str">
        <f>HYPERLINK("http://www.informatics.jax.org/marker/MGI:1914298","MGI:1914298")</f>
        <v>MGI:1914298</v>
      </c>
      <c r="J1109" s="4" t="s">
        <v>12</v>
      </c>
    </row>
    <row r="1110" spans="1:10" x14ac:dyDescent="0.25">
      <c r="A1110" s="2">
        <v>145.184635259728</v>
      </c>
      <c r="B1110" s="3">
        <v>0.83579804783179201</v>
      </c>
      <c r="C1110" s="5">
        <v>4.3596782314557999E-14</v>
      </c>
      <c r="D1110" s="6">
        <v>4.8154627738352697E-13</v>
      </c>
      <c r="E1110" s="3" t="s">
        <v>2834</v>
      </c>
      <c r="F1110" s="3" t="s">
        <v>2835</v>
      </c>
      <c r="G1110" s="3">
        <v>103213</v>
      </c>
      <c r="H1110" s="7" t="str">
        <f>HYPERLINK("http://www.ensembl.org/Mus_musculus/Gene/Summary?db=core;g=ENSMUSG00000019842","ENSMUSG00000019842")</f>
        <v>ENSMUSG00000019842</v>
      </c>
      <c r="I1110" s="7" t="str">
        <f>HYPERLINK("http://www.informatics.jax.org/marker/MGI:2143599","MGI:2143599")</f>
        <v>MGI:2143599</v>
      </c>
      <c r="J1110" s="4" t="s">
        <v>12</v>
      </c>
    </row>
    <row r="1111" spans="1:10" x14ac:dyDescent="0.25">
      <c r="A1111" s="2">
        <v>737.53705935871699</v>
      </c>
      <c r="B1111" s="3">
        <v>0.83514329017338695</v>
      </c>
      <c r="C1111" s="5">
        <v>1.63085290889621E-15</v>
      </c>
      <c r="D1111" s="6">
        <v>1.9749032733975701E-14</v>
      </c>
      <c r="E1111" s="3" t="s">
        <v>2754</v>
      </c>
      <c r="F1111" s="3" t="s">
        <v>2755</v>
      </c>
      <c r="G1111" s="3">
        <v>212943</v>
      </c>
      <c r="H1111" s="7" t="str">
        <f>HYPERLINK("http://www.ensembl.org/Mus_musculus/Gene/Summary?db=core;g=ENSMUSG00000032265","ENSMUSG00000032265")</f>
        <v>ENSMUSG00000032265</v>
      </c>
      <c r="I1111" s="7" t="str">
        <f>HYPERLINK("http://www.informatics.jax.org/marker/MGI:2670964","MGI:2670964")</f>
        <v>MGI:2670964</v>
      </c>
      <c r="J1111" s="4" t="s">
        <v>12</v>
      </c>
    </row>
    <row r="1112" spans="1:10" x14ac:dyDescent="0.25">
      <c r="A1112" s="2">
        <v>64.780785371004498</v>
      </c>
      <c r="B1112" s="3">
        <v>0.834033166414482</v>
      </c>
      <c r="C1112" s="5">
        <v>6.0180494877584094E-8</v>
      </c>
      <c r="D1112" s="6">
        <v>3.8470344410521599E-7</v>
      </c>
      <c r="E1112" s="3" t="s">
        <v>5659</v>
      </c>
      <c r="F1112" s="3" t="s">
        <v>5660</v>
      </c>
      <c r="G1112" s="3">
        <v>18710</v>
      </c>
      <c r="H1112" s="7" t="str">
        <f>HYPERLINK("http://www.ensembl.org/Mus_musculus/Gene/Summary?db=core;g=ENSMUSG00000028698","ENSMUSG00000028698")</f>
        <v>ENSMUSG00000028698</v>
      </c>
      <c r="I1112" s="7" t="str">
        <f>HYPERLINK("http://www.informatics.jax.org/marker/MGI:109277","MGI:109277")</f>
        <v>MGI:109277</v>
      </c>
      <c r="J1112" s="4" t="s">
        <v>12</v>
      </c>
    </row>
    <row r="1113" spans="1:10" x14ac:dyDescent="0.25">
      <c r="A1113" s="2">
        <v>133.77052803396401</v>
      </c>
      <c r="B1113" s="3">
        <v>0.83346850607457401</v>
      </c>
      <c r="C1113" s="5">
        <v>3.6009132385333202E-14</v>
      </c>
      <c r="D1113" s="6">
        <v>3.99918609215538E-13</v>
      </c>
      <c r="E1113" s="3" t="s">
        <v>1614</v>
      </c>
      <c r="F1113" s="3" t="s">
        <v>1615</v>
      </c>
      <c r="G1113" s="3">
        <v>109082</v>
      </c>
      <c r="H1113" s="7" t="str">
        <f>HYPERLINK("http://www.ensembl.org/Mus_musculus/Gene/Summary?db=core;g=ENSMUSG00000037816","ENSMUSG00000037816")</f>
        <v>ENSMUSG00000037816</v>
      </c>
      <c r="I1113" s="7" t="str">
        <f>HYPERLINK("http://www.informatics.jax.org/marker/MGI:1923584","MGI:1923584")</f>
        <v>MGI:1923584</v>
      </c>
      <c r="J1113" s="4" t="s">
        <v>12</v>
      </c>
    </row>
    <row r="1114" spans="1:10" x14ac:dyDescent="0.25">
      <c r="A1114" s="2">
        <v>159.77634039500001</v>
      </c>
      <c r="B1114" s="3">
        <v>0.83274993095646899</v>
      </c>
      <c r="C1114" s="5">
        <v>3.4889225917408598E-8</v>
      </c>
      <c r="D1114" s="6">
        <v>2.28396602853725E-7</v>
      </c>
      <c r="E1114" s="3" t="s">
        <v>4809</v>
      </c>
      <c r="F1114" s="3" t="s">
        <v>4810</v>
      </c>
      <c r="G1114" s="3">
        <v>68591</v>
      </c>
      <c r="H1114" s="7" t="str">
        <f>HYPERLINK("http://www.ensembl.org/Mus_musculus/Gene/Summary?db=core;g=ENSMUSG00000039616","ENSMUSG00000039616")</f>
        <v>ENSMUSG00000039616</v>
      </c>
      <c r="I1114" s="7" t="str">
        <f>HYPERLINK("http://www.informatics.jax.org/marker/MGI:1915841","MGI:1915841")</f>
        <v>MGI:1915841</v>
      </c>
      <c r="J1114" s="4" t="s">
        <v>12</v>
      </c>
    </row>
    <row r="1115" spans="1:10" x14ac:dyDescent="0.25">
      <c r="A1115" s="2">
        <v>1787.3345764630201</v>
      </c>
      <c r="B1115" s="3">
        <v>0.83193524333422297</v>
      </c>
      <c r="C1115" s="5">
        <v>3.1238600229279898E-17</v>
      </c>
      <c r="D1115" s="6">
        <v>4.2078602304406998E-16</v>
      </c>
      <c r="E1115" s="3" t="s">
        <v>1556</v>
      </c>
      <c r="F1115" s="3" t="s">
        <v>1557</v>
      </c>
      <c r="G1115" s="3">
        <v>434341</v>
      </c>
      <c r="H1115" s="7" t="str">
        <f>HYPERLINK("http://www.ensembl.org/Mus_musculus/Gene/Summary?db=core;g=ENSMUSG00000074151","ENSMUSG00000074151")</f>
        <v>ENSMUSG00000074151</v>
      </c>
      <c r="I1115" s="7" t="str">
        <f>HYPERLINK("http://www.informatics.jax.org/marker/MGI:3612191","MGI:3612191")</f>
        <v>MGI:3612191</v>
      </c>
      <c r="J1115" s="4" t="s">
        <v>12</v>
      </c>
    </row>
    <row r="1116" spans="1:10" x14ac:dyDescent="0.25">
      <c r="A1116" s="2">
        <v>71.944952525001597</v>
      </c>
      <c r="B1116" s="3">
        <v>0.83123030157317401</v>
      </c>
      <c r="C1116" s="5">
        <v>1.3185454359492099E-5</v>
      </c>
      <c r="D1116" s="6">
        <v>6.3354839362442497E-5</v>
      </c>
      <c r="E1116" s="3" t="s">
        <v>6888</v>
      </c>
      <c r="F1116" s="3" t="s">
        <v>6889</v>
      </c>
      <c r="G1116" s="3">
        <v>244144</v>
      </c>
      <c r="H1116" s="7" t="str">
        <f>HYPERLINK("http://www.ensembl.org/Mus_musculus/Gene/Summary?db=core;g=ENSMUSG00000035713","ENSMUSG00000035713")</f>
        <v>ENSMUSG00000035713</v>
      </c>
      <c r="I1116" s="7" t="str">
        <f>HYPERLINK("http://www.informatics.jax.org/marker/MGI:2685339","MGI:2685339")</f>
        <v>MGI:2685339</v>
      </c>
      <c r="J1116" s="4" t="s">
        <v>12</v>
      </c>
    </row>
    <row r="1117" spans="1:10" x14ac:dyDescent="0.25">
      <c r="A1117" s="2">
        <v>3518.3939046445098</v>
      </c>
      <c r="B1117" s="3">
        <v>0.830742232596692</v>
      </c>
      <c r="C1117" s="5">
        <v>1.6796812436231301E-41</v>
      </c>
      <c r="D1117" s="6">
        <v>6.1470262379581304E-40</v>
      </c>
      <c r="E1117" s="3" t="s">
        <v>1502</v>
      </c>
      <c r="F1117" s="3" t="s">
        <v>1503</v>
      </c>
      <c r="G1117" s="3">
        <v>24136</v>
      </c>
      <c r="H1117" s="7" t="str">
        <f>HYPERLINK("http://www.ensembl.org/Mus_musculus/Gene/Summary?db=core;g=ENSMUSG00000026872","ENSMUSG00000026872")</f>
        <v>ENSMUSG00000026872</v>
      </c>
      <c r="I1117" s="7" t="str">
        <f>HYPERLINK("http://www.informatics.jax.org/marker/MGI:1344407","MGI:1344407")</f>
        <v>MGI:1344407</v>
      </c>
      <c r="J1117" s="4" t="s">
        <v>12</v>
      </c>
    </row>
    <row r="1118" spans="1:10" x14ac:dyDescent="0.25">
      <c r="A1118" s="2">
        <v>2.0969445370630999</v>
      </c>
      <c r="B1118" s="3">
        <v>0.829846979257579</v>
      </c>
      <c r="C1118" s="3">
        <v>7.7901268405301594E-2</v>
      </c>
      <c r="D1118" s="4">
        <v>0.16562653017809401</v>
      </c>
      <c r="E1118" s="3" t="s">
        <v>12489</v>
      </c>
      <c r="F1118" s="3" t="s">
        <v>12490</v>
      </c>
      <c r="G1118" s="3">
        <v>17880</v>
      </c>
      <c r="H1118" s="7" t="str">
        <f>HYPERLINK("http://www.ensembl.org/Mus_musculus/Gene/Summary?db=core;g=ENSMUSG00000018830","ENSMUSG00000018830")</f>
        <v>ENSMUSG00000018830</v>
      </c>
      <c r="I1118" s="7" t="str">
        <f>HYPERLINK("http://www.informatics.jax.org/marker/MGI:102643","MGI:102643")</f>
        <v>MGI:102643</v>
      </c>
      <c r="J1118" s="4" t="s">
        <v>12</v>
      </c>
    </row>
    <row r="1119" spans="1:10" x14ac:dyDescent="0.25">
      <c r="A1119" s="2">
        <v>777.91249998589501</v>
      </c>
      <c r="B1119" s="3">
        <v>0.829162373854472</v>
      </c>
      <c r="C1119" s="5">
        <v>7.8681575522804599E-16</v>
      </c>
      <c r="D1119" s="6">
        <v>9.7549096183885298E-15</v>
      </c>
      <c r="E1119" s="3" t="s">
        <v>3352</v>
      </c>
      <c r="F1119" s="3" t="s">
        <v>3353</v>
      </c>
      <c r="G1119" s="3">
        <v>12226</v>
      </c>
      <c r="H1119" s="7" t="str">
        <f>HYPERLINK("http://www.ensembl.org/Mus_musculus/Gene/Summary?db=core;g=ENSMUSG00000036478","ENSMUSG00000036478")</f>
        <v>ENSMUSG00000036478</v>
      </c>
      <c r="I1119" s="7" t="str">
        <f>HYPERLINK("http://www.informatics.jax.org/marker/MGI:88215","MGI:88215")</f>
        <v>MGI:88215</v>
      </c>
      <c r="J1119" s="4" t="s">
        <v>12</v>
      </c>
    </row>
    <row r="1120" spans="1:10" x14ac:dyDescent="0.25">
      <c r="A1120" s="2">
        <v>1.53183116108184</v>
      </c>
      <c r="B1120" s="3">
        <v>0.82759209102210196</v>
      </c>
      <c r="C1120" s="3">
        <v>7.2842814944442599E-2</v>
      </c>
      <c r="D1120" s="4">
        <v>0.15647811201820699</v>
      </c>
      <c r="E1120" s="3" t="s">
        <v>10577</v>
      </c>
      <c r="F1120" s="3" t="s">
        <v>10578</v>
      </c>
      <c r="G1120" s="3" t="s">
        <v>83</v>
      </c>
      <c r="H1120" s="7" t="str">
        <f>HYPERLINK("http://www.ensembl.org/Mus_musculus/Gene/Summary?db=core;g=ENSMUSG00000085363","ENSMUSG00000085363")</f>
        <v>ENSMUSG00000085363</v>
      </c>
      <c r="I1120" s="7" t="str">
        <f>HYPERLINK("http://www.informatics.jax.org/marker/MGI:3705145","MGI:3705145")</f>
        <v>MGI:3705145</v>
      </c>
      <c r="J1120" s="4" t="s">
        <v>932</v>
      </c>
    </row>
    <row r="1121" spans="1:10" x14ac:dyDescent="0.25">
      <c r="A1121" s="2">
        <v>4926.8135630657598</v>
      </c>
      <c r="B1121" s="3">
        <v>0.82626764966674304</v>
      </c>
      <c r="C1121" s="5">
        <v>3.28323425042194E-43</v>
      </c>
      <c r="D1121" s="6">
        <v>1.27312647263702E-41</v>
      </c>
      <c r="E1121" s="3" t="s">
        <v>1306</v>
      </c>
      <c r="F1121" s="3" t="s">
        <v>1307</v>
      </c>
      <c r="G1121" s="3">
        <v>57296</v>
      </c>
      <c r="H1121" s="7" t="str">
        <f>HYPERLINK("http://www.ensembl.org/Mus_musculus/Gene/Summary?db=core;g=ENSMUSG00000030591","ENSMUSG00000030591")</f>
        <v>ENSMUSG00000030591</v>
      </c>
      <c r="I1121" s="7" t="str">
        <f>HYPERLINK("http://www.informatics.jax.org/marker/MGI:1888669","MGI:1888669")</f>
        <v>MGI:1888669</v>
      </c>
      <c r="J1121" s="4" t="s">
        <v>12</v>
      </c>
    </row>
    <row r="1122" spans="1:10" x14ac:dyDescent="0.25">
      <c r="A1122" s="2">
        <v>4113.3195203191199</v>
      </c>
      <c r="B1122" s="3">
        <v>0.82491912124404398</v>
      </c>
      <c r="C1122" s="5">
        <v>7.7709775409081101E-23</v>
      </c>
      <c r="D1122" s="6">
        <v>1.40085129261177E-21</v>
      </c>
      <c r="E1122" s="3" t="s">
        <v>3280</v>
      </c>
      <c r="F1122" s="3" t="s">
        <v>3281</v>
      </c>
      <c r="G1122" s="3">
        <v>12359</v>
      </c>
      <c r="H1122" s="7" t="str">
        <f>HYPERLINK("http://www.ensembl.org/Mus_musculus/Gene/Summary?db=core;g=ENSMUSG00000027187","ENSMUSG00000027187")</f>
        <v>ENSMUSG00000027187</v>
      </c>
      <c r="I1122" s="7" t="str">
        <f>HYPERLINK("http://www.informatics.jax.org/marker/MGI:88271","MGI:88271")</f>
        <v>MGI:88271</v>
      </c>
      <c r="J1122" s="4" t="s">
        <v>12</v>
      </c>
    </row>
    <row r="1123" spans="1:10" x14ac:dyDescent="0.25">
      <c r="A1123" s="2">
        <v>2681.2434571043</v>
      </c>
      <c r="B1123" s="3">
        <v>0.82392210697651702</v>
      </c>
      <c r="C1123" s="5">
        <v>1.1387528346475401E-16</v>
      </c>
      <c r="D1123" s="6">
        <v>1.4909317824318499E-15</v>
      </c>
      <c r="E1123" s="3" t="s">
        <v>3430</v>
      </c>
      <c r="F1123" s="3" t="s">
        <v>3431</v>
      </c>
      <c r="G1123" s="3">
        <v>12267</v>
      </c>
      <c r="H1123" s="7" t="str">
        <f>HYPERLINK("http://www.ensembl.org/Mus_musculus/Gene/Summary?db=core;g=ENSMUSG00000040552","ENSMUSG00000040552")</f>
        <v>ENSMUSG00000040552</v>
      </c>
      <c r="I1123" s="7" t="str">
        <f>HYPERLINK("http://www.informatics.jax.org/marker/MGI:1097680","MGI:1097680")</f>
        <v>MGI:1097680</v>
      </c>
      <c r="J1123" s="4" t="s">
        <v>12</v>
      </c>
    </row>
    <row r="1124" spans="1:10" x14ac:dyDescent="0.25">
      <c r="A1124" s="2">
        <v>2242.4178935834698</v>
      </c>
      <c r="B1124" s="3">
        <v>0.82214573295446902</v>
      </c>
      <c r="C1124" s="5">
        <v>7.4955647905074404E-37</v>
      </c>
      <c r="D1124" s="6">
        <v>2.31536725944065E-35</v>
      </c>
      <c r="E1124" s="3" t="s">
        <v>1786</v>
      </c>
      <c r="F1124" s="3" t="s">
        <v>1787</v>
      </c>
      <c r="G1124" s="3">
        <v>228536</v>
      </c>
      <c r="H1124" s="7" t="str">
        <f>HYPERLINK("http://www.ensembl.org/Mus_musculus/Gene/Summary?db=core;g=ENSMUSG00000040007","ENSMUSG00000040007")</f>
        <v>ENSMUSG00000040007</v>
      </c>
      <c r="I1124" s="7" t="str">
        <f>HYPERLINK("http://www.informatics.jax.org/marker/MGI:2139371","MGI:2139371")</f>
        <v>MGI:2139371</v>
      </c>
      <c r="J1124" s="4" t="s">
        <v>12</v>
      </c>
    </row>
    <row r="1125" spans="1:10" x14ac:dyDescent="0.25">
      <c r="A1125" s="2">
        <v>2533.5912319600802</v>
      </c>
      <c r="B1125" s="3">
        <v>0.82135335745544102</v>
      </c>
      <c r="C1125" s="5">
        <v>1.57975012593023E-5</v>
      </c>
      <c r="D1125" s="6">
        <v>7.4956901965838097E-5</v>
      </c>
      <c r="E1125" s="3" t="s">
        <v>5669</v>
      </c>
      <c r="F1125" s="3" t="s">
        <v>5670</v>
      </c>
      <c r="G1125" s="3">
        <v>18792</v>
      </c>
      <c r="H1125" s="7" t="str">
        <f>HYPERLINK("http://www.ensembl.org/Mus_musculus/Gene/Summary?db=core;g=ENSMUSG00000021822","ENSMUSG00000021822")</f>
        <v>ENSMUSG00000021822</v>
      </c>
      <c r="I1125" s="7" t="str">
        <f>HYPERLINK("http://www.informatics.jax.org/marker/MGI:97611","MGI:97611")</f>
        <v>MGI:97611</v>
      </c>
      <c r="J1125" s="4" t="s">
        <v>12</v>
      </c>
    </row>
    <row r="1126" spans="1:10" x14ac:dyDescent="0.25">
      <c r="A1126" s="2">
        <v>338.30239756076799</v>
      </c>
      <c r="B1126" s="3">
        <v>0.82021858274594595</v>
      </c>
      <c r="C1126" s="5">
        <v>2.3927930839795399E-9</v>
      </c>
      <c r="D1126" s="6">
        <v>1.7813992628891798E-8</v>
      </c>
      <c r="E1126" s="3" t="s">
        <v>6974</v>
      </c>
      <c r="F1126" s="3" t="s">
        <v>6975</v>
      </c>
      <c r="G1126" s="3" t="s">
        <v>83</v>
      </c>
      <c r="H1126" s="7" t="str">
        <f>HYPERLINK("http://www.ensembl.org/Mus_musculus/Gene/Summary?db=core;g=ENSMUSG00000115230","ENSMUSG00000115230")</f>
        <v>ENSMUSG00000115230</v>
      </c>
      <c r="I1126" s="7" t="str">
        <f>HYPERLINK("http://www.informatics.jax.org/marker/MGI:2146144","MGI:2146144")</f>
        <v>MGI:2146144</v>
      </c>
      <c r="J1126" s="4" t="s">
        <v>939</v>
      </c>
    </row>
    <row r="1127" spans="1:10" x14ac:dyDescent="0.25">
      <c r="A1127" s="2">
        <v>31.187904803287999</v>
      </c>
      <c r="B1127" s="3">
        <v>0.82002023459510498</v>
      </c>
      <c r="C1127" s="3">
        <v>7.7752231669516803E-4</v>
      </c>
      <c r="D1127" s="4">
        <v>2.7855994145408801E-3</v>
      </c>
      <c r="E1127" s="3" t="s">
        <v>11911</v>
      </c>
      <c r="F1127" s="3" t="s">
        <v>11912</v>
      </c>
      <c r="G1127" s="3" t="s">
        <v>83</v>
      </c>
      <c r="H1127" s="7" t="str">
        <f>HYPERLINK("http://www.ensembl.org/Mus_musculus/Gene/Summary?db=core;g=ENSMUSG00000104724","ENSMUSG00000104724")</f>
        <v>ENSMUSG00000104724</v>
      </c>
      <c r="I1127" s="7" t="str">
        <f>HYPERLINK("http://www.informatics.jax.org/marker/MGI:5663299","MGI:5663299")</f>
        <v>MGI:5663299</v>
      </c>
      <c r="J1127" s="4" t="s">
        <v>1828</v>
      </c>
    </row>
    <row r="1128" spans="1:10" x14ac:dyDescent="0.25">
      <c r="A1128" s="2">
        <v>10544.7762083588</v>
      </c>
      <c r="B1128" s="3">
        <v>0.81983655079279905</v>
      </c>
      <c r="C1128" s="5">
        <v>1.11404566081999E-19</v>
      </c>
      <c r="D1128" s="6">
        <v>1.71192935652987E-18</v>
      </c>
      <c r="E1128" s="3" t="s">
        <v>2669</v>
      </c>
      <c r="F1128" s="3" t="s">
        <v>2670</v>
      </c>
      <c r="G1128" s="3">
        <v>16401</v>
      </c>
      <c r="H1128" s="7" t="str">
        <f>HYPERLINK("http://www.ensembl.org/Mus_musculus/Gene/Summary?db=core;g=ENSMUSG00000027009","ENSMUSG00000027009")</f>
        <v>ENSMUSG00000027009</v>
      </c>
      <c r="I1128" s="7" t="str">
        <f>HYPERLINK("http://www.informatics.jax.org/marker/MGI:96603","MGI:96603")</f>
        <v>MGI:96603</v>
      </c>
      <c r="J1128" s="4" t="s">
        <v>12</v>
      </c>
    </row>
    <row r="1129" spans="1:10" x14ac:dyDescent="0.25">
      <c r="A1129" s="2">
        <v>4.5664579023444896</v>
      </c>
      <c r="B1129" s="3">
        <v>0.81978740846168796</v>
      </c>
      <c r="C1129" s="3">
        <v>8.0364053125773993E-2</v>
      </c>
      <c r="D1129" s="4">
        <v>0.16995066932202699</v>
      </c>
      <c r="E1129" s="3" t="s">
        <v>9943</v>
      </c>
      <c r="F1129" s="3" t="s">
        <v>9944</v>
      </c>
      <c r="G1129" s="3">
        <v>29809</v>
      </c>
      <c r="H1129" s="7" t="str">
        <f>HYPERLINK("http://www.ensembl.org/Mus_musculus/Gene/Summary?db=core;g=ENSMUSG00000026721","ENSMUSG00000026721")</f>
        <v>ENSMUSG00000026721</v>
      </c>
      <c r="I1129" s="7" t="str">
        <f>HYPERLINK("http://www.informatics.jax.org/marker/MGI:1352507","MGI:1352507")</f>
        <v>MGI:1352507</v>
      </c>
      <c r="J1129" s="4" t="s">
        <v>12</v>
      </c>
    </row>
    <row r="1130" spans="1:10" x14ac:dyDescent="0.25">
      <c r="A1130" s="2">
        <v>2880.8522945087798</v>
      </c>
      <c r="B1130" s="3">
        <v>0.81955679826111505</v>
      </c>
      <c r="C1130" s="5">
        <v>1.19628080715696E-17</v>
      </c>
      <c r="D1130" s="6">
        <v>1.6516831598814799E-16</v>
      </c>
      <c r="E1130" s="3" t="s">
        <v>4107</v>
      </c>
      <c r="F1130" s="3" t="s">
        <v>4108</v>
      </c>
      <c r="G1130" s="3">
        <v>100340</v>
      </c>
      <c r="H1130" s="7" t="str">
        <f>HYPERLINK("http://www.ensembl.org/Mus_musculus/Gene/Summary?db=core;g=ENSMUSG00000028885","ENSMUSG00000028885")</f>
        <v>ENSMUSG00000028885</v>
      </c>
      <c r="I1130" s="7" t="str">
        <f>HYPERLINK("http://www.informatics.jax.org/marker/MGI:1916022","MGI:1916022")</f>
        <v>MGI:1916022</v>
      </c>
      <c r="J1130" s="4" t="s">
        <v>12</v>
      </c>
    </row>
    <row r="1131" spans="1:10" x14ac:dyDescent="0.25">
      <c r="A1131" s="2">
        <v>56.648988528002697</v>
      </c>
      <c r="B1131" s="3">
        <v>0.81915060567079301</v>
      </c>
      <c r="C1131" s="5">
        <v>5.5942270922180502E-6</v>
      </c>
      <c r="D1131" s="6">
        <v>2.8360163770702101E-5</v>
      </c>
      <c r="E1131" s="3" t="s">
        <v>13859</v>
      </c>
      <c r="F1131" s="3" t="s">
        <v>13860</v>
      </c>
      <c r="G1131" s="3">
        <v>231630</v>
      </c>
      <c r="H1131" s="7" t="str">
        <f>HYPERLINK("http://www.ensembl.org/Mus_musculus/Gene/Summary?db=core;g=ENSMUSG00000053334","ENSMUSG00000053334")</f>
        <v>ENSMUSG00000053334</v>
      </c>
      <c r="I1131" s="7" t="str">
        <f>HYPERLINK("http://www.informatics.jax.org/marker/MGI:1098550","MGI:1098550")</f>
        <v>MGI:1098550</v>
      </c>
      <c r="J1131" s="4" t="s">
        <v>12</v>
      </c>
    </row>
    <row r="1132" spans="1:10" x14ac:dyDescent="0.25">
      <c r="A1132" s="2">
        <v>4937.3334913051303</v>
      </c>
      <c r="B1132" s="3">
        <v>0.81834406072608901</v>
      </c>
      <c r="C1132" s="5">
        <v>1.4305986091775999E-31</v>
      </c>
      <c r="D1132" s="6">
        <v>3.7299942277913901E-30</v>
      </c>
      <c r="E1132" s="3" t="s">
        <v>1182</v>
      </c>
      <c r="F1132" s="3" t="s">
        <v>1183</v>
      </c>
      <c r="G1132" s="3">
        <v>15251</v>
      </c>
      <c r="H1132" s="7" t="str">
        <f>HYPERLINK("http://www.ensembl.org/Mus_musculus/Gene/Summary?db=core;g=ENSMUSG00000021109","ENSMUSG00000021109")</f>
        <v>ENSMUSG00000021109</v>
      </c>
      <c r="I1132" s="7" t="str">
        <f>HYPERLINK("http://www.informatics.jax.org/marker/MGI:106918","MGI:106918")</f>
        <v>MGI:106918</v>
      </c>
      <c r="J1132" s="4" t="s">
        <v>12</v>
      </c>
    </row>
    <row r="1133" spans="1:10" x14ac:dyDescent="0.25">
      <c r="A1133" s="2">
        <v>1159.9441365174901</v>
      </c>
      <c r="B1133" s="3">
        <v>0.81804276815337096</v>
      </c>
      <c r="C1133" s="5">
        <v>1.48896964093188E-18</v>
      </c>
      <c r="D1133" s="6">
        <v>2.1622686618313601E-17</v>
      </c>
      <c r="E1133" s="3" t="s">
        <v>2738</v>
      </c>
      <c r="F1133" s="3" t="s">
        <v>2739</v>
      </c>
      <c r="G1133" s="3">
        <v>20498</v>
      </c>
      <c r="H1133" s="7" t="str">
        <f>HYPERLINK("http://www.ensembl.org/Mus_musculus/Gene/Summary?db=core;g=ENSMUSG00000017765","ENSMUSG00000017765")</f>
        <v>ENSMUSG00000017765</v>
      </c>
      <c r="I1133" s="7" t="str">
        <f>HYPERLINK("http://www.informatics.jax.org/marker/MGI:1309465","MGI:1309465")</f>
        <v>MGI:1309465</v>
      </c>
      <c r="J1133" s="4" t="s">
        <v>12</v>
      </c>
    </row>
    <row r="1134" spans="1:10" x14ac:dyDescent="0.25">
      <c r="A1134" s="2">
        <v>2080.0136242641502</v>
      </c>
      <c r="B1134" s="3">
        <v>0.81706828308190005</v>
      </c>
      <c r="C1134" s="5">
        <v>1.68923742774644E-16</v>
      </c>
      <c r="D1134" s="6">
        <v>2.1896409758662099E-15</v>
      </c>
      <c r="E1134" s="3" t="s">
        <v>1694</v>
      </c>
      <c r="F1134" s="3" t="s">
        <v>1695</v>
      </c>
      <c r="G1134" s="3">
        <v>75320</v>
      </c>
      <c r="H1134" s="7" t="str">
        <f>HYPERLINK("http://www.ensembl.org/Mus_musculus/Gene/Summary?db=core;g=ENSMUSG00000030275","ENSMUSG00000030275")</f>
        <v>ENSMUSG00000030275</v>
      </c>
      <c r="I1134" s="7" t="str">
        <f>HYPERLINK("http://www.informatics.jax.org/marker/MGI:1922570","MGI:1922570")</f>
        <v>MGI:1922570</v>
      </c>
      <c r="J1134" s="4" t="s">
        <v>12</v>
      </c>
    </row>
    <row r="1135" spans="1:10" x14ac:dyDescent="0.25">
      <c r="A1135" s="2">
        <v>604.20683507875799</v>
      </c>
      <c r="B1135" s="3">
        <v>0.81672275770680502</v>
      </c>
      <c r="C1135" s="5">
        <v>4.3211768171268402E-25</v>
      </c>
      <c r="D1135" s="6">
        <v>8.6163509291177904E-24</v>
      </c>
      <c r="E1135" s="3" t="s">
        <v>2089</v>
      </c>
      <c r="F1135" s="3" t="s">
        <v>2090</v>
      </c>
      <c r="G1135" s="3">
        <v>214855</v>
      </c>
      <c r="H1135" s="7" t="str">
        <f>HYPERLINK("http://www.ensembl.org/Mus_musculus/Gene/Summary?db=core;g=ENSMUSG00000037447","ENSMUSG00000037447")</f>
        <v>ENSMUSG00000037447</v>
      </c>
      <c r="I1135" s="7" t="str">
        <f>HYPERLINK("http://www.informatics.jax.org/marker/MGI:2443039","MGI:2443039")</f>
        <v>MGI:2443039</v>
      </c>
      <c r="J1135" s="4" t="s">
        <v>12</v>
      </c>
    </row>
    <row r="1136" spans="1:10" x14ac:dyDescent="0.25">
      <c r="A1136" s="2">
        <v>1588.3156660622401</v>
      </c>
      <c r="B1136" s="3">
        <v>0.81580910714608901</v>
      </c>
      <c r="C1136" s="5">
        <v>1.8146871778105802E-55</v>
      </c>
      <c r="D1136" s="6">
        <v>9.7848147383425302E-54</v>
      </c>
      <c r="E1136" s="3" t="s">
        <v>1318</v>
      </c>
      <c r="F1136" s="3" t="s">
        <v>1319</v>
      </c>
      <c r="G1136" s="3">
        <v>57915</v>
      </c>
      <c r="H1136" s="7" t="str">
        <f>HYPERLINK("http://www.ensembl.org/Mus_musculus/Gene/Summary?db=core;g=ENSMUSG00000029174","ENSMUSG00000029174")</f>
        <v>ENSMUSG00000029174</v>
      </c>
      <c r="I1136" s="7" t="str">
        <f>HYPERLINK("http://www.informatics.jax.org/marker/MGI:1889508","MGI:1889508")</f>
        <v>MGI:1889508</v>
      </c>
      <c r="J1136" s="4" t="s">
        <v>12</v>
      </c>
    </row>
    <row r="1137" spans="1:10" x14ac:dyDescent="0.25">
      <c r="A1137" s="2">
        <v>1970.02267366312</v>
      </c>
      <c r="B1137" s="3">
        <v>0.81572405451455199</v>
      </c>
      <c r="C1137" s="5">
        <v>1.6712464530080999E-37</v>
      </c>
      <c r="D1137" s="6">
        <v>5.2971246271430699E-36</v>
      </c>
      <c r="E1137" s="3" t="s">
        <v>2671</v>
      </c>
      <c r="F1137" s="3" t="s">
        <v>2672</v>
      </c>
      <c r="G1137" s="3">
        <v>241694</v>
      </c>
      <c r="H1137" s="7" t="str">
        <f>HYPERLINK("http://www.ensembl.org/Mus_musculus/Gene/Summary?db=core;g=ENSMUSG00000037110","ENSMUSG00000037110")</f>
        <v>ENSMUSG00000037110</v>
      </c>
      <c r="I1137" s="7" t="str">
        <f>HYPERLINK("http://www.informatics.jax.org/marker/MGI:3036245","MGI:3036245")</f>
        <v>MGI:3036245</v>
      </c>
      <c r="J1137" s="4" t="s">
        <v>12</v>
      </c>
    </row>
    <row r="1138" spans="1:10" x14ac:dyDescent="0.25">
      <c r="A1138" s="2">
        <v>270.69796635394601</v>
      </c>
      <c r="B1138" s="3">
        <v>0.81499141135400299</v>
      </c>
      <c r="C1138" s="5">
        <v>1.3014949148786901E-12</v>
      </c>
      <c r="D1138" s="6">
        <v>1.30471643694523E-11</v>
      </c>
      <c r="E1138" s="3" t="s">
        <v>3282</v>
      </c>
      <c r="F1138" s="3" t="s">
        <v>3283</v>
      </c>
      <c r="G1138" s="3">
        <v>234076</v>
      </c>
      <c r="H1138" s="7" t="str">
        <f>HYPERLINK("http://www.ensembl.org/Mus_musculus/Gene/Summary?db=core;g=ENSMUSG00000038497","ENSMUSG00000038497")</f>
        <v>ENSMUSG00000038497</v>
      </c>
      <c r="I1138" s="7" t="str">
        <f>HYPERLINK("http://www.informatics.jax.org/marker/MGI:2444946","MGI:2444946")</f>
        <v>MGI:2444946</v>
      </c>
      <c r="J1138" s="4" t="s">
        <v>12</v>
      </c>
    </row>
    <row r="1139" spans="1:10" x14ac:dyDescent="0.25">
      <c r="A1139" s="2">
        <v>28.345191722016999</v>
      </c>
      <c r="B1139" s="3">
        <v>0.81332636284953197</v>
      </c>
      <c r="C1139" s="3">
        <v>1.04045513352164E-3</v>
      </c>
      <c r="D1139" s="4">
        <v>3.6501048716904498E-3</v>
      </c>
      <c r="E1139" s="3" t="s">
        <v>4329</v>
      </c>
      <c r="F1139" s="3" t="s">
        <v>4330</v>
      </c>
      <c r="G1139" s="3">
        <v>75051</v>
      </c>
      <c r="H1139" s="7" t="str">
        <f>HYPERLINK("http://www.ensembl.org/Mus_musculus/Gene/Summary?db=core;g=ENSMUSG00000070883","ENSMUSG00000070883")</f>
        <v>ENSMUSG00000070883</v>
      </c>
      <c r="I1139" s="7" t="str">
        <f>HYPERLINK("http://www.informatics.jax.org/marker/MGI:1923100","MGI:1923100")</f>
        <v>MGI:1923100</v>
      </c>
      <c r="J1139" s="4" t="s">
        <v>12</v>
      </c>
    </row>
    <row r="1140" spans="1:10" x14ac:dyDescent="0.25">
      <c r="A1140" s="2">
        <v>2390.9168137003098</v>
      </c>
      <c r="B1140" s="3">
        <v>0.813147851368198</v>
      </c>
      <c r="C1140" s="5">
        <v>5.8800334188701401E-62</v>
      </c>
      <c r="D1140" s="6">
        <v>3.7733665161587398E-60</v>
      </c>
      <c r="E1140" s="3" t="s">
        <v>786</v>
      </c>
      <c r="F1140" s="3" t="s">
        <v>787</v>
      </c>
      <c r="G1140" s="3">
        <v>15980</v>
      </c>
      <c r="H1140" s="7" t="str">
        <f>HYPERLINK("http://www.ensembl.org/Mus_musculus/Gene/Summary?db=core;g=ENSMUSG00000022965","ENSMUSG00000022965")</f>
        <v>ENSMUSG00000022965</v>
      </c>
      <c r="I1140" s="7" t="str">
        <f>HYPERLINK("http://www.informatics.jax.org/marker/MGI:107654","MGI:107654")</f>
        <v>MGI:107654</v>
      </c>
      <c r="J1140" s="4" t="s">
        <v>12</v>
      </c>
    </row>
    <row r="1141" spans="1:10" x14ac:dyDescent="0.25">
      <c r="A1141" s="2">
        <v>4.8173277491334403</v>
      </c>
      <c r="B1141" s="3">
        <v>0.80881926447131702</v>
      </c>
      <c r="C1141" s="3">
        <v>5.0849516181420903E-2</v>
      </c>
      <c r="D1141" s="4">
        <v>0.11585603605530601</v>
      </c>
      <c r="E1141" s="3" t="s">
        <v>10784</v>
      </c>
      <c r="F1141" s="3" t="s">
        <v>10785</v>
      </c>
      <c r="G1141" s="3">
        <v>320560</v>
      </c>
      <c r="H1141" s="7" t="str">
        <f>HYPERLINK("http://www.ensembl.org/Mus_musculus/Gene/Summary?db=core;g=ENSMUSG00000030313","ENSMUSG00000030313")</f>
        <v>ENSMUSG00000030313</v>
      </c>
      <c r="I1141" s="7" t="str">
        <f>HYPERLINK("http://www.informatics.jax.org/marker/MGI:2444273","MGI:2444273")</f>
        <v>MGI:2444273</v>
      </c>
      <c r="J1141" s="4" t="s">
        <v>12</v>
      </c>
    </row>
    <row r="1142" spans="1:10" x14ac:dyDescent="0.25">
      <c r="A1142" s="2">
        <v>345.57552428583398</v>
      </c>
      <c r="B1142" s="3">
        <v>0.80846460312399404</v>
      </c>
      <c r="C1142" s="5">
        <v>2.62845263401909E-21</v>
      </c>
      <c r="D1142" s="6">
        <v>4.39482103256861E-20</v>
      </c>
      <c r="E1142" s="3" t="s">
        <v>2770</v>
      </c>
      <c r="F1142" s="3" t="s">
        <v>2771</v>
      </c>
      <c r="G1142" s="3">
        <v>19108</v>
      </c>
      <c r="H1142" s="7" t="str">
        <f>HYPERLINK("http://www.ensembl.org/Mus_musculus/Gene/Summary?db=core;g=ENSMUSG00000035725","ENSMUSG00000035725")</f>
        <v>ENSMUSG00000035725</v>
      </c>
      <c r="I1142" s="7" t="str">
        <f>HYPERLINK("http://www.informatics.jax.org/marker/MGI:1309999","MGI:1309999")</f>
        <v>MGI:1309999</v>
      </c>
      <c r="J1142" s="4" t="s">
        <v>12</v>
      </c>
    </row>
    <row r="1143" spans="1:10" x14ac:dyDescent="0.25">
      <c r="A1143" s="2">
        <v>2879.2366892220698</v>
      </c>
      <c r="B1143" s="3">
        <v>0.80719329387533501</v>
      </c>
      <c r="C1143" s="5">
        <v>2.29626066408357E-11</v>
      </c>
      <c r="D1143" s="6">
        <v>2.07586064498626E-10</v>
      </c>
      <c r="E1143" s="3" t="s">
        <v>4483</v>
      </c>
      <c r="F1143" s="3" t="s">
        <v>4484</v>
      </c>
      <c r="G1143" s="3">
        <v>102857</v>
      </c>
      <c r="H1143" s="7" t="str">
        <f>HYPERLINK("http://www.ensembl.org/Mus_musculus/Gene/Summary?db=core;g=ENSMUSG00000019558","ENSMUSG00000019558")</f>
        <v>ENSMUSG00000019558</v>
      </c>
      <c r="I1143" s="7" t="str">
        <f>HYPERLINK("http://www.informatics.jax.org/marker/MGI:2147834","MGI:2147834")</f>
        <v>MGI:2147834</v>
      </c>
      <c r="J1143" s="4" t="s">
        <v>12</v>
      </c>
    </row>
    <row r="1144" spans="1:10" x14ac:dyDescent="0.25">
      <c r="A1144" s="2">
        <v>3577.74903492762</v>
      </c>
      <c r="B1144" s="3">
        <v>0.80551488278459504</v>
      </c>
      <c r="C1144" s="5">
        <v>1.7681053105390701E-21</v>
      </c>
      <c r="D1144" s="6">
        <v>2.97541267632267E-20</v>
      </c>
      <c r="E1144" s="3" t="s">
        <v>1851</v>
      </c>
      <c r="F1144" s="3" t="s">
        <v>1852</v>
      </c>
      <c r="G1144" s="3">
        <v>16648</v>
      </c>
      <c r="H1144" s="7" t="str">
        <f>HYPERLINK("http://www.ensembl.org/Mus_musculus/Gene/Summary?db=core;g=ENSMUSG00000021929","ENSMUSG00000021929")</f>
        <v>ENSMUSG00000021929</v>
      </c>
      <c r="I1144" s="7" t="str">
        <f>HYPERLINK("http://www.informatics.jax.org/marker/MGI:1100863","MGI:1100863")</f>
        <v>MGI:1100863</v>
      </c>
      <c r="J1144" s="4" t="s">
        <v>12</v>
      </c>
    </row>
    <row r="1145" spans="1:10" x14ac:dyDescent="0.25">
      <c r="A1145" s="2">
        <v>2.3847694093115499</v>
      </c>
      <c r="B1145" s="3">
        <v>0.80550297298224005</v>
      </c>
      <c r="C1145" s="3">
        <v>8.5684876488192202E-2</v>
      </c>
      <c r="D1145" s="4">
        <v>0.17918610143399899</v>
      </c>
      <c r="E1145" s="3" t="s">
        <v>8407</v>
      </c>
      <c r="F1145" s="3" t="s">
        <v>8408</v>
      </c>
      <c r="G1145" s="3">
        <v>21822</v>
      </c>
      <c r="H1145" s="7" t="str">
        <f>HYPERLINK("http://www.ensembl.org/Mus_musculus/Gene/Summary?db=core;g=ENSMUSG00000078922","ENSMUSG00000078922")</f>
        <v>ENSMUSG00000078922</v>
      </c>
      <c r="I1145" s="7" t="str">
        <f>HYPERLINK("http://www.informatics.jax.org/marker/MGI:98734","MGI:98734")</f>
        <v>MGI:98734</v>
      </c>
      <c r="J1145" s="4" t="s">
        <v>12</v>
      </c>
    </row>
    <row r="1146" spans="1:10" x14ac:dyDescent="0.25">
      <c r="A1146" s="2">
        <v>11295.659071161899</v>
      </c>
      <c r="B1146" s="3">
        <v>0.80541421741514496</v>
      </c>
      <c r="C1146" s="5">
        <v>2.5011038828998302E-10</v>
      </c>
      <c r="D1146" s="6">
        <v>2.0709958321603499E-9</v>
      </c>
      <c r="E1146" s="3" t="s">
        <v>2964</v>
      </c>
      <c r="F1146" s="3" t="s">
        <v>2965</v>
      </c>
      <c r="G1146" s="3">
        <v>18477</v>
      </c>
      <c r="H1146" s="7" t="str">
        <f>HYPERLINK("http://www.ensembl.org/Mus_musculus/Gene/Summary?db=core;g=ENSMUSG00000028691","ENSMUSG00000028691")</f>
        <v>ENSMUSG00000028691</v>
      </c>
      <c r="I1146" s="7" t="str">
        <f>HYPERLINK("http://www.informatics.jax.org/marker/MGI:99523","MGI:99523")</f>
        <v>MGI:99523</v>
      </c>
      <c r="J1146" s="4" t="s">
        <v>12</v>
      </c>
    </row>
    <row r="1147" spans="1:10" x14ac:dyDescent="0.25">
      <c r="A1147" s="2">
        <v>16685.251501750601</v>
      </c>
      <c r="B1147" s="3">
        <v>0.804989713154593</v>
      </c>
      <c r="C1147" s="5">
        <v>4.6234896825979702E-18</v>
      </c>
      <c r="D1147" s="6">
        <v>6.5676616886475394E-17</v>
      </c>
      <c r="E1147" s="3" t="s">
        <v>3022</v>
      </c>
      <c r="F1147" s="3" t="s">
        <v>3023</v>
      </c>
      <c r="G1147" s="3">
        <v>12010</v>
      </c>
      <c r="H1147" s="7" t="str">
        <f>HYPERLINK("http://www.ensembl.org/Mus_musculus/Gene/Summary?db=core;g=ENSMUSG00000060802","ENSMUSG00000060802")</f>
        <v>ENSMUSG00000060802</v>
      </c>
      <c r="I1147" s="7" t="str">
        <f>HYPERLINK("http://www.informatics.jax.org/marker/MGI:88127","MGI:88127")</f>
        <v>MGI:88127</v>
      </c>
      <c r="J1147" s="4" t="s">
        <v>12</v>
      </c>
    </row>
    <row r="1148" spans="1:10" x14ac:dyDescent="0.25">
      <c r="A1148" s="2">
        <v>15.9003273334494</v>
      </c>
      <c r="B1148" s="3">
        <v>0.80446869953481503</v>
      </c>
      <c r="C1148" s="3">
        <v>3.3663935791061498E-3</v>
      </c>
      <c r="D1148" s="4">
        <v>1.05471072682155E-2</v>
      </c>
      <c r="E1148" s="3" t="s">
        <v>11503</v>
      </c>
      <c r="F1148" s="3" t="s">
        <v>11504</v>
      </c>
      <c r="G1148" s="3">
        <v>20356</v>
      </c>
      <c r="H1148" s="7" t="str">
        <f>HYPERLINK("http://www.ensembl.org/Mus_musculus/Gene/Summary?db=core;g=ENSMUSG00000022231","ENSMUSG00000022231")</f>
        <v>ENSMUSG00000022231</v>
      </c>
      <c r="I1148" s="7" t="str">
        <f>HYPERLINK("http://www.informatics.jax.org/marker/MGI:107556","MGI:107556")</f>
        <v>MGI:107556</v>
      </c>
      <c r="J1148" s="4" t="s">
        <v>12</v>
      </c>
    </row>
    <row r="1149" spans="1:10" x14ac:dyDescent="0.25">
      <c r="A1149" s="2">
        <v>1619.5274331826499</v>
      </c>
      <c r="B1149" s="3">
        <v>0.80420107246272798</v>
      </c>
      <c r="C1149" s="5">
        <v>5.0495778624658499E-22</v>
      </c>
      <c r="D1149" s="6">
        <v>8.7562851135528099E-21</v>
      </c>
      <c r="E1149" s="3" t="s">
        <v>2205</v>
      </c>
      <c r="F1149" s="3" t="s">
        <v>2206</v>
      </c>
      <c r="G1149" s="3">
        <v>18720</v>
      </c>
      <c r="H1149" s="7" t="str">
        <f>HYPERLINK("http://www.ensembl.org/Mus_musculus/Gene/Summary?db=core;g=ENSMUSG00000028126","ENSMUSG00000028126")</f>
        <v>ENSMUSG00000028126</v>
      </c>
      <c r="I1149" s="7" t="str">
        <f>HYPERLINK("http://www.informatics.jax.org/marker/MGI:107929","MGI:107929")</f>
        <v>MGI:107929</v>
      </c>
      <c r="J1149" s="4" t="s">
        <v>12</v>
      </c>
    </row>
    <row r="1150" spans="1:10" x14ac:dyDescent="0.25">
      <c r="A1150" s="2">
        <v>594.93803322845497</v>
      </c>
      <c r="B1150" s="3">
        <v>0.80401614662279197</v>
      </c>
      <c r="C1150" s="5">
        <v>1.4226425877700999E-19</v>
      </c>
      <c r="D1150" s="6">
        <v>2.1696787583355701E-18</v>
      </c>
      <c r="E1150" s="3" t="s">
        <v>1388</v>
      </c>
      <c r="F1150" s="3" t="s">
        <v>1389</v>
      </c>
      <c r="G1150" s="3">
        <v>80751</v>
      </c>
      <c r="H1150" s="7" t="str">
        <f>HYPERLINK("http://www.ensembl.org/Mus_musculus/Gene/Summary?db=core;g=ENSMUSG00000029474","ENSMUSG00000029474")</f>
        <v>ENSMUSG00000029474</v>
      </c>
      <c r="I1150" s="7" t="str">
        <f>HYPERLINK("http://www.informatics.jax.org/marker/MGI:2153340","MGI:2153340")</f>
        <v>MGI:2153340</v>
      </c>
      <c r="J1150" s="4" t="s">
        <v>12</v>
      </c>
    </row>
    <row r="1151" spans="1:10" x14ac:dyDescent="0.25">
      <c r="A1151" s="2">
        <v>2548.9958159453499</v>
      </c>
      <c r="B1151" s="3">
        <v>0.80364913981807495</v>
      </c>
      <c r="C1151" s="5">
        <v>1.5093767228215501E-25</v>
      </c>
      <c r="D1151" s="6">
        <v>3.09430717361335E-24</v>
      </c>
      <c r="E1151" s="3" t="s">
        <v>4355</v>
      </c>
      <c r="F1151" s="3" t="s">
        <v>4356</v>
      </c>
      <c r="G1151" s="3">
        <v>65963</v>
      </c>
      <c r="H1151" s="7" t="str">
        <f>HYPERLINK("http://www.ensembl.org/Mus_musculus/Gene/Summary?db=core;g=ENSMUSG00000029810","ENSMUSG00000029810")</f>
        <v>ENSMUSG00000029810</v>
      </c>
      <c r="I1151" s="7" t="str">
        <f>HYPERLINK("http://www.informatics.jax.org/marker/MGI:1916348","MGI:1916348")</f>
        <v>MGI:1916348</v>
      </c>
      <c r="J1151" s="4" t="s">
        <v>12</v>
      </c>
    </row>
    <row r="1152" spans="1:10" x14ac:dyDescent="0.25">
      <c r="A1152" s="2">
        <v>664.18305634115097</v>
      </c>
      <c r="B1152" s="3">
        <v>0.80342419172797097</v>
      </c>
      <c r="C1152" s="5">
        <v>1.0599805464573999E-31</v>
      </c>
      <c r="D1152" s="6">
        <v>2.7795892747030401E-30</v>
      </c>
      <c r="E1152" s="3" t="s">
        <v>2025</v>
      </c>
      <c r="F1152" s="3" t="s">
        <v>2026</v>
      </c>
      <c r="G1152" s="3">
        <v>83814</v>
      </c>
      <c r="H1152" s="7" t="str">
        <f>HYPERLINK("http://www.ensembl.org/Mus_musculus/Gene/Summary?db=core;g=ENSMUSG00000024589","ENSMUSG00000024589")</f>
        <v>ENSMUSG00000024589</v>
      </c>
      <c r="I1152" s="7" t="str">
        <f>HYPERLINK("http://www.informatics.jax.org/marker/MGI:1933754","MGI:1933754")</f>
        <v>MGI:1933754</v>
      </c>
      <c r="J1152" s="4" t="s">
        <v>12</v>
      </c>
    </row>
    <row r="1153" spans="1:10" x14ac:dyDescent="0.25">
      <c r="A1153" s="2">
        <v>4466.9753820803298</v>
      </c>
      <c r="B1153" s="3">
        <v>0.80233511842923599</v>
      </c>
      <c r="C1153" s="5">
        <v>5.5834180954758302E-58</v>
      </c>
      <c r="D1153" s="6">
        <v>3.1999306537750598E-56</v>
      </c>
      <c r="E1153" s="3" t="s">
        <v>790</v>
      </c>
      <c r="F1153" s="3" t="s">
        <v>791</v>
      </c>
      <c r="G1153" s="3">
        <v>19354</v>
      </c>
      <c r="H1153" s="7" t="str">
        <f>HYPERLINK("http://www.ensembl.org/Mus_musculus/Gene/Summary?db=core;g=ENSMUSG00000033220","ENSMUSG00000033220")</f>
        <v>ENSMUSG00000033220</v>
      </c>
      <c r="I1153" s="7" t="str">
        <f>HYPERLINK("http://www.informatics.jax.org/marker/MGI:97846","MGI:97846")</f>
        <v>MGI:97846</v>
      </c>
      <c r="J1153" s="4" t="s">
        <v>12</v>
      </c>
    </row>
    <row r="1154" spans="1:10" x14ac:dyDescent="0.25">
      <c r="A1154" s="2">
        <v>50.202473571762297</v>
      </c>
      <c r="B1154" s="3">
        <v>0.80115276494048704</v>
      </c>
      <c r="C1154" s="3">
        <v>1.7679814679203E-3</v>
      </c>
      <c r="D1154" s="4">
        <v>5.9219743159065301E-3</v>
      </c>
      <c r="E1154" s="3" t="s">
        <v>12631</v>
      </c>
      <c r="F1154" s="3" t="s">
        <v>12632</v>
      </c>
      <c r="G1154" s="3">
        <v>229445</v>
      </c>
      <c r="H1154" s="7" t="str">
        <f>HYPERLINK("http://www.ensembl.org/Mus_musculus/Gene/Summary?db=core;g=ENSMUSG00000028015","ENSMUSG00000028015")</f>
        <v>ENSMUSG00000028015</v>
      </c>
      <c r="I1154" s="7" t="str">
        <f>HYPERLINK("http://www.informatics.jax.org/marker/MGI:2139628","MGI:2139628")</f>
        <v>MGI:2139628</v>
      </c>
      <c r="J1154" s="4" t="s">
        <v>12</v>
      </c>
    </row>
    <row r="1155" spans="1:10" x14ac:dyDescent="0.25">
      <c r="A1155" s="2">
        <v>21.197791042004699</v>
      </c>
      <c r="B1155" s="3">
        <v>0.80064783576643195</v>
      </c>
      <c r="C1155" s="3">
        <v>1.12606578390032E-3</v>
      </c>
      <c r="D1155" s="4">
        <v>3.9285124256476702E-3</v>
      </c>
      <c r="E1155" s="3" t="s">
        <v>12187</v>
      </c>
      <c r="F1155" s="3" t="s">
        <v>12188</v>
      </c>
      <c r="G1155" s="3">
        <v>76787</v>
      </c>
      <c r="H1155" s="7" t="str">
        <f>HYPERLINK("http://www.ensembl.org/Mus_musculus/Gene/Summary?db=core;g=ENSMUSG00000003863","ENSMUSG00000003863")</f>
        <v>ENSMUSG00000003863</v>
      </c>
      <c r="I1155" s="7" t="str">
        <f>HYPERLINK("http://www.informatics.jax.org/marker/MGI:1924037","MGI:1924037")</f>
        <v>MGI:1924037</v>
      </c>
      <c r="J1155" s="4" t="s">
        <v>12</v>
      </c>
    </row>
    <row r="1156" spans="1:10" x14ac:dyDescent="0.25">
      <c r="A1156" s="2">
        <v>367.924051132133</v>
      </c>
      <c r="B1156" s="3">
        <v>0.80042661645529201</v>
      </c>
      <c r="C1156" s="5">
        <v>2.9147395475701E-26</v>
      </c>
      <c r="D1156" s="6">
        <v>6.1625438810284298E-25</v>
      </c>
      <c r="E1156" s="3" t="s">
        <v>6625</v>
      </c>
      <c r="F1156" s="3" t="s">
        <v>6626</v>
      </c>
      <c r="G1156" s="3">
        <v>58220</v>
      </c>
      <c r="H1156" s="7" t="str">
        <f>HYPERLINK("http://www.ensembl.org/Mus_musculus/Gene/Summary?db=core;g=ENSMUSG00000044641","ENSMUSG00000044641")</f>
        <v>ENSMUSG00000044641</v>
      </c>
      <c r="I1156" s="7" t="str">
        <f>HYPERLINK("http://www.informatics.jax.org/marker/MGI:2135605","MGI:2135605")</f>
        <v>MGI:2135605</v>
      </c>
      <c r="J1156" s="4" t="s">
        <v>12</v>
      </c>
    </row>
    <row r="1157" spans="1:10" x14ac:dyDescent="0.25">
      <c r="A1157" s="2">
        <v>6716.7515629286099</v>
      </c>
      <c r="B1157" s="3">
        <v>0.79960034282466197</v>
      </c>
      <c r="C1157" s="5">
        <v>7.12748399396115E-44</v>
      </c>
      <c r="D1157" s="6">
        <v>2.8486490304811901E-42</v>
      </c>
      <c r="E1157" s="3" t="s">
        <v>944</v>
      </c>
      <c r="F1157" s="3" t="s">
        <v>945</v>
      </c>
      <c r="G1157" s="3">
        <v>17254</v>
      </c>
      <c r="H1157" s="7" t="str">
        <f>HYPERLINK("http://www.ensembl.org/Mus_musculus/Gene/Summary?db=core;g=ENSMUSG00000010095","ENSMUSG00000010095")</f>
        <v>ENSMUSG00000010095</v>
      </c>
      <c r="I1157" s="7" t="str">
        <f>HYPERLINK("http://www.informatics.jax.org/marker/MGI:96955","MGI:96955")</f>
        <v>MGI:96955</v>
      </c>
      <c r="J1157" s="4" t="s">
        <v>12</v>
      </c>
    </row>
    <row r="1158" spans="1:10" x14ac:dyDescent="0.25">
      <c r="A1158" s="2">
        <v>3.7561817318552699</v>
      </c>
      <c r="B1158" s="3">
        <v>0.79899362450920597</v>
      </c>
      <c r="C1158" s="3">
        <v>7.3692013748513599E-2</v>
      </c>
      <c r="D1158" s="4">
        <v>0.15798576056542299</v>
      </c>
      <c r="E1158" s="3" t="s">
        <v>11149</v>
      </c>
      <c r="F1158" s="3" t="s">
        <v>11150</v>
      </c>
      <c r="G1158" s="3" t="s">
        <v>83</v>
      </c>
      <c r="H1158" s="7" t="str">
        <f>HYPERLINK("http://www.ensembl.org/Mus_musculus/Gene/Summary?db=core;g=ENSMUSG00000064936","ENSMUSG00000064936")</f>
        <v>ENSMUSG00000064936</v>
      </c>
      <c r="I1158" s="7" t="str">
        <f>HYPERLINK("http://www.informatics.jax.org/marker/MGI:5453499","MGI:5453499")</f>
        <v>MGI:5453499</v>
      </c>
      <c r="J1158" s="4" t="s">
        <v>11100</v>
      </c>
    </row>
    <row r="1159" spans="1:10" x14ac:dyDescent="0.25">
      <c r="A1159" s="2">
        <v>3351.1380147077002</v>
      </c>
      <c r="B1159" s="3">
        <v>0.798982786386913</v>
      </c>
      <c r="C1159" s="5">
        <v>2.3364242688307998E-75</v>
      </c>
      <c r="D1159" s="6">
        <v>2.0570691932097201E-73</v>
      </c>
      <c r="E1159" s="3" t="s">
        <v>536</v>
      </c>
      <c r="F1159" s="3" t="s">
        <v>537</v>
      </c>
      <c r="G1159" s="3">
        <v>106957</v>
      </c>
      <c r="H1159" s="7" t="str">
        <f>HYPERLINK("http://www.ensembl.org/Mus_musculus/Gene/Summary?db=core;g=ENSMUSG00000024270","ENSMUSG00000024270")</f>
        <v>ENSMUSG00000024270</v>
      </c>
      <c r="I1159" s="7" t="str">
        <f>HYPERLINK("http://www.informatics.jax.org/marker/MGI:2147279","MGI:2147279")</f>
        <v>MGI:2147279</v>
      </c>
      <c r="J1159" s="4" t="s">
        <v>12</v>
      </c>
    </row>
    <row r="1160" spans="1:10" x14ac:dyDescent="0.25">
      <c r="A1160" s="2">
        <v>324.31836176959399</v>
      </c>
      <c r="B1160" s="3">
        <v>0.79797223019586305</v>
      </c>
      <c r="C1160" s="5">
        <v>1.21423379845397E-20</v>
      </c>
      <c r="D1160" s="6">
        <v>1.96531180966462E-19</v>
      </c>
      <c r="E1160" s="3" t="s">
        <v>3524</v>
      </c>
      <c r="F1160" s="3" t="s">
        <v>3525</v>
      </c>
      <c r="G1160" s="3">
        <v>72999</v>
      </c>
      <c r="H1160" s="7" t="str">
        <f>HYPERLINK("http://www.ensembl.org/Mus_musculus/Gene/Summary?db=core;g=ENSMUSG00000003721","ENSMUSG00000003721")</f>
        <v>ENSMUSG00000003721</v>
      </c>
      <c r="I1160" s="7" t="str">
        <f>HYPERLINK("http://www.informatics.jax.org/marker/MGI:1920249","MGI:1920249")</f>
        <v>MGI:1920249</v>
      </c>
      <c r="J1160" s="4" t="s">
        <v>12</v>
      </c>
    </row>
    <row r="1161" spans="1:10" x14ac:dyDescent="0.25">
      <c r="A1161" s="2">
        <v>2283.5500007047499</v>
      </c>
      <c r="B1161" s="3">
        <v>0.79745201745665595</v>
      </c>
      <c r="C1161" s="5">
        <v>1.2280482446735E-44</v>
      </c>
      <c r="D1161" s="6">
        <v>5.0521849343509202E-43</v>
      </c>
      <c r="E1161" s="3" t="s">
        <v>1178</v>
      </c>
      <c r="F1161" s="3" t="s">
        <v>1179</v>
      </c>
      <c r="G1161" s="3">
        <v>56324</v>
      </c>
      <c r="H1161" s="7" t="str">
        <f>HYPERLINK("http://www.ensembl.org/Mus_musculus/Gene/Summary?db=core;g=ENSMUSG00000055371","ENSMUSG00000055371")</f>
        <v>ENSMUSG00000055371</v>
      </c>
      <c r="I1161" s="7" t="str">
        <f>HYPERLINK("http://www.informatics.jax.org/marker/MGI:1929100","MGI:1929100")</f>
        <v>MGI:1929100</v>
      </c>
      <c r="J1161" s="4" t="s">
        <v>12</v>
      </c>
    </row>
    <row r="1162" spans="1:10" x14ac:dyDescent="0.25">
      <c r="A1162" s="2">
        <v>577.767397473046</v>
      </c>
      <c r="B1162" s="3">
        <v>0.796873212325512</v>
      </c>
      <c r="C1162" s="5">
        <v>7.9698827232640899E-45</v>
      </c>
      <c r="D1162" s="6">
        <v>3.3011616507156398E-43</v>
      </c>
      <c r="E1162" s="3" t="s">
        <v>1540</v>
      </c>
      <c r="F1162" s="3" t="s">
        <v>1541</v>
      </c>
      <c r="G1162" s="3">
        <v>56274</v>
      </c>
      <c r="H1162" s="7" t="str">
        <f>HYPERLINK("http://www.ensembl.org/Mus_musculus/Gene/Summary?db=core;g=ENSMUSG00000022329","ENSMUSG00000022329")</f>
        <v>ENSMUSG00000022329</v>
      </c>
      <c r="I1162" s="7" t="str">
        <f>HYPERLINK("http://www.informatics.jax.org/marker/MGI:1928487","MGI:1928487")</f>
        <v>MGI:1928487</v>
      </c>
      <c r="J1162" s="4" t="s">
        <v>12</v>
      </c>
    </row>
    <row r="1163" spans="1:10" x14ac:dyDescent="0.25">
      <c r="A1163" s="2">
        <v>19.672408139829599</v>
      </c>
      <c r="B1163" s="3">
        <v>0.79416641070949301</v>
      </c>
      <c r="C1163" s="3">
        <v>2.8891359351583099E-3</v>
      </c>
      <c r="D1163" s="4">
        <v>9.2021150678539398E-3</v>
      </c>
      <c r="E1163" s="3" t="s">
        <v>13338</v>
      </c>
      <c r="F1163" s="3" t="s">
        <v>13339</v>
      </c>
      <c r="G1163" s="3" t="s">
        <v>83</v>
      </c>
      <c r="H1163" s="7" t="str">
        <f>HYPERLINK("http://www.ensembl.org/Mus_musculus/Gene/Summary?db=core;g=ENSMUSG00000086754","ENSMUSG00000086754")</f>
        <v>ENSMUSG00000086754</v>
      </c>
      <c r="I1163" s="7" t="str">
        <f>HYPERLINK("http://www.informatics.jax.org/marker/MGI:3801762","MGI:3801762")</f>
        <v>MGI:3801762</v>
      </c>
      <c r="J1163" s="4" t="s">
        <v>932</v>
      </c>
    </row>
    <row r="1164" spans="1:10" x14ac:dyDescent="0.25">
      <c r="A1164" s="2">
        <v>240.61646356863301</v>
      </c>
      <c r="B1164" s="3">
        <v>0.79416622376647505</v>
      </c>
      <c r="C1164" s="5">
        <v>6.5665354425721E-21</v>
      </c>
      <c r="D1164" s="6">
        <v>1.07428284058237E-19</v>
      </c>
      <c r="E1164" s="3" t="s">
        <v>2463</v>
      </c>
      <c r="F1164" s="3" t="s">
        <v>2464</v>
      </c>
      <c r="G1164" s="3">
        <v>108900</v>
      </c>
      <c r="H1164" s="7" t="str">
        <f>HYPERLINK("http://www.ensembl.org/Mus_musculus/Gene/Summary?db=core;g=ENSMUSG00000055184","ENSMUSG00000055184")</f>
        <v>ENSMUSG00000055184</v>
      </c>
      <c r="I1164" s="7" t="str">
        <f>HYPERLINK("http://www.informatics.jax.org/marker/MGI:1919669","MGI:1919669")</f>
        <v>MGI:1919669</v>
      </c>
      <c r="J1164" s="4" t="s">
        <v>12</v>
      </c>
    </row>
    <row r="1165" spans="1:10" x14ac:dyDescent="0.25">
      <c r="A1165" s="2">
        <v>3913.9623914281101</v>
      </c>
      <c r="B1165" s="3">
        <v>0.79402431275976804</v>
      </c>
      <c r="C1165" s="5">
        <v>1.3994047094198999E-49</v>
      </c>
      <c r="D1165" s="6">
        <v>6.6244547608253504E-48</v>
      </c>
      <c r="E1165" s="3" t="s">
        <v>366</v>
      </c>
      <c r="F1165" s="3" t="s">
        <v>367</v>
      </c>
      <c r="G1165" s="3">
        <v>27225</v>
      </c>
      <c r="H1165" s="7" t="str">
        <f>HYPERLINK("http://www.ensembl.org/Mus_musculus/Gene/Summary?db=core;g=ENSMUSG00000041645","ENSMUSG00000041645")</f>
        <v>ENSMUSG00000041645</v>
      </c>
      <c r="I1165" s="7" t="str">
        <f>HYPERLINK("http://www.informatics.jax.org/marker/MGI:1351337","MGI:1351337")</f>
        <v>MGI:1351337</v>
      </c>
      <c r="J1165" s="4" t="s">
        <v>12</v>
      </c>
    </row>
    <row r="1166" spans="1:10" x14ac:dyDescent="0.25">
      <c r="A1166" s="2">
        <v>3102.34472791389</v>
      </c>
      <c r="B1166" s="3">
        <v>0.79382622668632696</v>
      </c>
      <c r="C1166" s="5">
        <v>7.7320892530155303E-75</v>
      </c>
      <c r="D1166" s="6">
        <v>6.6785462860762094E-73</v>
      </c>
      <c r="E1166" s="3" t="s">
        <v>554</v>
      </c>
      <c r="F1166" s="3" t="s">
        <v>555</v>
      </c>
      <c r="G1166" s="3">
        <v>15277</v>
      </c>
      <c r="H1166" s="7" t="str">
        <f>HYPERLINK("http://www.ensembl.org/Mus_musculus/Gene/Summary?db=core;g=ENSMUSG00000000628","ENSMUSG00000000628")</f>
        <v>ENSMUSG00000000628</v>
      </c>
      <c r="I1166" s="7" t="str">
        <f>HYPERLINK("http://www.informatics.jax.org/marker/MGI:1315197","MGI:1315197")</f>
        <v>MGI:1315197</v>
      </c>
      <c r="J1166" s="4" t="s">
        <v>12</v>
      </c>
    </row>
    <row r="1167" spans="1:10" x14ac:dyDescent="0.25">
      <c r="A1167" s="2">
        <v>545.86670691149197</v>
      </c>
      <c r="B1167" s="3">
        <v>0.79322581795119795</v>
      </c>
      <c r="C1167" s="5">
        <v>2.1351887577917601E-16</v>
      </c>
      <c r="D1167" s="6">
        <v>2.75009294068938E-15</v>
      </c>
      <c r="E1167" s="3" t="s">
        <v>2363</v>
      </c>
      <c r="F1167" s="3" t="s">
        <v>2364</v>
      </c>
      <c r="G1167" s="3">
        <v>72061</v>
      </c>
      <c r="H1167" s="7" t="str">
        <f>HYPERLINK("http://www.ensembl.org/Mus_musculus/Gene/Summary?db=core;g=ENSMUSG00000021458","ENSMUSG00000021458")</f>
        <v>ENSMUSG00000021458</v>
      </c>
      <c r="I1167" s="7" t="str">
        <f>HYPERLINK("http://www.informatics.jax.org/marker/MGI:1919311","MGI:1919311")</f>
        <v>MGI:1919311</v>
      </c>
      <c r="J1167" s="4" t="s">
        <v>12</v>
      </c>
    </row>
    <row r="1168" spans="1:10" x14ac:dyDescent="0.25">
      <c r="A1168" s="2">
        <v>94.5499860229327</v>
      </c>
      <c r="B1168" s="3">
        <v>0.79262831253750599</v>
      </c>
      <c r="C1168" s="5">
        <v>6.3401972351104297E-9</v>
      </c>
      <c r="D1168" s="6">
        <v>4.5172046368212499E-8</v>
      </c>
      <c r="E1168" s="3" t="s">
        <v>8881</v>
      </c>
      <c r="F1168" s="3" t="s">
        <v>8882</v>
      </c>
      <c r="G1168" s="3" t="s">
        <v>83</v>
      </c>
      <c r="H1168" s="7" t="str">
        <f>HYPERLINK("http://www.ensembl.org/Mus_musculus/Gene/Summary?db=core;g=ENSMUSG00000102644","ENSMUSG00000102644")</f>
        <v>ENSMUSG00000102644</v>
      </c>
      <c r="I1168" s="7" t="str">
        <f>HYPERLINK("http://www.informatics.jax.org/marker/MGI:1922436","MGI:1922436")</f>
        <v>MGI:1922436</v>
      </c>
      <c r="J1168" s="4" t="s">
        <v>3150</v>
      </c>
    </row>
    <row r="1169" spans="1:10" x14ac:dyDescent="0.25">
      <c r="A1169" s="2">
        <v>142.69618331019001</v>
      </c>
      <c r="B1169" s="3">
        <v>0.79155918713207596</v>
      </c>
      <c r="C1169" s="5">
        <v>1.1135532083706E-11</v>
      </c>
      <c r="D1169" s="6">
        <v>1.03070123019574E-10</v>
      </c>
      <c r="E1169" s="3" t="s">
        <v>7983</v>
      </c>
      <c r="F1169" s="3" t="s">
        <v>7984</v>
      </c>
      <c r="G1169" s="3">
        <v>71198</v>
      </c>
      <c r="H1169" s="7" t="str">
        <f>HYPERLINK("http://www.ensembl.org/Mus_musculus/Gene/Summary?db=core;g=ENSMUSG00000043415","ENSMUSG00000043415")</f>
        <v>ENSMUSG00000043415</v>
      </c>
      <c r="I1169" s="7" t="str">
        <f>HYPERLINK("http://www.informatics.jax.org/marker/MGI:1918448","MGI:1918448")</f>
        <v>MGI:1918448</v>
      </c>
      <c r="J1169" s="4" t="s">
        <v>12</v>
      </c>
    </row>
    <row r="1170" spans="1:10" x14ac:dyDescent="0.25">
      <c r="A1170" s="2">
        <v>69.730255664007601</v>
      </c>
      <c r="B1170" s="3">
        <v>0.79092001830943903</v>
      </c>
      <c r="C1170" s="5">
        <v>3.4883544223844E-5</v>
      </c>
      <c r="D1170" s="4">
        <v>1.5678239050050699E-4</v>
      </c>
      <c r="E1170" s="3" t="s">
        <v>6489</v>
      </c>
      <c r="F1170" s="3" t="s">
        <v>6490</v>
      </c>
      <c r="G1170" s="3" t="s">
        <v>83</v>
      </c>
      <c r="H1170" s="7" t="str">
        <f>HYPERLINK("http://www.ensembl.org/Mus_musculus/Gene/Summary?db=core;g=ENSMUSG00000097471","ENSMUSG00000097471")</f>
        <v>ENSMUSG00000097471</v>
      </c>
      <c r="I1170" s="7" t="str">
        <f>HYPERLINK("http://www.informatics.jax.org/marker/MGI:1915015","MGI:1915015")</f>
        <v>MGI:1915015</v>
      </c>
      <c r="J1170" s="4" t="s">
        <v>932</v>
      </c>
    </row>
    <row r="1171" spans="1:10" x14ac:dyDescent="0.25">
      <c r="A1171" s="2">
        <v>120.64688392023</v>
      </c>
      <c r="B1171" s="3">
        <v>0.79083311976470905</v>
      </c>
      <c r="C1171" s="5">
        <v>2.01037072308584E-13</v>
      </c>
      <c r="D1171" s="6">
        <v>2.1438856891889699E-12</v>
      </c>
      <c r="E1171" s="3" t="s">
        <v>3540</v>
      </c>
      <c r="F1171" s="3" t="s">
        <v>3541</v>
      </c>
      <c r="G1171" s="3">
        <v>210105</v>
      </c>
      <c r="H1171" s="7" t="str">
        <f>HYPERLINK("http://www.ensembl.org/Mus_musculus/Gene/Summary?db=core;g=ENSMUSG00000030469","ENSMUSG00000030469")</f>
        <v>ENSMUSG00000030469</v>
      </c>
      <c r="I1171" s="7" t="str">
        <f>HYPERLINK("http://www.informatics.jax.org/marker/MGI:2444708","MGI:2444708")</f>
        <v>MGI:2444708</v>
      </c>
      <c r="J1171" s="4" t="s">
        <v>12</v>
      </c>
    </row>
    <row r="1172" spans="1:10" x14ac:dyDescent="0.25">
      <c r="A1172" s="2">
        <v>641.67747929182804</v>
      </c>
      <c r="B1172" s="3">
        <v>0.78820594697020097</v>
      </c>
      <c r="C1172" s="5">
        <v>7.8013635217081894E-23</v>
      </c>
      <c r="D1172" s="6">
        <v>1.40493923105861E-21</v>
      </c>
      <c r="E1172" s="3" t="s">
        <v>2147</v>
      </c>
      <c r="F1172" s="3" t="s">
        <v>2148</v>
      </c>
      <c r="G1172" s="3">
        <v>58172</v>
      </c>
      <c r="H1172" s="7" t="str">
        <f>HYPERLINK("http://www.ensembl.org/Mus_musculus/Gene/Summary?db=core;g=ENSMUSG00000049800","ENSMUSG00000049800")</f>
        <v>ENSMUSG00000049800</v>
      </c>
      <c r="I1172" s="7" t="str">
        <f>HYPERLINK("http://www.informatics.jax.org/marker/MGI:1931026","MGI:1931026")</f>
        <v>MGI:1931026</v>
      </c>
      <c r="J1172" s="4" t="s">
        <v>12</v>
      </c>
    </row>
    <row r="1173" spans="1:10" x14ac:dyDescent="0.25">
      <c r="A1173" s="2">
        <v>4681.0915156438396</v>
      </c>
      <c r="B1173" s="3">
        <v>0.788183774981145</v>
      </c>
      <c r="C1173" s="5">
        <v>8.4684945947875098E-17</v>
      </c>
      <c r="D1173" s="6">
        <v>1.11516122825146E-15</v>
      </c>
      <c r="E1173" s="3" t="s">
        <v>4035</v>
      </c>
      <c r="F1173" s="3" t="s">
        <v>4036</v>
      </c>
      <c r="G1173" s="3">
        <v>26457</v>
      </c>
      <c r="H1173" s="7" t="str">
        <f>HYPERLINK("http://www.ensembl.org/Mus_musculus/Gene/Summary?db=core;g=ENSMUSG00000031808","ENSMUSG00000031808")</f>
        <v>ENSMUSG00000031808</v>
      </c>
      <c r="I1173" s="7" t="str">
        <f>HYPERLINK("http://www.informatics.jax.org/marker/MGI:1347098","MGI:1347098")</f>
        <v>MGI:1347098</v>
      </c>
      <c r="J1173" s="4" t="s">
        <v>12</v>
      </c>
    </row>
    <row r="1174" spans="1:10" x14ac:dyDescent="0.25">
      <c r="A1174" s="2">
        <v>3031.2361623471402</v>
      </c>
      <c r="B1174" s="3">
        <v>0.78799877850527</v>
      </c>
      <c r="C1174" s="5">
        <v>3.4912595847313597E-26</v>
      </c>
      <c r="D1174" s="6">
        <v>7.3643756865427196E-25</v>
      </c>
      <c r="E1174" s="3" t="s">
        <v>3198</v>
      </c>
      <c r="F1174" s="3" t="s">
        <v>3199</v>
      </c>
      <c r="G1174" s="3">
        <v>18023</v>
      </c>
      <c r="H1174" s="7" t="str">
        <f>HYPERLINK("http://www.ensembl.org/Mus_musculus/Gene/Summary?db=core;g=ENSMUSG00000038615","ENSMUSG00000038615")</f>
        <v>ENSMUSG00000038615</v>
      </c>
      <c r="I1174" s="7" t="str">
        <f>HYPERLINK("http://www.informatics.jax.org/marker/MGI:99421","MGI:99421")</f>
        <v>MGI:99421</v>
      </c>
      <c r="J1174" s="4" t="s">
        <v>12</v>
      </c>
    </row>
    <row r="1175" spans="1:10" x14ac:dyDescent="0.25">
      <c r="A1175" s="2">
        <v>491.74476696386301</v>
      </c>
      <c r="B1175" s="3">
        <v>0.78773573372161898</v>
      </c>
      <c r="C1175" s="5">
        <v>4.04293897284708E-34</v>
      </c>
      <c r="D1175" s="6">
        <v>1.15671213155633E-32</v>
      </c>
      <c r="E1175" s="3" t="s">
        <v>832</v>
      </c>
      <c r="F1175" s="3" t="s">
        <v>833</v>
      </c>
      <c r="G1175" s="3">
        <v>101023</v>
      </c>
      <c r="H1175" s="7" t="str">
        <f>HYPERLINK("http://www.ensembl.org/Mus_musculus/Gene/Summary?db=core;g=ENSMUSG00000043059","ENSMUSG00000043059")</f>
        <v>ENSMUSG00000043059</v>
      </c>
      <c r="I1175" s="7" t="str">
        <f>HYPERLINK("http://www.informatics.jax.org/marker/MGI:2141255","MGI:2141255")</f>
        <v>MGI:2141255</v>
      </c>
      <c r="J1175" s="4" t="s">
        <v>12</v>
      </c>
    </row>
    <row r="1176" spans="1:10" x14ac:dyDescent="0.25">
      <c r="A1176" s="2">
        <v>6.8803784052460504</v>
      </c>
      <c r="B1176" s="3">
        <v>0.785489341528818</v>
      </c>
      <c r="C1176" s="3">
        <v>4.6743533393243497E-2</v>
      </c>
      <c r="D1176" s="4">
        <v>0.10792888807340401</v>
      </c>
      <c r="E1176" s="3" t="s">
        <v>11659</v>
      </c>
      <c r="F1176" s="3" t="s">
        <v>11660</v>
      </c>
      <c r="G1176" s="3">
        <v>17868</v>
      </c>
      <c r="H1176" s="7" t="str">
        <f>HYPERLINK("http://www.ensembl.org/Mus_musculus/Gene/Summary?db=core;g=ENSMUSG00000002100","ENSMUSG00000002100")</f>
        <v>ENSMUSG00000002100</v>
      </c>
      <c r="I1176" s="7" t="str">
        <f>HYPERLINK("http://www.informatics.jax.org/marker/MGI:102844","MGI:102844")</f>
        <v>MGI:102844</v>
      </c>
      <c r="J1176" s="4" t="s">
        <v>12</v>
      </c>
    </row>
    <row r="1177" spans="1:10" x14ac:dyDescent="0.25">
      <c r="A1177" s="2">
        <v>5.7812393695000504</v>
      </c>
      <c r="B1177" s="3">
        <v>0.78360998689406203</v>
      </c>
      <c r="C1177" s="3">
        <v>5.9445842229650901E-2</v>
      </c>
      <c r="D1177" s="4">
        <v>0.131945009698622</v>
      </c>
      <c r="E1177" s="3" t="s">
        <v>11098</v>
      </c>
      <c r="F1177" s="3" t="s">
        <v>11099</v>
      </c>
      <c r="G1177" s="3" t="s">
        <v>83</v>
      </c>
      <c r="H1177" s="7" t="str">
        <f>HYPERLINK("http://www.ensembl.org/Mus_musculus/Gene/Summary?db=core;g=ENSMUSG00000088856","ENSMUSG00000088856")</f>
        <v>ENSMUSG00000088856</v>
      </c>
      <c r="I1177" s="7" t="str">
        <f>HYPERLINK("http://www.informatics.jax.org/marker/MGI:5454504","MGI:5454504")</f>
        <v>MGI:5454504</v>
      </c>
      <c r="J1177" s="4" t="s">
        <v>11100</v>
      </c>
    </row>
    <row r="1178" spans="1:10" x14ac:dyDescent="0.25">
      <c r="A1178" s="2">
        <v>50.802483485048</v>
      </c>
      <c r="B1178" s="3">
        <v>0.78323545986482201</v>
      </c>
      <c r="C1178" s="5">
        <v>5.2780464403616704E-6</v>
      </c>
      <c r="D1178" s="6">
        <v>2.6906964021144399E-5</v>
      </c>
      <c r="E1178" s="3" t="s">
        <v>6195</v>
      </c>
      <c r="F1178" s="3" t="s">
        <v>6196</v>
      </c>
      <c r="G1178" s="3" t="s">
        <v>83</v>
      </c>
      <c r="H1178" s="7" t="str">
        <f>HYPERLINK("http://www.ensembl.org/Mus_musculus/Gene/Summary?db=core;g=ENSMUSG00000084013","ENSMUSG00000084013")</f>
        <v>ENSMUSG00000084013</v>
      </c>
      <c r="I1178" s="7" t="str">
        <f>HYPERLINK("http://www.informatics.jax.org/marker/MGI:3649849","MGI:3649849")</f>
        <v>MGI:3649849</v>
      </c>
      <c r="J1178" s="4" t="s">
        <v>1043</v>
      </c>
    </row>
    <row r="1179" spans="1:10" x14ac:dyDescent="0.25">
      <c r="A1179" s="2">
        <v>325.17567680664303</v>
      </c>
      <c r="B1179" s="3">
        <v>0.78317791832874994</v>
      </c>
      <c r="C1179" s="5">
        <v>6.4279365649570703E-11</v>
      </c>
      <c r="D1179" s="6">
        <v>5.5998634749685802E-10</v>
      </c>
      <c r="E1179" s="3" t="s">
        <v>1430</v>
      </c>
      <c r="F1179" s="3" t="s">
        <v>1431</v>
      </c>
      <c r="G1179" s="3">
        <v>381560</v>
      </c>
      <c r="H1179" s="7" t="str">
        <f>HYPERLINK("http://www.ensembl.org/Mus_musculus/Gene/Summary?db=core;g=ENSMUSG00000037752","ENSMUSG00000037752")</f>
        <v>ENSMUSG00000037752</v>
      </c>
      <c r="I1179" s="7" t="str">
        <f>HYPERLINK("http://www.informatics.jax.org/marker/MGI:2685877","MGI:2685877")</f>
        <v>MGI:2685877</v>
      </c>
      <c r="J1179" s="4" t="s">
        <v>12</v>
      </c>
    </row>
    <row r="1180" spans="1:10" x14ac:dyDescent="0.25">
      <c r="A1180" s="2">
        <v>3554.28937908732</v>
      </c>
      <c r="B1180" s="3">
        <v>0.78275750441721603</v>
      </c>
      <c r="C1180" s="5">
        <v>1.62104899487889E-43</v>
      </c>
      <c r="D1180" s="6">
        <v>6.3809110003602005E-42</v>
      </c>
      <c r="E1180" s="3" t="s">
        <v>1404</v>
      </c>
      <c r="F1180" s="3" t="s">
        <v>1405</v>
      </c>
      <c r="G1180" s="3">
        <v>20918</v>
      </c>
      <c r="H1180" s="7" t="str">
        <f>HYPERLINK("http://www.ensembl.org/Mus_musculus/Gene/Summary?db=core;g=ENSMUSG00000035530","ENSMUSG00000035530")</f>
        <v>ENSMUSG00000035530</v>
      </c>
      <c r="I1180" s="7" t="str">
        <f>HYPERLINK("http://www.informatics.jax.org/marker/MGI:105125","MGI:105125")</f>
        <v>MGI:105125</v>
      </c>
      <c r="J1180" s="4" t="s">
        <v>12</v>
      </c>
    </row>
    <row r="1181" spans="1:10" x14ac:dyDescent="0.25">
      <c r="A1181" s="2">
        <v>5.0657538893321998</v>
      </c>
      <c r="B1181" s="3">
        <v>0.78248690872974902</v>
      </c>
      <c r="C1181" s="3">
        <v>5.1562922889956897E-2</v>
      </c>
      <c r="D1181" s="4">
        <v>0.11714463595979401</v>
      </c>
      <c r="E1181" s="3" t="s">
        <v>13183</v>
      </c>
      <c r="F1181" s="3" t="s">
        <v>13184</v>
      </c>
      <c r="G1181" s="3" t="s">
        <v>83</v>
      </c>
      <c r="H1181" s="7" t="str">
        <f>HYPERLINK("http://www.ensembl.org/Mus_musculus/Gene/Summary?db=core;g=ENSMUSG00000044645","ENSMUSG00000044645")</f>
        <v>ENSMUSG00000044645</v>
      </c>
      <c r="I1181" s="7" t="str">
        <f>HYPERLINK("http://www.informatics.jax.org/marker/MGI:3647393","MGI:3647393")</f>
        <v>MGI:3647393</v>
      </c>
      <c r="J1181" s="4" t="s">
        <v>1043</v>
      </c>
    </row>
    <row r="1182" spans="1:10" x14ac:dyDescent="0.25">
      <c r="A1182" s="2">
        <v>2124.5501504906301</v>
      </c>
      <c r="B1182" s="3">
        <v>0.78217661022858198</v>
      </c>
      <c r="C1182" s="5">
        <v>1.7997873198074499E-33</v>
      </c>
      <c r="D1182" s="6">
        <v>5.03084722446178E-32</v>
      </c>
      <c r="E1182" s="3" t="s">
        <v>906</v>
      </c>
      <c r="F1182" s="3" t="s">
        <v>907</v>
      </c>
      <c r="G1182" s="3">
        <v>60406</v>
      </c>
      <c r="H1182" s="7" t="str">
        <f>HYPERLINK("http://www.ensembl.org/Mus_musculus/Gene/Summary?db=core;g=ENSMUSG00000031609","ENSMUSG00000031609")</f>
        <v>ENSMUSG00000031609</v>
      </c>
      <c r="I1182" s="7" t="str">
        <f>HYPERLINK("http://www.informatics.jax.org/marker/MGI:1929129","MGI:1929129")</f>
        <v>MGI:1929129</v>
      </c>
      <c r="J1182" s="4" t="s">
        <v>12</v>
      </c>
    </row>
    <row r="1183" spans="1:10" x14ac:dyDescent="0.25">
      <c r="A1183" s="2">
        <v>1394.4709263074401</v>
      </c>
      <c r="B1183" s="3">
        <v>0.78169279407854897</v>
      </c>
      <c r="C1183" s="5">
        <v>3.1189557925772E-10</v>
      </c>
      <c r="D1183" s="6">
        <v>2.5570386558578301E-9</v>
      </c>
      <c r="E1183" s="3" t="s">
        <v>5841</v>
      </c>
      <c r="F1183" s="3" t="s">
        <v>5842</v>
      </c>
      <c r="G1183" s="3">
        <v>192187</v>
      </c>
      <c r="H1183" s="7" t="str">
        <f>HYPERLINK("http://www.ensembl.org/Mus_musculus/Gene/Summary?db=core;g=ENSMUSG00000042286","ENSMUSG00000042286")</f>
        <v>ENSMUSG00000042286</v>
      </c>
      <c r="I1183" s="7" t="str">
        <f>HYPERLINK("http://www.informatics.jax.org/marker/MGI:2178742","MGI:2178742")</f>
        <v>MGI:2178742</v>
      </c>
      <c r="J1183" s="4" t="s">
        <v>12</v>
      </c>
    </row>
    <row r="1184" spans="1:10" x14ac:dyDescent="0.25">
      <c r="A1184" s="2">
        <v>66.355033372570105</v>
      </c>
      <c r="B1184" s="3">
        <v>0.78036586401332397</v>
      </c>
      <c r="C1184" s="5">
        <v>3.0679380416781798E-5</v>
      </c>
      <c r="D1184" s="4">
        <v>1.39260699401208E-4</v>
      </c>
      <c r="E1184" s="3" t="s">
        <v>4595</v>
      </c>
      <c r="F1184" s="3" t="s">
        <v>4596</v>
      </c>
      <c r="G1184" s="3">
        <v>621823</v>
      </c>
      <c r="H1184" s="7" t="str">
        <f>HYPERLINK("http://www.ensembl.org/Mus_musculus/Gene/Summary?db=core;g=ENSMUSG00000078153","ENSMUSG00000078153")</f>
        <v>ENSMUSG00000078153</v>
      </c>
      <c r="I1184" s="7" t="str">
        <f>HYPERLINK("http://www.informatics.jax.org/marker/MGI:1341073","MGI:1341073")</f>
        <v>MGI:1341073</v>
      </c>
      <c r="J1184" s="4" t="s">
        <v>12</v>
      </c>
    </row>
    <row r="1185" spans="1:10" x14ac:dyDescent="0.25">
      <c r="A1185" s="2">
        <v>1.6354914770982301</v>
      </c>
      <c r="B1185" s="3">
        <v>0.77951924441432896</v>
      </c>
      <c r="C1185" s="3">
        <v>9.4842097075189202E-2</v>
      </c>
      <c r="D1185" s="4">
        <v>0.194979945763714</v>
      </c>
      <c r="E1185" s="3" t="s">
        <v>11229</v>
      </c>
      <c r="F1185" s="3" t="s">
        <v>11230</v>
      </c>
      <c r="G1185" s="3" t="s">
        <v>83</v>
      </c>
      <c r="H1185" s="7" t="str">
        <f>HYPERLINK("http://www.ensembl.org/Mus_musculus/Gene/Summary?db=core;g=ENSMUSG00000112711","ENSMUSG00000112711")</f>
        <v>ENSMUSG00000112711</v>
      </c>
      <c r="I1185" s="7" t="str">
        <f>HYPERLINK("http://www.informatics.jax.org/marker/MGI:5591711","MGI:5591711")</f>
        <v>MGI:5591711</v>
      </c>
      <c r="J1185" s="4" t="s">
        <v>939</v>
      </c>
    </row>
    <row r="1186" spans="1:10" x14ac:dyDescent="0.25">
      <c r="A1186" s="2">
        <v>2046.32667989008</v>
      </c>
      <c r="B1186" s="3">
        <v>0.77944562073740598</v>
      </c>
      <c r="C1186" s="5">
        <v>3.4910430182234102E-28</v>
      </c>
      <c r="D1186" s="6">
        <v>8.0333660362527298E-27</v>
      </c>
      <c r="E1186" s="3" t="s">
        <v>1294</v>
      </c>
      <c r="F1186" s="3" t="s">
        <v>1295</v>
      </c>
      <c r="G1186" s="3">
        <v>53312</v>
      </c>
      <c r="H1186" s="7" t="str">
        <f>HYPERLINK("http://www.ensembl.org/Mus_musculus/Gene/Summary?db=core;g=ENSMUSG00000028954","ENSMUSG00000028954")</f>
        <v>ENSMUSG00000028954</v>
      </c>
      <c r="I1186" s="7" t="str">
        <f>HYPERLINK("http://www.informatics.jax.org/marker/MGI:1889001","MGI:1889001")</f>
        <v>MGI:1889001</v>
      </c>
      <c r="J1186" s="4" t="s">
        <v>12</v>
      </c>
    </row>
    <row r="1187" spans="1:10" x14ac:dyDescent="0.25">
      <c r="A1187" s="2">
        <v>1619.8554629161899</v>
      </c>
      <c r="B1187" s="3">
        <v>0.77905592821080905</v>
      </c>
      <c r="C1187" s="5">
        <v>2.3152783818187399E-44</v>
      </c>
      <c r="D1187" s="6">
        <v>9.4398095097643208E-43</v>
      </c>
      <c r="E1187" s="3" t="s">
        <v>1382</v>
      </c>
      <c r="F1187" s="3" t="s">
        <v>1383</v>
      </c>
      <c r="G1187" s="3">
        <v>210009</v>
      </c>
      <c r="H1187" s="7" t="str">
        <f>HYPERLINK("http://www.ensembl.org/Mus_musculus/Gene/Summary?db=core;g=ENSMUSG00000034617","ENSMUSG00000034617")</f>
        <v>ENSMUSG00000034617</v>
      </c>
      <c r="I1187" s="7" t="str">
        <f>HYPERLINK("http://www.informatics.jax.org/marker/MGI:1891037","MGI:1891037")</f>
        <v>MGI:1891037</v>
      </c>
      <c r="J1187" s="4" t="s">
        <v>12</v>
      </c>
    </row>
    <row r="1188" spans="1:10" x14ac:dyDescent="0.25">
      <c r="A1188" s="2">
        <v>1315.8302846352001</v>
      </c>
      <c r="B1188" s="3">
        <v>0.77862456094866805</v>
      </c>
      <c r="C1188" s="5">
        <v>4.9278951983392101E-22</v>
      </c>
      <c r="D1188" s="6">
        <v>8.5534180942602103E-21</v>
      </c>
      <c r="E1188" s="3" t="s">
        <v>1484</v>
      </c>
      <c r="F1188" s="3" t="s">
        <v>1485</v>
      </c>
      <c r="G1188" s="3">
        <v>54683</v>
      </c>
      <c r="H1188" s="7" t="str">
        <f>HYPERLINK("http://www.ensembl.org/Mus_musculus/Gene/Summary?db=core;g=ENSMUSG00000024953","ENSMUSG00000024953")</f>
        <v>ENSMUSG00000024953</v>
      </c>
      <c r="I1188" s="7" t="str">
        <f>HYPERLINK("http://www.informatics.jax.org/marker/MGI:1859821","MGI:1859821")</f>
        <v>MGI:1859821</v>
      </c>
      <c r="J1188" s="4" t="s">
        <v>12</v>
      </c>
    </row>
    <row r="1189" spans="1:10" x14ac:dyDescent="0.25">
      <c r="A1189" s="2">
        <v>175.245050629308</v>
      </c>
      <c r="B1189" s="3">
        <v>0.77847881261040897</v>
      </c>
      <c r="C1189" s="5">
        <v>2.13689954465504E-14</v>
      </c>
      <c r="D1189" s="6">
        <v>2.41444477379653E-13</v>
      </c>
      <c r="E1189" s="3" t="s">
        <v>4065</v>
      </c>
      <c r="F1189" s="3" t="s">
        <v>4066</v>
      </c>
      <c r="G1189" s="3">
        <v>66441</v>
      </c>
      <c r="H1189" s="7" t="str">
        <f>HYPERLINK("http://www.ensembl.org/Mus_musculus/Gene/Summary?db=core;g=ENSMUSG00000030188","ENSMUSG00000030188")</f>
        <v>ENSMUSG00000030188</v>
      </c>
      <c r="I1189" s="7" t="str">
        <f>HYPERLINK("http://www.informatics.jax.org/marker/MGI:1913691","MGI:1913691")</f>
        <v>MGI:1913691</v>
      </c>
      <c r="J1189" s="4" t="s">
        <v>12</v>
      </c>
    </row>
    <row r="1190" spans="1:10" x14ac:dyDescent="0.25">
      <c r="A1190" s="2">
        <v>8.3969635091918509</v>
      </c>
      <c r="B1190" s="3">
        <v>0.77776275371769099</v>
      </c>
      <c r="C1190" s="3">
        <v>2.7700307994295001E-2</v>
      </c>
      <c r="D1190" s="4">
        <v>6.8573500841622698E-2</v>
      </c>
      <c r="E1190" s="3" t="s">
        <v>11471</v>
      </c>
      <c r="F1190" s="3" t="s">
        <v>11472</v>
      </c>
      <c r="G1190" s="3" t="s">
        <v>83</v>
      </c>
      <c r="H1190" s="7" t="str">
        <f>HYPERLINK("http://www.ensembl.org/Mus_musculus/Gene/Summary?db=core;g=ENSMUSG00000099874","ENSMUSG00000099874")</f>
        <v>ENSMUSG00000099874</v>
      </c>
      <c r="I1190" s="7" t="str">
        <f>HYPERLINK("http://www.informatics.jax.org/marker/MGI:5580335","MGI:5580335")</f>
        <v>MGI:5580335</v>
      </c>
      <c r="J1190" s="4" t="s">
        <v>932</v>
      </c>
    </row>
    <row r="1191" spans="1:10" x14ac:dyDescent="0.25">
      <c r="A1191" s="2">
        <v>31.680078836105501</v>
      </c>
      <c r="B1191" s="3">
        <v>0.777674771361756</v>
      </c>
      <c r="C1191" s="3">
        <v>7.6761448981449701E-3</v>
      </c>
      <c r="D1191" s="4">
        <v>2.21217173891038E-2</v>
      </c>
      <c r="E1191" s="3" t="s">
        <v>9881</v>
      </c>
      <c r="F1191" s="3" t="s">
        <v>9882</v>
      </c>
      <c r="G1191" s="3">
        <v>381290</v>
      </c>
      <c r="H1191" s="7" t="str">
        <f>HYPERLINK("http://www.ensembl.org/Mus_musculus/Gene/Summary?db=core;g=ENSMUSG00000026463","ENSMUSG00000026463")</f>
        <v>ENSMUSG00000026463</v>
      </c>
      <c r="I1191" s="7" t="str">
        <f>HYPERLINK("http://www.informatics.jax.org/marker/MGI:88111","MGI:88111")</f>
        <v>MGI:88111</v>
      </c>
      <c r="J1191" s="4" t="s">
        <v>12</v>
      </c>
    </row>
    <row r="1192" spans="1:10" x14ac:dyDescent="0.25">
      <c r="A1192" s="2">
        <v>18.985432817579301</v>
      </c>
      <c r="B1192" s="3">
        <v>0.77627911729953003</v>
      </c>
      <c r="C1192" s="3">
        <v>2.2533739584301399E-3</v>
      </c>
      <c r="D1192" s="4">
        <v>7.3730234097646999E-3</v>
      </c>
      <c r="E1192" s="3" t="s">
        <v>8581</v>
      </c>
      <c r="F1192" s="3" t="s">
        <v>8582</v>
      </c>
      <c r="G1192" s="3" t="s">
        <v>83</v>
      </c>
      <c r="H1192" s="7" t="str">
        <f>HYPERLINK("http://www.ensembl.org/Mus_musculus/Gene/Summary?db=core;g=ENSMUSG00000111410","ENSMUSG00000111410")</f>
        <v>ENSMUSG00000111410</v>
      </c>
      <c r="I1192" s="7" t="str">
        <f>HYPERLINK("http://www.informatics.jax.org/marker/MGI:6121526","MGI:6121526")</f>
        <v>MGI:6121526</v>
      </c>
      <c r="J1192" s="4" t="s">
        <v>12</v>
      </c>
    </row>
    <row r="1193" spans="1:10" x14ac:dyDescent="0.25">
      <c r="A1193" s="2">
        <v>2260.7212518772199</v>
      </c>
      <c r="B1193" s="3">
        <v>0.77529906002500004</v>
      </c>
      <c r="C1193" s="5">
        <v>1.6456974518089999E-34</v>
      </c>
      <c r="D1193" s="6">
        <v>4.7607676284474597E-33</v>
      </c>
      <c r="E1193" s="3" t="s">
        <v>1997</v>
      </c>
      <c r="F1193" s="3" t="s">
        <v>1998</v>
      </c>
      <c r="G1193" s="3">
        <v>76901</v>
      </c>
      <c r="H1193" s="7" t="str">
        <f>HYPERLINK("http://www.ensembl.org/Mus_musculus/Gene/Summary?db=core;g=ENSMUSG00000020387","ENSMUSG00000020387")</f>
        <v>ENSMUSG00000020387</v>
      </c>
      <c r="I1193" s="7" t="str">
        <f>HYPERLINK("http://www.informatics.jax.org/marker/MGI:1924151","MGI:1924151")</f>
        <v>MGI:1924151</v>
      </c>
      <c r="J1193" s="4" t="s">
        <v>12</v>
      </c>
    </row>
    <row r="1194" spans="1:10" x14ac:dyDescent="0.25">
      <c r="A1194" s="2">
        <v>206.91127438737399</v>
      </c>
      <c r="B1194" s="3">
        <v>0.77302390677978405</v>
      </c>
      <c r="C1194" s="5">
        <v>5.0022720053143904E-7</v>
      </c>
      <c r="D1194" s="6">
        <v>2.8831880865545499E-6</v>
      </c>
      <c r="E1194" s="3" t="s">
        <v>6423</v>
      </c>
      <c r="F1194" s="3" t="s">
        <v>6424</v>
      </c>
      <c r="G1194" s="3">
        <v>72536</v>
      </c>
      <c r="H1194" s="7" t="str">
        <f>HYPERLINK("http://www.ensembl.org/Mus_musculus/Gene/Summary?db=core;g=ENSMUSG00000033450","ENSMUSG00000033450")</f>
        <v>ENSMUSG00000033450</v>
      </c>
      <c r="I1194" s="7" t="str">
        <f>HYPERLINK("http://www.informatics.jax.org/marker/MGI:3615484","MGI:3615484")</f>
        <v>MGI:3615484</v>
      </c>
      <c r="J1194" s="4" t="s">
        <v>12</v>
      </c>
    </row>
    <row r="1195" spans="1:10" x14ac:dyDescent="0.25">
      <c r="A1195" s="2">
        <v>455.91410941109001</v>
      </c>
      <c r="B1195" s="3">
        <v>0.77182009301699706</v>
      </c>
      <c r="C1195" s="5">
        <v>5.0355225182650399E-27</v>
      </c>
      <c r="D1195" s="6">
        <v>1.09513601307136E-25</v>
      </c>
      <c r="E1195" s="3" t="s">
        <v>2049</v>
      </c>
      <c r="F1195" s="3" t="s">
        <v>2050</v>
      </c>
      <c r="G1195" s="3">
        <v>20352</v>
      </c>
      <c r="H1195" s="7" t="str">
        <f>HYPERLINK("http://www.ensembl.org/Mus_musculus/Gene/Summary?db=core;g=ENSMUSG00000030539","ENSMUSG00000030539")</f>
        <v>ENSMUSG00000030539</v>
      </c>
      <c r="I1195" s="7" t="str">
        <f>HYPERLINK("http://www.informatics.jax.org/marker/MGI:107559","MGI:107559")</f>
        <v>MGI:107559</v>
      </c>
      <c r="J1195" s="4" t="s">
        <v>12</v>
      </c>
    </row>
    <row r="1196" spans="1:10" x14ac:dyDescent="0.25">
      <c r="A1196" s="2">
        <v>4464.9215316669097</v>
      </c>
      <c r="B1196" s="3">
        <v>0.771323004565174</v>
      </c>
      <c r="C1196" s="5">
        <v>8.76843030241441E-49</v>
      </c>
      <c r="D1196" s="6">
        <v>4.09755492978212E-47</v>
      </c>
      <c r="E1196" s="3" t="s">
        <v>734</v>
      </c>
      <c r="F1196" s="3" t="s">
        <v>735</v>
      </c>
      <c r="G1196" s="3">
        <v>16418</v>
      </c>
      <c r="H1196" s="7" t="str">
        <f>HYPERLINK("http://www.ensembl.org/Mus_musculus/Gene/Summary?db=core;g=ENSMUSG00000027613","ENSMUSG00000027613")</f>
        <v>ENSMUSG00000027613</v>
      </c>
      <c r="I1196" s="7" t="str">
        <f>HYPERLINK("http://www.informatics.jax.org/marker/MGI:1196288","MGI:1196288")</f>
        <v>MGI:1196288</v>
      </c>
      <c r="J1196" s="4" t="s">
        <v>12</v>
      </c>
    </row>
    <row r="1197" spans="1:10" x14ac:dyDescent="0.25">
      <c r="A1197" s="2">
        <v>425.88325938364801</v>
      </c>
      <c r="B1197" s="3">
        <v>0.77016247859062303</v>
      </c>
      <c r="C1197" s="5">
        <v>5.4007708569229698E-19</v>
      </c>
      <c r="D1197" s="6">
        <v>8.0481642573525097E-18</v>
      </c>
      <c r="E1197" s="3" t="s">
        <v>4101</v>
      </c>
      <c r="F1197" s="3" t="s">
        <v>4102</v>
      </c>
      <c r="G1197" s="3">
        <v>233877</v>
      </c>
      <c r="H1197" s="7" t="str">
        <f>HYPERLINK("http://www.ensembl.org/Mus_musculus/Gene/Summary?db=core;g=ENSMUSG00000030685","ENSMUSG00000030685")</f>
        <v>ENSMUSG00000030685</v>
      </c>
      <c r="I1197" s="7" t="str">
        <f>HYPERLINK("http://www.informatics.jax.org/marker/MGI:1923739","MGI:1923739")</f>
        <v>MGI:1923739</v>
      </c>
      <c r="J1197" s="4" t="s">
        <v>12</v>
      </c>
    </row>
    <row r="1198" spans="1:10" x14ac:dyDescent="0.25">
      <c r="A1198" s="2">
        <v>187.860725256672</v>
      </c>
      <c r="B1198" s="3">
        <v>0.76933638178082098</v>
      </c>
      <c r="C1198" s="5">
        <v>7.4006162683633799E-5</v>
      </c>
      <c r="D1198" s="4">
        <v>3.1542617280384198E-4</v>
      </c>
      <c r="E1198" s="3" t="s">
        <v>8969</v>
      </c>
      <c r="F1198" s="3" t="s">
        <v>8970</v>
      </c>
      <c r="G1198" s="3">
        <v>19038</v>
      </c>
      <c r="H1198" s="7" t="str">
        <f>HYPERLINK("http://www.ensembl.org/Mus_musculus/Gene/Summary?db=core;g=ENSMUSG00000024538","ENSMUSG00000024538")</f>
        <v>ENSMUSG00000024538</v>
      </c>
      <c r="I1198" s="7" t="str">
        <f>HYPERLINK("http://www.informatics.jax.org/marker/MGI:97751","MGI:97751")</f>
        <v>MGI:97751</v>
      </c>
      <c r="J1198" s="4" t="s">
        <v>12</v>
      </c>
    </row>
    <row r="1199" spans="1:10" x14ac:dyDescent="0.25">
      <c r="A1199" s="2">
        <v>2129.06456923118</v>
      </c>
      <c r="B1199" s="3">
        <v>0.76754553970836903</v>
      </c>
      <c r="C1199" s="5">
        <v>1.06111492143409E-45</v>
      </c>
      <c r="D1199" s="6">
        <v>4.5396289772620398E-44</v>
      </c>
      <c r="E1199" s="3" t="s">
        <v>1056</v>
      </c>
      <c r="F1199" s="3" t="s">
        <v>1057</v>
      </c>
      <c r="G1199" s="3">
        <v>13367</v>
      </c>
      <c r="H1199" s="7" t="str">
        <f>HYPERLINK("http://www.ensembl.org/Mus_musculus/Gene/Summary?db=core;g=ENSMUSG00000024456","ENSMUSG00000024456")</f>
        <v>ENSMUSG00000024456</v>
      </c>
      <c r="I1199" s="7" t="str">
        <f>HYPERLINK("http://www.informatics.jax.org/marker/MGI:1194490","MGI:1194490")</f>
        <v>MGI:1194490</v>
      </c>
      <c r="J1199" s="4" t="s">
        <v>12</v>
      </c>
    </row>
    <row r="1200" spans="1:10" x14ac:dyDescent="0.25">
      <c r="A1200" s="2">
        <v>20.380320298708401</v>
      </c>
      <c r="B1200" s="3">
        <v>0.76718571435340699</v>
      </c>
      <c r="C1200" s="3">
        <v>3.3558807783365301E-3</v>
      </c>
      <c r="D1200" s="4">
        <v>1.05268377255049E-2</v>
      </c>
      <c r="E1200" s="3" t="s">
        <v>7202</v>
      </c>
      <c r="F1200" s="3" t="s">
        <v>7203</v>
      </c>
      <c r="G1200" s="3">
        <v>16816</v>
      </c>
      <c r="H1200" s="7" t="str">
        <f>HYPERLINK("http://www.ensembl.org/Mus_musculus/Gene/Summary?db=core;g=ENSMUSG00000035237","ENSMUSG00000035237")</f>
        <v>ENSMUSG00000035237</v>
      </c>
      <c r="I1200" s="7" t="str">
        <f>HYPERLINK("http://www.informatics.jax.org/marker/MGI:96755","MGI:96755")</f>
        <v>MGI:96755</v>
      </c>
      <c r="J1200" s="4" t="s">
        <v>12</v>
      </c>
    </row>
    <row r="1201" spans="1:10" x14ac:dyDescent="0.25">
      <c r="A1201" s="2">
        <v>21.242809084137701</v>
      </c>
      <c r="B1201" s="3">
        <v>0.76673034669079698</v>
      </c>
      <c r="C1201" s="3">
        <v>2.0561296621643202E-3</v>
      </c>
      <c r="D1201" s="4">
        <v>6.7824367589040197E-3</v>
      </c>
      <c r="E1201" s="3" t="s">
        <v>11645</v>
      </c>
      <c r="F1201" s="3" t="s">
        <v>11646</v>
      </c>
      <c r="G1201" s="3" t="s">
        <v>83</v>
      </c>
      <c r="H1201" s="7" t="str">
        <f>HYPERLINK("http://www.ensembl.org/Mus_musculus/Gene/Summary?db=core;g=ENSMUSG00000083283","ENSMUSG00000083283")</f>
        <v>ENSMUSG00000083283</v>
      </c>
      <c r="I1201" s="7" t="str">
        <f>HYPERLINK("http://www.informatics.jax.org/marker/MGI:3642247","MGI:3642247")</f>
        <v>MGI:3642247</v>
      </c>
      <c r="J1201" s="4" t="s">
        <v>1043</v>
      </c>
    </row>
    <row r="1202" spans="1:10" x14ac:dyDescent="0.25">
      <c r="A1202" s="2">
        <v>81.793973318758404</v>
      </c>
      <c r="B1202" s="3">
        <v>0.76612302324692705</v>
      </c>
      <c r="C1202" s="5">
        <v>5.8418296053203704E-7</v>
      </c>
      <c r="D1202" s="6">
        <v>3.3319894413162501E-6</v>
      </c>
      <c r="E1202" s="3" t="s">
        <v>7684</v>
      </c>
      <c r="F1202" s="3" t="s">
        <v>7685</v>
      </c>
      <c r="G1202" s="3" t="s">
        <v>83</v>
      </c>
      <c r="H1202" s="7" t="str">
        <f>HYPERLINK("http://www.ensembl.org/Mus_musculus/Gene/Summary?db=core;g=ENSMUSG00000085823","ENSMUSG00000085823")</f>
        <v>ENSMUSG00000085823</v>
      </c>
      <c r="I1202" s="7" t="str">
        <f>HYPERLINK("http://www.informatics.jax.org/marker/MGI:3652270","MGI:3652270")</f>
        <v>MGI:3652270</v>
      </c>
      <c r="J1202" s="4" t="s">
        <v>932</v>
      </c>
    </row>
    <row r="1203" spans="1:10" x14ac:dyDescent="0.25">
      <c r="A1203" s="2">
        <v>1868.7988977089799</v>
      </c>
      <c r="B1203" s="3">
        <v>0.76557437889341595</v>
      </c>
      <c r="C1203" s="5">
        <v>6.2571406332180195E-22</v>
      </c>
      <c r="D1203" s="6">
        <v>1.07886838259601E-20</v>
      </c>
      <c r="E1203" s="3" t="s">
        <v>2383</v>
      </c>
      <c r="F1203" s="3" t="s">
        <v>2384</v>
      </c>
      <c r="G1203" s="3">
        <v>15902</v>
      </c>
      <c r="H1203" s="7" t="str">
        <f>HYPERLINK("http://www.ensembl.org/Mus_musculus/Gene/Summary?db=core;g=ENSMUSG00000020644","ENSMUSG00000020644")</f>
        <v>ENSMUSG00000020644</v>
      </c>
      <c r="I1203" s="7" t="str">
        <f>HYPERLINK("http://www.informatics.jax.org/marker/MGI:96397","MGI:96397")</f>
        <v>MGI:96397</v>
      </c>
      <c r="J1203" s="4" t="s">
        <v>12</v>
      </c>
    </row>
    <row r="1204" spans="1:10" x14ac:dyDescent="0.25">
      <c r="A1204" s="2">
        <v>2327.56944130069</v>
      </c>
      <c r="B1204" s="3">
        <v>0.76533189385665901</v>
      </c>
      <c r="C1204" s="5">
        <v>1.42739045127653E-37</v>
      </c>
      <c r="D1204" s="6">
        <v>4.53208901995031E-36</v>
      </c>
      <c r="E1204" s="3" t="s">
        <v>1516</v>
      </c>
      <c r="F1204" s="3" t="s">
        <v>1517</v>
      </c>
      <c r="G1204" s="3">
        <v>12571</v>
      </c>
      <c r="H1204" s="7" t="str">
        <f>HYPERLINK("http://www.ensembl.org/Mus_musculus/Gene/Summary?db=core;g=ENSMUSG00000040274","ENSMUSG00000040274")</f>
        <v>ENSMUSG00000040274</v>
      </c>
      <c r="I1204" s="7" t="str">
        <f>HYPERLINK("http://www.informatics.jax.org/marker/MGI:1277162","MGI:1277162")</f>
        <v>MGI:1277162</v>
      </c>
      <c r="J1204" s="4" t="s">
        <v>12</v>
      </c>
    </row>
    <row r="1205" spans="1:10" x14ac:dyDescent="0.25">
      <c r="A1205" s="2">
        <v>439.75074807278702</v>
      </c>
      <c r="B1205" s="3">
        <v>0.76516344433996197</v>
      </c>
      <c r="C1205" s="5">
        <v>3.5357499301924698E-25</v>
      </c>
      <c r="D1205" s="6">
        <v>7.1124770946752506E-24</v>
      </c>
      <c r="E1205" s="3" t="s">
        <v>3034</v>
      </c>
      <c r="F1205" s="3" t="s">
        <v>3035</v>
      </c>
      <c r="G1205" s="3">
        <v>231999</v>
      </c>
      <c r="H1205" s="7" t="str">
        <f>HYPERLINK("http://www.ensembl.org/Mus_musculus/Gene/Summary?db=core;g=ENSMUSG00000005225","ENSMUSG00000005225")</f>
        <v>ENSMUSG00000005225</v>
      </c>
      <c r="I1205" s="7" t="str">
        <f>HYPERLINK("http://www.informatics.jax.org/marker/MGI:2681164","MGI:2681164")</f>
        <v>MGI:2681164</v>
      </c>
      <c r="J1205" s="4" t="s">
        <v>12</v>
      </c>
    </row>
    <row r="1206" spans="1:10" x14ac:dyDescent="0.25">
      <c r="A1206" s="2">
        <v>2965.00212259911</v>
      </c>
      <c r="B1206" s="3">
        <v>0.76514566831091901</v>
      </c>
      <c r="C1206" s="5">
        <v>3.0438674912463497E-42</v>
      </c>
      <c r="D1206" s="6">
        <v>1.14616704603233E-40</v>
      </c>
      <c r="E1206" s="3" t="s">
        <v>1230</v>
      </c>
      <c r="F1206" s="3" t="s">
        <v>1231</v>
      </c>
      <c r="G1206" s="3">
        <v>50790</v>
      </c>
      <c r="H1206" s="7" t="str">
        <f>HYPERLINK("http://www.ensembl.org/Mus_musculus/Gene/Summary?db=core;g=ENSMUSG00000031278","ENSMUSG00000031278")</f>
        <v>ENSMUSG00000031278</v>
      </c>
      <c r="I1206" s="7" t="str">
        <f>HYPERLINK("http://www.informatics.jax.org/marker/MGI:1354713","MGI:1354713")</f>
        <v>MGI:1354713</v>
      </c>
      <c r="J1206" s="4" t="s">
        <v>12</v>
      </c>
    </row>
    <row r="1207" spans="1:10" x14ac:dyDescent="0.25">
      <c r="A1207" s="2">
        <v>1709.6631330853099</v>
      </c>
      <c r="B1207" s="3">
        <v>0.76486708288582295</v>
      </c>
      <c r="C1207" s="5">
        <v>9.5302165355220001E-44</v>
      </c>
      <c r="D1207" s="6">
        <v>3.7923186978141598E-42</v>
      </c>
      <c r="E1207" s="3" t="s">
        <v>518</v>
      </c>
      <c r="F1207" s="3" t="s">
        <v>519</v>
      </c>
      <c r="G1207" s="3">
        <v>64010</v>
      </c>
      <c r="H1207" s="7" t="str">
        <f>HYPERLINK("http://www.ensembl.org/Mus_musculus/Gene/Summary?db=core;g=ENSMUSG00000021067","ENSMUSG00000021067")</f>
        <v>ENSMUSG00000021067</v>
      </c>
      <c r="I1207" s="7" t="str">
        <f>HYPERLINK("http://www.informatics.jax.org/marker/MGI:1927144","MGI:1927144")</f>
        <v>MGI:1927144</v>
      </c>
      <c r="J1207" s="4" t="s">
        <v>12</v>
      </c>
    </row>
    <row r="1208" spans="1:10" x14ac:dyDescent="0.25">
      <c r="A1208" s="2">
        <v>62.624999690319697</v>
      </c>
      <c r="B1208" s="3">
        <v>0.76401849935284705</v>
      </c>
      <c r="C1208" s="5">
        <v>3.6729649314850497E-5</v>
      </c>
      <c r="D1208" s="4">
        <v>1.64390436827885E-4</v>
      </c>
      <c r="E1208" s="3" t="s">
        <v>13449</v>
      </c>
      <c r="F1208" s="3" t="s">
        <v>13450</v>
      </c>
      <c r="G1208" s="3" t="s">
        <v>83</v>
      </c>
      <c r="H1208" s="7" t="str">
        <f>HYPERLINK("http://www.ensembl.org/Mus_musculus/Gene/Summary?db=core;g=ENSMUSG00000095762","ENSMUSG00000095762")</f>
        <v>ENSMUSG00000095762</v>
      </c>
      <c r="I1208" s="7" t="str">
        <f>HYPERLINK("http://www.informatics.jax.org/marker/MGI:3646886","MGI:3646886")</f>
        <v>MGI:3646886</v>
      </c>
      <c r="J1208" s="4" t="s">
        <v>1043</v>
      </c>
    </row>
    <row r="1209" spans="1:10" x14ac:dyDescent="0.25">
      <c r="A1209" s="2">
        <v>291.09665331936401</v>
      </c>
      <c r="B1209" s="3">
        <v>0.76395054218794201</v>
      </c>
      <c r="C1209" s="5">
        <v>1.3186638441668599E-8</v>
      </c>
      <c r="D1209" s="6">
        <v>9.0860675084843301E-8</v>
      </c>
      <c r="E1209" s="3" t="s">
        <v>5293</v>
      </c>
      <c r="F1209" s="3" t="s">
        <v>5294</v>
      </c>
      <c r="G1209" s="3">
        <v>19769</v>
      </c>
      <c r="H1209" s="7" t="str">
        <f>HYPERLINK("http://www.ensembl.org/Mus_musculus/Gene/Summary?db=core;g=ENSMUSG00000028057","ENSMUSG00000028057")</f>
        <v>ENSMUSG00000028057</v>
      </c>
      <c r="I1209" s="7" t="str">
        <f>HYPERLINK("http://www.informatics.jax.org/marker/MGI:108053","MGI:108053")</f>
        <v>MGI:108053</v>
      </c>
      <c r="J1209" s="4" t="s">
        <v>12</v>
      </c>
    </row>
    <row r="1210" spans="1:10" x14ac:dyDescent="0.25">
      <c r="A1210" s="2">
        <v>85.925209429153398</v>
      </c>
      <c r="B1210" s="3">
        <v>0.76336888324421504</v>
      </c>
      <c r="C1210" s="5">
        <v>2.6632658589574801E-6</v>
      </c>
      <c r="D1210" s="6">
        <v>1.4056768108746099E-5</v>
      </c>
      <c r="E1210" s="3" t="s">
        <v>8291</v>
      </c>
      <c r="F1210" s="3" t="s">
        <v>8292</v>
      </c>
      <c r="G1210" s="3" t="s">
        <v>83</v>
      </c>
      <c r="H1210" s="7" t="str">
        <f>HYPERLINK("http://www.ensembl.org/Mus_musculus/Gene/Summary?db=core;g=ENSMUSG00000105692","ENSMUSG00000105692")</f>
        <v>ENSMUSG00000105692</v>
      </c>
      <c r="I1210" s="7" t="str">
        <f>HYPERLINK("http://www.informatics.jax.org/marker/MGI:5663874","MGI:5663874")</f>
        <v>MGI:5663874</v>
      </c>
      <c r="J1210" s="4" t="s">
        <v>1828</v>
      </c>
    </row>
    <row r="1211" spans="1:10" x14ac:dyDescent="0.25">
      <c r="A1211" s="2">
        <v>30.9465931235518</v>
      </c>
      <c r="B1211" s="3">
        <v>0.76330608911110098</v>
      </c>
      <c r="C1211" s="3">
        <v>1.41034266508451E-3</v>
      </c>
      <c r="D1211" s="4">
        <v>4.8233242768184002E-3</v>
      </c>
      <c r="E1211" s="3" t="s">
        <v>9381</v>
      </c>
      <c r="F1211" s="3" t="s">
        <v>9382</v>
      </c>
      <c r="G1211" s="3" t="s">
        <v>83</v>
      </c>
      <c r="H1211" s="7" t="str">
        <f>HYPERLINK("http://www.ensembl.org/Mus_musculus/Gene/Summary?db=core;g=ENSMUSG00000097134","ENSMUSG00000097134")</f>
        <v>ENSMUSG00000097134</v>
      </c>
      <c r="I1211" s="7" t="str">
        <f>HYPERLINK("http://www.informatics.jax.org/marker/MGI:1915738","MGI:1915738")</f>
        <v>MGI:1915738</v>
      </c>
      <c r="J1211" s="4" t="s">
        <v>939</v>
      </c>
    </row>
    <row r="1212" spans="1:10" x14ac:dyDescent="0.25">
      <c r="A1212" s="2">
        <v>81.526158154109297</v>
      </c>
      <c r="B1212" s="3">
        <v>0.76294403501257901</v>
      </c>
      <c r="C1212" s="3">
        <v>1.10434152272938E-3</v>
      </c>
      <c r="D1212" s="4">
        <v>3.8601120544194301E-3</v>
      </c>
      <c r="E1212" s="3" t="s">
        <v>10302</v>
      </c>
      <c r="F1212" s="3" t="s">
        <v>10303</v>
      </c>
      <c r="G1212" s="3">
        <v>212980</v>
      </c>
      <c r="H1212" s="7" t="str">
        <f>HYPERLINK("http://www.ensembl.org/Mus_musculus/Gene/Summary?db=core;g=ENSMUSG00000026435","ENSMUSG00000026435")</f>
        <v>ENSMUSG00000026435</v>
      </c>
      <c r="I1212" s="7" t="str">
        <f>HYPERLINK("http://www.informatics.jax.org/marker/MGI:1922082","MGI:1922082")</f>
        <v>MGI:1922082</v>
      </c>
      <c r="J1212" s="4" t="s">
        <v>12</v>
      </c>
    </row>
    <row r="1213" spans="1:10" x14ac:dyDescent="0.25">
      <c r="A1213" s="2">
        <v>2.0803173921081699</v>
      </c>
      <c r="B1213" s="3">
        <v>0.76286275742472098</v>
      </c>
      <c r="C1213" s="3">
        <v>0.10190222550879501</v>
      </c>
      <c r="D1213" s="4">
        <v>0.206589711644868</v>
      </c>
      <c r="E1213" s="3" t="s">
        <v>13308</v>
      </c>
      <c r="F1213" s="3" t="s">
        <v>13309</v>
      </c>
      <c r="G1213" s="3" t="s">
        <v>83</v>
      </c>
      <c r="H1213" s="7" t="str">
        <f>HYPERLINK("http://www.ensembl.org/Mus_musculus/Gene/Summary?db=core;g=ENSMUSG00000109706","ENSMUSG00000109706")</f>
        <v>ENSMUSG00000109706</v>
      </c>
      <c r="I1213" s="7" t="str">
        <f>HYPERLINK("http://www.informatics.jax.org/marker/MGI:104623","MGI:104623")</f>
        <v>MGI:104623</v>
      </c>
      <c r="J1213" s="4" t="s">
        <v>1043</v>
      </c>
    </row>
    <row r="1214" spans="1:10" x14ac:dyDescent="0.25">
      <c r="A1214" s="2">
        <v>1186.3050190485401</v>
      </c>
      <c r="B1214" s="3">
        <v>0.76251744013296097</v>
      </c>
      <c r="C1214" s="5">
        <v>3.0462233996689902E-26</v>
      </c>
      <c r="D1214" s="6">
        <v>6.4330731702163698E-25</v>
      </c>
      <c r="E1214" s="3" t="s">
        <v>1670</v>
      </c>
      <c r="F1214" s="3" t="s">
        <v>1671</v>
      </c>
      <c r="G1214" s="3">
        <v>53625</v>
      </c>
      <c r="H1214" s="7" t="str">
        <f>HYPERLINK("http://www.ensembl.org/Mus_musculus/Gene/Summary?db=core;g=ENSMUSG00000051650","ENSMUSG00000051650")</f>
        <v>ENSMUSG00000051650</v>
      </c>
      <c r="I1214" s="7" t="str">
        <f>HYPERLINK("http://www.informatics.jax.org/marker/MGI:1889505","MGI:1889505")</f>
        <v>MGI:1889505</v>
      </c>
      <c r="J1214" s="4" t="s">
        <v>12</v>
      </c>
    </row>
    <row r="1215" spans="1:10" x14ac:dyDescent="0.25">
      <c r="A1215" s="2">
        <v>4829.5402692774696</v>
      </c>
      <c r="B1215" s="3">
        <v>0.76222252282583403</v>
      </c>
      <c r="C1215" s="5">
        <v>3.3432292010435802E-37</v>
      </c>
      <c r="D1215" s="6">
        <v>1.04691326785256E-35</v>
      </c>
      <c r="E1215" s="3" t="s">
        <v>1298</v>
      </c>
      <c r="F1215" s="3" t="s">
        <v>1299</v>
      </c>
      <c r="G1215" s="3">
        <v>19175</v>
      </c>
      <c r="H1215" s="7" t="str">
        <f>HYPERLINK("http://www.ensembl.org/Mus_musculus/Gene/Summary?db=core;g=ENSMUSG00000018286","ENSMUSG00000018286")</f>
        <v>ENSMUSG00000018286</v>
      </c>
      <c r="I1215" s="7" t="str">
        <f>HYPERLINK("http://www.informatics.jax.org/marker/MGI:104880","MGI:104880")</f>
        <v>MGI:104880</v>
      </c>
      <c r="J1215" s="4" t="s">
        <v>12</v>
      </c>
    </row>
    <row r="1216" spans="1:10" x14ac:dyDescent="0.25">
      <c r="A1216" s="2">
        <v>5453.7114700720003</v>
      </c>
      <c r="B1216" s="3">
        <v>0.76128967325542296</v>
      </c>
      <c r="C1216" s="5">
        <v>7.1061811207324101E-32</v>
      </c>
      <c r="D1216" s="6">
        <v>1.8796828871603499E-30</v>
      </c>
      <c r="E1216" s="3" t="s">
        <v>1472</v>
      </c>
      <c r="F1216" s="3" t="s">
        <v>1473</v>
      </c>
      <c r="G1216" s="3">
        <v>20932</v>
      </c>
      <c r="H1216" s="7" t="str">
        <f>HYPERLINK("http://www.ensembl.org/Mus_musculus/Gene/Summary?db=core;g=ENSMUSG00000014867","ENSMUSG00000014867")</f>
        <v>ENSMUSG00000014867</v>
      </c>
      <c r="I1216" s="7" t="str">
        <f>HYPERLINK("http://www.informatics.jax.org/marker/MGI:98445","MGI:98445")</f>
        <v>MGI:98445</v>
      </c>
      <c r="J1216" s="4" t="s">
        <v>12</v>
      </c>
    </row>
    <row r="1217" spans="1:10" x14ac:dyDescent="0.25">
      <c r="A1217" s="2">
        <v>280.40570480667299</v>
      </c>
      <c r="B1217" s="3">
        <v>0.76093042643671305</v>
      </c>
      <c r="C1217" s="5">
        <v>3.2649411708756697E-14</v>
      </c>
      <c r="D1217" s="6">
        <v>3.6393610299210502E-13</v>
      </c>
      <c r="E1217" s="3" t="s">
        <v>3722</v>
      </c>
      <c r="F1217" s="3" t="s">
        <v>3723</v>
      </c>
      <c r="G1217" s="3">
        <v>109019</v>
      </c>
      <c r="H1217" s="7" t="str">
        <f>HYPERLINK("http://www.ensembl.org/Mus_musculus/Gene/Summary?db=core;g=ENSMUSG00000026107","ENSMUSG00000026107")</f>
        <v>ENSMUSG00000026107</v>
      </c>
      <c r="I1217" s="7" t="str">
        <f>HYPERLINK("http://www.informatics.jax.org/marker/MGI:1923258","MGI:1923258")</f>
        <v>MGI:1923258</v>
      </c>
      <c r="J1217" s="4" t="s">
        <v>12</v>
      </c>
    </row>
    <row r="1218" spans="1:10" x14ac:dyDescent="0.25">
      <c r="A1218" s="2">
        <v>4.9887031840538798</v>
      </c>
      <c r="B1218" s="3">
        <v>0.76087232497840995</v>
      </c>
      <c r="C1218" s="3">
        <v>6.15381263313056E-2</v>
      </c>
      <c r="D1218" s="4">
        <v>0.13586041617908001</v>
      </c>
      <c r="E1218" s="3" t="s">
        <v>10852</v>
      </c>
      <c r="F1218" s="3" t="s">
        <v>10853</v>
      </c>
      <c r="G1218" s="3" t="s">
        <v>83</v>
      </c>
      <c r="H1218" s="7" t="str">
        <f>HYPERLINK("http://www.ensembl.org/Mus_musculus/Gene/Summary?db=core;g=ENSMUSG00000106115","ENSMUSG00000106115")</f>
        <v>ENSMUSG00000106115</v>
      </c>
      <c r="I1218" s="7" t="str">
        <f>HYPERLINK("http://www.informatics.jax.org/marker/MGI:5663557","MGI:5663557")</f>
        <v>MGI:5663557</v>
      </c>
      <c r="J1218" s="4" t="s">
        <v>1828</v>
      </c>
    </row>
    <row r="1219" spans="1:10" x14ac:dyDescent="0.25">
      <c r="A1219" s="2">
        <v>1654.9860662318599</v>
      </c>
      <c r="B1219" s="3">
        <v>0.76078716246755296</v>
      </c>
      <c r="C1219" s="5">
        <v>8.0239567579091396E-26</v>
      </c>
      <c r="D1219" s="6">
        <v>1.6674642179349401E-24</v>
      </c>
      <c r="E1219" s="3" t="s">
        <v>1170</v>
      </c>
      <c r="F1219" s="3" t="s">
        <v>1171</v>
      </c>
      <c r="G1219" s="3">
        <v>71409</v>
      </c>
      <c r="H1219" s="7" t="str">
        <f>HYPERLINK("http://www.ensembl.org/Mus_musculus/Gene/Summary?db=core;g=ENSMUSG00000036053","ENSMUSG00000036053")</f>
        <v>ENSMUSG00000036053</v>
      </c>
      <c r="I1219" s="7" t="str">
        <f>HYPERLINK("http://www.informatics.jax.org/marker/MGI:1918659","MGI:1918659")</f>
        <v>MGI:1918659</v>
      </c>
      <c r="J1219" s="4" t="s">
        <v>12</v>
      </c>
    </row>
    <row r="1220" spans="1:10" x14ac:dyDescent="0.25">
      <c r="A1220" s="2">
        <v>2627.1262262652799</v>
      </c>
      <c r="B1220" s="3">
        <v>0.75900189076747504</v>
      </c>
      <c r="C1220" s="5">
        <v>6.0956815109423004E-29</v>
      </c>
      <c r="D1220" s="6">
        <v>1.44090525988227E-27</v>
      </c>
      <c r="E1220" s="3" t="s">
        <v>2932</v>
      </c>
      <c r="F1220" s="3" t="s">
        <v>2933</v>
      </c>
      <c r="G1220" s="3">
        <v>76884</v>
      </c>
      <c r="H1220" s="7" t="str">
        <f>HYPERLINK("http://www.ensembl.org/Mus_musculus/Gene/Summary?db=core;g=ENSMUSG00000020340","ENSMUSG00000020340")</f>
        <v>ENSMUSG00000020340</v>
      </c>
      <c r="I1220" s="7" t="str">
        <f>HYPERLINK("http://www.informatics.jax.org/marker/MGI:1924134","MGI:1924134")</f>
        <v>MGI:1924134</v>
      </c>
      <c r="J1220" s="4" t="s">
        <v>12</v>
      </c>
    </row>
    <row r="1221" spans="1:10" x14ac:dyDescent="0.25">
      <c r="A1221" s="2">
        <v>796.63129587023104</v>
      </c>
      <c r="B1221" s="3">
        <v>0.75830977498632102</v>
      </c>
      <c r="C1221" s="5">
        <v>8.1192066696778598E-8</v>
      </c>
      <c r="D1221" s="6">
        <v>5.1254777123269502E-7</v>
      </c>
      <c r="E1221" s="3" t="s">
        <v>4375</v>
      </c>
      <c r="F1221" s="3" t="s">
        <v>4376</v>
      </c>
      <c r="G1221" s="3">
        <v>109672</v>
      </c>
      <c r="H1221" s="7" t="str">
        <f>HYPERLINK("http://www.ensembl.org/Mus_musculus/Gene/Summary?db=core;g=ENSMUSG00000024646","ENSMUSG00000024646")</f>
        <v>ENSMUSG00000024646</v>
      </c>
      <c r="I1221" s="7" t="str">
        <f>HYPERLINK("http://www.informatics.jax.org/marker/MGI:1926952","MGI:1926952")</f>
        <v>MGI:1926952</v>
      </c>
      <c r="J1221" s="4" t="s">
        <v>12</v>
      </c>
    </row>
    <row r="1222" spans="1:10" x14ac:dyDescent="0.25">
      <c r="A1222" s="2">
        <v>1736.1496942014501</v>
      </c>
      <c r="B1222" s="3">
        <v>0.75695942830943996</v>
      </c>
      <c r="C1222" s="5">
        <v>3.6772047872749302E-39</v>
      </c>
      <c r="D1222" s="6">
        <v>1.2296707751942299E-37</v>
      </c>
      <c r="E1222" s="3" t="s">
        <v>1831</v>
      </c>
      <c r="F1222" s="3" t="s">
        <v>1832</v>
      </c>
      <c r="G1222" s="3" t="s">
        <v>83</v>
      </c>
      <c r="H1222" s="7" t="str">
        <f>HYPERLINK("http://www.ensembl.org/Mus_musculus/Gene/Summary?db=core;g=ENSMUSG00000089739","ENSMUSG00000089739")</f>
        <v>ENSMUSG00000089739</v>
      </c>
      <c r="I1222" s="7" t="str">
        <f>HYPERLINK("http://www.informatics.jax.org/marker/MGI:5141896","MGI:5141896")</f>
        <v>MGI:5141896</v>
      </c>
      <c r="J1222" s="4" t="s">
        <v>12</v>
      </c>
    </row>
    <row r="1223" spans="1:10" x14ac:dyDescent="0.25">
      <c r="A1223" s="2">
        <v>1139.71682738349</v>
      </c>
      <c r="B1223" s="3">
        <v>0.75648218630196495</v>
      </c>
      <c r="C1223" s="5">
        <v>1.91084503239727E-44</v>
      </c>
      <c r="D1223" s="6">
        <v>7.8258765652674903E-43</v>
      </c>
      <c r="E1223" s="3" t="s">
        <v>1048</v>
      </c>
      <c r="F1223" s="3" t="s">
        <v>1049</v>
      </c>
      <c r="G1223" s="3">
        <v>17096</v>
      </c>
      <c r="H1223" s="7" t="str">
        <f>HYPERLINK("http://www.ensembl.org/Mus_musculus/Gene/Summary?db=core;g=ENSMUSG00000042228","ENSMUSG00000042228")</f>
        <v>ENSMUSG00000042228</v>
      </c>
      <c r="I1223" s="7" t="str">
        <f>HYPERLINK("http://www.informatics.jax.org/marker/MGI:96892","MGI:96892")</f>
        <v>MGI:96892</v>
      </c>
      <c r="J1223" s="4" t="s">
        <v>12</v>
      </c>
    </row>
    <row r="1224" spans="1:10" x14ac:dyDescent="0.25">
      <c r="A1224" s="2">
        <v>4027.1508393592499</v>
      </c>
      <c r="B1224" s="3">
        <v>0.756051176827372</v>
      </c>
      <c r="C1224" s="5">
        <v>4.6664460385308801E-38</v>
      </c>
      <c r="D1224" s="6">
        <v>1.5132736486161101E-36</v>
      </c>
      <c r="E1224" s="3" t="s">
        <v>540</v>
      </c>
      <c r="F1224" s="3" t="s">
        <v>541</v>
      </c>
      <c r="G1224" s="3">
        <v>16649</v>
      </c>
      <c r="H1224" s="7" t="str">
        <f>HYPERLINK("http://www.ensembl.org/Mus_musculus/Gene/Summary?db=core;g=ENSMUSG00000027782","ENSMUSG00000027782")</f>
        <v>ENSMUSG00000027782</v>
      </c>
      <c r="I1224" s="7" t="str">
        <f>HYPERLINK("http://www.informatics.jax.org/marker/MGI:1100848","MGI:1100848")</f>
        <v>MGI:1100848</v>
      </c>
      <c r="J1224" s="4" t="s">
        <v>12</v>
      </c>
    </row>
    <row r="1225" spans="1:10" x14ac:dyDescent="0.25">
      <c r="A1225" s="2">
        <v>974.66221013854602</v>
      </c>
      <c r="B1225" s="3">
        <v>0.75479579209401504</v>
      </c>
      <c r="C1225" s="5">
        <v>2.2417506053630202E-31</v>
      </c>
      <c r="D1225" s="6">
        <v>5.7951637989703499E-30</v>
      </c>
      <c r="E1225" s="3" t="s">
        <v>1390</v>
      </c>
      <c r="F1225" s="3" t="s">
        <v>1391</v>
      </c>
      <c r="G1225" s="3">
        <v>67065</v>
      </c>
      <c r="H1225" s="7" t="str">
        <f>HYPERLINK("http://www.ensembl.org/Mus_musculus/Gene/Summary?db=core;g=ENSMUSG00000000776","ENSMUSG00000000776")</f>
        <v>ENSMUSG00000000776</v>
      </c>
      <c r="I1225" s="7" t="str">
        <f>HYPERLINK("http://www.informatics.jax.org/marker/MGI:1914315","MGI:1914315")</f>
        <v>MGI:1914315</v>
      </c>
      <c r="J1225" s="4" t="s">
        <v>12</v>
      </c>
    </row>
    <row r="1226" spans="1:10" x14ac:dyDescent="0.25">
      <c r="A1226" s="2">
        <v>87.088651141499597</v>
      </c>
      <c r="B1226" s="3">
        <v>0.75352396294242496</v>
      </c>
      <c r="C1226" s="5">
        <v>3.4905049470551698E-5</v>
      </c>
      <c r="D1226" s="4">
        <v>1.5684036651893599E-4</v>
      </c>
      <c r="E1226" s="3" t="s">
        <v>12354</v>
      </c>
      <c r="F1226" s="3" t="s">
        <v>12355</v>
      </c>
      <c r="G1226" s="3" t="s">
        <v>83</v>
      </c>
      <c r="H1226" s="7" t="str">
        <f>HYPERLINK("http://www.ensembl.org/Mus_musculus/Gene/Summary?db=core;g=ENSMUSG00000078247","ENSMUSG00000078247")</f>
        <v>ENSMUSG00000078247</v>
      </c>
      <c r="I1226" s="7" t="str">
        <f>HYPERLINK("http://www.informatics.jax.org/marker/MGI:1353471","MGI:1353471")</f>
        <v>MGI:1353471</v>
      </c>
      <c r="J1226" s="4" t="s">
        <v>932</v>
      </c>
    </row>
    <row r="1227" spans="1:10" x14ac:dyDescent="0.25">
      <c r="A1227" s="2">
        <v>1867.01333235008</v>
      </c>
      <c r="B1227" s="3">
        <v>0.75231265059834995</v>
      </c>
      <c r="C1227" s="5">
        <v>1.0348005295094901E-30</v>
      </c>
      <c r="D1227" s="6">
        <v>2.6339720181997802E-29</v>
      </c>
      <c r="E1227" s="3" t="s">
        <v>904</v>
      </c>
      <c r="F1227" s="3" t="s">
        <v>905</v>
      </c>
      <c r="G1227" s="3">
        <v>108673</v>
      </c>
      <c r="H1227" s="7" t="str">
        <f>HYPERLINK("http://www.ensembl.org/Mus_musculus/Gene/Summary?db=core;g=ENSMUSG00000024732","ENSMUSG00000024732")</f>
        <v>ENSMUSG00000024732</v>
      </c>
      <c r="I1227" s="7" t="str">
        <f>HYPERLINK("http://www.informatics.jax.org/marker/MGI:1277220","MGI:1277220")</f>
        <v>MGI:1277220</v>
      </c>
      <c r="J1227" s="4" t="s">
        <v>12</v>
      </c>
    </row>
    <row r="1228" spans="1:10" x14ac:dyDescent="0.25">
      <c r="A1228" s="2">
        <v>344.39485330256201</v>
      </c>
      <c r="B1228" s="3">
        <v>0.74681719697656801</v>
      </c>
      <c r="C1228" s="5">
        <v>2.4987412305787499E-19</v>
      </c>
      <c r="D1228" s="6">
        <v>3.7792165084894402E-18</v>
      </c>
      <c r="E1228" s="3" t="s">
        <v>2904</v>
      </c>
      <c r="F1228" s="3" t="s">
        <v>2905</v>
      </c>
      <c r="G1228" s="3">
        <v>20912</v>
      </c>
      <c r="H1228" s="7" t="str">
        <f>HYPERLINK("http://www.ensembl.org/Mus_musculus/Gene/Summary?db=core;g=ENSMUSG00000027882","ENSMUSG00000027882")</f>
        <v>ENSMUSG00000027882</v>
      </c>
      <c r="I1228" s="7" t="str">
        <f>HYPERLINK("http://www.informatics.jax.org/marker/MGI:107362","MGI:107362")</f>
        <v>MGI:107362</v>
      </c>
      <c r="J1228" s="4" t="s">
        <v>12</v>
      </c>
    </row>
    <row r="1229" spans="1:10" x14ac:dyDescent="0.25">
      <c r="A1229" s="2">
        <v>405.47798974466002</v>
      </c>
      <c r="B1229" s="3">
        <v>0.74674444333710899</v>
      </c>
      <c r="C1229" s="5">
        <v>1.8897182893706599E-21</v>
      </c>
      <c r="D1229" s="6">
        <v>3.1742042233898903E-20</v>
      </c>
      <c r="E1229" s="3" t="s">
        <v>2477</v>
      </c>
      <c r="F1229" s="3" t="s">
        <v>2478</v>
      </c>
      <c r="G1229" s="3">
        <v>56715</v>
      </c>
      <c r="H1229" s="7" t="str">
        <f>HYPERLINK("http://www.ensembl.org/Mus_musculus/Gene/Summary?db=core;g=ENSMUSG00000025340","ENSMUSG00000025340")</f>
        <v>ENSMUSG00000025340</v>
      </c>
      <c r="I1229" s="7" t="str">
        <f>HYPERLINK("http://www.informatics.jax.org/marker/MGI:1929459","MGI:1929459")</f>
        <v>MGI:1929459</v>
      </c>
      <c r="J1229" s="4" t="s">
        <v>12</v>
      </c>
    </row>
    <row r="1230" spans="1:10" x14ac:dyDescent="0.25">
      <c r="A1230" s="2">
        <v>1392.3254666187099</v>
      </c>
      <c r="B1230" s="3">
        <v>0.74667431077365098</v>
      </c>
      <c r="C1230" s="5">
        <v>1.2189387087768399E-30</v>
      </c>
      <c r="D1230" s="6">
        <v>3.0983483915561997E-29</v>
      </c>
      <c r="E1230" s="3" t="s">
        <v>1656</v>
      </c>
      <c r="F1230" s="3" t="s">
        <v>1657</v>
      </c>
      <c r="G1230" s="3">
        <v>19697</v>
      </c>
      <c r="H1230" s="7" t="str">
        <f>HYPERLINK("http://www.ensembl.org/Mus_musculus/Gene/Summary?db=core;g=ENSMUSG00000024927","ENSMUSG00000024927")</f>
        <v>ENSMUSG00000024927</v>
      </c>
      <c r="I1230" s="7" t="str">
        <f>HYPERLINK("http://www.informatics.jax.org/marker/MGI:103290","MGI:103290")</f>
        <v>MGI:103290</v>
      </c>
      <c r="J1230" s="4" t="s">
        <v>12</v>
      </c>
    </row>
    <row r="1231" spans="1:10" x14ac:dyDescent="0.25">
      <c r="A1231" s="2">
        <v>68.806458053982894</v>
      </c>
      <c r="B1231" s="3">
        <v>0.74651784737069704</v>
      </c>
      <c r="C1231" s="3">
        <v>1.0911647856698901E-4</v>
      </c>
      <c r="D1231" s="4">
        <v>4.5320141793149098E-4</v>
      </c>
      <c r="E1231" s="3" t="s">
        <v>12073</v>
      </c>
      <c r="F1231" s="3" t="s">
        <v>12074</v>
      </c>
      <c r="G1231" s="3">
        <v>57746</v>
      </c>
      <c r="H1231" s="7" t="str">
        <f>HYPERLINK("http://www.ensembl.org/Mus_musculus/Gene/Summary?db=core;g=ENSMUSG00000033644","ENSMUSG00000033644")</f>
        <v>ENSMUSG00000033644</v>
      </c>
      <c r="I1231" s="7" t="str">
        <f>HYPERLINK("http://www.informatics.jax.org/marker/MGI:1930036","MGI:1930036")</f>
        <v>MGI:1930036</v>
      </c>
      <c r="J1231" s="4" t="s">
        <v>12</v>
      </c>
    </row>
    <row r="1232" spans="1:10" x14ac:dyDescent="0.25">
      <c r="A1232" s="2">
        <v>598.15592294264502</v>
      </c>
      <c r="B1232" s="3">
        <v>0.74594752111112095</v>
      </c>
      <c r="C1232" s="5">
        <v>8.4280909628103497E-26</v>
      </c>
      <c r="D1232" s="6">
        <v>1.7474625460434399E-24</v>
      </c>
      <c r="E1232" s="3" t="s">
        <v>2465</v>
      </c>
      <c r="F1232" s="3" t="s">
        <v>2466</v>
      </c>
      <c r="G1232" s="3">
        <v>18038</v>
      </c>
      <c r="H1232" s="7" t="str">
        <f>HYPERLINK("http://www.ensembl.org/Mus_musculus/Gene/Summary?db=core;g=ENSMUSG00000042419","ENSMUSG00000042419")</f>
        <v>ENSMUSG00000042419</v>
      </c>
      <c r="I1232" s="7" t="str">
        <f>HYPERLINK("http://www.informatics.jax.org/marker/MGI:1340031","MGI:1340031")</f>
        <v>MGI:1340031</v>
      </c>
      <c r="J1232" s="4" t="s">
        <v>12</v>
      </c>
    </row>
    <row r="1233" spans="1:10" x14ac:dyDescent="0.25">
      <c r="A1233" s="2">
        <v>3940.9217984490901</v>
      </c>
      <c r="B1233" s="3">
        <v>0.74583536179433796</v>
      </c>
      <c r="C1233" s="5">
        <v>1.87611253769727E-15</v>
      </c>
      <c r="D1233" s="6">
        <v>2.2598910112050699E-14</v>
      </c>
      <c r="E1233" s="3" t="s">
        <v>3640</v>
      </c>
      <c r="F1233" s="3" t="s">
        <v>3641</v>
      </c>
      <c r="G1233" s="3">
        <v>108115</v>
      </c>
      <c r="H1233" s="7" t="str">
        <f>HYPERLINK("http://www.ensembl.org/Mus_musculus/Gene/Summary?db=core;g=ENSMUSG00000038963","ENSMUSG00000038963")</f>
        <v>ENSMUSG00000038963</v>
      </c>
      <c r="I1233" s="7" t="str">
        <f>HYPERLINK("http://www.informatics.jax.org/marker/MGI:1351866","MGI:1351866")</f>
        <v>MGI:1351866</v>
      </c>
      <c r="J1233" s="4" t="s">
        <v>12</v>
      </c>
    </row>
    <row r="1234" spans="1:10" x14ac:dyDescent="0.25">
      <c r="A1234" s="2">
        <v>1095.76548543235</v>
      </c>
      <c r="B1234" s="3">
        <v>0.74569770684499503</v>
      </c>
      <c r="C1234" s="5">
        <v>2.3344035453735001E-36</v>
      </c>
      <c r="D1234" s="6">
        <v>7.1144656545873104E-35</v>
      </c>
      <c r="E1234" s="3" t="s">
        <v>762</v>
      </c>
      <c r="F1234" s="3" t="s">
        <v>763</v>
      </c>
      <c r="G1234" s="3">
        <v>21376</v>
      </c>
      <c r="H1234" s="7" t="str">
        <f>HYPERLINK("http://www.ensembl.org/Mus_musculus/Gene/Summary?db=core;g=ENSMUSG00000011114","ENSMUSG00000011114")</f>
        <v>ENSMUSG00000011114</v>
      </c>
      <c r="I1234" s="7" t="str">
        <f>HYPERLINK("http://www.informatics.jax.org/marker/MGI:1100877","MGI:1100877")</f>
        <v>MGI:1100877</v>
      </c>
      <c r="J1234" s="4" t="s">
        <v>12</v>
      </c>
    </row>
    <row r="1235" spans="1:10" x14ac:dyDescent="0.25">
      <c r="A1235" s="2">
        <v>40.005449307459699</v>
      </c>
      <c r="B1235" s="3">
        <v>0.74523687266198901</v>
      </c>
      <c r="C1235" s="3">
        <v>1.9006290578050099E-4</v>
      </c>
      <c r="D1235" s="4">
        <v>7.5746697088336398E-4</v>
      </c>
      <c r="E1235" s="3" t="s">
        <v>5017</v>
      </c>
      <c r="F1235" s="3" t="s">
        <v>5018</v>
      </c>
      <c r="G1235" s="3">
        <v>282663</v>
      </c>
      <c r="H1235" s="7" t="str">
        <f>HYPERLINK("http://www.ensembl.org/Mus_musculus/Gene/Summary?db=core;g=ENSMUSG00000051029","ENSMUSG00000051029")</f>
        <v>ENSMUSG00000051029</v>
      </c>
      <c r="I1235" s="7" t="str">
        <f>HYPERLINK("http://www.informatics.jax.org/marker/MGI:2445361","MGI:2445361")</f>
        <v>MGI:2445361</v>
      </c>
      <c r="J1235" s="4" t="s">
        <v>12</v>
      </c>
    </row>
    <row r="1236" spans="1:10" x14ac:dyDescent="0.25">
      <c r="A1236" s="2">
        <v>82.491952546344194</v>
      </c>
      <c r="B1236" s="3">
        <v>0.745171354778279</v>
      </c>
      <c r="C1236" s="5">
        <v>3.0729384188784E-5</v>
      </c>
      <c r="D1236" s="4">
        <v>1.3945294493042501E-4</v>
      </c>
      <c r="E1236" s="3" t="s">
        <v>4805</v>
      </c>
      <c r="F1236" s="3" t="s">
        <v>4806</v>
      </c>
      <c r="G1236" s="3" t="s">
        <v>83</v>
      </c>
      <c r="H1236" s="7" t="str">
        <f>HYPERLINK("http://www.ensembl.org/Mus_musculus/Gene/Summary?db=core;g=ENSMUSG00000113328","ENSMUSG00000113328")</f>
        <v>ENSMUSG00000113328</v>
      </c>
      <c r="I1236" s="7" t="str">
        <f>HYPERLINK("http://www.informatics.jax.org/marker/MGI:6096093","MGI:6096093")</f>
        <v>MGI:6096093</v>
      </c>
      <c r="J1236" s="4" t="s">
        <v>1828</v>
      </c>
    </row>
    <row r="1237" spans="1:10" x14ac:dyDescent="0.25">
      <c r="A1237" s="2">
        <v>468.25171589956</v>
      </c>
      <c r="B1237" s="3">
        <v>0.74505067026971195</v>
      </c>
      <c r="C1237" s="5">
        <v>1.41021532512864E-18</v>
      </c>
      <c r="D1237" s="6">
        <v>2.0544503837305701E-17</v>
      </c>
      <c r="E1237" s="3" t="s">
        <v>1510</v>
      </c>
      <c r="F1237" s="3" t="s">
        <v>1511</v>
      </c>
      <c r="G1237" s="3">
        <v>233315</v>
      </c>
      <c r="H1237" s="7" t="str">
        <f>HYPERLINK("http://www.ensembl.org/Mus_musculus/Gene/Summary?db=core;g=ENSMUSG00000030522","ENSMUSG00000030522")</f>
        <v>ENSMUSG00000030522</v>
      </c>
      <c r="I1237" s="7" t="str">
        <f>HYPERLINK("http://www.informatics.jax.org/marker/MGI:2142292","MGI:2142292")</f>
        <v>MGI:2142292</v>
      </c>
      <c r="J1237" s="4" t="s">
        <v>12</v>
      </c>
    </row>
    <row r="1238" spans="1:10" x14ac:dyDescent="0.25">
      <c r="A1238" s="2">
        <v>1478.1293214196201</v>
      </c>
      <c r="B1238" s="3">
        <v>0.744089565230314</v>
      </c>
      <c r="C1238" s="5">
        <v>2.59147317799659E-24</v>
      </c>
      <c r="D1238" s="6">
        <v>4.9820251760535801E-23</v>
      </c>
      <c r="E1238" s="3" t="s">
        <v>1800</v>
      </c>
      <c r="F1238" s="3" t="s">
        <v>1801</v>
      </c>
      <c r="G1238" s="3">
        <v>66143</v>
      </c>
      <c r="H1238" s="7" t="str">
        <f>HYPERLINK("http://www.ensembl.org/Mus_musculus/Gene/Summary?db=core;g=ENSMUSG00000001707","ENSMUSG00000001707")</f>
        <v>ENSMUSG00000001707</v>
      </c>
      <c r="I1238" s="7" t="str">
        <f>HYPERLINK("http://www.informatics.jax.org/marker/MGI:1913393","MGI:1913393")</f>
        <v>MGI:1913393</v>
      </c>
      <c r="J1238" s="4" t="s">
        <v>12</v>
      </c>
    </row>
    <row r="1239" spans="1:10" x14ac:dyDescent="0.25">
      <c r="A1239" s="2">
        <v>4826.3238228901</v>
      </c>
      <c r="B1239" s="3">
        <v>0.743965997106108</v>
      </c>
      <c r="C1239" s="5">
        <v>6.6489804138168695E-32</v>
      </c>
      <c r="D1239" s="6">
        <v>1.76130331456123E-30</v>
      </c>
      <c r="E1239" s="3" t="s">
        <v>1949</v>
      </c>
      <c r="F1239" s="3" t="s">
        <v>1950</v>
      </c>
      <c r="G1239" s="3">
        <v>15081</v>
      </c>
      <c r="H1239" s="7" t="str">
        <f>HYPERLINK("http://www.ensembl.org/Mus_musculus/Gene/Summary?db=core;g=ENSMUSG00000016559","ENSMUSG00000016559")</f>
        <v>ENSMUSG00000016559</v>
      </c>
      <c r="I1239" s="7" t="str">
        <f>HYPERLINK("http://www.informatics.jax.org/marker/MGI:1101768","MGI:1101768")</f>
        <v>MGI:1101768</v>
      </c>
      <c r="J1239" s="4" t="s">
        <v>12</v>
      </c>
    </row>
    <row r="1240" spans="1:10" x14ac:dyDescent="0.25">
      <c r="A1240" s="2">
        <v>965.41255669014299</v>
      </c>
      <c r="B1240" s="3">
        <v>0.74087227194805305</v>
      </c>
      <c r="C1240" s="5">
        <v>9.1249780388129407E-22</v>
      </c>
      <c r="D1240" s="6">
        <v>1.5615279319940501E-20</v>
      </c>
      <c r="E1240" s="3" t="s">
        <v>2549</v>
      </c>
      <c r="F1240" s="3" t="s">
        <v>2550</v>
      </c>
      <c r="G1240" s="3">
        <v>14739</v>
      </c>
      <c r="H1240" s="7" t="str">
        <f>HYPERLINK("http://www.ensembl.org/Mus_musculus/Gene/Summary?db=core;g=ENSMUSG00000043895","ENSMUSG00000043895")</f>
        <v>ENSMUSG00000043895</v>
      </c>
      <c r="I1240" s="7" t="str">
        <f>HYPERLINK("http://www.informatics.jax.org/marker/MGI:99569","MGI:99569")</f>
        <v>MGI:99569</v>
      </c>
      <c r="J1240" s="4" t="s">
        <v>12</v>
      </c>
    </row>
    <row r="1241" spans="1:10" x14ac:dyDescent="0.25">
      <c r="A1241" s="2">
        <v>577.08153770529805</v>
      </c>
      <c r="B1241" s="3">
        <v>0.74029580276905904</v>
      </c>
      <c r="C1241" s="5">
        <v>7.9259701974653796E-28</v>
      </c>
      <c r="D1241" s="6">
        <v>1.7921936333598799E-26</v>
      </c>
      <c r="E1241" s="3" t="s">
        <v>3710</v>
      </c>
      <c r="F1241" s="3" t="s">
        <v>3711</v>
      </c>
      <c r="G1241" s="3">
        <v>15364</v>
      </c>
      <c r="H1241" s="7" t="str">
        <f>HYPERLINK("http://www.ensembl.org/Mus_musculus/Gene/Summary?db=core;g=ENSMUSG00000056758","ENSMUSG00000056758")</f>
        <v>ENSMUSG00000056758</v>
      </c>
      <c r="I1241" s="7" t="str">
        <f>HYPERLINK("http://www.informatics.jax.org/marker/MGI:101761","MGI:101761")</f>
        <v>MGI:101761</v>
      </c>
      <c r="J1241" s="4" t="s">
        <v>12</v>
      </c>
    </row>
    <row r="1242" spans="1:10" x14ac:dyDescent="0.25">
      <c r="A1242" s="2">
        <v>74.029198341863093</v>
      </c>
      <c r="B1242" s="3">
        <v>0.74011272527978</v>
      </c>
      <c r="C1242" s="5">
        <v>1.0991033399607401E-6</v>
      </c>
      <c r="D1242" s="6">
        <v>6.0884979850408897E-6</v>
      </c>
      <c r="E1242" s="3" t="s">
        <v>9741</v>
      </c>
      <c r="F1242" s="3" t="s">
        <v>9742</v>
      </c>
      <c r="G1242" s="3">
        <v>11601</v>
      </c>
      <c r="H1242" s="7" t="str">
        <f>HYPERLINK("http://www.ensembl.org/Mus_musculus/Gene/Summary?db=core;g=ENSMUSG00000031465","ENSMUSG00000031465")</f>
        <v>ENSMUSG00000031465</v>
      </c>
      <c r="I1242" s="7" t="str">
        <f>HYPERLINK("http://www.informatics.jax.org/marker/MGI:1202890","MGI:1202890")</f>
        <v>MGI:1202890</v>
      </c>
      <c r="J1242" s="4" t="s">
        <v>12</v>
      </c>
    </row>
    <row r="1243" spans="1:10" x14ac:dyDescent="0.25">
      <c r="A1243" s="2">
        <v>543.86222709493302</v>
      </c>
      <c r="B1243" s="3">
        <v>0.739841559300914</v>
      </c>
      <c r="C1243" s="5">
        <v>1.1958314750552201E-13</v>
      </c>
      <c r="D1243" s="6">
        <v>1.2934141621888101E-12</v>
      </c>
      <c r="E1243" s="3" t="s">
        <v>5871</v>
      </c>
      <c r="F1243" s="3" t="s">
        <v>5872</v>
      </c>
      <c r="G1243" s="3">
        <v>18563</v>
      </c>
      <c r="H1243" s="7" t="str">
        <f>HYPERLINK("http://www.ensembl.org/Mus_musculus/Gene/Summary?db=core;g=ENSMUSG00000024892","ENSMUSG00000024892")</f>
        <v>ENSMUSG00000024892</v>
      </c>
      <c r="I1243" s="7" t="str">
        <f>HYPERLINK("http://www.informatics.jax.org/marker/MGI:97520","MGI:97520")</f>
        <v>MGI:97520</v>
      </c>
      <c r="J1243" s="4" t="s">
        <v>12</v>
      </c>
    </row>
    <row r="1244" spans="1:10" x14ac:dyDescent="0.25">
      <c r="A1244" s="2">
        <v>103.636458632539</v>
      </c>
      <c r="B1244" s="3">
        <v>0.73964038621664197</v>
      </c>
      <c r="C1244" s="5">
        <v>3.8564403554278901E-7</v>
      </c>
      <c r="D1244" s="6">
        <v>2.2621057443731299E-6</v>
      </c>
      <c r="E1244" s="3" t="s">
        <v>9305</v>
      </c>
      <c r="F1244" s="3" t="s">
        <v>9306</v>
      </c>
      <c r="G1244" s="3" t="s">
        <v>83</v>
      </c>
      <c r="H1244" s="7" t="str">
        <f>HYPERLINK("http://www.ensembl.org/Mus_musculus/Gene/Summary?db=core;g=ENSMUSG00000097882","ENSMUSG00000097882")</f>
        <v>ENSMUSG00000097882</v>
      </c>
      <c r="I1244" s="7" t="str">
        <f>HYPERLINK("http://www.informatics.jax.org/marker/MGI:1917595","MGI:1917595")</f>
        <v>MGI:1917595</v>
      </c>
      <c r="J1244" s="4" t="s">
        <v>932</v>
      </c>
    </row>
    <row r="1245" spans="1:10" x14ac:dyDescent="0.25">
      <c r="A1245" s="2">
        <v>380.82430944932798</v>
      </c>
      <c r="B1245" s="3">
        <v>0.73868208408876301</v>
      </c>
      <c r="C1245" s="5">
        <v>8.0769245462016904E-17</v>
      </c>
      <c r="D1245" s="6">
        <v>1.0659083986569601E-15</v>
      </c>
      <c r="E1245" s="3" t="s">
        <v>3606</v>
      </c>
      <c r="F1245" s="3" t="s">
        <v>3607</v>
      </c>
      <c r="G1245" s="3">
        <v>101685</v>
      </c>
      <c r="H1245" s="7" t="str">
        <f>HYPERLINK("http://www.ensembl.org/Mus_musculus/Gene/Summary?db=core;g=ENSMUSG00000049516","ENSMUSG00000049516")</f>
        <v>ENSMUSG00000049516</v>
      </c>
      <c r="I1245" s="7" t="str">
        <f>HYPERLINK("http://www.informatics.jax.org/marker/MGI:2142062","MGI:2142062")</f>
        <v>MGI:2142062</v>
      </c>
      <c r="J1245" s="4" t="s">
        <v>12</v>
      </c>
    </row>
    <row r="1246" spans="1:10" x14ac:dyDescent="0.25">
      <c r="A1246" s="2">
        <v>809.97452023296501</v>
      </c>
      <c r="B1246" s="3">
        <v>0.73861945693770303</v>
      </c>
      <c r="C1246" s="5">
        <v>3.0004425968386103E-11</v>
      </c>
      <c r="D1246" s="6">
        <v>2.68054246702861E-10</v>
      </c>
      <c r="E1246" s="3" t="s">
        <v>6924</v>
      </c>
      <c r="F1246" s="3" t="s">
        <v>6925</v>
      </c>
      <c r="G1246" s="3">
        <v>18626</v>
      </c>
      <c r="H1246" s="7" t="str">
        <f>HYPERLINK("http://www.ensembl.org/Mus_musculus/Gene/Summary?db=core;g=ENSMUSG00000020893","ENSMUSG00000020893")</f>
        <v>ENSMUSG00000020893</v>
      </c>
      <c r="I1246" s="7" t="str">
        <f>HYPERLINK("http://www.informatics.jax.org/marker/MGI:1098283","MGI:1098283")</f>
        <v>MGI:1098283</v>
      </c>
      <c r="J1246" s="4" t="s">
        <v>12</v>
      </c>
    </row>
    <row r="1247" spans="1:10" x14ac:dyDescent="0.25">
      <c r="A1247" s="2">
        <v>249.611902788104</v>
      </c>
      <c r="B1247" s="3">
        <v>0.73764335812568305</v>
      </c>
      <c r="C1247" s="5">
        <v>3.1964915639659798E-9</v>
      </c>
      <c r="D1247" s="6">
        <v>2.35886741660529E-8</v>
      </c>
      <c r="E1247" s="3" t="s">
        <v>5153</v>
      </c>
      <c r="F1247" s="3" t="s">
        <v>5154</v>
      </c>
      <c r="G1247" s="3">
        <v>16154</v>
      </c>
      <c r="H1247" s="7" t="str">
        <f>HYPERLINK("http://www.ensembl.org/Mus_musculus/Gene/Summary?db=core;g=ENSMUSG00000032089","ENSMUSG00000032089")</f>
        <v>ENSMUSG00000032089</v>
      </c>
      <c r="I1247" s="7" t="str">
        <f>HYPERLINK("http://www.informatics.jax.org/marker/MGI:96538","MGI:96538")</f>
        <v>MGI:96538</v>
      </c>
      <c r="J1247" s="4" t="s">
        <v>12</v>
      </c>
    </row>
    <row r="1248" spans="1:10" x14ac:dyDescent="0.25">
      <c r="A1248" s="2">
        <v>1.6847189977499799</v>
      </c>
      <c r="B1248" s="3">
        <v>0.73751251189178402</v>
      </c>
      <c r="C1248" s="3">
        <v>0.114500930255544</v>
      </c>
      <c r="D1248" s="4">
        <v>0.22707066963082501</v>
      </c>
      <c r="E1248" s="3" t="s">
        <v>12797</v>
      </c>
      <c r="F1248" s="3" t="s">
        <v>12798</v>
      </c>
      <c r="G1248" s="3" t="s">
        <v>83</v>
      </c>
      <c r="H1248" s="7" t="str">
        <f>HYPERLINK("http://www.ensembl.org/Mus_musculus/Gene/Summary?db=core;g=ENSMUSG00000111133","ENSMUSG00000111133")</f>
        <v>ENSMUSG00000111133</v>
      </c>
      <c r="I1248" s="7" t="str">
        <f>HYPERLINK("http://www.informatics.jax.org/marker/MGI:3779529","MGI:3779529")</f>
        <v>MGI:3779529</v>
      </c>
      <c r="J1248" s="4" t="s">
        <v>1043</v>
      </c>
    </row>
    <row r="1249" spans="1:10" x14ac:dyDescent="0.25">
      <c r="A1249" s="2">
        <v>410.30073835316</v>
      </c>
      <c r="B1249" s="3">
        <v>0.73701208405132101</v>
      </c>
      <c r="C1249" s="5">
        <v>6.0742734341726999E-21</v>
      </c>
      <c r="D1249" s="6">
        <v>9.9643234327450502E-20</v>
      </c>
      <c r="E1249" s="3" t="s">
        <v>2585</v>
      </c>
      <c r="F1249" s="3" t="s">
        <v>2586</v>
      </c>
      <c r="G1249" s="3">
        <v>64213</v>
      </c>
      <c r="H1249" s="7" t="str">
        <f>HYPERLINK("http://www.ensembl.org/Mus_musculus/Gene/Summary?db=core;g=ENSMUSG00000029534","ENSMUSG00000029534")</f>
        <v>ENSMUSG00000029534</v>
      </c>
      <c r="I1249" s="7" t="str">
        <f>HYPERLINK("http://www.informatics.jax.org/marker/MGI:1927450","MGI:1927450")</f>
        <v>MGI:1927450</v>
      </c>
      <c r="J1249" s="4" t="s">
        <v>12</v>
      </c>
    </row>
    <row r="1250" spans="1:10" x14ac:dyDescent="0.25">
      <c r="A1250" s="2">
        <v>518.49314236002294</v>
      </c>
      <c r="B1250" s="3">
        <v>0.73683357196501698</v>
      </c>
      <c r="C1250" s="5">
        <v>1.4065190010172201E-9</v>
      </c>
      <c r="D1250" s="6">
        <v>1.07479282153203E-8</v>
      </c>
      <c r="E1250" s="3" t="s">
        <v>3518</v>
      </c>
      <c r="F1250" s="3" t="s">
        <v>3519</v>
      </c>
      <c r="G1250" s="3">
        <v>380732</v>
      </c>
      <c r="H1250" s="7" t="str">
        <f>HYPERLINK("http://www.ensembl.org/Mus_musculus/Gene/Summary?db=core;g=ENSMUSG00000040528","ENSMUSG00000040528")</f>
        <v>ENSMUSG00000040528</v>
      </c>
      <c r="I1250" s="7" t="str">
        <f>HYPERLINK("http://www.informatics.jax.org/marker/MGI:2685731","MGI:2685731")</f>
        <v>MGI:2685731</v>
      </c>
      <c r="J1250" s="4" t="s">
        <v>12</v>
      </c>
    </row>
    <row r="1251" spans="1:10" x14ac:dyDescent="0.25">
      <c r="A1251" s="2">
        <v>920.01382317931996</v>
      </c>
      <c r="B1251" s="3">
        <v>0.73642394096790798</v>
      </c>
      <c r="C1251" s="5">
        <v>2.50141443718268E-42</v>
      </c>
      <c r="D1251" s="6">
        <v>9.4581489870652008E-41</v>
      </c>
      <c r="E1251" s="3" t="s">
        <v>636</v>
      </c>
      <c r="F1251" s="3" t="s">
        <v>637</v>
      </c>
      <c r="G1251" s="3">
        <v>56480</v>
      </c>
      <c r="H1251" s="7" t="str">
        <f>HYPERLINK("http://www.ensembl.org/Mus_musculus/Gene/Summary?db=core;g=ENSMUSG00000020115","ENSMUSG00000020115")</f>
        <v>ENSMUSG00000020115</v>
      </c>
      <c r="I1251" s="7" t="str">
        <f>HYPERLINK("http://www.informatics.jax.org/marker/MGI:1929658","MGI:1929658")</f>
        <v>MGI:1929658</v>
      </c>
      <c r="J1251" s="4" t="s">
        <v>12</v>
      </c>
    </row>
    <row r="1252" spans="1:10" x14ac:dyDescent="0.25">
      <c r="A1252" s="2">
        <v>1236.1434130386101</v>
      </c>
      <c r="B1252" s="3">
        <v>0.73606917402823802</v>
      </c>
      <c r="C1252" s="5">
        <v>6.3573096864008999E-24</v>
      </c>
      <c r="D1252" s="6">
        <v>1.2043863725016301E-22</v>
      </c>
      <c r="E1252" s="3" t="s">
        <v>956</v>
      </c>
      <c r="F1252" s="3" t="s">
        <v>957</v>
      </c>
      <c r="G1252" s="3">
        <v>22670</v>
      </c>
      <c r="H1252" s="7" t="str">
        <f>HYPERLINK("http://www.ensembl.org/Mus_musculus/Gene/Summary?db=core;g=ENSMUSG00000024457","ENSMUSG00000024457")</f>
        <v>ENSMUSG00000024457</v>
      </c>
      <c r="I1252" s="7" t="str">
        <f>HYPERLINK("http://www.informatics.jax.org/marker/MGI:1337056","MGI:1337056")</f>
        <v>MGI:1337056</v>
      </c>
      <c r="J1252" s="4" t="s">
        <v>12</v>
      </c>
    </row>
    <row r="1253" spans="1:10" x14ac:dyDescent="0.25">
      <c r="A1253" s="2">
        <v>350.32308893259801</v>
      </c>
      <c r="B1253" s="3">
        <v>0.73576451662295805</v>
      </c>
      <c r="C1253" s="5">
        <v>4.4284872091776099E-10</v>
      </c>
      <c r="D1253" s="6">
        <v>3.56804506574987E-9</v>
      </c>
      <c r="E1253" s="3" t="s">
        <v>3954</v>
      </c>
      <c r="F1253" s="3" t="s">
        <v>3955</v>
      </c>
      <c r="G1253" s="3">
        <v>212862</v>
      </c>
      <c r="H1253" s="7" t="str">
        <f>HYPERLINK("http://www.ensembl.org/Mus_musculus/Gene/Summary?db=core;g=ENSMUSG00000060002","ENSMUSG00000060002")</f>
        <v>ENSMUSG00000060002</v>
      </c>
      <c r="I1253" s="7" t="str">
        <f>HYPERLINK("http://www.informatics.jax.org/marker/MGI:2384841","MGI:2384841")</f>
        <v>MGI:2384841</v>
      </c>
      <c r="J1253" s="4" t="s">
        <v>12</v>
      </c>
    </row>
    <row r="1254" spans="1:10" x14ac:dyDescent="0.25">
      <c r="A1254" s="2">
        <v>492.07057993022403</v>
      </c>
      <c r="B1254" s="3">
        <v>0.73554238304901198</v>
      </c>
      <c r="C1254" s="5">
        <v>1.5707687368457599E-11</v>
      </c>
      <c r="D1254" s="6">
        <v>1.43927904620482E-10</v>
      </c>
      <c r="E1254" s="3" t="s">
        <v>3384</v>
      </c>
      <c r="F1254" s="3" t="s">
        <v>3385</v>
      </c>
      <c r="G1254" s="3">
        <v>74243</v>
      </c>
      <c r="H1254" s="7" t="str">
        <f>HYPERLINK("http://www.ensembl.org/Mus_musculus/Gene/Summary?db=core;g=ENSMUSG00000027281","ENSMUSG00000027281")</f>
        <v>ENSMUSG00000027281</v>
      </c>
      <c r="I1254" s="7" t="str">
        <f>HYPERLINK("http://www.informatics.jax.org/marker/MGI:1921493","MGI:1921493")</f>
        <v>MGI:1921493</v>
      </c>
      <c r="J1254" s="4" t="s">
        <v>12</v>
      </c>
    </row>
    <row r="1255" spans="1:10" x14ac:dyDescent="0.25">
      <c r="A1255" s="2">
        <v>3430.3389864926598</v>
      </c>
      <c r="B1255" s="3">
        <v>0.73537936795949799</v>
      </c>
      <c r="C1255" s="5">
        <v>2.0772720587850899E-19</v>
      </c>
      <c r="D1255" s="6">
        <v>3.1443756869899E-18</v>
      </c>
      <c r="E1255" s="3" t="s">
        <v>3944</v>
      </c>
      <c r="F1255" s="3" t="s">
        <v>3945</v>
      </c>
      <c r="G1255" s="3">
        <v>20515</v>
      </c>
      <c r="H1255" s="7" t="str">
        <f>HYPERLINK("http://www.ensembl.org/Mus_musculus/Gene/Summary?db=core;g=ENSMUSG00000027397","ENSMUSG00000027397")</f>
        <v>ENSMUSG00000027397</v>
      </c>
      <c r="I1255" s="7" t="str">
        <f>HYPERLINK("http://www.informatics.jax.org/marker/MGI:108392","MGI:108392")</f>
        <v>MGI:108392</v>
      </c>
      <c r="J1255" s="4" t="s">
        <v>12</v>
      </c>
    </row>
    <row r="1256" spans="1:10" x14ac:dyDescent="0.25">
      <c r="A1256" s="2">
        <v>93.441970544851401</v>
      </c>
      <c r="B1256" s="3">
        <v>0.735076186491737</v>
      </c>
      <c r="C1256" s="5">
        <v>1.9657654452571202E-9</v>
      </c>
      <c r="D1256" s="6">
        <v>1.4767549562988899E-8</v>
      </c>
      <c r="E1256" s="3" t="s">
        <v>10286</v>
      </c>
      <c r="F1256" s="3" t="s">
        <v>10287</v>
      </c>
      <c r="G1256" s="3">
        <v>381110</v>
      </c>
      <c r="H1256" s="7" t="str">
        <f>HYPERLINK("http://www.ensembl.org/Mus_musculus/Gene/Summary?db=core;g=ENSMUSG00000036368","ENSMUSG00000036368")</f>
        <v>ENSMUSG00000036368</v>
      </c>
      <c r="I1256" s="7" t="str">
        <f>HYPERLINK("http://www.informatics.jax.org/marker/MGI:2147043","MGI:2147043")</f>
        <v>MGI:2147043</v>
      </c>
      <c r="J1256" s="4" t="s">
        <v>12</v>
      </c>
    </row>
    <row r="1257" spans="1:10" x14ac:dyDescent="0.25">
      <c r="A1257" s="2">
        <v>1760.3859109411301</v>
      </c>
      <c r="B1257" s="3">
        <v>0.73412664762386604</v>
      </c>
      <c r="C1257" s="5">
        <v>1.07029324129311E-44</v>
      </c>
      <c r="D1257" s="6">
        <v>4.41314351189296E-43</v>
      </c>
      <c r="E1257" s="3" t="s">
        <v>544</v>
      </c>
      <c r="F1257" s="3" t="s">
        <v>545</v>
      </c>
      <c r="G1257" s="3">
        <v>12122</v>
      </c>
      <c r="H1257" s="7" t="str">
        <f>HYPERLINK("http://www.ensembl.org/Mus_musculus/Gene/Summary?db=core;g=ENSMUSG00000004446","ENSMUSG00000004446")</f>
        <v>ENSMUSG00000004446</v>
      </c>
      <c r="I1257" s="7" t="str">
        <f>HYPERLINK("http://www.informatics.jax.org/marker/MGI:108093","MGI:108093")</f>
        <v>MGI:108093</v>
      </c>
      <c r="J1257" s="4" t="s">
        <v>12</v>
      </c>
    </row>
    <row r="1258" spans="1:10" x14ac:dyDescent="0.25">
      <c r="A1258" s="2">
        <v>1578.84095627907</v>
      </c>
      <c r="B1258" s="3">
        <v>0.73404932329998795</v>
      </c>
      <c r="C1258" s="5">
        <v>2.2007253995271801E-23</v>
      </c>
      <c r="D1258" s="6">
        <v>4.0926755516717198E-22</v>
      </c>
      <c r="E1258" s="3" t="s">
        <v>4451</v>
      </c>
      <c r="F1258" s="3" t="s">
        <v>4452</v>
      </c>
      <c r="G1258" s="3">
        <v>70834</v>
      </c>
      <c r="H1258" s="7" t="str">
        <f>HYPERLINK("http://www.ensembl.org/Mus_musculus/Gene/Summary?db=core;g=ENSMUSG00000020859","ENSMUSG00000020859")</f>
        <v>ENSMUSG00000020859</v>
      </c>
      <c r="I1258" s="7" t="str">
        <f>HYPERLINK("http://www.informatics.jax.org/marker/MGI:1918084","MGI:1918084")</f>
        <v>MGI:1918084</v>
      </c>
      <c r="J1258" s="4" t="s">
        <v>12</v>
      </c>
    </row>
    <row r="1259" spans="1:10" x14ac:dyDescent="0.25">
      <c r="A1259" s="2">
        <v>879.02066919865399</v>
      </c>
      <c r="B1259" s="3">
        <v>0.73399281597805199</v>
      </c>
      <c r="C1259" s="5">
        <v>5.1404714801301098E-9</v>
      </c>
      <c r="D1259" s="6">
        <v>3.6985824210568997E-8</v>
      </c>
      <c r="E1259" s="3" t="s">
        <v>4899</v>
      </c>
      <c r="F1259" s="3" t="s">
        <v>4900</v>
      </c>
      <c r="G1259" s="3">
        <v>233016</v>
      </c>
      <c r="H1259" s="7" t="str">
        <f>HYPERLINK("http://www.ensembl.org/Mus_musculus/Gene/Summary?db=core;g=ENSMUSG00000040466","ENSMUSG00000040466")</f>
        <v>ENSMUSG00000040466</v>
      </c>
      <c r="I1259" s="7" t="str">
        <f>HYPERLINK("http://www.informatics.jax.org/marker/MGI:2385271","MGI:2385271")</f>
        <v>MGI:2385271</v>
      </c>
      <c r="J1259" s="4" t="s">
        <v>12</v>
      </c>
    </row>
    <row r="1260" spans="1:10" x14ac:dyDescent="0.25">
      <c r="A1260" s="2">
        <v>1216.72068386879</v>
      </c>
      <c r="B1260" s="3">
        <v>0.73249915959231404</v>
      </c>
      <c r="C1260" s="5">
        <v>1.2054341631794199E-20</v>
      </c>
      <c r="D1260" s="6">
        <v>1.9528033443506601E-19</v>
      </c>
      <c r="E1260" s="3" t="s">
        <v>1328</v>
      </c>
      <c r="F1260" s="3" t="s">
        <v>1329</v>
      </c>
      <c r="G1260" s="3">
        <v>210106</v>
      </c>
      <c r="H1260" s="7" t="str">
        <f>HYPERLINK("http://www.ensembl.org/Mus_musculus/Gene/Summary?db=core;g=ENSMUSG00000034575","ENSMUSG00000034575")</f>
        <v>ENSMUSG00000034575</v>
      </c>
      <c r="I1260" s="7" t="str">
        <f>HYPERLINK("http://www.informatics.jax.org/marker/MGI:2682295","MGI:2682295")</f>
        <v>MGI:2682295</v>
      </c>
      <c r="J1260" s="4" t="s">
        <v>12</v>
      </c>
    </row>
    <row r="1261" spans="1:10" x14ac:dyDescent="0.25">
      <c r="A1261" s="2">
        <v>1517.50004972587</v>
      </c>
      <c r="B1261" s="3">
        <v>0.73192522503920798</v>
      </c>
      <c r="C1261" s="5">
        <v>9.3214209700147203E-10</v>
      </c>
      <c r="D1261" s="6">
        <v>7.2537530819179499E-9</v>
      </c>
      <c r="E1261" s="3" t="s">
        <v>1975</v>
      </c>
      <c r="F1261" s="3" t="s">
        <v>1976</v>
      </c>
      <c r="G1261" s="3">
        <v>17769</v>
      </c>
      <c r="H1261" s="7" t="str">
        <f>HYPERLINK("http://www.ensembl.org/Mus_musculus/Gene/Summary?db=core;g=ENSMUSG00000029009","ENSMUSG00000029009")</f>
        <v>ENSMUSG00000029009</v>
      </c>
      <c r="I1261" s="7" t="str">
        <f>HYPERLINK("http://www.informatics.jax.org/marker/MGI:106639","MGI:106639")</f>
        <v>MGI:106639</v>
      </c>
      <c r="J1261" s="4" t="s">
        <v>12</v>
      </c>
    </row>
    <row r="1262" spans="1:10" x14ac:dyDescent="0.25">
      <c r="A1262" s="2">
        <v>49.503015122009799</v>
      </c>
      <c r="B1262" s="3">
        <v>0.73174715626624398</v>
      </c>
      <c r="C1262" s="5">
        <v>4.2847359746052099E-5</v>
      </c>
      <c r="D1262" s="4">
        <v>1.8976746813409499E-4</v>
      </c>
      <c r="E1262" s="3" t="s">
        <v>11679</v>
      </c>
      <c r="F1262" s="3" t="s">
        <v>11680</v>
      </c>
      <c r="G1262" s="3">
        <v>73919</v>
      </c>
      <c r="H1262" s="7" t="str">
        <f>HYPERLINK("http://www.ensembl.org/Mus_musculus/Gene/Summary?db=core;g=ENSMUSG00000030922","ENSMUSG00000030922")</f>
        <v>ENSMUSG00000030922</v>
      </c>
      <c r="I1262" s="7" t="str">
        <f>HYPERLINK("http://www.informatics.jax.org/marker/MGI:1921169","MGI:1921169")</f>
        <v>MGI:1921169</v>
      </c>
      <c r="J1262" s="4" t="s">
        <v>12</v>
      </c>
    </row>
    <row r="1263" spans="1:10" x14ac:dyDescent="0.25">
      <c r="A1263" s="2">
        <v>1451.20759120454</v>
      </c>
      <c r="B1263" s="3">
        <v>0.731403437933968</v>
      </c>
      <c r="C1263" s="5">
        <v>4.5101252251224003E-15</v>
      </c>
      <c r="D1263" s="6">
        <v>5.32019626070264E-14</v>
      </c>
      <c r="E1263" s="3" t="s">
        <v>4365</v>
      </c>
      <c r="F1263" s="3" t="s">
        <v>4366</v>
      </c>
      <c r="G1263" s="3">
        <v>50918</v>
      </c>
      <c r="H1263" s="7" t="str">
        <f>HYPERLINK("http://www.ensembl.org/Mus_musculus/Gene/Summary?db=core;g=ENSMUSG00000068566","ENSMUSG00000068566")</f>
        <v>ENSMUSG00000068566</v>
      </c>
      <c r="I1263" s="7" t="str">
        <f>HYPERLINK("http://www.informatics.jax.org/marker/MGI:1355332","MGI:1355332")</f>
        <v>MGI:1355332</v>
      </c>
      <c r="J1263" s="4" t="s">
        <v>12</v>
      </c>
    </row>
    <row r="1264" spans="1:10" x14ac:dyDescent="0.25">
      <c r="A1264" s="2">
        <v>23.240441564072</v>
      </c>
      <c r="B1264" s="3">
        <v>0.73110536443466301</v>
      </c>
      <c r="C1264" s="3">
        <v>3.2898571014462999E-3</v>
      </c>
      <c r="D1264" s="4">
        <v>1.03375251161826E-2</v>
      </c>
      <c r="E1264" s="3" t="s">
        <v>13873</v>
      </c>
      <c r="F1264" s="3" t="s">
        <v>13874</v>
      </c>
      <c r="G1264" s="3" t="s">
        <v>83</v>
      </c>
      <c r="H1264" s="7" t="str">
        <f>HYPERLINK("http://www.ensembl.org/Mus_musculus/Gene/Summary?db=core;g=ENSMUSG00000110630","ENSMUSG00000110630")</f>
        <v>ENSMUSG00000110630</v>
      </c>
      <c r="I1264" s="7" t="str">
        <f>HYPERLINK("http://www.informatics.jax.org/marker/MGI:3642019","MGI:3642019")</f>
        <v>MGI:3642019</v>
      </c>
      <c r="J1264" s="4" t="s">
        <v>932</v>
      </c>
    </row>
    <row r="1265" spans="1:10" x14ac:dyDescent="0.25">
      <c r="A1265" s="2">
        <v>2050.1237507308301</v>
      </c>
      <c r="B1265" s="3">
        <v>0.73101017292245796</v>
      </c>
      <c r="C1265" s="5">
        <v>4.3722378885082099E-45</v>
      </c>
      <c r="D1265" s="6">
        <v>1.8318169084611999E-43</v>
      </c>
      <c r="E1265" s="3" t="s">
        <v>1025</v>
      </c>
      <c r="F1265" s="3" t="s">
        <v>1026</v>
      </c>
      <c r="G1265" s="3">
        <v>70640</v>
      </c>
      <c r="H1265" s="7" t="str">
        <f>HYPERLINK("http://www.ensembl.org/Mus_musculus/Gene/Summary?db=core;g=ENSMUSG00000024472","ENSMUSG00000024472")</f>
        <v>ENSMUSG00000024472</v>
      </c>
      <c r="I1265" s="7" t="str">
        <f>HYPERLINK("http://www.informatics.jax.org/marker/MGI:1917890","MGI:1917890")</f>
        <v>MGI:1917890</v>
      </c>
      <c r="J1265" s="4" t="s">
        <v>12</v>
      </c>
    </row>
    <row r="1266" spans="1:10" x14ac:dyDescent="0.25">
      <c r="A1266" s="2">
        <v>1593.6986255429299</v>
      </c>
      <c r="B1266" s="3">
        <v>0.73057421035618797</v>
      </c>
      <c r="C1266" s="5">
        <v>1.678623335078E-34</v>
      </c>
      <c r="D1266" s="6">
        <v>4.8483217562276601E-33</v>
      </c>
      <c r="E1266" s="3" t="s">
        <v>706</v>
      </c>
      <c r="F1266" s="3" t="s">
        <v>707</v>
      </c>
      <c r="G1266" s="3">
        <v>18451</v>
      </c>
      <c r="H1266" s="7" t="str">
        <f>HYPERLINK("http://www.ensembl.org/Mus_musculus/Gene/Summary?db=core;g=ENSMUSG00000019916","ENSMUSG00000019916")</f>
        <v>ENSMUSG00000019916</v>
      </c>
      <c r="I1266" s="7" t="str">
        <f>HYPERLINK("http://www.informatics.jax.org/marker/MGI:97463","MGI:97463")</f>
        <v>MGI:97463</v>
      </c>
      <c r="J1266" s="4" t="s">
        <v>12</v>
      </c>
    </row>
    <row r="1267" spans="1:10" x14ac:dyDescent="0.25">
      <c r="A1267" s="2">
        <v>11641.7690229613</v>
      </c>
      <c r="B1267" s="3">
        <v>0.73056011273828203</v>
      </c>
      <c r="C1267" s="5">
        <v>1.21830317937511E-9</v>
      </c>
      <c r="D1267" s="6">
        <v>9.3595562488238293E-9</v>
      </c>
      <c r="E1267" s="3" t="s">
        <v>6003</v>
      </c>
      <c r="F1267" s="3" t="s">
        <v>6004</v>
      </c>
      <c r="G1267" s="3">
        <v>14964</v>
      </c>
      <c r="H1267" s="7" t="str">
        <f>HYPERLINK("http://www.ensembl.org/Mus_musculus/Gene/Summary?db=core;g=ENSMUSG00000073411","ENSMUSG00000073411")</f>
        <v>ENSMUSG00000073411</v>
      </c>
      <c r="I1267" s="7" t="str">
        <f>HYPERLINK("http://www.informatics.jax.org/marker/MGI:95896","MGI:95896")</f>
        <v>MGI:95896</v>
      </c>
      <c r="J1267" s="4" t="s">
        <v>12</v>
      </c>
    </row>
    <row r="1268" spans="1:10" x14ac:dyDescent="0.25">
      <c r="A1268" s="2">
        <v>2099.1535841712998</v>
      </c>
      <c r="B1268" s="3">
        <v>0.729284394655493</v>
      </c>
      <c r="C1268" s="5">
        <v>6.5389304248869499E-22</v>
      </c>
      <c r="D1268" s="6">
        <v>1.12532584507615E-20</v>
      </c>
      <c r="E1268" s="3" t="s">
        <v>1496</v>
      </c>
      <c r="F1268" s="3" t="s">
        <v>1497</v>
      </c>
      <c r="G1268" s="3">
        <v>17874</v>
      </c>
      <c r="H1268" s="7" t="str">
        <f>HYPERLINK("http://www.ensembl.org/Mus_musculus/Gene/Summary?db=core;g=ENSMUSG00000032508","ENSMUSG00000032508")</f>
        <v>ENSMUSG00000032508</v>
      </c>
      <c r="I1268" s="7" t="str">
        <f>HYPERLINK("http://www.informatics.jax.org/marker/MGI:108005","MGI:108005")</f>
        <v>MGI:108005</v>
      </c>
      <c r="J1268" s="4" t="s">
        <v>12</v>
      </c>
    </row>
    <row r="1269" spans="1:10" x14ac:dyDescent="0.25">
      <c r="A1269" s="2">
        <v>2684.2879061526901</v>
      </c>
      <c r="B1269" s="3">
        <v>0.72869985371747203</v>
      </c>
      <c r="C1269" s="5">
        <v>1.70997994607061E-54</v>
      </c>
      <c r="D1269" s="6">
        <v>9.0331549325034296E-53</v>
      </c>
      <c r="E1269" s="3" t="s">
        <v>1684</v>
      </c>
      <c r="F1269" s="3" t="s">
        <v>1685</v>
      </c>
      <c r="G1269" s="3">
        <v>14050</v>
      </c>
      <c r="H1269" s="7" t="str">
        <f>HYPERLINK("http://www.ensembl.org/Mus_musculus/Gene/Summary?db=core;g=ENSMUSG00000028886","ENSMUSG00000028886")</f>
        <v>ENSMUSG00000028886</v>
      </c>
      <c r="I1269" s="7" t="str">
        <f>HYPERLINK("http://www.informatics.jax.org/marker/MGI:109339","MGI:109339")</f>
        <v>MGI:109339</v>
      </c>
      <c r="J1269" s="4" t="s">
        <v>12</v>
      </c>
    </row>
    <row r="1270" spans="1:10" x14ac:dyDescent="0.25">
      <c r="A1270" s="2">
        <v>795.88051242751897</v>
      </c>
      <c r="B1270" s="3">
        <v>0.72866149168116601</v>
      </c>
      <c r="C1270" s="5">
        <v>3.6131874057291298E-52</v>
      </c>
      <c r="D1270" s="6">
        <v>1.78456207234183E-50</v>
      </c>
      <c r="E1270" s="3" t="s">
        <v>722</v>
      </c>
      <c r="F1270" s="3" t="s">
        <v>723</v>
      </c>
      <c r="G1270" s="3">
        <v>80294</v>
      </c>
      <c r="H1270" s="7" t="str">
        <f>HYPERLINK("http://www.ensembl.org/Mus_musculus/Gene/Summary?db=core;g=ENSMUSG00000020260","ENSMUSG00000020260")</f>
        <v>ENSMUSG00000020260</v>
      </c>
      <c r="I1270" s="7" t="str">
        <f>HYPERLINK("http://www.informatics.jax.org/marker/MGI:1916863","MGI:1916863")</f>
        <v>MGI:1916863</v>
      </c>
      <c r="J1270" s="4" t="s">
        <v>12</v>
      </c>
    </row>
    <row r="1271" spans="1:10" x14ac:dyDescent="0.25">
      <c r="A1271" s="2">
        <v>51.144707540493002</v>
      </c>
      <c r="B1271" s="3">
        <v>0.72855660520564802</v>
      </c>
      <c r="C1271" s="3">
        <v>1.98423202010614E-4</v>
      </c>
      <c r="D1271" s="4">
        <v>7.8837210739991998E-4</v>
      </c>
      <c r="E1271" s="3" t="s">
        <v>5527</v>
      </c>
      <c r="F1271" s="3" t="s">
        <v>5528</v>
      </c>
      <c r="G1271" s="3">
        <v>319710</v>
      </c>
      <c r="H1271" s="7" t="str">
        <f>HYPERLINK("http://www.ensembl.org/Mus_musculus/Gene/Summary?db=core;g=ENSMUSG00000048285","ENSMUSG00000048285")</f>
        <v>ENSMUSG00000048285</v>
      </c>
      <c r="I1271" s="7" t="str">
        <f>HYPERLINK("http://www.informatics.jax.org/marker/MGI:2442579","MGI:2442579")</f>
        <v>MGI:2442579</v>
      </c>
      <c r="J1271" s="4" t="s">
        <v>12</v>
      </c>
    </row>
    <row r="1272" spans="1:10" x14ac:dyDescent="0.25">
      <c r="A1272" s="2">
        <v>753.23565694387003</v>
      </c>
      <c r="B1272" s="3">
        <v>0.72777793426906001</v>
      </c>
      <c r="C1272" s="5">
        <v>1.43341957555136E-24</v>
      </c>
      <c r="D1272" s="6">
        <v>2.8030119918909399E-23</v>
      </c>
      <c r="E1272" s="3" t="s">
        <v>2283</v>
      </c>
      <c r="F1272" s="3" t="s">
        <v>2284</v>
      </c>
      <c r="G1272" s="3">
        <v>22030</v>
      </c>
      <c r="H1272" s="7" t="str">
        <f>HYPERLINK("http://www.ensembl.org/Mus_musculus/Gene/Summary?db=core;g=ENSMUSG00000026942","ENSMUSG00000026942")</f>
        <v>ENSMUSG00000026942</v>
      </c>
      <c r="I1272" s="7" t="str">
        <f>HYPERLINK("http://www.informatics.jax.org/marker/MGI:101835","MGI:101835")</f>
        <v>MGI:101835</v>
      </c>
      <c r="J1272" s="4" t="s">
        <v>12</v>
      </c>
    </row>
    <row r="1273" spans="1:10" x14ac:dyDescent="0.25">
      <c r="A1273" s="2">
        <v>463.91035201447102</v>
      </c>
      <c r="B1273" s="3">
        <v>0.72770407110161395</v>
      </c>
      <c r="C1273" s="5">
        <v>3.3829500234259903E-5</v>
      </c>
      <c r="D1273" s="4">
        <v>1.5234559964650001E-4</v>
      </c>
      <c r="E1273" s="3" t="s">
        <v>9479</v>
      </c>
      <c r="F1273" s="3" t="s">
        <v>9480</v>
      </c>
      <c r="G1273" s="3">
        <v>22223</v>
      </c>
      <c r="H1273" s="7" t="str">
        <f>HYPERLINK("http://www.ensembl.org/Mus_musculus/Gene/Summary?db=core;g=ENSMUSG00000029223","ENSMUSG00000029223")</f>
        <v>ENSMUSG00000029223</v>
      </c>
      <c r="I1273" s="7" t="str">
        <f>HYPERLINK("http://www.informatics.jax.org/marker/MGI:103149","MGI:103149")</f>
        <v>MGI:103149</v>
      </c>
      <c r="J1273" s="4" t="s">
        <v>12</v>
      </c>
    </row>
    <row r="1274" spans="1:10" x14ac:dyDescent="0.25">
      <c r="A1274" s="2">
        <v>12.982343180969099</v>
      </c>
      <c r="B1274" s="3">
        <v>0.72769362865947795</v>
      </c>
      <c r="C1274" s="3">
        <v>8.1755335834548509E-3</v>
      </c>
      <c r="D1274" s="4">
        <v>2.3427531377117099E-2</v>
      </c>
      <c r="E1274" s="3" t="s">
        <v>13803</v>
      </c>
      <c r="F1274" s="3" t="s">
        <v>13804</v>
      </c>
      <c r="G1274" s="3" t="s">
        <v>83</v>
      </c>
      <c r="H1274" s="7" t="str">
        <f>HYPERLINK("http://www.ensembl.org/Mus_musculus/Gene/Summary?db=core;g=ENSMUSG00000080832","ENSMUSG00000080832")</f>
        <v>ENSMUSG00000080832</v>
      </c>
      <c r="I1274" s="7" t="str">
        <f>HYPERLINK("http://www.informatics.jax.org/marker/MGI:96905","MGI:96905")</f>
        <v>MGI:96905</v>
      </c>
      <c r="J1274" s="4" t="s">
        <v>1043</v>
      </c>
    </row>
    <row r="1275" spans="1:10" x14ac:dyDescent="0.25">
      <c r="A1275" s="2">
        <v>326.29821372669801</v>
      </c>
      <c r="B1275" s="3">
        <v>0.72757583633351797</v>
      </c>
      <c r="C1275" s="5">
        <v>2.5332382167377702E-13</v>
      </c>
      <c r="D1275" s="6">
        <v>2.6837015658329999E-12</v>
      </c>
      <c r="E1275" s="3" t="s">
        <v>5655</v>
      </c>
      <c r="F1275" s="3" t="s">
        <v>5656</v>
      </c>
      <c r="G1275" s="3">
        <v>353310</v>
      </c>
      <c r="H1275" s="7" t="str">
        <f>HYPERLINK("http://www.ensembl.org/Mus_musculus/Gene/Summary?db=core;g=ENSMUSG00000085795","ENSMUSG00000085795")</f>
        <v>ENSMUSG00000085795</v>
      </c>
      <c r="I1275" s="7" t="str">
        <f>HYPERLINK("http://www.informatics.jax.org/marker/MGI:2662729","MGI:2662729")</f>
        <v>MGI:2662729</v>
      </c>
      <c r="J1275" s="4" t="s">
        <v>12</v>
      </c>
    </row>
    <row r="1276" spans="1:10" x14ac:dyDescent="0.25">
      <c r="A1276" s="2">
        <v>2078.72846209713</v>
      </c>
      <c r="B1276" s="3">
        <v>0.72738345577512198</v>
      </c>
      <c r="C1276" s="5">
        <v>1.1368496999171999E-27</v>
      </c>
      <c r="D1276" s="6">
        <v>2.5547578028348799E-26</v>
      </c>
      <c r="E1276" s="3" t="s">
        <v>2792</v>
      </c>
      <c r="F1276" s="3" t="s">
        <v>2793</v>
      </c>
      <c r="G1276" s="3">
        <v>211401</v>
      </c>
      <c r="H1276" s="7" t="str">
        <f>HYPERLINK("http://www.ensembl.org/Mus_musculus/Gene/Summary?db=core;g=ENSMUSG00000022353","ENSMUSG00000022353")</f>
        <v>ENSMUSG00000022353</v>
      </c>
      <c r="I1276" s="7" t="str">
        <f>HYPERLINK("http://www.informatics.jax.org/marker/MGI:2384818","MGI:2384818")</f>
        <v>MGI:2384818</v>
      </c>
      <c r="J1276" s="4" t="s">
        <v>12</v>
      </c>
    </row>
    <row r="1277" spans="1:10" x14ac:dyDescent="0.25">
      <c r="A1277" s="2">
        <v>1.75864479951813</v>
      </c>
      <c r="B1277" s="3">
        <v>0.72706387477433798</v>
      </c>
      <c r="C1277" s="3">
        <v>0.112067411650783</v>
      </c>
      <c r="D1277" s="4">
        <v>0.222972552110865</v>
      </c>
      <c r="E1277" s="3" t="s">
        <v>13355</v>
      </c>
      <c r="F1277" s="3" t="s">
        <v>13356</v>
      </c>
      <c r="G1277" s="3">
        <v>545156</v>
      </c>
      <c r="H1277" s="7" t="str">
        <f>HYPERLINK("http://www.ensembl.org/Mus_musculus/Gene/Summary?db=core;g=ENSMUSG00000061751","ENSMUSG00000061751")</f>
        <v>ENSMUSG00000061751</v>
      </c>
      <c r="I1277" s="7" t="str">
        <f>HYPERLINK("http://www.informatics.jax.org/marker/MGI:2685385","MGI:2685385")</f>
        <v>MGI:2685385</v>
      </c>
      <c r="J1277" s="4" t="s">
        <v>12</v>
      </c>
    </row>
    <row r="1278" spans="1:10" x14ac:dyDescent="0.25">
      <c r="A1278" s="2">
        <v>1245.1569603994701</v>
      </c>
      <c r="B1278" s="3">
        <v>0.72585728116244597</v>
      </c>
      <c r="C1278" s="5">
        <v>1.41889153289488E-37</v>
      </c>
      <c r="D1278" s="6">
        <v>4.5129665247834502E-36</v>
      </c>
      <c r="E1278" s="3" t="s">
        <v>652</v>
      </c>
      <c r="F1278" s="3" t="s">
        <v>653</v>
      </c>
      <c r="G1278" s="3">
        <v>77987</v>
      </c>
      <c r="H1278" s="7" t="str">
        <f>HYPERLINK("http://www.ensembl.org/Mus_musculus/Gene/Summary?db=core;g=ENSMUSG00000038774","ENSMUSG00000038774")</f>
        <v>ENSMUSG00000038774</v>
      </c>
      <c r="I1278" s="7" t="str">
        <f>HYPERLINK("http://www.informatics.jax.org/marker/MGI:1925237","MGI:1925237")</f>
        <v>MGI:1925237</v>
      </c>
      <c r="J1278" s="4" t="s">
        <v>12</v>
      </c>
    </row>
    <row r="1279" spans="1:10" x14ac:dyDescent="0.25">
      <c r="A1279" s="2">
        <v>15.0840046236818</v>
      </c>
      <c r="B1279" s="3">
        <v>0.72462212811459104</v>
      </c>
      <c r="C1279" s="3">
        <v>2.4592034317733401E-2</v>
      </c>
      <c r="D1279" s="4">
        <v>6.1796927805163701E-2</v>
      </c>
      <c r="E1279" s="3" t="s">
        <v>11383</v>
      </c>
      <c r="F1279" s="3" t="s">
        <v>11384</v>
      </c>
      <c r="G1279" s="3">
        <v>70859</v>
      </c>
      <c r="H1279" s="7" t="str">
        <f>HYPERLINK("http://www.ensembl.org/Mus_musculus/Gene/Summary?db=core;g=ENSMUSG00000021997","ENSMUSG00000021997")</f>
        <v>ENSMUSG00000021997</v>
      </c>
      <c r="I1279" s="7" t="str">
        <f>HYPERLINK("http://www.informatics.jax.org/marker/MGI:1918109","MGI:1918109")</f>
        <v>MGI:1918109</v>
      </c>
      <c r="J1279" s="4" t="s">
        <v>12</v>
      </c>
    </row>
    <row r="1280" spans="1:10" x14ac:dyDescent="0.25">
      <c r="A1280" s="2">
        <v>517.03270283517497</v>
      </c>
      <c r="B1280" s="3">
        <v>0.72440399309860104</v>
      </c>
      <c r="C1280" s="5">
        <v>2.9532725164400099E-22</v>
      </c>
      <c r="D1280" s="6">
        <v>5.20032769199219E-21</v>
      </c>
      <c r="E1280" s="3" t="s">
        <v>2481</v>
      </c>
      <c r="F1280" s="3" t="s">
        <v>2482</v>
      </c>
      <c r="G1280" s="3">
        <v>319997</v>
      </c>
      <c r="H1280" s="7" t="str">
        <f>HYPERLINK("http://www.ensembl.org/Mus_musculus/Gene/Summary?db=core;g=ENSMUSG00000052760","ENSMUSG00000052760")</f>
        <v>ENSMUSG00000052760</v>
      </c>
      <c r="I1280" s="7" t="str">
        <f>HYPERLINK("http://www.informatics.jax.org/marker/MGI:2443131","MGI:2443131")</f>
        <v>MGI:2443131</v>
      </c>
      <c r="J1280" s="4" t="s">
        <v>12</v>
      </c>
    </row>
    <row r="1281" spans="1:10" x14ac:dyDescent="0.25">
      <c r="A1281" s="2">
        <v>51.485263909293103</v>
      </c>
      <c r="B1281" s="3">
        <v>0.72268982956208005</v>
      </c>
      <c r="C1281" s="3">
        <v>9.5775290527798495E-3</v>
      </c>
      <c r="D1281" s="4">
        <v>2.6957601079059899E-2</v>
      </c>
      <c r="E1281" s="3" t="s">
        <v>10226</v>
      </c>
      <c r="F1281" s="3" t="s">
        <v>10227</v>
      </c>
      <c r="G1281" s="3" t="s">
        <v>83</v>
      </c>
      <c r="H1281" s="7" t="str">
        <f>HYPERLINK("http://www.ensembl.org/Mus_musculus/Gene/Summary?db=core;g=ENSMUSG00000098986","ENSMUSG00000098986")</f>
        <v>ENSMUSG00000098986</v>
      </c>
      <c r="I1281" s="7" t="str">
        <f>HYPERLINK("http://www.informatics.jax.org/marker/MGI:5531388","MGI:5531388")</f>
        <v>MGI:5531388</v>
      </c>
      <c r="J1281" s="4" t="s">
        <v>9951</v>
      </c>
    </row>
    <row r="1282" spans="1:10" x14ac:dyDescent="0.25">
      <c r="A1282" s="2">
        <v>883.62441545253898</v>
      </c>
      <c r="B1282" s="3">
        <v>0.72252027500690397</v>
      </c>
      <c r="C1282" s="5">
        <v>8.3925768775748807E-9</v>
      </c>
      <c r="D1282" s="6">
        <v>5.8987548628539197E-8</v>
      </c>
      <c r="E1282" s="3" t="s">
        <v>2581</v>
      </c>
      <c r="F1282" s="3" t="s">
        <v>2582</v>
      </c>
      <c r="G1282" s="3">
        <v>22695</v>
      </c>
      <c r="H1282" s="7" t="str">
        <f>HYPERLINK("http://www.ensembl.org/Mus_musculus/Gene/Summary?db=core;g=ENSMUSG00000044786","ENSMUSG00000044786")</f>
        <v>ENSMUSG00000044786</v>
      </c>
      <c r="I1282" s="7" t="str">
        <f>HYPERLINK("http://www.informatics.jax.org/marker/MGI:99180","MGI:99180")</f>
        <v>MGI:99180</v>
      </c>
      <c r="J1282" s="4" t="s">
        <v>12</v>
      </c>
    </row>
    <row r="1283" spans="1:10" x14ac:dyDescent="0.25">
      <c r="A1283" s="2">
        <v>253.28785235901299</v>
      </c>
      <c r="B1283" s="3">
        <v>0.72195165779064796</v>
      </c>
      <c r="C1283" s="5">
        <v>7.7422122812806405E-10</v>
      </c>
      <c r="D1283" s="6">
        <v>6.1135970028743301E-9</v>
      </c>
      <c r="E1283" s="3" t="s">
        <v>7926</v>
      </c>
      <c r="F1283" s="3" t="s">
        <v>7927</v>
      </c>
      <c r="G1283" s="3">
        <v>229055</v>
      </c>
      <c r="H1283" s="7" t="str">
        <f>HYPERLINK("http://www.ensembl.org/Mus_musculus/Gene/Summary?db=core;g=ENSMUSG00000069114","ENSMUSG00000069114")</f>
        <v>ENSMUSG00000069114</v>
      </c>
      <c r="I1283" s="7" t="str">
        <f>HYPERLINK("http://www.informatics.jax.org/marker/MGI:2139883","MGI:2139883")</f>
        <v>MGI:2139883</v>
      </c>
      <c r="J1283" s="4" t="s">
        <v>12</v>
      </c>
    </row>
    <row r="1284" spans="1:10" x14ac:dyDescent="0.25">
      <c r="A1284" s="2">
        <v>255.05151515077</v>
      </c>
      <c r="B1284" s="3">
        <v>0.72065070705948198</v>
      </c>
      <c r="C1284" s="5">
        <v>1.25106563209149E-6</v>
      </c>
      <c r="D1284" s="6">
        <v>6.8884202854584098E-6</v>
      </c>
      <c r="E1284" s="3" t="s">
        <v>11917</v>
      </c>
      <c r="F1284" s="3" t="s">
        <v>11918</v>
      </c>
      <c r="G1284" s="3" t="s">
        <v>83</v>
      </c>
      <c r="H1284" s="7" t="str">
        <f>HYPERLINK("http://www.ensembl.org/Mus_musculus/Gene/Summary?db=core;g=ENSMUSG00000100157","ENSMUSG00000100157")</f>
        <v>ENSMUSG00000100157</v>
      </c>
      <c r="I1284" s="7" t="str">
        <f>HYPERLINK("http://www.informatics.jax.org/marker/MGI:1916821","MGI:1916821")</f>
        <v>MGI:1916821</v>
      </c>
      <c r="J1284" s="4" t="s">
        <v>939</v>
      </c>
    </row>
    <row r="1285" spans="1:10" x14ac:dyDescent="0.25">
      <c r="A1285" s="2">
        <v>49.794410263252402</v>
      </c>
      <c r="B1285" s="3">
        <v>0.72050820026602702</v>
      </c>
      <c r="C1285" s="5">
        <v>1.5914726749633801E-5</v>
      </c>
      <c r="D1285" s="6">
        <v>7.5454187047886497E-5</v>
      </c>
      <c r="E1285" s="3" t="s">
        <v>10296</v>
      </c>
      <c r="F1285" s="3" t="s">
        <v>10297</v>
      </c>
      <c r="G1285" s="3" t="s">
        <v>83</v>
      </c>
      <c r="H1285" s="7" t="str">
        <f>HYPERLINK("http://www.ensembl.org/Mus_musculus/Gene/Summary?db=core;g=ENSMUSG00000056687","ENSMUSG00000056687")</f>
        <v>ENSMUSG00000056687</v>
      </c>
      <c r="I1285" s="7" t="str">
        <f>HYPERLINK("http://www.informatics.jax.org/marker/MGI:3701776","MGI:3701776")</f>
        <v>MGI:3701776</v>
      </c>
      <c r="J1285" s="4" t="s">
        <v>932</v>
      </c>
    </row>
    <row r="1286" spans="1:10" x14ac:dyDescent="0.25">
      <c r="A1286" s="2">
        <v>542.61725335582696</v>
      </c>
      <c r="B1286" s="3">
        <v>0.72042382459385401</v>
      </c>
      <c r="C1286" s="5">
        <v>4.76399953272608E-11</v>
      </c>
      <c r="D1286" s="6">
        <v>4.1984473638265402E-10</v>
      </c>
      <c r="E1286" s="3" t="s">
        <v>2459</v>
      </c>
      <c r="F1286" s="3" t="s">
        <v>2460</v>
      </c>
      <c r="G1286" s="3">
        <v>108100</v>
      </c>
      <c r="H1286" s="7" t="str">
        <f>HYPERLINK("http://www.ensembl.org/Mus_musculus/Gene/Summary?db=core;g=ENSMUSG00000025372","ENSMUSG00000025372")</f>
        <v>ENSMUSG00000025372</v>
      </c>
      <c r="I1286" s="7" t="str">
        <f>HYPERLINK("http://www.informatics.jax.org/marker/MGI:2137336","MGI:2137336")</f>
        <v>MGI:2137336</v>
      </c>
      <c r="J1286" s="4" t="s">
        <v>12</v>
      </c>
    </row>
    <row r="1287" spans="1:10" x14ac:dyDescent="0.25">
      <c r="A1287" s="2">
        <v>1266.67870297633</v>
      </c>
      <c r="B1287" s="3">
        <v>0.72008151099320905</v>
      </c>
      <c r="C1287" s="5">
        <v>7.3197745228783194E-5</v>
      </c>
      <c r="D1287" s="4">
        <v>3.1219960374317198E-4</v>
      </c>
      <c r="E1287" s="3" t="s">
        <v>11181</v>
      </c>
      <c r="F1287" s="3" t="s">
        <v>11182</v>
      </c>
      <c r="G1287" s="3">
        <v>16414</v>
      </c>
      <c r="H1287" s="7" t="str">
        <f>HYPERLINK("http://www.ensembl.org/Mus_musculus/Gene/Summary?db=core;g=ENSMUSG00000000290","ENSMUSG00000000290")</f>
        <v>ENSMUSG00000000290</v>
      </c>
      <c r="I1287" s="7" t="str">
        <f>HYPERLINK("http://www.informatics.jax.org/marker/MGI:96611","MGI:96611")</f>
        <v>MGI:96611</v>
      </c>
      <c r="J1287" s="4" t="s">
        <v>12</v>
      </c>
    </row>
    <row r="1288" spans="1:10" x14ac:dyDescent="0.25">
      <c r="A1288" s="2">
        <v>26.889633270057999</v>
      </c>
      <c r="B1288" s="3">
        <v>0.71999894548784305</v>
      </c>
      <c r="C1288" s="3">
        <v>3.59435264663684E-4</v>
      </c>
      <c r="D1288" s="4">
        <v>1.3644465108301699E-3</v>
      </c>
      <c r="E1288" s="3" t="s">
        <v>13475</v>
      </c>
      <c r="F1288" s="3" t="s">
        <v>13476</v>
      </c>
      <c r="G1288" s="3" t="s">
        <v>83</v>
      </c>
      <c r="H1288" s="7" t="str">
        <f>HYPERLINK("http://www.ensembl.org/Mus_musculus/Gene/Summary?db=core;g=ENSMUSG00000064437","ENSMUSG00000064437")</f>
        <v>ENSMUSG00000064437</v>
      </c>
      <c r="I1288" s="7" t="str">
        <f>HYPERLINK("http://www.informatics.jax.org/marker/MGI:3819539","MGI:3819539")</f>
        <v>MGI:3819539</v>
      </c>
      <c r="J1288" s="4" t="s">
        <v>11100</v>
      </c>
    </row>
    <row r="1289" spans="1:10" x14ac:dyDescent="0.25">
      <c r="A1289" s="2">
        <v>1117.77933180523</v>
      </c>
      <c r="B1289" s="3">
        <v>0.71843170702395798</v>
      </c>
      <c r="C1289" s="5">
        <v>1.7293350095284699E-6</v>
      </c>
      <c r="D1289" s="6">
        <v>9.3467172445600193E-6</v>
      </c>
      <c r="E1289" s="3" t="s">
        <v>2942</v>
      </c>
      <c r="F1289" s="3" t="s">
        <v>2943</v>
      </c>
      <c r="G1289" s="3">
        <v>240354</v>
      </c>
      <c r="H1289" s="7" t="str">
        <f>HYPERLINK("http://www.ensembl.org/Mus_musculus/Gene/Summary?db=core;g=ENSMUSG00000032688","ENSMUSG00000032688")</f>
        <v>ENSMUSG00000032688</v>
      </c>
      <c r="I1289" s="7" t="str">
        <f>HYPERLINK("http://www.informatics.jax.org/marker/MGI:2445027","MGI:2445027")</f>
        <v>MGI:2445027</v>
      </c>
      <c r="J1289" s="4" t="s">
        <v>12</v>
      </c>
    </row>
    <row r="1290" spans="1:10" x14ac:dyDescent="0.25">
      <c r="A1290" s="2">
        <v>4667.3366195130102</v>
      </c>
      <c r="B1290" s="3">
        <v>0.71828382331368401</v>
      </c>
      <c r="C1290" s="5">
        <v>6.4996985277054305E-7</v>
      </c>
      <c r="D1290" s="6">
        <v>3.68565667913601E-6</v>
      </c>
      <c r="E1290" s="3" t="s">
        <v>8775</v>
      </c>
      <c r="F1290" s="3" t="s">
        <v>8776</v>
      </c>
      <c r="G1290" s="3">
        <v>11911</v>
      </c>
      <c r="H1290" s="7" t="str">
        <f>HYPERLINK("http://www.ensembl.org/Mus_musculus/Gene/Summary?db=core;g=ENSMUSG00000042406","ENSMUSG00000042406")</f>
        <v>ENSMUSG00000042406</v>
      </c>
      <c r="I1290" s="7" t="str">
        <f>HYPERLINK("http://www.informatics.jax.org/marker/MGI:88096","MGI:88096")</f>
        <v>MGI:88096</v>
      </c>
      <c r="J1290" s="4" t="s">
        <v>12</v>
      </c>
    </row>
    <row r="1291" spans="1:10" x14ac:dyDescent="0.25">
      <c r="A1291" s="2">
        <v>679.22556358941699</v>
      </c>
      <c r="B1291" s="3">
        <v>0.71798636759831003</v>
      </c>
      <c r="C1291" s="5">
        <v>1.3100888426910299E-15</v>
      </c>
      <c r="D1291" s="6">
        <v>1.59815054605381E-14</v>
      </c>
      <c r="E1291" s="3" t="s">
        <v>1482</v>
      </c>
      <c r="F1291" s="3" t="s">
        <v>1483</v>
      </c>
      <c r="G1291" s="3">
        <v>66282</v>
      </c>
      <c r="H1291" s="7" t="str">
        <f>HYPERLINK("http://www.ensembl.org/Mus_musculus/Gene/Summary?db=core;g=ENSMUSG00000025591","ENSMUSG00000025591")</f>
        <v>ENSMUSG00000025591</v>
      </c>
      <c r="I1291" s="7" t="str">
        <f>HYPERLINK("http://www.informatics.jax.org/marker/MGI:1913532","MGI:1913532")</f>
        <v>MGI:1913532</v>
      </c>
      <c r="J1291" s="4" t="s">
        <v>12</v>
      </c>
    </row>
    <row r="1292" spans="1:10" x14ac:dyDescent="0.25">
      <c r="A1292" s="2">
        <v>32.208111116693203</v>
      </c>
      <c r="B1292" s="3">
        <v>0.717545438304665</v>
      </c>
      <c r="C1292" s="3">
        <v>1.5318344418562899E-4</v>
      </c>
      <c r="D1292" s="4">
        <v>6.20530844695064E-4</v>
      </c>
      <c r="E1292" s="3" t="s">
        <v>8547</v>
      </c>
      <c r="F1292" s="3" t="s">
        <v>8548</v>
      </c>
      <c r="G1292" s="3" t="s">
        <v>83</v>
      </c>
      <c r="H1292" s="7" t="str">
        <f>HYPERLINK("http://www.ensembl.org/Mus_musculus/Gene/Summary?db=core;g=ENSMUSG00000079575","ENSMUSG00000079575")</f>
        <v>ENSMUSG00000079575</v>
      </c>
      <c r="I1292" s="7" t="str">
        <f>HYPERLINK("http://www.informatics.jax.org/marker/MGI:96525","MGI:96525")</f>
        <v>MGI:96525</v>
      </c>
      <c r="J1292" s="4" t="s">
        <v>1043</v>
      </c>
    </row>
    <row r="1293" spans="1:10" x14ac:dyDescent="0.25">
      <c r="A1293" s="2">
        <v>32.427894299107599</v>
      </c>
      <c r="B1293" s="3">
        <v>0.71670290879560905</v>
      </c>
      <c r="C1293" s="3">
        <v>4.7076457202791601E-4</v>
      </c>
      <c r="D1293" s="4">
        <v>1.75669212227862E-3</v>
      </c>
      <c r="E1293" s="3" t="s">
        <v>9503</v>
      </c>
      <c r="F1293" s="3" t="s">
        <v>9504</v>
      </c>
      <c r="G1293" s="3" t="s">
        <v>83</v>
      </c>
      <c r="H1293" s="7" t="str">
        <f>HYPERLINK("http://www.ensembl.org/Mus_musculus/Gene/Summary?db=core;g=ENSMUSG00000109812","ENSMUSG00000109812")</f>
        <v>ENSMUSG00000109812</v>
      </c>
      <c r="I1293" s="7" t="str">
        <f>HYPERLINK("http://www.informatics.jax.org/marker/MGI:5791476","MGI:5791476")</f>
        <v>MGI:5791476</v>
      </c>
      <c r="J1293" s="4" t="s">
        <v>1828</v>
      </c>
    </row>
    <row r="1294" spans="1:10" x14ac:dyDescent="0.25">
      <c r="A1294" s="2">
        <v>6.6958322406695503</v>
      </c>
      <c r="B1294" s="3">
        <v>0.71556009098413398</v>
      </c>
      <c r="C1294" s="3">
        <v>6.7733659385651096E-2</v>
      </c>
      <c r="D1294" s="4">
        <v>0.14730858500041699</v>
      </c>
      <c r="E1294" s="3" t="s">
        <v>12051</v>
      </c>
      <c r="F1294" s="3" t="s">
        <v>12052</v>
      </c>
      <c r="G1294" s="3" t="s">
        <v>83</v>
      </c>
      <c r="H1294" s="7" t="str">
        <f>HYPERLINK("http://www.ensembl.org/Mus_musculus/Gene/Summary?db=core;g=ENSMUSG00000107216","ENSMUSG00000107216")</f>
        <v>ENSMUSG00000107216</v>
      </c>
      <c r="I1294" s="7" t="str">
        <f>HYPERLINK("http://www.informatics.jax.org/marker/MGI:1919625","MGI:1919625")</f>
        <v>MGI:1919625</v>
      </c>
      <c r="J1294" s="4" t="s">
        <v>1828</v>
      </c>
    </row>
    <row r="1295" spans="1:10" x14ac:dyDescent="0.25">
      <c r="A1295" s="2">
        <v>2681.63805279911</v>
      </c>
      <c r="B1295" s="3">
        <v>0.71514563104320195</v>
      </c>
      <c r="C1295" s="5">
        <v>5.5827160558847897E-35</v>
      </c>
      <c r="D1295" s="6">
        <v>1.6331460693178199E-33</v>
      </c>
      <c r="E1295" s="3" t="s">
        <v>1452</v>
      </c>
      <c r="F1295" s="3" t="s">
        <v>1453</v>
      </c>
      <c r="G1295" s="3">
        <v>237782</v>
      </c>
      <c r="H1295" s="7" t="str">
        <f>HYPERLINK("http://www.ensembl.org/Mus_musculus/Gene/Summary?db=core;g=ENSMUSG00000049323","ENSMUSG00000049323")</f>
        <v>ENSMUSG00000049323</v>
      </c>
      <c r="I1295" s="7" t="str">
        <f>HYPERLINK("http://www.informatics.jax.org/marker/MGI:2444720","MGI:2444720")</f>
        <v>MGI:2444720</v>
      </c>
      <c r="J1295" s="4" t="s">
        <v>12</v>
      </c>
    </row>
    <row r="1296" spans="1:10" x14ac:dyDescent="0.25">
      <c r="A1296" s="2">
        <v>44.0698697382674</v>
      </c>
      <c r="B1296" s="3">
        <v>0.71491755488074105</v>
      </c>
      <c r="C1296" s="3">
        <v>2.96887329878797E-3</v>
      </c>
      <c r="D1296" s="4">
        <v>9.4198669690826603E-3</v>
      </c>
      <c r="E1296" s="3" t="s">
        <v>13501</v>
      </c>
      <c r="F1296" s="3" t="s">
        <v>13502</v>
      </c>
      <c r="G1296" s="3">
        <v>67426</v>
      </c>
      <c r="H1296" s="7" t="str">
        <f>HYPERLINK("http://www.ensembl.org/Mus_musculus/Gene/Summary?db=core;g=ENSMUSG00000026489","ENSMUSG00000026489")</f>
        <v>ENSMUSG00000026489</v>
      </c>
      <c r="I1296" s="7" t="str">
        <f>HYPERLINK("http://www.informatics.jax.org/marker/MGI:1914676","MGI:1914676")</f>
        <v>MGI:1914676</v>
      </c>
      <c r="J1296" s="4" t="s">
        <v>12</v>
      </c>
    </row>
    <row r="1297" spans="1:10" x14ac:dyDescent="0.25">
      <c r="A1297" s="2">
        <v>4983.8728398879703</v>
      </c>
      <c r="B1297" s="3">
        <v>0.71342476104921204</v>
      </c>
      <c r="C1297" s="5">
        <v>4.1402446767371104E-12</v>
      </c>
      <c r="D1297" s="6">
        <v>3.9713662754491501E-11</v>
      </c>
      <c r="E1297" s="3" t="s">
        <v>6740</v>
      </c>
      <c r="F1297" s="3" t="s">
        <v>6741</v>
      </c>
      <c r="G1297" s="3">
        <v>19280</v>
      </c>
      <c r="H1297" s="7" t="str">
        <f>HYPERLINK("http://www.ensembl.org/Mus_musculus/Gene/Summary?db=core;g=ENSMUSG00000013236","ENSMUSG00000013236")</f>
        <v>ENSMUSG00000013236</v>
      </c>
      <c r="I1297" s="7" t="str">
        <f>HYPERLINK("http://www.informatics.jax.org/marker/MGI:97815","MGI:97815")</f>
        <v>MGI:97815</v>
      </c>
      <c r="J1297" s="4" t="s">
        <v>12</v>
      </c>
    </row>
    <row r="1298" spans="1:10" x14ac:dyDescent="0.25">
      <c r="A1298" s="2">
        <v>20.623519179617698</v>
      </c>
      <c r="B1298" s="3">
        <v>0.71331466425012402</v>
      </c>
      <c r="C1298" s="3">
        <v>5.5839071978264097E-3</v>
      </c>
      <c r="D1298" s="4">
        <v>1.6585187203452801E-2</v>
      </c>
      <c r="E1298" s="3" t="s">
        <v>13621</v>
      </c>
      <c r="F1298" s="3" t="s">
        <v>13622</v>
      </c>
      <c r="G1298" s="3" t="s">
        <v>83</v>
      </c>
      <c r="H1298" s="7" t="str">
        <f>HYPERLINK("http://www.ensembl.org/Mus_musculus/Gene/Summary?db=core;g=ENSMUSG00000097787","ENSMUSG00000097787")</f>
        <v>ENSMUSG00000097787</v>
      </c>
      <c r="I1298" s="7" t="str">
        <f>HYPERLINK("http://www.informatics.jax.org/marker/MGI:1914438","MGI:1914438")</f>
        <v>MGI:1914438</v>
      </c>
      <c r="J1298" s="4" t="s">
        <v>3187</v>
      </c>
    </row>
    <row r="1299" spans="1:10" x14ac:dyDescent="0.25">
      <c r="A1299" s="2">
        <v>13354.5583871697</v>
      </c>
      <c r="B1299" s="3">
        <v>0.71283166429310296</v>
      </c>
      <c r="C1299" s="5">
        <v>1.3320687899574999E-15</v>
      </c>
      <c r="D1299" s="6">
        <v>1.62387650146993E-14</v>
      </c>
      <c r="E1299" s="3" t="s">
        <v>3852</v>
      </c>
      <c r="F1299" s="3" t="s">
        <v>3853</v>
      </c>
      <c r="G1299" s="3">
        <v>192176</v>
      </c>
      <c r="H1299" s="7" t="str">
        <f>HYPERLINK("http://www.ensembl.org/Mus_musculus/Gene/Summary?db=core;g=ENSMUSG00000031328","ENSMUSG00000031328")</f>
        <v>ENSMUSG00000031328</v>
      </c>
      <c r="I1299" s="7" t="str">
        <f>HYPERLINK("http://www.informatics.jax.org/marker/MGI:95556","MGI:95556")</f>
        <v>MGI:95556</v>
      </c>
      <c r="J1299" s="4" t="s">
        <v>12</v>
      </c>
    </row>
    <row r="1300" spans="1:10" x14ac:dyDescent="0.25">
      <c r="A1300" s="2">
        <v>415.67818543952598</v>
      </c>
      <c r="B1300" s="3">
        <v>0.71279235626793103</v>
      </c>
      <c r="C1300" s="5">
        <v>2.2652070891572799E-9</v>
      </c>
      <c r="D1300" s="6">
        <v>1.6912494551368899E-8</v>
      </c>
      <c r="E1300" s="3" t="s">
        <v>13507</v>
      </c>
      <c r="F1300" s="3" t="s">
        <v>13508</v>
      </c>
      <c r="G1300" s="3">
        <v>229521</v>
      </c>
      <c r="H1300" s="7" t="str">
        <f>HYPERLINK("http://www.ensembl.org/Mus_musculus/Gene/Summary?db=core;g=ENSMUSG00000068923","ENSMUSG00000068923")</f>
        <v>ENSMUSG00000068923</v>
      </c>
      <c r="I1300" s="7" t="str">
        <f>HYPERLINK("http://www.informatics.jax.org/marker/MGI:1859547","MGI:1859547")</f>
        <v>MGI:1859547</v>
      </c>
      <c r="J1300" s="4" t="s">
        <v>12</v>
      </c>
    </row>
    <row r="1301" spans="1:10" x14ac:dyDescent="0.25">
      <c r="A1301" s="2">
        <v>1322.6076194678999</v>
      </c>
      <c r="B1301" s="3">
        <v>0.70995856818814795</v>
      </c>
      <c r="C1301" s="5">
        <v>5.2357932184580802E-24</v>
      </c>
      <c r="D1301" s="6">
        <v>9.9501909704273704E-23</v>
      </c>
      <c r="E1301" s="3" t="s">
        <v>1798</v>
      </c>
      <c r="F1301" s="3" t="s">
        <v>1799</v>
      </c>
      <c r="G1301" s="3">
        <v>230674</v>
      </c>
      <c r="H1301" s="7" t="str">
        <f>HYPERLINK("http://www.ensembl.org/Mus_musculus/Gene/Summary?db=core;g=ENSMUSG00000033326","ENSMUSG00000033326")</f>
        <v>ENSMUSG00000033326</v>
      </c>
      <c r="I1301" s="7" t="str">
        <f>HYPERLINK("http://www.informatics.jax.org/marker/MGI:2446210","MGI:2446210")</f>
        <v>MGI:2446210</v>
      </c>
      <c r="J1301" s="4" t="s">
        <v>12</v>
      </c>
    </row>
    <row r="1302" spans="1:10" x14ac:dyDescent="0.25">
      <c r="A1302" s="2">
        <v>321.07073904293298</v>
      </c>
      <c r="B1302" s="3">
        <v>0.708729985693766</v>
      </c>
      <c r="C1302" s="5">
        <v>3.3219989696179101E-8</v>
      </c>
      <c r="D1302" s="6">
        <v>2.1841064654143701E-7</v>
      </c>
      <c r="E1302" s="3" t="s">
        <v>8539</v>
      </c>
      <c r="F1302" s="3" t="s">
        <v>8540</v>
      </c>
      <c r="G1302" s="3">
        <v>15468</v>
      </c>
      <c r="H1302" s="7" t="str">
        <f>HYPERLINK("http://www.ensembl.org/Mus_musculus/Gene/Summary?db=core;g=ENSMUSG00000020230","ENSMUSG00000020230")</f>
        <v>ENSMUSG00000020230</v>
      </c>
      <c r="I1302" s="7" t="str">
        <f>HYPERLINK("http://www.informatics.jax.org/marker/MGI:1316652","MGI:1316652")</f>
        <v>MGI:1316652</v>
      </c>
      <c r="J1302" s="4" t="s">
        <v>12</v>
      </c>
    </row>
    <row r="1303" spans="1:10" x14ac:dyDescent="0.25">
      <c r="A1303" s="2">
        <v>2.0743388446536799</v>
      </c>
      <c r="B1303" s="3">
        <v>0.70848188266662804</v>
      </c>
      <c r="C1303" s="3">
        <v>0.13186138907155401</v>
      </c>
      <c r="D1303" s="4">
        <v>0.25497865419937099</v>
      </c>
      <c r="E1303" s="3" t="s">
        <v>11323</v>
      </c>
      <c r="F1303" s="3" t="s">
        <v>11324</v>
      </c>
      <c r="G1303" s="3" t="s">
        <v>83</v>
      </c>
      <c r="H1303" s="7" t="str">
        <f>HYPERLINK("http://www.ensembl.org/Mus_musculus/Gene/Summary?db=core;g=ENSMUSG00000101731","ENSMUSG00000101731")</f>
        <v>ENSMUSG00000101731</v>
      </c>
      <c r="I1303" s="7" t="str">
        <f>HYPERLINK("http://www.informatics.jax.org/marker/MGI:2443278","MGI:2443278")</f>
        <v>MGI:2443278</v>
      </c>
      <c r="J1303" s="4" t="s">
        <v>939</v>
      </c>
    </row>
    <row r="1304" spans="1:10" x14ac:dyDescent="0.25">
      <c r="A1304" s="2">
        <v>2138.6166288743898</v>
      </c>
      <c r="B1304" s="3">
        <v>0.70846153547534396</v>
      </c>
      <c r="C1304" s="5">
        <v>2.4260907928630101E-36</v>
      </c>
      <c r="D1304" s="6">
        <v>7.3815533722751703E-35</v>
      </c>
      <c r="E1304" s="3" t="s">
        <v>376</v>
      </c>
      <c r="F1304" s="3" t="s">
        <v>377</v>
      </c>
      <c r="G1304" s="3">
        <v>66552</v>
      </c>
      <c r="H1304" s="7" t="str">
        <f>HYPERLINK("http://www.ensembl.org/Mus_musculus/Gene/Summary?db=core;g=ENSMUSG00000027366","ENSMUSG00000027366")</f>
        <v>ENSMUSG00000027366</v>
      </c>
      <c r="I1304" s="7" t="str">
        <f>HYPERLINK("http://www.informatics.jax.org/marker/MGI:1913802","MGI:1913802")</f>
        <v>MGI:1913802</v>
      </c>
      <c r="J1304" s="4" t="s">
        <v>12</v>
      </c>
    </row>
    <row r="1305" spans="1:10" x14ac:dyDescent="0.25">
      <c r="A1305" s="2">
        <v>427.91910468309197</v>
      </c>
      <c r="B1305" s="3">
        <v>0.70828825693192898</v>
      </c>
      <c r="C1305" s="5">
        <v>1.05955266538951E-21</v>
      </c>
      <c r="D1305" s="6">
        <v>1.8080849556857501E-20</v>
      </c>
      <c r="E1305" s="3" t="s">
        <v>2099</v>
      </c>
      <c r="F1305" s="3" t="s">
        <v>2100</v>
      </c>
      <c r="G1305" s="3" t="s">
        <v>83</v>
      </c>
      <c r="H1305" s="7" t="str">
        <f>HYPERLINK("http://www.ensembl.org/Mus_musculus/Gene/Summary?db=core;g=ENSMUSG00000099329","ENSMUSG00000099329")</f>
        <v>ENSMUSG00000099329</v>
      </c>
      <c r="I1305" s="7" t="str">
        <f>HYPERLINK("http://www.informatics.jax.org/marker/MGI:5547788","MGI:5547788")</f>
        <v>MGI:5547788</v>
      </c>
      <c r="J1305" s="4" t="s">
        <v>331</v>
      </c>
    </row>
    <row r="1306" spans="1:10" x14ac:dyDescent="0.25">
      <c r="A1306" s="2">
        <v>1434.60220853961</v>
      </c>
      <c r="B1306" s="3">
        <v>0.70782828226392802</v>
      </c>
      <c r="C1306" s="5">
        <v>2.6219016504544199E-18</v>
      </c>
      <c r="D1306" s="6">
        <v>3.7714410086449703E-17</v>
      </c>
      <c r="E1306" s="3" t="s">
        <v>788</v>
      </c>
      <c r="F1306" s="3" t="s">
        <v>789</v>
      </c>
      <c r="G1306" s="3">
        <v>67245</v>
      </c>
      <c r="H1306" s="7" t="str">
        <f>HYPERLINK("http://www.ensembl.org/Mus_musculus/Gene/Summary?db=core;g=ENSMUSG00000020134","ENSMUSG00000020134")</f>
        <v>ENSMUSG00000020134</v>
      </c>
      <c r="I1306" s="7" t="str">
        <f>HYPERLINK("http://www.informatics.jax.org/marker/MGI:1914495","MGI:1914495")</f>
        <v>MGI:1914495</v>
      </c>
      <c r="J1306" s="4" t="s">
        <v>12</v>
      </c>
    </row>
    <row r="1307" spans="1:10" x14ac:dyDescent="0.25">
      <c r="A1307" s="2">
        <v>750.44263034657899</v>
      </c>
      <c r="B1307" s="3">
        <v>0.70753366331352296</v>
      </c>
      <c r="C1307" s="5">
        <v>7.7182130999944595E-29</v>
      </c>
      <c r="D1307" s="6">
        <v>1.8150249515793399E-27</v>
      </c>
      <c r="E1307" s="3" t="s">
        <v>1602</v>
      </c>
      <c r="F1307" s="3" t="s">
        <v>1603</v>
      </c>
      <c r="G1307" s="3">
        <v>76497</v>
      </c>
      <c r="H1307" s="7" t="str">
        <f>HYPERLINK("http://www.ensembl.org/Mus_musculus/Gene/Summary?db=core;g=ENSMUSG00000036398","ENSMUSG00000036398")</f>
        <v>ENSMUSG00000036398</v>
      </c>
      <c r="I1307" s="7" t="str">
        <f>HYPERLINK("http://www.informatics.jax.org/marker/MGI:1923747","MGI:1923747")</f>
        <v>MGI:1923747</v>
      </c>
      <c r="J1307" s="4" t="s">
        <v>12</v>
      </c>
    </row>
    <row r="1308" spans="1:10" x14ac:dyDescent="0.25">
      <c r="A1308" s="2">
        <v>854.71750759718896</v>
      </c>
      <c r="B1308" s="3">
        <v>0.70641440894440499</v>
      </c>
      <c r="C1308" s="5">
        <v>2.96224553466477E-15</v>
      </c>
      <c r="D1308" s="6">
        <v>3.5225245127784299E-14</v>
      </c>
      <c r="E1308" s="3" t="s">
        <v>1432</v>
      </c>
      <c r="F1308" s="3" t="s">
        <v>1433</v>
      </c>
      <c r="G1308" s="3">
        <v>320292</v>
      </c>
      <c r="H1308" s="7" t="str">
        <f>HYPERLINK("http://www.ensembl.org/Mus_musculus/Gene/Summary?db=core;g=ENSMUSG00000089809","ENSMUSG00000089809")</f>
        <v>ENSMUSG00000089809</v>
      </c>
      <c r="I1308" s="7" t="str">
        <f>HYPERLINK("http://www.informatics.jax.org/marker/MGI:2443755","MGI:2443755")</f>
        <v>MGI:2443755</v>
      </c>
      <c r="J1308" s="4" t="s">
        <v>12</v>
      </c>
    </row>
    <row r="1309" spans="1:10" x14ac:dyDescent="0.25">
      <c r="A1309" s="2">
        <v>263.61460878869099</v>
      </c>
      <c r="B1309" s="3">
        <v>0.70619956994087096</v>
      </c>
      <c r="C1309" s="5">
        <v>1.8345766027048601E-12</v>
      </c>
      <c r="D1309" s="6">
        <v>1.8171281839291299E-11</v>
      </c>
      <c r="E1309" s="3" t="s">
        <v>11797</v>
      </c>
      <c r="F1309" s="3" t="s">
        <v>11798</v>
      </c>
      <c r="G1309" s="3">
        <v>269037</v>
      </c>
      <c r="H1309" s="7" t="str">
        <f>HYPERLINK("http://www.ensembl.org/Mus_musculus/Gene/Summary?db=core;g=ENSMUSG00000052928","ENSMUSG00000052928")</f>
        <v>ENSMUSG00000052928</v>
      </c>
      <c r="I1309" s="7" t="str">
        <f>HYPERLINK("http://www.informatics.jax.org/marker/MGI:2685518","MGI:2685518")</f>
        <v>MGI:2685518</v>
      </c>
      <c r="J1309" s="4" t="s">
        <v>12</v>
      </c>
    </row>
    <row r="1310" spans="1:10" x14ac:dyDescent="0.25">
      <c r="A1310" s="2">
        <v>1264.5923777217699</v>
      </c>
      <c r="B1310" s="3">
        <v>0.70604996185805502</v>
      </c>
      <c r="C1310" s="5">
        <v>5.62910018550166E-30</v>
      </c>
      <c r="D1310" s="6">
        <v>1.39199933352466E-28</v>
      </c>
      <c r="E1310" s="3" t="s">
        <v>4273</v>
      </c>
      <c r="F1310" s="3" t="s">
        <v>4274</v>
      </c>
      <c r="G1310" s="3">
        <v>21873</v>
      </c>
      <c r="H1310" s="7" t="str">
        <f>HYPERLINK("http://www.ensembl.org/Mus_musculus/Gene/Summary?db=core;g=ENSMUSG00000024812","ENSMUSG00000024812")</f>
        <v>ENSMUSG00000024812</v>
      </c>
      <c r="I1310" s="7" t="str">
        <f>HYPERLINK("http://www.informatics.jax.org/marker/MGI:1341872","MGI:1341872")</f>
        <v>MGI:1341872</v>
      </c>
      <c r="J1310" s="4" t="s">
        <v>12</v>
      </c>
    </row>
    <row r="1311" spans="1:10" x14ac:dyDescent="0.25">
      <c r="A1311" s="2">
        <v>1793.2442030263901</v>
      </c>
      <c r="B1311" s="3">
        <v>0.70561358393338303</v>
      </c>
      <c r="C1311" s="5">
        <v>3.94557468351872E-17</v>
      </c>
      <c r="D1311" s="6">
        <v>5.2795960798185604E-16</v>
      </c>
      <c r="E1311" s="3" t="s">
        <v>2135</v>
      </c>
      <c r="F1311" s="3" t="s">
        <v>2136</v>
      </c>
      <c r="G1311" s="3">
        <v>17060</v>
      </c>
      <c r="H1311" s="7" t="str">
        <f>HYPERLINK("http://www.ensembl.org/Mus_musculus/Gene/Summary?db=core;g=ENSMUSG00000061132","ENSMUSG00000061132")</f>
        <v>ENSMUSG00000061132</v>
      </c>
      <c r="I1311" s="7" t="str">
        <f>HYPERLINK("http://www.informatics.jax.org/marker/MGI:96878","MGI:96878")</f>
        <v>MGI:96878</v>
      </c>
      <c r="J1311" s="4" t="s">
        <v>12</v>
      </c>
    </row>
    <row r="1312" spans="1:10" x14ac:dyDescent="0.25">
      <c r="A1312" s="2">
        <v>5742.0347986132001</v>
      </c>
      <c r="B1312" s="3">
        <v>0.70513290902122905</v>
      </c>
      <c r="C1312" s="5">
        <v>9.3954300338546194E-22</v>
      </c>
      <c r="D1312" s="6">
        <v>1.6063012417167E-20</v>
      </c>
      <c r="E1312" s="3" t="s">
        <v>1907</v>
      </c>
      <c r="F1312" s="3" t="s">
        <v>1908</v>
      </c>
      <c r="G1312" s="3">
        <v>59027</v>
      </c>
      <c r="H1312" s="7" t="str">
        <f>HYPERLINK("http://www.ensembl.org/Mus_musculus/Gene/Summary?db=core;g=ENSMUSG00000020572","ENSMUSG00000020572")</f>
        <v>ENSMUSG00000020572</v>
      </c>
      <c r="I1312" s="7" t="str">
        <f>HYPERLINK("http://www.informatics.jax.org/marker/MGI:1929865","MGI:1929865")</f>
        <v>MGI:1929865</v>
      </c>
      <c r="J1312" s="4" t="s">
        <v>12</v>
      </c>
    </row>
    <row r="1313" spans="1:10" x14ac:dyDescent="0.25">
      <c r="A1313" s="2">
        <v>350.57637396886599</v>
      </c>
      <c r="B1313" s="3">
        <v>0.70419868195089497</v>
      </c>
      <c r="C1313" s="5">
        <v>7.6705844512538201E-10</v>
      </c>
      <c r="D1313" s="6">
        <v>6.0596619689683904E-9</v>
      </c>
      <c r="E1313" s="3" t="s">
        <v>4287</v>
      </c>
      <c r="F1313" s="3" t="s">
        <v>4288</v>
      </c>
      <c r="G1313" s="3">
        <v>104709</v>
      </c>
      <c r="H1313" s="7" t="str">
        <f>HYPERLINK("http://www.ensembl.org/Mus_musculus/Gene/Summary?db=core;g=ENSMUSG00000046207","ENSMUSG00000046207")</f>
        <v>ENSMUSG00000046207</v>
      </c>
      <c r="I1313" s="7" t="str">
        <f>HYPERLINK("http://www.informatics.jax.org/marker/MGI:2144613","MGI:2144613")</f>
        <v>MGI:2144613</v>
      </c>
      <c r="J1313" s="4" t="s">
        <v>12</v>
      </c>
    </row>
    <row r="1314" spans="1:10" x14ac:dyDescent="0.25">
      <c r="A1314" s="2">
        <v>425.82811557267098</v>
      </c>
      <c r="B1314" s="3">
        <v>0.70349430550822101</v>
      </c>
      <c r="C1314" s="5">
        <v>2.4175245295704099E-14</v>
      </c>
      <c r="D1314" s="6">
        <v>2.72644706382553E-13</v>
      </c>
      <c r="E1314" s="3" t="s">
        <v>5651</v>
      </c>
      <c r="F1314" s="3" t="s">
        <v>5652</v>
      </c>
      <c r="G1314" s="3">
        <v>225358</v>
      </c>
      <c r="H1314" s="7" t="str">
        <f>HYPERLINK("http://www.ensembl.org/Mus_musculus/Gene/Summary?db=core;g=ENSMUSG00000036501","ENSMUSG00000036501")</f>
        <v>ENSMUSG00000036501</v>
      </c>
      <c r="I1314" s="7" t="str">
        <f>HYPERLINK("http://www.informatics.jax.org/marker/MGI:2447834","MGI:2447834")</f>
        <v>MGI:2447834</v>
      </c>
      <c r="J1314" s="4" t="s">
        <v>12</v>
      </c>
    </row>
    <row r="1315" spans="1:10" x14ac:dyDescent="0.25">
      <c r="A1315" s="2">
        <v>218.33062263363499</v>
      </c>
      <c r="B1315" s="3">
        <v>0.70346252431455902</v>
      </c>
      <c r="C1315" s="5">
        <v>1.4179055219918699E-5</v>
      </c>
      <c r="D1315" s="6">
        <v>6.7789423237937696E-5</v>
      </c>
      <c r="E1315" s="3" t="s">
        <v>13284</v>
      </c>
      <c r="F1315" s="3" t="s">
        <v>13285</v>
      </c>
      <c r="G1315" s="3">
        <v>27362</v>
      </c>
      <c r="H1315" s="7" t="str">
        <f>HYPERLINK("http://www.ensembl.org/Mus_musculus/Gene/Summary?db=core;g=ENSMUSG00000014905","ENSMUSG00000014905")</f>
        <v>ENSMUSG00000014905</v>
      </c>
      <c r="I1315" s="7" t="str">
        <f>HYPERLINK("http://www.informatics.jax.org/marker/MGI:1351618","MGI:1351618")</f>
        <v>MGI:1351618</v>
      </c>
      <c r="J1315" s="4" t="s">
        <v>12</v>
      </c>
    </row>
    <row r="1316" spans="1:10" x14ac:dyDescent="0.25">
      <c r="A1316" s="2">
        <v>113.54075265970999</v>
      </c>
      <c r="B1316" s="3">
        <v>0.70215260420531</v>
      </c>
      <c r="C1316" s="5">
        <v>1.5730314836185E-6</v>
      </c>
      <c r="D1316" s="6">
        <v>8.5603161507754802E-6</v>
      </c>
      <c r="E1316" s="3" t="s">
        <v>8293</v>
      </c>
      <c r="F1316" s="3" t="s">
        <v>8294</v>
      </c>
      <c r="G1316" s="3">
        <v>50780</v>
      </c>
      <c r="H1316" s="7" t="str">
        <f>HYPERLINK("http://www.ensembl.org/Mus_musculus/Gene/Summary?db=core;g=ENSMUSG00000059810","ENSMUSG00000059810")</f>
        <v>ENSMUSG00000059810</v>
      </c>
      <c r="I1316" s="7" t="str">
        <f>HYPERLINK("http://www.informatics.jax.org/marker/MGI:1354734","MGI:1354734")</f>
        <v>MGI:1354734</v>
      </c>
      <c r="J1316" s="4" t="s">
        <v>12</v>
      </c>
    </row>
    <row r="1317" spans="1:10" x14ac:dyDescent="0.25">
      <c r="A1317" s="2">
        <v>533.73464180163398</v>
      </c>
      <c r="B1317" s="3">
        <v>0.70185849482992901</v>
      </c>
      <c r="C1317" s="5">
        <v>1.3748635562205299E-21</v>
      </c>
      <c r="D1317" s="6">
        <v>2.3330436044803699E-20</v>
      </c>
      <c r="E1317" s="3" t="s">
        <v>2692</v>
      </c>
      <c r="F1317" s="3" t="s">
        <v>2693</v>
      </c>
      <c r="G1317" s="3">
        <v>218441</v>
      </c>
      <c r="H1317" s="7" t="str">
        <f>HYPERLINK("http://www.ensembl.org/Mus_musculus/Gene/Summary?db=core;g=ENSMUSG00000021706","ENSMUSG00000021706")</f>
        <v>ENSMUSG00000021706</v>
      </c>
      <c r="I1317" s="7" t="str">
        <f>HYPERLINK("http://www.informatics.jax.org/marker/MGI:2145181","MGI:2145181")</f>
        <v>MGI:2145181</v>
      </c>
      <c r="J1317" s="4" t="s">
        <v>12</v>
      </c>
    </row>
    <row r="1318" spans="1:10" x14ac:dyDescent="0.25">
      <c r="A1318" s="2">
        <v>1183.8145452107401</v>
      </c>
      <c r="B1318" s="3">
        <v>0.70125576037113602</v>
      </c>
      <c r="C1318" s="5">
        <v>3.73352466095184E-23</v>
      </c>
      <c r="D1318" s="6">
        <v>6.8523148988768603E-22</v>
      </c>
      <c r="E1318" s="3" t="s">
        <v>2798</v>
      </c>
      <c r="F1318" s="3" t="s">
        <v>2799</v>
      </c>
      <c r="G1318" s="3">
        <v>231147</v>
      </c>
      <c r="H1318" s="7" t="str">
        <f>HYPERLINK("http://www.ensembl.org/Mus_musculus/Gene/Summary?db=core;g=ENSMUSG00000036553","ENSMUSG00000036553")</f>
        <v>ENSMUSG00000036553</v>
      </c>
      <c r="I1318" s="7" t="str">
        <f>HYPERLINK("http://www.informatics.jax.org/marker/MGI:2678949","MGI:2678949")</f>
        <v>MGI:2678949</v>
      </c>
      <c r="J1318" s="4" t="s">
        <v>12</v>
      </c>
    </row>
    <row r="1319" spans="1:10" x14ac:dyDescent="0.25">
      <c r="A1319" s="2">
        <v>343.947122472057</v>
      </c>
      <c r="B1319" s="3">
        <v>0.70116966355311205</v>
      </c>
      <c r="C1319" s="5">
        <v>4.97486351775526E-10</v>
      </c>
      <c r="D1319" s="6">
        <v>3.9906200533049998E-9</v>
      </c>
      <c r="E1319" s="3" t="s">
        <v>2824</v>
      </c>
      <c r="F1319" s="3" t="s">
        <v>2825</v>
      </c>
      <c r="G1319" s="3">
        <v>110253</v>
      </c>
      <c r="H1319" s="7" t="str">
        <f>HYPERLINK("http://www.ensembl.org/Mus_musculus/Gene/Summary?db=core;g=ENSMUSG00000033088","ENSMUSG00000033088")</f>
        <v>ENSMUSG00000033088</v>
      </c>
      <c r="I1319" s="7" t="str">
        <f>HYPERLINK("http://www.informatics.jax.org/marker/MGI:1349410","MGI:1349410")</f>
        <v>MGI:1349410</v>
      </c>
      <c r="J1319" s="4" t="s">
        <v>12</v>
      </c>
    </row>
    <row r="1320" spans="1:10" x14ac:dyDescent="0.25">
      <c r="A1320" s="2">
        <v>17.754713285655001</v>
      </c>
      <c r="B1320" s="3">
        <v>0.70075776051274097</v>
      </c>
      <c r="C1320" s="3">
        <v>7.7839250214139901E-3</v>
      </c>
      <c r="D1320" s="4">
        <v>2.2407523853304401E-2</v>
      </c>
      <c r="E1320" s="3" t="s">
        <v>10561</v>
      </c>
      <c r="F1320" s="3" t="s">
        <v>10562</v>
      </c>
      <c r="G1320" s="3" t="s">
        <v>83</v>
      </c>
      <c r="H1320" s="7" t="str">
        <f>HYPERLINK("http://www.ensembl.org/Mus_musculus/Gene/Summary?db=core;g=ENSMUSG00000048164","ENSMUSG00000048164")</f>
        <v>ENSMUSG00000048164</v>
      </c>
      <c r="I1320" s="7" t="str">
        <f>HYPERLINK("http://www.informatics.jax.org/marker/MGI:3645884","MGI:3645884")</f>
        <v>MGI:3645884</v>
      </c>
      <c r="J1320" s="4" t="s">
        <v>1043</v>
      </c>
    </row>
    <row r="1321" spans="1:10" x14ac:dyDescent="0.25">
      <c r="A1321" s="2">
        <v>272.59527296689703</v>
      </c>
      <c r="B1321" s="3">
        <v>0.69882487868158705</v>
      </c>
      <c r="C1321" s="5">
        <v>3.0528965447711599E-15</v>
      </c>
      <c r="D1321" s="6">
        <v>3.62705603184187E-14</v>
      </c>
      <c r="E1321" s="3" t="s">
        <v>4155</v>
      </c>
      <c r="F1321" s="3" t="s">
        <v>4156</v>
      </c>
      <c r="G1321" s="3" t="s">
        <v>83</v>
      </c>
      <c r="H1321" s="7" t="str">
        <f>HYPERLINK("http://www.ensembl.org/Mus_musculus/Gene/Summary?db=core;g=ENSMUSG00000094439","ENSMUSG00000094439")</f>
        <v>ENSMUSG00000094439</v>
      </c>
      <c r="I1321" s="7" t="str">
        <f>HYPERLINK("http://www.informatics.jax.org/marker/MGI:5439438","MGI:5439438")</f>
        <v>MGI:5439438</v>
      </c>
      <c r="J1321" s="4" t="s">
        <v>12</v>
      </c>
    </row>
    <row r="1322" spans="1:10" x14ac:dyDescent="0.25">
      <c r="A1322" s="2">
        <v>67.320796955319395</v>
      </c>
      <c r="B1322" s="3">
        <v>0.69799750324609899</v>
      </c>
      <c r="C1322" s="5">
        <v>3.5674113786599098E-5</v>
      </c>
      <c r="D1322" s="4">
        <v>1.60059262373404E-4</v>
      </c>
      <c r="E1322" s="3" t="s">
        <v>5561</v>
      </c>
      <c r="F1322" s="3" t="s">
        <v>5562</v>
      </c>
      <c r="G1322" s="3" t="s">
        <v>83</v>
      </c>
      <c r="H1322" s="7" t="str">
        <f>HYPERLINK("http://www.ensembl.org/Mus_musculus/Gene/Summary?db=core;g=ENSMUSG00000097194","ENSMUSG00000097194")</f>
        <v>ENSMUSG00000097194</v>
      </c>
      <c r="I1322" s="7" t="str">
        <f>HYPERLINK("http://www.informatics.jax.org/marker/MGI:2443913","MGI:2443913")</f>
        <v>MGI:2443913</v>
      </c>
      <c r="J1322" s="4" t="s">
        <v>939</v>
      </c>
    </row>
    <row r="1323" spans="1:10" x14ac:dyDescent="0.25">
      <c r="A1323" s="2">
        <v>655.43413830919405</v>
      </c>
      <c r="B1323" s="3">
        <v>0.69573707988981703</v>
      </c>
      <c r="C1323" s="5">
        <v>1.49614496706069E-20</v>
      </c>
      <c r="D1323" s="6">
        <v>2.4151675841170201E-19</v>
      </c>
      <c r="E1323" s="3" t="s">
        <v>2347</v>
      </c>
      <c r="F1323" s="3" t="s">
        <v>2348</v>
      </c>
      <c r="G1323" s="3">
        <v>22259</v>
      </c>
      <c r="H1323" s="7" t="str">
        <f>HYPERLINK("http://www.ensembl.org/Mus_musculus/Gene/Summary?db=core;g=ENSMUSG00000002108","ENSMUSG00000002108")</f>
        <v>ENSMUSG00000002108</v>
      </c>
      <c r="I1323" s="7" t="str">
        <f>HYPERLINK("http://www.informatics.jax.org/marker/MGI:1352462","MGI:1352462")</f>
        <v>MGI:1352462</v>
      </c>
      <c r="J1323" s="4" t="s">
        <v>12</v>
      </c>
    </row>
    <row r="1324" spans="1:10" x14ac:dyDescent="0.25">
      <c r="A1324" s="2">
        <v>2.2216963425795599</v>
      </c>
      <c r="B1324" s="3">
        <v>0.695720034548302</v>
      </c>
      <c r="C1324" s="3">
        <v>0.13543591422302301</v>
      </c>
      <c r="D1324" s="4">
        <v>0.26033791817369301</v>
      </c>
      <c r="E1324" s="3" t="s">
        <v>8741</v>
      </c>
      <c r="F1324" s="3" t="s">
        <v>8742</v>
      </c>
      <c r="G1324" s="3">
        <v>102638047</v>
      </c>
      <c r="H1324" s="7" t="str">
        <f>HYPERLINK("http://www.ensembl.org/Mus_musculus/Gene/Summary?db=core;g=ENSMUSG00000079808","ENSMUSG00000079808")</f>
        <v>ENSMUSG00000079808</v>
      </c>
      <c r="I1324" s="3" t="s">
        <v>83</v>
      </c>
      <c r="J1324" s="4" t="s">
        <v>12</v>
      </c>
    </row>
    <row r="1325" spans="1:10" x14ac:dyDescent="0.25">
      <c r="A1325" s="2">
        <v>81.645443705105507</v>
      </c>
      <c r="B1325" s="3">
        <v>0.694920902703554</v>
      </c>
      <c r="C1325" s="5">
        <v>3.9814839477524603E-6</v>
      </c>
      <c r="D1325" s="6">
        <v>2.0602653307151799E-5</v>
      </c>
      <c r="E1325" s="3" t="s">
        <v>8585</v>
      </c>
      <c r="F1325" s="3" t="s">
        <v>8586</v>
      </c>
      <c r="G1325" s="3">
        <v>17087</v>
      </c>
      <c r="H1325" s="7" t="str">
        <f>HYPERLINK("http://www.ensembl.org/Mus_musculus/Gene/Summary?db=core;g=ENSMUSG00000025779","ENSMUSG00000025779")</f>
        <v>ENSMUSG00000025779</v>
      </c>
      <c r="I1325" s="7" t="str">
        <f>HYPERLINK("http://www.informatics.jax.org/marker/MGI:1341909","MGI:1341909")</f>
        <v>MGI:1341909</v>
      </c>
      <c r="J1325" s="4" t="s">
        <v>12</v>
      </c>
    </row>
    <row r="1326" spans="1:10" x14ac:dyDescent="0.25">
      <c r="A1326" s="2">
        <v>976.44103947875101</v>
      </c>
      <c r="B1326" s="3">
        <v>0.69429933668197197</v>
      </c>
      <c r="C1326" s="5">
        <v>2.22969184974071E-35</v>
      </c>
      <c r="D1326" s="6">
        <v>6.5967749937539698E-34</v>
      </c>
      <c r="E1326" s="3" t="s">
        <v>1506</v>
      </c>
      <c r="F1326" s="3" t="s">
        <v>1507</v>
      </c>
      <c r="G1326" s="3">
        <v>195040</v>
      </c>
      <c r="H1326" s="7" t="str">
        <f>HYPERLINK("http://www.ensembl.org/Mus_musculus/Gene/Summary?db=core;g=ENSMUSG00000051232","ENSMUSG00000051232")</f>
        <v>ENSMUSG00000051232</v>
      </c>
      <c r="I1326" s="7" t="str">
        <f>HYPERLINK("http://www.informatics.jax.org/marker/MGI:2144113","MGI:2144113")</f>
        <v>MGI:2144113</v>
      </c>
      <c r="J1326" s="4" t="s">
        <v>12</v>
      </c>
    </row>
    <row r="1327" spans="1:10" x14ac:dyDescent="0.25">
      <c r="A1327" s="2">
        <v>2887.1365140020798</v>
      </c>
      <c r="B1327" s="3">
        <v>0.69349959829724706</v>
      </c>
      <c r="C1327" s="5">
        <v>4.1342152009520901E-34</v>
      </c>
      <c r="D1327" s="6">
        <v>1.17912475801802E-32</v>
      </c>
      <c r="E1327" s="3" t="s">
        <v>1746</v>
      </c>
      <c r="F1327" s="3" t="s">
        <v>1747</v>
      </c>
      <c r="G1327" s="3">
        <v>109754</v>
      </c>
      <c r="H1327" s="7" t="str">
        <f>HYPERLINK("http://www.ensembl.org/Mus_musculus/Gene/Summary?db=core;g=ENSMUSG00000018042","ENSMUSG00000018042")</f>
        <v>ENSMUSG00000018042</v>
      </c>
      <c r="I1327" s="7" t="str">
        <f>HYPERLINK("http://www.informatics.jax.org/marker/MGI:94893","MGI:94893")</f>
        <v>MGI:94893</v>
      </c>
      <c r="J1327" s="4" t="s">
        <v>12</v>
      </c>
    </row>
    <row r="1328" spans="1:10" x14ac:dyDescent="0.25">
      <c r="A1328" s="2">
        <v>499.27818017074202</v>
      </c>
      <c r="B1328" s="3">
        <v>0.69337185680098401</v>
      </c>
      <c r="C1328" s="5">
        <v>4.0889997839957998E-27</v>
      </c>
      <c r="D1328" s="6">
        <v>8.91411735207217E-26</v>
      </c>
      <c r="E1328" s="3" t="s">
        <v>2343</v>
      </c>
      <c r="F1328" s="3" t="s">
        <v>2344</v>
      </c>
      <c r="G1328" s="3">
        <v>224250</v>
      </c>
      <c r="H1328" s="7" t="str">
        <f>HYPERLINK("http://www.ensembl.org/Mus_musculus/Gene/Summary?db=core;g=ENSMUSG00000022744","ENSMUSG00000022744")</f>
        <v>ENSMUSG00000022744</v>
      </c>
      <c r="I1328" s="7" t="str">
        <f>HYPERLINK("http://www.informatics.jax.org/marker/MGI:2447860","MGI:2447860")</f>
        <v>MGI:2447860</v>
      </c>
      <c r="J1328" s="4" t="s">
        <v>12</v>
      </c>
    </row>
    <row r="1329" spans="1:10" x14ac:dyDescent="0.25">
      <c r="A1329" s="2">
        <v>1529.7100417075101</v>
      </c>
      <c r="B1329" s="3">
        <v>0.69211237545735205</v>
      </c>
      <c r="C1329" s="5">
        <v>2.9719980045595001E-14</v>
      </c>
      <c r="D1329" s="6">
        <v>3.3229854989629998E-13</v>
      </c>
      <c r="E1329" s="3" t="s">
        <v>8077</v>
      </c>
      <c r="F1329" s="3" t="s">
        <v>8078</v>
      </c>
      <c r="G1329" s="3">
        <v>17101</v>
      </c>
      <c r="H1329" s="7" t="str">
        <f>HYPERLINK("http://www.ensembl.org/Mus_musculus/Gene/Summary?db=core;g=ENSMUSG00000019726","ENSMUSG00000019726")</f>
        <v>ENSMUSG00000019726</v>
      </c>
      <c r="I1329" s="7" t="str">
        <f>HYPERLINK("http://www.informatics.jax.org/marker/MGI:107448","MGI:107448")</f>
        <v>MGI:107448</v>
      </c>
      <c r="J1329" s="4" t="s">
        <v>12</v>
      </c>
    </row>
    <row r="1330" spans="1:10" x14ac:dyDescent="0.25">
      <c r="A1330" s="2">
        <v>1251.6603297766201</v>
      </c>
      <c r="B1330" s="3">
        <v>0.691694311653407</v>
      </c>
      <c r="C1330" s="5">
        <v>4.9309192497290497E-30</v>
      </c>
      <c r="D1330" s="6">
        <v>1.22266671192261E-28</v>
      </c>
      <c r="E1330" s="3" t="s">
        <v>744</v>
      </c>
      <c r="F1330" s="3" t="s">
        <v>745</v>
      </c>
      <c r="G1330" s="3">
        <v>227449</v>
      </c>
      <c r="H1330" s="7" t="str">
        <f>HYPERLINK("http://www.ensembl.org/Mus_musculus/Gene/Summary?db=core;g=ENSMUSG00000038866","ENSMUSG00000038866")</f>
        <v>ENSMUSG00000038866</v>
      </c>
      <c r="I1330" s="7" t="str">
        <f>HYPERLINK("http://www.informatics.jax.org/marker/MGI:2444114","MGI:2444114")</f>
        <v>MGI:2444114</v>
      </c>
      <c r="J1330" s="4" t="s">
        <v>12</v>
      </c>
    </row>
    <row r="1331" spans="1:10" x14ac:dyDescent="0.25">
      <c r="A1331" s="2">
        <v>9.8920807165892199</v>
      </c>
      <c r="B1331" s="3">
        <v>0.69168922552382395</v>
      </c>
      <c r="C1331" s="3">
        <v>8.0717259817433606E-2</v>
      </c>
      <c r="D1331" s="4">
        <v>0.17046026189718699</v>
      </c>
      <c r="E1331" s="3" t="s">
        <v>13875</v>
      </c>
      <c r="F1331" s="3" t="s">
        <v>13876</v>
      </c>
      <c r="G1331" s="3" t="s">
        <v>83</v>
      </c>
      <c r="H1331" s="7" t="str">
        <f>HYPERLINK("http://www.ensembl.org/Mus_musculus/Gene/Summary?db=core;g=ENSMUSG00000102856","ENSMUSG00000102856")</f>
        <v>ENSMUSG00000102856</v>
      </c>
      <c r="I1331" s="7" t="str">
        <f>HYPERLINK("http://www.informatics.jax.org/marker/MGI:5610312","MGI:5610312")</f>
        <v>MGI:5610312</v>
      </c>
      <c r="J1331" s="4" t="s">
        <v>1828</v>
      </c>
    </row>
    <row r="1332" spans="1:10" x14ac:dyDescent="0.25">
      <c r="A1332" s="2">
        <v>103.89462261956299</v>
      </c>
      <c r="B1332" s="3">
        <v>0.69119657433847403</v>
      </c>
      <c r="C1332" s="5">
        <v>3.9537842296587001E-7</v>
      </c>
      <c r="D1332" s="6">
        <v>2.3125069828475598E-6</v>
      </c>
      <c r="E1332" s="3" t="s">
        <v>4505</v>
      </c>
      <c r="F1332" s="3" t="s">
        <v>4506</v>
      </c>
      <c r="G1332" s="3" t="s">
        <v>83</v>
      </c>
      <c r="H1332" s="7" t="str">
        <f>HYPERLINK("http://www.ensembl.org/Mus_musculus/Gene/Summary?db=core;g=ENSMUSG00000094530","ENSMUSG00000094530")</f>
        <v>ENSMUSG00000094530</v>
      </c>
      <c r="I1332" s="7" t="str">
        <f>HYPERLINK("http://www.informatics.jax.org/marker/MGI:5434754","MGI:5434754")</f>
        <v>MGI:5434754</v>
      </c>
      <c r="J1332" s="4" t="s">
        <v>1043</v>
      </c>
    </row>
    <row r="1333" spans="1:10" x14ac:dyDescent="0.25">
      <c r="A1333" s="2">
        <v>449.01741382470999</v>
      </c>
      <c r="B1333" s="3">
        <v>0.69044224955490896</v>
      </c>
      <c r="C1333" s="5">
        <v>7.2209513343649298E-7</v>
      </c>
      <c r="D1333" s="6">
        <v>4.0693209050340398E-6</v>
      </c>
      <c r="E1333" s="3" t="s">
        <v>6595</v>
      </c>
      <c r="F1333" s="3" t="s">
        <v>6596</v>
      </c>
      <c r="G1333" s="3">
        <v>108943</v>
      </c>
      <c r="H1333" s="7" t="str">
        <f>HYPERLINK("http://www.ensembl.org/Mus_musculus/Gene/Summary?db=core;g=ENSMUSG00000004127","ENSMUSG00000004127")</f>
        <v>ENSMUSG00000004127</v>
      </c>
      <c r="I1333" s="7" t="str">
        <f>HYPERLINK("http://www.informatics.jax.org/marker/MGI:1920421","MGI:1920421")</f>
        <v>MGI:1920421</v>
      </c>
      <c r="J1333" s="4" t="s">
        <v>12</v>
      </c>
    </row>
    <row r="1334" spans="1:10" x14ac:dyDescent="0.25">
      <c r="A1334" s="2">
        <v>5030.6058374876402</v>
      </c>
      <c r="B1334" s="3">
        <v>0.689460840508615</v>
      </c>
      <c r="C1334" s="5">
        <v>4.00018911287126E-13</v>
      </c>
      <c r="D1334" s="6">
        <v>4.1802434966788201E-12</v>
      </c>
      <c r="E1334" s="3" t="s">
        <v>1624</v>
      </c>
      <c r="F1334" s="3" t="s">
        <v>1625</v>
      </c>
      <c r="G1334" s="3">
        <v>56045</v>
      </c>
      <c r="H1334" s="7" t="str">
        <f>HYPERLINK("http://www.ensembl.org/Mus_musculus/Gene/Summary?db=core;g=ENSMUSG00000027639","ENSMUSG00000027639")</f>
        <v>ENSMUSG00000027639</v>
      </c>
      <c r="I1334" s="7" t="str">
        <f>HYPERLINK("http://www.informatics.jax.org/marker/MGI:1927468","MGI:1927468")</f>
        <v>MGI:1927468</v>
      </c>
      <c r="J1334" s="4" t="s">
        <v>12</v>
      </c>
    </row>
    <row r="1335" spans="1:10" x14ac:dyDescent="0.25">
      <c r="A1335" s="2">
        <v>805.32313551669597</v>
      </c>
      <c r="B1335" s="3">
        <v>0.68857335081230298</v>
      </c>
      <c r="C1335" s="5">
        <v>9.5680472365583097E-20</v>
      </c>
      <c r="D1335" s="6">
        <v>1.4740292551671601E-18</v>
      </c>
      <c r="E1335" s="3" t="s">
        <v>5359</v>
      </c>
      <c r="F1335" s="3" t="s">
        <v>5360</v>
      </c>
      <c r="G1335" s="3">
        <v>218820</v>
      </c>
      <c r="H1335" s="7" t="str">
        <f>HYPERLINK("http://www.ensembl.org/Mus_musculus/Gene/Summary?db=core;g=ENSMUSG00000039081","ENSMUSG00000039081")</f>
        <v>ENSMUSG00000039081</v>
      </c>
      <c r="I1335" s="7" t="str">
        <f>HYPERLINK("http://www.informatics.jax.org/marker/MGI:1353644","MGI:1353644")</f>
        <v>MGI:1353644</v>
      </c>
      <c r="J1335" s="4" t="s">
        <v>12</v>
      </c>
    </row>
    <row r="1336" spans="1:10" x14ac:dyDescent="0.25">
      <c r="A1336" s="2">
        <v>1528.2610508008599</v>
      </c>
      <c r="B1336" s="3">
        <v>0.68843803453830998</v>
      </c>
      <c r="C1336" s="5">
        <v>1.81556724859902E-59</v>
      </c>
      <c r="D1336" s="6">
        <v>1.09565275184494E-57</v>
      </c>
      <c r="E1336" s="3" t="s">
        <v>646</v>
      </c>
      <c r="F1336" s="3" t="s">
        <v>647</v>
      </c>
      <c r="G1336" s="3">
        <v>226351</v>
      </c>
      <c r="H1336" s="7" t="str">
        <f>HYPERLINK("http://www.ensembl.org/Mus_musculus/Gene/Summary?db=core;g=ENSMUSG00000098923","ENSMUSG00000098923")</f>
        <v>ENSMUSG00000098923</v>
      </c>
      <c r="I1336" s="7" t="str">
        <f>HYPERLINK("http://www.informatics.jax.org/marker/MGI:1917634","MGI:1917634")</f>
        <v>MGI:1917634</v>
      </c>
      <c r="J1336" s="4" t="s">
        <v>12</v>
      </c>
    </row>
    <row r="1337" spans="1:10" x14ac:dyDescent="0.25">
      <c r="A1337" s="2">
        <v>283.63902394364101</v>
      </c>
      <c r="B1337" s="3">
        <v>0.68841657329606798</v>
      </c>
      <c r="C1337" s="5">
        <v>1.81228261912318E-9</v>
      </c>
      <c r="D1337" s="6">
        <v>1.36992329877727E-8</v>
      </c>
      <c r="E1337" s="3" t="s">
        <v>4863</v>
      </c>
      <c r="F1337" s="3" t="s">
        <v>4864</v>
      </c>
      <c r="G1337" s="3" t="s">
        <v>83</v>
      </c>
      <c r="H1337" s="7" t="str">
        <f>HYPERLINK("http://www.ensembl.org/Mus_musculus/Gene/Summary?db=core;g=ENSMUSG00000082082","ENSMUSG00000082082")</f>
        <v>ENSMUSG00000082082</v>
      </c>
      <c r="I1337" s="7" t="str">
        <f>HYPERLINK("http://www.informatics.jax.org/marker/MGI:3651934","MGI:3651934")</f>
        <v>MGI:3651934</v>
      </c>
      <c r="J1337" s="4" t="s">
        <v>320</v>
      </c>
    </row>
    <row r="1338" spans="1:10" x14ac:dyDescent="0.25">
      <c r="A1338" s="2">
        <v>580.154945613466</v>
      </c>
      <c r="B1338" s="3">
        <v>0.68781170040984296</v>
      </c>
      <c r="C1338" s="5">
        <v>5.7422404657988502E-12</v>
      </c>
      <c r="D1338" s="6">
        <v>5.4421389749965698E-11</v>
      </c>
      <c r="E1338" s="3" t="s">
        <v>5589</v>
      </c>
      <c r="F1338" s="3" t="s">
        <v>5590</v>
      </c>
      <c r="G1338" s="3" t="s">
        <v>83</v>
      </c>
      <c r="H1338" s="7" t="str">
        <f>HYPERLINK("http://www.ensembl.org/Mus_musculus/Gene/Summary?db=core;g=ENSMUSG00000105769","ENSMUSG00000105769")</f>
        <v>ENSMUSG00000105769</v>
      </c>
      <c r="I1338" s="7" t="str">
        <f>HYPERLINK("http://www.informatics.jax.org/marker/MGI:5663488","MGI:5663488")</f>
        <v>MGI:5663488</v>
      </c>
      <c r="J1338" s="4" t="s">
        <v>939</v>
      </c>
    </row>
    <row r="1339" spans="1:10" x14ac:dyDescent="0.25">
      <c r="A1339" s="2">
        <v>1160.6225916118001</v>
      </c>
      <c r="B1339" s="3">
        <v>0.68582202111873503</v>
      </c>
      <c r="C1339" s="5">
        <v>7.8188230513850103E-29</v>
      </c>
      <c r="D1339" s="6">
        <v>1.8339517388866402E-27</v>
      </c>
      <c r="E1339" s="3" t="s">
        <v>2531</v>
      </c>
      <c r="F1339" s="3" t="s">
        <v>2532</v>
      </c>
      <c r="G1339" s="3">
        <v>19696</v>
      </c>
      <c r="H1339" s="7" t="str">
        <f>HYPERLINK("http://www.ensembl.org/Mus_musculus/Gene/Summary?db=core;g=ENSMUSG00000020275","ENSMUSG00000020275")</f>
        <v>ENSMUSG00000020275</v>
      </c>
      <c r="I1339" s="7" t="str">
        <f>HYPERLINK("http://www.informatics.jax.org/marker/MGI:97897","MGI:97897")</f>
        <v>MGI:97897</v>
      </c>
      <c r="J1339" s="4" t="s">
        <v>12</v>
      </c>
    </row>
    <row r="1340" spans="1:10" x14ac:dyDescent="0.25">
      <c r="A1340" s="2">
        <v>312.62124845919601</v>
      </c>
      <c r="B1340" s="3">
        <v>0.68517148268514405</v>
      </c>
      <c r="C1340" s="5">
        <v>1.47771097426674E-6</v>
      </c>
      <c r="D1340" s="6">
        <v>8.0729264106748796E-6</v>
      </c>
      <c r="E1340" s="3" t="s">
        <v>11415</v>
      </c>
      <c r="F1340" s="3" t="s">
        <v>11416</v>
      </c>
      <c r="G1340" s="3">
        <v>56490</v>
      </c>
      <c r="H1340" s="7" t="str">
        <f>HYPERLINK("http://www.ensembl.org/Mus_musculus/Gene/Summary?db=core;g=ENSMUSG00000022708","ENSMUSG00000022708")</f>
        <v>ENSMUSG00000022708</v>
      </c>
      <c r="I1340" s="7" t="str">
        <f>HYPERLINK("http://www.informatics.jax.org/marker/MGI:1929213","MGI:1929213")</f>
        <v>MGI:1929213</v>
      </c>
      <c r="J1340" s="4" t="s">
        <v>12</v>
      </c>
    </row>
    <row r="1341" spans="1:10" x14ac:dyDescent="0.25">
      <c r="A1341" s="2">
        <v>94.852389637361895</v>
      </c>
      <c r="B1341" s="3">
        <v>0.68470942212087904</v>
      </c>
      <c r="C1341" s="5">
        <v>2.8051214266480398E-7</v>
      </c>
      <c r="D1341" s="6">
        <v>1.67288409688025E-6</v>
      </c>
      <c r="E1341" s="3" t="s">
        <v>5019</v>
      </c>
      <c r="F1341" s="3" t="s">
        <v>5020</v>
      </c>
      <c r="G1341" s="3">
        <v>223881</v>
      </c>
      <c r="H1341" s="7" t="str">
        <f>HYPERLINK("http://www.ensembl.org/Mus_musculus/Gene/Summary?db=core;g=ENSMUSG00000054855","ENSMUSG00000054855")</f>
        <v>ENSMUSG00000054855</v>
      </c>
      <c r="I1341" s="7" t="str">
        <f>HYPERLINK("http://www.informatics.jax.org/marker/MGI:2444878","MGI:2444878")</f>
        <v>MGI:2444878</v>
      </c>
      <c r="J1341" s="4" t="s">
        <v>12</v>
      </c>
    </row>
    <row r="1342" spans="1:10" x14ac:dyDescent="0.25">
      <c r="A1342" s="2">
        <v>437.82365030267999</v>
      </c>
      <c r="B1342" s="3">
        <v>0.68425484910440404</v>
      </c>
      <c r="C1342" s="5">
        <v>4.23562996446238E-16</v>
      </c>
      <c r="D1342" s="6">
        <v>5.3644444824410702E-15</v>
      </c>
      <c r="E1342" s="3" t="s">
        <v>3510</v>
      </c>
      <c r="F1342" s="3" t="s">
        <v>3511</v>
      </c>
      <c r="G1342" s="3">
        <v>226043</v>
      </c>
      <c r="H1342" s="7" t="str">
        <f>HYPERLINK("http://www.ensembl.org/Mus_musculus/Gene/Summary?db=core;g=ENSMUSG00000024878","ENSMUSG00000024878")</f>
        <v>ENSMUSG00000024878</v>
      </c>
      <c r="I1342" s="7" t="str">
        <f>HYPERLINK("http://www.informatics.jax.org/marker/MGI:2385089","MGI:2385089")</f>
        <v>MGI:2385089</v>
      </c>
      <c r="J1342" s="4" t="s">
        <v>12</v>
      </c>
    </row>
    <row r="1343" spans="1:10" x14ac:dyDescent="0.25">
      <c r="A1343" s="2">
        <v>730.65638159626997</v>
      </c>
      <c r="B1343" s="3">
        <v>0.68367735844648303</v>
      </c>
      <c r="C1343" s="5">
        <v>2.7522806395402399E-21</v>
      </c>
      <c r="D1343" s="6">
        <v>4.5976457062897299E-20</v>
      </c>
      <c r="E1343" s="3" t="s">
        <v>3484</v>
      </c>
      <c r="F1343" s="3" t="s">
        <v>3485</v>
      </c>
      <c r="G1343" s="3">
        <v>230393</v>
      </c>
      <c r="H1343" s="7" t="str">
        <f>HYPERLINK("http://www.ensembl.org/Mus_musculus/Gene/Summary?db=core;g=ENSMUSG00000038368","ENSMUSG00000038368")</f>
        <v>ENSMUSG00000038368</v>
      </c>
      <c r="I1343" s="7" t="str">
        <f>HYPERLINK("http://www.informatics.jax.org/marker/MGI:2676921","MGI:2676921")</f>
        <v>MGI:2676921</v>
      </c>
      <c r="J1343" s="4" t="s">
        <v>12</v>
      </c>
    </row>
    <row r="1344" spans="1:10" x14ac:dyDescent="0.25">
      <c r="A1344" s="2">
        <v>279.11672097291898</v>
      </c>
      <c r="B1344" s="3">
        <v>0.68304983155268095</v>
      </c>
      <c r="C1344" s="5">
        <v>1.5753935535906299E-12</v>
      </c>
      <c r="D1344" s="6">
        <v>1.57237390548682E-11</v>
      </c>
      <c r="E1344" s="3" t="s">
        <v>5863</v>
      </c>
      <c r="F1344" s="3" t="s">
        <v>5864</v>
      </c>
      <c r="G1344" s="3">
        <v>20725</v>
      </c>
      <c r="H1344" s="7" t="str">
        <f>HYPERLINK("http://www.ensembl.org/Mus_musculus/Gene/Summary?db=core;g=ENSMUSG00000026315","ENSMUSG00000026315")</f>
        <v>ENSMUSG00000026315</v>
      </c>
      <c r="I1344" s="7" t="str">
        <f>HYPERLINK("http://www.informatics.jax.org/marker/MGI:894657","MGI:894657")</f>
        <v>MGI:894657</v>
      </c>
      <c r="J1344" s="4" t="s">
        <v>12</v>
      </c>
    </row>
    <row r="1345" spans="1:10" x14ac:dyDescent="0.25">
      <c r="A1345" s="2">
        <v>39.850163884032199</v>
      </c>
      <c r="B1345" s="3">
        <v>0.68262284804582796</v>
      </c>
      <c r="C1345" s="3">
        <v>9.6627146056409803E-4</v>
      </c>
      <c r="D1345" s="4">
        <v>3.40954450508822E-3</v>
      </c>
      <c r="E1345" s="3" t="s">
        <v>11259</v>
      </c>
      <c r="F1345" s="3" t="s">
        <v>11260</v>
      </c>
      <c r="G1345" s="3">
        <v>77318</v>
      </c>
      <c r="H1345" s="7" t="str">
        <f>HYPERLINK("http://www.ensembl.org/Mus_musculus/Gene/Summary?db=core;g=ENSMUSG00000049985","ENSMUSG00000049985")</f>
        <v>ENSMUSG00000049985</v>
      </c>
      <c r="I1345" s="7" t="str">
        <f>HYPERLINK("http://www.informatics.jax.org/marker/MGI:1924568","MGI:1924568")</f>
        <v>MGI:1924568</v>
      </c>
      <c r="J1345" s="4" t="s">
        <v>12</v>
      </c>
    </row>
    <row r="1346" spans="1:10" x14ac:dyDescent="0.25">
      <c r="A1346" s="2">
        <v>9112.0641787060904</v>
      </c>
      <c r="B1346" s="3">
        <v>0.68261149492635598</v>
      </c>
      <c r="C1346" s="5">
        <v>6.3996997234134499E-30</v>
      </c>
      <c r="D1346" s="6">
        <v>1.57827506710704E-28</v>
      </c>
      <c r="E1346" s="3" t="s">
        <v>1514</v>
      </c>
      <c r="F1346" s="3" t="s">
        <v>1515</v>
      </c>
      <c r="G1346" s="3">
        <v>16412</v>
      </c>
      <c r="H1346" s="7" t="str">
        <f>HYPERLINK("http://www.ensembl.org/Mus_musculus/Gene/Summary?db=core;g=ENSMUSG00000025809","ENSMUSG00000025809")</f>
        <v>ENSMUSG00000025809</v>
      </c>
      <c r="I1346" s="7" t="str">
        <f>HYPERLINK("http://www.informatics.jax.org/marker/MGI:96610","MGI:96610")</f>
        <v>MGI:96610</v>
      </c>
      <c r="J1346" s="4" t="s">
        <v>12</v>
      </c>
    </row>
    <row r="1347" spans="1:10" x14ac:dyDescent="0.25">
      <c r="A1347" s="2">
        <v>283.268555488282</v>
      </c>
      <c r="B1347" s="3">
        <v>0.68222667684456995</v>
      </c>
      <c r="C1347" s="3">
        <v>3.1717968585366201E-4</v>
      </c>
      <c r="D1347" s="4">
        <v>1.2149221888783099E-3</v>
      </c>
      <c r="E1347" s="3" t="s">
        <v>8849</v>
      </c>
      <c r="F1347" s="3" t="s">
        <v>8850</v>
      </c>
      <c r="G1347" s="3">
        <v>66412</v>
      </c>
      <c r="H1347" s="7" t="str">
        <f>HYPERLINK("http://www.ensembl.org/Mus_musculus/Gene/Summary?db=core;g=ENSMUSG00000042659","ENSMUSG00000042659")</f>
        <v>ENSMUSG00000042659</v>
      </c>
      <c r="I1347" s="7" t="str">
        <f>HYPERLINK("http://www.informatics.jax.org/marker/MGI:1913662","MGI:1913662")</f>
        <v>MGI:1913662</v>
      </c>
      <c r="J1347" s="4" t="s">
        <v>12</v>
      </c>
    </row>
    <row r="1348" spans="1:10" x14ac:dyDescent="0.25">
      <c r="A1348" s="2">
        <v>1015.7609308132299</v>
      </c>
      <c r="B1348" s="3">
        <v>0.68003328505748295</v>
      </c>
      <c r="C1348" s="5">
        <v>4.2439814143181503E-25</v>
      </c>
      <c r="D1348" s="6">
        <v>8.4716934584828299E-24</v>
      </c>
      <c r="E1348" s="3" t="s">
        <v>3866</v>
      </c>
      <c r="F1348" s="3" t="s">
        <v>3867</v>
      </c>
      <c r="G1348" s="3">
        <v>72007</v>
      </c>
      <c r="H1348" s="7" t="str">
        <f>HYPERLINK("http://www.ensembl.org/Mus_musculus/Gene/Summary?db=core;g=ENSMUSG00000039286","ENSMUSG00000039286")</f>
        <v>ENSMUSG00000039286</v>
      </c>
      <c r="I1348" s="7" t="str">
        <f>HYPERLINK("http://www.informatics.jax.org/marker/MGI:1919257","MGI:1919257")</f>
        <v>MGI:1919257</v>
      </c>
      <c r="J1348" s="4" t="s">
        <v>12</v>
      </c>
    </row>
    <row r="1349" spans="1:10" x14ac:dyDescent="0.25">
      <c r="A1349" s="2">
        <v>89.229427174989695</v>
      </c>
      <c r="B1349" s="3">
        <v>0.67989788897747805</v>
      </c>
      <c r="C1349" s="3">
        <v>3.5188715018157199E-4</v>
      </c>
      <c r="D1349" s="4">
        <v>1.3371858448830601E-3</v>
      </c>
      <c r="E1349" s="3" t="s">
        <v>5495</v>
      </c>
      <c r="F1349" s="3" t="s">
        <v>5496</v>
      </c>
      <c r="G1349" s="3">
        <v>408067</v>
      </c>
      <c r="H1349" s="7" t="str">
        <f>HYPERLINK("http://www.ensembl.org/Mus_musculus/Gene/Summary?db=core;g=ENSMUSG00000059839","ENSMUSG00000059839")</f>
        <v>ENSMUSG00000059839</v>
      </c>
      <c r="I1349" s="7" t="str">
        <f>HYPERLINK("http://www.informatics.jax.org/marker/MGI:3040702","MGI:3040702")</f>
        <v>MGI:3040702</v>
      </c>
      <c r="J1349" s="4" t="s">
        <v>12</v>
      </c>
    </row>
    <row r="1350" spans="1:10" x14ac:dyDescent="0.25">
      <c r="A1350" s="2">
        <v>83.874180067906593</v>
      </c>
      <c r="B1350" s="3">
        <v>0.679838142159637</v>
      </c>
      <c r="C1350" s="5">
        <v>2.0645349961473001E-8</v>
      </c>
      <c r="D1350" s="6">
        <v>1.39252961897796E-7</v>
      </c>
      <c r="E1350" s="3" t="s">
        <v>13433</v>
      </c>
      <c r="F1350" s="3" t="s">
        <v>13434</v>
      </c>
      <c r="G1350" s="3">
        <v>21350</v>
      </c>
      <c r="H1350" s="7" t="str">
        <f>HYPERLINK("http://www.ensembl.org/Mus_musculus/Gene/Summary?db=core;g=ENSMUSG00000028417","ENSMUSG00000028417")</f>
        <v>ENSMUSG00000028417</v>
      </c>
      <c r="I1350" s="7" t="str">
        <f>HYPERLINK("http://www.informatics.jax.org/marker/MGI:99540","MGI:99540")</f>
        <v>MGI:99540</v>
      </c>
      <c r="J1350" s="4" t="s">
        <v>12</v>
      </c>
    </row>
    <row r="1351" spans="1:10" x14ac:dyDescent="0.25">
      <c r="A1351" s="2">
        <v>1427.3196846420999</v>
      </c>
      <c r="B1351" s="3">
        <v>0.67926334588354598</v>
      </c>
      <c r="C1351" s="5">
        <v>1.4320210617784E-8</v>
      </c>
      <c r="D1351" s="6">
        <v>9.8114976883125201E-8</v>
      </c>
      <c r="E1351" s="3" t="s">
        <v>6149</v>
      </c>
      <c r="F1351" s="3" t="s">
        <v>6150</v>
      </c>
      <c r="G1351" s="3">
        <v>11576</v>
      </c>
      <c r="H1351" s="7" t="str">
        <f>HYPERLINK("http://www.ensembl.org/Mus_musculus/Gene/Summary?db=core;g=ENSMUSG00000054932","ENSMUSG00000054932")</f>
        <v>ENSMUSG00000054932</v>
      </c>
      <c r="I1351" s="7" t="str">
        <f>HYPERLINK("http://www.informatics.jax.org/marker/MGI:87951","MGI:87951")</f>
        <v>MGI:87951</v>
      </c>
      <c r="J1351" s="4" t="s">
        <v>12</v>
      </c>
    </row>
    <row r="1352" spans="1:10" x14ac:dyDescent="0.25">
      <c r="A1352" s="2">
        <v>605.262618322869</v>
      </c>
      <c r="B1352" s="3">
        <v>0.67856551939393905</v>
      </c>
      <c r="C1352" s="5">
        <v>2.60502497640115E-11</v>
      </c>
      <c r="D1352" s="6">
        <v>2.3387477928527602E-10</v>
      </c>
      <c r="E1352" s="3" t="s">
        <v>3774</v>
      </c>
      <c r="F1352" s="3" t="s">
        <v>3775</v>
      </c>
      <c r="G1352" s="3">
        <v>16164</v>
      </c>
      <c r="H1352" s="7" t="str">
        <f>HYPERLINK("http://www.ensembl.org/Mus_musculus/Gene/Summary?db=core;g=ENSMUSG00000017057","ENSMUSG00000017057")</f>
        <v>ENSMUSG00000017057</v>
      </c>
      <c r="I1352" s="7" t="str">
        <f>HYPERLINK("http://www.informatics.jax.org/marker/MGI:105052","MGI:105052")</f>
        <v>MGI:105052</v>
      </c>
      <c r="J1352" s="4" t="s">
        <v>12</v>
      </c>
    </row>
    <row r="1353" spans="1:10" x14ac:dyDescent="0.25">
      <c r="A1353" s="2">
        <v>878.41760998613404</v>
      </c>
      <c r="B1353" s="3">
        <v>0.67680761037909698</v>
      </c>
      <c r="C1353" s="5">
        <v>9.8327297527362504E-22</v>
      </c>
      <c r="D1353" s="6">
        <v>1.6794892197152599E-20</v>
      </c>
      <c r="E1353" s="3" t="s">
        <v>1594</v>
      </c>
      <c r="F1353" s="3" t="s">
        <v>1595</v>
      </c>
      <c r="G1353" s="3">
        <v>53619</v>
      </c>
      <c r="H1353" s="7" t="str">
        <f>HYPERLINK("http://www.ensembl.org/Mus_musculus/Gene/Summary?db=core;g=ENSMUSG00000067787","ENSMUSG00000067787")</f>
        <v>ENSMUSG00000067787</v>
      </c>
      <c r="I1353" s="7" t="str">
        <f>HYPERLINK("http://www.informatics.jax.org/marker/MGI:1858907","MGI:1858907")</f>
        <v>MGI:1858907</v>
      </c>
      <c r="J1353" s="4" t="s">
        <v>12</v>
      </c>
    </row>
    <row r="1354" spans="1:10" x14ac:dyDescent="0.25">
      <c r="A1354" s="2">
        <v>2271.19427940279</v>
      </c>
      <c r="B1354" s="3">
        <v>0.67595967909410604</v>
      </c>
      <c r="C1354" s="5">
        <v>4.60361610719549E-30</v>
      </c>
      <c r="D1354" s="6">
        <v>1.1430640811122299E-28</v>
      </c>
      <c r="E1354" s="3" t="s">
        <v>940</v>
      </c>
      <c r="F1354" s="3" t="s">
        <v>941</v>
      </c>
      <c r="G1354" s="3">
        <v>74157</v>
      </c>
      <c r="H1354" s="7" t="str">
        <f>HYPERLINK("http://www.ensembl.org/Mus_musculus/Gene/Summary?db=core;g=ENSMUSG00000024019","ENSMUSG00000024019")</f>
        <v>ENSMUSG00000024019</v>
      </c>
      <c r="I1354" s="7" t="str">
        <f>HYPERLINK("http://www.informatics.jax.org/marker/MGI:1921407","MGI:1921407")</f>
        <v>MGI:1921407</v>
      </c>
      <c r="J1354" s="4" t="s">
        <v>12</v>
      </c>
    </row>
    <row r="1355" spans="1:10" x14ac:dyDescent="0.25">
      <c r="A1355" s="2">
        <v>1804.3684016156501</v>
      </c>
      <c r="B1355" s="3">
        <v>0.67554200304319401</v>
      </c>
      <c r="C1355" s="5">
        <v>8.8720247858956706E-33</v>
      </c>
      <c r="D1355" s="6">
        <v>2.42417768700073E-31</v>
      </c>
      <c r="E1355" s="3" t="s">
        <v>3400</v>
      </c>
      <c r="F1355" s="3" t="s">
        <v>3401</v>
      </c>
      <c r="G1355" s="3">
        <v>224273</v>
      </c>
      <c r="H1355" s="7" t="str">
        <f>HYPERLINK("http://www.ensembl.org/Mus_musculus/Gene/Summary?db=core;g=ENSMUSG00000022723","ENSMUSG00000022723")</f>
        <v>ENSMUSG00000022723</v>
      </c>
      <c r="I1355" s="7" t="str">
        <f>HYPERLINK("http://www.informatics.jax.org/marker/MGI:2676311","MGI:2676311")</f>
        <v>MGI:2676311</v>
      </c>
      <c r="J1355" s="4" t="s">
        <v>12</v>
      </c>
    </row>
    <row r="1356" spans="1:10" x14ac:dyDescent="0.25">
      <c r="A1356" s="2">
        <v>28.585421013178198</v>
      </c>
      <c r="B1356" s="3">
        <v>0.673106706133762</v>
      </c>
      <c r="C1356" s="3">
        <v>3.3153697068745901E-2</v>
      </c>
      <c r="D1356" s="4">
        <v>8.02851619821809E-2</v>
      </c>
      <c r="E1356" s="3" t="s">
        <v>9293</v>
      </c>
      <c r="F1356" s="3" t="s">
        <v>9294</v>
      </c>
      <c r="G1356" s="3">
        <v>230979</v>
      </c>
      <c r="H1356" s="7" t="str">
        <f>HYPERLINK("http://www.ensembl.org/Mus_musculus/Gene/Summary?db=core;g=ENSMUSG00000042333","ENSMUSG00000042333")</f>
        <v>ENSMUSG00000042333</v>
      </c>
      <c r="I1356" s="7" t="str">
        <f>HYPERLINK("http://www.informatics.jax.org/marker/MGI:2675303","MGI:2675303")</f>
        <v>MGI:2675303</v>
      </c>
      <c r="J1356" s="4" t="s">
        <v>12</v>
      </c>
    </row>
    <row r="1357" spans="1:10" x14ac:dyDescent="0.25">
      <c r="A1357" s="2">
        <v>1382.5013361259</v>
      </c>
      <c r="B1357" s="3">
        <v>0.67293492804016997</v>
      </c>
      <c r="C1357" s="5">
        <v>1.9014483659029901E-26</v>
      </c>
      <c r="D1357" s="6">
        <v>4.0578333101384099E-25</v>
      </c>
      <c r="E1357" s="3" t="s">
        <v>2920</v>
      </c>
      <c r="F1357" s="3" t="s">
        <v>2921</v>
      </c>
      <c r="G1357" s="3">
        <v>17972</v>
      </c>
      <c r="H1357" s="7" t="str">
        <f>HYPERLINK("http://www.ensembl.org/Mus_musculus/Gene/Summary?db=core;g=ENSMUSG00000071715","ENSMUSG00000071715")</f>
        <v>ENSMUSG00000071715</v>
      </c>
      <c r="I1357" s="7" t="str">
        <f>HYPERLINK("http://www.informatics.jax.org/marker/MGI:109186","MGI:109186")</f>
        <v>MGI:109186</v>
      </c>
      <c r="J1357" s="4" t="s">
        <v>12</v>
      </c>
    </row>
    <row r="1358" spans="1:10" x14ac:dyDescent="0.25">
      <c r="A1358" s="2">
        <v>467.51262727541098</v>
      </c>
      <c r="B1358" s="3">
        <v>0.67280960026580905</v>
      </c>
      <c r="C1358" s="5">
        <v>3.57762710977584E-21</v>
      </c>
      <c r="D1358" s="6">
        <v>5.9328711624808595E-20</v>
      </c>
      <c r="E1358" s="3" t="s">
        <v>2113</v>
      </c>
      <c r="F1358" s="3" t="s">
        <v>2114</v>
      </c>
      <c r="G1358" s="3">
        <v>70556</v>
      </c>
      <c r="H1358" s="7" t="str">
        <f>HYPERLINK("http://www.ensembl.org/Mus_musculus/Gene/Summary?db=core;g=ENSMUSG00000028982","ENSMUSG00000028982")</f>
        <v>ENSMUSG00000028982</v>
      </c>
      <c r="I1358" s="7" t="str">
        <f>HYPERLINK("http://www.informatics.jax.org/marker/MGI:1917806","MGI:1917806")</f>
        <v>MGI:1917806</v>
      </c>
      <c r="J1358" s="4" t="s">
        <v>12</v>
      </c>
    </row>
    <row r="1359" spans="1:10" x14ac:dyDescent="0.25">
      <c r="A1359" s="2">
        <v>1.3343964780887301</v>
      </c>
      <c r="B1359" s="3">
        <v>0.67264855098021603</v>
      </c>
      <c r="C1359" s="3">
        <v>0.14605337487094799</v>
      </c>
      <c r="D1359" s="4">
        <v>0.27609405217540001</v>
      </c>
      <c r="E1359" s="3" t="s">
        <v>13445</v>
      </c>
      <c r="F1359" s="3" t="s">
        <v>13446</v>
      </c>
      <c r="G1359" s="3">
        <v>228785</v>
      </c>
      <c r="H1359" s="7" t="str">
        <f>HYPERLINK("http://www.ensembl.org/Mus_musculus/Gene/Summary?db=core;g=ENSMUSG00000027470","ENSMUSG00000027470")</f>
        <v>ENSMUSG00000027470</v>
      </c>
      <c r="I1359" s="7" t="str">
        <f>HYPERLINK("http://www.informatics.jax.org/marker/MGI:2139434","MGI:2139434")</f>
        <v>MGI:2139434</v>
      </c>
      <c r="J1359" s="4" t="s">
        <v>12</v>
      </c>
    </row>
    <row r="1360" spans="1:10" x14ac:dyDescent="0.25">
      <c r="A1360" s="2">
        <v>134.28815161290601</v>
      </c>
      <c r="B1360" s="3">
        <v>0.67170465953576997</v>
      </c>
      <c r="C1360" s="5">
        <v>3.28169817741906E-11</v>
      </c>
      <c r="D1360" s="6">
        <v>2.9246429967463302E-10</v>
      </c>
      <c r="E1360" s="3" t="s">
        <v>4387</v>
      </c>
      <c r="F1360" s="3" t="s">
        <v>4388</v>
      </c>
      <c r="G1360" s="3">
        <v>94043</v>
      </c>
      <c r="H1360" s="7" t="str">
        <f>HYPERLINK("http://www.ensembl.org/Mus_musculus/Gene/Summary?db=core;g=ENSMUSG00000028563","ENSMUSG00000028563")</f>
        <v>ENSMUSG00000028563</v>
      </c>
      <c r="I1360" s="7" t="str">
        <f>HYPERLINK("http://www.informatics.jax.org/marker/MGI:2137022","MGI:2137022")</f>
        <v>MGI:2137022</v>
      </c>
      <c r="J1360" s="4" t="s">
        <v>12</v>
      </c>
    </row>
    <row r="1361" spans="1:10" x14ac:dyDescent="0.25">
      <c r="A1361" s="2">
        <v>302.78872002810101</v>
      </c>
      <c r="B1361" s="3">
        <v>0.67158111833498901</v>
      </c>
      <c r="C1361" s="5">
        <v>4.9702109557277303E-15</v>
      </c>
      <c r="D1361" s="6">
        <v>5.8289636208582901E-14</v>
      </c>
      <c r="E1361" s="3" t="s">
        <v>3650</v>
      </c>
      <c r="F1361" s="3" t="s">
        <v>3651</v>
      </c>
      <c r="G1361" s="3" t="s">
        <v>83</v>
      </c>
      <c r="H1361" s="7" t="str">
        <f>HYPERLINK("http://www.ensembl.org/Mus_musculus/Gene/Summary?db=core;g=ENSMUSG00000079179","ENSMUSG00000079179")</f>
        <v>ENSMUSG00000079179</v>
      </c>
      <c r="I1361" s="7" t="str">
        <f>HYPERLINK("http://www.informatics.jax.org/marker/MGI:1921423","MGI:1921423")</f>
        <v>MGI:1921423</v>
      </c>
      <c r="J1361" s="4" t="s">
        <v>932</v>
      </c>
    </row>
    <row r="1362" spans="1:10" x14ac:dyDescent="0.25">
      <c r="A1362" s="2">
        <v>2573.1627602273202</v>
      </c>
      <c r="B1362" s="3">
        <v>0.67105697754640703</v>
      </c>
      <c r="C1362" s="5">
        <v>9.8022144604394696E-17</v>
      </c>
      <c r="D1362" s="6">
        <v>1.2861436900036699E-15</v>
      </c>
      <c r="E1362" s="3" t="s">
        <v>9915</v>
      </c>
      <c r="F1362" s="3" t="s">
        <v>9916</v>
      </c>
      <c r="G1362" s="3">
        <v>58207</v>
      </c>
      <c r="H1362" s="7" t="str">
        <f>HYPERLINK("http://www.ensembl.org/Mus_musculus/Gene/Summary?db=core;g=ENSMUSG00000027074","ENSMUSG00000027074")</f>
        <v>ENSMUSG00000027074</v>
      </c>
      <c r="I1362" s="7" t="str">
        <f>HYPERLINK("http://www.informatics.jax.org/marker/MGI:1931054","MGI:1931054")</f>
        <v>MGI:1931054</v>
      </c>
      <c r="J1362" s="4" t="s">
        <v>12</v>
      </c>
    </row>
    <row r="1363" spans="1:10" x14ac:dyDescent="0.25">
      <c r="A1363" s="2">
        <v>1.4653503518453399</v>
      </c>
      <c r="B1363" s="3">
        <v>0.67104077548133201</v>
      </c>
      <c r="C1363" s="3">
        <v>0.139540217144452</v>
      </c>
      <c r="D1363" s="4">
        <v>0.26660241717765398</v>
      </c>
      <c r="E1363" s="3" t="s">
        <v>11010</v>
      </c>
      <c r="F1363" s="3" t="s">
        <v>11011</v>
      </c>
      <c r="G1363" s="3">
        <v>12833</v>
      </c>
      <c r="H1363" s="7" t="str">
        <f>HYPERLINK("http://www.ensembl.org/Mus_musculus/Gene/Summary?db=core;g=ENSMUSG00000001119","ENSMUSG00000001119")</f>
        <v>ENSMUSG00000001119</v>
      </c>
      <c r="I1363" s="7" t="str">
        <f>HYPERLINK("http://www.informatics.jax.org/marker/MGI:88459","MGI:88459")</f>
        <v>MGI:88459</v>
      </c>
      <c r="J1363" s="4" t="s">
        <v>12</v>
      </c>
    </row>
    <row r="1364" spans="1:10" x14ac:dyDescent="0.25">
      <c r="A1364" s="2">
        <v>1183.54011993125</v>
      </c>
      <c r="B1364" s="3">
        <v>0.67060566558333501</v>
      </c>
      <c r="C1364" s="5">
        <v>3.13233307108849E-16</v>
      </c>
      <c r="D1364" s="6">
        <v>3.9976729846349897E-15</v>
      </c>
      <c r="E1364" s="3" t="s">
        <v>4665</v>
      </c>
      <c r="F1364" s="3" t="s">
        <v>4666</v>
      </c>
      <c r="G1364" s="3">
        <v>18438</v>
      </c>
      <c r="H1364" s="7" t="str">
        <f>HYPERLINK("http://www.ensembl.org/Mus_musculus/Gene/Summary?db=core;g=ENSMUSG00000029470","ENSMUSG00000029470")</f>
        <v>ENSMUSG00000029470</v>
      </c>
      <c r="I1364" s="7" t="str">
        <f>HYPERLINK("http://www.informatics.jax.org/marker/MGI:1338859","MGI:1338859")</f>
        <v>MGI:1338859</v>
      </c>
      <c r="J1364" s="4" t="s">
        <v>12</v>
      </c>
    </row>
    <row r="1365" spans="1:10" x14ac:dyDescent="0.25">
      <c r="A1365" s="2">
        <v>99.086080602751693</v>
      </c>
      <c r="B1365" s="3">
        <v>0.66972257415074099</v>
      </c>
      <c r="C1365" s="5">
        <v>1.9313900996105498E-6</v>
      </c>
      <c r="D1365" s="6">
        <v>1.0371120968003101E-5</v>
      </c>
      <c r="E1365" s="3" t="s">
        <v>9557</v>
      </c>
      <c r="F1365" s="3" t="s">
        <v>9558</v>
      </c>
      <c r="G1365" s="3" t="s">
        <v>83</v>
      </c>
      <c r="H1365" s="7" t="str">
        <f>HYPERLINK("http://www.ensembl.org/Mus_musculus/Gene/Summary?db=core;g=ENSMUSG00000085761","ENSMUSG00000085761")</f>
        <v>ENSMUSG00000085761</v>
      </c>
      <c r="I1365" s="7" t="str">
        <f>HYPERLINK("http://www.informatics.jax.org/marker/MGI:1926167","MGI:1926167")</f>
        <v>MGI:1926167</v>
      </c>
      <c r="J1365" s="4" t="s">
        <v>932</v>
      </c>
    </row>
    <row r="1366" spans="1:10" x14ac:dyDescent="0.25">
      <c r="A1366" s="2">
        <v>5356.12330466616</v>
      </c>
      <c r="B1366" s="3">
        <v>0.66951835404269799</v>
      </c>
      <c r="C1366" s="5">
        <v>6.5807700007502996E-18</v>
      </c>
      <c r="D1366" s="6">
        <v>9.2115616945986394E-17</v>
      </c>
      <c r="E1366" s="3" t="s">
        <v>2047</v>
      </c>
      <c r="F1366" s="3" t="s">
        <v>2048</v>
      </c>
      <c r="G1366" s="3">
        <v>27060</v>
      </c>
      <c r="H1366" s="7" t="str">
        <f>HYPERLINK("http://www.ensembl.org/Mus_musculus/Gene/Summary?db=core;g=ENSMUSG00000001750","ENSMUSG00000001750")</f>
        <v>ENSMUSG00000001750</v>
      </c>
      <c r="I1366" s="7" t="str">
        <f>HYPERLINK("http://www.informatics.jax.org/marker/MGI:1350931","MGI:1350931")</f>
        <v>MGI:1350931</v>
      </c>
      <c r="J1366" s="4" t="s">
        <v>12</v>
      </c>
    </row>
    <row r="1367" spans="1:10" x14ac:dyDescent="0.25">
      <c r="A1367" s="2">
        <v>253.28794581814199</v>
      </c>
      <c r="B1367" s="3">
        <v>0.66919769937734697</v>
      </c>
      <c r="C1367" s="5">
        <v>7.2771186916856394E-5</v>
      </c>
      <c r="D1367" s="4">
        <v>3.1074388040293099E-4</v>
      </c>
      <c r="E1367" s="3" t="s">
        <v>7696</v>
      </c>
      <c r="F1367" s="3" t="s">
        <v>7697</v>
      </c>
      <c r="G1367" s="3">
        <v>67103</v>
      </c>
      <c r="H1367" s="7" t="str">
        <f>HYPERLINK("http://www.ensembl.org/Mus_musculus/Gene/Summary?db=core;g=ENSMUSG00000028378","ENSMUSG00000028378")</f>
        <v>ENSMUSG00000028378</v>
      </c>
      <c r="I1367" s="7" t="str">
        <f>HYPERLINK("http://www.informatics.jax.org/marker/MGI:1914353","MGI:1914353")</f>
        <v>MGI:1914353</v>
      </c>
      <c r="J1367" s="4" t="s">
        <v>12</v>
      </c>
    </row>
    <row r="1368" spans="1:10" x14ac:dyDescent="0.25">
      <c r="A1368" s="2">
        <v>93.499811261092702</v>
      </c>
      <c r="B1368" s="3">
        <v>0.66881218921614205</v>
      </c>
      <c r="C1368" s="5">
        <v>6.4481875444691005E-8</v>
      </c>
      <c r="D1368" s="6">
        <v>4.1075923802149399E-7</v>
      </c>
      <c r="E1368" s="3" t="s">
        <v>8207</v>
      </c>
      <c r="F1368" s="3" t="s">
        <v>8208</v>
      </c>
      <c r="G1368" s="3" t="s">
        <v>83</v>
      </c>
      <c r="H1368" s="7" t="str">
        <f>HYPERLINK("http://www.ensembl.org/Mus_musculus/Gene/Summary?db=core;g=ENSMUSG00000060149","ENSMUSG00000060149")</f>
        <v>ENSMUSG00000060149</v>
      </c>
      <c r="I1368" s="7" t="str">
        <f>HYPERLINK("http://www.informatics.jax.org/marker/MGI:2384864","MGI:2384864")</f>
        <v>MGI:2384864</v>
      </c>
      <c r="J1368" s="4" t="s">
        <v>939</v>
      </c>
    </row>
    <row r="1369" spans="1:10" x14ac:dyDescent="0.25">
      <c r="A1369" s="2">
        <v>974.51377282906105</v>
      </c>
      <c r="B1369" s="3">
        <v>0.66823585277342101</v>
      </c>
      <c r="C1369" s="5">
        <v>2.39337398556241E-24</v>
      </c>
      <c r="D1369" s="6">
        <v>4.6157926864417899E-23</v>
      </c>
      <c r="E1369" s="3" t="s">
        <v>1584</v>
      </c>
      <c r="F1369" s="3" t="s">
        <v>1585</v>
      </c>
      <c r="G1369" s="3">
        <v>83431</v>
      </c>
      <c r="H1369" s="7" t="str">
        <f>HYPERLINK("http://www.ensembl.org/Mus_musculus/Gene/Summary?db=core;g=ENSMUSG00000018736","ENSMUSG00000018736")</f>
        <v>ENSMUSG00000018736</v>
      </c>
      <c r="I1369" s="7" t="str">
        <f>HYPERLINK("http://www.informatics.jax.org/marker/MGI:1932915","MGI:1932915")</f>
        <v>MGI:1932915</v>
      </c>
      <c r="J1369" s="4" t="s">
        <v>12</v>
      </c>
    </row>
    <row r="1370" spans="1:10" x14ac:dyDescent="0.25">
      <c r="A1370" s="2">
        <v>917.91413976382296</v>
      </c>
      <c r="B1370" s="3">
        <v>0.66820470168923496</v>
      </c>
      <c r="C1370" s="5">
        <v>3.4228884281254698E-11</v>
      </c>
      <c r="D1370" s="6">
        <v>3.0430312976871602E-10</v>
      </c>
      <c r="E1370" s="3" t="s">
        <v>9833</v>
      </c>
      <c r="F1370" s="3" t="s">
        <v>9834</v>
      </c>
      <c r="G1370" s="3">
        <v>228413</v>
      </c>
      <c r="H1370" s="7" t="str">
        <f>HYPERLINK("http://www.ensembl.org/Mus_musculus/Gene/Summary?db=core;g=ENSMUSG00000027171","ENSMUSG00000027171")</f>
        <v>ENSMUSG00000027171</v>
      </c>
      <c r="I1370" s="7" t="str">
        <f>HYPERLINK("http://www.informatics.jax.org/marker/MGI:2442211","MGI:2442211")</f>
        <v>MGI:2442211</v>
      </c>
      <c r="J1370" s="4" t="s">
        <v>12</v>
      </c>
    </row>
    <row r="1371" spans="1:10" x14ac:dyDescent="0.25">
      <c r="A1371" s="2">
        <v>2305.1449202357599</v>
      </c>
      <c r="B1371" s="3">
        <v>0.66813265925237497</v>
      </c>
      <c r="C1371" s="5">
        <v>7.9704523321373302E-19</v>
      </c>
      <c r="D1371" s="6">
        <v>1.1752548038285E-17</v>
      </c>
      <c r="E1371" s="3" t="s">
        <v>4993</v>
      </c>
      <c r="F1371" s="3" t="s">
        <v>4994</v>
      </c>
      <c r="G1371" s="3">
        <v>243780</v>
      </c>
      <c r="H1371" s="7" t="str">
        <f>HYPERLINK("http://www.ensembl.org/Mus_musculus/Gene/Summary?db=core;g=ENSMUSG00000037172","ENSMUSG00000037172")</f>
        <v>ENSMUSG00000037172</v>
      </c>
      <c r="I1371" s="7" t="str">
        <f>HYPERLINK("http://www.informatics.jax.org/marker/MGI:2444256","MGI:2444256")</f>
        <v>MGI:2444256</v>
      </c>
      <c r="J1371" s="4" t="s">
        <v>12</v>
      </c>
    </row>
    <row r="1372" spans="1:10" x14ac:dyDescent="0.25">
      <c r="A1372" s="2">
        <v>587.65165519017</v>
      </c>
      <c r="B1372" s="3">
        <v>0.66812845649974195</v>
      </c>
      <c r="C1372" s="5">
        <v>2.4992086760666398E-15</v>
      </c>
      <c r="D1372" s="6">
        <v>2.9887190368316601E-14</v>
      </c>
      <c r="E1372" s="3" t="s">
        <v>1736</v>
      </c>
      <c r="F1372" s="3" t="s">
        <v>1737</v>
      </c>
      <c r="G1372" s="3">
        <v>56289</v>
      </c>
      <c r="H1372" s="7" t="str">
        <f>HYPERLINK("http://www.ensembl.org/Mus_musculus/Gene/Summary?db=core;g=ENSMUSG00000010067","ENSMUSG00000010067")</f>
        <v>ENSMUSG00000010067</v>
      </c>
      <c r="I1372" s="7" t="str">
        <f>HYPERLINK("http://www.informatics.jax.org/marker/MGI:1928386","MGI:1928386")</f>
        <v>MGI:1928386</v>
      </c>
      <c r="J1372" s="4" t="s">
        <v>12</v>
      </c>
    </row>
    <row r="1373" spans="1:10" x14ac:dyDescent="0.25">
      <c r="A1373" s="2">
        <v>1626.5514983317901</v>
      </c>
      <c r="B1373" s="3">
        <v>0.66712385036551503</v>
      </c>
      <c r="C1373" s="5">
        <v>2.5669274457548699E-23</v>
      </c>
      <c r="D1373" s="6">
        <v>4.7542939734636696E-22</v>
      </c>
      <c r="E1373" s="3" t="s">
        <v>3200</v>
      </c>
      <c r="F1373" s="3" t="s">
        <v>3201</v>
      </c>
      <c r="G1373" s="3">
        <v>380921</v>
      </c>
      <c r="H1373" s="7" t="str">
        <f>HYPERLINK("http://www.ensembl.org/Mus_musculus/Gene/Summary?db=core;g=ENSMUSG00000034731","ENSMUSG00000034731")</f>
        <v>ENSMUSG00000034731</v>
      </c>
      <c r="I1373" s="7" t="str">
        <f>HYPERLINK("http://www.informatics.jax.org/marker/MGI:2444188","MGI:2444188")</f>
        <v>MGI:2444188</v>
      </c>
      <c r="J1373" s="4" t="s">
        <v>12</v>
      </c>
    </row>
    <row r="1374" spans="1:10" x14ac:dyDescent="0.25">
      <c r="A1374" s="2">
        <v>261.19739471732203</v>
      </c>
      <c r="B1374" s="3">
        <v>0.66699453940132702</v>
      </c>
      <c r="C1374" s="5">
        <v>3.0875302348612603E-8</v>
      </c>
      <c r="D1374" s="6">
        <v>2.0395157133144799E-7</v>
      </c>
      <c r="E1374" s="3" t="s">
        <v>2686</v>
      </c>
      <c r="F1374" s="3" t="s">
        <v>2687</v>
      </c>
      <c r="G1374" s="3">
        <v>67035</v>
      </c>
      <c r="H1374" s="7" t="str">
        <f>HYPERLINK("http://www.ensembl.org/Mus_musculus/Gene/Summary?db=core;g=ENSMUSG00000028035","ENSMUSG00000028035")</f>
        <v>ENSMUSG00000028035</v>
      </c>
      <c r="I1374" s="7" t="str">
        <f>HYPERLINK("http://www.informatics.jax.org/marker/MGI:1914285","MGI:1914285")</f>
        <v>MGI:1914285</v>
      </c>
      <c r="J1374" s="4" t="s">
        <v>12</v>
      </c>
    </row>
    <row r="1375" spans="1:10" x14ac:dyDescent="0.25">
      <c r="A1375" s="2">
        <v>563.40822231967502</v>
      </c>
      <c r="B1375" s="3">
        <v>0.66686587342769998</v>
      </c>
      <c r="C1375" s="5">
        <v>1.1896198003560301E-19</v>
      </c>
      <c r="D1375" s="6">
        <v>1.8249849210007298E-18</v>
      </c>
      <c r="E1375" s="3" t="s">
        <v>3396</v>
      </c>
      <c r="F1375" s="3" t="s">
        <v>3397</v>
      </c>
      <c r="G1375" s="3">
        <v>76792</v>
      </c>
      <c r="H1375" s="7" t="str">
        <f>HYPERLINK("http://www.ensembl.org/Mus_musculus/Gene/Summary?db=core;g=ENSMUSG00000032840","ENSMUSG00000032840")</f>
        <v>ENSMUSG00000032840</v>
      </c>
      <c r="I1375" s="7" t="str">
        <f>HYPERLINK("http://www.informatics.jax.org/marker/MGI:1924042","MGI:1924042")</f>
        <v>MGI:1924042</v>
      </c>
      <c r="J1375" s="4" t="s">
        <v>12</v>
      </c>
    </row>
    <row r="1376" spans="1:10" x14ac:dyDescent="0.25">
      <c r="A1376" s="2">
        <v>75.198050842648399</v>
      </c>
      <c r="B1376" s="3">
        <v>0.66656074427272305</v>
      </c>
      <c r="C1376" s="5">
        <v>1.6289446027439899E-5</v>
      </c>
      <c r="D1376" s="6">
        <v>7.7130463458064801E-5</v>
      </c>
      <c r="E1376" s="3" t="s">
        <v>11189</v>
      </c>
      <c r="F1376" s="3" t="s">
        <v>11190</v>
      </c>
      <c r="G1376" s="3" t="s">
        <v>83</v>
      </c>
      <c r="H1376" s="7" t="str">
        <f>HYPERLINK("http://www.ensembl.org/Mus_musculus/Gene/Summary?db=core;g=ENSMUSG00000080242","ENSMUSG00000080242")</f>
        <v>ENSMUSG00000080242</v>
      </c>
      <c r="I1376" s="7" t="str">
        <f>HYPERLINK("http://www.informatics.jax.org/marker/MGI:2151816","MGI:2151816")</f>
        <v>MGI:2151816</v>
      </c>
      <c r="J1376" s="4" t="s">
        <v>1043</v>
      </c>
    </row>
    <row r="1377" spans="1:10" x14ac:dyDescent="0.25">
      <c r="A1377" s="2">
        <v>1152.9460402816101</v>
      </c>
      <c r="B1377" s="3">
        <v>0.66622922305627397</v>
      </c>
      <c r="C1377" s="5">
        <v>1.04003505230996E-17</v>
      </c>
      <c r="D1377" s="6">
        <v>1.4425143704983999E-16</v>
      </c>
      <c r="E1377" s="3" t="s">
        <v>2489</v>
      </c>
      <c r="F1377" s="3" t="s">
        <v>2490</v>
      </c>
      <c r="G1377" s="3">
        <v>14042</v>
      </c>
      <c r="H1377" s="7" t="str">
        <f>HYPERLINK("http://www.ensembl.org/Mus_musculus/Gene/Summary?db=core;g=ENSMUSG00000061731","ENSMUSG00000061731")</f>
        <v>ENSMUSG00000061731</v>
      </c>
      <c r="I1377" s="7" t="str">
        <f>HYPERLINK("http://www.informatics.jax.org/marker/MGI:894663","MGI:894663")</f>
        <v>MGI:894663</v>
      </c>
      <c r="J1377" s="4" t="s">
        <v>12</v>
      </c>
    </row>
    <row r="1378" spans="1:10" x14ac:dyDescent="0.25">
      <c r="A1378" s="2">
        <v>915.511881382571</v>
      </c>
      <c r="B1378" s="3">
        <v>0.66611986972122395</v>
      </c>
      <c r="C1378" s="5">
        <v>3.5122914837482699E-8</v>
      </c>
      <c r="D1378" s="6">
        <v>2.29761350650797E-7</v>
      </c>
      <c r="E1378" s="3" t="s">
        <v>7318</v>
      </c>
      <c r="F1378" s="3" t="s">
        <v>7319</v>
      </c>
      <c r="G1378" s="3">
        <v>17684</v>
      </c>
      <c r="H1378" s="7" t="str">
        <f>HYPERLINK("http://www.ensembl.org/Mus_musculus/Gene/Summary?db=core;g=ENSMUSG00000039910","ENSMUSG00000039910")</f>
        <v>ENSMUSG00000039910</v>
      </c>
      <c r="I1378" s="7" t="str">
        <f>HYPERLINK("http://www.informatics.jax.org/marker/MGI:1306784","MGI:1306784")</f>
        <v>MGI:1306784</v>
      </c>
      <c r="J1378" s="4" t="s">
        <v>12</v>
      </c>
    </row>
    <row r="1379" spans="1:10" x14ac:dyDescent="0.25">
      <c r="A1379" s="2">
        <v>1128.47524925469</v>
      </c>
      <c r="B1379" s="3">
        <v>0.66605244443167599</v>
      </c>
      <c r="C1379" s="5">
        <v>2.16294570545202E-36</v>
      </c>
      <c r="D1379" s="6">
        <v>6.6029623922718703E-35</v>
      </c>
      <c r="E1379" s="3" t="s">
        <v>1424</v>
      </c>
      <c r="F1379" s="3" t="s">
        <v>1425</v>
      </c>
      <c r="G1379" s="3">
        <v>11544</v>
      </c>
      <c r="H1379" s="7" t="str">
        <f>HYPERLINK("http://www.ensembl.org/Mus_musculus/Gene/Summary?db=core;g=ENSMUSG00000002844","ENSMUSG00000002844")</f>
        <v>ENSMUSG00000002844</v>
      </c>
      <c r="I1379" s="7" t="str">
        <f>HYPERLINK("http://www.informatics.jax.org/marker/MGI:1098234","MGI:1098234")</f>
        <v>MGI:1098234</v>
      </c>
      <c r="J1379" s="4" t="s">
        <v>12</v>
      </c>
    </row>
    <row r="1380" spans="1:10" x14ac:dyDescent="0.25">
      <c r="A1380" s="2">
        <v>238.68516398774901</v>
      </c>
      <c r="B1380" s="3">
        <v>0.66336030236511201</v>
      </c>
      <c r="C1380" s="5">
        <v>4.2672171772602003E-8</v>
      </c>
      <c r="D1380" s="6">
        <v>2.7597598671244498E-7</v>
      </c>
      <c r="E1380" s="3" t="s">
        <v>7190</v>
      </c>
      <c r="F1380" s="3" t="s">
        <v>7191</v>
      </c>
      <c r="G1380" s="3" t="s">
        <v>83</v>
      </c>
      <c r="H1380" s="7" t="str">
        <f>HYPERLINK("http://www.ensembl.org/Mus_musculus/Gene/Summary?db=core;g=ENSMUSG00000118087","ENSMUSG00000118087")</f>
        <v>ENSMUSG00000118087</v>
      </c>
      <c r="I1380" s="7" t="str">
        <f>HYPERLINK("http://www.informatics.jax.org/marker/MGI:2147599","MGI:2147599")</f>
        <v>MGI:2147599</v>
      </c>
      <c r="J1380" s="4" t="s">
        <v>3187</v>
      </c>
    </row>
    <row r="1381" spans="1:10" x14ac:dyDescent="0.25">
      <c r="A1381" s="2">
        <v>2954.9420650700299</v>
      </c>
      <c r="B1381" s="3">
        <v>0.66243407710443603</v>
      </c>
      <c r="C1381" s="5">
        <v>1.15788919079441E-46</v>
      </c>
      <c r="D1381" s="6">
        <v>5.0849471089706301E-45</v>
      </c>
      <c r="E1381" s="3" t="s">
        <v>836</v>
      </c>
      <c r="F1381" s="3" t="s">
        <v>837</v>
      </c>
      <c r="G1381" s="3">
        <v>12915</v>
      </c>
      <c r="H1381" s="7" t="str">
        <f>HYPERLINK("http://www.ensembl.org/Mus_musculus/Gene/Summary?db=core;g=ENSMUSG00000015461","ENSMUSG00000015461")</f>
        <v>ENSMUSG00000015461</v>
      </c>
      <c r="I1381" s="7" t="str">
        <f>HYPERLINK("http://www.informatics.jax.org/marker/MGI:105121","MGI:105121")</f>
        <v>MGI:105121</v>
      </c>
      <c r="J1381" s="4" t="s">
        <v>12</v>
      </c>
    </row>
    <row r="1382" spans="1:10" x14ac:dyDescent="0.25">
      <c r="A1382" s="2">
        <v>3375.0529675415301</v>
      </c>
      <c r="B1382" s="3">
        <v>0.66199158775689204</v>
      </c>
      <c r="C1382" s="5">
        <v>1.06236530772726E-48</v>
      </c>
      <c r="D1382" s="6">
        <v>4.9391856462574596E-47</v>
      </c>
      <c r="E1382" s="3" t="s">
        <v>484</v>
      </c>
      <c r="F1382" s="3" t="s">
        <v>485</v>
      </c>
      <c r="G1382" s="3">
        <v>19325</v>
      </c>
      <c r="H1382" s="7" t="str">
        <f>HYPERLINK("http://www.ensembl.org/Mus_musculus/Gene/Summary?db=core;g=ENSMUSG00000020671","ENSMUSG00000020671")</f>
        <v>ENSMUSG00000020671</v>
      </c>
      <c r="I1382" s="7" t="str">
        <f>HYPERLINK("http://www.informatics.jax.org/marker/MGI:105066","MGI:105066")</f>
        <v>MGI:105066</v>
      </c>
      <c r="J1382" s="4" t="s">
        <v>12</v>
      </c>
    </row>
    <row r="1383" spans="1:10" x14ac:dyDescent="0.25">
      <c r="A1383" s="2">
        <v>1247.3762512206199</v>
      </c>
      <c r="B1383" s="3">
        <v>0.66186689871506599</v>
      </c>
      <c r="C1383" s="5">
        <v>5.3698092814850799E-25</v>
      </c>
      <c r="D1383" s="6">
        <v>1.0695603732794E-23</v>
      </c>
      <c r="E1383" s="3" t="s">
        <v>1804</v>
      </c>
      <c r="F1383" s="3" t="s">
        <v>1805</v>
      </c>
      <c r="G1383" s="3" t="s">
        <v>83</v>
      </c>
      <c r="H1383" s="7" t="str">
        <f>HYPERLINK("http://www.ensembl.org/Mus_musculus/Gene/Summary?db=core;g=ENSMUSG00000098650","ENSMUSG00000098650")</f>
        <v>ENSMUSG00000098650</v>
      </c>
      <c r="I1383" s="7" t="str">
        <f>HYPERLINK("http://www.informatics.jax.org/marker/MGI:5547784","MGI:5547784")</f>
        <v>MGI:5547784</v>
      </c>
      <c r="J1383" s="4" t="s">
        <v>12</v>
      </c>
    </row>
    <row r="1384" spans="1:10" x14ac:dyDescent="0.25">
      <c r="A1384" s="2">
        <v>500.13389642733301</v>
      </c>
      <c r="B1384" s="3">
        <v>0.66181864665843304</v>
      </c>
      <c r="C1384" s="5">
        <v>5.0891985569956899E-10</v>
      </c>
      <c r="D1384" s="6">
        <v>4.0751600923219001E-9</v>
      </c>
      <c r="E1384" s="3" t="s">
        <v>5211</v>
      </c>
      <c r="F1384" s="3" t="s">
        <v>5212</v>
      </c>
      <c r="G1384" s="3">
        <v>74190</v>
      </c>
      <c r="H1384" s="7" t="str">
        <f>HYPERLINK("http://www.ensembl.org/Mus_musculus/Gene/Summary?db=core;g=ENSMUSG00000021280","ENSMUSG00000021280")</f>
        <v>ENSMUSG00000021280</v>
      </c>
      <c r="I1384" s="7" t="str">
        <f>HYPERLINK("http://www.informatics.jax.org/marker/MGI:1921363","MGI:1921363")</f>
        <v>MGI:1921363</v>
      </c>
      <c r="J1384" s="4" t="s">
        <v>12</v>
      </c>
    </row>
    <row r="1385" spans="1:10" x14ac:dyDescent="0.25">
      <c r="A1385" s="2">
        <v>56.083936420524402</v>
      </c>
      <c r="B1385" s="3">
        <v>0.65947788110557104</v>
      </c>
      <c r="C1385" s="3">
        <v>9.3632052388150505E-4</v>
      </c>
      <c r="D1385" s="4">
        <v>3.3109122133760998E-3</v>
      </c>
      <c r="E1385" s="3" t="s">
        <v>11020</v>
      </c>
      <c r="F1385" s="3" t="s">
        <v>11021</v>
      </c>
      <c r="G1385" s="3">
        <v>107934</v>
      </c>
      <c r="H1385" s="7" t="str">
        <f>HYPERLINK("http://www.ensembl.org/Mus_musculus/Gene/Summary?db=core;g=ENSMUSG00000023473","ENSMUSG00000023473")</f>
        <v>ENSMUSG00000023473</v>
      </c>
      <c r="I1385" s="7" t="str">
        <f>HYPERLINK("http://www.informatics.jax.org/marker/MGI:1858236","MGI:1858236")</f>
        <v>MGI:1858236</v>
      </c>
      <c r="J1385" s="4" t="s">
        <v>12</v>
      </c>
    </row>
    <row r="1386" spans="1:10" x14ac:dyDescent="0.25">
      <c r="A1386" s="2">
        <v>13.8904593071279</v>
      </c>
      <c r="B1386" s="3">
        <v>0.65843297403063195</v>
      </c>
      <c r="C1386" s="3">
        <v>2.6220835089268001E-2</v>
      </c>
      <c r="D1386" s="4">
        <v>6.5390629379024401E-2</v>
      </c>
      <c r="E1386" s="3" t="s">
        <v>13625</v>
      </c>
      <c r="F1386" s="3" t="s">
        <v>13626</v>
      </c>
      <c r="G1386" s="3" t="s">
        <v>83</v>
      </c>
      <c r="H1386" s="7" t="str">
        <f>HYPERLINK("http://www.ensembl.org/Mus_musculus/Gene/Summary?db=core;g=ENSMUSG00000085355","ENSMUSG00000085355")</f>
        <v>ENSMUSG00000085355</v>
      </c>
      <c r="I1386" s="7" t="str">
        <f>HYPERLINK("http://www.informatics.jax.org/marker/MGI:1924094","MGI:1924094")</f>
        <v>MGI:1924094</v>
      </c>
      <c r="J1386" s="4" t="s">
        <v>932</v>
      </c>
    </row>
    <row r="1387" spans="1:10" x14ac:dyDescent="0.25">
      <c r="A1387" s="2">
        <v>11.2045073655634</v>
      </c>
      <c r="B1387" s="3">
        <v>0.65733629476995803</v>
      </c>
      <c r="C1387" s="3">
        <v>5.3473917338614702E-2</v>
      </c>
      <c r="D1387" s="4">
        <v>0.120763586554678</v>
      </c>
      <c r="E1387" s="3" t="s">
        <v>8041</v>
      </c>
      <c r="F1387" s="3" t="s">
        <v>8042</v>
      </c>
      <c r="G1387" s="3">
        <v>380712</v>
      </c>
      <c r="H1387" s="7" t="str">
        <f>HYPERLINK("http://www.ensembl.org/Mus_musculus/Gene/Summary?db=core;g=ENSMUSG00000038217","ENSMUSG00000038217")</f>
        <v>ENSMUSG00000038217</v>
      </c>
      <c r="I1387" s="7" t="str">
        <f>HYPERLINK("http://www.informatics.jax.org/marker/MGI:1917141","MGI:1917141")</f>
        <v>MGI:1917141</v>
      </c>
      <c r="J1387" s="4" t="s">
        <v>12</v>
      </c>
    </row>
    <row r="1388" spans="1:10" x14ac:dyDescent="0.25">
      <c r="A1388" s="2">
        <v>660.21257289315395</v>
      </c>
      <c r="B1388" s="3">
        <v>0.65697156627163</v>
      </c>
      <c r="C1388" s="5">
        <v>1.8753191334723099E-10</v>
      </c>
      <c r="D1388" s="6">
        <v>1.56634698476319E-9</v>
      </c>
      <c r="E1388" s="3" t="s">
        <v>6497</v>
      </c>
      <c r="F1388" s="3" t="s">
        <v>6498</v>
      </c>
      <c r="G1388" s="3">
        <v>170756</v>
      </c>
      <c r="H1388" s="7" t="str">
        <f>HYPERLINK("http://www.ensembl.org/Mus_musculus/Gene/Summary?db=core;g=ENSMUSG00000032754","ENSMUSG00000032754")</f>
        <v>ENSMUSG00000032754</v>
      </c>
      <c r="I1388" s="7" t="str">
        <f>HYPERLINK("http://www.informatics.jax.org/marker/MGI:2180781","MGI:2180781")</f>
        <v>MGI:2180781</v>
      </c>
      <c r="J1388" s="4" t="s">
        <v>12</v>
      </c>
    </row>
    <row r="1389" spans="1:10" x14ac:dyDescent="0.25">
      <c r="A1389" s="2">
        <v>21.270411889018298</v>
      </c>
      <c r="B1389" s="3">
        <v>0.65677708913616295</v>
      </c>
      <c r="C1389" s="3">
        <v>1.6651202755618599E-2</v>
      </c>
      <c r="D1389" s="4">
        <v>4.4025557844356501E-2</v>
      </c>
      <c r="E1389" s="3" t="s">
        <v>9645</v>
      </c>
      <c r="F1389" s="3" t="s">
        <v>9646</v>
      </c>
      <c r="G1389" s="3" t="s">
        <v>83</v>
      </c>
      <c r="H1389" s="7" t="str">
        <f>HYPERLINK("http://www.ensembl.org/Mus_musculus/Gene/Summary?db=core;g=ENSMUSG00000105950","ENSMUSG00000105950")</f>
        <v>ENSMUSG00000105950</v>
      </c>
      <c r="I1389" s="7" t="str">
        <f>HYPERLINK("http://www.informatics.jax.org/marker/MGI:5663816","MGI:5663816")</f>
        <v>MGI:5663816</v>
      </c>
      <c r="J1389" s="4" t="s">
        <v>1828</v>
      </c>
    </row>
    <row r="1390" spans="1:10" x14ac:dyDescent="0.25">
      <c r="A1390" s="2">
        <v>1.3399225701242801</v>
      </c>
      <c r="B1390" s="3">
        <v>0.65605813517093403</v>
      </c>
      <c r="C1390" s="3">
        <v>0.131292386381026</v>
      </c>
      <c r="D1390" s="4">
        <v>0.25409405774601301</v>
      </c>
      <c r="E1390" s="3" t="s">
        <v>12071</v>
      </c>
      <c r="F1390" s="3" t="s">
        <v>12072</v>
      </c>
      <c r="G1390" s="3">
        <v>329178</v>
      </c>
      <c r="H1390" s="7" t="str">
        <f>HYPERLINK("http://www.ensembl.org/Mus_musculus/Gene/Summary?db=core;g=ENSMUSG00000055567","ENSMUSG00000055567")</f>
        <v>ENSMUSG00000055567</v>
      </c>
      <c r="I1390" s="7" t="str">
        <f>HYPERLINK("http://www.informatics.jax.org/marker/MGI:2652882","MGI:2652882")</f>
        <v>MGI:2652882</v>
      </c>
      <c r="J1390" s="4" t="s">
        <v>12</v>
      </c>
    </row>
    <row r="1391" spans="1:10" x14ac:dyDescent="0.25">
      <c r="A1391" s="2">
        <v>1.5972944812688801</v>
      </c>
      <c r="B1391" s="3">
        <v>0.65545087016717396</v>
      </c>
      <c r="C1391" s="3">
        <v>0.16521777906787799</v>
      </c>
      <c r="D1391" s="4">
        <v>0.30381334108688102</v>
      </c>
      <c r="E1391" s="3" t="s">
        <v>14023</v>
      </c>
      <c r="F1391" s="3" t="s">
        <v>14024</v>
      </c>
      <c r="G1391" s="3">
        <v>432611</v>
      </c>
      <c r="H1391" s="7" t="str">
        <f>HYPERLINK("http://www.ensembl.org/Mus_musculus/Gene/Summary?db=core;g=ENSMUSG00000034706","ENSMUSG00000034706")</f>
        <v>ENSMUSG00000034706</v>
      </c>
      <c r="I1391" s="7" t="str">
        <f>HYPERLINK("http://www.informatics.jax.org/marker/MGI:2685574","MGI:2685574")</f>
        <v>MGI:2685574</v>
      </c>
      <c r="J1391" s="4" t="s">
        <v>12</v>
      </c>
    </row>
    <row r="1392" spans="1:10" x14ac:dyDescent="0.25">
      <c r="A1392" s="2">
        <v>24.256695001179398</v>
      </c>
      <c r="B1392" s="3">
        <v>0.65506271286504303</v>
      </c>
      <c r="C1392" s="3">
        <v>7.3514192455796596E-3</v>
      </c>
      <c r="D1392" s="4">
        <v>2.1330937072231999E-2</v>
      </c>
      <c r="E1392" s="3" t="s">
        <v>9225</v>
      </c>
      <c r="F1392" s="3" t="s">
        <v>9226</v>
      </c>
      <c r="G1392" s="3" t="s">
        <v>83</v>
      </c>
      <c r="H1392" s="7" t="str">
        <f>HYPERLINK("http://www.ensembl.org/Mus_musculus/Gene/Summary?db=core;g=ENSMUSG00000107971","ENSMUSG00000107971")</f>
        <v>ENSMUSG00000107971</v>
      </c>
      <c r="I1392" s="7" t="str">
        <f>HYPERLINK("http://www.informatics.jax.org/marker/MGI:5690652","MGI:5690652")</f>
        <v>MGI:5690652</v>
      </c>
      <c r="J1392" s="4" t="s">
        <v>1828</v>
      </c>
    </row>
    <row r="1393" spans="1:10" x14ac:dyDescent="0.25">
      <c r="A1393" s="2">
        <v>33.001673104670502</v>
      </c>
      <c r="B1393" s="3">
        <v>0.65435648511302202</v>
      </c>
      <c r="C1393" s="3">
        <v>1.3962956131128199E-3</v>
      </c>
      <c r="D1393" s="4">
        <v>4.7806664566938202E-3</v>
      </c>
      <c r="E1393" s="3" t="s">
        <v>12559</v>
      </c>
      <c r="F1393" s="3" t="s">
        <v>12560</v>
      </c>
      <c r="G1393" s="3">
        <v>20112</v>
      </c>
      <c r="H1393" s="7" t="str">
        <f>HYPERLINK("http://www.ensembl.org/Mus_musculus/Gene/Summary?db=core;g=ENSMUSG00000023809","ENSMUSG00000023809")</f>
        <v>ENSMUSG00000023809</v>
      </c>
      <c r="I1393" s="7" t="str">
        <f>HYPERLINK("http://www.informatics.jax.org/marker/MGI:1342290","MGI:1342290")</f>
        <v>MGI:1342290</v>
      </c>
      <c r="J1393" s="4" t="s">
        <v>12</v>
      </c>
    </row>
    <row r="1394" spans="1:10" x14ac:dyDescent="0.25">
      <c r="A1394" s="2">
        <v>709.134338062815</v>
      </c>
      <c r="B1394" s="3">
        <v>0.65423292402476196</v>
      </c>
      <c r="C1394" s="5">
        <v>5.8725984505168801E-22</v>
      </c>
      <c r="D1394" s="6">
        <v>1.0154469332131899E-20</v>
      </c>
      <c r="E1394" s="3" t="s">
        <v>1210</v>
      </c>
      <c r="F1394" s="3" t="s">
        <v>1211</v>
      </c>
      <c r="G1394" s="3">
        <v>27215</v>
      </c>
      <c r="H1394" s="7" t="str">
        <f>HYPERLINK("http://www.ensembl.org/Mus_musculus/Gene/Summary?db=core;g=ENSMUSG00000039285","ENSMUSG00000039285")</f>
        <v>ENSMUSG00000039285</v>
      </c>
      <c r="I1394" s="7" t="str">
        <f>HYPERLINK("http://www.informatics.jax.org/marker/MGI:1351332","MGI:1351332")</f>
        <v>MGI:1351332</v>
      </c>
      <c r="J1394" s="4" t="s">
        <v>12</v>
      </c>
    </row>
    <row r="1395" spans="1:10" x14ac:dyDescent="0.25">
      <c r="A1395" s="2">
        <v>868.70942584039005</v>
      </c>
      <c r="B1395" s="3">
        <v>0.65420917373590604</v>
      </c>
      <c r="C1395" s="5">
        <v>4.1231396939158903E-12</v>
      </c>
      <c r="D1395" s="6">
        <v>3.9570416493742498E-11</v>
      </c>
      <c r="E1395" s="3" t="s">
        <v>2842</v>
      </c>
      <c r="F1395" s="3" t="s">
        <v>2843</v>
      </c>
      <c r="G1395" s="3">
        <v>56360</v>
      </c>
      <c r="H1395" s="7" t="str">
        <f>HYPERLINK("http://www.ensembl.org/Mus_musculus/Gene/Summary?db=core;g=ENSMUSG00000025287","ENSMUSG00000025287")</f>
        <v>ENSMUSG00000025287</v>
      </c>
      <c r="I1395" s="7" t="str">
        <f>HYPERLINK("http://www.informatics.jax.org/marker/MGI:1928939","MGI:1928939")</f>
        <v>MGI:1928939</v>
      </c>
      <c r="J1395" s="4" t="s">
        <v>12</v>
      </c>
    </row>
    <row r="1396" spans="1:10" x14ac:dyDescent="0.25">
      <c r="A1396" s="2">
        <v>1.78204098250739</v>
      </c>
      <c r="B1396" s="3">
        <v>0.65344943540478095</v>
      </c>
      <c r="C1396" s="3">
        <v>0.151388978583091</v>
      </c>
      <c r="D1396" s="4">
        <v>0.28362090200214102</v>
      </c>
      <c r="E1396" s="3" t="s">
        <v>9109</v>
      </c>
      <c r="F1396" s="3" t="s">
        <v>9110</v>
      </c>
      <c r="G1396" s="3">
        <v>78906</v>
      </c>
      <c r="H1396" s="7" t="str">
        <f>HYPERLINK("http://www.ensembl.org/Mus_musculus/Gene/Summary?db=core;g=ENSMUSG00000035852","ENSMUSG00000035852")</f>
        <v>ENSMUSG00000035852</v>
      </c>
      <c r="I1396" s="7" t="str">
        <f>HYPERLINK("http://www.informatics.jax.org/marker/MGI:1926156","MGI:1926156")</f>
        <v>MGI:1926156</v>
      </c>
      <c r="J1396" s="4" t="s">
        <v>12</v>
      </c>
    </row>
    <row r="1397" spans="1:10" x14ac:dyDescent="0.25">
      <c r="A1397" s="2">
        <v>4802.2594112709203</v>
      </c>
      <c r="B1397" s="3">
        <v>0.65344888184017402</v>
      </c>
      <c r="C1397" s="5">
        <v>6.9918760752871602E-29</v>
      </c>
      <c r="D1397" s="6">
        <v>1.6463429130763402E-27</v>
      </c>
      <c r="E1397" s="3" t="s">
        <v>1196</v>
      </c>
      <c r="F1397" s="3" t="s">
        <v>1197</v>
      </c>
      <c r="G1397" s="3">
        <v>18024</v>
      </c>
      <c r="H1397" s="7" t="str">
        <f>HYPERLINK("http://www.ensembl.org/Mus_musculus/Gene/Summary?db=core;g=ENSMUSG00000015839","ENSMUSG00000015839")</f>
        <v>ENSMUSG00000015839</v>
      </c>
      <c r="I1397" s="7" t="str">
        <f>HYPERLINK("http://www.informatics.jax.org/marker/MGI:108420","MGI:108420")</f>
        <v>MGI:108420</v>
      </c>
      <c r="J1397" s="4" t="s">
        <v>12</v>
      </c>
    </row>
    <row r="1398" spans="1:10" x14ac:dyDescent="0.25">
      <c r="A1398" s="2">
        <v>1665.9313791008501</v>
      </c>
      <c r="B1398" s="3">
        <v>0.65318985611214797</v>
      </c>
      <c r="C1398" s="5">
        <v>2.3566109904477101E-20</v>
      </c>
      <c r="D1398" s="6">
        <v>3.7641748729982101E-19</v>
      </c>
      <c r="E1398" s="3" t="s">
        <v>2023</v>
      </c>
      <c r="F1398" s="3" t="s">
        <v>2024</v>
      </c>
      <c r="G1398" s="3">
        <v>12125</v>
      </c>
      <c r="H1398" s="7" t="str">
        <f>HYPERLINK("http://www.ensembl.org/Mus_musculus/Gene/Summary?db=core;g=ENSMUSG00000027381","ENSMUSG00000027381")</f>
        <v>ENSMUSG00000027381</v>
      </c>
      <c r="I1398" s="7" t="str">
        <f>HYPERLINK("http://www.informatics.jax.org/marker/MGI:1197519","MGI:1197519")</f>
        <v>MGI:1197519</v>
      </c>
      <c r="J1398" s="4" t="s">
        <v>12</v>
      </c>
    </row>
    <row r="1399" spans="1:10" x14ac:dyDescent="0.25">
      <c r="A1399" s="2">
        <v>2547.26365334712</v>
      </c>
      <c r="B1399" s="3">
        <v>0.65293419980034095</v>
      </c>
      <c r="C1399" s="5">
        <v>8.1627646627424404E-19</v>
      </c>
      <c r="D1399" s="6">
        <v>1.2026385285245E-17</v>
      </c>
      <c r="E1399" s="3" t="s">
        <v>2011</v>
      </c>
      <c r="F1399" s="3" t="s">
        <v>2012</v>
      </c>
      <c r="G1399" s="3">
        <v>66054</v>
      </c>
      <c r="H1399" s="7" t="str">
        <f>HYPERLINK("http://www.ensembl.org/Mus_musculus/Gene/Summary?db=core;g=ENSMUSG00000024644","ENSMUSG00000024644")</f>
        <v>ENSMUSG00000024644</v>
      </c>
      <c r="I1399" s="7" t="str">
        <f>HYPERLINK("http://www.informatics.jax.org/marker/MGI:1913304","MGI:1913304")</f>
        <v>MGI:1913304</v>
      </c>
      <c r="J1399" s="4" t="s">
        <v>12</v>
      </c>
    </row>
    <row r="1400" spans="1:10" x14ac:dyDescent="0.25">
      <c r="A1400" s="2">
        <v>128.72619014075499</v>
      </c>
      <c r="B1400" s="3">
        <v>0.65289808234639402</v>
      </c>
      <c r="C1400" s="5">
        <v>1.6215240705506601E-7</v>
      </c>
      <c r="D1400" s="6">
        <v>9.9469122133240707E-7</v>
      </c>
      <c r="E1400" s="3" t="s">
        <v>8679</v>
      </c>
      <c r="F1400" s="3" t="s">
        <v>8680</v>
      </c>
      <c r="G1400" s="3">
        <v>19057</v>
      </c>
      <c r="H1400" s="7" t="str">
        <f>HYPERLINK("http://www.ensembl.org/Mus_musculus/Gene/Summary?db=core;g=ENSMUSG00000022092","ENSMUSG00000022092")</f>
        <v>ENSMUSG00000022092</v>
      </c>
      <c r="I1400" s="7" t="str">
        <f>HYPERLINK("http://www.informatics.jax.org/marker/MGI:107162","MGI:107162")</f>
        <v>MGI:107162</v>
      </c>
      <c r="J1400" s="4" t="s">
        <v>12</v>
      </c>
    </row>
    <row r="1401" spans="1:10" x14ac:dyDescent="0.25">
      <c r="A1401" s="2">
        <v>118.09889621751699</v>
      </c>
      <c r="B1401" s="3">
        <v>0.65227164823307004</v>
      </c>
      <c r="C1401" s="3">
        <v>1.7867815561766501E-4</v>
      </c>
      <c r="D1401" s="4">
        <v>7.1537991786729902E-4</v>
      </c>
      <c r="E1401" s="3" t="s">
        <v>7800</v>
      </c>
      <c r="F1401" s="3" t="s">
        <v>7801</v>
      </c>
      <c r="G1401" s="3">
        <v>102634333</v>
      </c>
      <c r="H1401" s="7" t="str">
        <f>HYPERLINK("http://www.ensembl.org/Mus_musculus/Gene/Summary?db=core;g=ENSMUSG00000090066","ENSMUSG00000090066")</f>
        <v>ENSMUSG00000090066</v>
      </c>
      <c r="I1401" s="7" t="str">
        <f>HYPERLINK("http://www.informatics.jax.org/marker/MGI:1915066","MGI:1915066")</f>
        <v>MGI:1915066</v>
      </c>
      <c r="J1401" s="4" t="s">
        <v>12</v>
      </c>
    </row>
    <row r="1402" spans="1:10" x14ac:dyDescent="0.25">
      <c r="A1402" s="2">
        <v>2497.7766864649798</v>
      </c>
      <c r="B1402" s="3">
        <v>0.65166329069504203</v>
      </c>
      <c r="C1402" s="5">
        <v>9.0622734906367796E-52</v>
      </c>
      <c r="D1402" s="6">
        <v>4.4517502524758803E-50</v>
      </c>
      <c r="E1402" s="3" t="s">
        <v>640</v>
      </c>
      <c r="F1402" s="3" t="s">
        <v>641</v>
      </c>
      <c r="G1402" s="3">
        <v>99683</v>
      </c>
      <c r="H1402" s="7" t="str">
        <f>HYPERLINK("http://www.ensembl.org/Mus_musculus/Gene/Summary?db=core;g=ENSMUSG00000001052","ENSMUSG00000001052")</f>
        <v>ENSMUSG00000001052</v>
      </c>
      <c r="I1402" s="7" t="str">
        <f>HYPERLINK("http://www.informatics.jax.org/marker/MGI:2139764","MGI:2139764")</f>
        <v>MGI:2139764</v>
      </c>
      <c r="J1402" s="4" t="s">
        <v>12</v>
      </c>
    </row>
    <row r="1403" spans="1:10" x14ac:dyDescent="0.25">
      <c r="A1403" s="2">
        <v>28.023567860761101</v>
      </c>
      <c r="B1403" s="3">
        <v>0.65092169321635096</v>
      </c>
      <c r="C1403" s="3">
        <v>1.92765969464487E-3</v>
      </c>
      <c r="D1403" s="4">
        <v>6.4038640056330101E-3</v>
      </c>
      <c r="E1403" s="3" t="s">
        <v>10611</v>
      </c>
      <c r="F1403" s="3" t="s">
        <v>10612</v>
      </c>
      <c r="G1403" s="3" t="s">
        <v>83</v>
      </c>
      <c r="H1403" s="7" t="str">
        <f>HYPERLINK("http://www.ensembl.org/Mus_musculus/Gene/Summary?db=core;g=ENSMUSG00000103408","ENSMUSG00000103408")</f>
        <v>ENSMUSG00000103408</v>
      </c>
      <c r="I1403" s="7" t="str">
        <f>HYPERLINK("http://www.informatics.jax.org/marker/MGI:5611161","MGI:5611161")</f>
        <v>MGI:5611161</v>
      </c>
      <c r="J1403" s="4" t="s">
        <v>939</v>
      </c>
    </row>
    <row r="1404" spans="1:10" x14ac:dyDescent="0.25">
      <c r="A1404" s="2">
        <v>3276.3887178540899</v>
      </c>
      <c r="B1404" s="3">
        <v>0.65001001228077504</v>
      </c>
      <c r="C1404" s="5">
        <v>2.06588868947933E-36</v>
      </c>
      <c r="D1404" s="6">
        <v>6.3172519070068604E-35</v>
      </c>
      <c r="E1404" s="3" t="s">
        <v>2878</v>
      </c>
      <c r="F1404" s="3" t="s">
        <v>2879</v>
      </c>
      <c r="G1404" s="3">
        <v>72349</v>
      </c>
      <c r="H1404" s="7" t="str">
        <f>HYPERLINK("http://www.ensembl.org/Mus_musculus/Gene/Summary?db=core;g=ENSMUSG00000003518","ENSMUSG00000003518")</f>
        <v>ENSMUSG00000003518</v>
      </c>
      <c r="I1404" s="7" t="str">
        <f>HYPERLINK("http://www.informatics.jax.org/marker/MGI:1919599","MGI:1919599")</f>
        <v>MGI:1919599</v>
      </c>
      <c r="J1404" s="4" t="s">
        <v>12</v>
      </c>
    </row>
    <row r="1405" spans="1:10" x14ac:dyDescent="0.25">
      <c r="A1405" s="2">
        <v>107.26667282506401</v>
      </c>
      <c r="B1405" s="3">
        <v>0.64942187587746203</v>
      </c>
      <c r="C1405" s="5">
        <v>7.17655945765811E-5</v>
      </c>
      <c r="D1405" s="4">
        <v>3.0666540707108801E-4</v>
      </c>
      <c r="E1405" s="3" t="s">
        <v>8635</v>
      </c>
      <c r="F1405" s="3" t="s">
        <v>8636</v>
      </c>
      <c r="G1405" s="3">
        <v>74155</v>
      </c>
      <c r="H1405" s="7" t="str">
        <f>HYPERLINK("http://www.ensembl.org/Mus_musculus/Gene/Summary?db=core;g=ENSMUSG00000028967","ENSMUSG00000028967")</f>
        <v>ENSMUSG00000028967</v>
      </c>
      <c r="I1405" s="7" t="str">
        <f>HYPERLINK("http://www.informatics.jax.org/marker/MGI:1921405","MGI:1921405")</f>
        <v>MGI:1921405</v>
      </c>
      <c r="J1405" s="4" t="s">
        <v>12</v>
      </c>
    </row>
    <row r="1406" spans="1:10" x14ac:dyDescent="0.25">
      <c r="A1406" s="2">
        <v>1027.2297998638901</v>
      </c>
      <c r="B1406" s="3">
        <v>0.64930388773535097</v>
      </c>
      <c r="C1406" s="5">
        <v>4.7367556423737197E-20</v>
      </c>
      <c r="D1406" s="6">
        <v>7.4037196897307997E-19</v>
      </c>
      <c r="E1406" s="3" t="s">
        <v>2730</v>
      </c>
      <c r="F1406" s="3" t="s">
        <v>2731</v>
      </c>
      <c r="G1406" s="3">
        <v>21815</v>
      </c>
      <c r="H1406" s="7" t="str">
        <f>HYPERLINK("http://www.ensembl.org/Mus_musculus/Gene/Summary?db=core;g=ENSMUSG00000047407","ENSMUSG00000047407")</f>
        <v>ENSMUSG00000047407</v>
      </c>
      <c r="I1406" s="7" t="str">
        <f>HYPERLINK("http://www.informatics.jax.org/marker/MGI:1194497","MGI:1194497")</f>
        <v>MGI:1194497</v>
      </c>
      <c r="J1406" s="4" t="s">
        <v>12</v>
      </c>
    </row>
    <row r="1407" spans="1:10" x14ac:dyDescent="0.25">
      <c r="A1407" s="2">
        <v>992.259189562453</v>
      </c>
      <c r="B1407" s="3">
        <v>0.64912572348286701</v>
      </c>
      <c r="C1407" s="5">
        <v>6.3314936994791705E-23</v>
      </c>
      <c r="D1407" s="6">
        <v>1.1447566733433301E-21</v>
      </c>
      <c r="E1407" s="3" t="s">
        <v>1955</v>
      </c>
      <c r="F1407" s="3" t="s">
        <v>1956</v>
      </c>
      <c r="G1407" s="3">
        <v>56736</v>
      </c>
      <c r="H1407" s="7" t="str">
        <f>HYPERLINK("http://www.ensembl.org/Mus_musculus/Gene/Summary?db=core;g=ENSMUSG00000060450","ENSMUSG00000060450")</f>
        <v>ENSMUSG00000060450</v>
      </c>
      <c r="I1407" s="7" t="str">
        <f>HYPERLINK("http://www.informatics.jax.org/marker/MGI:1929668","MGI:1929668")</f>
        <v>MGI:1929668</v>
      </c>
      <c r="J1407" s="4" t="s">
        <v>12</v>
      </c>
    </row>
    <row r="1408" spans="1:10" x14ac:dyDescent="0.25">
      <c r="A1408" s="2">
        <v>285.50643890164099</v>
      </c>
      <c r="B1408" s="3">
        <v>0.64887784845691798</v>
      </c>
      <c r="C1408" s="5">
        <v>4.8272984619574297E-13</v>
      </c>
      <c r="D1408" s="6">
        <v>5.0129637874173298E-12</v>
      </c>
      <c r="E1408" s="3" t="s">
        <v>3448</v>
      </c>
      <c r="F1408" s="3" t="s">
        <v>3449</v>
      </c>
      <c r="G1408" s="3">
        <v>108098</v>
      </c>
      <c r="H1408" s="7" t="str">
        <f>HYPERLINK("http://www.ensembl.org/Mus_musculus/Gene/Summary?db=core;g=ENSMUSG00000030291","ENSMUSG00000030291")</f>
        <v>ENSMUSG00000030291</v>
      </c>
      <c r="I1408" s="7" t="str">
        <f>HYPERLINK("http://www.informatics.jax.org/marker/MGI:1347064","MGI:1347064")</f>
        <v>MGI:1347064</v>
      </c>
      <c r="J1408" s="4" t="s">
        <v>12</v>
      </c>
    </row>
    <row r="1409" spans="1:10" x14ac:dyDescent="0.25">
      <c r="A1409" s="2">
        <v>2983.57224175076</v>
      </c>
      <c r="B1409" s="3">
        <v>0.64850359083897202</v>
      </c>
      <c r="C1409" s="5">
        <v>2.6067308904571798E-12</v>
      </c>
      <c r="D1409" s="6">
        <v>2.5378029101806601E-11</v>
      </c>
      <c r="E1409" s="3" t="s">
        <v>5939</v>
      </c>
      <c r="F1409" s="3" t="s">
        <v>5940</v>
      </c>
      <c r="G1409" s="3">
        <v>237542</v>
      </c>
      <c r="H1409" s="7" t="str">
        <f>HYPERLINK("http://www.ensembl.org/Mus_musculus/Gene/Summary?db=core;g=ENSMUSG00000020189","ENSMUSG00000020189")</f>
        <v>ENSMUSG00000020189</v>
      </c>
      <c r="I1409" s="7" t="str">
        <f>HYPERLINK("http://www.informatics.jax.org/marker/MGI:2443807","MGI:2443807")</f>
        <v>MGI:2443807</v>
      </c>
      <c r="J1409" s="4" t="s">
        <v>12</v>
      </c>
    </row>
    <row r="1410" spans="1:10" x14ac:dyDescent="0.25">
      <c r="A1410" s="2">
        <v>1028.7908939558899</v>
      </c>
      <c r="B1410" s="3">
        <v>0.64850249361236301</v>
      </c>
      <c r="C1410" s="5">
        <v>8.0351129510494998E-26</v>
      </c>
      <c r="D1410" s="6">
        <v>1.6678807919462099E-24</v>
      </c>
      <c r="E1410" s="3" t="s">
        <v>2537</v>
      </c>
      <c r="F1410" s="3" t="s">
        <v>2538</v>
      </c>
      <c r="G1410" s="3">
        <v>18704</v>
      </c>
      <c r="H1410" s="7" t="str">
        <f>HYPERLINK("http://www.ensembl.org/Mus_musculus/Gene/Summary?db=core;g=ENSMUSG00000030660","ENSMUSG00000030660")</f>
        <v>ENSMUSG00000030660</v>
      </c>
      <c r="I1410" s="7" t="str">
        <f>HYPERLINK("http://www.informatics.jax.org/marker/MGI:1203729","MGI:1203729")</f>
        <v>MGI:1203729</v>
      </c>
      <c r="J1410" s="4" t="s">
        <v>12</v>
      </c>
    </row>
    <row r="1411" spans="1:10" x14ac:dyDescent="0.25">
      <c r="A1411" s="2">
        <v>22.2120038024872</v>
      </c>
      <c r="B1411" s="3">
        <v>0.64719774481428605</v>
      </c>
      <c r="C1411" s="3">
        <v>2.1594641532001899E-2</v>
      </c>
      <c r="D1411" s="4">
        <v>5.5136220498842203E-2</v>
      </c>
      <c r="E1411" s="3" t="s">
        <v>11147</v>
      </c>
      <c r="F1411" s="3" t="s">
        <v>11148</v>
      </c>
      <c r="G1411" s="3">
        <v>50909</v>
      </c>
      <c r="H1411" s="7" t="str">
        <f>HYPERLINK("http://www.ensembl.org/Mus_musculus/Gene/Summary?db=core;g=ENSMUSG00000055172","ENSMUSG00000055172")</f>
        <v>ENSMUSG00000055172</v>
      </c>
      <c r="I1411" s="7" t="str">
        <f>HYPERLINK("http://www.informatics.jax.org/marker/MGI:1355313","MGI:1355313")</f>
        <v>MGI:1355313</v>
      </c>
      <c r="J1411" s="4" t="s">
        <v>12</v>
      </c>
    </row>
    <row r="1412" spans="1:10" x14ac:dyDescent="0.25">
      <c r="A1412" s="2">
        <v>32.453225121137102</v>
      </c>
      <c r="B1412" s="3">
        <v>0.64672559942969299</v>
      </c>
      <c r="C1412" s="3">
        <v>2.3565737610653599E-3</v>
      </c>
      <c r="D1412" s="4">
        <v>7.6666470538050997E-3</v>
      </c>
      <c r="E1412" s="3" t="s">
        <v>13105</v>
      </c>
      <c r="F1412" s="3" t="s">
        <v>13106</v>
      </c>
      <c r="G1412" s="3" t="s">
        <v>83</v>
      </c>
      <c r="H1412" s="7" t="str">
        <f>HYPERLINK("http://www.ensembl.org/Mus_musculus/Gene/Summary?db=core;g=ENSMUSG00000111528","ENSMUSG00000111528")</f>
        <v>ENSMUSG00000111528</v>
      </c>
      <c r="I1412" s="7" t="str">
        <f>HYPERLINK("http://www.informatics.jax.org/marker/MGI:5622345","MGI:5622345")</f>
        <v>MGI:5622345</v>
      </c>
      <c r="J1412" s="4" t="s">
        <v>939</v>
      </c>
    </row>
    <row r="1413" spans="1:10" x14ac:dyDescent="0.25">
      <c r="A1413" s="2">
        <v>265.54980477307498</v>
      </c>
      <c r="B1413" s="3">
        <v>0.64643272793697903</v>
      </c>
      <c r="C1413" s="5">
        <v>4.21639831680125E-5</v>
      </c>
      <c r="D1413" s="4">
        <v>1.8696802755158799E-4</v>
      </c>
      <c r="E1413" s="3" t="s">
        <v>6942</v>
      </c>
      <c r="F1413" s="3" t="s">
        <v>6943</v>
      </c>
      <c r="G1413" s="3">
        <v>216856</v>
      </c>
      <c r="H1413" s="7" t="str">
        <f>HYPERLINK("http://www.ensembl.org/Mus_musculus/Gene/Summary?db=core;g=ENSMUSG00000051790","ENSMUSG00000051790")</f>
        <v>ENSMUSG00000051790</v>
      </c>
      <c r="I1413" s="7" t="str">
        <f>HYPERLINK("http://www.informatics.jax.org/marker/MGI:2681835","MGI:2681835")</f>
        <v>MGI:2681835</v>
      </c>
      <c r="J1413" s="4" t="s">
        <v>12</v>
      </c>
    </row>
    <row r="1414" spans="1:10" x14ac:dyDescent="0.25">
      <c r="A1414" s="2">
        <v>20.056910525734398</v>
      </c>
      <c r="B1414" s="3">
        <v>0.64640045031665105</v>
      </c>
      <c r="C1414" s="3">
        <v>2.6166262621434601E-2</v>
      </c>
      <c r="D1414" s="4">
        <v>6.5281332823496893E-2</v>
      </c>
      <c r="E1414" s="3" t="s">
        <v>7798</v>
      </c>
      <c r="F1414" s="3" t="s">
        <v>7799</v>
      </c>
      <c r="G1414" s="3" t="s">
        <v>83</v>
      </c>
      <c r="H1414" s="7" t="str">
        <f>HYPERLINK("http://www.ensembl.org/Mus_musculus/Gene/Summary?db=core;g=ENSMUSG00000097534","ENSMUSG00000097534")</f>
        <v>ENSMUSG00000097534</v>
      </c>
      <c r="I1414" s="7" t="str">
        <f>HYPERLINK("http://www.informatics.jax.org/marker/MGI:4439599","MGI:4439599")</f>
        <v>MGI:4439599</v>
      </c>
      <c r="J1414" s="4" t="s">
        <v>3187</v>
      </c>
    </row>
    <row r="1415" spans="1:10" x14ac:dyDescent="0.25">
      <c r="A1415" s="2">
        <v>653.11558030402398</v>
      </c>
      <c r="B1415" s="3">
        <v>0.64617775940572397</v>
      </c>
      <c r="C1415" s="5">
        <v>2.1952251182386599E-16</v>
      </c>
      <c r="D1415" s="6">
        <v>2.8254221595974199E-15</v>
      </c>
      <c r="E1415" s="3" t="s">
        <v>2647</v>
      </c>
      <c r="F1415" s="3" t="s">
        <v>2648</v>
      </c>
      <c r="G1415" s="3">
        <v>73247</v>
      </c>
      <c r="H1415" s="7" t="str">
        <f>HYPERLINK("http://www.ensembl.org/Mus_musculus/Gene/Summary?db=core;g=ENSMUSG00000027569","ENSMUSG00000027569")</f>
        <v>ENSMUSG00000027569</v>
      </c>
      <c r="I1415" s="7" t="str">
        <f>HYPERLINK("http://www.informatics.jax.org/marker/MGI:1920497","MGI:1920497")</f>
        <v>MGI:1920497</v>
      </c>
      <c r="J1415" s="4" t="s">
        <v>12</v>
      </c>
    </row>
    <row r="1416" spans="1:10" x14ac:dyDescent="0.25">
      <c r="A1416" s="2">
        <v>622.54538486432102</v>
      </c>
      <c r="B1416" s="3">
        <v>0.64592632527927896</v>
      </c>
      <c r="C1416" s="5">
        <v>2.7867763327936401E-11</v>
      </c>
      <c r="D1416" s="6">
        <v>2.4957738901800502E-10</v>
      </c>
      <c r="E1416" s="3" t="s">
        <v>3940</v>
      </c>
      <c r="F1416" s="3" t="s">
        <v>3941</v>
      </c>
      <c r="G1416" s="3">
        <v>71712</v>
      </c>
      <c r="H1416" s="7" t="str">
        <f>HYPERLINK("http://www.ensembl.org/Mus_musculus/Gene/Summary?db=core;g=ENSMUSG00000020057","ENSMUSG00000020057")</f>
        <v>ENSMUSG00000020057</v>
      </c>
      <c r="I1416" s="7" t="str">
        <f>HYPERLINK("http://www.informatics.jax.org/marker/MGI:1918962","MGI:1918962")</f>
        <v>MGI:1918962</v>
      </c>
      <c r="J1416" s="4" t="s">
        <v>12</v>
      </c>
    </row>
    <row r="1417" spans="1:10" x14ac:dyDescent="0.25">
      <c r="A1417" s="2">
        <v>2032.8145225184601</v>
      </c>
      <c r="B1417" s="3">
        <v>0.64518216162197795</v>
      </c>
      <c r="C1417" s="5">
        <v>2.7806634493436001E-58</v>
      </c>
      <c r="D1417" s="6">
        <v>1.60881242426308E-56</v>
      </c>
      <c r="E1417" s="3" t="s">
        <v>490</v>
      </c>
      <c r="F1417" s="3" t="s">
        <v>491</v>
      </c>
      <c r="G1417" s="3">
        <v>15463</v>
      </c>
      <c r="H1417" s="7" t="str">
        <f>HYPERLINK("http://www.ensembl.org/Mus_musculus/Gene/Summary?db=core;g=ENSMUSG00000026159","ENSMUSG00000026159")</f>
        <v>ENSMUSG00000026159</v>
      </c>
      <c r="I1417" s="7" t="str">
        <f>HYPERLINK("http://www.informatics.jax.org/marker/MGI:1333754","MGI:1333754")</f>
        <v>MGI:1333754</v>
      </c>
      <c r="J1417" s="4" t="s">
        <v>12</v>
      </c>
    </row>
    <row r="1418" spans="1:10" x14ac:dyDescent="0.25">
      <c r="A1418" s="2">
        <v>582.84027927341299</v>
      </c>
      <c r="B1418" s="3">
        <v>0.64497147175680303</v>
      </c>
      <c r="C1418" s="5">
        <v>1.28575544689746E-15</v>
      </c>
      <c r="D1418" s="6">
        <v>1.56951728196291E-14</v>
      </c>
      <c r="E1418" s="3" t="s">
        <v>4827</v>
      </c>
      <c r="F1418" s="3" t="s">
        <v>4828</v>
      </c>
      <c r="G1418" s="3">
        <v>66311</v>
      </c>
      <c r="H1418" s="7" t="str">
        <f>HYPERLINK("http://www.ensembl.org/Mus_musculus/Gene/Summary?db=core;g=ENSMUSG00000075266","ENSMUSG00000075266")</f>
        <v>ENSMUSG00000075266</v>
      </c>
      <c r="I1418" s="7" t="str">
        <f>HYPERLINK("http://www.informatics.jax.org/marker/MGI:1913561","MGI:1913561")</f>
        <v>MGI:1913561</v>
      </c>
      <c r="J1418" s="4" t="s">
        <v>12</v>
      </c>
    </row>
    <row r="1419" spans="1:10" x14ac:dyDescent="0.25">
      <c r="A1419" s="2">
        <v>498.70927346953403</v>
      </c>
      <c r="B1419" s="3">
        <v>0.64412838286552598</v>
      </c>
      <c r="C1419" s="5">
        <v>9.9921167389906701E-12</v>
      </c>
      <c r="D1419" s="6">
        <v>9.2816680717688504E-11</v>
      </c>
      <c r="E1419" s="3" t="s">
        <v>6265</v>
      </c>
      <c r="F1419" s="3" t="s">
        <v>6266</v>
      </c>
      <c r="G1419" s="3">
        <v>106869</v>
      </c>
      <c r="H1419" s="7" t="str">
        <f>HYPERLINK("http://www.ensembl.org/Mus_musculus/Gene/Summary?db=core;g=ENSMUSG00000062210","ENSMUSG00000062210")</f>
        <v>ENSMUSG00000062210</v>
      </c>
      <c r="I1419" s="7" t="str">
        <f>HYPERLINK("http://www.informatics.jax.org/marker/MGI:2147191","MGI:2147191")</f>
        <v>MGI:2147191</v>
      </c>
      <c r="J1419" s="4" t="s">
        <v>12</v>
      </c>
    </row>
    <row r="1420" spans="1:10" x14ac:dyDescent="0.25">
      <c r="A1420" s="2">
        <v>5021.1094580467498</v>
      </c>
      <c r="B1420" s="3">
        <v>0.64407124295264195</v>
      </c>
      <c r="C1420" s="5">
        <v>8.91630416021955E-24</v>
      </c>
      <c r="D1420" s="6">
        <v>1.6821909246376901E-22</v>
      </c>
      <c r="E1420" s="3" t="s">
        <v>2702</v>
      </c>
      <c r="F1420" s="3" t="s">
        <v>2703</v>
      </c>
      <c r="G1420" s="3">
        <v>18173</v>
      </c>
      <c r="H1420" s="7" t="str">
        <f>HYPERLINK("http://www.ensembl.org/Mus_musculus/Gene/Summary?db=core;g=ENSMUSG00000026177","ENSMUSG00000026177")</f>
        <v>ENSMUSG00000026177</v>
      </c>
      <c r="I1420" s="7" t="str">
        <f>HYPERLINK("http://www.informatics.jax.org/marker/MGI:1345275","MGI:1345275")</f>
        <v>MGI:1345275</v>
      </c>
      <c r="J1420" s="4" t="s">
        <v>12</v>
      </c>
    </row>
    <row r="1421" spans="1:10" x14ac:dyDescent="0.25">
      <c r="A1421" s="2">
        <v>3.6850348941937399</v>
      </c>
      <c r="B1421" s="3">
        <v>0.64398464659294596</v>
      </c>
      <c r="C1421" s="3">
        <v>0.14301941392268</v>
      </c>
      <c r="D1421" s="4">
        <v>0.271796540014687</v>
      </c>
      <c r="E1421" s="3" t="s">
        <v>8807</v>
      </c>
      <c r="F1421" s="3" t="s">
        <v>8808</v>
      </c>
      <c r="G1421" s="3">
        <v>73707</v>
      </c>
      <c r="H1421" s="7" t="str">
        <f>HYPERLINK("http://www.ensembl.org/Mus_musculus/Gene/Summary?db=core;g=ENSMUSG00000055523","ENSMUSG00000055523")</f>
        <v>ENSMUSG00000055523</v>
      </c>
      <c r="I1421" s="7" t="str">
        <f>HYPERLINK("http://www.informatics.jax.org/marker/MGI:106025","MGI:106025")</f>
        <v>MGI:106025</v>
      </c>
      <c r="J1421" s="4" t="s">
        <v>12</v>
      </c>
    </row>
    <row r="1422" spans="1:10" x14ac:dyDescent="0.25">
      <c r="A1422" s="2">
        <v>5045.7275330729099</v>
      </c>
      <c r="B1422" s="3">
        <v>0.64325906257684495</v>
      </c>
      <c r="C1422" s="5">
        <v>5.4154577483392097E-21</v>
      </c>
      <c r="D1422" s="6">
        <v>8.8996138380056094E-20</v>
      </c>
      <c r="E1422" s="3" t="s">
        <v>3390</v>
      </c>
      <c r="F1422" s="3" t="s">
        <v>3391</v>
      </c>
      <c r="G1422" s="3">
        <v>67784</v>
      </c>
      <c r="H1422" s="7" t="str">
        <f>HYPERLINK("http://www.ensembl.org/Mus_musculus/Gene/Summary?db=core;g=ENSMUSG00000030123","ENSMUSG00000030123")</f>
        <v>ENSMUSG00000030123</v>
      </c>
      <c r="I1422" s="7" t="str">
        <f>HYPERLINK("http://www.informatics.jax.org/marker/MGI:2154244","MGI:2154244")</f>
        <v>MGI:2154244</v>
      </c>
      <c r="J1422" s="4" t="s">
        <v>12</v>
      </c>
    </row>
    <row r="1423" spans="1:10" x14ac:dyDescent="0.25">
      <c r="A1423" s="2">
        <v>13.363386876414999</v>
      </c>
      <c r="B1423" s="3">
        <v>0.64183005862779896</v>
      </c>
      <c r="C1423" s="3">
        <v>4.7024267422668103E-2</v>
      </c>
      <c r="D1423" s="4">
        <v>0.108483199212421</v>
      </c>
      <c r="E1423" s="3" t="s">
        <v>13827</v>
      </c>
      <c r="F1423" s="3" t="s">
        <v>13828</v>
      </c>
      <c r="G1423" s="3">
        <v>51793</v>
      </c>
      <c r="H1423" s="7" t="str">
        <f>HYPERLINK("http://www.ensembl.org/Mus_musculus/Gene/Summary?db=core;g=ENSMUSG00000007039","ENSMUSG00000007039")</f>
        <v>ENSMUSG00000007039</v>
      </c>
      <c r="I1423" s="7" t="str">
        <f>HYPERLINK("http://www.informatics.jax.org/marker/MGI:1859016","MGI:1859016")</f>
        <v>MGI:1859016</v>
      </c>
      <c r="J1423" s="4" t="s">
        <v>12</v>
      </c>
    </row>
    <row r="1424" spans="1:10" x14ac:dyDescent="0.25">
      <c r="A1424" s="2">
        <v>231.12502485858701</v>
      </c>
      <c r="B1424" s="3">
        <v>0.64158643661158299</v>
      </c>
      <c r="C1424" s="5">
        <v>6.6072737575578502E-11</v>
      </c>
      <c r="D1424" s="6">
        <v>5.7478550945819504E-10</v>
      </c>
      <c r="E1424" s="3" t="s">
        <v>5881</v>
      </c>
      <c r="F1424" s="3" t="s">
        <v>5882</v>
      </c>
      <c r="G1424" s="3">
        <v>74718</v>
      </c>
      <c r="H1424" s="7" t="str">
        <f>HYPERLINK("http://www.ensembl.org/Mus_musculus/Gene/Summary?db=core;g=ENSMUSG00000027534","ENSMUSG00000027534")</f>
        <v>ENSMUSG00000027534</v>
      </c>
      <c r="I1424" s="7" t="str">
        <f>HYPERLINK("http://www.informatics.jax.org/marker/MGI:1921968","MGI:1921968")</f>
        <v>MGI:1921968</v>
      </c>
      <c r="J1424" s="4" t="s">
        <v>12</v>
      </c>
    </row>
    <row r="1425" spans="1:10" x14ac:dyDescent="0.25">
      <c r="A1425" s="2">
        <v>109.29845236480899</v>
      </c>
      <c r="B1425" s="3">
        <v>0.64142014082629994</v>
      </c>
      <c r="C1425" s="5">
        <v>1.42737509661451E-7</v>
      </c>
      <c r="D1425" s="6">
        <v>8.8093163345071204E-7</v>
      </c>
      <c r="E1425" s="3" t="s">
        <v>9687</v>
      </c>
      <c r="F1425" s="3" t="s">
        <v>9688</v>
      </c>
      <c r="G1425" s="3" t="s">
        <v>83</v>
      </c>
      <c r="H1425" s="7" t="str">
        <f>HYPERLINK("http://www.ensembl.org/Mus_musculus/Gene/Summary?db=core;g=ENSMUSG00000084350","ENSMUSG00000084350")</f>
        <v>ENSMUSG00000084350</v>
      </c>
      <c r="I1425" s="7" t="str">
        <f>HYPERLINK("http://www.informatics.jax.org/marker/MGI:1917255","MGI:1917255")</f>
        <v>MGI:1917255</v>
      </c>
      <c r="J1425" s="4" t="s">
        <v>2683</v>
      </c>
    </row>
    <row r="1426" spans="1:10" x14ac:dyDescent="0.25">
      <c r="A1426" s="2">
        <v>2031.69179735233</v>
      </c>
      <c r="B1426" s="3">
        <v>0.64061296766257003</v>
      </c>
      <c r="C1426" s="5">
        <v>7.0164122037689198E-39</v>
      </c>
      <c r="D1426" s="6">
        <v>2.3334692046293501E-37</v>
      </c>
      <c r="E1426" s="3" t="s">
        <v>1015</v>
      </c>
      <c r="F1426" s="3" t="s">
        <v>1016</v>
      </c>
      <c r="G1426" s="3">
        <v>20529</v>
      </c>
      <c r="H1426" s="7" t="str">
        <f>HYPERLINK("http://www.ensembl.org/Mus_musculus/Gene/Summary?db=core;g=ENSMUSG00000066150","ENSMUSG00000066150")</f>
        <v>ENSMUSG00000066150</v>
      </c>
      <c r="I1426" s="7" t="str">
        <f>HYPERLINK("http://www.informatics.jax.org/marker/MGI:1333843","MGI:1333843")</f>
        <v>MGI:1333843</v>
      </c>
      <c r="J1426" s="4" t="s">
        <v>12</v>
      </c>
    </row>
    <row r="1427" spans="1:10" x14ac:dyDescent="0.25">
      <c r="A1427" s="2">
        <v>2167.26189264703</v>
      </c>
      <c r="B1427" s="3">
        <v>0.64036315087316698</v>
      </c>
      <c r="C1427" s="5">
        <v>4.4433216436509698E-38</v>
      </c>
      <c r="D1427" s="6">
        <v>1.4434855072288599E-36</v>
      </c>
      <c r="E1427" s="3" t="s">
        <v>792</v>
      </c>
      <c r="F1427" s="3" t="s">
        <v>793</v>
      </c>
      <c r="G1427" s="3">
        <v>78889</v>
      </c>
      <c r="H1427" s="7" t="str">
        <f>HYPERLINK("http://www.ensembl.org/Mus_musculus/Gene/Summary?db=core;g=ENSMUSG00000017677","ENSMUSG00000017677")</f>
        <v>ENSMUSG00000017677</v>
      </c>
      <c r="I1427" s="7" t="str">
        <f>HYPERLINK("http://www.informatics.jax.org/marker/MGI:1926139","MGI:1926139")</f>
        <v>MGI:1926139</v>
      </c>
      <c r="J1427" s="4" t="s">
        <v>12</v>
      </c>
    </row>
    <row r="1428" spans="1:10" x14ac:dyDescent="0.25">
      <c r="A1428" s="2">
        <v>751.41513406682702</v>
      </c>
      <c r="B1428" s="3">
        <v>0.64029630361566603</v>
      </c>
      <c r="C1428" s="5">
        <v>1.08032412440334E-21</v>
      </c>
      <c r="D1428" s="6">
        <v>1.8418060960945599E-20</v>
      </c>
      <c r="E1428" s="3" t="s">
        <v>1790</v>
      </c>
      <c r="F1428" s="3" t="s">
        <v>1791</v>
      </c>
      <c r="G1428" s="3">
        <v>21769</v>
      </c>
      <c r="H1428" s="7" t="str">
        <f>HYPERLINK("http://www.ensembl.org/Mus_musculus/Gene/Summary?db=core;g=ENSMUSG00000044477","ENSMUSG00000044477")</f>
        <v>ENSMUSG00000044477</v>
      </c>
      <c r="I1428" s="7" t="str">
        <f>HYPERLINK("http://www.informatics.jax.org/marker/MGI:1096572","MGI:1096572")</f>
        <v>MGI:1096572</v>
      </c>
      <c r="J1428" s="4" t="s">
        <v>12</v>
      </c>
    </row>
    <row r="1429" spans="1:10" x14ac:dyDescent="0.25">
      <c r="A1429" s="2">
        <v>7.8570921813019297</v>
      </c>
      <c r="B1429" s="3">
        <v>0.63942123080063995</v>
      </c>
      <c r="C1429" s="3">
        <v>8.8363425541596693E-2</v>
      </c>
      <c r="D1429" s="4">
        <v>0.183901271039808</v>
      </c>
      <c r="E1429" s="3" t="s">
        <v>13505</v>
      </c>
      <c r="F1429" s="3" t="s">
        <v>13506</v>
      </c>
      <c r="G1429" s="3" t="s">
        <v>83</v>
      </c>
      <c r="H1429" s="7" t="str">
        <f>HYPERLINK("http://www.ensembl.org/Mus_musculus/Gene/Summary?db=core;g=ENSMUSG00000099104","ENSMUSG00000099104")</f>
        <v>ENSMUSG00000099104</v>
      </c>
      <c r="I1429" s="7" t="str">
        <f>HYPERLINK("http://www.informatics.jax.org/marker/MGI:4937914","MGI:4937914")</f>
        <v>MGI:4937914</v>
      </c>
      <c r="J1429" s="4" t="s">
        <v>12</v>
      </c>
    </row>
    <row r="1430" spans="1:10" x14ac:dyDescent="0.25">
      <c r="A1430" s="2">
        <v>1180.54674821201</v>
      </c>
      <c r="B1430" s="3">
        <v>0.63867690792949805</v>
      </c>
      <c r="C1430" s="5">
        <v>2.48995330084696E-11</v>
      </c>
      <c r="D1430" s="6">
        <v>2.2376429441782999E-10</v>
      </c>
      <c r="E1430" s="3" t="s">
        <v>9051</v>
      </c>
      <c r="F1430" s="3" t="s">
        <v>9052</v>
      </c>
      <c r="G1430" s="3">
        <v>101240</v>
      </c>
      <c r="H1430" s="7" t="str">
        <f>HYPERLINK("http://www.ensembl.org/Mus_musculus/Gene/Summary?db=core;g=ENSMUSG00000058486","ENSMUSG00000058486")</f>
        <v>ENSMUSG00000058486</v>
      </c>
      <c r="I1430" s="7" t="str">
        <f>HYPERLINK("http://www.informatics.jax.org/marker/MGI:2141558","MGI:2141558")</f>
        <v>MGI:2141558</v>
      </c>
      <c r="J1430" s="4" t="s">
        <v>12</v>
      </c>
    </row>
    <row r="1431" spans="1:10" x14ac:dyDescent="0.25">
      <c r="A1431" s="2">
        <v>143.95080975828799</v>
      </c>
      <c r="B1431" s="3">
        <v>0.637713302209997</v>
      </c>
      <c r="C1431" s="3">
        <v>1.03954589377208E-3</v>
      </c>
      <c r="D1431" s="4">
        <v>3.64761723411556E-3</v>
      </c>
      <c r="E1431" s="3" t="s">
        <v>9853</v>
      </c>
      <c r="F1431" s="3" t="s">
        <v>9854</v>
      </c>
      <c r="G1431" s="3" t="s">
        <v>83</v>
      </c>
      <c r="H1431" s="7" t="str">
        <f>HYPERLINK("http://www.ensembl.org/Mus_musculus/Gene/Summary?db=core;g=ENSMUSG00000078956","ENSMUSG00000078956")</f>
        <v>ENSMUSG00000078956</v>
      </c>
      <c r="I1431" s="7" t="str">
        <f>HYPERLINK("http://www.informatics.jax.org/marker/MGI:3650696","MGI:3650696")</f>
        <v>MGI:3650696</v>
      </c>
      <c r="J1431" s="4" t="s">
        <v>939</v>
      </c>
    </row>
    <row r="1432" spans="1:10" x14ac:dyDescent="0.25">
      <c r="A1432" s="2">
        <v>6927.8809605537199</v>
      </c>
      <c r="B1432" s="3">
        <v>0.63765223720073705</v>
      </c>
      <c r="C1432" s="5">
        <v>1.8839515970736401E-21</v>
      </c>
      <c r="D1432" s="6">
        <v>3.1674370716482501E-20</v>
      </c>
      <c r="E1432" s="3" t="s">
        <v>2599</v>
      </c>
      <c r="F1432" s="3" t="s">
        <v>2600</v>
      </c>
      <c r="G1432" s="3">
        <v>109711</v>
      </c>
      <c r="H1432" s="7" t="str">
        <f>HYPERLINK("http://www.ensembl.org/Mus_musculus/Gene/Summary?db=core;g=ENSMUSG00000015143","ENSMUSG00000015143")</f>
        <v>ENSMUSG00000015143</v>
      </c>
      <c r="I1432" s="7" t="str">
        <f>HYPERLINK("http://www.informatics.jax.org/marker/MGI:2137706","MGI:2137706")</f>
        <v>MGI:2137706</v>
      </c>
      <c r="J1432" s="4" t="s">
        <v>12</v>
      </c>
    </row>
    <row r="1433" spans="1:10" x14ac:dyDescent="0.25">
      <c r="A1433" s="2">
        <v>140.10183193285101</v>
      </c>
      <c r="B1433" s="3">
        <v>0.63723845570120896</v>
      </c>
      <c r="C1433" s="5">
        <v>3.1513553328003602E-8</v>
      </c>
      <c r="D1433" s="6">
        <v>2.0801684512961401E-7</v>
      </c>
      <c r="E1433" s="3" t="s">
        <v>4779</v>
      </c>
      <c r="F1433" s="3" t="s">
        <v>4780</v>
      </c>
      <c r="G1433" s="3" t="s">
        <v>83</v>
      </c>
      <c r="H1433" s="7" t="str">
        <f>HYPERLINK("http://www.ensembl.org/Mus_musculus/Gene/Summary?db=core;g=ENSMUSG00000049230","ENSMUSG00000049230")</f>
        <v>ENSMUSG00000049230</v>
      </c>
      <c r="I1433" s="7" t="str">
        <f>HYPERLINK("http://www.informatics.jax.org/marker/MGI:3641855","MGI:3641855")</f>
        <v>MGI:3641855</v>
      </c>
      <c r="J1433" s="4" t="s">
        <v>12</v>
      </c>
    </row>
    <row r="1434" spans="1:10" x14ac:dyDescent="0.25">
      <c r="A1434" s="2">
        <v>252.18462530359901</v>
      </c>
      <c r="B1434" s="3">
        <v>0.63577182607153304</v>
      </c>
      <c r="C1434" s="5">
        <v>7.0741699121759705E-11</v>
      </c>
      <c r="D1434" s="6">
        <v>6.1335274333685503E-10</v>
      </c>
      <c r="E1434" s="3" t="s">
        <v>5179</v>
      </c>
      <c r="F1434" s="3" t="s">
        <v>5180</v>
      </c>
      <c r="G1434" s="3">
        <v>17760</v>
      </c>
      <c r="H1434" s="7" t="str">
        <f>HYPERLINK("http://www.ensembl.org/Mus_musculus/Gene/Summary?db=core;g=ENSMUSG00000055407","ENSMUSG00000055407")</f>
        <v>ENSMUSG00000055407</v>
      </c>
      <c r="I1434" s="7" t="str">
        <f>HYPERLINK("http://www.informatics.jax.org/marker/MGI:1201690","MGI:1201690")</f>
        <v>MGI:1201690</v>
      </c>
      <c r="J1434" s="4" t="s">
        <v>12</v>
      </c>
    </row>
    <row r="1435" spans="1:10" x14ac:dyDescent="0.25">
      <c r="A1435" s="2">
        <v>9.7081938534836691</v>
      </c>
      <c r="B1435" s="3">
        <v>0.63571454250522497</v>
      </c>
      <c r="C1435" s="3">
        <v>6.9284652932583901E-2</v>
      </c>
      <c r="D1435" s="4">
        <v>0.15007283095987001</v>
      </c>
      <c r="E1435" s="3" t="s">
        <v>13061</v>
      </c>
      <c r="F1435" s="3" t="s">
        <v>13062</v>
      </c>
      <c r="G1435" s="3">
        <v>665270</v>
      </c>
      <c r="H1435" s="7" t="str">
        <f>HYPERLINK("http://www.ensembl.org/Mus_musculus/Gene/Summary?db=core;g=ENSMUSG00000029134","ENSMUSG00000029134")</f>
        <v>ENSMUSG00000029134</v>
      </c>
      <c r="I1435" s="7" t="str">
        <f>HYPERLINK("http://www.informatics.jax.org/marker/MGI:1922406","MGI:1922406")</f>
        <v>MGI:1922406</v>
      </c>
      <c r="J1435" s="4" t="s">
        <v>12</v>
      </c>
    </row>
    <row r="1436" spans="1:10" x14ac:dyDescent="0.25">
      <c r="A1436" s="2">
        <v>139.64694990691899</v>
      </c>
      <c r="B1436" s="3">
        <v>0.63248882878727497</v>
      </c>
      <c r="C1436" s="3">
        <v>3.2094193300051402E-3</v>
      </c>
      <c r="D1436" s="4">
        <v>1.01056785226924E-2</v>
      </c>
      <c r="E1436" s="3" t="s">
        <v>10620</v>
      </c>
      <c r="F1436" s="3" t="s">
        <v>10621</v>
      </c>
      <c r="G1436" s="3" t="s">
        <v>83</v>
      </c>
      <c r="H1436" s="7" t="str">
        <f>HYPERLINK("http://www.ensembl.org/Mus_musculus/Gene/Summary?db=core;g=ENSMUSG00000091575","ENSMUSG00000091575")</f>
        <v>ENSMUSG00000091575</v>
      </c>
      <c r="I1436" s="7" t="str">
        <f>HYPERLINK("http://www.informatics.jax.org/marker/MGI:1916456","MGI:1916456")</f>
        <v>MGI:1916456</v>
      </c>
      <c r="J1436" s="4" t="s">
        <v>331</v>
      </c>
    </row>
    <row r="1437" spans="1:10" x14ac:dyDescent="0.25">
      <c r="A1437" s="2">
        <v>83.369910833635103</v>
      </c>
      <c r="B1437" s="3">
        <v>0.63120693975640996</v>
      </c>
      <c r="C1437" s="5">
        <v>9.2884005305866498E-6</v>
      </c>
      <c r="D1437" s="6">
        <v>4.5616033325233501E-5</v>
      </c>
      <c r="E1437" s="3" t="s">
        <v>6229</v>
      </c>
      <c r="F1437" s="3" t="s">
        <v>6230</v>
      </c>
      <c r="G1437" s="3">
        <v>17777</v>
      </c>
      <c r="H1437" s="7" t="str">
        <f>HYPERLINK("http://www.ensembl.org/Mus_musculus/Gene/Summary?db=core;g=ENSMUSG00000028158","ENSMUSG00000028158")</f>
        <v>ENSMUSG00000028158</v>
      </c>
      <c r="I1437" s="7" t="str">
        <f>HYPERLINK("http://www.informatics.jax.org/marker/MGI:106926","MGI:106926")</f>
        <v>MGI:106926</v>
      </c>
      <c r="J1437" s="4" t="s">
        <v>12</v>
      </c>
    </row>
    <row r="1438" spans="1:10" x14ac:dyDescent="0.25">
      <c r="A1438" s="2">
        <v>547.35823772219101</v>
      </c>
      <c r="B1438" s="3">
        <v>0.63058966020394203</v>
      </c>
      <c r="C1438" s="5">
        <v>4.0964367738399997E-29</v>
      </c>
      <c r="D1438" s="6">
        <v>9.7591581965011699E-28</v>
      </c>
      <c r="E1438" s="3" t="s">
        <v>1899</v>
      </c>
      <c r="F1438" s="3" t="s">
        <v>1900</v>
      </c>
      <c r="G1438" s="3">
        <v>17764</v>
      </c>
      <c r="H1438" s="7" t="str">
        <f>HYPERLINK("http://www.ensembl.org/Mus_musculus/Gene/Summary?db=core;g=ENSMUSG00000028890","ENSMUSG00000028890")</f>
        <v>ENSMUSG00000028890</v>
      </c>
      <c r="I1438" s="7" t="str">
        <f>HYPERLINK("http://www.informatics.jax.org/marker/MGI:101786","MGI:101786")</f>
        <v>MGI:101786</v>
      </c>
      <c r="J1438" s="4" t="s">
        <v>12</v>
      </c>
    </row>
    <row r="1439" spans="1:10" x14ac:dyDescent="0.25">
      <c r="A1439" s="2">
        <v>2673.8207584010302</v>
      </c>
      <c r="B1439" s="3">
        <v>0.63044980350596702</v>
      </c>
      <c r="C1439" s="5">
        <v>5.4298887348739798E-82</v>
      </c>
      <c r="D1439" s="6">
        <v>5.4076350925179401E-80</v>
      </c>
      <c r="E1439" s="3" t="s">
        <v>244</v>
      </c>
      <c r="F1439" s="3" t="s">
        <v>245</v>
      </c>
      <c r="G1439" s="3">
        <v>71978</v>
      </c>
      <c r="H1439" s="7" t="str">
        <f>HYPERLINK("http://www.ensembl.org/Mus_musculus/Gene/Summary?db=core;g=ENSMUSG00000022052","ENSMUSG00000022052")</f>
        <v>ENSMUSG00000022052</v>
      </c>
      <c r="I1439" s="7" t="str">
        <f>HYPERLINK("http://www.informatics.jax.org/marker/MGI:1919228","MGI:1919228")</f>
        <v>MGI:1919228</v>
      </c>
      <c r="J1439" s="4" t="s">
        <v>12</v>
      </c>
    </row>
    <row r="1440" spans="1:10" x14ac:dyDescent="0.25">
      <c r="A1440" s="2">
        <v>82.496668030067198</v>
      </c>
      <c r="B1440" s="3">
        <v>0.63011157831153997</v>
      </c>
      <c r="C1440" s="3">
        <v>1.83803797045624E-2</v>
      </c>
      <c r="D1440" s="4">
        <v>4.7964264048632597E-2</v>
      </c>
      <c r="E1440" s="3" t="s">
        <v>10860</v>
      </c>
      <c r="F1440" s="3" t="s">
        <v>10861</v>
      </c>
      <c r="G1440" s="3" t="s">
        <v>83</v>
      </c>
      <c r="H1440" s="7" t="str">
        <f>HYPERLINK("http://www.ensembl.org/Mus_musculus/Gene/Summary?db=core;g=ENSMUSG00000098543","ENSMUSG00000098543")</f>
        <v>ENSMUSG00000098543</v>
      </c>
      <c r="I1440" s="7" t="str">
        <f>HYPERLINK("http://www.informatics.jax.org/marker/MGI:5530915","MGI:5530915")</f>
        <v>MGI:5530915</v>
      </c>
      <c r="J1440" s="4" t="s">
        <v>9951</v>
      </c>
    </row>
    <row r="1441" spans="1:10" x14ac:dyDescent="0.25">
      <c r="A1441" s="2">
        <v>581.776023817338</v>
      </c>
      <c r="B1441" s="3">
        <v>0.62968641783631296</v>
      </c>
      <c r="C1441" s="5">
        <v>1.73788638629791E-21</v>
      </c>
      <c r="D1441" s="6">
        <v>2.9299703413764503E-20</v>
      </c>
      <c r="E1441" s="3" t="s">
        <v>2313</v>
      </c>
      <c r="F1441" s="3" t="s">
        <v>2314</v>
      </c>
      <c r="G1441" s="3">
        <v>67011</v>
      </c>
      <c r="H1441" s="7" t="str">
        <f>HYPERLINK("http://www.ensembl.org/Mus_musculus/Gene/Summary?db=core;g=ENSMUSG00000021891","ENSMUSG00000021891")</f>
        <v>ENSMUSG00000021891</v>
      </c>
      <c r="I1441" s="7" t="str">
        <f>HYPERLINK("http://www.informatics.jax.org/marker/MGI:1914261","MGI:1914261")</f>
        <v>MGI:1914261</v>
      </c>
      <c r="J1441" s="4" t="s">
        <v>12</v>
      </c>
    </row>
    <row r="1442" spans="1:10" x14ac:dyDescent="0.25">
      <c r="A1442" s="2">
        <v>605.13046051431797</v>
      </c>
      <c r="B1442" s="3">
        <v>0.629181661373584</v>
      </c>
      <c r="C1442" s="5">
        <v>2.27265304149816E-7</v>
      </c>
      <c r="D1442" s="6">
        <v>1.3701323745055901E-6</v>
      </c>
      <c r="E1442" s="3" t="s">
        <v>2844</v>
      </c>
      <c r="F1442" s="3" t="s">
        <v>2845</v>
      </c>
      <c r="G1442" s="3">
        <v>16452</v>
      </c>
      <c r="H1442" s="7" t="str">
        <f>HYPERLINK("http://www.ensembl.org/Mus_musculus/Gene/Summary?db=core;g=ENSMUSG00000024789","ENSMUSG00000024789")</f>
        <v>ENSMUSG00000024789</v>
      </c>
      <c r="I1442" s="7" t="str">
        <f>HYPERLINK("http://www.informatics.jax.org/marker/MGI:96629","MGI:96629")</f>
        <v>MGI:96629</v>
      </c>
      <c r="J1442" s="4" t="s">
        <v>12</v>
      </c>
    </row>
    <row r="1443" spans="1:10" x14ac:dyDescent="0.25">
      <c r="A1443" s="2">
        <v>2533.3512511232602</v>
      </c>
      <c r="B1443" s="3">
        <v>0.62895193995214405</v>
      </c>
      <c r="C1443" s="5">
        <v>8.2003294616751904E-6</v>
      </c>
      <c r="D1443" s="6">
        <v>4.0611685988866902E-5</v>
      </c>
      <c r="E1443" s="3" t="s">
        <v>8509</v>
      </c>
      <c r="F1443" s="3" t="s">
        <v>8510</v>
      </c>
      <c r="G1443" s="3">
        <v>16835</v>
      </c>
      <c r="H1443" s="7" t="str">
        <f>HYPERLINK("http://www.ensembl.org/Mus_musculus/Gene/Summary?db=core;g=ENSMUSG00000032193","ENSMUSG00000032193")</f>
        <v>ENSMUSG00000032193</v>
      </c>
      <c r="I1443" s="7" t="str">
        <f>HYPERLINK("http://www.informatics.jax.org/marker/MGI:96765","MGI:96765")</f>
        <v>MGI:96765</v>
      </c>
      <c r="J1443" s="4" t="s">
        <v>12</v>
      </c>
    </row>
    <row r="1444" spans="1:10" x14ac:dyDescent="0.25">
      <c r="A1444" s="2">
        <v>31913.297590578899</v>
      </c>
      <c r="B1444" s="3">
        <v>0.62862518774953702</v>
      </c>
      <c r="C1444" s="5">
        <v>1.4570822110381799E-57</v>
      </c>
      <c r="D1444" s="6">
        <v>8.2726863850999207E-56</v>
      </c>
      <c r="E1444" s="3" t="s">
        <v>526</v>
      </c>
      <c r="F1444" s="3" t="s">
        <v>527</v>
      </c>
      <c r="G1444" s="3">
        <v>13690</v>
      </c>
      <c r="H1444" s="7" t="str">
        <f>HYPERLINK("http://www.ensembl.org/Mus_musculus/Gene/Summary?db=core;g=ENSMUSG00000005610","ENSMUSG00000005610")</f>
        <v>ENSMUSG00000005610</v>
      </c>
      <c r="I1444" s="7" t="str">
        <f>HYPERLINK("http://www.informatics.jax.org/marker/MGI:109207","MGI:109207")</f>
        <v>MGI:109207</v>
      </c>
      <c r="J1444" s="4" t="s">
        <v>12</v>
      </c>
    </row>
    <row r="1445" spans="1:10" x14ac:dyDescent="0.25">
      <c r="A1445" s="2">
        <v>1641.01132094123</v>
      </c>
      <c r="B1445" s="3">
        <v>0.62852880275952305</v>
      </c>
      <c r="C1445" s="5">
        <v>3.53021748517669E-9</v>
      </c>
      <c r="D1445" s="6">
        <v>2.59532931292236E-8</v>
      </c>
      <c r="E1445" s="3" t="s">
        <v>4109</v>
      </c>
      <c r="F1445" s="3" t="s">
        <v>4110</v>
      </c>
      <c r="G1445" s="3">
        <v>14583</v>
      </c>
      <c r="H1445" s="7" t="str">
        <f>HYPERLINK("http://www.ensembl.org/Mus_musculus/Gene/Summary?db=core;g=ENSMUSG00000029992","ENSMUSG00000029992")</f>
        <v>ENSMUSG00000029992</v>
      </c>
      <c r="I1445" s="7" t="str">
        <f>HYPERLINK("http://www.informatics.jax.org/marker/MGI:95698","MGI:95698")</f>
        <v>MGI:95698</v>
      </c>
      <c r="J1445" s="4" t="s">
        <v>12</v>
      </c>
    </row>
    <row r="1446" spans="1:10" x14ac:dyDescent="0.25">
      <c r="A1446" s="2">
        <v>80.777315734992897</v>
      </c>
      <c r="B1446" s="3">
        <v>0.62797005632554403</v>
      </c>
      <c r="C1446" s="5">
        <v>1.04363995939363E-5</v>
      </c>
      <c r="D1446" s="6">
        <v>5.0924600428243199E-5</v>
      </c>
      <c r="E1446" s="3" t="s">
        <v>6449</v>
      </c>
      <c r="F1446" s="3" t="s">
        <v>6450</v>
      </c>
      <c r="G1446" s="3" t="s">
        <v>83</v>
      </c>
      <c r="H1446" s="7" t="str">
        <f>HYPERLINK("http://www.ensembl.org/Mus_musculus/Gene/Summary?db=core;g=ENSMUSG00000085101","ENSMUSG00000085101")</f>
        <v>ENSMUSG00000085101</v>
      </c>
      <c r="I1446" s="7" t="str">
        <f>HYPERLINK("http://www.informatics.jax.org/marker/MGI:3651931","MGI:3651931")</f>
        <v>MGI:3651931</v>
      </c>
      <c r="J1446" s="4" t="s">
        <v>331</v>
      </c>
    </row>
    <row r="1447" spans="1:10" x14ac:dyDescent="0.25">
      <c r="A1447" s="2">
        <v>284.045462769734</v>
      </c>
      <c r="B1447" s="3">
        <v>0.62724273719204904</v>
      </c>
      <c r="C1447" s="5">
        <v>8.7443629112727801E-7</v>
      </c>
      <c r="D1447" s="6">
        <v>4.8915289766097796E-6</v>
      </c>
      <c r="E1447" s="3" t="s">
        <v>8697</v>
      </c>
      <c r="F1447" s="3" t="s">
        <v>8698</v>
      </c>
      <c r="G1447" s="3">
        <v>56441</v>
      </c>
      <c r="H1447" s="7" t="str">
        <f>HYPERLINK("http://www.ensembl.org/Mus_musculus/Gene/Summary?db=core;g=ENSMUSG00000079334","ENSMUSG00000079334")</f>
        <v>ENSMUSG00000079334</v>
      </c>
      <c r="I1447" s="7" t="str">
        <f>HYPERLINK("http://www.informatics.jax.org/marker/MGI:1888902","MGI:1888902")</f>
        <v>MGI:1888902</v>
      </c>
      <c r="J1447" s="4" t="s">
        <v>12</v>
      </c>
    </row>
    <row r="1448" spans="1:10" x14ac:dyDescent="0.25">
      <c r="A1448" s="2">
        <v>1179.48006867709</v>
      </c>
      <c r="B1448" s="3">
        <v>0.62606229908519795</v>
      </c>
      <c r="C1448" s="5">
        <v>1.5097221617513699E-21</v>
      </c>
      <c r="D1448" s="6">
        <v>2.5571269886541501E-20</v>
      </c>
      <c r="E1448" s="3" t="s">
        <v>4767</v>
      </c>
      <c r="F1448" s="3" t="s">
        <v>4768</v>
      </c>
      <c r="G1448" s="3">
        <v>103710</v>
      </c>
      <c r="H1448" s="7" t="str">
        <f>HYPERLINK("http://www.ensembl.org/Mus_musculus/Gene/Summary?db=core;g=ENSMUSG00000048807","ENSMUSG00000048807")</f>
        <v>ENSMUSG00000048807</v>
      </c>
      <c r="I1448" s="7" t="str">
        <f>HYPERLINK("http://www.informatics.jax.org/marker/MGI:2144150","MGI:2144150")</f>
        <v>MGI:2144150</v>
      </c>
      <c r="J1448" s="4" t="s">
        <v>12</v>
      </c>
    </row>
    <row r="1449" spans="1:10" x14ac:dyDescent="0.25">
      <c r="A1449" s="2">
        <v>828.94296848552005</v>
      </c>
      <c r="B1449" s="3">
        <v>0.62561622553700702</v>
      </c>
      <c r="C1449" s="3">
        <v>1.15805778659631E-2</v>
      </c>
      <c r="D1449" s="4">
        <v>3.1973342161366103E-2</v>
      </c>
      <c r="E1449" s="3" t="s">
        <v>9179</v>
      </c>
      <c r="F1449" s="3" t="s">
        <v>9180</v>
      </c>
      <c r="G1449" s="3">
        <v>16952</v>
      </c>
      <c r="H1449" s="7" t="str">
        <f>HYPERLINK("http://www.ensembl.org/Mus_musculus/Gene/Summary?db=core;g=ENSMUSG00000024659","ENSMUSG00000024659")</f>
        <v>ENSMUSG00000024659</v>
      </c>
      <c r="I1449" s="7" t="str">
        <f>HYPERLINK("http://www.informatics.jax.org/marker/MGI:96819","MGI:96819")</f>
        <v>MGI:96819</v>
      </c>
      <c r="J1449" s="4" t="s">
        <v>12</v>
      </c>
    </row>
    <row r="1450" spans="1:10" x14ac:dyDescent="0.25">
      <c r="A1450" s="2">
        <v>50.101975182654698</v>
      </c>
      <c r="B1450" s="3">
        <v>0.62524307729816897</v>
      </c>
      <c r="C1450" s="3">
        <v>2.0446590083281001E-2</v>
      </c>
      <c r="D1450" s="4">
        <v>5.2550994819883699E-2</v>
      </c>
      <c r="E1450" s="3" t="s">
        <v>9661</v>
      </c>
      <c r="F1450" s="3" t="s">
        <v>9662</v>
      </c>
      <c r="G1450" s="3">
        <v>622976</v>
      </c>
      <c r="H1450" s="7" t="str">
        <f>HYPERLINK("http://www.ensembl.org/Mus_musculus/Gene/Summary?db=core;g=ENSMUSG00000048621","ENSMUSG00000048621")</f>
        <v>ENSMUSG00000048621</v>
      </c>
      <c r="I1450" s="7" t="str">
        <f>HYPERLINK("http://www.informatics.jax.org/marker/MGI:3647255","MGI:3647255")</f>
        <v>MGI:3647255</v>
      </c>
      <c r="J1450" s="4" t="s">
        <v>12</v>
      </c>
    </row>
    <row r="1451" spans="1:10" x14ac:dyDescent="0.25">
      <c r="A1451" s="2">
        <v>509.84069743814098</v>
      </c>
      <c r="B1451" s="3">
        <v>0.62480079530132604</v>
      </c>
      <c r="C1451" s="5">
        <v>1.0278173807232101E-14</v>
      </c>
      <c r="D1451" s="6">
        <v>1.1870704539721499E-13</v>
      </c>
      <c r="E1451" s="3" t="s">
        <v>3552</v>
      </c>
      <c r="F1451" s="3" t="s">
        <v>3553</v>
      </c>
      <c r="G1451" s="3" t="s">
        <v>83</v>
      </c>
      <c r="H1451" s="7" t="str">
        <f>HYPERLINK("http://www.ensembl.org/Mus_musculus/Gene/Summary?db=core;g=ENSMUSG00000095464","ENSMUSG00000095464")</f>
        <v>ENSMUSG00000095464</v>
      </c>
      <c r="I1451" s="7" t="str">
        <f>HYPERLINK("http://www.informatics.jax.org/marker/MGI:5439456","MGI:5439456")</f>
        <v>MGI:5439456</v>
      </c>
      <c r="J1451" s="4" t="s">
        <v>12</v>
      </c>
    </row>
    <row r="1452" spans="1:10" x14ac:dyDescent="0.25">
      <c r="A1452" s="2">
        <v>324.10107817629199</v>
      </c>
      <c r="B1452" s="3">
        <v>0.62378098944620497</v>
      </c>
      <c r="C1452" s="5">
        <v>5.9278935637736798E-12</v>
      </c>
      <c r="D1452" s="6">
        <v>5.6064276180475001E-11</v>
      </c>
      <c r="E1452" s="3" t="s">
        <v>5401</v>
      </c>
      <c r="F1452" s="3" t="s">
        <v>5402</v>
      </c>
      <c r="G1452" s="3">
        <v>71254</v>
      </c>
      <c r="H1452" s="7" t="str">
        <f>HYPERLINK("http://www.ensembl.org/Mus_musculus/Gene/Summary?db=core;g=ENSMUSG00000039164","ENSMUSG00000039164")</f>
        <v>ENSMUSG00000039164</v>
      </c>
      <c r="I1452" s="7" t="str">
        <f>HYPERLINK("http://www.informatics.jax.org/marker/MGI:1918504","MGI:1918504")</f>
        <v>MGI:1918504</v>
      </c>
      <c r="J1452" s="4" t="s">
        <v>12</v>
      </c>
    </row>
    <row r="1453" spans="1:10" x14ac:dyDescent="0.25">
      <c r="A1453" s="2">
        <v>676.35170571257902</v>
      </c>
      <c r="B1453" s="3">
        <v>0.62218947248540402</v>
      </c>
      <c r="C1453" s="5">
        <v>3.6784885237255396E-21</v>
      </c>
      <c r="D1453" s="6">
        <v>6.0945866677179996E-20</v>
      </c>
      <c r="E1453" s="3" t="s">
        <v>2299</v>
      </c>
      <c r="F1453" s="3" t="s">
        <v>2300</v>
      </c>
      <c r="G1453" s="3">
        <v>12856</v>
      </c>
      <c r="H1453" s="7" t="str">
        <f>HYPERLINK("http://www.ensembl.org/Mus_musculus/Gene/Summary?db=core;g=ENSMUSG00000046516","ENSMUSG00000046516")</f>
        <v>ENSMUSG00000046516</v>
      </c>
      <c r="I1453" s="7" t="str">
        <f>HYPERLINK("http://www.informatics.jax.org/marker/MGI:1333806","MGI:1333806")</f>
        <v>MGI:1333806</v>
      </c>
      <c r="J1453" s="4" t="s">
        <v>12</v>
      </c>
    </row>
    <row r="1454" spans="1:10" x14ac:dyDescent="0.25">
      <c r="A1454" s="2">
        <v>606.63531336243602</v>
      </c>
      <c r="B1454" s="3">
        <v>0.62164269148145201</v>
      </c>
      <c r="C1454" s="5">
        <v>5.1175996774904596E-12</v>
      </c>
      <c r="D1454" s="6">
        <v>4.8678629500137597E-11</v>
      </c>
      <c r="E1454" s="3" t="s">
        <v>7290</v>
      </c>
      <c r="F1454" s="3" t="s">
        <v>7291</v>
      </c>
      <c r="G1454" s="3">
        <v>109676</v>
      </c>
      <c r="H1454" s="7" t="str">
        <f>HYPERLINK("http://www.ensembl.org/Mus_musculus/Gene/Summary?db=core;g=ENSMUSG00000032826","ENSMUSG00000032826")</f>
        <v>ENSMUSG00000032826</v>
      </c>
      <c r="I1454" s="7" t="str">
        <f>HYPERLINK("http://www.informatics.jax.org/marker/MGI:88025","MGI:88025")</f>
        <v>MGI:88025</v>
      </c>
      <c r="J1454" s="4" t="s">
        <v>12</v>
      </c>
    </row>
    <row r="1455" spans="1:10" x14ac:dyDescent="0.25">
      <c r="A1455" s="2">
        <v>300.24358221337599</v>
      </c>
      <c r="B1455" s="3">
        <v>0.62045480369735195</v>
      </c>
      <c r="C1455" s="5">
        <v>3.53676050496456E-8</v>
      </c>
      <c r="D1455" s="6">
        <v>2.31279010416143E-7</v>
      </c>
      <c r="E1455" s="3" t="s">
        <v>6337</v>
      </c>
      <c r="F1455" s="3" t="s">
        <v>6338</v>
      </c>
      <c r="G1455" s="3">
        <v>50766</v>
      </c>
      <c r="H1455" s="7" t="str">
        <f>HYPERLINK("http://www.ensembl.org/Mus_musculus/Gene/Summary?db=core;g=ENSMUSG00000024074","ENSMUSG00000024074")</f>
        <v>ENSMUSG00000024074</v>
      </c>
      <c r="I1455" s="7" t="str">
        <f>HYPERLINK("http://www.informatics.jax.org/marker/MGI:1354756","MGI:1354756")</f>
        <v>MGI:1354756</v>
      </c>
      <c r="J1455" s="4" t="s">
        <v>12</v>
      </c>
    </row>
    <row r="1456" spans="1:10" x14ac:dyDescent="0.25">
      <c r="A1456" s="2">
        <v>1406.84792989774</v>
      </c>
      <c r="B1456" s="3">
        <v>0.620407789121868</v>
      </c>
      <c r="C1456" s="5">
        <v>7.11882897306511E-9</v>
      </c>
      <c r="D1456" s="6">
        <v>5.0365162280322801E-8</v>
      </c>
      <c r="E1456" s="3" t="s">
        <v>3516</v>
      </c>
      <c r="F1456" s="3" t="s">
        <v>3517</v>
      </c>
      <c r="G1456" s="3">
        <v>19186</v>
      </c>
      <c r="H1456" s="7" t="str">
        <f>HYPERLINK("http://www.ensembl.org/Mus_musculus/Gene/Summary?db=core;g=ENSMUSG00000022216","ENSMUSG00000022216")</f>
        <v>ENSMUSG00000022216</v>
      </c>
      <c r="I1456" s="7" t="str">
        <f>HYPERLINK("http://www.informatics.jax.org/marker/MGI:1096367","MGI:1096367")</f>
        <v>MGI:1096367</v>
      </c>
      <c r="J1456" s="4" t="s">
        <v>12</v>
      </c>
    </row>
    <row r="1457" spans="1:10" x14ac:dyDescent="0.25">
      <c r="A1457" s="2">
        <v>4979.3578732680098</v>
      </c>
      <c r="B1457" s="3">
        <v>0.62018062887377501</v>
      </c>
      <c r="C1457" s="5">
        <v>6.4299337926122601E-18</v>
      </c>
      <c r="D1457" s="6">
        <v>9.0144796679467003E-17</v>
      </c>
      <c r="E1457" s="3" t="s">
        <v>3030</v>
      </c>
      <c r="F1457" s="3" t="s">
        <v>3031</v>
      </c>
      <c r="G1457" s="3">
        <v>52398</v>
      </c>
      <c r="H1457" s="7" t="str">
        <f>HYPERLINK("http://www.ensembl.org/Mus_musculus/Gene/Summary?db=core;g=ENSMUSG00000058013","ENSMUSG00000058013")</f>
        <v>ENSMUSG00000058013</v>
      </c>
      <c r="I1457" s="7" t="str">
        <f>HYPERLINK("http://www.informatics.jax.org/marker/MGI:1277214","MGI:1277214")</f>
        <v>MGI:1277214</v>
      </c>
      <c r="J1457" s="4" t="s">
        <v>12</v>
      </c>
    </row>
    <row r="1458" spans="1:10" x14ac:dyDescent="0.25">
      <c r="A1458" s="2">
        <v>20.139715700269001</v>
      </c>
      <c r="B1458" s="3">
        <v>0.61942377795123305</v>
      </c>
      <c r="C1458" s="3">
        <v>2.0691040092632701E-2</v>
      </c>
      <c r="D1458" s="4">
        <v>5.3111859956088803E-2</v>
      </c>
      <c r="E1458" s="3" t="s">
        <v>12881</v>
      </c>
      <c r="F1458" s="3" t="s">
        <v>12882</v>
      </c>
      <c r="G1458" s="3" t="s">
        <v>83</v>
      </c>
      <c r="H1458" s="7" t="str">
        <f>HYPERLINK("http://www.ensembl.org/Mus_musculus/Gene/Summary?db=core;g=ENSMUSG00000103756","ENSMUSG00000103756")</f>
        <v>ENSMUSG00000103756</v>
      </c>
      <c r="I1458" s="7" t="str">
        <f>HYPERLINK("http://www.informatics.jax.org/marker/MGI:5610513","MGI:5610513")</f>
        <v>MGI:5610513</v>
      </c>
      <c r="J1458" s="4" t="s">
        <v>1828</v>
      </c>
    </row>
    <row r="1459" spans="1:10" x14ac:dyDescent="0.25">
      <c r="A1459" s="2">
        <v>1197.9543924116099</v>
      </c>
      <c r="B1459" s="3">
        <v>0.61861191394875603</v>
      </c>
      <c r="C1459" s="5">
        <v>2.6522142024507198E-18</v>
      </c>
      <c r="D1459" s="6">
        <v>3.8120350031281098E-17</v>
      </c>
      <c r="E1459" s="3" t="s">
        <v>2880</v>
      </c>
      <c r="F1459" s="3" t="s">
        <v>2881</v>
      </c>
      <c r="G1459" s="3">
        <v>22003</v>
      </c>
      <c r="H1459" s="7" t="str">
        <f>HYPERLINK("http://www.ensembl.org/Mus_musculus/Gene/Summary?db=core;g=ENSMUSG00000032366","ENSMUSG00000032366")</f>
        <v>ENSMUSG00000032366</v>
      </c>
      <c r="I1459" s="7" t="str">
        <f>HYPERLINK("http://www.informatics.jax.org/marker/MGI:98809","MGI:98809")</f>
        <v>MGI:98809</v>
      </c>
      <c r="J1459" s="4" t="s">
        <v>12</v>
      </c>
    </row>
    <row r="1460" spans="1:10" x14ac:dyDescent="0.25">
      <c r="A1460" s="2">
        <v>1667.8556268218299</v>
      </c>
      <c r="B1460" s="3">
        <v>0.61787921201836804</v>
      </c>
      <c r="C1460" s="5">
        <v>1.73616894686222E-35</v>
      </c>
      <c r="D1460" s="6">
        <v>5.1617747237461604E-34</v>
      </c>
      <c r="E1460" s="3" t="s">
        <v>1138</v>
      </c>
      <c r="F1460" s="3" t="s">
        <v>1139</v>
      </c>
      <c r="G1460" s="3">
        <v>74451</v>
      </c>
      <c r="H1460" s="7" t="str">
        <f>HYPERLINK("http://www.ensembl.org/Mus_musculus/Gene/Summary?db=core;g=ENSMUSG00000017715","ENSMUSG00000017715")</f>
        <v>ENSMUSG00000017715</v>
      </c>
      <c r="I1460" s="7" t="str">
        <f>HYPERLINK("http://www.informatics.jax.org/marker/MGI:1921701","MGI:1921701")</f>
        <v>MGI:1921701</v>
      </c>
      <c r="J1460" s="4" t="s">
        <v>12</v>
      </c>
    </row>
    <row r="1461" spans="1:10" x14ac:dyDescent="0.25">
      <c r="A1461" s="2">
        <v>150.97678651055301</v>
      </c>
      <c r="B1461" s="3">
        <v>0.61661631916686099</v>
      </c>
      <c r="C1461" s="5">
        <v>1.19320353264208E-7</v>
      </c>
      <c r="D1461" s="6">
        <v>7.4067215198916904E-7</v>
      </c>
      <c r="E1461" s="3" t="s">
        <v>7206</v>
      </c>
      <c r="F1461" s="3" t="s">
        <v>7207</v>
      </c>
      <c r="G1461" s="3">
        <v>16404</v>
      </c>
      <c r="H1461" s="7" t="str">
        <f>HYPERLINK("http://www.ensembl.org/Mus_musculus/Gene/Summary?db=core;g=ENSMUSG00000025348","ENSMUSG00000025348")</f>
        <v>ENSMUSG00000025348</v>
      </c>
      <c r="I1461" s="7" t="str">
        <f>HYPERLINK("http://www.informatics.jax.org/marker/MGI:102700","MGI:102700")</f>
        <v>MGI:102700</v>
      </c>
      <c r="J1461" s="4" t="s">
        <v>12</v>
      </c>
    </row>
    <row r="1462" spans="1:10" x14ac:dyDescent="0.25">
      <c r="A1462" s="2">
        <v>7040.1197821994201</v>
      </c>
      <c r="B1462" s="3">
        <v>0.61635984374272001</v>
      </c>
      <c r="C1462" s="5">
        <v>1.04500690707483E-11</v>
      </c>
      <c r="D1462" s="6">
        <v>9.6922396343200105E-11</v>
      </c>
      <c r="E1462" s="3" t="s">
        <v>3286</v>
      </c>
      <c r="F1462" s="3" t="s">
        <v>3287</v>
      </c>
      <c r="G1462" s="3">
        <v>227737</v>
      </c>
      <c r="H1462" s="7" t="str">
        <f>HYPERLINK("http://www.ensembl.org/Mus_musculus/Gene/Summary?db=core;g=ENSMUSG00000026796","ENSMUSG00000026796")</f>
        <v>ENSMUSG00000026796</v>
      </c>
      <c r="I1462" s="7" t="str">
        <f>HYPERLINK("http://www.informatics.jax.org/marker/MGI:2442910","MGI:2442910")</f>
        <v>MGI:2442910</v>
      </c>
      <c r="J1462" s="4" t="s">
        <v>12</v>
      </c>
    </row>
    <row r="1463" spans="1:10" x14ac:dyDescent="0.25">
      <c r="A1463" s="2">
        <v>4152.4709689164902</v>
      </c>
      <c r="B1463" s="3">
        <v>0.61586157403167296</v>
      </c>
      <c r="C1463" s="5">
        <v>1.4165106702684001E-23</v>
      </c>
      <c r="D1463" s="6">
        <v>2.6532278484729199E-22</v>
      </c>
      <c r="E1463" s="3" t="s">
        <v>2267</v>
      </c>
      <c r="F1463" s="3" t="s">
        <v>2268</v>
      </c>
      <c r="G1463" s="3">
        <v>208266</v>
      </c>
      <c r="H1463" s="7" t="str">
        <f>HYPERLINK("http://www.ensembl.org/Mus_musculus/Gene/Summary?db=core;g=ENSMUSG00000061589","ENSMUSG00000061589")</f>
        <v>ENSMUSG00000061589</v>
      </c>
      <c r="I1463" s="7" t="str">
        <f>HYPERLINK("http://www.informatics.jax.org/marker/MGI:2143886","MGI:2143886")</f>
        <v>MGI:2143886</v>
      </c>
      <c r="J1463" s="4" t="s">
        <v>12</v>
      </c>
    </row>
    <row r="1464" spans="1:10" x14ac:dyDescent="0.25">
      <c r="A1464" s="2">
        <v>567.82520370785903</v>
      </c>
      <c r="B1464" s="3">
        <v>0.61523104757205904</v>
      </c>
      <c r="C1464" s="5">
        <v>1.5861759829E-20</v>
      </c>
      <c r="D1464" s="6">
        <v>2.5582351582612801E-19</v>
      </c>
      <c r="E1464" s="3" t="s">
        <v>3766</v>
      </c>
      <c r="F1464" s="3" t="s">
        <v>3767</v>
      </c>
      <c r="G1464" s="3">
        <v>100383</v>
      </c>
      <c r="H1464" s="7" t="str">
        <f>HYPERLINK("http://www.ensembl.org/Mus_musculus/Gene/Summary?db=core;g=ENSMUSG00000040859","ENSMUSG00000040859")</f>
        <v>ENSMUSG00000040859</v>
      </c>
      <c r="I1464" s="7" t="str">
        <f>HYPERLINK("http://www.informatics.jax.org/marker/MGI:1913466","MGI:1913466")</f>
        <v>MGI:1913466</v>
      </c>
      <c r="J1464" s="4" t="s">
        <v>12</v>
      </c>
    </row>
    <row r="1465" spans="1:10" x14ac:dyDescent="0.25">
      <c r="A1465" s="2">
        <v>182.509848222632</v>
      </c>
      <c r="B1465" s="3">
        <v>0.61483299237763001</v>
      </c>
      <c r="C1465" s="5">
        <v>1.1496445446702801E-9</v>
      </c>
      <c r="D1465" s="6">
        <v>8.8593115545944003E-9</v>
      </c>
      <c r="E1465" s="3" t="s">
        <v>3904</v>
      </c>
      <c r="F1465" s="3" t="s">
        <v>3905</v>
      </c>
      <c r="G1465" s="3">
        <v>110175</v>
      </c>
      <c r="H1465" s="7" t="str">
        <f>HYPERLINK("http://www.ensembl.org/Mus_musculus/Gene/Summary?db=core;g=ENSMUSG00000002797","ENSMUSG00000002797")</f>
        <v>ENSMUSG00000002797</v>
      </c>
      <c r="I1465" s="7" t="str">
        <f>HYPERLINK("http://www.informatics.jax.org/marker/MGI:95700","MGI:95700")</f>
        <v>MGI:95700</v>
      </c>
      <c r="J1465" s="4" t="s">
        <v>12</v>
      </c>
    </row>
    <row r="1466" spans="1:10" x14ac:dyDescent="0.25">
      <c r="A1466" s="2">
        <v>5806.3800549613397</v>
      </c>
      <c r="B1466" s="3">
        <v>0.61453099304493997</v>
      </c>
      <c r="C1466" s="5">
        <v>2.23812559113519E-9</v>
      </c>
      <c r="D1466" s="6">
        <v>1.6717147089524101E-8</v>
      </c>
      <c r="E1466" s="3" t="s">
        <v>4823</v>
      </c>
      <c r="F1466" s="3" t="s">
        <v>4824</v>
      </c>
      <c r="G1466" s="3">
        <v>22388</v>
      </c>
      <c r="H1466" s="7" t="str">
        <f>HYPERLINK("http://www.ensembl.org/Mus_musculus/Gene/Summary?db=core;g=ENSMUSG00000005103","ENSMUSG00000005103")</f>
        <v>ENSMUSG00000005103</v>
      </c>
      <c r="I1466" s="7" t="str">
        <f>HYPERLINK("http://www.informatics.jax.org/marker/MGI:1337100","MGI:1337100")</f>
        <v>MGI:1337100</v>
      </c>
      <c r="J1466" s="4" t="s">
        <v>12</v>
      </c>
    </row>
    <row r="1467" spans="1:10" x14ac:dyDescent="0.25">
      <c r="A1467" s="2">
        <v>3394.78012934036</v>
      </c>
      <c r="B1467" s="3">
        <v>0.61430883413750303</v>
      </c>
      <c r="C1467" s="5">
        <v>1.92606194815851E-16</v>
      </c>
      <c r="D1467" s="6">
        <v>2.48601126099071E-15</v>
      </c>
      <c r="E1467" s="3" t="s">
        <v>4037</v>
      </c>
      <c r="F1467" s="3" t="s">
        <v>4038</v>
      </c>
      <c r="G1467" s="3">
        <v>18984</v>
      </c>
      <c r="H1467" s="7" t="str">
        <f>HYPERLINK("http://www.ensembl.org/Mus_musculus/Gene/Summary?db=core;g=ENSMUSG00000005514","ENSMUSG00000005514")</f>
        <v>ENSMUSG00000005514</v>
      </c>
      <c r="I1467" s="7" t="str">
        <f>HYPERLINK("http://www.informatics.jax.org/marker/MGI:97744","MGI:97744")</f>
        <v>MGI:97744</v>
      </c>
      <c r="J1467" s="4" t="s">
        <v>12</v>
      </c>
    </row>
    <row r="1468" spans="1:10" x14ac:dyDescent="0.25">
      <c r="A1468" s="2">
        <v>17.339932752895098</v>
      </c>
      <c r="B1468" s="3">
        <v>0.61414127703120802</v>
      </c>
      <c r="C1468" s="3">
        <v>1.83846888160842E-2</v>
      </c>
      <c r="D1468" s="4">
        <v>4.7968640468594698E-2</v>
      </c>
      <c r="E1468" s="3" t="s">
        <v>10856</v>
      </c>
      <c r="F1468" s="3" t="s">
        <v>10857</v>
      </c>
      <c r="G1468" s="3">
        <v>320844</v>
      </c>
      <c r="H1468" s="7" t="str">
        <f>HYPERLINK("http://www.ensembl.org/Mus_musculus/Gene/Summary?db=core;g=ENSMUSG00000032593","ENSMUSG00000032593")</f>
        <v>ENSMUSG00000032593</v>
      </c>
      <c r="I1468" s="7" t="str">
        <f>HYPERLINK("http://www.informatics.jax.org/marker/MGI:2444854","MGI:2444854")</f>
        <v>MGI:2444854</v>
      </c>
      <c r="J1468" s="4" t="s">
        <v>12</v>
      </c>
    </row>
    <row r="1469" spans="1:10" x14ac:dyDescent="0.25">
      <c r="A1469" s="2">
        <v>326.74755649486502</v>
      </c>
      <c r="B1469" s="3">
        <v>0.61409722602619199</v>
      </c>
      <c r="C1469" s="5">
        <v>4.6678359778594202E-8</v>
      </c>
      <c r="D1469" s="6">
        <v>3.0124401804705298E-7</v>
      </c>
      <c r="E1469" s="3" t="s">
        <v>12659</v>
      </c>
      <c r="F1469" s="3" t="s">
        <v>12660</v>
      </c>
      <c r="G1469" s="3">
        <v>246179</v>
      </c>
      <c r="H1469" s="7" t="str">
        <f>HYPERLINK("http://www.ensembl.org/Mus_musculus/Gene/Summary?db=core;g=ENSMUSG00000028414","ENSMUSG00000028414")</f>
        <v>ENSMUSG00000028414</v>
      </c>
      <c r="I1469" s="7" t="str">
        <f>HYPERLINK("http://www.informatics.jax.org/marker/MGI:2179507","MGI:2179507")</f>
        <v>MGI:2179507</v>
      </c>
      <c r="J1469" s="4" t="s">
        <v>12</v>
      </c>
    </row>
    <row r="1470" spans="1:10" x14ac:dyDescent="0.25">
      <c r="A1470" s="2">
        <v>630.93312217439495</v>
      </c>
      <c r="B1470" s="3">
        <v>0.61398134152885497</v>
      </c>
      <c r="C1470" s="5">
        <v>2.2354157621335601E-17</v>
      </c>
      <c r="D1470" s="6">
        <v>3.0426028577210001E-16</v>
      </c>
      <c r="E1470" s="3" t="s">
        <v>2621</v>
      </c>
      <c r="F1470" s="3" t="s">
        <v>2622</v>
      </c>
      <c r="G1470" s="3">
        <v>19328</v>
      </c>
      <c r="H1470" s="7" t="str">
        <f>HYPERLINK("http://www.ensembl.org/Mus_musculus/Gene/Summary?db=core;g=ENSMUSG00000023460","ENSMUSG00000023460")</f>
        <v>ENSMUSG00000023460</v>
      </c>
      <c r="I1470" s="7" t="str">
        <f>HYPERLINK("http://www.informatics.jax.org/marker/MGI:894284","MGI:894284")</f>
        <v>MGI:894284</v>
      </c>
      <c r="J1470" s="4" t="s">
        <v>12</v>
      </c>
    </row>
    <row r="1471" spans="1:10" x14ac:dyDescent="0.25">
      <c r="A1471" s="2">
        <v>136.514737921163</v>
      </c>
      <c r="B1471" s="3">
        <v>0.61355468098115695</v>
      </c>
      <c r="C1471" s="5">
        <v>2.8055473161568199E-6</v>
      </c>
      <c r="D1471" s="6">
        <v>1.47692373879139E-5</v>
      </c>
      <c r="E1471" s="3" t="s">
        <v>5155</v>
      </c>
      <c r="F1471" s="3" t="s">
        <v>5156</v>
      </c>
      <c r="G1471" s="3" t="s">
        <v>83</v>
      </c>
      <c r="H1471" s="7" t="str">
        <f>HYPERLINK("http://www.ensembl.org/Mus_musculus/Gene/Summary?db=core;g=ENSMUSG00000114046","ENSMUSG00000114046")</f>
        <v>ENSMUSG00000114046</v>
      </c>
      <c r="I1471" s="7" t="str">
        <f>HYPERLINK("http://www.informatics.jax.org/marker/MGI:6121501","MGI:6121501")</f>
        <v>MGI:6121501</v>
      </c>
      <c r="J1471" s="4" t="s">
        <v>12</v>
      </c>
    </row>
    <row r="1472" spans="1:10" x14ac:dyDescent="0.25">
      <c r="A1472" s="2">
        <v>339.25832901111698</v>
      </c>
      <c r="B1472" s="3">
        <v>0.61301009037962595</v>
      </c>
      <c r="C1472" s="5">
        <v>6.8564185896882196E-13</v>
      </c>
      <c r="D1472" s="6">
        <v>7.0478414437150498E-12</v>
      </c>
      <c r="E1472" s="3" t="s">
        <v>3800</v>
      </c>
      <c r="F1472" s="3" t="s">
        <v>3801</v>
      </c>
      <c r="G1472" s="3">
        <v>73916</v>
      </c>
      <c r="H1472" s="7" t="str">
        <f>HYPERLINK("http://www.ensembl.org/Mus_musculus/Gene/Summary?db=core;g=ENSMUSG00000032965","ENSMUSG00000032965")</f>
        <v>ENSMUSG00000032965</v>
      </c>
      <c r="I1472" s="7" t="str">
        <f>HYPERLINK("http://www.informatics.jax.org/marker/MGI:1921166","MGI:1921166")</f>
        <v>MGI:1921166</v>
      </c>
      <c r="J1472" s="4" t="s">
        <v>12</v>
      </c>
    </row>
    <row r="1473" spans="1:10" x14ac:dyDescent="0.25">
      <c r="A1473" s="2">
        <v>2783.25475938304</v>
      </c>
      <c r="B1473" s="3">
        <v>0.61171027613867102</v>
      </c>
      <c r="C1473" s="5">
        <v>2.0752253112500599E-37</v>
      </c>
      <c r="D1473" s="6">
        <v>6.5547627898669594E-36</v>
      </c>
      <c r="E1473" s="3" t="s">
        <v>1256</v>
      </c>
      <c r="F1473" s="3" t="s">
        <v>1257</v>
      </c>
      <c r="G1473" s="3">
        <v>59014</v>
      </c>
      <c r="H1473" s="7" t="str">
        <f>HYPERLINK("http://www.ensembl.org/Mus_musculus/Gene/Summary?db=core;g=ENSMUSG00000061024","ENSMUSG00000061024")</f>
        <v>ENSMUSG00000061024</v>
      </c>
      <c r="I1473" s="7" t="str">
        <f>HYPERLINK("http://www.informatics.jax.org/marker/MGI:1929721","MGI:1929721")</f>
        <v>MGI:1929721</v>
      </c>
      <c r="J1473" s="4" t="s">
        <v>12</v>
      </c>
    </row>
    <row r="1474" spans="1:10" x14ac:dyDescent="0.25">
      <c r="A1474" s="2">
        <v>10166.5541102283</v>
      </c>
      <c r="B1474" s="3">
        <v>0.61148562001031304</v>
      </c>
      <c r="C1474" s="5">
        <v>9.4428117309203797E-8</v>
      </c>
      <c r="D1474" s="6">
        <v>5.9343187515870296E-7</v>
      </c>
      <c r="E1474" s="3" t="s">
        <v>5455</v>
      </c>
      <c r="F1474" s="3" t="s">
        <v>5456</v>
      </c>
      <c r="G1474" s="3">
        <v>22352</v>
      </c>
      <c r="H1474" s="7" t="str">
        <f>HYPERLINK("http://www.ensembl.org/Mus_musculus/Gene/Summary?db=core;g=ENSMUSG00000026728","ENSMUSG00000026728")</f>
        <v>ENSMUSG00000026728</v>
      </c>
      <c r="I1474" s="7" t="str">
        <f>HYPERLINK("http://www.informatics.jax.org/marker/MGI:98932","MGI:98932")</f>
        <v>MGI:98932</v>
      </c>
      <c r="J1474" s="4" t="s">
        <v>12</v>
      </c>
    </row>
    <row r="1475" spans="1:10" x14ac:dyDescent="0.25">
      <c r="A1475" s="2">
        <v>1225.16386674706</v>
      </c>
      <c r="B1475" s="3">
        <v>0.611122222429481</v>
      </c>
      <c r="C1475" s="5">
        <v>1.7415485620784399E-8</v>
      </c>
      <c r="D1475" s="6">
        <v>1.18167246998807E-7</v>
      </c>
      <c r="E1475" s="3" t="s">
        <v>6693</v>
      </c>
      <c r="F1475" s="3" t="s">
        <v>6694</v>
      </c>
      <c r="G1475" s="3">
        <v>12982</v>
      </c>
      <c r="H1475" s="7" t="str">
        <f>HYPERLINK("http://www.ensembl.org/Mus_musculus/Gene/Summary?db=core;g=ENSMUSG00000059326","ENSMUSG00000059326")</f>
        <v>ENSMUSG00000059326</v>
      </c>
      <c r="I1475" s="7" t="str">
        <f>HYPERLINK("http://www.informatics.jax.org/marker/MGI:1339754","MGI:1339754")</f>
        <v>MGI:1339754</v>
      </c>
      <c r="J1475" s="4" t="s">
        <v>12</v>
      </c>
    </row>
    <row r="1476" spans="1:10" x14ac:dyDescent="0.25">
      <c r="A1476" s="2">
        <v>631.09471353306503</v>
      </c>
      <c r="B1476" s="3">
        <v>0.61093084743287995</v>
      </c>
      <c r="C1476" s="3">
        <v>8.5407448467123698E-3</v>
      </c>
      <c r="D1476" s="4">
        <v>2.4362979313090199E-2</v>
      </c>
      <c r="E1476" s="3" t="s">
        <v>8085</v>
      </c>
      <c r="F1476" s="3" t="s">
        <v>8086</v>
      </c>
      <c r="G1476" s="3">
        <v>230787</v>
      </c>
      <c r="H1476" s="7" t="str">
        <f>HYPERLINK("http://www.ensembl.org/Mus_musculus/Gene/Summary?db=core;g=ENSMUSG00000037731","ENSMUSG00000037731")</f>
        <v>ENSMUSG00000037731</v>
      </c>
      <c r="I1476" s="7" t="str">
        <f>HYPERLINK("http://www.informatics.jax.org/marker/MGI:2446213","MGI:2446213")</f>
        <v>MGI:2446213</v>
      </c>
      <c r="J1476" s="4" t="s">
        <v>12</v>
      </c>
    </row>
    <row r="1477" spans="1:10" x14ac:dyDescent="0.25">
      <c r="A1477" s="2">
        <v>1397.9801409541601</v>
      </c>
      <c r="B1477" s="3">
        <v>0.61074184484083105</v>
      </c>
      <c r="C1477" s="5">
        <v>5.5718009010197003E-18</v>
      </c>
      <c r="D1477" s="6">
        <v>7.8535244718549105E-17</v>
      </c>
      <c r="E1477" s="3" t="s">
        <v>2311</v>
      </c>
      <c r="F1477" s="3" t="s">
        <v>2312</v>
      </c>
      <c r="G1477" s="3">
        <v>27966</v>
      </c>
      <c r="H1477" s="7" t="str">
        <f>HYPERLINK("http://www.ensembl.org/Mus_musculus/Gene/Summary?db=core;g=ENSMUSG00000041506","ENSMUSG00000041506")</f>
        <v>ENSMUSG00000041506</v>
      </c>
      <c r="I1477" s="7" t="str">
        <f>HYPERLINK("http://www.informatics.jax.org/marker/MGI:2384313","MGI:2384313")</f>
        <v>MGI:2384313</v>
      </c>
      <c r="J1477" s="4" t="s">
        <v>12</v>
      </c>
    </row>
    <row r="1478" spans="1:10" x14ac:dyDescent="0.25">
      <c r="A1478" s="2">
        <v>4.8719052103408798</v>
      </c>
      <c r="B1478" s="3">
        <v>0.61029282943218299</v>
      </c>
      <c r="C1478" s="3">
        <v>0.15025298790566499</v>
      </c>
      <c r="D1478" s="4">
        <v>0.282032946589716</v>
      </c>
      <c r="E1478" s="3" t="s">
        <v>9333</v>
      </c>
      <c r="F1478" s="3" t="s">
        <v>9334</v>
      </c>
      <c r="G1478" s="3" t="s">
        <v>83</v>
      </c>
      <c r="H1478" s="7" t="str">
        <f>HYPERLINK("http://www.ensembl.org/Mus_musculus/Gene/Summary?db=core;g=ENSMUSG00000054598","ENSMUSG00000054598")</f>
        <v>ENSMUSG00000054598</v>
      </c>
      <c r="I1478" s="7" t="str">
        <f>HYPERLINK("http://www.informatics.jax.org/marker/MGI:3041166","MGI:3041166")</f>
        <v>MGI:3041166</v>
      </c>
      <c r="J1478" s="4" t="s">
        <v>12</v>
      </c>
    </row>
    <row r="1479" spans="1:10" x14ac:dyDescent="0.25">
      <c r="A1479" s="2">
        <v>4086.54254123172</v>
      </c>
      <c r="B1479" s="3">
        <v>0.60991189852483096</v>
      </c>
      <c r="C1479" s="5">
        <v>1.4352360360080301E-7</v>
      </c>
      <c r="D1479" s="6">
        <v>8.8518364657347697E-7</v>
      </c>
      <c r="E1479" s="3" t="s">
        <v>6041</v>
      </c>
      <c r="F1479" s="3" t="s">
        <v>6042</v>
      </c>
      <c r="G1479" s="3">
        <v>20970</v>
      </c>
      <c r="H1479" s="7" t="str">
        <f>HYPERLINK("http://www.ensembl.org/Mus_musculus/Gene/Summary?db=core;g=ENSMUSG00000025743","ENSMUSG00000025743")</f>
        <v>ENSMUSG00000025743</v>
      </c>
      <c r="I1479" s="7" t="str">
        <f>HYPERLINK("http://www.informatics.jax.org/marker/MGI:1349163","MGI:1349163")</f>
        <v>MGI:1349163</v>
      </c>
      <c r="J1479" s="4" t="s">
        <v>12</v>
      </c>
    </row>
    <row r="1480" spans="1:10" x14ac:dyDescent="0.25">
      <c r="A1480" s="2">
        <v>986.75790035038403</v>
      </c>
      <c r="B1480" s="3">
        <v>0.60967149551645605</v>
      </c>
      <c r="C1480" s="5">
        <v>1.7360969339786199E-10</v>
      </c>
      <c r="D1480" s="6">
        <v>1.4553986486550299E-9</v>
      </c>
      <c r="E1480" s="3" t="s">
        <v>11575</v>
      </c>
      <c r="F1480" s="3" t="s">
        <v>11576</v>
      </c>
      <c r="G1480" s="3">
        <v>234967</v>
      </c>
      <c r="H1480" s="7" t="str">
        <f>HYPERLINK("http://www.ensembl.org/Mus_musculus/Gene/Summary?db=core;g=ENSMUSG00000043885","ENSMUSG00000043885")</f>
        <v>ENSMUSG00000043885</v>
      </c>
      <c r="I1480" s="7" t="str">
        <f>HYPERLINK("http://www.informatics.jax.org/marker/MGI:2442595","MGI:2442595")</f>
        <v>MGI:2442595</v>
      </c>
      <c r="J1480" s="4" t="s">
        <v>12</v>
      </c>
    </row>
    <row r="1481" spans="1:10" x14ac:dyDescent="0.25">
      <c r="A1481" s="2">
        <v>1632.9780267818401</v>
      </c>
      <c r="B1481" s="3">
        <v>0.60955446484671805</v>
      </c>
      <c r="C1481" s="5">
        <v>8.81641804701079E-10</v>
      </c>
      <c r="D1481" s="6">
        <v>6.8931453842458904E-9</v>
      </c>
      <c r="E1481" s="3" t="s">
        <v>8555</v>
      </c>
      <c r="F1481" s="3" t="s">
        <v>8556</v>
      </c>
      <c r="G1481" s="3">
        <v>71323</v>
      </c>
      <c r="H1481" s="7" t="str">
        <f>HYPERLINK("http://www.ensembl.org/Mus_musculus/Gene/Summary?db=core;g=ENSMUSG00000030259","ENSMUSG00000030259")</f>
        <v>ENSMUSG00000030259</v>
      </c>
      <c r="I1481" s="7" t="str">
        <f>HYPERLINK("http://www.informatics.jax.org/marker/MGI:1918573","MGI:1918573")</f>
        <v>MGI:1918573</v>
      </c>
      <c r="J1481" s="4" t="s">
        <v>12</v>
      </c>
    </row>
    <row r="1482" spans="1:10" x14ac:dyDescent="0.25">
      <c r="A1482" s="2">
        <v>118.499290641863</v>
      </c>
      <c r="B1482" s="3">
        <v>0.60888266805789903</v>
      </c>
      <c r="C1482" s="5">
        <v>1.8335498301783201E-5</v>
      </c>
      <c r="D1482" s="6">
        <v>8.6258248980381803E-5</v>
      </c>
      <c r="E1482" s="3" t="s">
        <v>7564</v>
      </c>
      <c r="F1482" s="3" t="s">
        <v>7565</v>
      </c>
      <c r="G1482" s="3">
        <v>56299</v>
      </c>
      <c r="H1482" s="7" t="str">
        <f>HYPERLINK("http://www.ensembl.org/Mus_musculus/Gene/Summary?db=core;g=ENSMUSG00000033739","ENSMUSG00000033739")</f>
        <v>ENSMUSG00000033739</v>
      </c>
      <c r="I1482" s="7" t="str">
        <f>HYPERLINK("http://www.informatics.jax.org/marker/MGI:1932127","MGI:1932127")</f>
        <v>MGI:1932127</v>
      </c>
      <c r="J1482" s="4" t="s">
        <v>12</v>
      </c>
    </row>
    <row r="1483" spans="1:10" x14ac:dyDescent="0.25">
      <c r="A1483" s="2">
        <v>260.96738033050099</v>
      </c>
      <c r="B1483" s="3">
        <v>0.60808282775355205</v>
      </c>
      <c r="C1483" s="5">
        <v>7.9049244281657397E-12</v>
      </c>
      <c r="D1483" s="6">
        <v>7.4108666514053804E-11</v>
      </c>
      <c r="E1483" s="3" t="s">
        <v>3060</v>
      </c>
      <c r="F1483" s="3" t="s">
        <v>3061</v>
      </c>
      <c r="G1483" s="3">
        <v>68034</v>
      </c>
      <c r="H1483" s="7" t="str">
        <f>HYPERLINK("http://www.ensembl.org/Mus_musculus/Gene/Summary?db=core;g=ENSMUSG00000074922","ENSMUSG00000074922")</f>
        <v>ENSMUSG00000074922</v>
      </c>
      <c r="I1483" s="7" t="str">
        <f>HYPERLINK("http://www.informatics.jax.org/marker/MGI:1915284","MGI:1915284")</f>
        <v>MGI:1915284</v>
      </c>
      <c r="J1483" s="4" t="s">
        <v>12</v>
      </c>
    </row>
    <row r="1484" spans="1:10" x14ac:dyDescent="0.25">
      <c r="A1484" s="2">
        <v>0.98875467662263095</v>
      </c>
      <c r="B1484" s="3">
        <v>0.60750946529757999</v>
      </c>
      <c r="C1484" s="3">
        <v>0.16812556236248599</v>
      </c>
      <c r="D1484" s="4">
        <v>0.307732085372734</v>
      </c>
      <c r="E1484" s="3" t="s">
        <v>13557</v>
      </c>
      <c r="F1484" s="3" t="s">
        <v>13558</v>
      </c>
      <c r="G1484" s="3">
        <v>207209</v>
      </c>
      <c r="H1484" s="7" t="str">
        <f>HYPERLINK("http://www.ensembl.org/Mus_musculus/Gene/Summary?db=core;g=ENSMUSG00000059562","ENSMUSG00000059562")</f>
        <v>ENSMUSG00000059562</v>
      </c>
      <c r="I1484" s="7" t="str">
        <f>HYPERLINK("http://www.informatics.jax.org/marker/MGI:2685163","MGI:2685163")</f>
        <v>MGI:2685163</v>
      </c>
      <c r="J1484" s="4" t="s">
        <v>12</v>
      </c>
    </row>
    <row r="1485" spans="1:10" x14ac:dyDescent="0.25">
      <c r="A1485" s="2">
        <v>1279.9489940031001</v>
      </c>
      <c r="B1485" s="3">
        <v>0.60724345346512498</v>
      </c>
      <c r="C1485" s="5">
        <v>7.9080929678339708E-18</v>
      </c>
      <c r="D1485" s="6">
        <v>1.1027161005262E-16</v>
      </c>
      <c r="E1485" s="3" t="s">
        <v>1060</v>
      </c>
      <c r="F1485" s="3" t="s">
        <v>1061</v>
      </c>
      <c r="G1485" s="3">
        <v>22217</v>
      </c>
      <c r="H1485" s="7" t="str">
        <f>HYPERLINK("http://www.ensembl.org/Mus_musculus/Gene/Summary?db=core;g=ENSMUSG00000029640","ENSMUSG00000029640")</f>
        <v>ENSMUSG00000029640</v>
      </c>
      <c r="I1485" s="7" t="str">
        <f>HYPERLINK("http://www.informatics.jax.org/marker/MGI:1270128","MGI:1270128")</f>
        <v>MGI:1270128</v>
      </c>
      <c r="J1485" s="4" t="s">
        <v>12</v>
      </c>
    </row>
    <row r="1486" spans="1:10" x14ac:dyDescent="0.25">
      <c r="A1486" s="2">
        <v>15.245205503443399</v>
      </c>
      <c r="B1486" s="3">
        <v>0.60698021231258903</v>
      </c>
      <c r="C1486" s="3">
        <v>6.9519439043610201E-2</v>
      </c>
      <c r="D1486" s="4">
        <v>0.150509833282228</v>
      </c>
      <c r="E1486" s="3" t="s">
        <v>10748</v>
      </c>
      <c r="F1486" s="3" t="s">
        <v>10749</v>
      </c>
      <c r="G1486" s="3" t="s">
        <v>83</v>
      </c>
      <c r="H1486" s="7" t="str">
        <f>HYPERLINK("http://www.ensembl.org/Mus_musculus/Gene/Summary?db=core;g=ENSMUSG00000087263","ENSMUSG00000087263")</f>
        <v>ENSMUSG00000087263</v>
      </c>
      <c r="I1486" s="7" t="str">
        <f>HYPERLINK("http://www.informatics.jax.org/marker/MGI:3783169","MGI:3783169")</f>
        <v>MGI:3783169</v>
      </c>
      <c r="J1486" s="4" t="s">
        <v>932</v>
      </c>
    </row>
    <row r="1487" spans="1:10" x14ac:dyDescent="0.25">
      <c r="A1487" s="2">
        <v>198.51280588859001</v>
      </c>
      <c r="B1487" s="3">
        <v>0.60673527361063995</v>
      </c>
      <c r="C1487" s="5">
        <v>4.6922389061336698E-5</v>
      </c>
      <c r="D1487" s="4">
        <v>2.0690463884108401E-4</v>
      </c>
      <c r="E1487" s="3" t="s">
        <v>7914</v>
      </c>
      <c r="F1487" s="3" t="s">
        <v>7915</v>
      </c>
      <c r="G1487" s="3">
        <v>14991</v>
      </c>
      <c r="H1487" s="7" t="str">
        <f>HYPERLINK("http://www.ensembl.org/Mus_musculus/Gene/Summary?db=core;g=ENSMUSG00000016206","ENSMUSG00000016206")</f>
        <v>ENSMUSG00000016206</v>
      </c>
      <c r="I1487" s="7" t="str">
        <f>HYPERLINK("http://www.informatics.jax.org/marker/MGI:95915","MGI:95915")</f>
        <v>MGI:95915</v>
      </c>
      <c r="J1487" s="4" t="s">
        <v>12</v>
      </c>
    </row>
    <row r="1488" spans="1:10" x14ac:dyDescent="0.25">
      <c r="A1488" s="2">
        <v>4603.0979820460898</v>
      </c>
      <c r="B1488" s="3">
        <v>0.60651709866973902</v>
      </c>
      <c r="C1488" s="5">
        <v>3.1455704578181E-36</v>
      </c>
      <c r="D1488" s="6">
        <v>9.5229271750390096E-35</v>
      </c>
      <c r="E1488" s="3" t="s">
        <v>834</v>
      </c>
      <c r="F1488" s="3" t="s">
        <v>835</v>
      </c>
      <c r="G1488" s="3">
        <v>56348</v>
      </c>
      <c r="H1488" s="7" t="str">
        <f>HYPERLINK("http://www.ensembl.org/Mus_musculus/Gene/Summary?db=core;g=ENSMUSG00000027195","ENSMUSG00000027195")</f>
        <v>ENSMUSG00000027195</v>
      </c>
      <c r="I1488" s="7" t="str">
        <f>HYPERLINK("http://www.informatics.jax.org/marker/MGI:1926967","MGI:1926967")</f>
        <v>MGI:1926967</v>
      </c>
      <c r="J1488" s="4" t="s">
        <v>12</v>
      </c>
    </row>
    <row r="1489" spans="1:10" x14ac:dyDescent="0.25">
      <c r="A1489" s="2">
        <v>4758.6621861037102</v>
      </c>
      <c r="B1489" s="3">
        <v>0.605672624157087</v>
      </c>
      <c r="C1489" s="5">
        <v>1.21093984815386E-13</v>
      </c>
      <c r="D1489" s="6">
        <v>1.30820265160665E-12</v>
      </c>
      <c r="E1489" s="3" t="s">
        <v>4227</v>
      </c>
      <c r="F1489" s="3" t="s">
        <v>4228</v>
      </c>
      <c r="G1489" s="3">
        <v>140559</v>
      </c>
      <c r="H1489" s="7" t="str">
        <f>HYPERLINK("http://www.ensembl.org/Mus_musculus/Gene/Summary?db=core;g=ENSMUSG00000038034","ENSMUSG00000038034")</f>
        <v>ENSMUSG00000038034</v>
      </c>
      <c r="I1489" s="7" t="str">
        <f>HYPERLINK("http://www.informatics.jax.org/marker/MGI:2154090","MGI:2154090")</f>
        <v>MGI:2154090</v>
      </c>
      <c r="J1489" s="4" t="s">
        <v>12</v>
      </c>
    </row>
    <row r="1490" spans="1:10" x14ac:dyDescent="0.25">
      <c r="A1490" s="2">
        <v>444.41100875584198</v>
      </c>
      <c r="B1490" s="3">
        <v>0.60555224765891902</v>
      </c>
      <c r="C1490" s="5">
        <v>9.6435521728338192E-13</v>
      </c>
      <c r="D1490" s="6">
        <v>9.7749576390376205E-12</v>
      </c>
      <c r="E1490" s="3" t="s">
        <v>4103</v>
      </c>
      <c r="F1490" s="3" t="s">
        <v>4104</v>
      </c>
      <c r="G1490" s="3">
        <v>75914</v>
      </c>
      <c r="H1490" s="7" t="str">
        <f>HYPERLINK("http://www.ensembl.org/Mus_musculus/Gene/Summary?db=core;g=ENSMUSG00000033769","ENSMUSG00000033769")</f>
        <v>ENSMUSG00000033769</v>
      </c>
      <c r="I1490" s="7" t="str">
        <f>HYPERLINK("http://www.informatics.jax.org/marker/MGI:1923164","MGI:1923164")</f>
        <v>MGI:1923164</v>
      </c>
      <c r="J1490" s="4" t="s">
        <v>12</v>
      </c>
    </row>
    <row r="1491" spans="1:10" x14ac:dyDescent="0.25">
      <c r="A1491" s="2">
        <v>689.61133912161097</v>
      </c>
      <c r="B1491" s="3">
        <v>0.60525851231194905</v>
      </c>
      <c r="C1491" s="5">
        <v>3.4187953016035401E-17</v>
      </c>
      <c r="D1491" s="6">
        <v>4.6017388753119997E-16</v>
      </c>
      <c r="E1491" s="3" t="s">
        <v>3670</v>
      </c>
      <c r="F1491" s="3" t="s">
        <v>3671</v>
      </c>
      <c r="G1491" s="3">
        <v>68087</v>
      </c>
      <c r="H1491" s="7" t="str">
        <f>HYPERLINK("http://www.ensembl.org/Mus_musculus/Gene/Summary?db=core;g=ENSMUSG00000020935","ENSMUSG00000020935")</f>
        <v>ENSMUSG00000020935</v>
      </c>
      <c r="I1491" s="7" t="str">
        <f>HYPERLINK("http://www.informatics.jax.org/marker/MGI:1915337","MGI:1915337")</f>
        <v>MGI:1915337</v>
      </c>
      <c r="J1491" s="4" t="s">
        <v>12</v>
      </c>
    </row>
    <row r="1492" spans="1:10" x14ac:dyDescent="0.25">
      <c r="A1492" s="2">
        <v>2331.0595651610101</v>
      </c>
      <c r="B1492" s="3">
        <v>0.60520287644943904</v>
      </c>
      <c r="C1492" s="5">
        <v>6.1937773642084703E-10</v>
      </c>
      <c r="D1492" s="6">
        <v>4.9250258491579097E-9</v>
      </c>
      <c r="E1492" s="3" t="s">
        <v>5981</v>
      </c>
      <c r="F1492" s="3" t="s">
        <v>5982</v>
      </c>
      <c r="G1492" s="3">
        <v>17134</v>
      </c>
      <c r="H1492" s="7" t="str">
        <f>HYPERLINK("http://www.ensembl.org/Mus_musculus/Gene/Summary?db=core;g=ENSMUSG00000051510","ENSMUSG00000051510")</f>
        <v>ENSMUSG00000051510</v>
      </c>
      <c r="I1492" s="7" t="str">
        <f>HYPERLINK("http://www.informatics.jax.org/marker/MGI:96911","MGI:96911")</f>
        <v>MGI:96911</v>
      </c>
      <c r="J1492" s="4" t="s">
        <v>12</v>
      </c>
    </row>
    <row r="1493" spans="1:10" x14ac:dyDescent="0.25">
      <c r="A1493" s="2">
        <v>1297.39372298321</v>
      </c>
      <c r="B1493" s="3">
        <v>0.60504547527242902</v>
      </c>
      <c r="C1493" s="5">
        <v>2.3991698956471999E-26</v>
      </c>
      <c r="D1493" s="6">
        <v>5.1020853381762201E-25</v>
      </c>
      <c r="E1493" s="3" t="s">
        <v>2077</v>
      </c>
      <c r="F1493" s="3" t="s">
        <v>2078</v>
      </c>
      <c r="G1493" s="3">
        <v>52696</v>
      </c>
      <c r="H1493" s="7" t="str">
        <f>HYPERLINK("http://www.ensembl.org/Mus_musculus/Gene/Summary?db=core;g=ENSMUSG00000019923","ENSMUSG00000019923")</f>
        <v>ENSMUSG00000019923</v>
      </c>
      <c r="I1493" s="7" t="str">
        <f>HYPERLINK("http://www.informatics.jax.org/marker/MGI:1289227","MGI:1289227")</f>
        <v>MGI:1289227</v>
      </c>
      <c r="J1493" s="4" t="s">
        <v>12</v>
      </c>
    </row>
    <row r="1494" spans="1:10" x14ac:dyDescent="0.25">
      <c r="A1494" s="2">
        <v>887.26427915641</v>
      </c>
      <c r="B1494" s="3">
        <v>0.60422959555046496</v>
      </c>
      <c r="C1494" s="3">
        <v>1.1969077253107701E-3</v>
      </c>
      <c r="D1494" s="4">
        <v>4.1519757607841696E-3</v>
      </c>
      <c r="E1494" s="3" t="s">
        <v>13013</v>
      </c>
      <c r="F1494" s="3" t="s">
        <v>13014</v>
      </c>
      <c r="G1494" s="3">
        <v>69608</v>
      </c>
      <c r="H1494" s="7" t="str">
        <f>HYPERLINK("http://www.ensembl.org/Mus_musculus/Gene/Summary?db=core;g=ENSMUSG00000039234","ENSMUSG00000039234")</f>
        <v>ENSMUSG00000039234</v>
      </c>
      <c r="I1494" s="7" t="str">
        <f>HYPERLINK("http://www.informatics.jax.org/marker/MGI:1916858","MGI:1916858")</f>
        <v>MGI:1916858</v>
      </c>
      <c r="J1494" s="4" t="s">
        <v>12</v>
      </c>
    </row>
    <row r="1495" spans="1:10" x14ac:dyDescent="0.25">
      <c r="A1495" s="2">
        <v>662.61955482556903</v>
      </c>
      <c r="B1495" s="3">
        <v>0.60409836124772898</v>
      </c>
      <c r="C1495" s="5">
        <v>1.39066750763416E-8</v>
      </c>
      <c r="D1495" s="6">
        <v>9.5497043431170404E-8</v>
      </c>
      <c r="E1495" s="3" t="s">
        <v>9061</v>
      </c>
      <c r="F1495" s="3" t="s">
        <v>9062</v>
      </c>
      <c r="G1495" s="3">
        <v>18484</v>
      </c>
      <c r="H1495" s="7" t="str">
        <f>HYPERLINK("http://www.ensembl.org/Mus_musculus/Gene/Summary?db=core;g=ENSMUSG00000026335","ENSMUSG00000026335")</f>
        <v>ENSMUSG00000026335</v>
      </c>
      <c r="I1495" s="7" t="str">
        <f>HYPERLINK("http://www.informatics.jax.org/marker/MGI:97475","MGI:97475")</f>
        <v>MGI:97475</v>
      </c>
      <c r="J1495" s="4" t="s">
        <v>12</v>
      </c>
    </row>
    <row r="1496" spans="1:10" x14ac:dyDescent="0.25">
      <c r="A1496" s="2">
        <v>1440.42754332761</v>
      </c>
      <c r="B1496" s="3">
        <v>0.60400544580794702</v>
      </c>
      <c r="C1496" s="5">
        <v>2.5682528096122199E-18</v>
      </c>
      <c r="D1496" s="6">
        <v>3.69718858255787E-17</v>
      </c>
      <c r="E1496" s="3" t="s">
        <v>1574</v>
      </c>
      <c r="F1496" s="3" t="s">
        <v>1575</v>
      </c>
      <c r="G1496" s="3">
        <v>26395</v>
      </c>
      <c r="H1496" s="7" t="str">
        <f>HYPERLINK("http://www.ensembl.org/Mus_musculus/Gene/Summary?db=core;g=ENSMUSG00000004936","ENSMUSG00000004936")</f>
        <v>ENSMUSG00000004936</v>
      </c>
      <c r="I1496" s="7" t="str">
        <f>HYPERLINK("http://www.informatics.jax.org/marker/MGI:1346866","MGI:1346866")</f>
        <v>MGI:1346866</v>
      </c>
      <c r="J1496" s="4" t="s">
        <v>12</v>
      </c>
    </row>
    <row r="1497" spans="1:10" x14ac:dyDescent="0.25">
      <c r="A1497" s="2">
        <v>1.4015454254039901</v>
      </c>
      <c r="B1497" s="3">
        <v>0.60349971826390603</v>
      </c>
      <c r="C1497" s="3">
        <v>0.18465179119611799</v>
      </c>
      <c r="D1497" s="4">
        <v>0.33083748471778002</v>
      </c>
      <c r="E1497" s="3" t="s">
        <v>11086</v>
      </c>
      <c r="F1497" s="3" t="s">
        <v>11087</v>
      </c>
      <c r="G1497" s="3" t="s">
        <v>83</v>
      </c>
      <c r="H1497" s="7" t="str">
        <f>HYPERLINK("http://www.ensembl.org/Mus_musculus/Gene/Summary?db=core;g=ENSMUSG00000082079","ENSMUSG00000082079")</f>
        <v>ENSMUSG00000082079</v>
      </c>
      <c r="I1497" s="7" t="str">
        <f>HYPERLINK("http://www.informatics.jax.org/marker/MGI:3649996","MGI:3649996")</f>
        <v>MGI:3649996</v>
      </c>
      <c r="J1497" s="4" t="s">
        <v>12</v>
      </c>
    </row>
    <row r="1498" spans="1:10" x14ac:dyDescent="0.25">
      <c r="A1498" s="2">
        <v>1.01945004670392</v>
      </c>
      <c r="B1498" s="3">
        <v>0.60217623984345203</v>
      </c>
      <c r="C1498" s="3">
        <v>0.15901788423012</v>
      </c>
      <c r="D1498" s="4">
        <v>0.29516242153250599</v>
      </c>
      <c r="E1498" s="3" t="s">
        <v>12699</v>
      </c>
      <c r="F1498" s="3" t="s">
        <v>12700</v>
      </c>
      <c r="G1498" s="3">
        <v>73660</v>
      </c>
      <c r="H1498" s="7" t="str">
        <f>HYPERLINK("http://www.ensembl.org/Mus_musculus/Gene/Summary?db=core;g=ENSMUSG00000024842","ENSMUSG00000024842")</f>
        <v>ENSMUSG00000024842</v>
      </c>
      <c r="I1498" s="7" t="str">
        <f>HYPERLINK("http://www.informatics.jax.org/marker/MGI:1920910","MGI:1920910")</f>
        <v>MGI:1920910</v>
      </c>
      <c r="J1498" s="4" t="s">
        <v>12</v>
      </c>
    </row>
    <row r="1499" spans="1:10" x14ac:dyDescent="0.25">
      <c r="A1499" s="2">
        <v>3542.07688450662</v>
      </c>
      <c r="B1499" s="3">
        <v>0.60212162697648197</v>
      </c>
      <c r="C1499" s="5">
        <v>2.8704925550708301E-17</v>
      </c>
      <c r="D1499" s="6">
        <v>3.8780375697676698E-16</v>
      </c>
      <c r="E1499" s="3" t="s">
        <v>3460</v>
      </c>
      <c r="F1499" s="3" t="s">
        <v>3461</v>
      </c>
      <c r="G1499" s="3">
        <v>114601</v>
      </c>
      <c r="H1499" s="7" t="str">
        <f>HYPERLINK("http://www.ensembl.org/Mus_musculus/Gene/Summary?db=core;g=ENSMUSG00000024937","ENSMUSG00000024937")</f>
        <v>ENSMUSG00000024937</v>
      </c>
      <c r="I1499" s="7" t="str">
        <f>HYPERLINK("http://www.informatics.jax.org/marker/MGI:3612340","MGI:3612340")</f>
        <v>MGI:3612340</v>
      </c>
      <c r="J1499" s="4" t="s">
        <v>12</v>
      </c>
    </row>
    <row r="1500" spans="1:10" x14ac:dyDescent="0.25">
      <c r="A1500" s="2">
        <v>747.51100165483501</v>
      </c>
      <c r="B1500" s="3">
        <v>0.60161652322345105</v>
      </c>
      <c r="C1500" s="5">
        <v>6.4855138890888201E-24</v>
      </c>
      <c r="D1500" s="6">
        <v>1.2273986565798899E-22</v>
      </c>
      <c r="E1500" s="3" t="s">
        <v>2109</v>
      </c>
      <c r="F1500" s="3" t="s">
        <v>2110</v>
      </c>
      <c r="G1500" s="3">
        <v>330192</v>
      </c>
      <c r="H1500" s="7" t="str">
        <f>HYPERLINK("http://www.ensembl.org/Mus_musculus/Gene/Summary?db=core;g=ENSMUSG00000066278","ENSMUSG00000066278")</f>
        <v>ENSMUSG00000066278</v>
      </c>
      <c r="I1500" s="7" t="str">
        <f>HYPERLINK("http://www.informatics.jax.org/marker/MGI:1916724","MGI:1916724")</f>
        <v>MGI:1916724</v>
      </c>
      <c r="J1500" s="4" t="s">
        <v>12</v>
      </c>
    </row>
    <row r="1501" spans="1:10" x14ac:dyDescent="0.25">
      <c r="A1501" s="2">
        <v>689.20007816412601</v>
      </c>
      <c r="B1501" s="3">
        <v>0.60138844936445002</v>
      </c>
      <c r="C1501" s="5">
        <v>1.07875924319087E-20</v>
      </c>
      <c r="D1501" s="6">
        <v>1.7491447693197199E-19</v>
      </c>
      <c r="E1501" s="3" t="s">
        <v>1905</v>
      </c>
      <c r="F1501" s="3" t="s">
        <v>1906</v>
      </c>
      <c r="G1501" s="3">
        <v>68533</v>
      </c>
      <c r="H1501" s="7" t="str">
        <f>HYPERLINK("http://www.ensembl.org/Mus_musculus/Gene/Summary?db=core;g=ENSMUSG00000031843","ENSMUSG00000031843")</f>
        <v>ENSMUSG00000031843</v>
      </c>
      <c r="I1501" s="7" t="str">
        <f>HYPERLINK("http://www.informatics.jax.org/marker/MGI:1915783","MGI:1915783")</f>
        <v>MGI:1915783</v>
      </c>
      <c r="J1501" s="4" t="s">
        <v>12</v>
      </c>
    </row>
    <row r="1502" spans="1:10" x14ac:dyDescent="0.25">
      <c r="A1502" s="2">
        <v>498.81511768117298</v>
      </c>
      <c r="B1502" s="3">
        <v>0.60007632965785995</v>
      </c>
      <c r="C1502" s="5">
        <v>8.4823018842290897E-11</v>
      </c>
      <c r="D1502" s="6">
        <v>7.2988645816843797E-10</v>
      </c>
      <c r="E1502" s="3" t="s">
        <v>3556</v>
      </c>
      <c r="F1502" s="3" t="s">
        <v>3557</v>
      </c>
      <c r="G1502" s="3">
        <v>231207</v>
      </c>
      <c r="H1502" s="7" t="str">
        <f>HYPERLINK("http://www.ensembl.org/Mus_musculus/Gene/Summary?db=core;g=ENSMUSG00000039782","ENSMUSG00000039782")</f>
        <v>ENSMUSG00000039782</v>
      </c>
      <c r="I1502" s="7" t="str">
        <f>HYPERLINK("http://www.informatics.jax.org/marker/MGI:2442640","MGI:2442640")</f>
        <v>MGI:2442640</v>
      </c>
      <c r="J1502" s="4" t="s">
        <v>12</v>
      </c>
    </row>
    <row r="1503" spans="1:10" x14ac:dyDescent="0.25">
      <c r="A1503" s="2">
        <v>826.28056839811597</v>
      </c>
      <c r="B1503" s="3">
        <v>0.59997397786243201</v>
      </c>
      <c r="C1503" s="5">
        <v>1.5157939593490199E-13</v>
      </c>
      <c r="D1503" s="6">
        <v>1.6259767456819199E-12</v>
      </c>
      <c r="E1503" s="3" t="s">
        <v>4263</v>
      </c>
      <c r="F1503" s="3" t="s">
        <v>4264</v>
      </c>
      <c r="G1503" s="3">
        <v>16543</v>
      </c>
      <c r="H1503" s="7" t="str">
        <f>HYPERLINK("http://www.ensembl.org/Mus_musculus/Gene/Summary?db=core;g=ENSMUSG00000041390","ENSMUSG00000041390")</f>
        <v>ENSMUSG00000041390</v>
      </c>
      <c r="I1503" s="7" t="str">
        <f>HYPERLINK("http://www.informatics.jax.org/marker/MGI:104611","MGI:104611")</f>
        <v>MGI:104611</v>
      </c>
      <c r="J1503" s="4" t="s">
        <v>12</v>
      </c>
    </row>
    <row r="1504" spans="1:10" x14ac:dyDescent="0.25">
      <c r="A1504" s="2">
        <v>1.68721389301779</v>
      </c>
      <c r="B1504" s="3">
        <v>0.599781992916392</v>
      </c>
      <c r="C1504" s="3">
        <v>0.19296048657929801</v>
      </c>
      <c r="D1504" s="4">
        <v>0.34168550687785298</v>
      </c>
      <c r="E1504" s="3" t="s">
        <v>9821</v>
      </c>
      <c r="F1504" s="3" t="s">
        <v>9822</v>
      </c>
      <c r="G1504" s="3">
        <v>623121</v>
      </c>
      <c r="H1504" s="7" t="str">
        <f>HYPERLINK("http://www.ensembl.org/Mus_musculus/Gene/Summary?db=core;g=ENSMUSG00000073491","ENSMUSG00000073491")</f>
        <v>ENSMUSG00000073491</v>
      </c>
      <c r="I1504" s="7" t="str">
        <f>HYPERLINK("http://www.informatics.jax.org/marker/MGI:3695276","MGI:3695276")</f>
        <v>MGI:3695276</v>
      </c>
      <c r="J1504" s="4" t="s">
        <v>12</v>
      </c>
    </row>
    <row r="1505" spans="1:10" x14ac:dyDescent="0.25">
      <c r="A1505" s="2">
        <v>6953.8997047921603</v>
      </c>
      <c r="B1505" s="3">
        <v>0.59842224053473003</v>
      </c>
      <c r="C1505" s="5">
        <v>3.05466852407209E-25</v>
      </c>
      <c r="D1505" s="6">
        <v>6.1857037612459897E-24</v>
      </c>
      <c r="E1505" s="3" t="s">
        <v>2970</v>
      </c>
      <c r="F1505" s="3" t="s">
        <v>2971</v>
      </c>
      <c r="G1505" s="3">
        <v>105727</v>
      </c>
      <c r="H1505" s="7" t="str">
        <f>HYPERLINK("http://www.ensembl.org/Mus_musculus/Gene/Summary?db=core;g=ENSMUSG00000023169","ENSMUSG00000023169")</f>
        <v>ENSMUSG00000023169</v>
      </c>
      <c r="I1505" s="7" t="str">
        <f>HYPERLINK("http://www.informatics.jax.org/marker/MGI:2145895","MGI:2145895")</f>
        <v>MGI:2145895</v>
      </c>
      <c r="J1505" s="4" t="s">
        <v>12</v>
      </c>
    </row>
    <row r="1506" spans="1:10" x14ac:dyDescent="0.25">
      <c r="A1506" s="2">
        <v>1812.98123116075</v>
      </c>
      <c r="B1506" s="3">
        <v>0.59834794613310305</v>
      </c>
      <c r="C1506" s="5">
        <v>3.0582101507632198E-27</v>
      </c>
      <c r="D1506" s="6">
        <v>6.7365255707505901E-26</v>
      </c>
      <c r="E1506" s="3" t="s">
        <v>3192</v>
      </c>
      <c r="F1506" s="3" t="s">
        <v>3193</v>
      </c>
      <c r="G1506" s="3">
        <v>381801</v>
      </c>
      <c r="H1506" s="7" t="str">
        <f>HYPERLINK("http://www.ensembl.org/Mus_musculus/Gene/Summary?db=core;g=ENSMUSG00000056952","ENSMUSG00000056952")</f>
        <v>ENSMUSG00000056952</v>
      </c>
      <c r="I1506" s="7" t="str">
        <f>HYPERLINK("http://www.informatics.jax.org/marker/MGI:3576210","MGI:3576210")</f>
        <v>MGI:3576210</v>
      </c>
      <c r="J1506" s="4" t="s">
        <v>12</v>
      </c>
    </row>
    <row r="1507" spans="1:10" x14ac:dyDescent="0.25">
      <c r="A1507" s="2">
        <v>2728.3607460142798</v>
      </c>
      <c r="B1507" s="3">
        <v>0.597196500749551</v>
      </c>
      <c r="C1507" s="5">
        <v>9.3507049291089706E-34</v>
      </c>
      <c r="D1507" s="6">
        <v>2.6421177881087001E-32</v>
      </c>
      <c r="E1507" s="3" t="s">
        <v>2790</v>
      </c>
      <c r="F1507" s="3" t="s">
        <v>2791</v>
      </c>
      <c r="G1507" s="3">
        <v>22629</v>
      </c>
      <c r="H1507" s="7" t="str">
        <f>HYPERLINK("http://www.ensembl.org/Mus_musculus/Gene/Summary?db=core;g=ENSMUSG00000018965","ENSMUSG00000018965")</f>
        <v>ENSMUSG00000018965</v>
      </c>
      <c r="I1507" s="7" t="str">
        <f>HYPERLINK("http://www.informatics.jax.org/marker/MGI:109194","MGI:109194")</f>
        <v>MGI:109194</v>
      </c>
      <c r="J1507" s="4" t="s">
        <v>12</v>
      </c>
    </row>
    <row r="1508" spans="1:10" x14ac:dyDescent="0.25">
      <c r="A1508" s="2">
        <v>4315.2884867980001</v>
      </c>
      <c r="B1508" s="3">
        <v>0.596972735309372</v>
      </c>
      <c r="C1508" s="5">
        <v>8.2649579143724004E-12</v>
      </c>
      <c r="D1508" s="6">
        <v>7.7364590646860297E-11</v>
      </c>
      <c r="E1508" s="3" t="s">
        <v>5369</v>
      </c>
      <c r="F1508" s="3" t="s">
        <v>5370</v>
      </c>
      <c r="G1508" s="3">
        <v>67951</v>
      </c>
      <c r="H1508" s="7" t="str">
        <f>HYPERLINK("http://www.ensembl.org/Mus_musculus/Gene/Summary?db=core;g=ENSMUSG00000001473","ENSMUSG00000001473")</f>
        <v>ENSMUSG00000001473</v>
      </c>
      <c r="I1508" s="7" t="str">
        <f>HYPERLINK("http://www.informatics.jax.org/marker/MGI:1915201","MGI:1915201")</f>
        <v>MGI:1915201</v>
      </c>
      <c r="J1508" s="4" t="s">
        <v>12</v>
      </c>
    </row>
    <row r="1509" spans="1:10" x14ac:dyDescent="0.25">
      <c r="A1509" s="2">
        <v>853.57586505506094</v>
      </c>
      <c r="B1509" s="3">
        <v>0.59621199611557296</v>
      </c>
      <c r="C1509" s="5">
        <v>1.3872941871883999E-16</v>
      </c>
      <c r="D1509" s="6">
        <v>1.8098379786334001E-15</v>
      </c>
      <c r="E1509" s="3" t="s">
        <v>3682</v>
      </c>
      <c r="F1509" s="3" t="s">
        <v>3683</v>
      </c>
      <c r="G1509" s="3">
        <v>56696</v>
      </c>
      <c r="H1509" s="7" t="str">
        <f>HYPERLINK("http://www.ensembl.org/Mus_musculus/Gene/Summary?db=core;g=ENSMUSG00000021298","ENSMUSG00000021298")</f>
        <v>ENSMUSG00000021298</v>
      </c>
      <c r="I1509" s="7" t="str">
        <f>HYPERLINK("http://www.informatics.jax.org/marker/MGI:1890220","MGI:1890220")</f>
        <v>MGI:1890220</v>
      </c>
      <c r="J1509" s="4" t="s">
        <v>12</v>
      </c>
    </row>
    <row r="1510" spans="1:10" x14ac:dyDescent="0.25">
      <c r="A1510" s="2">
        <v>1542.9035992417801</v>
      </c>
      <c r="B1510" s="3">
        <v>0.59475721049399299</v>
      </c>
      <c r="C1510" s="5">
        <v>1.1334096745210801E-15</v>
      </c>
      <c r="D1510" s="6">
        <v>1.3881983412733E-14</v>
      </c>
      <c r="E1510" s="3" t="s">
        <v>2485</v>
      </c>
      <c r="F1510" s="3" t="s">
        <v>2486</v>
      </c>
      <c r="G1510" s="3">
        <v>213053</v>
      </c>
      <c r="H1510" s="7" t="str">
        <f>HYPERLINK("http://www.ensembl.org/Mus_musculus/Gene/Summary?db=core;g=ENSMUSG00000022094","ENSMUSG00000022094")</f>
        <v>ENSMUSG00000022094</v>
      </c>
      <c r="I1510" s="7" t="str">
        <f>HYPERLINK("http://www.informatics.jax.org/marker/MGI:2384851","MGI:2384851")</f>
        <v>MGI:2384851</v>
      </c>
      <c r="J1510" s="4" t="s">
        <v>12</v>
      </c>
    </row>
    <row r="1511" spans="1:10" x14ac:dyDescent="0.25">
      <c r="A1511" s="2">
        <v>2104.0388896011</v>
      </c>
      <c r="B1511" s="3">
        <v>0.59434059508693504</v>
      </c>
      <c r="C1511" s="5">
        <v>8.5928123309613204E-26</v>
      </c>
      <c r="D1511" s="6">
        <v>1.7795909628610199E-24</v>
      </c>
      <c r="E1511" s="3" t="s">
        <v>2519</v>
      </c>
      <c r="F1511" s="3" t="s">
        <v>2520</v>
      </c>
      <c r="G1511" s="3">
        <v>210293</v>
      </c>
      <c r="H1511" s="7" t="str">
        <f>HYPERLINK("http://www.ensembl.org/Mus_musculus/Gene/Summary?db=core;g=ENSMUSG00000038608","ENSMUSG00000038608")</f>
        <v>ENSMUSG00000038608</v>
      </c>
      <c r="I1511" s="7" t="str">
        <f>HYPERLINK("http://www.informatics.jax.org/marker/MGI:2146320","MGI:2146320")</f>
        <v>MGI:2146320</v>
      </c>
      <c r="J1511" s="4" t="s">
        <v>12</v>
      </c>
    </row>
    <row r="1512" spans="1:10" x14ac:dyDescent="0.25">
      <c r="A1512" s="2">
        <v>4253.6925097133599</v>
      </c>
      <c r="B1512" s="3">
        <v>0.59426537558741799</v>
      </c>
      <c r="C1512" s="5">
        <v>7.8352036683996595E-21</v>
      </c>
      <c r="D1512" s="6">
        <v>1.2795393087507499E-19</v>
      </c>
      <c r="E1512" s="3" t="s">
        <v>2155</v>
      </c>
      <c r="F1512" s="3" t="s">
        <v>2156</v>
      </c>
      <c r="G1512" s="3">
        <v>20430</v>
      </c>
      <c r="H1512" s="7" t="str">
        <f>HYPERLINK("http://www.ensembl.org/Mus_musculus/Gene/Summary?db=core;g=ENSMUSG00000030447","ENSMUSG00000030447")</f>
        <v>ENSMUSG00000030447</v>
      </c>
      <c r="I1512" s="7" t="str">
        <f>HYPERLINK("http://www.informatics.jax.org/marker/MGI:1338801","MGI:1338801")</f>
        <v>MGI:1338801</v>
      </c>
      <c r="J1512" s="4" t="s">
        <v>12</v>
      </c>
    </row>
    <row r="1513" spans="1:10" x14ac:dyDescent="0.25">
      <c r="A1513" s="2">
        <v>3123.75791776909</v>
      </c>
      <c r="B1513" s="3">
        <v>0.59286587236400801</v>
      </c>
      <c r="C1513" s="5">
        <v>1.4012756602185099E-21</v>
      </c>
      <c r="D1513" s="6">
        <v>2.3756510611611599E-20</v>
      </c>
      <c r="E1513" s="3" t="s">
        <v>2457</v>
      </c>
      <c r="F1513" s="3" t="s">
        <v>2458</v>
      </c>
      <c r="G1513" s="3">
        <v>67533</v>
      </c>
      <c r="H1513" s="7" t="str">
        <f>HYPERLINK("http://www.ensembl.org/Mus_musculus/Gene/Summary?db=core;g=ENSMUSG00000016487","ENSMUSG00000016487")</f>
        <v>ENSMUSG00000016487</v>
      </c>
      <c r="I1513" s="7" t="str">
        <f>HYPERLINK("http://www.informatics.jax.org/marker/MGI:1914783","MGI:1914783")</f>
        <v>MGI:1914783</v>
      </c>
      <c r="J1513" s="4" t="s">
        <v>12</v>
      </c>
    </row>
    <row r="1514" spans="1:10" x14ac:dyDescent="0.25">
      <c r="A1514" s="2">
        <v>4009.7778150097101</v>
      </c>
      <c r="B1514" s="3">
        <v>0.592332573951178</v>
      </c>
      <c r="C1514" s="3">
        <v>4.94662046064464E-2</v>
      </c>
      <c r="D1514" s="4">
        <v>0.113299180464055</v>
      </c>
      <c r="E1514" s="3" t="s">
        <v>13191</v>
      </c>
      <c r="F1514" s="3" t="s">
        <v>13192</v>
      </c>
      <c r="G1514" s="3" t="s">
        <v>83</v>
      </c>
      <c r="H1514" s="7" t="str">
        <f>HYPERLINK("http://www.ensembl.org/Mus_musculus/Gene/Summary?db=core;g=ENSMUSG00000092274","ENSMUSG00000092274")</f>
        <v>ENSMUSG00000092274</v>
      </c>
      <c r="I1514" s="7" t="str">
        <f>HYPERLINK("http://www.informatics.jax.org/marker/MGI:1914211","MGI:1914211")</f>
        <v>MGI:1914211</v>
      </c>
      <c r="J1514" s="4" t="s">
        <v>939</v>
      </c>
    </row>
    <row r="1515" spans="1:10" x14ac:dyDescent="0.25">
      <c r="A1515" s="2">
        <v>1849.4656453938801</v>
      </c>
      <c r="B1515" s="3">
        <v>0.592091051935416</v>
      </c>
      <c r="C1515" s="5">
        <v>1.0158990987164E-11</v>
      </c>
      <c r="D1515" s="6">
        <v>9.4318701345422103E-11</v>
      </c>
      <c r="E1515" s="3" t="s">
        <v>7546</v>
      </c>
      <c r="F1515" s="3" t="s">
        <v>7547</v>
      </c>
      <c r="G1515" s="3">
        <v>16155</v>
      </c>
      <c r="H1515" s="7" t="str">
        <f>HYPERLINK("http://www.ensembl.org/Mus_musculus/Gene/Summary?db=core;g=ENSMUSG00000022969","ENSMUSG00000022969")</f>
        <v>ENSMUSG00000022969</v>
      </c>
      <c r="I1515" s="7" t="str">
        <f>HYPERLINK("http://www.informatics.jax.org/marker/MGI:109380","MGI:109380")</f>
        <v>MGI:109380</v>
      </c>
      <c r="J1515" s="4" t="s">
        <v>12</v>
      </c>
    </row>
    <row r="1516" spans="1:10" x14ac:dyDescent="0.25">
      <c r="A1516" s="2">
        <v>681.03276914275796</v>
      </c>
      <c r="B1516" s="3">
        <v>0.59195155229978802</v>
      </c>
      <c r="C1516" s="5">
        <v>5.0120955487732402E-18</v>
      </c>
      <c r="D1516" s="6">
        <v>7.0865354054610002E-17</v>
      </c>
      <c r="E1516" s="3" t="s">
        <v>1794</v>
      </c>
      <c r="F1516" s="3" t="s">
        <v>1795</v>
      </c>
      <c r="G1516" s="3">
        <v>226122</v>
      </c>
      <c r="H1516" s="7" t="str">
        <f>HYPERLINK("http://www.ensembl.org/Mus_musculus/Gene/Summary?db=core;g=ENSMUSG00000025171","ENSMUSG00000025171")</f>
        <v>ENSMUSG00000025171</v>
      </c>
      <c r="I1516" s="7" t="str">
        <f>HYPERLINK("http://www.informatics.jax.org/marker/MGI:2385092","MGI:2385092")</f>
        <v>MGI:2385092</v>
      </c>
      <c r="J1516" s="4" t="s">
        <v>12</v>
      </c>
    </row>
    <row r="1517" spans="1:10" x14ac:dyDescent="0.25">
      <c r="A1517" s="2">
        <v>1007.42747488823</v>
      </c>
      <c r="B1517" s="3">
        <v>0.59066023518192101</v>
      </c>
      <c r="C1517" s="5">
        <v>2.0595629101679999E-5</v>
      </c>
      <c r="D1517" s="6">
        <v>9.6047937660726106E-5</v>
      </c>
      <c r="E1517" s="3" t="s">
        <v>8049</v>
      </c>
      <c r="F1517" s="3" t="s">
        <v>8050</v>
      </c>
      <c r="G1517" s="3">
        <v>22330</v>
      </c>
      <c r="H1517" s="7" t="str">
        <f>HYPERLINK("http://www.ensembl.org/Mus_musculus/Gene/Summary?db=core;g=ENSMUSG00000021823","ENSMUSG00000021823")</f>
        <v>ENSMUSG00000021823</v>
      </c>
      <c r="I1517" s="7" t="str">
        <f>HYPERLINK("http://www.informatics.jax.org/marker/MGI:98927","MGI:98927")</f>
        <v>MGI:98927</v>
      </c>
      <c r="J1517" s="4" t="s">
        <v>12</v>
      </c>
    </row>
    <row r="1518" spans="1:10" x14ac:dyDescent="0.25">
      <c r="A1518" s="2">
        <v>3227.2327664333202</v>
      </c>
      <c r="B1518" s="3">
        <v>0.59018779572910396</v>
      </c>
      <c r="C1518" s="5">
        <v>6.5178323501036601E-22</v>
      </c>
      <c r="D1518" s="6">
        <v>1.12275514726502E-20</v>
      </c>
      <c r="E1518" s="3" t="s">
        <v>1124</v>
      </c>
      <c r="F1518" s="3" t="s">
        <v>1125</v>
      </c>
      <c r="G1518" s="3">
        <v>19264</v>
      </c>
      <c r="H1518" s="7" t="str">
        <f>HYPERLINK("http://www.ensembl.org/Mus_musculus/Gene/Summary?db=core;g=ENSMUSG00000026395","ENSMUSG00000026395")</f>
        <v>ENSMUSG00000026395</v>
      </c>
      <c r="I1518" s="7" t="str">
        <f>HYPERLINK("http://www.informatics.jax.org/marker/MGI:97810","MGI:97810")</f>
        <v>MGI:97810</v>
      </c>
      <c r="J1518" s="4" t="s">
        <v>12</v>
      </c>
    </row>
    <row r="1519" spans="1:10" x14ac:dyDescent="0.25">
      <c r="A1519" s="2">
        <v>1828.7539699787901</v>
      </c>
      <c r="B1519" s="3">
        <v>0.59008692528957196</v>
      </c>
      <c r="C1519" s="5">
        <v>1.06570251032937E-25</v>
      </c>
      <c r="D1519" s="6">
        <v>2.1971072681847001E-24</v>
      </c>
      <c r="E1519" s="3" t="s">
        <v>1031</v>
      </c>
      <c r="F1519" s="3" t="s">
        <v>1032</v>
      </c>
      <c r="G1519" s="3">
        <v>80898</v>
      </c>
      <c r="H1519" s="7" t="str">
        <f>HYPERLINK("http://www.ensembl.org/Mus_musculus/Gene/Summary?db=core;g=ENSMUSG00000021583","ENSMUSG00000021583")</f>
        <v>ENSMUSG00000021583</v>
      </c>
      <c r="I1519" s="7" t="str">
        <f>HYPERLINK("http://www.informatics.jax.org/marker/MGI:1933403","MGI:1933403")</f>
        <v>MGI:1933403</v>
      </c>
      <c r="J1519" s="4" t="s">
        <v>12</v>
      </c>
    </row>
    <row r="1520" spans="1:10" x14ac:dyDescent="0.25">
      <c r="A1520" s="2">
        <v>1925.6101690328801</v>
      </c>
      <c r="B1520" s="3">
        <v>0.589819589949379</v>
      </c>
      <c r="C1520" s="5">
        <v>1.2885164014906299E-13</v>
      </c>
      <c r="D1520" s="6">
        <v>1.38953913711046E-12</v>
      </c>
      <c r="E1520" s="3" t="s">
        <v>3476</v>
      </c>
      <c r="F1520" s="3" t="s">
        <v>3477</v>
      </c>
      <c r="G1520" s="3">
        <v>17876</v>
      </c>
      <c r="H1520" s="7" t="str">
        <f>HYPERLINK("http://www.ensembl.org/Mus_musculus/Gene/Summary?db=core;g=ENSMUSG00000027201","ENSMUSG00000027201")</f>
        <v>ENSMUSG00000027201</v>
      </c>
      <c r="I1520" s="7" t="str">
        <f>HYPERLINK("http://www.informatics.jax.org/marker/MGI:104592","MGI:104592")</f>
        <v>MGI:104592</v>
      </c>
      <c r="J1520" s="4" t="s">
        <v>12</v>
      </c>
    </row>
    <row r="1521" spans="1:10" x14ac:dyDescent="0.25">
      <c r="A1521" s="2">
        <v>2254.2147087008898</v>
      </c>
      <c r="B1521" s="3">
        <v>0.58966220215276199</v>
      </c>
      <c r="C1521" s="5">
        <v>2.34176956190207E-24</v>
      </c>
      <c r="D1521" s="6">
        <v>4.5258483844819897E-23</v>
      </c>
      <c r="E1521" s="3" t="s">
        <v>2007</v>
      </c>
      <c r="F1521" s="3" t="s">
        <v>2008</v>
      </c>
      <c r="G1521" s="3">
        <v>64143</v>
      </c>
      <c r="H1521" s="7" t="str">
        <f>HYPERLINK("http://www.ensembl.org/Mus_musculus/Gene/Summary?db=core;g=ENSMUSG00000004451","ENSMUSG00000004451")</f>
        <v>ENSMUSG00000004451</v>
      </c>
      <c r="I1521" s="7" t="str">
        <f>HYPERLINK("http://www.informatics.jax.org/marker/MGI:1927244","MGI:1927244")</f>
        <v>MGI:1927244</v>
      </c>
      <c r="J1521" s="4" t="s">
        <v>12</v>
      </c>
    </row>
    <row r="1522" spans="1:10" x14ac:dyDescent="0.25">
      <c r="A1522" s="2">
        <v>2640.0794494039401</v>
      </c>
      <c r="B1522" s="3">
        <v>0.589376177933437</v>
      </c>
      <c r="C1522" s="5">
        <v>1.95221296649541E-47</v>
      </c>
      <c r="D1522" s="6">
        <v>8.7633205207829703E-46</v>
      </c>
      <c r="E1522" s="3" t="s">
        <v>1240</v>
      </c>
      <c r="F1522" s="3" t="s">
        <v>1241</v>
      </c>
      <c r="G1522" s="3">
        <v>68119</v>
      </c>
      <c r="H1522" s="7" t="str">
        <f>HYPERLINK("http://www.ensembl.org/Mus_musculus/Gene/Summary?db=core;g=ENSMUSG00000031875","ENSMUSG00000031875")</f>
        <v>ENSMUSG00000031875</v>
      </c>
      <c r="I1522" s="7" t="str">
        <f>HYPERLINK("http://www.informatics.jax.org/marker/MGI:2447162","MGI:2447162")</f>
        <v>MGI:2447162</v>
      </c>
      <c r="J1522" s="4" t="s">
        <v>12</v>
      </c>
    </row>
    <row r="1523" spans="1:10" x14ac:dyDescent="0.25">
      <c r="A1523" s="2">
        <v>452.79798192305498</v>
      </c>
      <c r="B1523" s="3">
        <v>0.58876725856908096</v>
      </c>
      <c r="C1523" s="5">
        <v>7.2250794665038503E-6</v>
      </c>
      <c r="D1523" s="6">
        <v>3.6066029382917801E-5</v>
      </c>
      <c r="E1523" s="3" t="s">
        <v>7676</v>
      </c>
      <c r="F1523" s="3" t="s">
        <v>7677</v>
      </c>
      <c r="G1523" s="3">
        <v>55991</v>
      </c>
      <c r="H1523" s="7" t="str">
        <f>HYPERLINK("http://www.ensembl.org/Mus_musculus/Gene/Summary?db=core;g=ENSMUSG00000031934","ENSMUSG00000031934")</f>
        <v>ENSMUSG00000031934</v>
      </c>
      <c r="I1523" s="7" t="str">
        <f>HYPERLINK("http://www.informatics.jax.org/marker/MGI:1860055","MGI:1860055")</f>
        <v>MGI:1860055</v>
      </c>
      <c r="J1523" s="4" t="s">
        <v>12</v>
      </c>
    </row>
    <row r="1524" spans="1:10" x14ac:dyDescent="0.25">
      <c r="A1524" s="2">
        <v>502.52504786871799</v>
      </c>
      <c r="B1524" s="3">
        <v>0.58832508520235305</v>
      </c>
      <c r="C1524" s="5">
        <v>2.1305921576918501E-12</v>
      </c>
      <c r="D1524" s="6">
        <v>2.09326372366221E-11</v>
      </c>
      <c r="E1524" s="3" t="s">
        <v>7830</v>
      </c>
      <c r="F1524" s="3" t="s">
        <v>7831</v>
      </c>
      <c r="G1524" s="3">
        <v>73167</v>
      </c>
      <c r="H1524" s="7" t="str">
        <f>HYPERLINK("http://www.ensembl.org/Mus_musculus/Gene/Summary?db=core;g=ENSMUSG00000078954","ENSMUSG00000078954")</f>
        <v>ENSMUSG00000078954</v>
      </c>
      <c r="I1524" s="7" t="str">
        <f>HYPERLINK("http://www.informatics.jax.org/marker/MGI:1920417","MGI:1920417")</f>
        <v>MGI:1920417</v>
      </c>
      <c r="J1524" s="4" t="s">
        <v>12</v>
      </c>
    </row>
    <row r="1525" spans="1:10" x14ac:dyDescent="0.25">
      <c r="A1525" s="2">
        <v>1911.71249851017</v>
      </c>
      <c r="B1525" s="3">
        <v>0.58814120935809999</v>
      </c>
      <c r="C1525" s="5">
        <v>3.5679342299287401E-43</v>
      </c>
      <c r="D1525" s="6">
        <v>1.3805860157208299E-41</v>
      </c>
      <c r="E1525" s="3" t="s">
        <v>866</v>
      </c>
      <c r="F1525" s="3" t="s">
        <v>867</v>
      </c>
      <c r="G1525" s="3">
        <v>94112</v>
      </c>
      <c r="H1525" s="7" t="str">
        <f>HYPERLINK("http://www.ensembl.org/Mus_musculus/Gene/Summary?db=core;g=ENSMUSG00000012114","ENSMUSG00000012114")</f>
        <v>ENSMUSG00000012114</v>
      </c>
      <c r="I1525" s="7" t="str">
        <f>HYPERLINK("http://www.informatics.jax.org/marker/MGI:2137379","MGI:2137379")</f>
        <v>MGI:2137379</v>
      </c>
      <c r="J1525" s="4" t="s">
        <v>12</v>
      </c>
    </row>
    <row r="1526" spans="1:10" x14ac:dyDescent="0.25">
      <c r="A1526" s="2">
        <v>240.69000084248901</v>
      </c>
      <c r="B1526" s="3">
        <v>0.58812087835162796</v>
      </c>
      <c r="C1526" s="5">
        <v>2.9129947122037701E-5</v>
      </c>
      <c r="D1526" s="4">
        <v>1.32789716433001E-4</v>
      </c>
      <c r="E1526" s="3" t="s">
        <v>8553</v>
      </c>
      <c r="F1526" s="3" t="s">
        <v>8554</v>
      </c>
      <c r="G1526" s="3">
        <v>68742</v>
      </c>
      <c r="H1526" s="7" t="str">
        <f>HYPERLINK("http://www.ensembl.org/Mus_musculus/Gene/Summary?db=core;g=ENSMUSG00000060538","ENSMUSG00000060538")</f>
        <v>ENSMUSG00000060538</v>
      </c>
      <c r="I1526" s="7" t="str">
        <f>HYPERLINK("http://www.informatics.jax.org/marker/MGI:1915992","MGI:1915992")</f>
        <v>MGI:1915992</v>
      </c>
      <c r="J1526" s="4" t="s">
        <v>12</v>
      </c>
    </row>
    <row r="1527" spans="1:10" x14ac:dyDescent="0.25">
      <c r="A1527" s="2">
        <v>196.275639671676</v>
      </c>
      <c r="B1527" s="3">
        <v>0.58805686209435704</v>
      </c>
      <c r="C1527" s="5">
        <v>3.7060688502543903E-8</v>
      </c>
      <c r="D1527" s="6">
        <v>2.4160607943956099E-7</v>
      </c>
      <c r="E1527" s="3" t="s">
        <v>7118</v>
      </c>
      <c r="F1527" s="3" t="s">
        <v>7119</v>
      </c>
      <c r="G1527" s="3" t="s">
        <v>83</v>
      </c>
      <c r="H1527" s="7" t="str">
        <f>HYPERLINK("http://www.ensembl.org/Mus_musculus/Gene/Summary?db=core;g=ENSMUSG00000086712","ENSMUSG00000086712")</f>
        <v>ENSMUSG00000086712</v>
      </c>
      <c r="I1527" s="7" t="str">
        <f>HYPERLINK("http://www.informatics.jax.org/marker/MGI:2140270","MGI:2140270")</f>
        <v>MGI:2140270</v>
      </c>
      <c r="J1527" s="4" t="s">
        <v>939</v>
      </c>
    </row>
    <row r="1528" spans="1:10" x14ac:dyDescent="0.25">
      <c r="A1528" s="2">
        <v>1413.14922373732</v>
      </c>
      <c r="B1528" s="3">
        <v>0.58768942753336495</v>
      </c>
      <c r="C1528" s="5">
        <v>3.0476780014896501E-30</v>
      </c>
      <c r="D1528" s="6">
        <v>7.6087577502943705E-29</v>
      </c>
      <c r="E1528" s="3" t="s">
        <v>1869</v>
      </c>
      <c r="F1528" s="3" t="s">
        <v>1870</v>
      </c>
      <c r="G1528" s="3">
        <v>211286</v>
      </c>
      <c r="H1528" s="7" t="str">
        <f>HYPERLINK("http://www.ensembl.org/Mus_musculus/Gene/Summary?db=core;g=ENSMUSG00000022125","ENSMUSG00000022125")</f>
        <v>ENSMUSG00000022125</v>
      </c>
      <c r="I1528" s="7" t="str">
        <f>HYPERLINK("http://www.informatics.jax.org/marker/MGI:2442253","MGI:2442253")</f>
        <v>MGI:2442253</v>
      </c>
      <c r="J1528" s="4" t="s">
        <v>12</v>
      </c>
    </row>
    <row r="1529" spans="1:10" x14ac:dyDescent="0.25">
      <c r="A1529" s="2">
        <v>1251.9676090998801</v>
      </c>
      <c r="B1529" s="3">
        <v>0.58757192873866604</v>
      </c>
      <c r="C1529" s="5">
        <v>7.6942261858997993E-6</v>
      </c>
      <c r="D1529" s="6">
        <v>3.8267422901774802E-5</v>
      </c>
      <c r="E1529" s="3" t="s">
        <v>6213</v>
      </c>
      <c r="F1529" s="3" t="s">
        <v>6214</v>
      </c>
      <c r="G1529" s="3">
        <v>20969</v>
      </c>
      <c r="H1529" s="7" t="str">
        <f>HYPERLINK("http://www.ensembl.org/Mus_musculus/Gene/Summary?db=core;g=ENSMUSG00000020592","ENSMUSG00000020592")</f>
        <v>ENSMUSG00000020592</v>
      </c>
      <c r="I1529" s="7" t="str">
        <f>HYPERLINK("http://www.informatics.jax.org/marker/MGI:1349162","MGI:1349162")</f>
        <v>MGI:1349162</v>
      </c>
      <c r="J1529" s="4" t="s">
        <v>12</v>
      </c>
    </row>
    <row r="1530" spans="1:10" x14ac:dyDescent="0.25">
      <c r="A1530" s="2">
        <v>62.405591564551699</v>
      </c>
      <c r="B1530" s="3">
        <v>0.58669206278336095</v>
      </c>
      <c r="C1530" s="3">
        <v>1.1668131373218E-4</v>
      </c>
      <c r="D1530" s="4">
        <v>4.8209406999976903E-4</v>
      </c>
      <c r="E1530" s="3" t="s">
        <v>10780</v>
      </c>
      <c r="F1530" s="3" t="s">
        <v>10781</v>
      </c>
      <c r="G1530" s="3">
        <v>238690</v>
      </c>
      <c r="H1530" s="7" t="str">
        <f>HYPERLINK("http://www.ensembl.org/Mus_musculus/Gene/Summary?db=core;g=ENSMUSG00000055480","ENSMUSG00000055480")</f>
        <v>ENSMUSG00000055480</v>
      </c>
      <c r="I1530" s="7" t="str">
        <f>HYPERLINK("http://www.informatics.jax.org/marker/MGI:3040691","MGI:3040691")</f>
        <v>MGI:3040691</v>
      </c>
      <c r="J1530" s="4" t="s">
        <v>12</v>
      </c>
    </row>
    <row r="1531" spans="1:10" x14ac:dyDescent="0.25">
      <c r="A1531" s="2">
        <v>514.87387091649998</v>
      </c>
      <c r="B1531" s="3">
        <v>0.58619847636247102</v>
      </c>
      <c r="C1531" s="5">
        <v>4.2237686969794302E-8</v>
      </c>
      <c r="D1531" s="6">
        <v>2.7345713855222002E-7</v>
      </c>
      <c r="E1531" s="3" t="s">
        <v>2724</v>
      </c>
      <c r="F1531" s="3" t="s">
        <v>2725</v>
      </c>
      <c r="G1531" s="3">
        <v>26390</v>
      </c>
      <c r="H1531" s="7" t="str">
        <f>HYPERLINK("http://www.ensembl.org/Mus_musculus/Gene/Summary?db=core;g=ENSMUSG00000033902","ENSMUSG00000033902")</f>
        <v>ENSMUSG00000033902</v>
      </c>
      <c r="I1531" s="7" t="str">
        <f>HYPERLINK("http://www.informatics.jax.org/marker/MGI:1347004","MGI:1347004")</f>
        <v>MGI:1347004</v>
      </c>
      <c r="J1531" s="4" t="s">
        <v>12</v>
      </c>
    </row>
    <row r="1532" spans="1:10" x14ac:dyDescent="0.25">
      <c r="A1532" s="2">
        <v>748.45174284949803</v>
      </c>
      <c r="B1532" s="3">
        <v>0.58613170431915296</v>
      </c>
      <c r="C1532" s="5">
        <v>3.9827687126340298E-9</v>
      </c>
      <c r="D1532" s="6">
        <v>2.9092569053208502E-8</v>
      </c>
      <c r="E1532" s="3" t="s">
        <v>6401</v>
      </c>
      <c r="F1532" s="3" t="s">
        <v>6402</v>
      </c>
      <c r="G1532" s="3">
        <v>74096</v>
      </c>
      <c r="H1532" s="7" t="str">
        <f>HYPERLINK("http://www.ensembl.org/Mus_musculus/Gene/Summary?db=core;g=ENSMUSG00000064267","ENSMUSG00000064267")</f>
        <v>ENSMUSG00000064267</v>
      </c>
      <c r="I1532" s="7" t="str">
        <f>HYPERLINK("http://www.informatics.jax.org/marker/MGI:1921346","MGI:1921346")</f>
        <v>MGI:1921346</v>
      </c>
      <c r="J1532" s="4" t="s">
        <v>12</v>
      </c>
    </row>
    <row r="1533" spans="1:10" x14ac:dyDescent="0.25">
      <c r="A1533" s="2">
        <v>31.810735639223701</v>
      </c>
      <c r="B1533" s="3">
        <v>0.58557544285630003</v>
      </c>
      <c r="C1533" s="3">
        <v>7.5010639232885703E-3</v>
      </c>
      <c r="D1533" s="4">
        <v>2.1702951262412201E-2</v>
      </c>
      <c r="E1533" s="3" t="s">
        <v>13255</v>
      </c>
      <c r="F1533" s="3" t="s">
        <v>13256</v>
      </c>
      <c r="G1533" s="3" t="s">
        <v>83</v>
      </c>
      <c r="H1533" s="7" t="str">
        <f>HYPERLINK("http://www.ensembl.org/Mus_musculus/Gene/Summary?db=core;g=ENSMUSG00000086637","ENSMUSG00000086637")</f>
        <v>ENSMUSG00000086637</v>
      </c>
      <c r="I1533" s="7" t="str">
        <f>HYPERLINK("http://www.informatics.jax.org/marker/MGI:3651082","MGI:3651082")</f>
        <v>MGI:3651082</v>
      </c>
      <c r="J1533" s="4" t="s">
        <v>4024</v>
      </c>
    </row>
    <row r="1534" spans="1:10" x14ac:dyDescent="0.25">
      <c r="A1534" s="2">
        <v>169.69692366814201</v>
      </c>
      <c r="B1534" s="3">
        <v>0.58553548600040395</v>
      </c>
      <c r="C1534" s="5">
        <v>8.4037847967841304E-7</v>
      </c>
      <c r="D1534" s="6">
        <v>4.7096856679394499E-6</v>
      </c>
      <c r="E1534" s="3" t="s">
        <v>6307</v>
      </c>
      <c r="F1534" s="3" t="s">
        <v>6308</v>
      </c>
      <c r="G1534" s="3">
        <v>233805</v>
      </c>
      <c r="H1534" s="7" t="str">
        <f>HYPERLINK("http://www.ensembl.org/Mus_musculus/Gene/Summary?db=core;g=ENSMUSG00000048787","ENSMUSG00000048787")</f>
        <v>ENSMUSG00000048787</v>
      </c>
      <c r="I1534" s="7" t="str">
        <f>HYPERLINK("http://www.informatics.jax.org/marker/MGI:2679003","MGI:2679003")</f>
        <v>MGI:2679003</v>
      </c>
      <c r="J1534" s="4" t="s">
        <v>12</v>
      </c>
    </row>
    <row r="1535" spans="1:10" x14ac:dyDescent="0.25">
      <c r="A1535" s="2">
        <v>5.6882919106224099</v>
      </c>
      <c r="B1535" s="3">
        <v>0.58525106524561998</v>
      </c>
      <c r="C1535" s="3">
        <v>0.13940666792356601</v>
      </c>
      <c r="D1535" s="4">
        <v>0.26645899558542002</v>
      </c>
      <c r="E1535" s="3" t="s">
        <v>12319</v>
      </c>
      <c r="F1535" s="3" t="s">
        <v>12320</v>
      </c>
      <c r="G1535" s="3" t="s">
        <v>83</v>
      </c>
      <c r="H1535" s="7" t="str">
        <f>HYPERLINK("http://www.ensembl.org/Mus_musculus/Gene/Summary?db=core;g=ENSMUSG00000106691","ENSMUSG00000106691")</f>
        <v>ENSMUSG00000106691</v>
      </c>
      <c r="I1535" s="7" t="str">
        <f>HYPERLINK("http://www.informatics.jax.org/marker/MGI:1924056","MGI:1924056")</f>
        <v>MGI:1924056</v>
      </c>
      <c r="J1535" s="4" t="s">
        <v>1828</v>
      </c>
    </row>
    <row r="1536" spans="1:10" x14ac:dyDescent="0.25">
      <c r="A1536" s="2">
        <v>1072.6942123921799</v>
      </c>
      <c r="B1536" s="3">
        <v>0.58521957344236597</v>
      </c>
      <c r="C1536" s="5">
        <v>3.3645862399872799E-7</v>
      </c>
      <c r="D1536" s="6">
        <v>1.98638108920532E-6</v>
      </c>
      <c r="E1536" s="3" t="s">
        <v>2325</v>
      </c>
      <c r="F1536" s="3" t="s">
        <v>2326</v>
      </c>
      <c r="G1536" s="3">
        <v>19171</v>
      </c>
      <c r="H1536" s="7" t="str">
        <f>HYPERLINK("http://www.ensembl.org/Mus_musculus/Gene/Summary?db=core;g=ENSMUSG00000031897","ENSMUSG00000031897")</f>
        <v>ENSMUSG00000031897</v>
      </c>
      <c r="I1536" s="7" t="str">
        <f>HYPERLINK("http://www.informatics.jax.org/marker/MGI:1096380","MGI:1096380")</f>
        <v>MGI:1096380</v>
      </c>
      <c r="J1536" s="4" t="s">
        <v>12</v>
      </c>
    </row>
    <row r="1537" spans="1:10" x14ac:dyDescent="0.25">
      <c r="A1537" s="2">
        <v>19.5862049328423</v>
      </c>
      <c r="B1537" s="3">
        <v>0.58493935180023304</v>
      </c>
      <c r="C1537" s="3">
        <v>2.0996224225332E-2</v>
      </c>
      <c r="D1537" s="4">
        <v>5.3796736469376702E-2</v>
      </c>
      <c r="E1537" s="3" t="s">
        <v>10448</v>
      </c>
      <c r="F1537" s="3" t="s">
        <v>10449</v>
      </c>
      <c r="G1537" s="3">
        <v>77036</v>
      </c>
      <c r="H1537" s="7" t="str">
        <f>HYPERLINK("http://www.ensembl.org/Mus_musculus/Gene/Summary?db=core;g=ENSMUSG00000008307","ENSMUSG00000008307")</f>
        <v>ENSMUSG00000008307</v>
      </c>
      <c r="I1537" s="7" t="str">
        <f>HYPERLINK("http://www.informatics.jax.org/marker/MGI:1924286","MGI:1924286")</f>
        <v>MGI:1924286</v>
      </c>
      <c r="J1537" s="4" t="s">
        <v>12</v>
      </c>
    </row>
    <row r="1538" spans="1:10" x14ac:dyDescent="0.25">
      <c r="A1538" s="2">
        <v>149.65878249389601</v>
      </c>
      <c r="B1538" s="3">
        <v>0.58430477372206902</v>
      </c>
      <c r="C1538" s="5">
        <v>1.36730131242331E-8</v>
      </c>
      <c r="D1538" s="6">
        <v>9.3963297205560997E-8</v>
      </c>
      <c r="E1538" s="3" t="s">
        <v>5415</v>
      </c>
      <c r="F1538" s="3" t="s">
        <v>5416</v>
      </c>
      <c r="G1538" s="3">
        <v>98376</v>
      </c>
      <c r="H1538" s="7" t="str">
        <f>HYPERLINK("http://www.ensembl.org/Mus_musculus/Gene/Summary?db=core;g=ENSMUSG00000040124","ENSMUSG00000040124")</f>
        <v>ENSMUSG00000040124</v>
      </c>
      <c r="I1538" s="7" t="str">
        <f>HYPERLINK("http://www.informatics.jax.org/marker/MGI:2138271","MGI:2138271")</f>
        <v>MGI:2138271</v>
      </c>
      <c r="J1538" s="4" t="s">
        <v>12</v>
      </c>
    </row>
    <row r="1539" spans="1:10" x14ac:dyDescent="0.25">
      <c r="A1539" s="2">
        <v>211.514522704271</v>
      </c>
      <c r="B1539" s="3">
        <v>0.58427226807233101</v>
      </c>
      <c r="C1539" s="5">
        <v>5.8780842740470298E-8</v>
      </c>
      <c r="D1539" s="6">
        <v>3.76284109218501E-7</v>
      </c>
      <c r="E1539" s="3" t="s">
        <v>9233</v>
      </c>
      <c r="F1539" s="3" t="s">
        <v>9234</v>
      </c>
      <c r="G1539" s="3">
        <v>79201</v>
      </c>
      <c r="H1539" s="7" t="str">
        <f>HYPERLINK("http://www.ensembl.org/Mus_musculus/Gene/Summary?db=core;g=ENSMUSG00000037613","ENSMUSG00000037613")</f>
        <v>ENSMUSG00000037613</v>
      </c>
      <c r="I1539" s="7" t="str">
        <f>HYPERLINK("http://www.informatics.jax.org/marker/MGI:1930269","MGI:1930269")</f>
        <v>MGI:1930269</v>
      </c>
      <c r="J1539" s="4" t="s">
        <v>12</v>
      </c>
    </row>
    <row r="1540" spans="1:10" x14ac:dyDescent="0.25">
      <c r="A1540" s="2">
        <v>478.54563302635103</v>
      </c>
      <c r="B1540" s="3">
        <v>0.58410035017297701</v>
      </c>
      <c r="C1540" s="5">
        <v>1.1476658159569199E-8</v>
      </c>
      <c r="D1540" s="6">
        <v>7.94386991865358E-8</v>
      </c>
      <c r="E1540" s="3" t="s">
        <v>4527</v>
      </c>
      <c r="F1540" s="3" t="s">
        <v>4528</v>
      </c>
      <c r="G1540" s="3">
        <v>216850</v>
      </c>
      <c r="H1540" s="7" t="str">
        <f>HYPERLINK("http://www.ensembl.org/Mus_musculus/Gene/Summary?db=core;g=ENSMUSG00000018476","ENSMUSG00000018476")</f>
        <v>ENSMUSG00000018476</v>
      </c>
      <c r="I1540" s="7" t="str">
        <f>HYPERLINK("http://www.informatics.jax.org/marker/MGI:2448492","MGI:2448492")</f>
        <v>MGI:2448492</v>
      </c>
      <c r="J1540" s="4" t="s">
        <v>12</v>
      </c>
    </row>
    <row r="1541" spans="1:10" x14ac:dyDescent="0.25">
      <c r="A1541" s="2">
        <v>22.2935982719946</v>
      </c>
      <c r="B1541" s="3">
        <v>0.58396260016617796</v>
      </c>
      <c r="C1541" s="3">
        <v>1.96105553760492E-2</v>
      </c>
      <c r="D1541" s="4">
        <v>5.0774594648174097E-2</v>
      </c>
      <c r="E1541" s="3" t="s">
        <v>10378</v>
      </c>
      <c r="F1541" s="3" t="s">
        <v>10379</v>
      </c>
      <c r="G1541" s="3">
        <v>56323</v>
      </c>
      <c r="H1541" s="7" t="str">
        <f>HYPERLINK("http://www.ensembl.org/Mus_musculus/Gene/Summary?db=core;g=ENSMUSG00000036052","ENSMUSG00000036052")</f>
        <v>ENSMUSG00000036052</v>
      </c>
      <c r="I1541" s="7" t="str">
        <f>HYPERLINK("http://www.informatics.jax.org/marker/MGI:1930018","MGI:1930018")</f>
        <v>MGI:1930018</v>
      </c>
      <c r="J1541" s="4" t="s">
        <v>12</v>
      </c>
    </row>
    <row r="1542" spans="1:10" x14ac:dyDescent="0.25">
      <c r="A1542" s="2">
        <v>1912.7242476123199</v>
      </c>
      <c r="B1542" s="3">
        <v>0.583290620308068</v>
      </c>
      <c r="C1542" s="5">
        <v>4.3993502100121E-14</v>
      </c>
      <c r="D1542" s="6">
        <v>4.8563390416396495E-13</v>
      </c>
      <c r="E1542" s="3" t="s">
        <v>7646</v>
      </c>
      <c r="F1542" s="3" t="s">
        <v>7647</v>
      </c>
      <c r="G1542" s="3">
        <v>66860</v>
      </c>
      <c r="H1542" s="7" t="str">
        <f>HYPERLINK("http://www.ensembl.org/Mus_musculus/Gene/Summary?db=core;g=ENSMUSG00000035168","ENSMUSG00000035168")</f>
        <v>ENSMUSG00000035168</v>
      </c>
      <c r="I1542" s="7" t="str">
        <f>HYPERLINK("http://www.informatics.jax.org/marker/MGI:1914110","MGI:1914110")</f>
        <v>MGI:1914110</v>
      </c>
      <c r="J1542" s="4" t="s">
        <v>12</v>
      </c>
    </row>
    <row r="1543" spans="1:10" x14ac:dyDescent="0.25">
      <c r="A1543" s="2">
        <v>206.253309590431</v>
      </c>
      <c r="B1543" s="3">
        <v>0.58324732402002699</v>
      </c>
      <c r="C1543" s="5">
        <v>1.26636787479247E-5</v>
      </c>
      <c r="D1543" s="6">
        <v>6.1008603008439598E-5</v>
      </c>
      <c r="E1543" s="3" t="s">
        <v>3614</v>
      </c>
      <c r="F1543" s="3" t="s">
        <v>3615</v>
      </c>
      <c r="G1543" s="3">
        <v>101187</v>
      </c>
      <c r="H1543" s="7" t="str">
        <f>HYPERLINK("http://www.ensembl.org/Mus_musculus/Gene/Summary?db=core;g=ENSMUSG00000037997","ENSMUSG00000037997")</f>
        <v>ENSMUSG00000037997</v>
      </c>
      <c r="I1543" s="7" t="str">
        <f>HYPERLINK("http://www.informatics.jax.org/marker/MGI:2141505","MGI:2141505")</f>
        <v>MGI:2141505</v>
      </c>
      <c r="J1543" s="4" t="s">
        <v>12</v>
      </c>
    </row>
    <row r="1544" spans="1:10" x14ac:dyDescent="0.25">
      <c r="A1544" s="2">
        <v>3053.98367255325</v>
      </c>
      <c r="B1544" s="3">
        <v>0.58301627981248905</v>
      </c>
      <c r="C1544" s="5">
        <v>6.9927642533984401E-25</v>
      </c>
      <c r="D1544" s="6">
        <v>1.3852513969368101E-23</v>
      </c>
      <c r="E1544" s="3" t="s">
        <v>2649</v>
      </c>
      <c r="F1544" s="3" t="s">
        <v>2650</v>
      </c>
      <c r="G1544" s="3">
        <v>16800</v>
      </c>
      <c r="H1544" s="7" t="str">
        <f>HYPERLINK("http://www.ensembl.org/Mus_musculus/Gene/Summary?db=core;g=ENSMUSG00000028059","ENSMUSG00000028059")</f>
        <v>ENSMUSG00000028059</v>
      </c>
      <c r="I1544" s="7" t="str">
        <f>HYPERLINK("http://www.informatics.jax.org/marker/MGI:103264","MGI:103264")</f>
        <v>MGI:103264</v>
      </c>
      <c r="J1544" s="4" t="s">
        <v>12</v>
      </c>
    </row>
    <row r="1545" spans="1:10" x14ac:dyDescent="0.25">
      <c r="A1545" s="2">
        <v>503.031150673186</v>
      </c>
      <c r="B1545" s="3">
        <v>0.58290486791713203</v>
      </c>
      <c r="C1545" s="5">
        <v>2.9360335980631501E-7</v>
      </c>
      <c r="D1545" s="6">
        <v>1.7463842142526399E-6</v>
      </c>
      <c r="E1545" s="3" t="s">
        <v>10290</v>
      </c>
      <c r="F1545" s="3" t="s">
        <v>10291</v>
      </c>
      <c r="G1545" s="3">
        <v>16170</v>
      </c>
      <c r="H1545" s="7" t="str">
        <f>HYPERLINK("http://www.ensembl.org/Mus_musculus/Gene/Summary?db=core;g=ENSMUSG00000001741","ENSMUSG00000001741")</f>
        <v>ENSMUSG00000001741</v>
      </c>
      <c r="I1545" s="7" t="str">
        <f>HYPERLINK("http://www.informatics.jax.org/marker/MGI:1270855","MGI:1270855")</f>
        <v>MGI:1270855</v>
      </c>
      <c r="J1545" s="4" t="s">
        <v>12</v>
      </c>
    </row>
    <row r="1546" spans="1:10" x14ac:dyDescent="0.25">
      <c r="A1546" s="2">
        <v>1448.5323239356101</v>
      </c>
      <c r="B1546" s="3">
        <v>0.58252406765369003</v>
      </c>
      <c r="C1546" s="5">
        <v>9.4674012126909198E-32</v>
      </c>
      <c r="D1546" s="6">
        <v>2.4862159524681899E-30</v>
      </c>
      <c r="E1546" s="3" t="s">
        <v>2013</v>
      </c>
      <c r="F1546" s="3" t="s">
        <v>2014</v>
      </c>
      <c r="G1546" s="3">
        <v>545389</v>
      </c>
      <c r="H1546" s="7" t="str">
        <f>HYPERLINK("http://www.ensembl.org/Mus_musculus/Gene/Summary?db=core;g=ENSMUSG00000057335","ENSMUSG00000057335")</f>
        <v>ENSMUSG00000057335</v>
      </c>
      <c r="I1546" s="7" t="str">
        <f>HYPERLINK("http://www.informatics.jax.org/marker/MGI:1918348","MGI:1918348")</f>
        <v>MGI:1918348</v>
      </c>
      <c r="J1546" s="4" t="s">
        <v>12</v>
      </c>
    </row>
    <row r="1547" spans="1:10" x14ac:dyDescent="0.25">
      <c r="A1547" s="2">
        <v>15.6602675918353</v>
      </c>
      <c r="B1547" s="3">
        <v>0.58248481069065305</v>
      </c>
      <c r="C1547" s="3">
        <v>6.3029568109009199E-2</v>
      </c>
      <c r="D1547" s="4">
        <v>0.13858292662404301</v>
      </c>
      <c r="E1547" s="3" t="s">
        <v>12557</v>
      </c>
      <c r="F1547" s="3" t="s">
        <v>12558</v>
      </c>
      <c r="G1547" s="3">
        <v>102075</v>
      </c>
      <c r="H1547" s="7" t="str">
        <f>HYPERLINK("http://www.ensembl.org/Mus_musculus/Gene/Summary?db=core;g=ENSMUSG00000014782","ENSMUSG00000014782")</f>
        <v>ENSMUSG00000014782</v>
      </c>
      <c r="I1547" s="7" t="str">
        <f>HYPERLINK("http://www.informatics.jax.org/marker/MGI:2142544","MGI:2142544")</f>
        <v>MGI:2142544</v>
      </c>
      <c r="J1547" s="4" t="s">
        <v>12</v>
      </c>
    </row>
    <row r="1548" spans="1:10" x14ac:dyDescent="0.25">
      <c r="A1548" s="2">
        <v>633.48001721522701</v>
      </c>
      <c r="B1548" s="3">
        <v>0.58246147365643597</v>
      </c>
      <c r="C1548" s="5">
        <v>1.1219690671373E-11</v>
      </c>
      <c r="D1548" s="6">
        <v>1.0379637689633099E-10</v>
      </c>
      <c r="E1548" s="3" t="s">
        <v>6780</v>
      </c>
      <c r="F1548" s="3" t="s">
        <v>6781</v>
      </c>
      <c r="G1548" s="3">
        <v>12042</v>
      </c>
      <c r="H1548" s="7" t="str">
        <f>HYPERLINK("http://www.ensembl.org/Mus_musculus/Gene/Summary?db=core;g=ENSMUSG00000028191","ENSMUSG00000028191")</f>
        <v>ENSMUSG00000028191</v>
      </c>
      <c r="I1548" s="7" t="str">
        <f>HYPERLINK("http://www.informatics.jax.org/marker/MGI:1337994","MGI:1337994")</f>
        <v>MGI:1337994</v>
      </c>
      <c r="J1548" s="4" t="s">
        <v>12</v>
      </c>
    </row>
    <row r="1549" spans="1:10" x14ac:dyDescent="0.25">
      <c r="A1549" s="2">
        <v>1.2177500453082799</v>
      </c>
      <c r="B1549" s="3">
        <v>0.58215836773707097</v>
      </c>
      <c r="C1549" s="3">
        <v>0.162252155489679</v>
      </c>
      <c r="D1549" s="4">
        <v>0.29984913047409301</v>
      </c>
      <c r="E1549" s="3" t="s">
        <v>13537</v>
      </c>
      <c r="F1549" s="3" t="s">
        <v>13538</v>
      </c>
      <c r="G1549" s="3">
        <v>14289</v>
      </c>
      <c r="H1549" s="7" t="str">
        <f>HYPERLINK("http://www.ensembl.org/Mus_musculus/Gene/Summary?db=core;g=ENSMUSG00000052270","ENSMUSG00000052270")</f>
        <v>ENSMUSG00000052270</v>
      </c>
      <c r="I1549" s="7" t="str">
        <f>HYPERLINK("http://www.informatics.jax.org/marker/MGI:1278319","MGI:1278319")</f>
        <v>MGI:1278319</v>
      </c>
      <c r="J1549" s="4" t="s">
        <v>12</v>
      </c>
    </row>
    <row r="1550" spans="1:10" x14ac:dyDescent="0.25">
      <c r="A1550" s="2">
        <v>431.25893692786099</v>
      </c>
      <c r="B1550" s="3">
        <v>0.58162938337172698</v>
      </c>
      <c r="C1550" s="5">
        <v>3.8355862212253002E-16</v>
      </c>
      <c r="D1550" s="6">
        <v>4.8713281450753297E-15</v>
      </c>
      <c r="E1550" s="3" t="s">
        <v>2694</v>
      </c>
      <c r="F1550" s="3" t="s">
        <v>2695</v>
      </c>
      <c r="G1550" s="3">
        <v>12632</v>
      </c>
      <c r="H1550" s="7" t="str">
        <f>HYPERLINK("http://www.ensembl.org/Mus_musculus/Gene/Summary?db=core;g=ENSMUSG00000062929","ENSMUSG00000062929")</f>
        <v>ENSMUSG00000062929</v>
      </c>
      <c r="I1550" s="7" t="str">
        <f>HYPERLINK("http://www.informatics.jax.org/marker/MGI:101763","MGI:101763")</f>
        <v>MGI:101763</v>
      </c>
      <c r="J1550" s="4" t="s">
        <v>12</v>
      </c>
    </row>
    <row r="1551" spans="1:10" x14ac:dyDescent="0.25">
      <c r="A1551" s="2">
        <v>1826.53011701077</v>
      </c>
      <c r="B1551" s="3">
        <v>0.581449775071332</v>
      </c>
      <c r="C1551" s="5">
        <v>4.5340596132320202E-21</v>
      </c>
      <c r="D1551" s="6">
        <v>7.4848946060827497E-20</v>
      </c>
      <c r="E1551" s="3" t="s">
        <v>2123</v>
      </c>
      <c r="F1551" s="3" t="s">
        <v>2124</v>
      </c>
      <c r="G1551" s="3">
        <v>66998</v>
      </c>
      <c r="H1551" s="7" t="str">
        <f>HYPERLINK("http://www.ensembl.org/Mus_musculus/Gene/Summary?db=core;g=ENSMUSG00000026869","ENSMUSG00000026869")</f>
        <v>ENSMUSG00000026869</v>
      </c>
      <c r="I1551" s="7" t="str">
        <f>HYPERLINK("http://www.informatics.jax.org/marker/MGI:1914248","MGI:1914248")</f>
        <v>MGI:1914248</v>
      </c>
      <c r="J1551" s="4" t="s">
        <v>12</v>
      </c>
    </row>
    <row r="1552" spans="1:10" x14ac:dyDescent="0.25">
      <c r="A1552" s="2">
        <v>70.303250040514399</v>
      </c>
      <c r="B1552" s="3">
        <v>0.58138918446106902</v>
      </c>
      <c r="C1552" s="3">
        <v>5.6350373523788499E-3</v>
      </c>
      <c r="D1552" s="4">
        <v>1.6726149144479601E-2</v>
      </c>
      <c r="E1552" s="3" t="s">
        <v>4837</v>
      </c>
      <c r="F1552" s="3" t="s">
        <v>4838</v>
      </c>
      <c r="G1552" s="3">
        <v>58206</v>
      </c>
      <c r="H1552" s="7" t="str">
        <f>HYPERLINK("http://www.ensembl.org/Mus_musculus/Gene/Summary?db=core;g=ENSMUSG00000006310","ENSMUSG00000006310")</f>
        <v>ENSMUSG00000006310</v>
      </c>
      <c r="I1552" s="7" t="str">
        <f>HYPERLINK("http://www.informatics.jax.org/marker/MGI:1891838","MGI:1891838")</f>
        <v>MGI:1891838</v>
      </c>
      <c r="J1552" s="4" t="s">
        <v>12</v>
      </c>
    </row>
    <row r="1553" spans="1:10" x14ac:dyDescent="0.25">
      <c r="A1553" s="2">
        <v>105.738051142198</v>
      </c>
      <c r="B1553" s="3">
        <v>0.58125707734603005</v>
      </c>
      <c r="C1553" s="3">
        <v>1.5656127070054399E-2</v>
      </c>
      <c r="D1553" s="4">
        <v>4.1776415205233099E-2</v>
      </c>
      <c r="E1553" s="3" t="s">
        <v>7932</v>
      </c>
      <c r="F1553" s="3" t="s">
        <v>7933</v>
      </c>
      <c r="G1553" s="3">
        <v>68774</v>
      </c>
      <c r="H1553" s="7" t="str">
        <f>HYPERLINK("http://www.ensembl.org/Mus_musculus/Gene/Summary?db=core;g=ENSMUSG00000024679","ENSMUSG00000024679")</f>
        <v>ENSMUSG00000024679</v>
      </c>
      <c r="I1553" s="7" t="str">
        <f>HYPERLINK("http://www.informatics.jax.org/marker/MGI:1916024","MGI:1916024")</f>
        <v>MGI:1916024</v>
      </c>
      <c r="J1553" s="4" t="s">
        <v>12</v>
      </c>
    </row>
    <row r="1554" spans="1:10" x14ac:dyDescent="0.25">
      <c r="A1554" s="2">
        <v>126.22666617852499</v>
      </c>
      <c r="B1554" s="3">
        <v>0.58085428649020099</v>
      </c>
      <c r="C1554" s="3">
        <v>1.18756507379824E-4</v>
      </c>
      <c r="D1554" s="4">
        <v>4.9011262386714199E-4</v>
      </c>
      <c r="E1554" s="3" t="s">
        <v>9813</v>
      </c>
      <c r="F1554" s="3" t="s">
        <v>9814</v>
      </c>
      <c r="G1554" s="3">
        <v>235505</v>
      </c>
      <c r="H1554" s="7" t="str">
        <f>HYPERLINK("http://www.ensembl.org/Mus_musculus/Gene/Summary?db=core;g=ENSMUSG00000046186","ENSMUSG00000046186")</f>
        <v>ENSMUSG00000046186</v>
      </c>
      <c r="I1554" s="7" t="str">
        <f>HYPERLINK("http://www.informatics.jax.org/marker/MGI:2445221","MGI:2445221")</f>
        <v>MGI:2445221</v>
      </c>
      <c r="J1554" s="4" t="s">
        <v>12</v>
      </c>
    </row>
    <row r="1555" spans="1:10" x14ac:dyDescent="0.25">
      <c r="A1555" s="2">
        <v>4258.5608250176801</v>
      </c>
      <c r="B1555" s="3">
        <v>0.58002889587321305</v>
      </c>
      <c r="C1555" s="5">
        <v>6.5991445002030896E-20</v>
      </c>
      <c r="D1555" s="6">
        <v>1.0261894924590599E-18</v>
      </c>
      <c r="E1555" s="3" t="s">
        <v>3856</v>
      </c>
      <c r="F1555" s="3" t="s">
        <v>3857</v>
      </c>
      <c r="G1555" s="3">
        <v>329679</v>
      </c>
      <c r="H1555" s="7" t="str">
        <f>HYPERLINK("http://www.ensembl.org/Mus_musculus/Gene/Summary?db=core;g=ENSMUSG00000061175","ENSMUSG00000061175")</f>
        <v>ENSMUSG00000061175</v>
      </c>
      <c r="I1555" s="7" t="str">
        <f>HYPERLINK("http://www.informatics.jax.org/marker/MGI:2683054","MGI:2683054")</f>
        <v>MGI:2683054</v>
      </c>
      <c r="J1555" s="4" t="s">
        <v>12</v>
      </c>
    </row>
    <row r="1556" spans="1:10" x14ac:dyDescent="0.25">
      <c r="A1556" s="2">
        <v>479.587144855975</v>
      </c>
      <c r="B1556" s="3">
        <v>0.57986597881871105</v>
      </c>
      <c r="C1556" s="5">
        <v>1.8596895524795799E-11</v>
      </c>
      <c r="D1556" s="6">
        <v>1.6921039487738599E-10</v>
      </c>
      <c r="E1556" s="3" t="s">
        <v>6461</v>
      </c>
      <c r="F1556" s="3" t="s">
        <v>6462</v>
      </c>
      <c r="G1556" s="3">
        <v>226751</v>
      </c>
      <c r="H1556" s="7" t="str">
        <f>HYPERLINK("http://www.ensembl.org/Mus_musculus/Gene/Summary?db=core;g=ENSMUSG00000026490","ENSMUSG00000026490")</f>
        <v>ENSMUSG00000026490</v>
      </c>
      <c r="I1556" s="7" t="str">
        <f>HYPERLINK("http://www.informatics.jax.org/marker/MGI:2441841","MGI:2441841")</f>
        <v>MGI:2441841</v>
      </c>
      <c r="J1556" s="4" t="s">
        <v>12</v>
      </c>
    </row>
    <row r="1557" spans="1:10" x14ac:dyDescent="0.25">
      <c r="A1557" s="2">
        <v>11.212244499396601</v>
      </c>
      <c r="B1557" s="3">
        <v>0.57978597503734997</v>
      </c>
      <c r="C1557" s="3">
        <v>0.10419401081717999</v>
      </c>
      <c r="D1557" s="4">
        <v>0.210082514342638</v>
      </c>
      <c r="E1557" s="3" t="s">
        <v>13039</v>
      </c>
      <c r="F1557" s="3" t="s">
        <v>13040</v>
      </c>
      <c r="G1557" s="3">
        <v>15234</v>
      </c>
      <c r="H1557" s="7" t="str">
        <f>HYPERLINK("http://www.ensembl.org/Mus_musculus/Gene/Summary?db=core;g=ENSMUSG00000028864","ENSMUSG00000028864")</f>
        <v>ENSMUSG00000028864</v>
      </c>
      <c r="I1557" s="7" t="str">
        <f>HYPERLINK("http://www.informatics.jax.org/marker/MGI:96079","MGI:96079")</f>
        <v>MGI:96079</v>
      </c>
      <c r="J1557" s="4" t="s">
        <v>12</v>
      </c>
    </row>
    <row r="1558" spans="1:10" x14ac:dyDescent="0.25">
      <c r="A1558" s="2">
        <v>46.081135377696597</v>
      </c>
      <c r="B1558" s="3">
        <v>0.57903658232451705</v>
      </c>
      <c r="C1558" s="3">
        <v>1.40575312893818E-2</v>
      </c>
      <c r="D1558" s="4">
        <v>3.79272402293091E-2</v>
      </c>
      <c r="E1558" s="3" t="s">
        <v>10565</v>
      </c>
      <c r="F1558" s="3" t="s">
        <v>10566</v>
      </c>
      <c r="G1558" s="3">
        <v>239096</v>
      </c>
      <c r="H1558" s="7" t="str">
        <f>HYPERLINK("http://www.ensembl.org/Mus_musculus/Gene/Summary?db=core;g=ENSMUSG00000059674","ENSMUSG00000059674")</f>
        <v>ENSMUSG00000059674</v>
      </c>
      <c r="I1558" s="7" t="str">
        <f>HYPERLINK("http://www.informatics.jax.org/marker/MGI:1928330","MGI:1928330")</f>
        <v>MGI:1928330</v>
      </c>
      <c r="J1558" s="4" t="s">
        <v>12</v>
      </c>
    </row>
    <row r="1559" spans="1:10" x14ac:dyDescent="0.25">
      <c r="A1559" s="2">
        <v>998.866224574993</v>
      </c>
      <c r="B1559" s="3">
        <v>0.577777507068166</v>
      </c>
      <c r="C1559" s="5">
        <v>3.7896618071806098E-23</v>
      </c>
      <c r="D1559" s="6">
        <v>6.9413654709413599E-22</v>
      </c>
      <c r="E1559" s="3" t="s">
        <v>1560</v>
      </c>
      <c r="F1559" s="3" t="s">
        <v>1561</v>
      </c>
      <c r="G1559" s="3">
        <v>27393</v>
      </c>
      <c r="H1559" s="7" t="str">
        <f>HYPERLINK("http://www.ensembl.org/Mus_musculus/Gene/Summary?db=core;g=ENSMUSG00000022889","ENSMUSG00000022889")</f>
        <v>ENSMUSG00000022889</v>
      </c>
      <c r="I1559" s="7" t="str">
        <f>HYPERLINK("http://www.informatics.jax.org/marker/MGI:1351620","MGI:1351620")</f>
        <v>MGI:1351620</v>
      </c>
      <c r="J1559" s="4" t="s">
        <v>12</v>
      </c>
    </row>
    <row r="1560" spans="1:10" x14ac:dyDescent="0.25">
      <c r="A1560" s="2">
        <v>648.81847095145201</v>
      </c>
      <c r="B1560" s="3">
        <v>0.57690864952016296</v>
      </c>
      <c r="C1560" s="5">
        <v>1.05533881513351E-18</v>
      </c>
      <c r="D1560" s="6">
        <v>1.5485950004676499E-17</v>
      </c>
      <c r="E1560" s="3" t="s">
        <v>3636</v>
      </c>
      <c r="F1560" s="3" t="s">
        <v>3637</v>
      </c>
      <c r="G1560" s="3">
        <v>216971</v>
      </c>
      <c r="H1560" s="7" t="str">
        <f>HYPERLINK("http://www.ensembl.org/Mus_musculus/Gene/Summary?db=core;g=ENSMUSG00000037750","ENSMUSG00000037750")</f>
        <v>ENSMUSG00000037750</v>
      </c>
      <c r="I1560" s="7" t="str">
        <f>HYPERLINK("http://www.informatics.jax.org/marker/MGI:2384939","MGI:2384939")</f>
        <v>MGI:2384939</v>
      </c>
      <c r="J1560" s="4" t="s">
        <v>12</v>
      </c>
    </row>
    <row r="1561" spans="1:10" x14ac:dyDescent="0.25">
      <c r="A1561" s="2">
        <v>3195.0045703634801</v>
      </c>
      <c r="B1561" s="3">
        <v>0.57684514750961802</v>
      </c>
      <c r="C1561" s="5">
        <v>2.5806252685795601E-8</v>
      </c>
      <c r="D1561" s="6">
        <v>1.71837396857371E-7</v>
      </c>
      <c r="E1561" s="3" t="s">
        <v>10494</v>
      </c>
      <c r="F1561" s="3" t="s">
        <v>10495</v>
      </c>
      <c r="G1561" s="3">
        <v>239217</v>
      </c>
      <c r="H1561" s="7" t="str">
        <f>HYPERLINK("http://www.ensembl.org/Mus_musculus/Gene/Summary?db=core;g=ENSMUSG00000098557","ENSMUSG00000098557")</f>
        <v>ENSMUSG00000098557</v>
      </c>
      <c r="I1561" s="7" t="str">
        <f>HYPERLINK("http://www.informatics.jax.org/marker/MGI:2145823","MGI:2145823")</f>
        <v>MGI:2145823</v>
      </c>
      <c r="J1561" s="4" t="s">
        <v>12</v>
      </c>
    </row>
    <row r="1562" spans="1:10" x14ac:dyDescent="0.25">
      <c r="A1562" s="2">
        <v>434.60972683055599</v>
      </c>
      <c r="B1562" s="3">
        <v>0.57633250193672303</v>
      </c>
      <c r="C1562" s="5">
        <v>2.6239949532398E-11</v>
      </c>
      <c r="D1562" s="6">
        <v>2.3546188095911001E-10</v>
      </c>
      <c r="E1562" s="3" t="s">
        <v>4661</v>
      </c>
      <c r="F1562" s="3" t="s">
        <v>4662</v>
      </c>
      <c r="G1562" s="3">
        <v>74185</v>
      </c>
      <c r="H1562" s="7" t="str">
        <f>HYPERLINK("http://www.ensembl.org/Mus_musculus/Gene/Summary?db=core;g=ENSMUSG00000022707","ENSMUSG00000022707")</f>
        <v>ENSMUSG00000022707</v>
      </c>
      <c r="I1562" s="7" t="str">
        <f>HYPERLINK("http://www.informatics.jax.org/marker/MGI:1921435","MGI:1921435")</f>
        <v>MGI:1921435</v>
      </c>
      <c r="J1562" s="4" t="s">
        <v>12</v>
      </c>
    </row>
    <row r="1563" spans="1:10" x14ac:dyDescent="0.25">
      <c r="A1563" s="2">
        <v>475.15939855520702</v>
      </c>
      <c r="B1563" s="3">
        <v>0.57553417142862995</v>
      </c>
      <c r="C1563" s="5">
        <v>4.3361024086074904E-9</v>
      </c>
      <c r="D1563" s="6">
        <v>3.1547092374000602E-8</v>
      </c>
      <c r="E1563" s="3" t="s">
        <v>3088</v>
      </c>
      <c r="F1563" s="3" t="s">
        <v>3089</v>
      </c>
      <c r="G1563" s="3">
        <v>170460</v>
      </c>
      <c r="H1563" s="7" t="str">
        <f>HYPERLINK("http://www.ensembl.org/Mus_musculus/Gene/Summary?db=core;g=ENSMUSG00000046027","ENSMUSG00000046027")</f>
        <v>ENSMUSG00000046027</v>
      </c>
      <c r="I1563" s="7" t="str">
        <f>HYPERLINK("http://www.informatics.jax.org/marker/MGI:2156765","MGI:2156765")</f>
        <v>MGI:2156765</v>
      </c>
      <c r="J1563" s="4" t="s">
        <v>12</v>
      </c>
    </row>
    <row r="1564" spans="1:10" x14ac:dyDescent="0.25">
      <c r="A1564" s="2">
        <v>3095.9878127290799</v>
      </c>
      <c r="B1564" s="3">
        <v>0.57548298640052697</v>
      </c>
      <c r="C1564" s="5">
        <v>9.2115054449510298E-27</v>
      </c>
      <c r="D1564" s="6">
        <v>1.99145535865044E-25</v>
      </c>
      <c r="E1564" s="3" t="s">
        <v>1662</v>
      </c>
      <c r="F1564" s="3" t="s">
        <v>1663</v>
      </c>
      <c r="G1564" s="3">
        <v>433256</v>
      </c>
      <c r="H1564" s="7" t="str">
        <f>HYPERLINK("http://www.ensembl.org/Mus_musculus/Gene/Summary?db=core;g=ENSMUSG00000024981","ENSMUSG00000024981")</f>
        <v>ENSMUSG00000024981</v>
      </c>
      <c r="I1564" s="7" t="str">
        <f>HYPERLINK("http://www.informatics.jax.org/marker/MGI:1919129","MGI:1919129")</f>
        <v>MGI:1919129</v>
      </c>
      <c r="J1564" s="4" t="s">
        <v>12</v>
      </c>
    </row>
    <row r="1565" spans="1:10" x14ac:dyDescent="0.25">
      <c r="A1565" s="2">
        <v>49.695609074716202</v>
      </c>
      <c r="B1565" s="3">
        <v>0.57515362158461603</v>
      </c>
      <c r="C1565" s="3">
        <v>3.2558628705109602E-2</v>
      </c>
      <c r="D1565" s="4">
        <v>7.9042017781277105E-2</v>
      </c>
      <c r="E1565" s="3" t="s">
        <v>12543</v>
      </c>
      <c r="F1565" s="3" t="s">
        <v>12544</v>
      </c>
      <c r="G1565" s="3">
        <v>380839</v>
      </c>
      <c r="H1565" s="7" t="str">
        <f>HYPERLINK("http://www.ensembl.org/Mus_musculus/Gene/Summary?db=core;g=ENSMUSG00000079049","ENSMUSG00000079049")</f>
        <v>ENSMUSG00000079049</v>
      </c>
      <c r="I1565" s="7" t="str">
        <f>HYPERLINK("http://www.informatics.jax.org/marker/MGI:2445363","MGI:2445363")</f>
        <v>MGI:2445363</v>
      </c>
      <c r="J1565" s="4" t="s">
        <v>12</v>
      </c>
    </row>
    <row r="1566" spans="1:10" x14ac:dyDescent="0.25">
      <c r="A1566" s="2">
        <v>24.198498529633</v>
      </c>
      <c r="B1566" s="3">
        <v>0.57487621595026905</v>
      </c>
      <c r="C1566" s="3">
        <v>2.6787879030217399E-2</v>
      </c>
      <c r="D1566" s="4">
        <v>6.6630686447786996E-2</v>
      </c>
      <c r="E1566" s="3" t="s">
        <v>9521</v>
      </c>
      <c r="F1566" s="3" t="s">
        <v>9522</v>
      </c>
      <c r="G1566" s="3">
        <v>319164</v>
      </c>
      <c r="H1566" s="7" t="str">
        <f>HYPERLINK("http://www.ensembl.org/Mus_musculus/Gene/Summary?db=core;g=ENSMUSG00000069270","ENSMUSG00000069270")</f>
        <v>ENSMUSG00000069270</v>
      </c>
      <c r="I1566" s="7" t="str">
        <f>HYPERLINK("http://www.informatics.jax.org/marker/MGI:2448287","MGI:2448287")</f>
        <v>MGI:2448287</v>
      </c>
      <c r="J1566" s="4" t="s">
        <v>12</v>
      </c>
    </row>
    <row r="1567" spans="1:10" x14ac:dyDescent="0.25">
      <c r="A1567" s="2">
        <v>3022.9589369123</v>
      </c>
      <c r="B1567" s="3">
        <v>0.57389980772981797</v>
      </c>
      <c r="C1567" s="5">
        <v>1.1260110040114001E-15</v>
      </c>
      <c r="D1567" s="6">
        <v>1.38239670375016E-14</v>
      </c>
      <c r="E1567" s="3" t="s">
        <v>4431</v>
      </c>
      <c r="F1567" s="3" t="s">
        <v>4432</v>
      </c>
      <c r="G1567" s="3">
        <v>226977</v>
      </c>
      <c r="H1567" s="7" t="str">
        <f>HYPERLINK("http://www.ensembl.org/Mus_musculus/Gene/Summary?db=core;g=ENSMUSG00000037351","ENSMUSG00000037351")</f>
        <v>ENSMUSG00000037351</v>
      </c>
      <c r="I1567" s="7" t="str">
        <f>HYPERLINK("http://www.informatics.jax.org/marker/MGI:1917446","MGI:1917446")</f>
        <v>MGI:1917446</v>
      </c>
      <c r="J1567" s="4" t="s">
        <v>12</v>
      </c>
    </row>
    <row r="1568" spans="1:10" x14ac:dyDescent="0.25">
      <c r="A1568" s="2">
        <v>1599.0677459808301</v>
      </c>
      <c r="B1568" s="3">
        <v>0.57234121387157999</v>
      </c>
      <c r="C1568" s="5">
        <v>2.61113668265378E-45</v>
      </c>
      <c r="D1568" s="6">
        <v>1.1015732879945601E-43</v>
      </c>
      <c r="E1568" s="3" t="s">
        <v>1238</v>
      </c>
      <c r="F1568" s="3" t="s">
        <v>1239</v>
      </c>
      <c r="G1568" s="3">
        <v>13383</v>
      </c>
      <c r="H1568" s="7" t="str">
        <f>HYPERLINK("http://www.ensembl.org/Mus_musculus/Gene/Summary?db=core;g=ENSMUSG00000022770","ENSMUSG00000022770")</f>
        <v>ENSMUSG00000022770</v>
      </c>
      <c r="I1568" s="7" t="str">
        <f>HYPERLINK("http://www.informatics.jax.org/marker/MGI:107231","MGI:107231")</f>
        <v>MGI:107231</v>
      </c>
      <c r="J1568" s="4" t="s">
        <v>12</v>
      </c>
    </row>
    <row r="1569" spans="1:10" x14ac:dyDescent="0.25">
      <c r="A1569" s="2">
        <v>384.96381823682401</v>
      </c>
      <c r="B1569" s="3">
        <v>0.57141599851474101</v>
      </c>
      <c r="C1569" s="5">
        <v>1.28836560165447E-8</v>
      </c>
      <c r="D1569" s="6">
        <v>8.8907470996412794E-8</v>
      </c>
      <c r="E1569" s="3" t="s">
        <v>9937</v>
      </c>
      <c r="F1569" s="3" t="s">
        <v>9938</v>
      </c>
      <c r="G1569" s="3">
        <v>57267</v>
      </c>
      <c r="H1569" s="7" t="str">
        <f>HYPERLINK("http://www.ensembl.org/Mus_musculus/Gene/Summary?db=core;g=ENSMUSG00000004931","ENSMUSG00000004931")</f>
        <v>ENSMUSG00000004931</v>
      </c>
      <c r="I1569" s="7" t="str">
        <f>HYPERLINK("http://www.informatics.jax.org/marker/MGI:1888527","MGI:1888527")</f>
        <v>MGI:1888527</v>
      </c>
      <c r="J1569" s="4" t="s">
        <v>12</v>
      </c>
    </row>
    <row r="1570" spans="1:10" x14ac:dyDescent="0.25">
      <c r="A1570" s="2">
        <v>952.26968226917404</v>
      </c>
      <c r="B1570" s="3">
        <v>0.57013964777221404</v>
      </c>
      <c r="C1570" s="5">
        <v>1.218920448149E-11</v>
      </c>
      <c r="D1570" s="6">
        <v>1.12480127430458E-10</v>
      </c>
      <c r="E1570" s="3" t="s">
        <v>2497</v>
      </c>
      <c r="F1570" s="3" t="s">
        <v>2498</v>
      </c>
      <c r="G1570" s="3">
        <v>67712</v>
      </c>
      <c r="H1570" s="7" t="str">
        <f>HYPERLINK("http://www.ensembl.org/Mus_musculus/Gene/Summary?db=core;g=ENSMUSG00000034248","ENSMUSG00000034248")</f>
        <v>ENSMUSG00000034248</v>
      </c>
      <c r="I1570" s="7" t="str">
        <f>HYPERLINK("http://www.informatics.jax.org/marker/MGI:1914962","MGI:1914962")</f>
        <v>MGI:1914962</v>
      </c>
      <c r="J1570" s="4" t="s">
        <v>12</v>
      </c>
    </row>
    <row r="1571" spans="1:10" x14ac:dyDescent="0.25">
      <c r="A1571" s="2">
        <v>1.61639833615949</v>
      </c>
      <c r="B1571" s="3">
        <v>0.56983922041217205</v>
      </c>
      <c r="C1571" s="3">
        <v>0.225715553164651</v>
      </c>
      <c r="D1571" s="4">
        <v>0.38456258356789502</v>
      </c>
      <c r="E1571" s="3" t="s">
        <v>13005</v>
      </c>
      <c r="F1571" s="3" t="s">
        <v>13006</v>
      </c>
      <c r="G1571" s="3">
        <v>15458</v>
      </c>
      <c r="H1571" s="7" t="str">
        <f>HYPERLINK("http://www.ensembl.org/Mus_musculus/Gene/Summary?db=core;g=ENSMUSG00000030895","ENSMUSG00000030895")</f>
        <v>ENSMUSG00000030895</v>
      </c>
      <c r="I1571" s="7" t="str">
        <f>HYPERLINK("http://www.informatics.jax.org/marker/MGI:105112","MGI:105112")</f>
        <v>MGI:105112</v>
      </c>
      <c r="J1571" s="4" t="s">
        <v>12</v>
      </c>
    </row>
    <row r="1572" spans="1:10" x14ac:dyDescent="0.25">
      <c r="A1572" s="2">
        <v>2060.5668355978601</v>
      </c>
      <c r="B1572" s="3">
        <v>0.56952692653365999</v>
      </c>
      <c r="C1572" s="5">
        <v>5.2347044778843502E-10</v>
      </c>
      <c r="D1572" s="6">
        <v>4.1879933761827202E-9</v>
      </c>
      <c r="E1572" s="3" t="s">
        <v>4927</v>
      </c>
      <c r="F1572" s="3" t="s">
        <v>4928</v>
      </c>
      <c r="G1572" s="3">
        <v>52440</v>
      </c>
      <c r="H1572" s="7" t="str">
        <f>HYPERLINK("http://www.ensembl.org/Mus_musculus/Gene/Summary?db=core;g=ENSMUSG00000004535","ENSMUSG00000004535")</f>
        <v>ENSMUSG00000004535</v>
      </c>
      <c r="I1572" s="7" t="str">
        <f>HYPERLINK("http://www.informatics.jax.org/marker/MGI:1289308","MGI:1289308")</f>
        <v>MGI:1289308</v>
      </c>
      <c r="J1572" s="4" t="s">
        <v>12</v>
      </c>
    </row>
    <row r="1573" spans="1:10" x14ac:dyDescent="0.25">
      <c r="A1573" s="2">
        <v>79.339317335033599</v>
      </c>
      <c r="B1573" s="3">
        <v>0.56952292578846997</v>
      </c>
      <c r="C1573" s="3">
        <v>5.6793995452574604E-4</v>
      </c>
      <c r="D1573" s="4">
        <v>2.0918968616070602E-3</v>
      </c>
      <c r="E1573" s="3" t="s">
        <v>8473</v>
      </c>
      <c r="F1573" s="3" t="s">
        <v>8474</v>
      </c>
      <c r="G1573" s="3">
        <v>106052</v>
      </c>
      <c r="H1573" s="7" t="str">
        <f>HYPERLINK("http://www.ensembl.org/Mus_musculus/Gene/Summary?db=core;g=ENSMUSG00000022184","ENSMUSG00000022184")</f>
        <v>ENSMUSG00000022184</v>
      </c>
      <c r="I1573" s="7" t="str">
        <f>HYPERLINK("http://www.informatics.jax.org/marker/MGI:2146220","MGI:2146220")</f>
        <v>MGI:2146220</v>
      </c>
      <c r="J1573" s="4" t="s">
        <v>12</v>
      </c>
    </row>
    <row r="1574" spans="1:10" x14ac:dyDescent="0.25">
      <c r="A1574" s="2">
        <v>327.051974319453</v>
      </c>
      <c r="B1574" s="3">
        <v>0.569200650689622</v>
      </c>
      <c r="C1574" s="5">
        <v>1.0183648141921999E-6</v>
      </c>
      <c r="D1574" s="6">
        <v>5.6601703991012301E-6</v>
      </c>
      <c r="E1574" s="3" t="s">
        <v>5625</v>
      </c>
      <c r="F1574" s="3" t="s">
        <v>5626</v>
      </c>
      <c r="G1574" s="3">
        <v>211329</v>
      </c>
      <c r="H1574" s="7" t="str">
        <f>HYPERLINK("http://www.ensembl.org/Mus_musculus/Gene/Summary?db=core;g=ENSMUSG00000039697","ENSMUSG00000039697")</f>
        <v>ENSMUSG00000039697</v>
      </c>
      <c r="I1574" s="7" t="str">
        <f>HYPERLINK("http://www.informatics.jax.org/marker/MGI:2444847","MGI:2444847")</f>
        <v>MGI:2444847</v>
      </c>
      <c r="J1574" s="4" t="s">
        <v>12</v>
      </c>
    </row>
    <row r="1575" spans="1:10" x14ac:dyDescent="0.25">
      <c r="A1575" s="2">
        <v>549.62407963545604</v>
      </c>
      <c r="B1575" s="3">
        <v>0.568928251274335</v>
      </c>
      <c r="C1575" s="5">
        <v>1.4981841043495499E-13</v>
      </c>
      <c r="D1575" s="6">
        <v>1.60803329221263E-12</v>
      </c>
      <c r="E1575" s="3" t="s">
        <v>2926</v>
      </c>
      <c r="F1575" s="3" t="s">
        <v>2927</v>
      </c>
      <c r="G1575" s="3">
        <v>29864</v>
      </c>
      <c r="H1575" s="7" t="str">
        <f>HYPERLINK("http://www.ensembl.org/Mus_musculus/Gene/Summary?db=core;g=ENSMUSG00000028557","ENSMUSG00000028557")</f>
        <v>ENSMUSG00000028557</v>
      </c>
      <c r="I1575" s="7" t="str">
        <f>HYPERLINK("http://www.informatics.jax.org/marker/MGI:1352759","MGI:1352759")</f>
        <v>MGI:1352759</v>
      </c>
      <c r="J1575" s="4" t="s">
        <v>12</v>
      </c>
    </row>
    <row r="1576" spans="1:10" x14ac:dyDescent="0.25">
      <c r="A1576" s="2">
        <v>4.3643887420715197</v>
      </c>
      <c r="B1576" s="3">
        <v>0.56853695189228004</v>
      </c>
      <c r="C1576" s="3">
        <v>0.185367272952697</v>
      </c>
      <c r="D1576" s="4">
        <v>0.33185840368987302</v>
      </c>
      <c r="E1576" s="3" t="s">
        <v>13595</v>
      </c>
      <c r="F1576" s="3" t="s">
        <v>13596</v>
      </c>
      <c r="G1576" s="3" t="s">
        <v>83</v>
      </c>
      <c r="H1576" s="7" t="str">
        <f>HYPERLINK("http://www.ensembl.org/Mus_musculus/Gene/Summary?db=core;g=ENSMUSG00000107374","ENSMUSG00000107374")</f>
        <v>ENSMUSG00000107374</v>
      </c>
      <c r="I1576" s="7" t="str">
        <f>HYPERLINK("http://www.informatics.jax.org/marker/MGI:5663309","MGI:5663309")</f>
        <v>MGI:5663309</v>
      </c>
      <c r="J1576" s="4" t="s">
        <v>1828</v>
      </c>
    </row>
    <row r="1577" spans="1:10" x14ac:dyDescent="0.25">
      <c r="A1577" s="2">
        <v>1513.4308506070699</v>
      </c>
      <c r="B1577" s="3">
        <v>0.56801450201848502</v>
      </c>
      <c r="C1577" s="5">
        <v>2.9110921514042698E-12</v>
      </c>
      <c r="D1577" s="6">
        <v>2.81905709135721E-11</v>
      </c>
      <c r="E1577" s="3" t="s">
        <v>3410</v>
      </c>
      <c r="F1577" s="3" t="s">
        <v>3411</v>
      </c>
      <c r="G1577" s="3">
        <v>15239</v>
      </c>
      <c r="H1577" s="7" t="str">
        <f>HYPERLINK("http://www.ensembl.org/Mus_musculus/Gene/Summary?db=core;g=ENSMUSG00000025793","ENSMUSG00000025793")</f>
        <v>ENSMUSG00000025793</v>
      </c>
      <c r="I1577" s="7" t="str">
        <f>HYPERLINK("http://www.informatics.jax.org/marker/MGI:104681","MGI:104681")</f>
        <v>MGI:104681</v>
      </c>
      <c r="J1577" s="4" t="s">
        <v>12</v>
      </c>
    </row>
    <row r="1578" spans="1:10" x14ac:dyDescent="0.25">
      <c r="A1578" s="2">
        <v>474.36472955780101</v>
      </c>
      <c r="B1578" s="3">
        <v>0.56773375132661197</v>
      </c>
      <c r="C1578" s="5">
        <v>3.5237941628560199E-12</v>
      </c>
      <c r="D1578" s="6">
        <v>3.3979443713254497E-11</v>
      </c>
      <c r="E1578" s="3" t="s">
        <v>4207</v>
      </c>
      <c r="F1578" s="3" t="s">
        <v>4208</v>
      </c>
      <c r="G1578" s="3">
        <v>12050</v>
      </c>
      <c r="H1578" s="7" t="str">
        <f>HYPERLINK("http://www.ensembl.org/Mus_musculus/Gene/Summary?db=core;g=ENSMUSG00000089682","ENSMUSG00000089682")</f>
        <v>ENSMUSG00000089682</v>
      </c>
      <c r="I1578" s="7" t="str">
        <f>HYPERLINK("http://www.informatics.jax.org/marker/MGI:108052","MGI:108052")</f>
        <v>MGI:108052</v>
      </c>
      <c r="J1578" s="4" t="s">
        <v>12</v>
      </c>
    </row>
    <row r="1579" spans="1:10" x14ac:dyDescent="0.25">
      <c r="A1579" s="2">
        <v>2531.08729511314</v>
      </c>
      <c r="B1579" s="3">
        <v>0.567574730527448</v>
      </c>
      <c r="C1579" s="5">
        <v>3.5579007851541001E-10</v>
      </c>
      <c r="D1579" s="6">
        <v>2.89605814244902E-9</v>
      </c>
      <c r="E1579" s="3" t="s">
        <v>7492</v>
      </c>
      <c r="F1579" s="3" t="s">
        <v>7493</v>
      </c>
      <c r="G1579" s="3">
        <v>72318</v>
      </c>
      <c r="H1579" s="7" t="str">
        <f>HYPERLINK("http://www.ensembl.org/Mus_musculus/Gene/Summary?db=core;g=ENSMUSG00000018008","ENSMUSG00000018008")</f>
        <v>ENSMUSG00000018008</v>
      </c>
      <c r="I1579" s="7" t="str">
        <f>HYPERLINK("http://www.informatics.jax.org/marker/MGI:2441702","MGI:2441702")</f>
        <v>MGI:2441702</v>
      </c>
      <c r="J1579" s="4" t="s">
        <v>12</v>
      </c>
    </row>
    <row r="1580" spans="1:10" x14ac:dyDescent="0.25">
      <c r="A1580" s="2">
        <v>73.9466091985623</v>
      </c>
      <c r="B1580" s="3">
        <v>0.56677134589137301</v>
      </c>
      <c r="C1580" s="3">
        <v>6.5776633840244696E-4</v>
      </c>
      <c r="D1580" s="4">
        <v>2.3903871420507699E-3</v>
      </c>
      <c r="E1580" s="3" t="s">
        <v>12661</v>
      </c>
      <c r="F1580" s="3" t="s">
        <v>12662</v>
      </c>
      <c r="G1580" s="3">
        <v>11858</v>
      </c>
      <c r="H1580" s="7" t="str">
        <f>HYPERLINK("http://www.ensembl.org/Mus_musculus/Gene/Summary?db=core;g=ENSMUSG00000001313","ENSMUSG00000001313")</f>
        <v>ENSMUSG00000001313</v>
      </c>
      <c r="I1580" s="7" t="str">
        <f>HYPERLINK("http://www.informatics.jax.org/marker/MGI:1338755","MGI:1338755")</f>
        <v>MGI:1338755</v>
      </c>
      <c r="J1580" s="4" t="s">
        <v>12</v>
      </c>
    </row>
    <row r="1581" spans="1:10" x14ac:dyDescent="0.25">
      <c r="A1581" s="2">
        <v>3247.5544883678699</v>
      </c>
      <c r="B1581" s="3">
        <v>0.56675511588851202</v>
      </c>
      <c r="C1581" s="5">
        <v>2.0637808276277499E-28</v>
      </c>
      <c r="D1581" s="6">
        <v>4.7975007121831201E-27</v>
      </c>
      <c r="E1581" s="3" t="s">
        <v>2275</v>
      </c>
      <c r="F1581" s="3" t="s">
        <v>2276</v>
      </c>
      <c r="G1581" s="3">
        <v>11984</v>
      </c>
      <c r="H1581" s="7" t="str">
        <f>HYPERLINK("http://www.ensembl.org/Mus_musculus/Gene/Summary?db=core;g=ENSMUSG00000024121","ENSMUSG00000024121")</f>
        <v>ENSMUSG00000024121</v>
      </c>
      <c r="I1581" s="7" t="str">
        <f>HYPERLINK("http://www.informatics.jax.org/marker/MGI:88116","MGI:88116")</f>
        <v>MGI:88116</v>
      </c>
      <c r="J1581" s="4" t="s">
        <v>12</v>
      </c>
    </row>
    <row r="1582" spans="1:10" x14ac:dyDescent="0.25">
      <c r="A1582" s="2">
        <v>207.883998843331</v>
      </c>
      <c r="B1582" s="3">
        <v>0.56639816928213305</v>
      </c>
      <c r="C1582" s="5">
        <v>6.7966884000687697E-6</v>
      </c>
      <c r="D1582" s="6">
        <v>3.4086308775798901E-5</v>
      </c>
      <c r="E1582" s="3" t="s">
        <v>12571</v>
      </c>
      <c r="F1582" s="3" t="s">
        <v>12572</v>
      </c>
      <c r="G1582" s="3">
        <v>244421</v>
      </c>
      <c r="H1582" s="7" t="str">
        <f>HYPERLINK("http://www.ensembl.org/Mus_musculus/Gene/Summary?db=core;g=ENSMUSG00000039633","ENSMUSG00000039633")</f>
        <v>ENSMUSG00000039633</v>
      </c>
      <c r="I1582" s="7" t="str">
        <f>HYPERLINK("http://www.informatics.jax.org/marker/MGI:3609241","MGI:3609241")</f>
        <v>MGI:3609241</v>
      </c>
      <c r="J1582" s="4" t="s">
        <v>12</v>
      </c>
    </row>
    <row r="1583" spans="1:10" x14ac:dyDescent="0.25">
      <c r="A1583" s="2">
        <v>3829.1660043348402</v>
      </c>
      <c r="B1583" s="3">
        <v>0.56560349953171896</v>
      </c>
      <c r="C1583" s="5">
        <v>1.18207799834709E-17</v>
      </c>
      <c r="D1583" s="6">
        <v>1.6333109567760199E-16</v>
      </c>
      <c r="E1583" s="3" t="s">
        <v>2005</v>
      </c>
      <c r="F1583" s="3" t="s">
        <v>2006</v>
      </c>
      <c r="G1583" s="3">
        <v>75608</v>
      </c>
      <c r="H1583" s="7" t="str">
        <f>HYPERLINK("http://www.ensembl.org/Mus_musculus/Gene/Summary?db=core;g=ENSMUSG00000038467","ENSMUSG00000038467")</f>
        <v>ENSMUSG00000038467</v>
      </c>
      <c r="I1583" s="7" t="str">
        <f>HYPERLINK("http://www.informatics.jax.org/marker/MGI:1922858","MGI:1922858")</f>
        <v>MGI:1922858</v>
      </c>
      <c r="J1583" s="4" t="s">
        <v>12</v>
      </c>
    </row>
    <row r="1584" spans="1:10" x14ac:dyDescent="0.25">
      <c r="A1584" s="2">
        <v>1.90642926917946</v>
      </c>
      <c r="B1584" s="3">
        <v>0.56513090635148799</v>
      </c>
      <c r="C1584" s="3">
        <v>0.230751633288448</v>
      </c>
      <c r="D1584" s="4">
        <v>0.39094994112503201</v>
      </c>
      <c r="E1584" s="3" t="s">
        <v>12833</v>
      </c>
      <c r="F1584" s="3" t="s">
        <v>12834</v>
      </c>
      <c r="G1584" s="3">
        <v>263764</v>
      </c>
      <c r="H1584" s="7" t="str">
        <f>HYPERLINK("http://www.ensembl.org/Mus_musculus/Gene/Summary?db=core;g=ENSMUSG00000050967","ENSMUSG00000050967")</f>
        <v>ENSMUSG00000050967</v>
      </c>
      <c r="I1584" s="7" t="str">
        <f>HYPERLINK("http://www.informatics.jax.org/marker/MGI:1928333","MGI:1928333")</f>
        <v>MGI:1928333</v>
      </c>
      <c r="J1584" s="4" t="s">
        <v>12</v>
      </c>
    </row>
    <row r="1585" spans="1:10" x14ac:dyDescent="0.25">
      <c r="A1585" s="2">
        <v>315.64307885624299</v>
      </c>
      <c r="B1585" s="3">
        <v>0.56453801482888499</v>
      </c>
      <c r="C1585" s="5">
        <v>1.67314678457302E-8</v>
      </c>
      <c r="D1585" s="6">
        <v>1.1373778496398101E-7</v>
      </c>
      <c r="E1585" s="3" t="s">
        <v>1528</v>
      </c>
      <c r="F1585" s="3" t="s">
        <v>1529</v>
      </c>
      <c r="G1585" s="3">
        <v>245666</v>
      </c>
      <c r="H1585" s="7" t="str">
        <f>HYPERLINK("http://www.ensembl.org/Mus_musculus/Gene/Summary?db=core;g=ENSMUSG00000041115","ENSMUSG00000041115")</f>
        <v>ENSMUSG00000041115</v>
      </c>
      <c r="I1585" s="7" t="str">
        <f>HYPERLINK("http://www.informatics.jax.org/marker/MGI:3528396","MGI:3528396")</f>
        <v>MGI:3528396</v>
      </c>
      <c r="J1585" s="4" t="s">
        <v>12</v>
      </c>
    </row>
    <row r="1586" spans="1:10" x14ac:dyDescent="0.25">
      <c r="A1586" s="2">
        <v>46.197412531802499</v>
      </c>
      <c r="B1586" s="3">
        <v>0.563835809356524</v>
      </c>
      <c r="C1586" s="3">
        <v>4.8551482756317502E-2</v>
      </c>
      <c r="D1586" s="4">
        <v>0.111456200180613</v>
      </c>
      <c r="E1586" s="3" t="s">
        <v>12623</v>
      </c>
      <c r="F1586" s="3" t="s">
        <v>12624</v>
      </c>
      <c r="G1586" s="3" t="s">
        <v>83</v>
      </c>
      <c r="H1586" s="7" t="str">
        <f>HYPERLINK("http://www.ensembl.org/Mus_musculus/Gene/Summary?db=core;g=ENSMUSG00000070392","ENSMUSG00000070392")</f>
        <v>ENSMUSG00000070392</v>
      </c>
      <c r="I1586" s="7" t="str">
        <f>HYPERLINK("http://www.informatics.jax.org/marker/MGI:5313081","MGI:5313081")</f>
        <v>MGI:5313081</v>
      </c>
      <c r="J1586" s="4" t="s">
        <v>331</v>
      </c>
    </row>
    <row r="1587" spans="1:10" x14ac:dyDescent="0.25">
      <c r="A1587" s="2">
        <v>1031.75482659883</v>
      </c>
      <c r="B1587" s="3">
        <v>0.56273619481304105</v>
      </c>
      <c r="C1587" s="5">
        <v>6.4940405911413102E-18</v>
      </c>
      <c r="D1587" s="6">
        <v>9.0971475613797406E-17</v>
      </c>
      <c r="E1587" s="3" t="s">
        <v>8141</v>
      </c>
      <c r="F1587" s="3" t="s">
        <v>8142</v>
      </c>
      <c r="G1587" s="3">
        <v>71375</v>
      </c>
      <c r="H1587" s="7" t="str">
        <f>HYPERLINK("http://www.ensembl.org/Mus_musculus/Gene/Summary?db=core;g=ENSMUSG00000033713","ENSMUSG00000033713")</f>
        <v>ENSMUSG00000033713</v>
      </c>
      <c r="I1587" s="7" t="str">
        <f>HYPERLINK("http://www.informatics.jax.org/marker/MGI:1918625","MGI:1918625")</f>
        <v>MGI:1918625</v>
      </c>
      <c r="J1587" s="4" t="s">
        <v>12</v>
      </c>
    </row>
    <row r="1588" spans="1:10" x14ac:dyDescent="0.25">
      <c r="A1588" s="2">
        <v>5914.8214110178997</v>
      </c>
      <c r="B1588" s="3">
        <v>0.56203524169999597</v>
      </c>
      <c r="C1588" s="5">
        <v>1.7630192136198202E-21</v>
      </c>
      <c r="D1588" s="6">
        <v>2.9695956717394797E-20</v>
      </c>
      <c r="E1588" s="3" t="s">
        <v>1945</v>
      </c>
      <c r="F1588" s="3" t="s">
        <v>1946</v>
      </c>
      <c r="G1588" s="3">
        <v>74117</v>
      </c>
      <c r="H1588" s="7" t="str">
        <f>HYPERLINK("http://www.ensembl.org/Mus_musculus/Gene/Summary?db=core;g=ENSMUSG00000026341","ENSMUSG00000026341")</f>
        <v>ENSMUSG00000026341</v>
      </c>
      <c r="I1588" s="7" t="str">
        <f>HYPERLINK("http://www.informatics.jax.org/marker/MGI:1921367","MGI:1921367")</f>
        <v>MGI:1921367</v>
      </c>
      <c r="J1588" s="4" t="s">
        <v>12</v>
      </c>
    </row>
    <row r="1589" spans="1:10" x14ac:dyDescent="0.25">
      <c r="A1589" s="2">
        <v>783.84929841152302</v>
      </c>
      <c r="B1589" s="3">
        <v>0.56181481221702601</v>
      </c>
      <c r="C1589" s="5">
        <v>1.6290298064334099E-19</v>
      </c>
      <c r="D1589" s="6">
        <v>2.4720289943587699E-18</v>
      </c>
      <c r="E1589" s="3" t="s">
        <v>1536</v>
      </c>
      <c r="F1589" s="3" t="s">
        <v>1537</v>
      </c>
      <c r="G1589" s="3">
        <v>230734</v>
      </c>
      <c r="H1589" s="7" t="str">
        <f>HYPERLINK("http://www.ensembl.org/Mus_musculus/Gene/Summary?db=core;g=ENSMUSG00000028889","ENSMUSG00000028889")</f>
        <v>ENSMUSG00000028889</v>
      </c>
      <c r="I1589" s="7" t="str">
        <f>HYPERLINK("http://www.informatics.jax.org/marker/MGI:2387201","MGI:2387201")</f>
        <v>MGI:2387201</v>
      </c>
      <c r="J1589" s="4" t="s">
        <v>12</v>
      </c>
    </row>
    <row r="1590" spans="1:10" x14ac:dyDescent="0.25">
      <c r="A1590" s="2">
        <v>1963.92005459297</v>
      </c>
      <c r="B1590" s="3">
        <v>0.56158449538813404</v>
      </c>
      <c r="C1590" s="5">
        <v>6.6775525000361203E-12</v>
      </c>
      <c r="D1590" s="6">
        <v>6.2893227035223894E-11</v>
      </c>
      <c r="E1590" s="3" t="s">
        <v>4867</v>
      </c>
      <c r="F1590" s="3" t="s">
        <v>4868</v>
      </c>
      <c r="G1590" s="3">
        <v>234595</v>
      </c>
      <c r="H1590" s="7" t="str">
        <f>HYPERLINK("http://www.ensembl.org/Mus_musculus/Gene/Summary?db=core;g=ENSMUSG00000036534","ENSMUSG00000036534")</f>
        <v>ENSMUSG00000036534</v>
      </c>
      <c r="I1590" s="7" t="str">
        <f>HYPERLINK("http://www.informatics.jax.org/marker/MGI:2679005","MGI:2679005")</f>
        <v>MGI:2679005</v>
      </c>
      <c r="J1590" s="4" t="s">
        <v>12</v>
      </c>
    </row>
    <row r="1591" spans="1:10" x14ac:dyDescent="0.25">
      <c r="A1591" s="2">
        <v>1317.2576169429501</v>
      </c>
      <c r="B1591" s="3">
        <v>0.56045978577476396</v>
      </c>
      <c r="C1591" s="5">
        <v>2.8879027877496398E-17</v>
      </c>
      <c r="D1591" s="6">
        <v>3.8986687634620098E-16</v>
      </c>
      <c r="E1591" s="3" t="s">
        <v>2557</v>
      </c>
      <c r="F1591" s="3" t="s">
        <v>2558</v>
      </c>
      <c r="G1591" s="3">
        <v>330177</v>
      </c>
      <c r="H1591" s="7" t="str">
        <f>HYPERLINK("http://www.ensembl.org/Mus_musculus/Gene/Summary?db=core;g=ENSMUSG00000061288","ENSMUSG00000061288")</f>
        <v>ENSMUSG00000061288</v>
      </c>
      <c r="I1591" s="7" t="str">
        <f>HYPERLINK("http://www.informatics.jax.org/marker/MGI:3041177","MGI:3041177")</f>
        <v>MGI:3041177</v>
      </c>
      <c r="J1591" s="4" t="s">
        <v>12</v>
      </c>
    </row>
    <row r="1592" spans="1:10" x14ac:dyDescent="0.25">
      <c r="A1592" s="2">
        <v>689.77451961394604</v>
      </c>
      <c r="B1592" s="3">
        <v>0.56029545866513597</v>
      </c>
      <c r="C1592" s="5">
        <v>7.2379748040923701E-13</v>
      </c>
      <c r="D1592" s="6">
        <v>7.4358563024004099E-12</v>
      </c>
      <c r="E1592" s="3" t="s">
        <v>5321</v>
      </c>
      <c r="F1592" s="3" t="s">
        <v>5322</v>
      </c>
      <c r="G1592" s="3">
        <v>229731</v>
      </c>
      <c r="H1592" s="7" t="str">
        <f>HYPERLINK("http://www.ensembl.org/Mus_musculus/Gene/Summary?db=core;g=ENSMUSG00000040322","ENSMUSG00000040322")</f>
        <v>ENSMUSG00000040322</v>
      </c>
      <c r="I1592" s="7" t="str">
        <f>HYPERLINK("http://www.informatics.jax.org/marker/MGI:1917160","MGI:1917160")</f>
        <v>MGI:1917160</v>
      </c>
      <c r="J1592" s="4" t="s">
        <v>12</v>
      </c>
    </row>
    <row r="1593" spans="1:10" x14ac:dyDescent="0.25">
      <c r="A1593" s="2">
        <v>523.89162417198497</v>
      </c>
      <c r="B1593" s="3">
        <v>0.56008159013939196</v>
      </c>
      <c r="C1593" s="5">
        <v>9.4436316872666398E-9</v>
      </c>
      <c r="D1593" s="6">
        <v>6.59931700538476E-8</v>
      </c>
      <c r="E1593" s="3" t="s">
        <v>9221</v>
      </c>
      <c r="F1593" s="3" t="s">
        <v>9222</v>
      </c>
      <c r="G1593" s="3">
        <v>57896</v>
      </c>
      <c r="H1593" s="7" t="str">
        <f>HYPERLINK("http://www.ensembl.org/Mus_musculus/Gene/Summary?db=core;g=ENSMUSG00000053012","ENSMUSG00000053012")</f>
        <v>ENSMUSG00000053012</v>
      </c>
      <c r="I1593" s="7" t="str">
        <f>HYPERLINK("http://www.informatics.jax.org/marker/MGI:1889377","MGI:1889377")</f>
        <v>MGI:1889377</v>
      </c>
      <c r="J1593" s="4" t="s">
        <v>12</v>
      </c>
    </row>
    <row r="1594" spans="1:10" x14ac:dyDescent="0.25">
      <c r="A1594" s="2">
        <v>616.554209636466</v>
      </c>
      <c r="B1594" s="3">
        <v>0.55999904759708596</v>
      </c>
      <c r="C1594" s="5">
        <v>6.3526396728829199E-18</v>
      </c>
      <c r="D1594" s="6">
        <v>8.9196346716711304E-17</v>
      </c>
      <c r="E1594" s="3" t="s">
        <v>3966</v>
      </c>
      <c r="F1594" s="3" t="s">
        <v>3967</v>
      </c>
      <c r="G1594" s="3">
        <v>320351</v>
      </c>
      <c r="H1594" s="7" t="str">
        <f>HYPERLINK("http://www.ensembl.org/Mus_musculus/Gene/Summary?db=core;g=ENSMUSG00000046675","ENSMUSG00000046675")</f>
        <v>ENSMUSG00000046675</v>
      </c>
      <c r="I1594" s="7" t="str">
        <f>HYPERLINK("http://www.informatics.jax.org/marker/MGI:2443862","MGI:2443862")</f>
        <v>MGI:2443862</v>
      </c>
      <c r="J1594" s="4" t="s">
        <v>12</v>
      </c>
    </row>
    <row r="1595" spans="1:10" x14ac:dyDescent="0.25">
      <c r="A1595" s="2">
        <v>233.03932742811</v>
      </c>
      <c r="B1595" s="3">
        <v>0.55997776711107505</v>
      </c>
      <c r="C1595" s="5">
        <v>7.4745733639674303E-8</v>
      </c>
      <c r="D1595" s="6">
        <v>4.7332904641524101E-7</v>
      </c>
      <c r="E1595" s="3" t="s">
        <v>7594</v>
      </c>
      <c r="F1595" s="3" t="s">
        <v>7595</v>
      </c>
      <c r="G1595" s="3">
        <v>50721</v>
      </c>
      <c r="H1595" s="7" t="str">
        <f>HYPERLINK("http://www.ensembl.org/Mus_musculus/Gene/Summary?db=core;g=ENSMUSG00000034748","ENSMUSG00000034748")</f>
        <v>ENSMUSG00000034748</v>
      </c>
      <c r="I1595" s="7" t="str">
        <f>HYPERLINK("http://www.informatics.jax.org/marker/MGI:1354161","MGI:1354161")</f>
        <v>MGI:1354161</v>
      </c>
      <c r="J1595" s="4" t="s">
        <v>12</v>
      </c>
    </row>
    <row r="1596" spans="1:10" x14ac:dyDescent="0.25">
      <c r="A1596" s="2">
        <v>256.90030522234798</v>
      </c>
      <c r="B1596" s="3">
        <v>0.55960860323285699</v>
      </c>
      <c r="C1596" s="5">
        <v>4.9560120366256303E-7</v>
      </c>
      <c r="D1596" s="6">
        <v>2.85742864180646E-6</v>
      </c>
      <c r="E1596" s="3" t="s">
        <v>7296</v>
      </c>
      <c r="F1596" s="3" t="s">
        <v>7297</v>
      </c>
      <c r="G1596" s="3">
        <v>78581</v>
      </c>
      <c r="H1596" s="7" t="str">
        <f>HYPERLINK("http://www.ensembl.org/Mus_musculus/Gene/Summary?db=core;g=ENSMUSG00000022313","ENSMUSG00000022313")</f>
        <v>ENSMUSG00000022313</v>
      </c>
      <c r="I1596" s="7" t="str">
        <f>HYPERLINK("http://www.informatics.jax.org/marker/MGI:1925831","MGI:1925831")</f>
        <v>MGI:1925831</v>
      </c>
      <c r="J1596" s="4" t="s">
        <v>12</v>
      </c>
    </row>
    <row r="1597" spans="1:10" x14ac:dyDescent="0.25">
      <c r="A1597" s="2">
        <v>91.147839832449804</v>
      </c>
      <c r="B1597" s="3">
        <v>0.55950815227853101</v>
      </c>
      <c r="C1597" s="3">
        <v>7.2076297179849704E-4</v>
      </c>
      <c r="D1597" s="4">
        <v>2.59808250811464E-3</v>
      </c>
      <c r="E1597" s="3" t="s">
        <v>4201</v>
      </c>
      <c r="F1597" s="3" t="s">
        <v>4202</v>
      </c>
      <c r="G1597" s="3" t="s">
        <v>83</v>
      </c>
      <c r="H1597" s="7" t="str">
        <f>HYPERLINK("http://www.ensembl.org/Mus_musculus/Gene/Summary?db=core;g=ENSMUSG00000074813","ENSMUSG00000074813")</f>
        <v>ENSMUSG00000074813</v>
      </c>
      <c r="I1597" s="7" t="str">
        <f>HYPERLINK("http://www.informatics.jax.org/marker/MGI:3652191","MGI:3652191")</f>
        <v>MGI:3652191</v>
      </c>
      <c r="J1597" s="4" t="s">
        <v>939</v>
      </c>
    </row>
    <row r="1598" spans="1:10" x14ac:dyDescent="0.25">
      <c r="A1598" s="2">
        <v>1846.82502469462</v>
      </c>
      <c r="B1598" s="3">
        <v>0.55908278873322304</v>
      </c>
      <c r="C1598" s="5">
        <v>1.0395310499931101E-23</v>
      </c>
      <c r="D1598" s="6">
        <v>1.9571749365830999E-22</v>
      </c>
      <c r="E1598" s="3" t="s">
        <v>1442</v>
      </c>
      <c r="F1598" s="3" t="s">
        <v>1443</v>
      </c>
      <c r="G1598" s="3">
        <v>11308</v>
      </c>
      <c r="H1598" s="7" t="str">
        <f>HYPERLINK("http://www.ensembl.org/Mus_musculus/Gene/Summary?db=core;g=ENSMUSG00000058835","ENSMUSG00000058835")</f>
        <v>ENSMUSG00000058835</v>
      </c>
      <c r="I1598" s="7" t="str">
        <f>HYPERLINK("http://www.informatics.jax.org/marker/MGI:104913","MGI:104913")</f>
        <v>MGI:104913</v>
      </c>
      <c r="J1598" s="4" t="s">
        <v>12</v>
      </c>
    </row>
    <row r="1599" spans="1:10" x14ac:dyDescent="0.25">
      <c r="A1599" s="2">
        <v>1737.6227018761899</v>
      </c>
      <c r="B1599" s="3">
        <v>0.55870316588043101</v>
      </c>
      <c r="C1599" s="5">
        <v>4.0950625471095603E-14</v>
      </c>
      <c r="D1599" s="6">
        <v>4.5341746610614598E-13</v>
      </c>
      <c r="E1599" s="3" t="s">
        <v>3169</v>
      </c>
      <c r="F1599" s="3" t="s">
        <v>3170</v>
      </c>
      <c r="G1599" s="3">
        <v>228869</v>
      </c>
      <c r="H1599" s="7" t="str">
        <f>HYPERLINK("http://www.ensembl.org/Mus_musculus/Gene/Summary?db=core;g=ENSMUSG00000039804","ENSMUSG00000039804")</f>
        <v>ENSMUSG00000039804</v>
      </c>
      <c r="I1599" s="7" t="str">
        <f>HYPERLINK("http://www.informatics.jax.org/marker/MGI:2385165","MGI:2385165")</f>
        <v>MGI:2385165</v>
      </c>
      <c r="J1599" s="4" t="s">
        <v>12</v>
      </c>
    </row>
    <row r="1600" spans="1:10" x14ac:dyDescent="0.25">
      <c r="A1600" s="2">
        <v>3348.8577389687798</v>
      </c>
      <c r="B1600" s="3">
        <v>0.55840157740679797</v>
      </c>
      <c r="C1600" s="5">
        <v>1.06126857003649E-7</v>
      </c>
      <c r="D1600" s="6">
        <v>6.6238423592174696E-7</v>
      </c>
      <c r="E1600" s="3" t="s">
        <v>6049</v>
      </c>
      <c r="F1600" s="3" t="s">
        <v>6050</v>
      </c>
      <c r="G1600" s="3">
        <v>16790</v>
      </c>
      <c r="H1600" s="7" t="str">
        <f>HYPERLINK("http://www.ensembl.org/Mus_musculus/Gene/Summary?db=core;g=ENSMUSG00000039062","ENSMUSG00000039062")</f>
        <v>ENSMUSG00000039062</v>
      </c>
      <c r="I1600" s="7" t="str">
        <f>HYPERLINK("http://www.informatics.jax.org/marker/MGI:5000466","MGI:5000466")</f>
        <v>MGI:5000466</v>
      </c>
      <c r="J1600" s="4" t="s">
        <v>12</v>
      </c>
    </row>
    <row r="1601" spans="1:10" x14ac:dyDescent="0.25">
      <c r="A1601" s="2">
        <v>989.68700930578302</v>
      </c>
      <c r="B1601" s="3">
        <v>0.55748630723807302</v>
      </c>
      <c r="C1601" s="5">
        <v>1.9569929541722199E-14</v>
      </c>
      <c r="D1601" s="6">
        <v>2.21666852640079E-13</v>
      </c>
      <c r="E1601" s="3" t="s">
        <v>1913</v>
      </c>
      <c r="F1601" s="3" t="s">
        <v>1914</v>
      </c>
      <c r="G1601" s="3">
        <v>107684</v>
      </c>
      <c r="H1601" s="7" t="str">
        <f>HYPERLINK("http://www.ensembl.org/Mus_musculus/Gene/Summary?db=core;g=ENSMUSG00000028337","ENSMUSG00000028337")</f>
        <v>ENSMUSG00000028337</v>
      </c>
      <c r="I1601" s="7" t="str">
        <f>HYPERLINK("http://www.informatics.jax.org/marker/MGI:1345966","MGI:1345966")</f>
        <v>MGI:1345966</v>
      </c>
      <c r="J1601" s="4" t="s">
        <v>12</v>
      </c>
    </row>
    <row r="1602" spans="1:10" x14ac:dyDescent="0.25">
      <c r="A1602" s="2">
        <v>2325.1779465030299</v>
      </c>
      <c r="B1602" s="3">
        <v>0.55736374656142496</v>
      </c>
      <c r="C1602" s="5">
        <v>1.74942778385195E-9</v>
      </c>
      <c r="D1602" s="6">
        <v>1.32405819604243E-8</v>
      </c>
      <c r="E1602" s="3" t="s">
        <v>3580</v>
      </c>
      <c r="F1602" s="3" t="s">
        <v>3581</v>
      </c>
      <c r="G1602" s="3">
        <v>20454</v>
      </c>
      <c r="H1602" s="7" t="str">
        <f>HYPERLINK("http://www.ensembl.org/Mus_musculus/Gene/Summary?db=core;g=ENSMUSG00000056091","ENSMUSG00000056091")</f>
        <v>ENSMUSG00000056091</v>
      </c>
      <c r="I1602" s="7" t="str">
        <f>HYPERLINK("http://www.informatics.jax.org/marker/MGI:1339963","MGI:1339963")</f>
        <v>MGI:1339963</v>
      </c>
      <c r="J1602" s="4" t="s">
        <v>12</v>
      </c>
    </row>
    <row r="1603" spans="1:10" x14ac:dyDescent="0.25">
      <c r="A1603" s="2">
        <v>986.13697820767402</v>
      </c>
      <c r="B1603" s="3">
        <v>0.55729679413880295</v>
      </c>
      <c r="C1603" s="5">
        <v>6.51159324587546E-9</v>
      </c>
      <c r="D1603" s="6">
        <v>4.6302687048802297E-8</v>
      </c>
      <c r="E1603" s="3" t="s">
        <v>3792</v>
      </c>
      <c r="F1603" s="3" t="s">
        <v>3793</v>
      </c>
      <c r="G1603" s="3">
        <v>13178</v>
      </c>
      <c r="H1603" s="7" t="str">
        <f>HYPERLINK("http://www.ensembl.org/Mus_musculus/Gene/Summary?db=core;g=ENSMUSG00000029366","ENSMUSG00000029366")</f>
        <v>ENSMUSG00000029366</v>
      </c>
      <c r="I1603" s="7" t="str">
        <f>HYPERLINK("http://www.informatics.jax.org/marker/MGI:102726","MGI:102726")</f>
        <v>MGI:102726</v>
      </c>
      <c r="J1603" s="4" t="s">
        <v>12</v>
      </c>
    </row>
    <row r="1604" spans="1:10" x14ac:dyDescent="0.25">
      <c r="A1604" s="2">
        <v>1.1157161042133601</v>
      </c>
      <c r="B1604" s="3">
        <v>0.55660163373904303</v>
      </c>
      <c r="C1604" s="3">
        <v>0.18784990351366901</v>
      </c>
      <c r="D1604" s="4">
        <v>0.33531483756480002</v>
      </c>
      <c r="E1604" s="3" t="s">
        <v>12803</v>
      </c>
      <c r="F1604" s="3" t="s">
        <v>12804</v>
      </c>
      <c r="G1604" s="3">
        <v>18008</v>
      </c>
      <c r="H1604" s="7" t="str">
        <f>HYPERLINK("http://www.ensembl.org/Mus_musculus/Gene/Summary?db=core;g=ENSMUSG00000004891","ENSMUSG00000004891")</f>
        <v>ENSMUSG00000004891</v>
      </c>
      <c r="I1604" s="7" t="str">
        <f>HYPERLINK("http://www.informatics.jax.org/marker/MGI:101784","MGI:101784")</f>
        <v>MGI:101784</v>
      </c>
      <c r="J1604" s="4" t="s">
        <v>12</v>
      </c>
    </row>
    <row r="1605" spans="1:10" x14ac:dyDescent="0.25">
      <c r="A1605" s="2">
        <v>1525.8351264442499</v>
      </c>
      <c r="B1605" s="3">
        <v>0.55647203224286501</v>
      </c>
      <c r="C1605" s="5">
        <v>2.46588890838631E-24</v>
      </c>
      <c r="D1605" s="6">
        <v>4.7506157880909697E-23</v>
      </c>
      <c r="E1605" s="3" t="s">
        <v>4195</v>
      </c>
      <c r="F1605" s="3" t="s">
        <v>4196</v>
      </c>
      <c r="G1605" s="3">
        <v>71653</v>
      </c>
      <c r="H1605" s="7" t="str">
        <f>HYPERLINK("http://www.ensembl.org/Mus_musculus/Gene/Summary?db=core;g=ENSMUSG00000041362","ENSMUSG00000041362")</f>
        <v>ENSMUSG00000041362</v>
      </c>
      <c r="I1605" s="7" t="str">
        <f>HYPERLINK("http://www.informatics.jax.org/marker/MGI:1918903","MGI:1918903")</f>
        <v>MGI:1918903</v>
      </c>
      <c r="J1605" s="4" t="s">
        <v>12</v>
      </c>
    </row>
    <row r="1606" spans="1:10" x14ac:dyDescent="0.25">
      <c r="A1606" s="2">
        <v>425.85837043858902</v>
      </c>
      <c r="B1606" s="3">
        <v>0.55621795854811096</v>
      </c>
      <c r="C1606" s="5">
        <v>1.7093712461761201E-11</v>
      </c>
      <c r="D1606" s="6">
        <v>1.5615684692511201E-10</v>
      </c>
      <c r="E1606" s="3" t="s">
        <v>3748</v>
      </c>
      <c r="F1606" s="3" t="s">
        <v>3749</v>
      </c>
      <c r="G1606" s="3">
        <v>109054</v>
      </c>
      <c r="H1606" s="7" t="str">
        <f>HYPERLINK("http://www.ensembl.org/Mus_musculus/Gene/Summary?db=core;g=ENSMUSG00000052033","ENSMUSG00000052033")</f>
        <v>ENSMUSG00000052033</v>
      </c>
      <c r="I1606" s="7" t="str">
        <f>HYPERLINK("http://www.informatics.jax.org/marker/MGI:1923512","MGI:1923512")</f>
        <v>MGI:1923512</v>
      </c>
      <c r="J1606" s="4" t="s">
        <v>12</v>
      </c>
    </row>
    <row r="1607" spans="1:10" x14ac:dyDescent="0.25">
      <c r="A1607" s="2">
        <v>479.10632289567297</v>
      </c>
      <c r="B1607" s="3">
        <v>0.55598604802321405</v>
      </c>
      <c r="C1607" s="5">
        <v>4.9968268094581097E-13</v>
      </c>
      <c r="D1607" s="6">
        <v>5.1742709433167103E-12</v>
      </c>
      <c r="E1607" s="3" t="s">
        <v>4463</v>
      </c>
      <c r="F1607" s="3" t="s">
        <v>4464</v>
      </c>
      <c r="G1607" s="3">
        <v>67846</v>
      </c>
      <c r="H1607" s="7" t="str">
        <f>HYPERLINK("http://www.ensembl.org/Mus_musculus/Gene/Summary?db=core;g=ENSMUSG00000002845","ENSMUSG00000002845")</f>
        <v>ENSMUSG00000002845</v>
      </c>
      <c r="I1607" s="7" t="str">
        <f>HYPERLINK("http://www.informatics.jax.org/marker/MGI:1915096","MGI:1915096")</f>
        <v>MGI:1915096</v>
      </c>
      <c r="J1607" s="4" t="s">
        <v>12</v>
      </c>
    </row>
    <row r="1608" spans="1:10" x14ac:dyDescent="0.25">
      <c r="A1608" s="2">
        <v>17.626787002428301</v>
      </c>
      <c r="B1608" s="3">
        <v>0.555673341275708</v>
      </c>
      <c r="C1608" s="3">
        <v>5.5465496765251802E-2</v>
      </c>
      <c r="D1608" s="4">
        <v>0.124582040737825</v>
      </c>
      <c r="E1608" s="3" t="s">
        <v>9103</v>
      </c>
      <c r="F1608" s="3" t="s">
        <v>9104</v>
      </c>
      <c r="G1608" s="3" t="s">
        <v>83</v>
      </c>
      <c r="H1608" s="7" t="str">
        <f>HYPERLINK("http://www.ensembl.org/Mus_musculus/Gene/Summary?db=core;g=ENSMUSG00000098235","ENSMUSG00000098235")</f>
        <v>ENSMUSG00000098235</v>
      </c>
      <c r="I1608" s="7" t="str">
        <f>HYPERLINK("http://www.informatics.jax.org/marker/MGI:3646548","MGI:3646548")</f>
        <v>MGI:3646548</v>
      </c>
      <c r="J1608" s="4" t="s">
        <v>1043</v>
      </c>
    </row>
    <row r="1609" spans="1:10" x14ac:dyDescent="0.25">
      <c r="A1609" s="2">
        <v>187.76307964441301</v>
      </c>
      <c r="B1609" s="3">
        <v>0.55555024575728795</v>
      </c>
      <c r="C1609" s="5">
        <v>3.53093081761277E-5</v>
      </c>
      <c r="D1609" s="4">
        <v>1.5850052746549999E-4</v>
      </c>
      <c r="E1609" s="3" t="s">
        <v>9073</v>
      </c>
      <c r="F1609" s="3" t="s">
        <v>9074</v>
      </c>
      <c r="G1609" s="3">
        <v>108767</v>
      </c>
      <c r="H1609" s="7" t="str">
        <f>HYPERLINK("http://www.ensembl.org/Mus_musculus/Gene/Summary?db=core;g=ENSMUSG00000040128","ENSMUSG00000040128")</f>
        <v>ENSMUSG00000040128</v>
      </c>
      <c r="I1609" s="7" t="str">
        <f>HYPERLINK("http://www.informatics.jax.org/marker/MGI:1917838","MGI:1917838")</f>
        <v>MGI:1917838</v>
      </c>
      <c r="J1609" s="4" t="s">
        <v>12</v>
      </c>
    </row>
    <row r="1610" spans="1:10" x14ac:dyDescent="0.25">
      <c r="A1610" s="2">
        <v>4977.7637611166901</v>
      </c>
      <c r="B1610" s="3">
        <v>0.55529772710159098</v>
      </c>
      <c r="C1610" s="5">
        <v>2.0121569067771001E-24</v>
      </c>
      <c r="D1610" s="6">
        <v>3.8970839134976302E-23</v>
      </c>
      <c r="E1610" s="3" t="s">
        <v>1106</v>
      </c>
      <c r="F1610" s="3" t="s">
        <v>1107</v>
      </c>
      <c r="G1610" s="3">
        <v>56445</v>
      </c>
      <c r="H1610" s="7" t="str">
        <f>HYPERLINK("http://www.ensembl.org/Mus_musculus/Gene/Summary?db=core;g=ENSMUSG00000031701","ENSMUSG00000031701")</f>
        <v>ENSMUSG00000031701</v>
      </c>
      <c r="I1610" s="7" t="str">
        <f>HYPERLINK("http://www.informatics.jax.org/marker/MGI:1931882","MGI:1931882")</f>
        <v>MGI:1931882</v>
      </c>
      <c r="J1610" s="4" t="s">
        <v>12</v>
      </c>
    </row>
    <row r="1611" spans="1:10" x14ac:dyDescent="0.25">
      <c r="A1611" s="2">
        <v>623.27034051305804</v>
      </c>
      <c r="B1611" s="3">
        <v>0.55504769932653897</v>
      </c>
      <c r="C1611" s="5">
        <v>8.7918359356711303E-6</v>
      </c>
      <c r="D1611" s="6">
        <v>4.3376071989065099E-5</v>
      </c>
      <c r="E1611" s="3" t="s">
        <v>4721</v>
      </c>
      <c r="F1611" s="3" t="s">
        <v>4722</v>
      </c>
      <c r="G1611" s="3">
        <v>231003</v>
      </c>
      <c r="H1611" s="7" t="str">
        <f>HYPERLINK("http://www.ensembl.org/Mus_musculus/Gene/Summary?db=core;g=ENSMUSG00000078485","ENSMUSG00000078485")</f>
        <v>ENSMUSG00000078485</v>
      </c>
      <c r="I1611" s="7" t="str">
        <f>HYPERLINK("http://www.informatics.jax.org/marker/MGI:2387630","MGI:2387630")</f>
        <v>MGI:2387630</v>
      </c>
      <c r="J1611" s="4" t="s">
        <v>12</v>
      </c>
    </row>
    <row r="1612" spans="1:10" x14ac:dyDescent="0.25">
      <c r="A1612" s="2">
        <v>1121.75789391434</v>
      </c>
      <c r="B1612" s="3">
        <v>0.55402331554309403</v>
      </c>
      <c r="C1612" s="5">
        <v>1.84747016569076E-14</v>
      </c>
      <c r="D1612" s="6">
        <v>2.09782827225634E-13</v>
      </c>
      <c r="E1612" s="3" t="s">
        <v>4839</v>
      </c>
      <c r="F1612" s="3" t="s">
        <v>4840</v>
      </c>
      <c r="G1612" s="3">
        <v>212391</v>
      </c>
      <c r="H1612" s="7" t="str">
        <f>HYPERLINK("http://www.ensembl.org/Mus_musculus/Gene/Summary?db=core;g=ENSMUSG00000025019","ENSMUSG00000025019")</f>
        <v>ENSMUSG00000025019</v>
      </c>
      <c r="I1612" s="7" t="str">
        <f>HYPERLINK("http://www.informatics.jax.org/marker/MGI:2443930","MGI:2443930")</f>
        <v>MGI:2443930</v>
      </c>
      <c r="J1612" s="4" t="s">
        <v>12</v>
      </c>
    </row>
    <row r="1613" spans="1:10" x14ac:dyDescent="0.25">
      <c r="A1613" s="2">
        <v>447.39669421584699</v>
      </c>
      <c r="B1613" s="3">
        <v>0.55311451977681003</v>
      </c>
      <c r="C1613" s="5">
        <v>1.25065094161742E-12</v>
      </c>
      <c r="D1613" s="6">
        <v>1.2558189207150201E-11</v>
      </c>
      <c r="E1613" s="3" t="s">
        <v>4781</v>
      </c>
      <c r="F1613" s="3" t="s">
        <v>4782</v>
      </c>
      <c r="G1613" s="3">
        <v>15587</v>
      </c>
      <c r="H1613" s="7" t="str">
        <f>HYPERLINK("http://www.ensembl.org/Mus_musculus/Gene/Summary?db=core;g=ENSMUSG00000010047","ENSMUSG00000010047")</f>
        <v>ENSMUSG00000010047</v>
      </c>
      <c r="I1613" s="7" t="str">
        <f>HYPERLINK("http://www.informatics.jax.org/marker/MGI:1196334","MGI:1196334")</f>
        <v>MGI:1196334</v>
      </c>
      <c r="J1613" s="4" t="s">
        <v>12</v>
      </c>
    </row>
    <row r="1614" spans="1:10" x14ac:dyDescent="0.25">
      <c r="A1614" s="2">
        <v>234.42917146537599</v>
      </c>
      <c r="B1614" s="3">
        <v>0.55293506623607602</v>
      </c>
      <c r="C1614" s="5">
        <v>8.44374201602579E-13</v>
      </c>
      <c r="D1614" s="6">
        <v>8.5970501811212404E-12</v>
      </c>
      <c r="E1614" s="3" t="s">
        <v>3812</v>
      </c>
      <c r="F1614" s="3" t="s">
        <v>3813</v>
      </c>
      <c r="G1614" s="3">
        <v>72795</v>
      </c>
      <c r="H1614" s="7" t="str">
        <f>HYPERLINK("http://www.ensembl.org/Mus_musculus/Gene/Summary?db=core;g=ENSMUSG00000042298","ENSMUSG00000042298")</f>
        <v>ENSMUSG00000042298</v>
      </c>
      <c r="I1614" s="7" t="str">
        <f>HYPERLINK("http://www.informatics.jax.org/marker/MGI:1920045","MGI:1920045")</f>
        <v>MGI:1920045</v>
      </c>
      <c r="J1614" s="4" t="s">
        <v>12</v>
      </c>
    </row>
    <row r="1615" spans="1:10" x14ac:dyDescent="0.25">
      <c r="A1615" s="2">
        <v>846.82617665851501</v>
      </c>
      <c r="B1615" s="3">
        <v>0.55145919249988196</v>
      </c>
      <c r="C1615" s="3">
        <v>1.06252626594291E-2</v>
      </c>
      <c r="D1615" s="4">
        <v>2.9604863471654998E-2</v>
      </c>
      <c r="E1615" s="3" t="s">
        <v>12105</v>
      </c>
      <c r="F1615" s="3" t="s">
        <v>12106</v>
      </c>
      <c r="G1615" s="3">
        <v>20612</v>
      </c>
      <c r="H1615" s="7" t="str">
        <f>HYPERLINK("http://www.ensembl.org/Mus_musculus/Gene/Summary?db=core;g=ENSMUSG00000027322","ENSMUSG00000027322")</f>
        <v>ENSMUSG00000027322</v>
      </c>
      <c r="I1615" s="7" t="str">
        <f>HYPERLINK("http://www.informatics.jax.org/marker/MGI:99668","MGI:99668")</f>
        <v>MGI:99668</v>
      </c>
      <c r="J1615" s="4" t="s">
        <v>12</v>
      </c>
    </row>
    <row r="1616" spans="1:10" x14ac:dyDescent="0.25">
      <c r="A1616" s="2">
        <v>1454.30485915452</v>
      </c>
      <c r="B1616" s="3">
        <v>0.55142538347449099</v>
      </c>
      <c r="C1616" s="5">
        <v>8.4325452782816195E-23</v>
      </c>
      <c r="D1616" s="6">
        <v>1.51262930803821E-21</v>
      </c>
      <c r="E1616" s="3" t="s">
        <v>2427</v>
      </c>
      <c r="F1616" s="3" t="s">
        <v>2428</v>
      </c>
      <c r="G1616" s="3">
        <v>327987</v>
      </c>
      <c r="H1616" s="7" t="str">
        <f>HYPERLINK("http://www.ensembl.org/Mus_musculus/Gene/Summary?db=core;g=ENSMUSG00000034297","ENSMUSG00000034297")</f>
        <v>ENSMUSG00000034297</v>
      </c>
      <c r="I1616" s="7" t="str">
        <f>HYPERLINK("http://www.informatics.jax.org/marker/MGI:3029632","MGI:3029632")</f>
        <v>MGI:3029632</v>
      </c>
      <c r="J1616" s="4" t="s">
        <v>12</v>
      </c>
    </row>
    <row r="1617" spans="1:10" x14ac:dyDescent="0.25">
      <c r="A1617" s="2">
        <v>320.86940421916501</v>
      </c>
      <c r="B1617" s="3">
        <v>0.55093327959673999</v>
      </c>
      <c r="C1617" s="5">
        <v>2.29861632511427E-6</v>
      </c>
      <c r="D1617" s="6">
        <v>1.2231323365024101E-5</v>
      </c>
      <c r="E1617" s="3" t="s">
        <v>8235</v>
      </c>
      <c r="F1617" s="3" t="s">
        <v>8236</v>
      </c>
      <c r="G1617" s="3">
        <v>210029</v>
      </c>
      <c r="H1617" s="7" t="str">
        <f>HYPERLINK("http://www.ensembl.org/Mus_musculus/Gene/Summary?db=core;g=ENSMUSG00000039208","ENSMUSG00000039208")</f>
        <v>ENSMUSG00000039208</v>
      </c>
      <c r="I1617" s="7" t="str">
        <f>HYPERLINK("http://www.informatics.jax.org/marker/MGI:2384806","MGI:2384806")</f>
        <v>MGI:2384806</v>
      </c>
      <c r="J1617" s="4" t="s">
        <v>12</v>
      </c>
    </row>
    <row r="1618" spans="1:10" x14ac:dyDescent="0.25">
      <c r="A1618" s="2">
        <v>2.1415303609798402</v>
      </c>
      <c r="B1618" s="3">
        <v>0.55084495616863505</v>
      </c>
      <c r="C1618" s="3">
        <v>0.230719435377742</v>
      </c>
      <c r="D1618" s="4">
        <v>0.39093173203415199</v>
      </c>
      <c r="E1618" s="3" t="s">
        <v>7710</v>
      </c>
      <c r="F1618" s="3" t="s">
        <v>7711</v>
      </c>
      <c r="G1618" s="3" t="s">
        <v>83</v>
      </c>
      <c r="H1618" s="7" t="str">
        <f>HYPERLINK("http://www.ensembl.org/Mus_musculus/Gene/Summary?db=core;g=ENSMUSG00000097804","ENSMUSG00000097804")</f>
        <v>ENSMUSG00000097804</v>
      </c>
      <c r="I1618" s="7" t="str">
        <f>HYPERLINK("http://www.informatics.jax.org/marker/MGI:4439609","MGI:4439609")</f>
        <v>MGI:4439609</v>
      </c>
      <c r="J1618" s="4" t="s">
        <v>932</v>
      </c>
    </row>
    <row r="1619" spans="1:10" x14ac:dyDescent="0.25">
      <c r="A1619" s="2">
        <v>92.4151326760187</v>
      </c>
      <c r="B1619" s="3">
        <v>0.55081865191680601</v>
      </c>
      <c r="C1619" s="3">
        <v>3.6863817228198902E-3</v>
      </c>
      <c r="D1619" s="4">
        <v>1.1447317583641601E-2</v>
      </c>
      <c r="E1619" s="3" t="s">
        <v>12287</v>
      </c>
      <c r="F1619" s="3" t="s">
        <v>12288</v>
      </c>
      <c r="G1619" s="3">
        <v>16988</v>
      </c>
      <c r="H1619" s="7" t="str">
        <f>HYPERLINK("http://www.ensembl.org/Mus_musculus/Gene/Summary?db=core;g=ENSMUSG00000073412","ENSMUSG00000073412")</f>
        <v>ENSMUSG00000073412</v>
      </c>
      <c r="I1619" s="7" t="str">
        <f>HYPERLINK("http://www.informatics.jax.org/marker/MGI:1096324","MGI:1096324")</f>
        <v>MGI:1096324</v>
      </c>
      <c r="J1619" s="4" t="s">
        <v>12</v>
      </c>
    </row>
    <row r="1620" spans="1:10" x14ac:dyDescent="0.25">
      <c r="A1620" s="2">
        <v>411.59596679418598</v>
      </c>
      <c r="B1620" s="3">
        <v>0.55078390304046199</v>
      </c>
      <c r="C1620" s="5">
        <v>4.8584324841982703E-11</v>
      </c>
      <c r="D1620" s="6">
        <v>4.2775329480441298E-10</v>
      </c>
      <c r="E1620" s="3" t="s">
        <v>3820</v>
      </c>
      <c r="F1620" s="3" t="s">
        <v>3821</v>
      </c>
      <c r="G1620" s="3">
        <v>74198</v>
      </c>
      <c r="H1620" s="7" t="str">
        <f>HYPERLINK("http://www.ensembl.org/Mus_musculus/Gene/Summary?db=core;g=ENSMUSG00000004947","ENSMUSG00000004947")</f>
        <v>ENSMUSG00000004947</v>
      </c>
      <c r="I1620" s="7" t="str">
        <f>HYPERLINK("http://www.informatics.jax.org/marker/MGI:1921448","MGI:1921448")</f>
        <v>MGI:1921448</v>
      </c>
      <c r="J1620" s="4" t="s">
        <v>12</v>
      </c>
    </row>
    <row r="1621" spans="1:10" x14ac:dyDescent="0.25">
      <c r="A1621" s="2">
        <v>861.30437719174802</v>
      </c>
      <c r="B1621" s="3">
        <v>0.55074407429612304</v>
      </c>
      <c r="C1621" s="5">
        <v>1.67214085684193E-12</v>
      </c>
      <c r="D1621" s="6">
        <v>1.6634698207393101E-11</v>
      </c>
      <c r="E1621" s="3" t="s">
        <v>8119</v>
      </c>
      <c r="F1621" s="3" t="s">
        <v>8120</v>
      </c>
      <c r="G1621" s="3">
        <v>239719</v>
      </c>
      <c r="H1621" s="7" t="str">
        <f>HYPERLINK("http://www.ensembl.org/Mus_musculus/Gene/Summary?db=core;g=ENSMUSG00000009569","ENSMUSG00000009569")</f>
        <v>ENSMUSG00000009569</v>
      </c>
      <c r="I1621" s="7" t="str">
        <f>HYPERLINK("http://www.informatics.jax.org/marker/MGI:3050795","MGI:3050795")</f>
        <v>MGI:3050795</v>
      </c>
      <c r="J1621" s="4" t="s">
        <v>12</v>
      </c>
    </row>
    <row r="1622" spans="1:10" x14ac:dyDescent="0.25">
      <c r="A1622" s="2">
        <v>5779.7544856045697</v>
      </c>
      <c r="B1622" s="3">
        <v>0.55048617539695899</v>
      </c>
      <c r="C1622" s="5">
        <v>4.3608974353845302E-22</v>
      </c>
      <c r="D1622" s="6">
        <v>7.6054885894625002E-21</v>
      </c>
      <c r="E1622" s="3" t="s">
        <v>1796</v>
      </c>
      <c r="F1622" s="3" t="s">
        <v>1797</v>
      </c>
      <c r="G1622" s="3">
        <v>110213</v>
      </c>
      <c r="H1622" s="7" t="str">
        <f>HYPERLINK("http://www.ensembl.org/Mus_musculus/Gene/Summary?db=core;g=ENSMUSG00000023010","ENSMUSG00000023010")</f>
        <v>ENSMUSG00000023010</v>
      </c>
      <c r="I1622" s="7" t="str">
        <f>HYPERLINK("http://www.informatics.jax.org/marker/MGI:99682","MGI:99682")</f>
        <v>MGI:99682</v>
      </c>
      <c r="J1622" s="4" t="s">
        <v>12</v>
      </c>
    </row>
    <row r="1623" spans="1:10" x14ac:dyDescent="0.25">
      <c r="A1623" s="2">
        <v>882.36382141003196</v>
      </c>
      <c r="B1623" s="3">
        <v>0.55018614689411005</v>
      </c>
      <c r="C1623" s="5">
        <v>2.00954267285586E-32</v>
      </c>
      <c r="D1623" s="6">
        <v>5.4177389368044402E-31</v>
      </c>
      <c r="E1623" s="3" t="s">
        <v>514</v>
      </c>
      <c r="F1623" s="3" t="s">
        <v>515</v>
      </c>
      <c r="G1623" s="3">
        <v>106628</v>
      </c>
      <c r="H1623" s="7" t="str">
        <f>HYPERLINK("http://www.ensembl.org/Mus_musculus/Gene/Summary?db=core;g=ENSMUSG00000019487","ENSMUSG00000019487")</f>
        <v>ENSMUSG00000019487</v>
      </c>
      <c r="I1623" s="7" t="str">
        <f>HYPERLINK("http://www.informatics.jax.org/marker/MGI:2146901","MGI:2146901")</f>
        <v>MGI:2146901</v>
      </c>
      <c r="J1623" s="4" t="s">
        <v>12</v>
      </c>
    </row>
    <row r="1624" spans="1:10" x14ac:dyDescent="0.25">
      <c r="A1624" s="2">
        <v>9663.3205871098307</v>
      </c>
      <c r="B1624" s="3">
        <v>0.55012633365235297</v>
      </c>
      <c r="C1624" s="5">
        <v>4.3155243639235898E-9</v>
      </c>
      <c r="D1624" s="6">
        <v>3.1409916746209002E-8</v>
      </c>
      <c r="E1624" s="3" t="s">
        <v>5239</v>
      </c>
      <c r="F1624" s="3" t="s">
        <v>5240</v>
      </c>
      <c r="G1624" s="3">
        <v>110208</v>
      </c>
      <c r="H1624" s="7" t="str">
        <f>HYPERLINK("http://www.ensembl.org/Mus_musculus/Gene/Summary?db=core;g=ENSMUSG00000028961","ENSMUSG00000028961")</f>
        <v>ENSMUSG00000028961</v>
      </c>
      <c r="I1624" s="7" t="str">
        <f>HYPERLINK("http://www.informatics.jax.org/marker/MGI:97553","MGI:97553")</f>
        <v>MGI:97553</v>
      </c>
      <c r="J1624" s="4" t="s">
        <v>12</v>
      </c>
    </row>
    <row r="1625" spans="1:10" x14ac:dyDescent="0.25">
      <c r="A1625" s="2">
        <v>396.88714301074702</v>
      </c>
      <c r="B1625" s="3">
        <v>0.54989586186504102</v>
      </c>
      <c r="C1625" s="5">
        <v>9.1469366083044603E-6</v>
      </c>
      <c r="D1625" s="6">
        <v>4.4969765224264599E-5</v>
      </c>
      <c r="E1625" s="3" t="s">
        <v>12301</v>
      </c>
      <c r="F1625" s="3" t="s">
        <v>12302</v>
      </c>
      <c r="G1625" s="3">
        <v>72121</v>
      </c>
      <c r="H1625" s="7" t="str">
        <f>HYPERLINK("http://www.ensembl.org/Mus_musculus/Gene/Summary?db=core;g=ENSMUSG00000027901","ENSMUSG00000027901")</f>
        <v>ENSMUSG00000027901</v>
      </c>
      <c r="I1625" s="7" t="str">
        <f>HYPERLINK("http://www.informatics.jax.org/marker/MGI:2181193","MGI:2181193")</f>
        <v>MGI:2181193</v>
      </c>
      <c r="J1625" s="4" t="s">
        <v>12</v>
      </c>
    </row>
    <row r="1626" spans="1:10" x14ac:dyDescent="0.25">
      <c r="A1626" s="2">
        <v>2770.5416975487101</v>
      </c>
      <c r="B1626" s="3">
        <v>0.54959006945981603</v>
      </c>
      <c r="C1626" s="5">
        <v>1.64396686866775E-12</v>
      </c>
      <c r="D1626" s="6">
        <v>1.6372292995338701E-11</v>
      </c>
      <c r="E1626" s="3" t="s">
        <v>6115</v>
      </c>
      <c r="F1626" s="3" t="s">
        <v>6116</v>
      </c>
      <c r="G1626" s="3">
        <v>11745</v>
      </c>
      <c r="H1626" s="7" t="str">
        <f>HYPERLINK("http://www.ensembl.org/Mus_musculus/Gene/Summary?db=core;g=ENSMUSG00000029484","ENSMUSG00000029484")</f>
        <v>ENSMUSG00000029484</v>
      </c>
      <c r="I1626" s="7" t="str">
        <f>HYPERLINK("http://www.informatics.jax.org/marker/MGI:1201378","MGI:1201378")</f>
        <v>MGI:1201378</v>
      </c>
      <c r="J1626" s="4" t="s">
        <v>12</v>
      </c>
    </row>
    <row r="1627" spans="1:10" x14ac:dyDescent="0.25">
      <c r="A1627" s="2">
        <v>76.880847101315098</v>
      </c>
      <c r="B1627" s="3">
        <v>0.54946601082666802</v>
      </c>
      <c r="C1627" s="5">
        <v>1.5632487834016701E-5</v>
      </c>
      <c r="D1627" s="6">
        <v>7.4270618033095504E-5</v>
      </c>
      <c r="E1627" s="3" t="s">
        <v>11177</v>
      </c>
      <c r="F1627" s="3" t="s">
        <v>11178</v>
      </c>
      <c r="G1627" s="3" t="s">
        <v>83</v>
      </c>
      <c r="H1627" s="7" t="str">
        <f>HYPERLINK("http://www.ensembl.org/Mus_musculus/Gene/Summary?db=core;g=ENSMUSG00000112825","ENSMUSG00000112825")</f>
        <v>ENSMUSG00000112825</v>
      </c>
      <c r="I1627" s="7" t="str">
        <f>HYPERLINK("http://www.informatics.jax.org/marker/MGI:3648185","MGI:3648185")</f>
        <v>MGI:3648185</v>
      </c>
      <c r="J1627" s="4" t="s">
        <v>1043</v>
      </c>
    </row>
    <row r="1628" spans="1:10" x14ac:dyDescent="0.25">
      <c r="A1628" s="2">
        <v>306.37211532241002</v>
      </c>
      <c r="B1628" s="3">
        <v>0.54898816247912496</v>
      </c>
      <c r="C1628" s="5">
        <v>1.36745696567952E-9</v>
      </c>
      <c r="D1628" s="6">
        <v>1.0453818456169999E-8</v>
      </c>
      <c r="E1628" s="3" t="s">
        <v>6029</v>
      </c>
      <c r="F1628" s="3" t="s">
        <v>6030</v>
      </c>
      <c r="G1628" s="3" t="s">
        <v>83</v>
      </c>
      <c r="H1628" s="7" t="str">
        <f>HYPERLINK("http://www.ensembl.org/Mus_musculus/Gene/Summary?db=core;g=ENSMUSG00000092534","ENSMUSG00000092534")</f>
        <v>ENSMUSG00000092534</v>
      </c>
      <c r="I1628" s="7" t="str">
        <f>HYPERLINK("http://www.informatics.jax.org/marker/MGI:5141883","MGI:5141883")</f>
        <v>MGI:5141883</v>
      </c>
      <c r="J1628" s="4" t="s">
        <v>12</v>
      </c>
    </row>
    <row r="1629" spans="1:10" x14ac:dyDescent="0.25">
      <c r="A1629" s="2">
        <v>970.47469013893499</v>
      </c>
      <c r="B1629" s="3">
        <v>0.54872528769378104</v>
      </c>
      <c r="C1629" s="5">
        <v>9.6239399401597894E-14</v>
      </c>
      <c r="D1629" s="6">
        <v>1.04464744139019E-12</v>
      </c>
      <c r="E1629" s="3" t="s">
        <v>5977</v>
      </c>
      <c r="F1629" s="3" t="s">
        <v>5978</v>
      </c>
      <c r="G1629" s="3">
        <v>14389</v>
      </c>
      <c r="H1629" s="7" t="str">
        <f>HYPERLINK("http://www.ensembl.org/Mus_musculus/Gene/Summary?db=core;g=ENSMUSG00000004508","ENSMUSG00000004508")</f>
        <v>ENSMUSG00000004508</v>
      </c>
      <c r="I1629" s="7" t="str">
        <f>HYPERLINK("http://www.informatics.jax.org/marker/MGI:1333854","MGI:1333854")</f>
        <v>MGI:1333854</v>
      </c>
      <c r="J1629" s="4" t="s">
        <v>12</v>
      </c>
    </row>
    <row r="1630" spans="1:10" x14ac:dyDescent="0.25">
      <c r="A1630" s="2">
        <v>2370.6741548933801</v>
      </c>
      <c r="B1630" s="3">
        <v>0.54851424911533797</v>
      </c>
      <c r="C1630" s="5">
        <v>1.7905244782460001E-28</v>
      </c>
      <c r="D1630" s="6">
        <v>4.1729294905413499E-27</v>
      </c>
      <c r="E1630" s="3" t="s">
        <v>1420</v>
      </c>
      <c r="F1630" s="3" t="s">
        <v>1421</v>
      </c>
      <c r="G1630" s="3">
        <v>26562</v>
      </c>
      <c r="H1630" s="7" t="str">
        <f>HYPERLINK("http://www.ensembl.org/Mus_musculus/Gene/Summary?db=core;g=ENSMUSG00000028833","ENSMUSG00000028833")</f>
        <v>ENSMUSG00000028833</v>
      </c>
      <c r="I1630" s="7" t="str">
        <f>HYPERLINK("http://www.informatics.jax.org/marker/MGI:1347351","MGI:1347351")</f>
        <v>MGI:1347351</v>
      </c>
      <c r="J1630" s="4" t="s">
        <v>12</v>
      </c>
    </row>
    <row r="1631" spans="1:10" x14ac:dyDescent="0.25">
      <c r="A1631" s="2">
        <v>7009.4630411455701</v>
      </c>
      <c r="B1631" s="3">
        <v>0.54693965507043296</v>
      </c>
      <c r="C1631" s="5">
        <v>7.74433837449289E-25</v>
      </c>
      <c r="D1631" s="6">
        <v>1.53080875135719E-23</v>
      </c>
      <c r="E1631" s="3" t="s">
        <v>1837</v>
      </c>
      <c r="F1631" s="3" t="s">
        <v>1838</v>
      </c>
      <c r="G1631" s="3">
        <v>98238</v>
      </c>
      <c r="H1631" s="7" t="str">
        <f>HYPERLINK("http://www.ensembl.org/Mus_musculus/Gene/Summary?db=core;g=ENSMUSG00000020869","ENSMUSG00000020869")</f>
        <v>ENSMUSG00000020869</v>
      </c>
      <c r="I1631" s="7" t="str">
        <f>HYPERLINK("http://www.informatics.jax.org/marker/MGI:2138133","MGI:2138133")</f>
        <v>MGI:2138133</v>
      </c>
      <c r="J1631" s="4" t="s">
        <v>12</v>
      </c>
    </row>
    <row r="1632" spans="1:10" x14ac:dyDescent="0.25">
      <c r="A1632" s="2">
        <v>3687.0352188072702</v>
      </c>
      <c r="B1632" s="3">
        <v>0.54661914301824699</v>
      </c>
      <c r="C1632" s="5">
        <v>1.4101779128861E-8</v>
      </c>
      <c r="D1632" s="6">
        <v>9.6721732894653396E-8</v>
      </c>
      <c r="E1632" s="3" t="s">
        <v>8597</v>
      </c>
      <c r="F1632" s="3" t="s">
        <v>8598</v>
      </c>
      <c r="G1632" s="3">
        <v>20226</v>
      </c>
      <c r="H1632" s="7" t="str">
        <f>HYPERLINK("http://www.ensembl.org/Mus_musculus/Gene/Summary?db=core;g=ENSMUSG00000068739","ENSMUSG00000068739")</f>
        <v>ENSMUSG00000068739</v>
      </c>
      <c r="I1632" s="7" t="str">
        <f>HYPERLINK("http://www.informatics.jax.org/marker/MGI:102809","MGI:102809")</f>
        <v>MGI:102809</v>
      </c>
      <c r="J1632" s="4" t="s">
        <v>12</v>
      </c>
    </row>
    <row r="1633" spans="1:10" x14ac:dyDescent="0.25">
      <c r="A1633" s="2">
        <v>329.36158548570199</v>
      </c>
      <c r="B1633" s="3">
        <v>0.54660114446307195</v>
      </c>
      <c r="C1633" s="5">
        <v>7.1813307828842396E-9</v>
      </c>
      <c r="D1633" s="6">
        <v>5.0767941628419401E-8</v>
      </c>
      <c r="E1633" s="3" t="s">
        <v>5839</v>
      </c>
      <c r="F1633" s="3" t="s">
        <v>5840</v>
      </c>
      <c r="G1633" s="3">
        <v>27081</v>
      </c>
      <c r="H1633" s="7" t="str">
        <f>HYPERLINK("http://www.ensembl.org/Mus_musculus/Gene/Summary?db=core;g=ENSMUSG00000031365","ENSMUSG00000031365")</f>
        <v>ENSMUSG00000031365</v>
      </c>
      <c r="I1633" s="7" t="str">
        <f>HYPERLINK("http://www.informatics.jax.org/marker/MGI:1350985","MGI:1350985")</f>
        <v>MGI:1350985</v>
      </c>
      <c r="J1633" s="4" t="s">
        <v>12</v>
      </c>
    </row>
    <row r="1634" spans="1:10" x14ac:dyDescent="0.25">
      <c r="A1634" s="2">
        <v>836.12100158781698</v>
      </c>
      <c r="B1634" s="3">
        <v>0.54545637015297299</v>
      </c>
      <c r="C1634" s="5">
        <v>1.5020530544373399E-12</v>
      </c>
      <c r="D1634" s="6">
        <v>1.5008178134386299E-11</v>
      </c>
      <c r="E1634" s="3" t="s">
        <v>3758</v>
      </c>
      <c r="F1634" s="3" t="s">
        <v>3759</v>
      </c>
      <c r="G1634" s="3">
        <v>71268</v>
      </c>
      <c r="H1634" s="7" t="str">
        <f>HYPERLINK("http://www.ensembl.org/Mus_musculus/Gene/Summary?db=core;g=ENSMUSG00000032497","ENSMUSG00000032497")</f>
        <v>ENSMUSG00000032497</v>
      </c>
      <c r="I1634" s="7" t="str">
        <f>HYPERLINK("http://www.informatics.jax.org/marker/MGI:1918518","MGI:1918518")</f>
        <v>MGI:1918518</v>
      </c>
      <c r="J1634" s="4" t="s">
        <v>12</v>
      </c>
    </row>
    <row r="1635" spans="1:10" x14ac:dyDescent="0.25">
      <c r="A1635" s="2">
        <v>177.588525322799</v>
      </c>
      <c r="B1635" s="3">
        <v>0.54526337714703699</v>
      </c>
      <c r="C1635" s="5">
        <v>8.9173510220426802E-6</v>
      </c>
      <c r="D1635" s="6">
        <v>4.3912110882660898E-5</v>
      </c>
      <c r="E1635" s="3" t="s">
        <v>5307</v>
      </c>
      <c r="F1635" s="3" t="s">
        <v>5308</v>
      </c>
      <c r="G1635" s="3">
        <v>276905</v>
      </c>
      <c r="H1635" s="7" t="str">
        <f>HYPERLINK("http://www.ensembl.org/Mus_musculus/Gene/Summary?db=core;g=ENSMUSG00000057219","ENSMUSG00000057219")</f>
        <v>ENSMUSG00000057219</v>
      </c>
      <c r="I1635" s="7" t="str">
        <f>HYPERLINK("http://www.informatics.jax.org/marker/MGI:2679719","MGI:2679719")</f>
        <v>MGI:2679719</v>
      </c>
      <c r="J1635" s="4" t="s">
        <v>12</v>
      </c>
    </row>
    <row r="1636" spans="1:10" x14ac:dyDescent="0.25">
      <c r="A1636" s="2">
        <v>779.83515476374805</v>
      </c>
      <c r="B1636" s="3">
        <v>0.54349493696219398</v>
      </c>
      <c r="C1636" s="5">
        <v>7.82544604599499E-20</v>
      </c>
      <c r="D1636" s="6">
        <v>1.21481051267682E-18</v>
      </c>
      <c r="E1636" s="3" t="s">
        <v>3704</v>
      </c>
      <c r="F1636" s="3" t="s">
        <v>3705</v>
      </c>
      <c r="G1636" s="3">
        <v>72425</v>
      </c>
      <c r="H1636" s="7" t="str">
        <f>HYPERLINK("http://www.ensembl.org/Mus_musculus/Gene/Summary?db=core;g=ENSMUSG00000027132","ENSMUSG00000027132")</f>
        <v>ENSMUSG00000027132</v>
      </c>
      <c r="I1636" s="7" t="str">
        <f>HYPERLINK("http://www.informatics.jax.org/marker/MGI:1919675","MGI:1919675")</f>
        <v>MGI:1919675</v>
      </c>
      <c r="J1636" s="4" t="s">
        <v>12</v>
      </c>
    </row>
    <row r="1637" spans="1:10" x14ac:dyDescent="0.25">
      <c r="A1637" s="2">
        <v>754.40015324041303</v>
      </c>
      <c r="B1637" s="3">
        <v>0.54213998506336702</v>
      </c>
      <c r="C1637" s="5">
        <v>3.1006109826105297E-17</v>
      </c>
      <c r="D1637" s="6">
        <v>4.1796327779642602E-16</v>
      </c>
      <c r="E1637" s="3" t="s">
        <v>3466</v>
      </c>
      <c r="F1637" s="3" t="s">
        <v>3467</v>
      </c>
      <c r="G1637" s="3" t="s">
        <v>83</v>
      </c>
      <c r="H1637" s="7" t="str">
        <f>HYPERLINK("http://www.ensembl.org/Mus_musculus/Gene/Summary?db=core;g=ENSMUSG00000092463","ENSMUSG00000092463")</f>
        <v>ENSMUSG00000092463</v>
      </c>
      <c r="I1637" s="7" t="str">
        <f>HYPERLINK("http://www.informatics.jax.org/marker/MGI:5141954","MGI:5141954")</f>
        <v>MGI:5141954</v>
      </c>
      <c r="J1637" s="4" t="s">
        <v>12</v>
      </c>
    </row>
    <row r="1638" spans="1:10" x14ac:dyDescent="0.25">
      <c r="A1638" s="2">
        <v>102.88836221949499</v>
      </c>
      <c r="B1638" s="3">
        <v>0.54092135741901004</v>
      </c>
      <c r="C1638" s="5">
        <v>4.9809523771780004E-6</v>
      </c>
      <c r="D1638" s="6">
        <v>2.5477927890561099E-5</v>
      </c>
      <c r="E1638" s="3" t="s">
        <v>12907</v>
      </c>
      <c r="F1638" s="3" t="s">
        <v>12908</v>
      </c>
      <c r="G1638" s="3">
        <v>232969</v>
      </c>
      <c r="H1638" s="7" t="str">
        <f>HYPERLINK("http://www.ensembl.org/Mus_musculus/Gene/Summary?db=core;g=ENSMUSG00000064264","ENSMUSG00000064264")</f>
        <v>ENSMUSG00000064264</v>
      </c>
      <c r="I1638" s="7" t="str">
        <f>HYPERLINK("http://www.informatics.jax.org/marker/MGI:1916463","MGI:1916463")</f>
        <v>MGI:1916463</v>
      </c>
      <c r="J1638" s="4" t="s">
        <v>12</v>
      </c>
    </row>
    <row r="1639" spans="1:10" x14ac:dyDescent="0.25">
      <c r="A1639" s="2">
        <v>34.650103627900798</v>
      </c>
      <c r="B1639" s="3">
        <v>0.54019812696715697</v>
      </c>
      <c r="C1639" s="3">
        <v>4.6515969053166802E-2</v>
      </c>
      <c r="D1639" s="4">
        <v>0.10755563765465199</v>
      </c>
      <c r="E1639" s="3" t="s">
        <v>12823</v>
      </c>
      <c r="F1639" s="3" t="s">
        <v>12824</v>
      </c>
      <c r="G1639" s="3" t="s">
        <v>83</v>
      </c>
      <c r="H1639" s="7" t="str">
        <f>HYPERLINK("http://www.ensembl.org/Mus_musculus/Gene/Summary?db=core;g=ENSMUSG00000103313","ENSMUSG00000103313")</f>
        <v>ENSMUSG00000103313</v>
      </c>
      <c r="I1639" s="7" t="str">
        <f>HYPERLINK("http://www.informatics.jax.org/marker/MGI:5611585","MGI:5611585")</f>
        <v>MGI:5611585</v>
      </c>
      <c r="J1639" s="4" t="s">
        <v>1828</v>
      </c>
    </row>
    <row r="1640" spans="1:10" x14ac:dyDescent="0.25">
      <c r="A1640" s="2">
        <v>1630.01085266729</v>
      </c>
      <c r="B1640" s="3">
        <v>0.53994376640574104</v>
      </c>
      <c r="C1640" s="5">
        <v>2.4198350785728999E-28</v>
      </c>
      <c r="D1640" s="6">
        <v>5.6180247524829297E-27</v>
      </c>
      <c r="E1640" s="3" t="s">
        <v>2814</v>
      </c>
      <c r="F1640" s="3" t="s">
        <v>2815</v>
      </c>
      <c r="G1640" s="3">
        <v>234663</v>
      </c>
      <c r="H1640" s="7" t="str">
        <f>HYPERLINK("http://www.ensembl.org/Mus_musculus/Gene/Summary?db=core;g=ENSMUSG00000035770","ENSMUSG00000035770")</f>
        <v>ENSMUSG00000035770</v>
      </c>
      <c r="I1640" s="7" t="str">
        <f>HYPERLINK("http://www.informatics.jax.org/marker/MGI:107738","MGI:107738")</f>
        <v>MGI:107738</v>
      </c>
      <c r="J1640" s="4" t="s">
        <v>12</v>
      </c>
    </row>
    <row r="1641" spans="1:10" x14ac:dyDescent="0.25">
      <c r="A1641" s="2">
        <v>1757.81865674446</v>
      </c>
      <c r="B1641" s="3">
        <v>0.53900830815465395</v>
      </c>
      <c r="C1641" s="5">
        <v>1.6299904284263401E-10</v>
      </c>
      <c r="D1641" s="6">
        <v>1.3708618162468901E-9</v>
      </c>
      <c r="E1641" s="3" t="s">
        <v>5425</v>
      </c>
      <c r="F1641" s="3" t="s">
        <v>5426</v>
      </c>
      <c r="G1641" s="3">
        <v>246198</v>
      </c>
      <c r="H1641" s="7" t="str">
        <f>HYPERLINK("http://www.ensembl.org/Mus_musculus/Gene/Summary?db=core;g=ENSMUSG00000038437","ENSMUSG00000038437")</f>
        <v>ENSMUSG00000038437</v>
      </c>
      <c r="I1641" s="7" t="str">
        <f>HYPERLINK("http://www.informatics.jax.org/marker/MGI:1935145","MGI:1935145")</f>
        <v>MGI:1935145</v>
      </c>
      <c r="J1641" s="4" t="s">
        <v>12</v>
      </c>
    </row>
    <row r="1642" spans="1:10" x14ac:dyDescent="0.25">
      <c r="A1642" s="2">
        <v>6800.8276001404802</v>
      </c>
      <c r="B1642" s="3">
        <v>0.53783012349439996</v>
      </c>
      <c r="C1642" s="5">
        <v>1.1941766747969001E-6</v>
      </c>
      <c r="D1642" s="6">
        <v>6.5871276931517997E-6</v>
      </c>
      <c r="E1642" s="3" t="s">
        <v>10444</v>
      </c>
      <c r="F1642" s="3" t="s">
        <v>10445</v>
      </c>
      <c r="G1642" s="3">
        <v>11987</v>
      </c>
      <c r="H1642" s="7" t="str">
        <f>HYPERLINK("http://www.ensembl.org/Mus_musculus/Gene/Summary?db=core;g=ENSMUSG00000041313","ENSMUSG00000041313")</f>
        <v>ENSMUSG00000041313</v>
      </c>
      <c r="I1642" s="7" t="str">
        <f>HYPERLINK("http://www.informatics.jax.org/marker/MGI:88117","MGI:88117")</f>
        <v>MGI:88117</v>
      </c>
      <c r="J1642" s="4" t="s">
        <v>12</v>
      </c>
    </row>
    <row r="1643" spans="1:10" x14ac:dyDescent="0.25">
      <c r="A1643" s="2">
        <v>394.08541694757997</v>
      </c>
      <c r="B1643" s="3">
        <v>0.53572379662213598</v>
      </c>
      <c r="C1643" s="5">
        <v>4.6442619270210202E-14</v>
      </c>
      <c r="D1643" s="6">
        <v>5.1235879915228796E-13</v>
      </c>
      <c r="E1643" s="3" t="s">
        <v>3262</v>
      </c>
      <c r="F1643" s="3" t="s">
        <v>3263</v>
      </c>
      <c r="G1643" s="3">
        <v>72098</v>
      </c>
      <c r="H1643" s="7" t="str">
        <f>HYPERLINK("http://www.ensembl.org/Mus_musculus/Gene/Summary?db=core;g=ENSMUSG00000028232","ENSMUSG00000028232")</f>
        <v>ENSMUSG00000028232</v>
      </c>
      <c r="I1643" s="7" t="str">
        <f>HYPERLINK("http://www.informatics.jax.org/marker/MGI:1919348","MGI:1919348")</f>
        <v>MGI:1919348</v>
      </c>
      <c r="J1643" s="4" t="s">
        <v>12</v>
      </c>
    </row>
    <row r="1644" spans="1:10" x14ac:dyDescent="0.25">
      <c r="A1644" s="2">
        <v>57.908736251190298</v>
      </c>
      <c r="B1644" s="3">
        <v>0.53518468787031004</v>
      </c>
      <c r="C1644" s="3">
        <v>5.66474136189481E-4</v>
      </c>
      <c r="D1644" s="4">
        <v>2.0877636262999601E-3</v>
      </c>
      <c r="E1644" s="3" t="s">
        <v>10456</v>
      </c>
      <c r="F1644" s="3" t="s">
        <v>10457</v>
      </c>
      <c r="G1644" s="3">
        <v>240186</v>
      </c>
      <c r="H1644" s="7" t="str">
        <f>HYPERLINK("http://www.ensembl.org/Mus_musculus/Gene/Summary?db=core;g=ENSMUSG00000050945","ENSMUSG00000050945")</f>
        <v>ENSMUSG00000050945</v>
      </c>
      <c r="I1644" s="7" t="str">
        <f>HYPERLINK("http://www.informatics.jax.org/marker/MGI:2444919","MGI:2444919")</f>
        <v>MGI:2444919</v>
      </c>
      <c r="J1644" s="4" t="s">
        <v>12</v>
      </c>
    </row>
    <row r="1645" spans="1:10" x14ac:dyDescent="0.25">
      <c r="A1645" s="2">
        <v>1427.3305868464699</v>
      </c>
      <c r="B1645" s="3">
        <v>0.53428440562705704</v>
      </c>
      <c r="C1645" s="5">
        <v>5.4230465134606598E-6</v>
      </c>
      <c r="D1645" s="6">
        <v>2.7576736246601701E-5</v>
      </c>
      <c r="E1645" s="3" t="s">
        <v>8259</v>
      </c>
      <c r="F1645" s="3" t="s">
        <v>8260</v>
      </c>
      <c r="G1645" s="3">
        <v>20807</v>
      </c>
      <c r="H1645" s="7" t="str">
        <f>HYPERLINK("http://www.ensembl.org/Mus_musculus/Gene/Summary?db=core;g=ENSMUSG00000015605","ENSMUSG00000015605")</f>
        <v>ENSMUSG00000015605</v>
      </c>
      <c r="I1645" s="7" t="str">
        <f>HYPERLINK("http://www.informatics.jax.org/marker/MGI:106658","MGI:106658")</f>
        <v>MGI:106658</v>
      </c>
      <c r="J1645" s="4" t="s">
        <v>12</v>
      </c>
    </row>
    <row r="1646" spans="1:10" x14ac:dyDescent="0.25">
      <c r="A1646" s="2">
        <v>519.05721818710401</v>
      </c>
      <c r="B1646" s="3">
        <v>0.53340722439990096</v>
      </c>
      <c r="C1646" s="5">
        <v>1.4976485333631901E-5</v>
      </c>
      <c r="D1646" s="6">
        <v>7.1321255606334306E-5</v>
      </c>
      <c r="E1646" s="3" t="s">
        <v>8061</v>
      </c>
      <c r="F1646" s="3" t="s">
        <v>8062</v>
      </c>
      <c r="G1646" s="3">
        <v>319565</v>
      </c>
      <c r="H1646" s="7" t="str">
        <f>HYPERLINK("http://www.ensembl.org/Mus_musculus/Gene/Summary?db=core;g=ENSMUSG00000063450","ENSMUSG00000063450")</f>
        <v>ENSMUSG00000063450</v>
      </c>
      <c r="I1646" s="7" t="str">
        <f>HYPERLINK("http://www.informatics.jax.org/marker/MGI:2449316","MGI:2449316")</f>
        <v>MGI:2449316</v>
      </c>
      <c r="J1646" s="4" t="s">
        <v>12</v>
      </c>
    </row>
    <row r="1647" spans="1:10" x14ac:dyDescent="0.25">
      <c r="A1647" s="2">
        <v>1089.1659431529899</v>
      </c>
      <c r="B1647" s="3">
        <v>0.53319003697761802</v>
      </c>
      <c r="C1647" s="5">
        <v>1.69326511733832E-16</v>
      </c>
      <c r="D1647" s="6">
        <v>2.1933018310938799E-15</v>
      </c>
      <c r="E1647" s="3" t="s">
        <v>3678</v>
      </c>
      <c r="F1647" s="3" t="s">
        <v>3679</v>
      </c>
      <c r="G1647" s="3">
        <v>68473</v>
      </c>
      <c r="H1647" s="7" t="str">
        <f>HYPERLINK("http://www.ensembl.org/Mus_musculus/Gene/Summary?db=core;g=ENSMUSG00000006262","ENSMUSG00000006262")</f>
        <v>ENSMUSG00000006262</v>
      </c>
      <c r="I1647" s="7" t="str">
        <f>HYPERLINK("http://www.informatics.jax.org/marker/MGI:1915723","MGI:1915723")</f>
        <v>MGI:1915723</v>
      </c>
      <c r="J1647" s="4" t="s">
        <v>12</v>
      </c>
    </row>
    <row r="1648" spans="1:10" x14ac:dyDescent="0.25">
      <c r="A1648" s="2">
        <v>2504.5273295878701</v>
      </c>
      <c r="B1648" s="3">
        <v>0.53262011045239399</v>
      </c>
      <c r="C1648" s="5">
        <v>4.7959894002112002E-17</v>
      </c>
      <c r="D1648" s="6">
        <v>6.3987486690226303E-16</v>
      </c>
      <c r="E1648" s="3" t="s">
        <v>3220</v>
      </c>
      <c r="F1648" s="3" t="s">
        <v>3221</v>
      </c>
      <c r="G1648" s="3">
        <v>22187</v>
      </c>
      <c r="H1648" s="7" t="str">
        <f>HYPERLINK("http://www.ensembl.org/Mus_musculus/Gene/Summary?db=core;g=ENSMUSG00000019505","ENSMUSG00000019505")</f>
        <v>ENSMUSG00000019505</v>
      </c>
      <c r="I1648" s="7" t="str">
        <f>HYPERLINK("http://www.informatics.jax.org/marker/MGI:98888","MGI:98888")</f>
        <v>MGI:98888</v>
      </c>
      <c r="J1648" s="4" t="s">
        <v>12</v>
      </c>
    </row>
    <row r="1649" spans="1:10" x14ac:dyDescent="0.25">
      <c r="A1649" s="2">
        <v>13314.3622476848</v>
      </c>
      <c r="B1649" s="3">
        <v>0.53253512125274505</v>
      </c>
      <c r="C1649" s="5">
        <v>3.2656843019251298E-11</v>
      </c>
      <c r="D1649" s="6">
        <v>2.9132205777085398E-10</v>
      </c>
      <c r="E1649" s="3" t="s">
        <v>3142</v>
      </c>
      <c r="F1649" s="3" t="s">
        <v>3143</v>
      </c>
      <c r="G1649" s="3">
        <v>13424</v>
      </c>
      <c r="H1649" s="7" t="str">
        <f>HYPERLINK("http://www.ensembl.org/Mus_musculus/Gene/Summary?db=core;g=ENSMUSG00000018707","ENSMUSG00000018707")</f>
        <v>ENSMUSG00000018707</v>
      </c>
      <c r="I1649" s="7" t="str">
        <f>HYPERLINK("http://www.informatics.jax.org/marker/MGI:103147","MGI:103147")</f>
        <v>MGI:103147</v>
      </c>
      <c r="J1649" s="4" t="s">
        <v>12</v>
      </c>
    </row>
    <row r="1650" spans="1:10" x14ac:dyDescent="0.25">
      <c r="A1650" s="2">
        <v>7451.2924130615402</v>
      </c>
      <c r="B1650" s="3">
        <v>0.53070116649653998</v>
      </c>
      <c r="C1650" s="5">
        <v>1.62947051459119E-6</v>
      </c>
      <c r="D1650" s="6">
        <v>8.84368675652903E-6</v>
      </c>
      <c r="E1650" s="3" t="s">
        <v>9835</v>
      </c>
      <c r="F1650" s="3" t="s">
        <v>9836</v>
      </c>
      <c r="G1650" s="3">
        <v>234734</v>
      </c>
      <c r="H1650" s="7" t="str">
        <f>HYPERLINK("http://www.ensembl.org/Mus_musculus/Gene/Summary?db=core;g=ENSMUSG00000031960","ENSMUSG00000031960")</f>
        <v>ENSMUSG00000031960</v>
      </c>
      <c r="I1650" s="7" t="str">
        <f>HYPERLINK("http://www.informatics.jax.org/marker/MGI:2384560","MGI:2384560")</f>
        <v>MGI:2384560</v>
      </c>
      <c r="J1650" s="4" t="s">
        <v>12</v>
      </c>
    </row>
    <row r="1651" spans="1:10" x14ac:dyDescent="0.25">
      <c r="A1651" s="2">
        <v>948.40655427034005</v>
      </c>
      <c r="B1651" s="3">
        <v>0.530485548318266</v>
      </c>
      <c r="C1651" s="5">
        <v>6.27765178161903E-15</v>
      </c>
      <c r="D1651" s="6">
        <v>7.3386917075052501E-14</v>
      </c>
      <c r="E1651" s="3" t="s">
        <v>6930</v>
      </c>
      <c r="F1651" s="3" t="s">
        <v>6931</v>
      </c>
      <c r="G1651" s="3">
        <v>76795</v>
      </c>
      <c r="H1651" s="7" t="str">
        <f>HYPERLINK("http://www.ensembl.org/Mus_musculus/Gene/Summary?db=core;g=ENSMUSG00000036644","ENSMUSG00000036644")</f>
        <v>ENSMUSG00000036644</v>
      </c>
      <c r="I1651" s="7" t="str">
        <f>HYPERLINK("http://www.informatics.jax.org/marker/MGI:1924045","MGI:1924045")</f>
        <v>MGI:1924045</v>
      </c>
      <c r="J1651" s="4" t="s">
        <v>12</v>
      </c>
    </row>
    <row r="1652" spans="1:10" x14ac:dyDescent="0.25">
      <c r="A1652" s="2">
        <v>286.87450450845699</v>
      </c>
      <c r="B1652" s="3">
        <v>0.52979162464905405</v>
      </c>
      <c r="C1652" s="5">
        <v>8.2998806109284899E-10</v>
      </c>
      <c r="D1652" s="6">
        <v>6.5144411771822498E-9</v>
      </c>
      <c r="E1652" s="3" t="s">
        <v>4603</v>
      </c>
      <c r="F1652" s="3" t="s">
        <v>4604</v>
      </c>
      <c r="G1652" s="3">
        <v>69161</v>
      </c>
      <c r="H1652" s="7" t="str">
        <f>HYPERLINK("http://www.ensembl.org/Mus_musculus/Gene/Summary?db=core;g=ENSMUSG00000063019","ENSMUSG00000063019")</f>
        <v>ENSMUSG00000063019</v>
      </c>
      <c r="I1652" s="7" t="str">
        <f>HYPERLINK("http://www.informatics.jax.org/marker/MGI:1916411","MGI:1916411")</f>
        <v>MGI:1916411</v>
      </c>
      <c r="J1652" s="4" t="s">
        <v>12</v>
      </c>
    </row>
    <row r="1653" spans="1:10" x14ac:dyDescent="0.25">
      <c r="A1653" s="2">
        <v>784.21629057174403</v>
      </c>
      <c r="B1653" s="3">
        <v>0.52940846889563598</v>
      </c>
      <c r="C1653" s="5">
        <v>5.5825267478065803E-19</v>
      </c>
      <c r="D1653" s="6">
        <v>8.3054326513285703E-18</v>
      </c>
      <c r="E1653" s="3" t="s">
        <v>4411</v>
      </c>
      <c r="F1653" s="3" t="s">
        <v>4412</v>
      </c>
      <c r="G1653" s="3">
        <v>213326</v>
      </c>
      <c r="H1653" s="7" t="str">
        <f>HYPERLINK("http://www.ensembl.org/Mus_musculus/Gene/Summary?db=core;g=ENSMUSG00000069539","ENSMUSG00000069539")</f>
        <v>ENSMUSG00000069539</v>
      </c>
      <c r="I1653" s="7" t="str">
        <f>HYPERLINK("http://www.informatics.jax.org/marker/MGI:1289172","MGI:1289172")</f>
        <v>MGI:1289172</v>
      </c>
      <c r="J1653" s="4" t="s">
        <v>12</v>
      </c>
    </row>
    <row r="1654" spans="1:10" x14ac:dyDescent="0.25">
      <c r="A1654" s="2">
        <v>2.00563371635856</v>
      </c>
      <c r="B1654" s="3">
        <v>0.52922372792495698</v>
      </c>
      <c r="C1654" s="3">
        <v>0.25718604425321701</v>
      </c>
      <c r="D1654" s="4">
        <v>0.42372226148209102</v>
      </c>
      <c r="E1654" s="3" t="s">
        <v>8963</v>
      </c>
      <c r="F1654" s="3" t="s">
        <v>8964</v>
      </c>
      <c r="G1654" s="3">
        <v>110557</v>
      </c>
      <c r="H1654" s="7" t="str">
        <f>HYPERLINK("http://www.ensembl.org/Mus_musculus/Gene/Summary?db=core;g=ENSMUSG00000073409","ENSMUSG00000073409")</f>
        <v>ENSMUSG00000073409</v>
      </c>
      <c r="I1654" s="7" t="str">
        <f>HYPERLINK("http://www.informatics.jax.org/marker/MGI:95935","MGI:95935")</f>
        <v>MGI:95935</v>
      </c>
      <c r="J1654" s="4" t="s">
        <v>12</v>
      </c>
    </row>
    <row r="1655" spans="1:10" x14ac:dyDescent="0.25">
      <c r="A1655" s="2">
        <v>53.235586274166799</v>
      </c>
      <c r="B1655" s="3">
        <v>0.52805692306715701</v>
      </c>
      <c r="C1655" s="3">
        <v>9.2143698026767792E-3</v>
      </c>
      <c r="D1655" s="4">
        <v>2.6068284640450901E-2</v>
      </c>
      <c r="E1655" s="3" t="s">
        <v>10792</v>
      </c>
      <c r="F1655" s="3" t="s">
        <v>10793</v>
      </c>
      <c r="G1655" s="3" t="s">
        <v>83</v>
      </c>
      <c r="H1655" s="7" t="str">
        <f>HYPERLINK("http://www.ensembl.org/Mus_musculus/Gene/Summary?db=core;g=ENSMUSG00000112336","ENSMUSG00000112336")</f>
        <v>ENSMUSG00000112336</v>
      </c>
      <c r="I1655" s="7" t="str">
        <f>HYPERLINK("http://www.informatics.jax.org/marker/MGI:6096919","MGI:6096919")</f>
        <v>MGI:6096919</v>
      </c>
      <c r="J1655" s="4" t="s">
        <v>932</v>
      </c>
    </row>
    <row r="1656" spans="1:10" x14ac:dyDescent="0.25">
      <c r="A1656" s="2">
        <v>916.37771199557505</v>
      </c>
      <c r="B1656" s="3">
        <v>0.52757557086451601</v>
      </c>
      <c r="C1656" s="5">
        <v>9.7294601860633696E-8</v>
      </c>
      <c r="D1656" s="6">
        <v>6.1060403543734498E-7</v>
      </c>
      <c r="E1656" s="3" t="s">
        <v>6796</v>
      </c>
      <c r="F1656" s="3" t="s">
        <v>6797</v>
      </c>
      <c r="G1656" s="3">
        <v>244059</v>
      </c>
      <c r="H1656" s="7" t="str">
        <f>HYPERLINK("http://www.ensembl.org/Mus_musculus/Gene/Summary?db=core;g=ENSMUSG00000078671","ENSMUSG00000078671")</f>
        <v>ENSMUSG00000078671</v>
      </c>
      <c r="I1656" s="7" t="str">
        <f>HYPERLINK("http://www.informatics.jax.org/marker/MGI:2448567","MGI:2448567")</f>
        <v>MGI:2448567</v>
      </c>
      <c r="J1656" s="4" t="s">
        <v>12</v>
      </c>
    </row>
    <row r="1657" spans="1:10" x14ac:dyDescent="0.25">
      <c r="A1657" s="2">
        <v>1118.6035348267201</v>
      </c>
      <c r="B1657" s="3">
        <v>0.52680342581443695</v>
      </c>
      <c r="C1657" s="5">
        <v>8.8179622538447408E-9</v>
      </c>
      <c r="D1657" s="6">
        <v>6.1763013864842599E-8</v>
      </c>
      <c r="E1657" s="3" t="s">
        <v>4591</v>
      </c>
      <c r="F1657" s="3" t="s">
        <v>4592</v>
      </c>
      <c r="G1657" s="3">
        <v>100434</v>
      </c>
      <c r="H1657" s="7" t="str">
        <f>HYPERLINK("http://www.ensembl.org/Mus_musculus/Gene/Summary?db=core;g=ENSMUSG00000028412","ENSMUSG00000028412")</f>
        <v>ENSMUSG00000028412</v>
      </c>
      <c r="I1657" s="7" t="str">
        <f>HYPERLINK("http://www.informatics.jax.org/marker/MGI:2140592","MGI:2140592")</f>
        <v>MGI:2140592</v>
      </c>
      <c r="J1657" s="4" t="s">
        <v>12</v>
      </c>
    </row>
    <row r="1658" spans="1:10" x14ac:dyDescent="0.25">
      <c r="A1658" s="2">
        <v>836.01725708187701</v>
      </c>
      <c r="B1658" s="3">
        <v>0.52618611772187895</v>
      </c>
      <c r="C1658" s="5">
        <v>3.0388772813622999E-19</v>
      </c>
      <c r="D1658" s="6">
        <v>4.5695988822465297E-18</v>
      </c>
      <c r="E1658" s="3" t="s">
        <v>3760</v>
      </c>
      <c r="F1658" s="3" t="s">
        <v>3761</v>
      </c>
      <c r="G1658" s="3">
        <v>72611</v>
      </c>
      <c r="H1658" s="7" t="str">
        <f>HYPERLINK("http://www.ensembl.org/Mus_musculus/Gene/Summary?db=core;g=ENSMUSG00000007812","ENSMUSG00000007812")</f>
        <v>ENSMUSG00000007812</v>
      </c>
      <c r="I1658" s="7" t="str">
        <f>HYPERLINK("http://www.informatics.jax.org/marker/MGI:1919861","MGI:1919861")</f>
        <v>MGI:1919861</v>
      </c>
      <c r="J1658" s="4" t="s">
        <v>12</v>
      </c>
    </row>
    <row r="1659" spans="1:10" x14ac:dyDescent="0.25">
      <c r="A1659" s="2">
        <v>983.61135376639004</v>
      </c>
      <c r="B1659" s="3">
        <v>0.52542918559059804</v>
      </c>
      <c r="C1659" s="5">
        <v>2.9397608765904798E-16</v>
      </c>
      <c r="D1659" s="6">
        <v>3.7597994369025702E-15</v>
      </c>
      <c r="E1659" s="3" t="s">
        <v>4813</v>
      </c>
      <c r="F1659" s="3" t="s">
        <v>4814</v>
      </c>
      <c r="G1659" s="3">
        <v>106064</v>
      </c>
      <c r="H1659" s="7" t="str">
        <f>HYPERLINK("http://www.ensembl.org/Mus_musculus/Gene/Summary?db=core;g=ENSMUSG00000041935","ENSMUSG00000041935")</f>
        <v>ENSMUSG00000041935</v>
      </c>
      <c r="I1659" s="7" t="str">
        <f>HYPERLINK("http://www.informatics.jax.org/marker/MGI:2146232","MGI:2146232")</f>
        <v>MGI:2146232</v>
      </c>
      <c r="J1659" s="4" t="s">
        <v>12</v>
      </c>
    </row>
    <row r="1660" spans="1:10" x14ac:dyDescent="0.25">
      <c r="A1660" s="2">
        <v>3629.4731233408002</v>
      </c>
      <c r="B1660" s="3">
        <v>0.52487653883054597</v>
      </c>
      <c r="C1660" s="5">
        <v>1.7925485765405499E-5</v>
      </c>
      <c r="D1660" s="6">
        <v>8.4460180474280093E-5</v>
      </c>
      <c r="E1660" s="3" t="s">
        <v>9365</v>
      </c>
      <c r="F1660" s="3" t="s">
        <v>9366</v>
      </c>
      <c r="G1660" s="3">
        <v>54375</v>
      </c>
      <c r="H1660" s="7" t="str">
        <f>HYPERLINK("http://www.ensembl.org/Mus_musculus/Gene/Summary?db=core;g=ENSMUSG00000037458","ENSMUSG00000037458")</f>
        <v>ENSMUSG00000037458</v>
      </c>
      <c r="I1660" s="7" t="str">
        <f>HYPERLINK("http://www.informatics.jax.org/marker/MGI:1859169","MGI:1859169")</f>
        <v>MGI:1859169</v>
      </c>
      <c r="J1660" s="4" t="s">
        <v>12</v>
      </c>
    </row>
    <row r="1661" spans="1:10" x14ac:dyDescent="0.25">
      <c r="A1661" s="2">
        <v>1691.6711481251</v>
      </c>
      <c r="B1661" s="3">
        <v>0.52479620690549</v>
      </c>
      <c r="C1661" s="5">
        <v>6.7334479645621196E-25</v>
      </c>
      <c r="D1661" s="6">
        <v>1.3353328526022301E-23</v>
      </c>
      <c r="E1661" s="3" t="s">
        <v>2389</v>
      </c>
      <c r="F1661" s="3" t="s">
        <v>2390</v>
      </c>
      <c r="G1661" s="3">
        <v>16186</v>
      </c>
      <c r="H1661" s="7" t="str">
        <f>HYPERLINK("http://www.ensembl.org/Mus_musculus/Gene/Summary?db=core;g=ENSMUSG00000031304","ENSMUSG00000031304")</f>
        <v>ENSMUSG00000031304</v>
      </c>
      <c r="I1661" s="7" t="str">
        <f>HYPERLINK("http://www.informatics.jax.org/marker/MGI:96551","MGI:96551")</f>
        <v>MGI:96551</v>
      </c>
      <c r="J1661" s="4" t="s">
        <v>12</v>
      </c>
    </row>
    <row r="1662" spans="1:10" x14ac:dyDescent="0.25">
      <c r="A1662" s="2">
        <v>1946.4236148042301</v>
      </c>
      <c r="B1662" s="3">
        <v>0.52445255471103303</v>
      </c>
      <c r="C1662" s="5">
        <v>9.5436114907760596E-14</v>
      </c>
      <c r="D1662" s="6">
        <v>1.0365454077437099E-12</v>
      </c>
      <c r="E1662" s="3" t="s">
        <v>3660</v>
      </c>
      <c r="F1662" s="3" t="s">
        <v>3661</v>
      </c>
      <c r="G1662" s="3">
        <v>226026</v>
      </c>
      <c r="H1662" s="7" t="str">
        <f>HYPERLINK("http://www.ensembl.org/Mus_musculus/Gene/Summary?db=core;g=ENSMUSG00000024943","ENSMUSG00000024943")</f>
        <v>ENSMUSG00000024943</v>
      </c>
      <c r="I1662" s="7" t="str">
        <f>HYPERLINK("http://www.informatics.jax.org/marker/MGI:2385088","MGI:2385088")</f>
        <v>MGI:2385088</v>
      </c>
      <c r="J1662" s="4" t="s">
        <v>12</v>
      </c>
    </row>
    <row r="1663" spans="1:10" x14ac:dyDescent="0.25">
      <c r="A1663" s="2">
        <v>173.89209784475401</v>
      </c>
      <c r="B1663" s="3">
        <v>0.52436802462510801</v>
      </c>
      <c r="C1663" s="5">
        <v>7.1160275078207697E-7</v>
      </c>
      <c r="D1663" s="6">
        <v>4.0146630050968898E-6</v>
      </c>
      <c r="E1663" s="3" t="s">
        <v>10008</v>
      </c>
      <c r="F1663" s="3" t="s">
        <v>10009</v>
      </c>
      <c r="G1663" s="3">
        <v>232821</v>
      </c>
      <c r="H1663" s="7" t="str">
        <f>HYPERLINK("http://www.ensembl.org/Mus_musculus/Gene/Summary?db=core;g=ENSMUSG00000035228","ENSMUSG00000035228")</f>
        <v>ENSMUSG00000035228</v>
      </c>
      <c r="I1663" s="7" t="str">
        <f>HYPERLINK("http://www.informatics.jax.org/marker/MGI:2385900","MGI:2385900")</f>
        <v>MGI:2385900</v>
      </c>
      <c r="J1663" s="4" t="s">
        <v>12</v>
      </c>
    </row>
    <row r="1664" spans="1:10" x14ac:dyDescent="0.25">
      <c r="A1664" s="2">
        <v>1609.8624558389199</v>
      </c>
      <c r="B1664" s="3">
        <v>0.52428360416103903</v>
      </c>
      <c r="C1664" s="5">
        <v>8.4169454084513298E-20</v>
      </c>
      <c r="D1664" s="6">
        <v>1.30109270626824E-18</v>
      </c>
      <c r="E1664" s="3" t="s">
        <v>5887</v>
      </c>
      <c r="F1664" s="3" t="s">
        <v>5888</v>
      </c>
      <c r="G1664" s="3">
        <v>228071</v>
      </c>
      <c r="H1664" s="7" t="str">
        <f>HYPERLINK("http://www.ensembl.org/Mus_musculus/Gene/Summary?db=core;g=ENSMUSG00000042272","ENSMUSG00000042272")</f>
        <v>ENSMUSG00000042272</v>
      </c>
      <c r="I1664" s="7" t="str">
        <f>HYPERLINK("http://www.informatics.jax.org/marker/MGI:1916262","MGI:1916262")</f>
        <v>MGI:1916262</v>
      </c>
      <c r="J1664" s="4" t="s">
        <v>12</v>
      </c>
    </row>
    <row r="1665" spans="1:10" x14ac:dyDescent="0.25">
      <c r="A1665" s="2">
        <v>13.3485090421701</v>
      </c>
      <c r="B1665" s="3">
        <v>0.52415179001755796</v>
      </c>
      <c r="C1665" s="3">
        <v>6.6428480042263302E-2</v>
      </c>
      <c r="D1665" s="4">
        <v>0.144954388023258</v>
      </c>
      <c r="E1665" s="3" t="s">
        <v>13993</v>
      </c>
      <c r="F1665" s="3" t="s">
        <v>13994</v>
      </c>
      <c r="G1665" s="3" t="s">
        <v>83</v>
      </c>
      <c r="H1665" s="7" t="str">
        <f>HYPERLINK("http://www.ensembl.org/Mus_musculus/Gene/Summary?db=core;g=ENSMUSG00000115087","ENSMUSG00000115087")</f>
        <v>ENSMUSG00000115087</v>
      </c>
      <c r="I1665" s="7" t="str">
        <f>HYPERLINK("http://www.informatics.jax.org/marker/MGI:6118348","MGI:6118348")</f>
        <v>MGI:6118348</v>
      </c>
      <c r="J1665" s="4" t="s">
        <v>1828</v>
      </c>
    </row>
    <row r="1666" spans="1:10" x14ac:dyDescent="0.25">
      <c r="A1666" s="2">
        <v>1583.33974571513</v>
      </c>
      <c r="B1666" s="3">
        <v>0.52239666181919997</v>
      </c>
      <c r="C1666" s="5">
        <v>4.1958560320401097E-20</v>
      </c>
      <c r="D1666" s="6">
        <v>6.5808499297703097E-19</v>
      </c>
      <c r="E1666" s="3" t="s">
        <v>1558</v>
      </c>
      <c r="F1666" s="3" t="s">
        <v>1559</v>
      </c>
      <c r="G1666" s="3">
        <v>24055</v>
      </c>
      <c r="H1666" s="7" t="str">
        <f>HYPERLINK("http://www.ensembl.org/Mus_musculus/Gene/Summary?db=core;g=ENSMUSG00000054520","ENSMUSG00000054520")</f>
        <v>ENSMUSG00000054520</v>
      </c>
      <c r="I1666" s="7" t="str">
        <f>HYPERLINK("http://www.informatics.jax.org/marker/MGI:1346349","MGI:1346349")</f>
        <v>MGI:1346349</v>
      </c>
      <c r="J1666" s="4" t="s">
        <v>12</v>
      </c>
    </row>
    <row r="1667" spans="1:10" x14ac:dyDescent="0.25">
      <c r="A1667" s="2">
        <v>10869.796480929101</v>
      </c>
      <c r="B1667" s="3">
        <v>0.52225137420035295</v>
      </c>
      <c r="C1667" s="5">
        <v>1.9998970866930599E-5</v>
      </c>
      <c r="D1667" s="6">
        <v>9.3504680361675206E-5</v>
      </c>
      <c r="E1667" s="3" t="s">
        <v>13775</v>
      </c>
      <c r="F1667" s="3" t="s">
        <v>13776</v>
      </c>
      <c r="G1667" s="3">
        <v>110006</v>
      </c>
      <c r="H1667" s="7" t="str">
        <f>HYPERLINK("http://www.ensembl.org/Mus_musculus/Gene/Summary?db=core;g=ENSMUSG00000025534","ENSMUSG00000025534")</f>
        <v>ENSMUSG00000025534</v>
      </c>
      <c r="I1667" s="7" t="str">
        <f>HYPERLINK("http://www.informatics.jax.org/marker/MGI:95872","MGI:95872")</f>
        <v>MGI:95872</v>
      </c>
      <c r="J1667" s="4" t="s">
        <v>12</v>
      </c>
    </row>
    <row r="1668" spans="1:10" x14ac:dyDescent="0.25">
      <c r="A1668" s="2">
        <v>512.47279087393304</v>
      </c>
      <c r="B1668" s="3">
        <v>0.52196715026626295</v>
      </c>
      <c r="C1668" s="5">
        <v>5.0131753378011495E-7</v>
      </c>
      <c r="D1668" s="6">
        <v>2.8885589798111299E-6</v>
      </c>
      <c r="E1668" s="3" t="s">
        <v>11673</v>
      </c>
      <c r="F1668" s="3" t="s">
        <v>11674</v>
      </c>
      <c r="G1668" s="3">
        <v>56353</v>
      </c>
      <c r="H1668" s="7" t="str">
        <f>HYPERLINK("http://www.ensembl.org/Mus_musculus/Gene/Summary?db=core;g=ENSMUSG00000072872","ENSMUSG00000072872")</f>
        <v>ENSMUSG00000072872</v>
      </c>
      <c r="I1668" s="7" t="str">
        <f>HYPERLINK("http://www.informatics.jax.org/marker/MGI:1929059","MGI:1929059")</f>
        <v>MGI:1929059</v>
      </c>
      <c r="J1668" s="4" t="s">
        <v>12</v>
      </c>
    </row>
    <row r="1669" spans="1:10" x14ac:dyDescent="0.25">
      <c r="A1669" s="2">
        <v>719.85764921372402</v>
      </c>
      <c r="B1669" s="3">
        <v>0.52037356954477398</v>
      </c>
      <c r="C1669" s="5">
        <v>1.7019150527079901E-12</v>
      </c>
      <c r="D1669" s="6">
        <v>1.6921659484780801E-11</v>
      </c>
      <c r="E1669" s="3" t="s">
        <v>4443</v>
      </c>
      <c r="F1669" s="3" t="s">
        <v>4444</v>
      </c>
      <c r="G1669" s="3">
        <v>76867</v>
      </c>
      <c r="H1669" s="7" t="str">
        <f>HYPERLINK("http://www.ensembl.org/Mus_musculus/Gene/Summary?db=core;g=ENSMUSG00000026142","ENSMUSG00000026142")</f>
        <v>ENSMUSG00000026142</v>
      </c>
      <c r="I1669" s="7" t="str">
        <f>HYPERLINK("http://www.informatics.jax.org/marker/MGI:1924117","MGI:1924117")</f>
        <v>MGI:1924117</v>
      </c>
      <c r="J1669" s="4" t="s">
        <v>12</v>
      </c>
    </row>
    <row r="1670" spans="1:10" x14ac:dyDescent="0.25">
      <c r="A1670" s="2">
        <v>1186.77996906364</v>
      </c>
      <c r="B1670" s="3">
        <v>0.52014677827947897</v>
      </c>
      <c r="C1670" s="5">
        <v>2.82627792325898E-8</v>
      </c>
      <c r="D1670" s="6">
        <v>1.87441467072034E-7</v>
      </c>
      <c r="E1670" s="3" t="s">
        <v>4951</v>
      </c>
      <c r="F1670" s="3" t="s">
        <v>4952</v>
      </c>
      <c r="G1670" s="3">
        <v>54216</v>
      </c>
      <c r="H1670" s="7" t="str">
        <f>HYPERLINK("http://www.ensembl.org/Mus_musculus/Gene/Summary?db=core;g=ENSMUSG00000029108","ENSMUSG00000029108")</f>
        <v>ENSMUSG00000029108</v>
      </c>
      <c r="I1670" s="7" t="str">
        <f>HYPERLINK("http://www.informatics.jax.org/marker/MGI:1860487","MGI:1860487")</f>
        <v>MGI:1860487</v>
      </c>
      <c r="J1670" s="4" t="s">
        <v>12</v>
      </c>
    </row>
    <row r="1671" spans="1:10" x14ac:dyDescent="0.25">
      <c r="A1671" s="2">
        <v>117.946072988542</v>
      </c>
      <c r="B1671" s="3">
        <v>0.52010952019492895</v>
      </c>
      <c r="C1671" s="5">
        <v>3.5928124515095201E-5</v>
      </c>
      <c r="D1671" s="4">
        <v>1.6104464410653601E-4</v>
      </c>
      <c r="E1671" s="3" t="s">
        <v>9193</v>
      </c>
      <c r="F1671" s="3" t="s">
        <v>9194</v>
      </c>
      <c r="G1671" s="3">
        <v>12293</v>
      </c>
      <c r="H1671" s="7" t="str">
        <f>HYPERLINK("http://www.ensembl.org/Mus_musculus/Gene/Summary?db=core;g=ENSMUSG00000040118","ENSMUSG00000040118")</f>
        <v>ENSMUSG00000040118</v>
      </c>
      <c r="I1671" s="7" t="str">
        <f>HYPERLINK("http://www.informatics.jax.org/marker/MGI:88295","MGI:88295")</f>
        <v>MGI:88295</v>
      </c>
      <c r="J1671" s="4" t="s">
        <v>12</v>
      </c>
    </row>
    <row r="1672" spans="1:10" x14ac:dyDescent="0.25">
      <c r="A1672" s="2">
        <v>735.59504473419599</v>
      </c>
      <c r="B1672" s="3">
        <v>0.52004442689673402</v>
      </c>
      <c r="C1672" s="5">
        <v>8.9342677423895506E-12</v>
      </c>
      <c r="D1672" s="6">
        <v>8.3330107269728503E-11</v>
      </c>
      <c r="E1672" s="3" t="s">
        <v>2203</v>
      </c>
      <c r="F1672" s="3" t="s">
        <v>2204</v>
      </c>
      <c r="G1672" s="3">
        <v>24086</v>
      </c>
      <c r="H1672" s="7" t="str">
        <f>HYPERLINK("http://www.ensembl.org/Mus_musculus/Gene/Summary?db=core;g=ENSMUSG00000020694","ENSMUSG00000020694")</f>
        <v>ENSMUSG00000020694</v>
      </c>
      <c r="I1672" s="7" t="str">
        <f>HYPERLINK("http://www.informatics.jax.org/marker/MGI:1346023","MGI:1346023")</f>
        <v>MGI:1346023</v>
      </c>
      <c r="J1672" s="4" t="s">
        <v>12</v>
      </c>
    </row>
    <row r="1673" spans="1:10" x14ac:dyDescent="0.25">
      <c r="A1673" s="2">
        <v>5329.1407320099597</v>
      </c>
      <c r="B1673" s="3">
        <v>0.51971869136800697</v>
      </c>
      <c r="C1673" s="5">
        <v>2.7837770924258203E-20</v>
      </c>
      <c r="D1673" s="6">
        <v>4.4270800619075496E-19</v>
      </c>
      <c r="E1673" s="3" t="s">
        <v>2171</v>
      </c>
      <c r="F1673" s="3" t="s">
        <v>2172</v>
      </c>
      <c r="G1673" s="3">
        <v>104458</v>
      </c>
      <c r="H1673" s="7" t="str">
        <f>HYPERLINK("http://www.ensembl.org/Mus_musculus/Gene/Summary?db=core;g=ENSMUSG00000018848","ENSMUSG00000018848")</f>
        <v>ENSMUSG00000018848</v>
      </c>
      <c r="I1673" s="7" t="str">
        <f>HYPERLINK("http://www.informatics.jax.org/marker/MGI:1914297","MGI:1914297")</f>
        <v>MGI:1914297</v>
      </c>
      <c r="J1673" s="4" t="s">
        <v>12</v>
      </c>
    </row>
    <row r="1674" spans="1:10" x14ac:dyDescent="0.25">
      <c r="A1674" s="2">
        <v>382.07429791364399</v>
      </c>
      <c r="B1674" s="3">
        <v>0.51913997234460896</v>
      </c>
      <c r="C1674" s="5">
        <v>2.1143891929924701E-5</v>
      </c>
      <c r="D1674" s="6">
        <v>9.8428462432408094E-5</v>
      </c>
      <c r="E1674" s="3" t="s">
        <v>4459</v>
      </c>
      <c r="F1674" s="3" t="s">
        <v>4460</v>
      </c>
      <c r="G1674" s="3">
        <v>328833</v>
      </c>
      <c r="H1674" s="7" t="str">
        <f>HYPERLINK("http://www.ensembl.org/Mus_musculus/Gene/Summary?db=core;g=ENSMUSG00000071068","ENSMUSG00000071068")</f>
        <v>ENSMUSG00000071068</v>
      </c>
      <c r="I1674" s="7" t="str">
        <f>HYPERLINK("http://www.informatics.jax.org/marker/MGI:2147038","MGI:2147038")</f>
        <v>MGI:2147038</v>
      </c>
      <c r="J1674" s="4" t="s">
        <v>12</v>
      </c>
    </row>
    <row r="1675" spans="1:10" x14ac:dyDescent="0.25">
      <c r="A1675" s="2">
        <v>4019.1592329642599</v>
      </c>
      <c r="B1675" s="3">
        <v>0.518344263130737</v>
      </c>
      <c r="C1675" s="5">
        <v>1.76483406679254E-14</v>
      </c>
      <c r="D1675" s="6">
        <v>2.00900067878164E-13</v>
      </c>
      <c r="E1675" s="3" t="s">
        <v>3408</v>
      </c>
      <c r="F1675" s="3" t="s">
        <v>3409</v>
      </c>
      <c r="G1675" s="3">
        <v>110960</v>
      </c>
      <c r="H1675" s="7" t="str">
        <f>HYPERLINK("http://www.ensembl.org/Mus_musculus/Gene/Summary?db=core;g=ENSMUSG00000022241","ENSMUSG00000022241")</f>
        <v>ENSMUSG00000022241</v>
      </c>
      <c r="I1675" s="7" t="str">
        <f>HYPERLINK("http://www.informatics.jax.org/marker/MGI:106314","MGI:106314")</f>
        <v>MGI:106314</v>
      </c>
      <c r="J1675" s="4" t="s">
        <v>12</v>
      </c>
    </row>
    <row r="1676" spans="1:10" x14ac:dyDescent="0.25">
      <c r="A1676" s="2">
        <v>4190.8689386421702</v>
      </c>
      <c r="B1676" s="3">
        <v>0.51783791565896098</v>
      </c>
      <c r="C1676" s="5">
        <v>1.68188156452626E-9</v>
      </c>
      <c r="D1676" s="6">
        <v>1.27505372352292E-8</v>
      </c>
      <c r="E1676" s="3" t="s">
        <v>4259</v>
      </c>
      <c r="F1676" s="3" t="s">
        <v>4260</v>
      </c>
      <c r="G1676" s="3">
        <v>105855</v>
      </c>
      <c r="H1676" s="7" t="str">
        <f>HYPERLINK("http://www.ensembl.org/Mus_musculus/Gene/Summary?db=core;g=ENSMUSG00000022488","ENSMUSG00000022488")</f>
        <v>ENSMUSG00000022488</v>
      </c>
      <c r="I1676" s="7" t="str">
        <f>HYPERLINK("http://www.informatics.jax.org/marker/MGI:1926063","MGI:1926063")</f>
        <v>MGI:1926063</v>
      </c>
      <c r="J1676" s="4" t="s">
        <v>12</v>
      </c>
    </row>
    <row r="1677" spans="1:10" x14ac:dyDescent="0.25">
      <c r="A1677" s="2">
        <v>459.39889775575301</v>
      </c>
      <c r="B1677" s="3">
        <v>0.51711022314046795</v>
      </c>
      <c r="C1677" s="5">
        <v>7.1741610882568296E-16</v>
      </c>
      <c r="D1677" s="6">
        <v>8.9248522753229197E-15</v>
      </c>
      <c r="E1677" s="3" t="s">
        <v>7436</v>
      </c>
      <c r="F1677" s="3" t="s">
        <v>7437</v>
      </c>
      <c r="G1677" s="3">
        <v>57357</v>
      </c>
      <c r="H1677" s="7" t="str">
        <f>HYPERLINK("http://www.ensembl.org/Mus_musculus/Gene/Summary?db=core;g=ENSMUSG00000029233","ENSMUSG00000029233")</f>
        <v>ENSMUSG00000029233</v>
      </c>
      <c r="I1677" s="7" t="str">
        <f>HYPERLINK("http://www.informatics.jax.org/marker/MGI:1930252","MGI:1930252")</f>
        <v>MGI:1930252</v>
      </c>
      <c r="J1677" s="4" t="s">
        <v>12</v>
      </c>
    </row>
    <row r="1678" spans="1:10" x14ac:dyDescent="0.25">
      <c r="A1678" s="2">
        <v>6911.3256915040502</v>
      </c>
      <c r="B1678" s="3">
        <v>0.51693077072249105</v>
      </c>
      <c r="C1678" s="5">
        <v>1.8660655372034599E-17</v>
      </c>
      <c r="D1678" s="6">
        <v>2.5455871568512799E-16</v>
      </c>
      <c r="E1678" s="3" t="s">
        <v>3134</v>
      </c>
      <c r="F1678" s="3" t="s">
        <v>3135</v>
      </c>
      <c r="G1678" s="3">
        <v>14312</v>
      </c>
      <c r="H1678" s="7" t="str">
        <f>HYPERLINK("http://www.ensembl.org/Mus_musculus/Gene/Summary?db=core;g=ENSMUSG00000024335","ENSMUSG00000024335")</f>
        <v>ENSMUSG00000024335</v>
      </c>
      <c r="I1678" s="7" t="str">
        <f>HYPERLINK("http://www.informatics.jax.org/marker/MGI:99495","MGI:99495")</f>
        <v>MGI:99495</v>
      </c>
      <c r="J1678" s="4" t="s">
        <v>12</v>
      </c>
    </row>
    <row r="1679" spans="1:10" x14ac:dyDescent="0.25">
      <c r="A1679" s="2">
        <v>0.975545949212414</v>
      </c>
      <c r="B1679" s="3">
        <v>0.51678385962523199</v>
      </c>
      <c r="C1679" s="3">
        <v>0.227947480338478</v>
      </c>
      <c r="D1679" s="4">
        <v>0.38749583333352799</v>
      </c>
      <c r="E1679" s="3" t="s">
        <v>12131</v>
      </c>
      <c r="F1679" s="3" t="s">
        <v>12132</v>
      </c>
      <c r="G1679" s="3" t="s">
        <v>83</v>
      </c>
      <c r="H1679" s="7" t="str">
        <f>HYPERLINK("http://www.ensembl.org/Mus_musculus/Gene/Summary?db=core;g=ENSMUSG00000117269","ENSMUSG00000117269")</f>
        <v>ENSMUSG00000117269</v>
      </c>
      <c r="I1679" s="7" t="str">
        <f>HYPERLINK("http://www.informatics.jax.org/marker/MGI:3780113","MGI:3780113")</f>
        <v>MGI:3780113</v>
      </c>
      <c r="J1679" s="4" t="s">
        <v>1043</v>
      </c>
    </row>
    <row r="1680" spans="1:10" x14ac:dyDescent="0.25">
      <c r="A1680" s="2">
        <v>547.84358928185998</v>
      </c>
      <c r="B1680" s="3">
        <v>0.51614878833049904</v>
      </c>
      <c r="C1680" s="5">
        <v>7.2675879235614998E-6</v>
      </c>
      <c r="D1680" s="6">
        <v>3.6248437303477998E-5</v>
      </c>
      <c r="E1680" s="3" t="s">
        <v>10818</v>
      </c>
      <c r="F1680" s="3" t="s">
        <v>10819</v>
      </c>
      <c r="G1680" s="3">
        <v>52855</v>
      </c>
      <c r="H1680" s="7" t="str">
        <f>HYPERLINK("http://www.ensembl.org/Mus_musculus/Gene/Summary?db=core;g=ENSMUSG00000055541","ENSMUSG00000055541")</f>
        <v>ENSMUSG00000055541</v>
      </c>
      <c r="I1680" s="7" t="str">
        <f>HYPERLINK("http://www.informatics.jax.org/marker/MGI:105492","MGI:105492")</f>
        <v>MGI:105492</v>
      </c>
      <c r="J1680" s="4" t="s">
        <v>12</v>
      </c>
    </row>
    <row r="1681" spans="1:10" x14ac:dyDescent="0.25">
      <c r="A1681" s="2">
        <v>2020.9971575828499</v>
      </c>
      <c r="B1681" s="3">
        <v>0.51605514575983902</v>
      </c>
      <c r="C1681" s="5">
        <v>4.2509455541793696E-21</v>
      </c>
      <c r="D1681" s="6">
        <v>7.02388782637526E-20</v>
      </c>
      <c r="E1681" s="3" t="s">
        <v>2786</v>
      </c>
      <c r="F1681" s="3" t="s">
        <v>2787</v>
      </c>
      <c r="G1681" s="3">
        <v>103583</v>
      </c>
      <c r="H1681" s="7" t="str">
        <f>HYPERLINK("http://www.ensembl.org/Mus_musculus/Gene/Summary?db=core;g=ENSMUSG00000020271","ENSMUSG00000020271")</f>
        <v>ENSMUSG00000020271</v>
      </c>
      <c r="I1681" s="7" t="str">
        <f>HYPERLINK("http://www.informatics.jax.org/marker/MGI:2144023","MGI:2144023")</f>
        <v>MGI:2144023</v>
      </c>
      <c r="J1681" s="4" t="s">
        <v>12</v>
      </c>
    </row>
    <row r="1682" spans="1:10" x14ac:dyDescent="0.25">
      <c r="A1682" s="2">
        <v>1278.8274139954201</v>
      </c>
      <c r="B1682" s="3">
        <v>0.51597468468585295</v>
      </c>
      <c r="C1682" s="5">
        <v>3.5291196536932499E-22</v>
      </c>
      <c r="D1682" s="6">
        <v>6.19635892953367E-21</v>
      </c>
      <c r="E1682" s="3" t="s">
        <v>2992</v>
      </c>
      <c r="F1682" s="3" t="s">
        <v>2993</v>
      </c>
      <c r="G1682" s="3">
        <v>11798</v>
      </c>
      <c r="H1682" s="7" t="str">
        <f>HYPERLINK("http://www.ensembl.org/Mus_musculus/Gene/Summary?db=core;g=ENSMUSG00000025860","ENSMUSG00000025860")</f>
        <v>ENSMUSG00000025860</v>
      </c>
      <c r="I1682" s="7" t="str">
        <f>HYPERLINK("http://www.informatics.jax.org/marker/MGI:107572","MGI:107572")</f>
        <v>MGI:107572</v>
      </c>
      <c r="J1682" s="4" t="s">
        <v>12</v>
      </c>
    </row>
    <row r="1683" spans="1:10" x14ac:dyDescent="0.25">
      <c r="A1683" s="2">
        <v>3260.0687700879898</v>
      </c>
      <c r="B1683" s="3">
        <v>0.51578114845130996</v>
      </c>
      <c r="C1683" s="5">
        <v>1.0485203056429E-34</v>
      </c>
      <c r="D1683" s="6">
        <v>3.0526010495753799E-33</v>
      </c>
      <c r="E1683" s="3" t="s">
        <v>1064</v>
      </c>
      <c r="F1683" s="3" t="s">
        <v>1065</v>
      </c>
      <c r="G1683" s="3">
        <v>69237</v>
      </c>
      <c r="H1683" s="7" t="str">
        <f>HYPERLINK("http://www.ensembl.org/Mus_musculus/Gene/Summary?db=core;g=ENSMUSG00000021149","ENSMUSG00000021149")</f>
        <v>ENSMUSG00000021149</v>
      </c>
      <c r="I1683" s="7" t="str">
        <f>HYPERLINK("http://www.informatics.jax.org/marker/MGI:1916487","MGI:1916487")</f>
        <v>MGI:1916487</v>
      </c>
      <c r="J1683" s="4" t="s">
        <v>12</v>
      </c>
    </row>
    <row r="1684" spans="1:10" x14ac:dyDescent="0.25">
      <c r="A1684" s="2">
        <v>405.14445119823</v>
      </c>
      <c r="B1684" s="3">
        <v>0.51546088855295802</v>
      </c>
      <c r="C1684" s="5">
        <v>1.1583105780864101E-9</v>
      </c>
      <c r="D1684" s="6">
        <v>8.9185510289923094E-9</v>
      </c>
      <c r="E1684" s="3" t="s">
        <v>8177</v>
      </c>
      <c r="F1684" s="3" t="s">
        <v>8178</v>
      </c>
      <c r="G1684" s="3">
        <v>70122</v>
      </c>
      <c r="H1684" s="7" t="str">
        <f>HYPERLINK("http://www.ensembl.org/Mus_musculus/Gene/Summary?db=core;g=ENSMUSG00000028496","ENSMUSG00000028496")</f>
        <v>ENSMUSG00000028496</v>
      </c>
      <c r="I1684" s="7" t="str">
        <f>HYPERLINK("http://www.informatics.jax.org/marker/MGI:1917372","MGI:1917372")</f>
        <v>MGI:1917372</v>
      </c>
      <c r="J1684" s="4" t="s">
        <v>12</v>
      </c>
    </row>
    <row r="1685" spans="1:10" x14ac:dyDescent="0.25">
      <c r="A1685" s="2">
        <v>605.67599938359797</v>
      </c>
      <c r="B1685" s="3">
        <v>0.51518088704477205</v>
      </c>
      <c r="C1685" s="5">
        <v>7.3673797339876905E-12</v>
      </c>
      <c r="D1685" s="6">
        <v>6.9247290176341199E-11</v>
      </c>
      <c r="E1685" s="3" t="s">
        <v>2760</v>
      </c>
      <c r="F1685" s="3" t="s">
        <v>2761</v>
      </c>
      <c r="G1685" s="3">
        <v>109815</v>
      </c>
      <c r="H1685" s="7" t="str">
        <f>HYPERLINK("http://www.ensembl.org/Mus_musculus/Gene/Summary?db=core;g=ENSMUSG00000075701","ENSMUSG00000075701")</f>
        <v>ENSMUSG00000075701</v>
      </c>
      <c r="I1685" s="7" t="str">
        <f>HYPERLINK("http://www.informatics.jax.org/marker/MGI:95994","MGI:95994")</f>
        <v>MGI:95994</v>
      </c>
      <c r="J1685" s="4" t="s">
        <v>12</v>
      </c>
    </row>
    <row r="1686" spans="1:10" x14ac:dyDescent="0.25">
      <c r="A1686" s="2">
        <v>1068.19549227633</v>
      </c>
      <c r="B1686" s="3">
        <v>0.51486990333115101</v>
      </c>
      <c r="C1686" s="5">
        <v>3.4782469461338201E-17</v>
      </c>
      <c r="D1686" s="6">
        <v>4.6748562384431397E-16</v>
      </c>
      <c r="E1686" s="3" t="s">
        <v>5181</v>
      </c>
      <c r="F1686" s="3" t="s">
        <v>5182</v>
      </c>
      <c r="G1686" s="3">
        <v>11977</v>
      </c>
      <c r="H1686" s="7" t="str">
        <f>HYPERLINK("http://www.ensembl.org/Mus_musculus/Gene/Summary?db=core;g=ENSMUSG00000033792","ENSMUSG00000033792")</f>
        <v>ENSMUSG00000033792</v>
      </c>
      <c r="I1686" s="7" t="str">
        <f>HYPERLINK("http://www.informatics.jax.org/marker/MGI:99400","MGI:99400")</f>
        <v>MGI:99400</v>
      </c>
      <c r="J1686" s="4" t="s">
        <v>12</v>
      </c>
    </row>
    <row r="1687" spans="1:10" x14ac:dyDescent="0.25">
      <c r="A1687" s="2">
        <v>2383.2400023416799</v>
      </c>
      <c r="B1687" s="3">
        <v>0.51408708246089996</v>
      </c>
      <c r="C1687" s="5">
        <v>1.32478899550125E-27</v>
      </c>
      <c r="D1687" s="6">
        <v>2.9697760692509503E-26</v>
      </c>
      <c r="E1687" s="3" t="s">
        <v>682</v>
      </c>
      <c r="F1687" s="3" t="s">
        <v>683</v>
      </c>
      <c r="G1687" s="3">
        <v>231713</v>
      </c>
      <c r="H1687" s="7" t="str">
        <f>HYPERLINK("http://www.ensembl.org/Mus_musculus/Gene/Summary?db=core;g=ENSMUSG00000042719","ENSMUSG00000042719")</f>
        <v>ENSMUSG00000042719</v>
      </c>
      <c r="I1687" s="7" t="str">
        <f>HYPERLINK("http://www.informatics.jax.org/marker/MGI:2442563","MGI:2442563")</f>
        <v>MGI:2442563</v>
      </c>
      <c r="J1687" s="4" t="s">
        <v>12</v>
      </c>
    </row>
    <row r="1688" spans="1:10" x14ac:dyDescent="0.25">
      <c r="A1688" s="2">
        <v>2239.7898907648</v>
      </c>
      <c r="B1688" s="3">
        <v>0.51407490826259306</v>
      </c>
      <c r="C1688" s="5">
        <v>9.7603517144474697E-18</v>
      </c>
      <c r="D1688" s="6">
        <v>1.3558110517972899E-16</v>
      </c>
      <c r="E1688" s="3" t="s">
        <v>1638</v>
      </c>
      <c r="F1688" s="3" t="s">
        <v>1639</v>
      </c>
      <c r="G1688" s="3" t="s">
        <v>83</v>
      </c>
      <c r="H1688" s="7" t="str">
        <f>HYPERLINK("http://www.ensembl.org/Mus_musculus/Gene/Summary?db=core;g=ENSMUSG00000098374","ENSMUSG00000098374")</f>
        <v>ENSMUSG00000098374</v>
      </c>
      <c r="I1688" s="7" t="str">
        <f>HYPERLINK("http://www.informatics.jax.org/marker/MGI:5547779","MGI:5547779")</f>
        <v>MGI:5547779</v>
      </c>
      <c r="J1688" s="4" t="s">
        <v>12</v>
      </c>
    </row>
    <row r="1689" spans="1:10" x14ac:dyDescent="0.25">
      <c r="A1689" s="2">
        <v>918.63444519131804</v>
      </c>
      <c r="B1689" s="3">
        <v>0.51388118271528305</v>
      </c>
      <c r="C1689" s="5">
        <v>1.8318170199246501E-14</v>
      </c>
      <c r="D1689" s="6">
        <v>2.0813506975141299E-13</v>
      </c>
      <c r="E1689" s="3" t="s">
        <v>5111</v>
      </c>
      <c r="F1689" s="3" t="s">
        <v>5112</v>
      </c>
      <c r="G1689" s="3">
        <v>101476</v>
      </c>
      <c r="H1689" s="7" t="str">
        <f>HYPERLINK("http://www.ensembl.org/Mus_musculus/Gene/Summary?db=core;g=ENSMUSG00000040268","ENSMUSG00000040268")</f>
        <v>ENSMUSG00000040268</v>
      </c>
      <c r="I1689" s="7" t="str">
        <f>HYPERLINK("http://www.informatics.jax.org/marker/MGI:2442213","MGI:2442213")</f>
        <v>MGI:2442213</v>
      </c>
      <c r="J1689" s="4" t="s">
        <v>12</v>
      </c>
    </row>
    <row r="1690" spans="1:10" x14ac:dyDescent="0.25">
      <c r="A1690" s="2">
        <v>13.1549298125385</v>
      </c>
      <c r="B1690" s="3">
        <v>0.512632728908752</v>
      </c>
      <c r="C1690" s="3">
        <v>0.12890803828939701</v>
      </c>
      <c r="D1690" s="4">
        <v>0.25006375708613698</v>
      </c>
      <c r="E1690" s="3" t="s">
        <v>10776</v>
      </c>
      <c r="F1690" s="3" t="s">
        <v>10777</v>
      </c>
      <c r="G1690" s="3" t="s">
        <v>83</v>
      </c>
      <c r="H1690" s="7" t="str">
        <f>HYPERLINK("http://www.ensembl.org/Mus_musculus/Gene/Summary?db=core;g=ENSMUSG00000073144","ENSMUSG00000073144")</f>
        <v>ENSMUSG00000073144</v>
      </c>
      <c r="I1690" s="7" t="str">
        <f>HYPERLINK("http://www.informatics.jax.org/marker/MGI:1922629","MGI:1922629")</f>
        <v>MGI:1922629</v>
      </c>
      <c r="J1690" s="4" t="s">
        <v>932</v>
      </c>
    </row>
    <row r="1691" spans="1:10" x14ac:dyDescent="0.25">
      <c r="A1691" s="2">
        <v>6315.7563844049</v>
      </c>
      <c r="B1691" s="3">
        <v>0.51261110832356005</v>
      </c>
      <c r="C1691" s="5">
        <v>5.8518030726532299E-46</v>
      </c>
      <c r="D1691" s="6">
        <v>2.5153092216770101E-44</v>
      </c>
      <c r="E1691" s="3" t="s">
        <v>858</v>
      </c>
      <c r="F1691" s="3" t="s">
        <v>859</v>
      </c>
      <c r="G1691" s="3">
        <v>225363</v>
      </c>
      <c r="H1691" s="7" t="str">
        <f>HYPERLINK("http://www.ensembl.org/Mus_musculus/Gene/Summary?db=core;g=ENSMUSG00000024360","ENSMUSG00000024360")</f>
        <v>ENSMUSG00000024360</v>
      </c>
      <c r="I1691" s="7" t="str">
        <f>HYPERLINK("http://www.informatics.jax.org/marker/MGI:2385071","MGI:2385071")</f>
        <v>MGI:2385071</v>
      </c>
      <c r="J1691" s="4" t="s">
        <v>12</v>
      </c>
    </row>
    <row r="1692" spans="1:10" x14ac:dyDescent="0.25">
      <c r="A1692" s="2">
        <v>833.81456299924002</v>
      </c>
      <c r="B1692" s="3">
        <v>0.51251000868124497</v>
      </c>
      <c r="C1692" s="5">
        <v>3.67631070567813E-5</v>
      </c>
      <c r="D1692" s="4">
        <v>1.64499785443123E-4</v>
      </c>
      <c r="E1692" s="3" t="s">
        <v>6055</v>
      </c>
      <c r="F1692" s="3" t="s">
        <v>6056</v>
      </c>
      <c r="G1692" s="3">
        <v>23845</v>
      </c>
      <c r="H1692" s="7" t="str">
        <f>HYPERLINK("http://www.ensembl.org/Mus_musculus/Gene/Summary?db=core;g=ENSMUSG00000029915","ENSMUSG00000029915")</f>
        <v>ENSMUSG00000029915</v>
      </c>
      <c r="I1692" s="7" t="str">
        <f>HYPERLINK("http://www.informatics.jax.org/marker/MGI:1345151","MGI:1345151")</f>
        <v>MGI:1345151</v>
      </c>
      <c r="J1692" s="4" t="s">
        <v>12</v>
      </c>
    </row>
    <row r="1693" spans="1:10" x14ac:dyDescent="0.25">
      <c r="A1693" s="2">
        <v>857.555609592976</v>
      </c>
      <c r="B1693" s="3">
        <v>0.51232450510081495</v>
      </c>
      <c r="C1693" s="5">
        <v>3.99173837175045E-10</v>
      </c>
      <c r="D1693" s="6">
        <v>3.2405092127016401E-9</v>
      </c>
      <c r="E1693" s="3" t="s">
        <v>4441</v>
      </c>
      <c r="F1693" s="3" t="s">
        <v>4442</v>
      </c>
      <c r="G1693" s="3">
        <v>67338</v>
      </c>
      <c r="H1693" s="7" t="str">
        <f>HYPERLINK("http://www.ensembl.org/Mus_musculus/Gene/Summary?db=core;g=ENSMUSG00000020696","ENSMUSG00000020696")</f>
        <v>ENSMUSG00000020696</v>
      </c>
      <c r="I1693" s="7" t="str">
        <f>HYPERLINK("http://www.informatics.jax.org/marker/MGI:1914588","MGI:1914588")</f>
        <v>MGI:1914588</v>
      </c>
      <c r="J1693" s="4" t="s">
        <v>12</v>
      </c>
    </row>
    <row r="1694" spans="1:10" x14ac:dyDescent="0.25">
      <c r="A1694" s="2">
        <v>636.09762790264404</v>
      </c>
      <c r="B1694" s="3">
        <v>0.51163583837720195</v>
      </c>
      <c r="C1694" s="5">
        <v>2.14847676321199E-5</v>
      </c>
      <c r="D1694" s="6">
        <v>9.99387162060708E-5</v>
      </c>
      <c r="E1694" s="3" t="s">
        <v>6579</v>
      </c>
      <c r="F1694" s="3" t="s">
        <v>6580</v>
      </c>
      <c r="G1694" s="3">
        <v>56055</v>
      </c>
      <c r="H1694" s="7" t="str">
        <f>HYPERLINK("http://www.ensembl.org/Mus_musculus/Gene/Summary?db=core;g=ENSMUSG00000023952","ENSMUSG00000023952")</f>
        <v>ENSMUSG00000023952</v>
      </c>
      <c r="I1694" s="7" t="str">
        <f>HYPERLINK("http://www.informatics.jax.org/marker/MGI:1860138","MGI:1860138")</f>
        <v>MGI:1860138</v>
      </c>
      <c r="J1694" s="4" t="s">
        <v>12</v>
      </c>
    </row>
    <row r="1695" spans="1:10" x14ac:dyDescent="0.25">
      <c r="A1695" s="2">
        <v>131.16206232650501</v>
      </c>
      <c r="B1695" s="3">
        <v>0.51140572543180995</v>
      </c>
      <c r="C1695" s="3">
        <v>4.3163302778687301E-4</v>
      </c>
      <c r="D1695" s="4">
        <v>1.6192902287805199E-3</v>
      </c>
      <c r="E1695" s="3" t="s">
        <v>9787</v>
      </c>
      <c r="F1695" s="3" t="s">
        <v>9788</v>
      </c>
      <c r="G1695" s="3">
        <v>18128</v>
      </c>
      <c r="H1695" s="7" t="str">
        <f>HYPERLINK("http://www.ensembl.org/Mus_musculus/Gene/Summary?db=core;g=ENSMUSG00000026923","ENSMUSG00000026923")</f>
        <v>ENSMUSG00000026923</v>
      </c>
      <c r="I1695" s="7" t="str">
        <f>HYPERLINK("http://www.informatics.jax.org/marker/MGI:97363","MGI:97363")</f>
        <v>MGI:97363</v>
      </c>
      <c r="J1695" s="4" t="s">
        <v>12</v>
      </c>
    </row>
    <row r="1696" spans="1:10" x14ac:dyDescent="0.25">
      <c r="A1696" s="2">
        <v>1606.73686611109</v>
      </c>
      <c r="B1696" s="3">
        <v>0.51067263332438195</v>
      </c>
      <c r="C1696" s="5">
        <v>1.6753634365666802E-8</v>
      </c>
      <c r="D1696" s="6">
        <v>1.13846005337166E-7</v>
      </c>
      <c r="E1696" s="3" t="s">
        <v>2577</v>
      </c>
      <c r="F1696" s="3" t="s">
        <v>2578</v>
      </c>
      <c r="G1696" s="3">
        <v>69104</v>
      </c>
      <c r="H1696" s="7" t="str">
        <f>HYPERLINK("http://www.ensembl.org/Mus_musculus/Gene/Summary?db=core;g=ENSMUSG00000023307","ENSMUSG00000023307")</f>
        <v>ENSMUSG00000023307</v>
      </c>
      <c r="I1696" s="7" t="str">
        <f>HYPERLINK("http://www.informatics.jax.org/marker/MGI:1915207","MGI:1915207")</f>
        <v>MGI:1915207</v>
      </c>
      <c r="J1696" s="4" t="s">
        <v>12</v>
      </c>
    </row>
    <row r="1697" spans="1:10" x14ac:dyDescent="0.25">
      <c r="A1697" s="2">
        <v>4591.7364432232698</v>
      </c>
      <c r="B1697" s="3">
        <v>0.51052323196527805</v>
      </c>
      <c r="C1697" s="3">
        <v>1.13839759723326E-4</v>
      </c>
      <c r="D1697" s="4">
        <v>4.7120818100331897E-4</v>
      </c>
      <c r="E1697" s="3" t="s">
        <v>9968</v>
      </c>
      <c r="F1697" s="3" t="s">
        <v>9969</v>
      </c>
      <c r="G1697" s="3">
        <v>13733</v>
      </c>
      <c r="H1697" s="7" t="str">
        <f>HYPERLINK("http://www.ensembl.org/Mus_musculus/Gene/Summary?db=core;g=ENSMUSG00000004730","ENSMUSG00000004730")</f>
        <v>ENSMUSG00000004730</v>
      </c>
      <c r="I1697" s="7" t="str">
        <f>HYPERLINK("http://www.informatics.jax.org/marker/MGI:106912","MGI:106912")</f>
        <v>MGI:106912</v>
      </c>
      <c r="J1697" s="4" t="s">
        <v>12</v>
      </c>
    </row>
    <row r="1698" spans="1:10" x14ac:dyDescent="0.25">
      <c r="A1698" s="2">
        <v>41.297376529173398</v>
      </c>
      <c r="B1698" s="3">
        <v>0.51042588133937095</v>
      </c>
      <c r="C1698" s="3">
        <v>1.1340738758136199E-2</v>
      </c>
      <c r="D1698" s="4">
        <v>3.1382472497271802E-2</v>
      </c>
      <c r="E1698" s="3" t="s">
        <v>11088</v>
      </c>
      <c r="F1698" s="3" t="s">
        <v>11089</v>
      </c>
      <c r="G1698" s="3" t="s">
        <v>83</v>
      </c>
      <c r="H1698" s="7" t="str">
        <f>HYPERLINK("http://www.ensembl.org/Mus_musculus/Gene/Summary?db=core;g=ENSMUSG00000070315","ENSMUSG00000070315")</f>
        <v>ENSMUSG00000070315</v>
      </c>
      <c r="I1698" s="7" t="str">
        <f>HYPERLINK("http://www.informatics.jax.org/marker/MGI:1926184","MGI:1926184")</f>
        <v>MGI:1926184</v>
      </c>
      <c r="J1698" s="4" t="s">
        <v>331</v>
      </c>
    </row>
    <row r="1699" spans="1:10" x14ac:dyDescent="0.25">
      <c r="A1699" s="2">
        <v>3132.0053222861702</v>
      </c>
      <c r="B1699" s="3">
        <v>0.51011193932295595</v>
      </c>
      <c r="C1699" s="5">
        <v>3.06482463571353E-25</v>
      </c>
      <c r="D1699" s="6">
        <v>6.1993816854471698E-24</v>
      </c>
      <c r="E1699" s="3" t="s">
        <v>1973</v>
      </c>
      <c r="F1699" s="3" t="s">
        <v>1974</v>
      </c>
      <c r="G1699" s="3">
        <v>245877</v>
      </c>
      <c r="H1699" s="7" t="str">
        <f>HYPERLINK("http://www.ensembl.org/Mus_musculus/Gene/Summary?db=core;g=ENSMUSG00000028849","ENSMUSG00000028849")</f>
        <v>ENSMUSG00000028849</v>
      </c>
      <c r="I1699" s="7" t="str">
        <f>HYPERLINK("http://www.informatics.jax.org/marker/MGI:2384297","MGI:2384297")</f>
        <v>MGI:2384297</v>
      </c>
      <c r="J1699" s="4" t="s">
        <v>12</v>
      </c>
    </row>
    <row r="1700" spans="1:10" x14ac:dyDescent="0.25">
      <c r="A1700" s="2">
        <v>1890.62294266751</v>
      </c>
      <c r="B1700" s="3">
        <v>0.50935677364445198</v>
      </c>
      <c r="C1700" s="5">
        <v>3.8433844270917903E-5</v>
      </c>
      <c r="D1700" s="4">
        <v>1.7113530706999201E-4</v>
      </c>
      <c r="E1700" s="3" t="s">
        <v>9939</v>
      </c>
      <c r="F1700" s="3" t="s">
        <v>9940</v>
      </c>
      <c r="G1700" s="3">
        <v>16408</v>
      </c>
      <c r="H1700" s="7" t="str">
        <f>HYPERLINK("http://www.ensembl.org/Mus_musculus/Gene/Summary?db=core;g=ENSMUSG00000030830","ENSMUSG00000030830")</f>
        <v>ENSMUSG00000030830</v>
      </c>
      <c r="I1700" s="7" t="str">
        <f>HYPERLINK("http://www.informatics.jax.org/marker/MGI:96606","MGI:96606")</f>
        <v>MGI:96606</v>
      </c>
      <c r="J1700" s="4" t="s">
        <v>12</v>
      </c>
    </row>
    <row r="1701" spans="1:10" x14ac:dyDescent="0.25">
      <c r="A1701" s="2">
        <v>506.05463091919802</v>
      </c>
      <c r="B1701" s="3">
        <v>0.50882864667918404</v>
      </c>
      <c r="C1701" s="5">
        <v>2.1894677601301501E-11</v>
      </c>
      <c r="D1701" s="6">
        <v>1.9812835118357501E-10</v>
      </c>
      <c r="E1701" s="3" t="s">
        <v>3764</v>
      </c>
      <c r="F1701" s="3" t="s">
        <v>3765</v>
      </c>
      <c r="G1701" s="3">
        <v>70427</v>
      </c>
      <c r="H1701" s="7" t="str">
        <f>HYPERLINK("http://www.ensembl.org/Mus_musculus/Gene/Summary?db=core;g=ENSMUSG00000042570","ENSMUSG00000042570")</f>
        <v>ENSMUSG00000042570</v>
      </c>
      <c r="I1701" s="7" t="str">
        <f>HYPERLINK("http://www.informatics.jax.org/marker/MGI:1917677","MGI:1917677")</f>
        <v>MGI:1917677</v>
      </c>
      <c r="J1701" s="4" t="s">
        <v>12</v>
      </c>
    </row>
    <row r="1702" spans="1:10" x14ac:dyDescent="0.25">
      <c r="A1702" s="2">
        <v>2358.5313334677398</v>
      </c>
      <c r="B1702" s="3">
        <v>0.50874996690759899</v>
      </c>
      <c r="C1702" s="5">
        <v>4.0887560341790403E-11</v>
      </c>
      <c r="D1702" s="6">
        <v>3.6173581904326701E-10</v>
      </c>
      <c r="E1702" s="3" t="s">
        <v>5487</v>
      </c>
      <c r="F1702" s="3" t="s">
        <v>5488</v>
      </c>
      <c r="G1702" s="3">
        <v>12035</v>
      </c>
      <c r="H1702" s="7" t="str">
        <f>HYPERLINK("http://www.ensembl.org/Mus_musculus/Gene/Summary?db=core;g=ENSMUSG00000030268","ENSMUSG00000030268")</f>
        <v>ENSMUSG00000030268</v>
      </c>
      <c r="I1702" s="7" t="str">
        <f>HYPERLINK("http://www.informatics.jax.org/marker/MGI:104861","MGI:104861")</f>
        <v>MGI:104861</v>
      </c>
      <c r="J1702" s="4" t="s">
        <v>12</v>
      </c>
    </row>
    <row r="1703" spans="1:10" x14ac:dyDescent="0.25">
      <c r="A1703" s="2">
        <v>451.30952896899601</v>
      </c>
      <c r="B1703" s="3">
        <v>0.50848095788568604</v>
      </c>
      <c r="C1703" s="5">
        <v>5.9402905047964297E-9</v>
      </c>
      <c r="D1703" s="6">
        <v>4.2422333248399298E-8</v>
      </c>
      <c r="E1703" s="3" t="s">
        <v>4299</v>
      </c>
      <c r="F1703" s="3" t="s">
        <v>4300</v>
      </c>
      <c r="G1703" s="3">
        <v>14933</v>
      </c>
      <c r="H1703" s="7" t="str">
        <f>HYPERLINK("http://www.ensembl.org/Mus_musculus/Gene/Summary?db=core;g=ENSMUSG00000025059","ENSMUSG00000025059")</f>
        <v>ENSMUSG00000025059</v>
      </c>
      <c r="I1703" s="7" t="str">
        <f>HYPERLINK("http://www.informatics.jax.org/marker/MGI:106594","MGI:106594")</f>
        <v>MGI:106594</v>
      </c>
      <c r="J1703" s="4" t="s">
        <v>12</v>
      </c>
    </row>
    <row r="1704" spans="1:10" x14ac:dyDescent="0.25">
      <c r="A1704" s="2">
        <v>3369.96194577711</v>
      </c>
      <c r="B1704" s="3">
        <v>0.50841197273613703</v>
      </c>
      <c r="C1704" s="5">
        <v>1.25230957945163E-20</v>
      </c>
      <c r="D1704" s="6">
        <v>2.0251412675692901E-19</v>
      </c>
      <c r="E1704" s="3" t="s">
        <v>1408</v>
      </c>
      <c r="F1704" s="3" t="s">
        <v>1409</v>
      </c>
      <c r="G1704" s="3">
        <v>69077</v>
      </c>
      <c r="H1704" s="7" t="str">
        <f>HYPERLINK("http://www.ensembl.org/Mus_musculus/Gene/Summary?db=core;g=ENSMUSG00000017428","ENSMUSG00000017428")</f>
        <v>ENSMUSG00000017428</v>
      </c>
      <c r="I1704" s="7" t="str">
        <f>HYPERLINK("http://www.informatics.jax.org/marker/MGI:1916327","MGI:1916327")</f>
        <v>MGI:1916327</v>
      </c>
      <c r="J1704" s="4" t="s">
        <v>12</v>
      </c>
    </row>
    <row r="1705" spans="1:10" x14ac:dyDescent="0.25">
      <c r="A1705" s="2">
        <v>675.73378949592598</v>
      </c>
      <c r="B1705" s="3">
        <v>0.50824929290361898</v>
      </c>
      <c r="C1705" s="5">
        <v>2.6283445829127399E-7</v>
      </c>
      <c r="D1705" s="6">
        <v>1.57200620194452E-6</v>
      </c>
      <c r="E1705" s="3" t="s">
        <v>5341</v>
      </c>
      <c r="F1705" s="3" t="s">
        <v>5342</v>
      </c>
      <c r="G1705" s="3">
        <v>17436</v>
      </c>
      <c r="H1705" s="7" t="str">
        <f>HYPERLINK("http://www.ensembl.org/Mus_musculus/Gene/Summary?db=core;g=ENSMUSG00000032418","ENSMUSG00000032418")</f>
        <v>ENSMUSG00000032418</v>
      </c>
      <c r="I1705" s="7" t="str">
        <f>HYPERLINK("http://www.informatics.jax.org/marker/MGI:97043","MGI:97043")</f>
        <v>MGI:97043</v>
      </c>
      <c r="J1705" s="4" t="s">
        <v>12</v>
      </c>
    </row>
    <row r="1706" spans="1:10" x14ac:dyDescent="0.25">
      <c r="A1706" s="2">
        <v>1045.6254056519899</v>
      </c>
      <c r="B1706" s="3">
        <v>0.508082216908328</v>
      </c>
      <c r="C1706" s="5">
        <v>1.71206142121069E-10</v>
      </c>
      <c r="D1706" s="6">
        <v>1.43657087484184E-9</v>
      </c>
      <c r="E1706" s="3" t="s">
        <v>2153</v>
      </c>
      <c r="F1706" s="3" t="s">
        <v>2154</v>
      </c>
      <c r="G1706" s="3">
        <v>66711</v>
      </c>
      <c r="H1706" s="7" t="str">
        <f>HYPERLINK("http://www.ensembl.org/Mus_musculus/Gene/Summary?db=core;g=ENSMUSG00000025337","ENSMUSG00000025337")</f>
        <v>ENSMUSG00000025337</v>
      </c>
      <c r="I1706" s="7" t="str">
        <f>HYPERLINK("http://www.informatics.jax.org/marker/MGI:1913961","MGI:1913961")</f>
        <v>MGI:1913961</v>
      </c>
      <c r="J1706" s="4" t="s">
        <v>12</v>
      </c>
    </row>
    <row r="1707" spans="1:10" x14ac:dyDescent="0.25">
      <c r="A1707" s="2">
        <v>36088.2922474019</v>
      </c>
      <c r="B1707" s="3">
        <v>0.50745999379698303</v>
      </c>
      <c r="C1707" s="5">
        <v>3.5079174308591399E-10</v>
      </c>
      <c r="D1707" s="6">
        <v>2.8579255778903801E-9</v>
      </c>
      <c r="E1707" s="3" t="s">
        <v>6361</v>
      </c>
      <c r="F1707" s="3" t="s">
        <v>6362</v>
      </c>
      <c r="G1707" s="3">
        <v>64138</v>
      </c>
      <c r="H1707" s="7" t="str">
        <f>HYPERLINK("http://www.ensembl.org/Mus_musculus/Gene/Summary?db=core;g=ENSMUSG00000016256","ENSMUSG00000016256")</f>
        <v>ENSMUSG00000016256</v>
      </c>
      <c r="I1707" s="7" t="str">
        <f>HYPERLINK("http://www.informatics.jax.org/marker/MGI:1891190","MGI:1891190")</f>
        <v>MGI:1891190</v>
      </c>
      <c r="J1707" s="4" t="s">
        <v>12</v>
      </c>
    </row>
    <row r="1708" spans="1:10" x14ac:dyDescent="0.25">
      <c r="A1708" s="2">
        <v>2626.5625143185798</v>
      </c>
      <c r="B1708" s="3">
        <v>0.50732577228801601</v>
      </c>
      <c r="C1708" s="5">
        <v>1.1384147222292099E-19</v>
      </c>
      <c r="D1708" s="6">
        <v>1.7479029749475401E-18</v>
      </c>
      <c r="E1708" s="3" t="s">
        <v>2265</v>
      </c>
      <c r="F1708" s="3" t="s">
        <v>2266</v>
      </c>
      <c r="G1708" s="3">
        <v>207839</v>
      </c>
      <c r="H1708" s="7" t="str">
        <f>HYPERLINK("http://www.ensembl.org/Mus_musculus/Gene/Summary?db=core;g=ENSMUSG00000037280","ENSMUSG00000037280")</f>
        <v>ENSMUSG00000037280</v>
      </c>
      <c r="I1708" s="7" t="str">
        <f>HYPERLINK("http://www.informatics.jax.org/marker/MGI:1891640","MGI:1891640")</f>
        <v>MGI:1891640</v>
      </c>
      <c r="J1708" s="4" t="s">
        <v>12</v>
      </c>
    </row>
    <row r="1709" spans="1:10" x14ac:dyDescent="0.25">
      <c r="A1709" s="2">
        <v>1133.35106473685</v>
      </c>
      <c r="B1709" s="3">
        <v>0.50700822875438101</v>
      </c>
      <c r="C1709" s="5">
        <v>9.2049217638035699E-16</v>
      </c>
      <c r="D1709" s="6">
        <v>1.13658332754282E-14</v>
      </c>
      <c r="E1709" s="3" t="s">
        <v>3946</v>
      </c>
      <c r="F1709" s="3" t="s">
        <v>3947</v>
      </c>
      <c r="G1709" s="3">
        <v>20908</v>
      </c>
      <c r="H1709" s="7" t="str">
        <f>HYPERLINK("http://www.ensembl.org/Mus_musculus/Gene/Summary?db=core;g=ENSMUSG00000041488","ENSMUSG00000041488")</f>
        <v>ENSMUSG00000041488</v>
      </c>
      <c r="I1709" s="7" t="str">
        <f>HYPERLINK("http://www.informatics.jax.org/marker/MGI:103077","MGI:103077")</f>
        <v>MGI:103077</v>
      </c>
      <c r="J1709" s="4" t="s">
        <v>12</v>
      </c>
    </row>
    <row r="1710" spans="1:10" x14ac:dyDescent="0.25">
      <c r="A1710" s="2">
        <v>1449.4178910208</v>
      </c>
      <c r="B1710" s="3">
        <v>0.50691541818337205</v>
      </c>
      <c r="C1710" s="5">
        <v>8.8423701684866001E-18</v>
      </c>
      <c r="D1710" s="6">
        <v>1.22923109321639E-16</v>
      </c>
      <c r="E1710" s="3" t="s">
        <v>2569</v>
      </c>
      <c r="F1710" s="3" t="s">
        <v>2570</v>
      </c>
      <c r="G1710" s="3">
        <v>19334</v>
      </c>
      <c r="H1710" s="7" t="str">
        <f>HYPERLINK("http://www.ensembl.org/Mus_musculus/Gene/Summary?db=core;g=ENSMUSG00000027519","ENSMUSG00000027519")</f>
        <v>ENSMUSG00000027519</v>
      </c>
      <c r="I1710" s="7" t="str">
        <f>HYPERLINK("http://www.informatics.jax.org/marker/MGI:105072","MGI:105072")</f>
        <v>MGI:105072</v>
      </c>
      <c r="J1710" s="4" t="s">
        <v>12</v>
      </c>
    </row>
    <row r="1711" spans="1:10" x14ac:dyDescent="0.25">
      <c r="A1711" s="2">
        <v>5330.95435489585</v>
      </c>
      <c r="B1711" s="3">
        <v>0.50675978796871701</v>
      </c>
      <c r="C1711" s="5">
        <v>1.5639722835533699E-7</v>
      </c>
      <c r="D1711" s="6">
        <v>9.6100454712609998E-7</v>
      </c>
      <c r="E1711" s="3" t="s">
        <v>5237</v>
      </c>
      <c r="F1711" s="3" t="s">
        <v>5238</v>
      </c>
      <c r="G1711" s="3">
        <v>69116</v>
      </c>
      <c r="H1711" s="7" t="str">
        <f>HYPERLINK("http://www.ensembl.org/Mus_musculus/Gene/Summary?db=core;g=ENSMUSG00000066036","ENSMUSG00000066036")</f>
        <v>ENSMUSG00000066036</v>
      </c>
      <c r="I1711" s="7" t="str">
        <f>HYPERLINK("http://www.informatics.jax.org/marker/MGI:1916366","MGI:1916366")</f>
        <v>MGI:1916366</v>
      </c>
      <c r="J1711" s="4" t="s">
        <v>12</v>
      </c>
    </row>
    <row r="1712" spans="1:10" x14ac:dyDescent="0.25">
      <c r="A1712" s="2">
        <v>1088.8235541065201</v>
      </c>
      <c r="B1712" s="3">
        <v>0.50669514756824796</v>
      </c>
      <c r="C1712" s="5">
        <v>1.5796097815473701E-10</v>
      </c>
      <c r="D1712" s="6">
        <v>1.33217900364187E-9</v>
      </c>
      <c r="E1712" s="3" t="s">
        <v>4417</v>
      </c>
      <c r="F1712" s="3" t="s">
        <v>4418</v>
      </c>
      <c r="G1712" s="3">
        <v>77031</v>
      </c>
      <c r="H1712" s="7" t="str">
        <f>HYPERLINK("http://www.ensembl.org/Mus_musculus/Gene/Summary?db=core;g=ENSMUSG00000039463","ENSMUSG00000039463")</f>
        <v>ENSMUSG00000039463</v>
      </c>
      <c r="I1712" s="7" t="str">
        <f>HYPERLINK("http://www.informatics.jax.org/marker/MGI:1924281","MGI:1924281")</f>
        <v>MGI:1924281</v>
      </c>
      <c r="J1712" s="4" t="s">
        <v>12</v>
      </c>
    </row>
    <row r="1713" spans="1:10" x14ac:dyDescent="0.25">
      <c r="A1713" s="2">
        <v>589.92692899635097</v>
      </c>
      <c r="B1713" s="3">
        <v>0.506688343546426</v>
      </c>
      <c r="C1713" s="5">
        <v>1.0651323095349301E-9</v>
      </c>
      <c r="D1713" s="6">
        <v>8.2359085028740199E-9</v>
      </c>
      <c r="E1713" s="3" t="s">
        <v>4703</v>
      </c>
      <c r="F1713" s="3" t="s">
        <v>4704</v>
      </c>
      <c r="G1713" s="3">
        <v>76482</v>
      </c>
      <c r="H1713" s="7" t="str">
        <f>HYPERLINK("http://www.ensembl.org/Mus_musculus/Gene/Summary?db=core;g=ENSMUSG00000024410","ENSMUSG00000024410")</f>
        <v>ENSMUSG00000024410</v>
      </c>
      <c r="I1713" s="7" t="str">
        <f>HYPERLINK("http://www.informatics.jax.org/marker/MGI:1916528","MGI:1916528")</f>
        <v>MGI:1916528</v>
      </c>
      <c r="J1713" s="4" t="s">
        <v>12</v>
      </c>
    </row>
    <row r="1714" spans="1:10" x14ac:dyDescent="0.25">
      <c r="A1714" s="2">
        <v>2707.1144305878902</v>
      </c>
      <c r="B1714" s="3">
        <v>0.50649395296589095</v>
      </c>
      <c r="C1714" s="5">
        <v>7.0826451844194599E-9</v>
      </c>
      <c r="D1714" s="6">
        <v>5.0167589773044997E-8</v>
      </c>
      <c r="E1714" s="3" t="s">
        <v>6139</v>
      </c>
      <c r="F1714" s="3" t="s">
        <v>6140</v>
      </c>
      <c r="G1714" s="3">
        <v>13014</v>
      </c>
      <c r="H1714" s="7" t="str">
        <f>HYPERLINK("http://www.ensembl.org/Mus_musculus/Gene/Summary?db=core;g=ENSMUSG00000005054","ENSMUSG00000005054")</f>
        <v>ENSMUSG00000005054</v>
      </c>
      <c r="I1714" s="7" t="str">
        <f>HYPERLINK("http://www.informatics.jax.org/marker/MGI:109514","MGI:109514")</f>
        <v>MGI:109514</v>
      </c>
      <c r="J1714" s="4" t="s">
        <v>12</v>
      </c>
    </row>
    <row r="1715" spans="1:10" x14ac:dyDescent="0.25">
      <c r="A1715" s="2">
        <v>155.51524310059199</v>
      </c>
      <c r="B1715" s="3">
        <v>0.50644524567856197</v>
      </c>
      <c r="C1715" s="5">
        <v>5.7900157707027401E-5</v>
      </c>
      <c r="D1715" s="4">
        <v>2.5155758175679602E-4</v>
      </c>
      <c r="E1715" s="3" t="s">
        <v>9970</v>
      </c>
      <c r="F1715" s="3" t="s">
        <v>9971</v>
      </c>
      <c r="G1715" s="3">
        <v>224132</v>
      </c>
      <c r="H1715" s="7" t="str">
        <f>HYPERLINK("http://www.ensembl.org/Mus_musculus/Gene/Summary?db=core;g=ENSMUSG00000022848","ENSMUSG00000022848")</f>
        <v>ENSMUSG00000022848</v>
      </c>
      <c r="I1715" s="7" t="str">
        <f>HYPERLINK("http://www.informatics.jax.org/marker/MGI:2387188","MGI:2387188")</f>
        <v>MGI:2387188</v>
      </c>
      <c r="J1715" s="4" t="s">
        <v>12</v>
      </c>
    </row>
    <row r="1716" spans="1:10" x14ac:dyDescent="0.25">
      <c r="A1716" s="2">
        <v>823.85784287579702</v>
      </c>
      <c r="B1716" s="3">
        <v>0.50611032658913202</v>
      </c>
      <c r="C1716" s="5">
        <v>1.53942674810859E-13</v>
      </c>
      <c r="D1716" s="6">
        <v>1.64938580154492E-12</v>
      </c>
      <c r="E1716" s="3" t="s">
        <v>5271</v>
      </c>
      <c r="F1716" s="3" t="s">
        <v>5272</v>
      </c>
      <c r="G1716" s="3">
        <v>68441</v>
      </c>
      <c r="H1716" s="7" t="str">
        <f>HYPERLINK("http://www.ensembl.org/Mus_musculus/Gene/Summary?db=core;g=ENSMUSG00000070934","ENSMUSG00000070934")</f>
        <v>ENSMUSG00000070934</v>
      </c>
      <c r="I1716" s="7" t="str">
        <f>HYPERLINK("http://www.informatics.jax.org/marker/MGI:1915691","MGI:1915691")</f>
        <v>MGI:1915691</v>
      </c>
      <c r="J1716" s="4" t="s">
        <v>12</v>
      </c>
    </row>
    <row r="1717" spans="1:10" x14ac:dyDescent="0.25">
      <c r="A1717" s="2">
        <v>6304.2844633412396</v>
      </c>
      <c r="B1717" s="3">
        <v>0.50602235864077505</v>
      </c>
      <c r="C1717" s="5">
        <v>2.8621025668049902E-53</v>
      </c>
      <c r="D1717" s="6">
        <v>1.46521964269722E-51</v>
      </c>
      <c r="E1717" s="3" t="s">
        <v>812</v>
      </c>
      <c r="F1717" s="3" t="s">
        <v>813</v>
      </c>
      <c r="G1717" s="3">
        <v>109934</v>
      </c>
      <c r="H1717" s="7" t="str">
        <f>HYPERLINK("http://www.ensembl.org/Mus_musculus/Gene/Summary?db=core;g=ENSMUSG00000017631","ENSMUSG00000017631")</f>
        <v>ENSMUSG00000017631</v>
      </c>
      <c r="I1717" s="7" t="str">
        <f>HYPERLINK("http://www.informatics.jax.org/marker/MGI:107771","MGI:107771")</f>
        <v>MGI:107771</v>
      </c>
      <c r="J1717" s="4" t="s">
        <v>12</v>
      </c>
    </row>
    <row r="1718" spans="1:10" x14ac:dyDescent="0.25">
      <c r="A1718" s="2">
        <v>161.553639353688</v>
      </c>
      <c r="B1718" s="3">
        <v>0.50531866249717505</v>
      </c>
      <c r="C1718" s="3">
        <v>1.6637927558877399E-2</v>
      </c>
      <c r="D1718" s="4">
        <v>4.3996841230490399E-2</v>
      </c>
      <c r="E1718" s="3" t="s">
        <v>5197</v>
      </c>
      <c r="F1718" s="3" t="s">
        <v>5198</v>
      </c>
      <c r="G1718" s="3">
        <v>245240</v>
      </c>
      <c r="H1718" s="7" t="str">
        <f>HYPERLINK("http://www.ensembl.org/Mus_musculus/Gene/Summary?db=core;g=ENSMUSG00000069892","ENSMUSG00000069892")</f>
        <v>ENSMUSG00000069892</v>
      </c>
      <c r="I1718" s="7" t="str">
        <f>HYPERLINK("http://www.informatics.jax.org/marker/MGI:3711310","MGI:3711310")</f>
        <v>MGI:3711310</v>
      </c>
      <c r="J1718" s="4" t="s">
        <v>12</v>
      </c>
    </row>
    <row r="1719" spans="1:10" x14ac:dyDescent="0.25">
      <c r="A1719" s="2">
        <v>1756.37553519475</v>
      </c>
      <c r="B1719" s="3">
        <v>0.50321667884041399</v>
      </c>
      <c r="C1719" s="5">
        <v>1.33502400966453E-5</v>
      </c>
      <c r="D1719" s="6">
        <v>6.4079042865778602E-5</v>
      </c>
      <c r="E1719" s="3" t="s">
        <v>4006</v>
      </c>
      <c r="F1719" s="3" t="s">
        <v>4007</v>
      </c>
      <c r="G1719" s="3">
        <v>14457</v>
      </c>
      <c r="H1719" s="7" t="str">
        <f>HYPERLINK("http://www.ensembl.org/Mus_musculus/Gene/Summary?db=core;g=ENSMUSG00000033066","ENSMUSG00000033066")</f>
        <v>ENSMUSG00000033066</v>
      </c>
      <c r="I1719" s="7" t="str">
        <f>HYPERLINK("http://www.informatics.jax.org/marker/MGI:1202388","MGI:1202388")</f>
        <v>MGI:1202388</v>
      </c>
      <c r="J1719" s="4" t="s">
        <v>12</v>
      </c>
    </row>
    <row r="1720" spans="1:10" x14ac:dyDescent="0.25">
      <c r="A1720" s="2">
        <v>1006.30953835482</v>
      </c>
      <c r="B1720" s="3">
        <v>0.50317164952528703</v>
      </c>
      <c r="C1720" s="5">
        <v>7.6429322732547097E-22</v>
      </c>
      <c r="D1720" s="6">
        <v>1.31160490282549E-20</v>
      </c>
      <c r="E1720" s="3" t="s">
        <v>2257</v>
      </c>
      <c r="F1720" s="3" t="s">
        <v>2258</v>
      </c>
      <c r="G1720" s="3">
        <v>76080</v>
      </c>
      <c r="H1720" s="7" t="str">
        <f>HYPERLINK("http://www.ensembl.org/Mus_musculus/Gene/Summary?db=core;g=ENSMUSG00000017679","ENSMUSG00000017679")</f>
        <v>ENSMUSG00000017679</v>
      </c>
      <c r="I1720" s="7" t="str">
        <f>HYPERLINK("http://www.informatics.jax.org/marker/MGI:1923330","MGI:1923330")</f>
        <v>MGI:1923330</v>
      </c>
      <c r="J1720" s="4" t="s">
        <v>12</v>
      </c>
    </row>
    <row r="1721" spans="1:10" x14ac:dyDescent="0.25">
      <c r="A1721" s="2">
        <v>1396.1850437263599</v>
      </c>
      <c r="B1721" s="3">
        <v>0.503152886554873</v>
      </c>
      <c r="C1721" s="5">
        <v>6.7965177476074904E-19</v>
      </c>
      <c r="D1721" s="6">
        <v>1.00786440968386E-17</v>
      </c>
      <c r="E1721" s="3" t="s">
        <v>2637</v>
      </c>
      <c r="F1721" s="3" t="s">
        <v>2638</v>
      </c>
      <c r="G1721" s="3">
        <v>70178</v>
      </c>
      <c r="H1721" s="7" t="str">
        <f>HYPERLINK("http://www.ensembl.org/Mus_musculus/Gene/Summary?db=core;g=ENSMUSG00000038459","ENSMUSG00000038459")</f>
        <v>ENSMUSG00000038459</v>
      </c>
      <c r="I1721" s="7" t="str">
        <f>HYPERLINK("http://www.informatics.jax.org/marker/MGI:1917428","MGI:1917428")</f>
        <v>MGI:1917428</v>
      </c>
      <c r="J1721" s="4" t="s">
        <v>12</v>
      </c>
    </row>
    <row r="1722" spans="1:10" x14ac:dyDescent="0.25">
      <c r="A1722" s="2">
        <v>180.481482325222</v>
      </c>
      <c r="B1722" s="3">
        <v>0.502954598188456</v>
      </c>
      <c r="C1722" s="5">
        <v>7.1449818876183794E-5</v>
      </c>
      <c r="D1722" s="4">
        <v>3.0545928900268599E-4</v>
      </c>
      <c r="E1722" s="3" t="s">
        <v>3638</v>
      </c>
      <c r="F1722" s="3" t="s">
        <v>3639</v>
      </c>
      <c r="G1722" s="3">
        <v>434204</v>
      </c>
      <c r="H1722" s="7" t="str">
        <f>HYPERLINK("http://www.ensembl.org/Mus_musculus/Gene/Summary?db=core;g=ENSMUSG00000045795","ENSMUSG00000045795")</f>
        <v>ENSMUSG00000045795</v>
      </c>
      <c r="I1722" s="7" t="str">
        <f>HYPERLINK("http://www.informatics.jax.org/marker/MGI:2142282","MGI:2142282")</f>
        <v>MGI:2142282</v>
      </c>
      <c r="J1722" s="4" t="s">
        <v>12</v>
      </c>
    </row>
    <row r="1723" spans="1:10" x14ac:dyDescent="0.25">
      <c r="A1723" s="2">
        <v>1950.03915928378</v>
      </c>
      <c r="B1723" s="3">
        <v>0.50269694511729601</v>
      </c>
      <c r="C1723" s="5">
        <v>5.6162695027947998E-33</v>
      </c>
      <c r="D1723" s="6">
        <v>1.54617087142651E-31</v>
      </c>
      <c r="E1723" s="3" t="s">
        <v>1921</v>
      </c>
      <c r="F1723" s="3" t="s">
        <v>1922</v>
      </c>
      <c r="G1723" s="3">
        <v>21927</v>
      </c>
      <c r="H1723" s="7" t="str">
        <f>HYPERLINK("http://www.ensembl.org/Mus_musculus/Gene/Summary?db=core;g=ENSMUSG00000017615","ENSMUSG00000017615")</f>
        <v>ENSMUSG00000017615</v>
      </c>
      <c r="I1723" s="7" t="str">
        <f>HYPERLINK("http://www.informatics.jax.org/marker/MGI:104961","MGI:104961")</f>
        <v>MGI:104961</v>
      </c>
      <c r="J1723" s="4" t="s">
        <v>12</v>
      </c>
    </row>
    <row r="1724" spans="1:10" x14ac:dyDescent="0.25">
      <c r="A1724" s="2">
        <v>879.70018764923395</v>
      </c>
      <c r="B1724" s="3">
        <v>0.50227716149603197</v>
      </c>
      <c r="C1724" s="5">
        <v>4.4922065851197302E-7</v>
      </c>
      <c r="D1724" s="6">
        <v>2.6015400385702901E-6</v>
      </c>
      <c r="E1724" s="3" t="s">
        <v>5921</v>
      </c>
      <c r="F1724" s="3" t="s">
        <v>5922</v>
      </c>
      <c r="G1724" s="3">
        <v>11655</v>
      </c>
      <c r="H1724" s="7" t="str">
        <f>HYPERLINK("http://www.ensembl.org/Mus_musculus/Gene/Summary?db=core;g=ENSMUSG00000032786","ENSMUSG00000032786")</f>
        <v>ENSMUSG00000032786</v>
      </c>
      <c r="I1724" s="7" t="str">
        <f>HYPERLINK("http://www.informatics.jax.org/marker/MGI:87989","MGI:87989")</f>
        <v>MGI:87989</v>
      </c>
      <c r="J1724" s="4" t="s">
        <v>12</v>
      </c>
    </row>
    <row r="1725" spans="1:10" x14ac:dyDescent="0.25">
      <c r="A1725" s="2">
        <v>16335.2189099769</v>
      </c>
      <c r="B1725" s="3">
        <v>0.50221837103834599</v>
      </c>
      <c r="C1725" s="5">
        <v>2.0107123649287101E-5</v>
      </c>
      <c r="D1725" s="6">
        <v>9.3986234549437806E-5</v>
      </c>
      <c r="E1725" s="3" t="s">
        <v>6573</v>
      </c>
      <c r="F1725" s="3" t="s">
        <v>6574</v>
      </c>
      <c r="G1725" s="3">
        <v>14828</v>
      </c>
      <c r="H1725" s="7" t="str">
        <f>HYPERLINK("http://www.ensembl.org/Mus_musculus/Gene/Summary?db=core;g=ENSMUSG00000026864","ENSMUSG00000026864")</f>
        <v>ENSMUSG00000026864</v>
      </c>
      <c r="I1725" s="7" t="str">
        <f>HYPERLINK("http://www.informatics.jax.org/marker/MGI:95835","MGI:95835")</f>
        <v>MGI:95835</v>
      </c>
      <c r="J1725" s="4" t="s">
        <v>12</v>
      </c>
    </row>
    <row r="1726" spans="1:10" x14ac:dyDescent="0.25">
      <c r="A1726" s="2">
        <v>1922.3659154438301</v>
      </c>
      <c r="B1726" s="3">
        <v>0.50214875800210901</v>
      </c>
      <c r="C1726" s="5">
        <v>8.0790741809546706E-23</v>
      </c>
      <c r="D1726" s="6">
        <v>1.45065149702363E-21</v>
      </c>
      <c r="E1726" s="3" t="s">
        <v>2806</v>
      </c>
      <c r="F1726" s="3" t="s">
        <v>2807</v>
      </c>
      <c r="G1726" s="3">
        <v>215632</v>
      </c>
      <c r="H1726" s="7" t="str">
        <f>HYPERLINK("http://www.ensembl.org/Mus_musculus/Gene/Summary?db=core;g=ENSMUSG00000026979","ENSMUSG00000026979")</f>
        <v>ENSMUSG00000026979</v>
      </c>
      <c r="I1726" s="7" t="str">
        <f>HYPERLINK("http://www.informatics.jax.org/marker/MGI:2674093","MGI:2674093")</f>
        <v>MGI:2674093</v>
      </c>
      <c r="J1726" s="4" t="s">
        <v>12</v>
      </c>
    </row>
    <row r="1727" spans="1:10" x14ac:dyDescent="0.25">
      <c r="A1727" s="2">
        <v>222.05683897236199</v>
      </c>
      <c r="B1727" s="3">
        <v>0.50133529152499001</v>
      </c>
      <c r="C1727" s="5">
        <v>4.7980991811241803E-6</v>
      </c>
      <c r="D1727" s="6">
        <v>2.4611696475088199E-5</v>
      </c>
      <c r="E1727" s="3" t="s">
        <v>7252</v>
      </c>
      <c r="F1727" s="3" t="s">
        <v>7253</v>
      </c>
      <c r="G1727" s="3">
        <v>72982</v>
      </c>
      <c r="H1727" s="7" t="str">
        <f>HYPERLINK("http://www.ensembl.org/Mus_musculus/Gene/Summary?db=core;g=ENSMUSG00000024666","ENSMUSG00000024666")</f>
        <v>ENSMUSG00000024666</v>
      </c>
      <c r="I1727" s="7" t="str">
        <f>HYPERLINK("http://www.informatics.jax.org/marker/MGI:1920232","MGI:1920232")</f>
        <v>MGI:1920232</v>
      </c>
      <c r="J1727" s="4" t="s">
        <v>12</v>
      </c>
    </row>
    <row r="1728" spans="1:10" x14ac:dyDescent="0.25">
      <c r="A1728" s="2">
        <v>863.50765790601099</v>
      </c>
      <c r="B1728" s="3">
        <v>0.50100294292632896</v>
      </c>
      <c r="C1728" s="5">
        <v>3.6283299833608797E-14</v>
      </c>
      <c r="D1728" s="6">
        <v>4.0247300028455302E-13</v>
      </c>
      <c r="E1728" s="3" t="s">
        <v>2125</v>
      </c>
      <c r="F1728" s="3" t="s">
        <v>2126</v>
      </c>
      <c r="G1728" s="3">
        <v>75909</v>
      </c>
      <c r="H1728" s="7" t="str">
        <f>HYPERLINK("http://www.ensembl.org/Mus_musculus/Gene/Summary?db=core;g=ENSMUSG00000018171","ENSMUSG00000018171")</f>
        <v>ENSMUSG00000018171</v>
      </c>
      <c r="I1728" s="7" t="str">
        <f>HYPERLINK("http://www.informatics.jax.org/marker/MGI:1923159","MGI:1923159")</f>
        <v>MGI:1923159</v>
      </c>
      <c r="J1728" s="4" t="s">
        <v>12</v>
      </c>
    </row>
    <row r="1729" spans="1:10" x14ac:dyDescent="0.25">
      <c r="A1729" s="2">
        <v>1733.14094907147</v>
      </c>
      <c r="B1729" s="3">
        <v>0.50056110640501394</v>
      </c>
      <c r="C1729" s="5">
        <v>2.9676033294713102E-24</v>
      </c>
      <c r="D1729" s="6">
        <v>5.6871262544284504E-23</v>
      </c>
      <c r="E1729" s="3" t="s">
        <v>4157</v>
      </c>
      <c r="F1729" s="3" t="s">
        <v>4158</v>
      </c>
      <c r="G1729" s="3">
        <v>216742</v>
      </c>
      <c r="H1729" s="7" t="str">
        <f>HYPERLINK("http://www.ensembl.org/Mus_musculus/Gene/Summary?db=core;g=ENSMUSG00000035992","ENSMUSG00000035992")</f>
        <v>ENSMUSG00000035992</v>
      </c>
      <c r="I1729" s="7" t="str">
        <f>HYPERLINK("http://www.informatics.jax.org/marker/MGI:2444668","MGI:2444668")</f>
        <v>MGI:2444668</v>
      </c>
      <c r="J1729" s="4" t="s">
        <v>12</v>
      </c>
    </row>
    <row r="1730" spans="1:10" x14ac:dyDescent="0.25">
      <c r="A1730" s="2">
        <v>241.27705075272601</v>
      </c>
      <c r="B1730" s="3">
        <v>0.499618932518053</v>
      </c>
      <c r="C1730" s="5">
        <v>1.1015203474126E-7</v>
      </c>
      <c r="D1730" s="6">
        <v>6.86331908772464E-7</v>
      </c>
      <c r="E1730" s="3" t="s">
        <v>11026</v>
      </c>
      <c r="F1730" s="3" t="s">
        <v>11027</v>
      </c>
      <c r="G1730" s="3">
        <v>66815</v>
      </c>
      <c r="H1730" s="7" t="str">
        <f>HYPERLINK("http://www.ensembl.org/Mus_musculus/Gene/Summary?db=core;g=ENSMUSG00000027994","ENSMUSG00000027994")</f>
        <v>ENSMUSG00000027994</v>
      </c>
      <c r="I1730" s="7" t="str">
        <f>HYPERLINK("http://www.informatics.jax.org/marker/MGI:1914065","MGI:1914065")</f>
        <v>MGI:1914065</v>
      </c>
      <c r="J1730" s="4" t="s">
        <v>12</v>
      </c>
    </row>
    <row r="1731" spans="1:10" x14ac:dyDescent="0.25">
      <c r="A1731" s="2">
        <v>2304.7064822908001</v>
      </c>
      <c r="B1731" s="3">
        <v>0.49961094232541797</v>
      </c>
      <c r="C1731" s="5">
        <v>1.16017255750335E-12</v>
      </c>
      <c r="D1731" s="6">
        <v>1.1675397493373E-11</v>
      </c>
      <c r="E1731" s="3" t="s">
        <v>4973</v>
      </c>
      <c r="F1731" s="3" t="s">
        <v>4974</v>
      </c>
      <c r="G1731" s="3">
        <v>67268</v>
      </c>
      <c r="H1731" s="7" t="str">
        <f>HYPERLINK("http://www.ensembl.org/Mus_musculus/Gene/Summary?db=core;g=ENSMUSG00000024048","ENSMUSG00000024048")</f>
        <v>ENSMUSG00000024048</v>
      </c>
      <c r="I1731" s="7" t="str">
        <f>HYPERLINK("http://www.informatics.jax.org/marker/MGI:1914518","MGI:1914518")</f>
        <v>MGI:1914518</v>
      </c>
      <c r="J1731" s="4" t="s">
        <v>12</v>
      </c>
    </row>
    <row r="1732" spans="1:10" x14ac:dyDescent="0.25">
      <c r="A1732" s="2">
        <v>703.01786226507102</v>
      </c>
      <c r="B1732" s="3">
        <v>0.49919240402617199</v>
      </c>
      <c r="C1732" s="5">
        <v>5.0456331520711699E-9</v>
      </c>
      <c r="D1732" s="6">
        <v>3.6360879476669401E-8</v>
      </c>
      <c r="E1732" s="3" t="s">
        <v>4191</v>
      </c>
      <c r="F1732" s="3" t="s">
        <v>4192</v>
      </c>
      <c r="G1732" s="3">
        <v>26372</v>
      </c>
      <c r="H1732" s="7" t="str">
        <f>HYPERLINK("http://www.ensembl.org/Mus_musculus/Gene/Summary?db=core;g=ENSMUSG00000029016","ENSMUSG00000029016")</f>
        <v>ENSMUSG00000029016</v>
      </c>
      <c r="I1732" s="7" t="str">
        <f>HYPERLINK("http://www.informatics.jax.org/marker/MGI:1347049","MGI:1347049")</f>
        <v>MGI:1347049</v>
      </c>
      <c r="J1732" s="4" t="s">
        <v>12</v>
      </c>
    </row>
    <row r="1733" spans="1:10" x14ac:dyDescent="0.25">
      <c r="A1733" s="2">
        <v>631.91446175192004</v>
      </c>
      <c r="B1733" s="3">
        <v>0.49900910892132599</v>
      </c>
      <c r="C1733" s="5">
        <v>4.8185438923944099E-12</v>
      </c>
      <c r="D1733" s="6">
        <v>4.5977990805700602E-11</v>
      </c>
      <c r="E1733" s="3" t="s">
        <v>4213</v>
      </c>
      <c r="F1733" s="3" t="s">
        <v>4214</v>
      </c>
      <c r="G1733" s="3">
        <v>53608</v>
      </c>
      <c r="H1733" s="7" t="str">
        <f>HYPERLINK("http://www.ensembl.org/Mus_musculus/Gene/Summary?db=core;g=ENSMUSG00000028862","ENSMUSG00000028862")</f>
        <v>ENSMUSG00000028862</v>
      </c>
      <c r="I1733" s="7" t="str">
        <f>HYPERLINK("http://www.informatics.jax.org/marker/MGI:1855691","MGI:1855691")</f>
        <v>MGI:1855691</v>
      </c>
      <c r="J1733" s="4" t="s">
        <v>12</v>
      </c>
    </row>
    <row r="1734" spans="1:10" x14ac:dyDescent="0.25">
      <c r="A1734" s="2">
        <v>1295.9400128904699</v>
      </c>
      <c r="B1734" s="3">
        <v>0.498466218336095</v>
      </c>
      <c r="C1734" s="5">
        <v>4.2125099471695502E-18</v>
      </c>
      <c r="D1734" s="6">
        <v>6.0025796549777304E-17</v>
      </c>
      <c r="E1734" s="3" t="s">
        <v>3868</v>
      </c>
      <c r="F1734" s="3" t="s">
        <v>3869</v>
      </c>
      <c r="G1734" s="3">
        <v>432940</v>
      </c>
      <c r="H1734" s="7" t="str">
        <f>HYPERLINK("http://www.ensembl.org/Mus_musculus/Gene/Summary?db=core;g=ENSMUSG00000046034","ENSMUSG00000046034")</f>
        <v>ENSMUSG00000046034</v>
      </c>
      <c r="I1734" s="7" t="str">
        <f>HYPERLINK("http://www.informatics.jax.org/marker/MGI:3577015","MGI:3577015")</f>
        <v>MGI:3577015</v>
      </c>
      <c r="J1734" s="4" t="s">
        <v>12</v>
      </c>
    </row>
    <row r="1735" spans="1:10" x14ac:dyDescent="0.25">
      <c r="A1735" s="2">
        <v>913.55565322348502</v>
      </c>
      <c r="B1735" s="3">
        <v>0.49792358967769701</v>
      </c>
      <c r="C1735" s="5">
        <v>2.67421867709773E-12</v>
      </c>
      <c r="D1735" s="6">
        <v>2.5979549781506499E-11</v>
      </c>
      <c r="E1735" s="3" t="s">
        <v>3028</v>
      </c>
      <c r="F1735" s="3" t="s">
        <v>3029</v>
      </c>
      <c r="G1735" s="3">
        <v>16150</v>
      </c>
      <c r="H1735" s="7" t="str">
        <f>HYPERLINK("http://www.ensembl.org/Mus_musculus/Gene/Summary?db=core;g=ENSMUSG00000031537","ENSMUSG00000031537")</f>
        <v>ENSMUSG00000031537</v>
      </c>
      <c r="I1735" s="7" t="str">
        <f>HYPERLINK("http://www.informatics.jax.org/marker/MGI:1338071","MGI:1338071")</f>
        <v>MGI:1338071</v>
      </c>
      <c r="J1735" s="4" t="s">
        <v>12</v>
      </c>
    </row>
    <row r="1736" spans="1:10" x14ac:dyDescent="0.25">
      <c r="A1736" s="2">
        <v>406.188807892574</v>
      </c>
      <c r="B1736" s="3">
        <v>0.49753631983732299</v>
      </c>
      <c r="C1736" s="5">
        <v>1.02047196221816E-5</v>
      </c>
      <c r="D1736" s="6">
        <v>4.9847498020439699E-5</v>
      </c>
      <c r="E1736" s="3" t="s">
        <v>3354</v>
      </c>
      <c r="F1736" s="3" t="s">
        <v>3355</v>
      </c>
      <c r="G1736" s="3">
        <v>23986</v>
      </c>
      <c r="H1736" s="7" t="str">
        <f>HYPERLINK("http://www.ensembl.org/Mus_musculus/Gene/Summary?db=core;g=ENSMUSG00000021417","ENSMUSG00000021417")</f>
        <v>ENSMUSG00000021417</v>
      </c>
      <c r="I1736" s="7" t="str">
        <f>HYPERLINK("http://www.informatics.jax.org/marker/MGI:1346064","MGI:1346064")</f>
        <v>MGI:1346064</v>
      </c>
      <c r="J1736" s="4" t="s">
        <v>12</v>
      </c>
    </row>
    <row r="1737" spans="1:10" x14ac:dyDescent="0.25">
      <c r="A1737" s="2">
        <v>43.480411436564701</v>
      </c>
      <c r="B1737" s="3">
        <v>0.49731145853718001</v>
      </c>
      <c r="C1737" s="3">
        <v>9.1739282453669496E-2</v>
      </c>
      <c r="D1737" s="4">
        <v>0.189649321996158</v>
      </c>
      <c r="E1737" s="3" t="s">
        <v>13877</v>
      </c>
      <c r="F1737" s="3" t="s">
        <v>13878</v>
      </c>
      <c r="G1737" s="3">
        <v>15077</v>
      </c>
      <c r="H1737" s="7" t="str">
        <f>HYPERLINK("http://www.ensembl.org/Mus_musculus/Gene/Summary?db=core;g=ENSMUSG00000093769","ENSMUSG00000093769")</f>
        <v>ENSMUSG00000093769</v>
      </c>
      <c r="I1737" s="7" t="str">
        <f>HYPERLINK("http://www.informatics.jax.org/marker/MGI:2448355","MGI:2448355")</f>
        <v>MGI:2448355</v>
      </c>
      <c r="J1737" s="4" t="s">
        <v>12</v>
      </c>
    </row>
    <row r="1738" spans="1:10" x14ac:dyDescent="0.25">
      <c r="A1738" s="2">
        <v>161.10148143768299</v>
      </c>
      <c r="B1738" s="3">
        <v>0.49693539369227402</v>
      </c>
      <c r="C1738" s="5">
        <v>1.0511732143273899E-6</v>
      </c>
      <c r="D1738" s="6">
        <v>5.8354041520306599E-6</v>
      </c>
      <c r="E1738" s="3" t="s">
        <v>10593</v>
      </c>
      <c r="F1738" s="3" t="s">
        <v>10594</v>
      </c>
      <c r="G1738" s="3">
        <v>58180</v>
      </c>
      <c r="H1738" s="7" t="str">
        <f>HYPERLINK("http://www.ensembl.org/Mus_musculus/Gene/Summary?db=core;g=ENSMUSG00000050240","ENSMUSG00000050240")</f>
        <v>ENSMUSG00000050240</v>
      </c>
      <c r="I1738" s="7" t="str">
        <f>HYPERLINK("http://www.informatics.jax.org/marker/MGI:1929869","MGI:1929869")</f>
        <v>MGI:1929869</v>
      </c>
      <c r="J1738" s="4" t="s">
        <v>12</v>
      </c>
    </row>
    <row r="1739" spans="1:10" x14ac:dyDescent="0.25">
      <c r="A1739" s="2">
        <v>2241.7778729256802</v>
      </c>
      <c r="B1739" s="3">
        <v>0.496603778881405</v>
      </c>
      <c r="C1739" s="5">
        <v>1.6636165292274601E-6</v>
      </c>
      <c r="D1739" s="6">
        <v>9.0155846699882603E-6</v>
      </c>
      <c r="E1739" s="3" t="s">
        <v>6960</v>
      </c>
      <c r="F1739" s="3" t="s">
        <v>6961</v>
      </c>
      <c r="G1739" s="3">
        <v>15258</v>
      </c>
      <c r="H1739" s="7" t="str">
        <f>HYPERLINK("http://www.ensembl.org/Mus_musculus/Gene/Summary?db=core;g=ENSMUSG00000061436","ENSMUSG00000061436")</f>
        <v>ENSMUSG00000061436</v>
      </c>
      <c r="I1739" s="7" t="str">
        <f>HYPERLINK("http://www.informatics.jax.org/marker/MGI:1314872","MGI:1314872")</f>
        <v>MGI:1314872</v>
      </c>
      <c r="J1739" s="4" t="s">
        <v>12</v>
      </c>
    </row>
    <row r="1740" spans="1:10" x14ac:dyDescent="0.25">
      <c r="A1740" s="2">
        <v>594.51742342386797</v>
      </c>
      <c r="B1740" s="3">
        <v>0.49593062150366801</v>
      </c>
      <c r="C1740" s="5">
        <v>2.6790377442259902E-10</v>
      </c>
      <c r="D1740" s="6">
        <v>2.2112981380669699E-9</v>
      </c>
      <c r="E1740" s="3" t="s">
        <v>7286</v>
      </c>
      <c r="F1740" s="3" t="s">
        <v>7287</v>
      </c>
      <c r="G1740" s="3">
        <v>67526</v>
      </c>
      <c r="H1740" s="7" t="str">
        <f>HYPERLINK("http://www.ensembl.org/Mus_musculus/Gene/Summary?db=core;g=ENSMUSG00000032905","ENSMUSG00000032905")</f>
        <v>ENSMUSG00000032905</v>
      </c>
      <c r="I1740" s="7" t="str">
        <f>HYPERLINK("http://www.informatics.jax.org/marker/MGI:1914776","MGI:1914776")</f>
        <v>MGI:1914776</v>
      </c>
      <c r="J1740" s="4" t="s">
        <v>12</v>
      </c>
    </row>
    <row r="1741" spans="1:10" x14ac:dyDescent="0.25">
      <c r="A1741" s="2">
        <v>1664.1406691286099</v>
      </c>
      <c r="B1741" s="3">
        <v>0.49529050455832901</v>
      </c>
      <c r="C1741" s="5">
        <v>1.57907109887853E-11</v>
      </c>
      <c r="D1741" s="6">
        <v>1.4454329872958899E-10</v>
      </c>
      <c r="E1741" s="3" t="s">
        <v>3250</v>
      </c>
      <c r="F1741" s="3" t="s">
        <v>3251</v>
      </c>
      <c r="G1741" s="3">
        <v>105203</v>
      </c>
      <c r="H1741" s="7" t="str">
        <f>HYPERLINK("http://www.ensembl.org/Mus_musculus/Gene/Summary?db=core;g=ENSMUSG00000033799","ENSMUSG00000033799")</f>
        <v>ENSMUSG00000033799</v>
      </c>
      <c r="I1741" s="7" t="str">
        <f>HYPERLINK("http://www.informatics.jax.org/marker/MGI:2145274","MGI:2145274")</f>
        <v>MGI:2145274</v>
      </c>
      <c r="J1741" s="4" t="s">
        <v>12</v>
      </c>
    </row>
    <row r="1742" spans="1:10" x14ac:dyDescent="0.25">
      <c r="A1742" s="2">
        <v>5974.8786076386996</v>
      </c>
      <c r="B1742" s="3">
        <v>0.49520280718099302</v>
      </c>
      <c r="C1742" s="5">
        <v>2.1074130441005501E-34</v>
      </c>
      <c r="D1742" s="6">
        <v>6.06755177389139E-33</v>
      </c>
      <c r="E1742" s="3" t="s">
        <v>848</v>
      </c>
      <c r="F1742" s="3" t="s">
        <v>849</v>
      </c>
      <c r="G1742" s="3">
        <v>66105</v>
      </c>
      <c r="H1742" s="7" t="str">
        <f>HYPERLINK("http://www.ensembl.org/Mus_musculus/Gene/Summary?db=core;g=ENSMUSG00000078578","ENSMUSG00000078578")</f>
        <v>ENSMUSG00000078578</v>
      </c>
      <c r="I1742" s="7" t="str">
        <f>HYPERLINK("http://www.informatics.jax.org/marker/MGI:1913355","MGI:1913355")</f>
        <v>MGI:1913355</v>
      </c>
      <c r="J1742" s="4" t="s">
        <v>12</v>
      </c>
    </row>
    <row r="1743" spans="1:10" x14ac:dyDescent="0.25">
      <c r="A1743" s="2">
        <v>68773.127476534006</v>
      </c>
      <c r="B1743" s="3">
        <v>0.49479264408696</v>
      </c>
      <c r="C1743" s="5">
        <v>1.6912921193889501E-9</v>
      </c>
      <c r="D1743" s="6">
        <v>1.2816548389132499E-8</v>
      </c>
      <c r="E1743" s="3" t="s">
        <v>3596</v>
      </c>
      <c r="F1743" s="3" t="s">
        <v>3597</v>
      </c>
      <c r="G1743" s="3">
        <v>11461</v>
      </c>
      <c r="H1743" s="7" t="str">
        <f>HYPERLINK("http://www.ensembl.org/Mus_musculus/Gene/Summary?db=core;g=ENSMUSG00000029580","ENSMUSG00000029580")</f>
        <v>ENSMUSG00000029580</v>
      </c>
      <c r="I1743" s="7" t="str">
        <f>HYPERLINK("http://www.informatics.jax.org/marker/MGI:87904","MGI:87904")</f>
        <v>MGI:87904</v>
      </c>
      <c r="J1743" s="4" t="s">
        <v>12</v>
      </c>
    </row>
    <row r="1744" spans="1:10" x14ac:dyDescent="0.25">
      <c r="A1744" s="2">
        <v>2803.8939542425101</v>
      </c>
      <c r="B1744" s="3">
        <v>0.49467187129985202</v>
      </c>
      <c r="C1744" s="5">
        <v>4.2229452773773301E-14</v>
      </c>
      <c r="D1744" s="6">
        <v>4.67293124955689E-13</v>
      </c>
      <c r="E1744" s="3" t="s">
        <v>5449</v>
      </c>
      <c r="F1744" s="3" t="s">
        <v>5450</v>
      </c>
      <c r="G1744" s="3">
        <v>12402</v>
      </c>
      <c r="H1744" s="7" t="str">
        <f>HYPERLINK("http://www.ensembl.org/Mus_musculus/Gene/Summary?db=core;g=ENSMUSG00000034342","ENSMUSG00000034342")</f>
        <v>ENSMUSG00000034342</v>
      </c>
      <c r="I1744" s="7" t="str">
        <f>HYPERLINK("http://www.informatics.jax.org/marker/MGI:88279","MGI:88279")</f>
        <v>MGI:88279</v>
      </c>
      <c r="J1744" s="4" t="s">
        <v>12</v>
      </c>
    </row>
    <row r="1745" spans="1:10" x14ac:dyDescent="0.25">
      <c r="A1745" s="2">
        <v>7172.7902565659497</v>
      </c>
      <c r="B1745" s="3">
        <v>0.49459548619541099</v>
      </c>
      <c r="C1745" s="5">
        <v>7.87676268207544E-14</v>
      </c>
      <c r="D1745" s="6">
        <v>8.6011983152082004E-13</v>
      </c>
      <c r="E1745" s="3" t="s">
        <v>3608</v>
      </c>
      <c r="F1745" s="3" t="s">
        <v>3609</v>
      </c>
      <c r="G1745" s="3">
        <v>234839</v>
      </c>
      <c r="H1745" s="7" t="str">
        <f>HYPERLINK("http://www.ensembl.org/Mus_musculus/Gene/Summary?db=core;g=ENSMUSG00000014444","ENSMUSG00000014444")</f>
        <v>ENSMUSG00000014444</v>
      </c>
      <c r="I1745" s="7" t="str">
        <f>HYPERLINK("http://www.informatics.jax.org/marker/MGI:3603204","MGI:3603204")</f>
        <v>MGI:3603204</v>
      </c>
      <c r="J1745" s="4" t="s">
        <v>12</v>
      </c>
    </row>
    <row r="1746" spans="1:10" x14ac:dyDescent="0.25">
      <c r="A1746" s="2">
        <v>113.809392496912</v>
      </c>
      <c r="B1746" s="3">
        <v>0.49457291630432199</v>
      </c>
      <c r="C1746" s="3">
        <v>1.11075625755588E-4</v>
      </c>
      <c r="D1746" s="4">
        <v>4.6081340300377599E-4</v>
      </c>
      <c r="E1746" s="3" t="s">
        <v>10244</v>
      </c>
      <c r="F1746" s="3" t="s">
        <v>10245</v>
      </c>
      <c r="G1746" s="3">
        <v>268527</v>
      </c>
      <c r="H1746" s="7" t="str">
        <f>HYPERLINK("http://www.ensembl.org/Mus_musculus/Gene/Summary?db=core;g=ENSMUSG00000036523","ENSMUSG00000036523")</f>
        <v>ENSMUSG00000036523</v>
      </c>
      <c r="I1746" s="7" t="str">
        <f>HYPERLINK("http://www.informatics.jax.org/marker/MGI:2149712","MGI:2149712")</f>
        <v>MGI:2149712</v>
      </c>
      <c r="J1746" s="4" t="s">
        <v>12</v>
      </c>
    </row>
    <row r="1747" spans="1:10" x14ac:dyDescent="0.25">
      <c r="A1747" s="2">
        <v>1050.87258560604</v>
      </c>
      <c r="B1747" s="3">
        <v>0.493751474116435</v>
      </c>
      <c r="C1747" s="5">
        <v>7.7834643227112998E-25</v>
      </c>
      <c r="D1747" s="6">
        <v>1.5368758101994899E-23</v>
      </c>
      <c r="E1747" s="3" t="s">
        <v>1909</v>
      </c>
      <c r="F1747" s="3" t="s">
        <v>1910</v>
      </c>
      <c r="G1747" s="3">
        <v>52521</v>
      </c>
      <c r="H1747" s="7" t="str">
        <f>HYPERLINK("http://www.ensembl.org/Mus_musculus/Gene/Summary?db=core;g=ENSMUSG00000052253","ENSMUSG00000052253")</f>
        <v>ENSMUSG00000052253</v>
      </c>
      <c r="I1747" s="7" t="str">
        <f>HYPERLINK("http://www.informatics.jax.org/marker/MGI:1289282","MGI:1289282")</f>
        <v>MGI:1289282</v>
      </c>
      <c r="J1747" s="4" t="s">
        <v>12</v>
      </c>
    </row>
    <row r="1748" spans="1:10" x14ac:dyDescent="0.25">
      <c r="A1748" s="2">
        <v>966.80176675616894</v>
      </c>
      <c r="B1748" s="3">
        <v>0.49297732019387602</v>
      </c>
      <c r="C1748" s="5">
        <v>4.3234422852617201E-12</v>
      </c>
      <c r="D1748" s="6">
        <v>4.1383789731562502E-11</v>
      </c>
      <c r="E1748" s="3" t="s">
        <v>4621</v>
      </c>
      <c r="F1748" s="3" t="s">
        <v>4622</v>
      </c>
      <c r="G1748" s="3">
        <v>338523</v>
      </c>
      <c r="H1748" s="7" t="str">
        <f>HYPERLINK("http://www.ensembl.org/Mus_musculus/Gene/Summary?db=core;g=ENSMUSG00000042599","ENSMUSG00000042599")</f>
        <v>ENSMUSG00000042599</v>
      </c>
      <c r="I1748" s="7" t="str">
        <f>HYPERLINK("http://www.informatics.jax.org/marker/MGI:2443388","MGI:2443388")</f>
        <v>MGI:2443388</v>
      </c>
      <c r="J1748" s="4" t="s">
        <v>12</v>
      </c>
    </row>
    <row r="1749" spans="1:10" x14ac:dyDescent="0.25">
      <c r="A1749" s="2">
        <v>1.49721368578193</v>
      </c>
      <c r="B1749" s="3">
        <v>0.492669968307203</v>
      </c>
      <c r="C1749" s="3">
        <v>0.27967703095355501</v>
      </c>
      <c r="D1749" s="4">
        <v>0.45087252446957399</v>
      </c>
      <c r="E1749" s="3" t="s">
        <v>11625</v>
      </c>
      <c r="F1749" s="3" t="s">
        <v>11626</v>
      </c>
      <c r="G1749" s="3">
        <v>320910</v>
      </c>
      <c r="H1749" s="7" t="str">
        <f>HYPERLINK("http://www.ensembl.org/Mus_musculus/Gene/Summary?db=core;g=ENSMUSG00000025321","ENSMUSG00000025321")</f>
        <v>ENSMUSG00000025321</v>
      </c>
      <c r="I1749" s="7" t="str">
        <f>HYPERLINK("http://www.informatics.jax.org/marker/MGI:1338035","MGI:1338035")</f>
        <v>MGI:1338035</v>
      </c>
      <c r="J1749" s="4" t="s">
        <v>12</v>
      </c>
    </row>
    <row r="1750" spans="1:10" x14ac:dyDescent="0.25">
      <c r="A1750" s="2">
        <v>19.814866967665399</v>
      </c>
      <c r="B1750" s="3">
        <v>0.49144260140025697</v>
      </c>
      <c r="C1750" s="3">
        <v>4.7549785072093002E-2</v>
      </c>
      <c r="D1750" s="4">
        <v>0.109487660510284</v>
      </c>
      <c r="E1750" s="3" t="s">
        <v>11827</v>
      </c>
      <c r="F1750" s="3" t="s">
        <v>11828</v>
      </c>
      <c r="G1750" s="3">
        <v>213208</v>
      </c>
      <c r="H1750" s="7" t="str">
        <f>HYPERLINK("http://www.ensembl.org/Mus_musculus/Gene/Summary?db=core;g=ENSMUSG00000044244","ENSMUSG00000044244")</f>
        <v>ENSMUSG00000044244</v>
      </c>
      <c r="I1750" s="7" t="str">
        <f>HYPERLINK("http://www.informatics.jax.org/marker/MGI:2143266","MGI:2143266")</f>
        <v>MGI:2143266</v>
      </c>
      <c r="J1750" s="4" t="s">
        <v>12</v>
      </c>
    </row>
    <row r="1751" spans="1:10" x14ac:dyDescent="0.25">
      <c r="A1751" s="2">
        <v>45.4830009626208</v>
      </c>
      <c r="B1751" s="3">
        <v>0.49120491812955402</v>
      </c>
      <c r="C1751" s="3">
        <v>2.2405008206503998E-2</v>
      </c>
      <c r="D1751" s="4">
        <v>5.6934087362456101E-2</v>
      </c>
      <c r="E1751" s="3" t="s">
        <v>9559</v>
      </c>
      <c r="F1751" s="3" t="s">
        <v>9560</v>
      </c>
      <c r="G1751" s="3" t="s">
        <v>83</v>
      </c>
      <c r="H1751" s="7" t="str">
        <f>HYPERLINK("http://www.ensembl.org/Mus_musculus/Gene/Summary?db=core;g=ENSMUSG00000087434","ENSMUSG00000087434")</f>
        <v>ENSMUSG00000087434</v>
      </c>
      <c r="I1751" s="7" t="str">
        <f>HYPERLINK("http://www.informatics.jax.org/marker/MGI:3650027","MGI:3650027")</f>
        <v>MGI:3650027</v>
      </c>
      <c r="J1751" s="4" t="s">
        <v>932</v>
      </c>
    </row>
    <row r="1752" spans="1:10" x14ac:dyDescent="0.25">
      <c r="A1752" s="2">
        <v>235.37576585867899</v>
      </c>
      <c r="B1752" s="3">
        <v>0.49028958611607898</v>
      </c>
      <c r="C1752" s="5">
        <v>3.72724587305539E-5</v>
      </c>
      <c r="D1752" s="4">
        <v>1.6657443853956499E-4</v>
      </c>
      <c r="E1752" s="3" t="s">
        <v>8045</v>
      </c>
      <c r="F1752" s="3" t="s">
        <v>8046</v>
      </c>
      <c r="G1752" s="3">
        <v>52502</v>
      </c>
      <c r="H1752" s="7" t="str">
        <f>HYPERLINK("http://www.ensembl.org/Mus_musculus/Gene/Summary?db=core;g=ENSMUSG00000008393","ENSMUSG00000008393")</f>
        <v>ENSMUSG00000008393</v>
      </c>
      <c r="I1752" s="7" t="str">
        <f>HYPERLINK("http://www.informatics.jax.org/marker/MGI:1196368","MGI:1196368")</f>
        <v>MGI:1196368</v>
      </c>
      <c r="J1752" s="4" t="s">
        <v>12</v>
      </c>
    </row>
    <row r="1753" spans="1:10" x14ac:dyDescent="0.25">
      <c r="A1753" s="2">
        <v>551.07812681492499</v>
      </c>
      <c r="B1753" s="3">
        <v>0.49002429152768401</v>
      </c>
      <c r="C1753" s="3">
        <v>5.9930175951882804E-4</v>
      </c>
      <c r="D1753" s="4">
        <v>2.19985389068089E-3</v>
      </c>
      <c r="E1753" s="3" t="s">
        <v>9595</v>
      </c>
      <c r="F1753" s="3" t="s">
        <v>9596</v>
      </c>
      <c r="G1753" s="3">
        <v>320554</v>
      </c>
      <c r="H1753" s="7" t="str">
        <f>HYPERLINK("http://www.ensembl.org/Mus_musculus/Gene/Summary?db=core;g=ENSMUSG00000027175","ENSMUSG00000027175")</f>
        <v>ENSMUSG00000027175</v>
      </c>
      <c r="I1753" s="7" t="str">
        <f>HYPERLINK("http://www.informatics.jax.org/marker/MGI:2444263","MGI:2444263")</f>
        <v>MGI:2444263</v>
      </c>
      <c r="J1753" s="4" t="s">
        <v>12</v>
      </c>
    </row>
    <row r="1754" spans="1:10" x14ac:dyDescent="0.25">
      <c r="A1754" s="2">
        <v>595.42593860039096</v>
      </c>
      <c r="B1754" s="3">
        <v>0.48932923329664202</v>
      </c>
      <c r="C1754" s="5">
        <v>3.56638527049886E-6</v>
      </c>
      <c r="D1754" s="6">
        <v>1.85336103663649E-5</v>
      </c>
      <c r="E1754" s="3" t="s">
        <v>5915</v>
      </c>
      <c r="F1754" s="3" t="s">
        <v>5916</v>
      </c>
      <c r="G1754" s="3">
        <v>226421</v>
      </c>
      <c r="H1754" s="7" t="str">
        <f>HYPERLINK("http://www.ensembl.org/Mus_musculus/Gene/Summary?db=core;g=ENSMUSG00000052688","ENSMUSG00000052688")</f>
        <v>ENSMUSG00000052688</v>
      </c>
      <c r="I1754" s="7" t="str">
        <f>HYPERLINK("http://www.informatics.jax.org/marker/MGI:2442295","MGI:2442295")</f>
        <v>MGI:2442295</v>
      </c>
      <c r="J1754" s="4" t="s">
        <v>12</v>
      </c>
    </row>
    <row r="1755" spans="1:10" x14ac:dyDescent="0.25">
      <c r="A1755" s="2">
        <v>548.43797504832503</v>
      </c>
      <c r="B1755" s="3">
        <v>0.48874378973492799</v>
      </c>
      <c r="C1755" s="5">
        <v>5.0619542911596198E-12</v>
      </c>
      <c r="D1755" s="6">
        <v>4.8199643132907102E-11</v>
      </c>
      <c r="E1755" s="3" t="s">
        <v>2756</v>
      </c>
      <c r="F1755" s="3" t="s">
        <v>2757</v>
      </c>
      <c r="G1755" s="3">
        <v>320119</v>
      </c>
      <c r="H1755" s="7" t="str">
        <f>HYPERLINK("http://www.ensembl.org/Mus_musculus/Gene/Summary?db=core;g=ENSMUSG00000089872","ENSMUSG00000089872")</f>
        <v>ENSMUSG00000089872</v>
      </c>
      <c r="I1755" s="7" t="str">
        <f>HYPERLINK("http://www.informatics.jax.org/marker/MGI:2443419","MGI:2443419")</f>
        <v>MGI:2443419</v>
      </c>
      <c r="J1755" s="4" t="s">
        <v>12</v>
      </c>
    </row>
    <row r="1756" spans="1:10" x14ac:dyDescent="0.25">
      <c r="A1756" s="2">
        <v>1757.3449031075399</v>
      </c>
      <c r="B1756" s="3">
        <v>0.48849767974619901</v>
      </c>
      <c r="C1756" s="5">
        <v>7.4985393948685505E-13</v>
      </c>
      <c r="D1756" s="6">
        <v>7.6948693959166305E-12</v>
      </c>
      <c r="E1756" s="3" t="s">
        <v>2816</v>
      </c>
      <c r="F1756" s="3" t="s">
        <v>2817</v>
      </c>
      <c r="G1756" s="3">
        <v>14123</v>
      </c>
      <c r="H1756" s="7" t="str">
        <f>HYPERLINK("http://www.ensembl.org/Mus_musculus/Gene/Summary?db=core;g=ENSMUSG00000042423","ENSMUSG00000042423")</f>
        <v>ENSMUSG00000042423</v>
      </c>
      <c r="I1756" s="7" t="str">
        <f>HYPERLINK("http://www.informatics.jax.org/marker/MGI:104648","MGI:104648")</f>
        <v>MGI:104648</v>
      </c>
      <c r="J1756" s="4" t="s">
        <v>12</v>
      </c>
    </row>
    <row r="1757" spans="1:10" x14ac:dyDescent="0.25">
      <c r="A1757" s="2">
        <v>16.5535429329774</v>
      </c>
      <c r="B1757" s="3">
        <v>0.48783164678839303</v>
      </c>
      <c r="C1757" s="3">
        <v>7.7444608885666302E-2</v>
      </c>
      <c r="D1757" s="4">
        <v>0.164847932368754</v>
      </c>
      <c r="E1757" s="3" t="s">
        <v>13869</v>
      </c>
      <c r="F1757" s="3" t="s">
        <v>13870</v>
      </c>
      <c r="G1757" s="3" t="s">
        <v>83</v>
      </c>
      <c r="H1757" s="7" t="str">
        <f>HYPERLINK("http://www.ensembl.org/Mus_musculus/Gene/Summary?db=core;g=ENSMUSG00000090389","ENSMUSG00000090389")</f>
        <v>ENSMUSG00000090389</v>
      </c>
      <c r="I1757" s="7" t="str">
        <f>HYPERLINK("http://www.informatics.jax.org/marker/MGI:3646628","MGI:3646628")</f>
        <v>MGI:3646628</v>
      </c>
      <c r="J1757" s="4" t="s">
        <v>1043</v>
      </c>
    </row>
    <row r="1758" spans="1:10" x14ac:dyDescent="0.25">
      <c r="A1758" s="2">
        <v>309.89420713405599</v>
      </c>
      <c r="B1758" s="3">
        <v>0.48781435346673102</v>
      </c>
      <c r="C1758" s="5">
        <v>1.0909288394426101E-5</v>
      </c>
      <c r="D1758" s="6">
        <v>5.3047433561476897E-5</v>
      </c>
      <c r="E1758" s="3" t="s">
        <v>5961</v>
      </c>
      <c r="F1758" s="3" t="s">
        <v>5962</v>
      </c>
      <c r="G1758" s="3">
        <v>27279</v>
      </c>
      <c r="H1758" s="7" t="str">
        <f>HYPERLINK("http://www.ensembl.org/Mus_musculus/Gene/Summary?db=core;g=ENSMUSG00000023905","ENSMUSG00000023905")</f>
        <v>ENSMUSG00000023905</v>
      </c>
      <c r="I1758" s="7" t="str">
        <f>HYPERLINK("http://www.informatics.jax.org/marker/MGI:1351484","MGI:1351484")</f>
        <v>MGI:1351484</v>
      </c>
      <c r="J1758" s="4" t="s">
        <v>12</v>
      </c>
    </row>
    <row r="1759" spans="1:10" x14ac:dyDescent="0.25">
      <c r="A1759" s="2">
        <v>1084.52122962422</v>
      </c>
      <c r="B1759" s="3">
        <v>0.48733457692183701</v>
      </c>
      <c r="C1759" s="5">
        <v>6.7478668549386805E-11</v>
      </c>
      <c r="D1759" s="6">
        <v>5.8589744369346099E-10</v>
      </c>
      <c r="E1759" s="3" t="s">
        <v>8135</v>
      </c>
      <c r="F1759" s="3" t="s">
        <v>8136</v>
      </c>
      <c r="G1759" s="3">
        <v>19712</v>
      </c>
      <c r="H1759" s="7" t="str">
        <f>HYPERLINK("http://www.ensembl.org/Mus_musculus/Gene/Summary?db=core;g=ENSMUSG00000029249","ENSMUSG00000029249")</f>
        <v>ENSMUSG00000029249</v>
      </c>
      <c r="I1759" s="7" t="str">
        <f>HYPERLINK("http://www.informatics.jax.org/marker/MGI:104897","MGI:104897")</f>
        <v>MGI:104897</v>
      </c>
      <c r="J1759" s="4" t="s">
        <v>12</v>
      </c>
    </row>
    <row r="1760" spans="1:10" x14ac:dyDescent="0.25">
      <c r="A1760" s="2">
        <v>1481.2493609651999</v>
      </c>
      <c r="B1760" s="3">
        <v>0.48733071019442298</v>
      </c>
      <c r="C1760" s="5">
        <v>1.65177583755212E-24</v>
      </c>
      <c r="D1760" s="6">
        <v>3.2127657032430499E-23</v>
      </c>
      <c r="E1760" s="3" t="s">
        <v>1682</v>
      </c>
      <c r="F1760" s="3" t="s">
        <v>1683</v>
      </c>
      <c r="G1760" s="3">
        <v>12752</v>
      </c>
      <c r="H1760" s="7" t="str">
        <f>HYPERLINK("http://www.ensembl.org/Mus_musculus/Gene/Summary?db=core;g=ENSMUSG00000030720","ENSMUSG00000030720")</f>
        <v>ENSMUSG00000030720</v>
      </c>
      <c r="I1760" s="7" t="str">
        <f>HYPERLINK("http://www.informatics.jax.org/marker/MGI:107537","MGI:107537")</f>
        <v>MGI:107537</v>
      </c>
      <c r="J1760" s="4" t="s">
        <v>12</v>
      </c>
    </row>
    <row r="1761" spans="1:10" x14ac:dyDescent="0.25">
      <c r="A1761" s="2">
        <v>1350.2677822359301</v>
      </c>
      <c r="B1761" s="3">
        <v>0.48655504695400897</v>
      </c>
      <c r="C1761" s="5">
        <v>3.2851458064467297E-27</v>
      </c>
      <c r="D1761" s="6">
        <v>7.2134677496977804E-26</v>
      </c>
      <c r="E1761" s="3" t="s">
        <v>2053</v>
      </c>
      <c r="F1761" s="3" t="s">
        <v>2054</v>
      </c>
      <c r="G1761" s="3">
        <v>66498</v>
      </c>
      <c r="H1761" s="7" t="str">
        <f>HYPERLINK("http://www.ensembl.org/Mus_musculus/Gene/Summary?db=core;g=ENSMUSG00000074247","ENSMUSG00000074247")</f>
        <v>ENSMUSG00000074247</v>
      </c>
      <c r="I1761" s="7" t="str">
        <f>HYPERLINK("http://www.informatics.jax.org/marker/MGI:1913748","MGI:1913748")</f>
        <v>MGI:1913748</v>
      </c>
      <c r="J1761" s="4" t="s">
        <v>12</v>
      </c>
    </row>
    <row r="1762" spans="1:10" x14ac:dyDescent="0.25">
      <c r="A1762" s="2">
        <v>4.61381561981782</v>
      </c>
      <c r="B1762" s="3">
        <v>0.48634353638849998</v>
      </c>
      <c r="C1762" s="3">
        <v>0.30249858676408797</v>
      </c>
      <c r="D1762" s="4">
        <v>0.47661768339029198</v>
      </c>
      <c r="E1762" s="3" t="s">
        <v>6169</v>
      </c>
      <c r="F1762" s="3" t="s">
        <v>6170</v>
      </c>
      <c r="G1762" s="3">
        <v>15567</v>
      </c>
      <c r="H1762" s="7" t="str">
        <f>HYPERLINK("http://www.ensembl.org/Mus_musculus/Gene/Summary?db=core;g=ENSMUSG00000020838","ENSMUSG00000020838")</f>
        <v>ENSMUSG00000020838</v>
      </c>
      <c r="I1762" s="7" t="str">
        <f>HYPERLINK("http://www.informatics.jax.org/marker/MGI:96285","MGI:96285")</f>
        <v>MGI:96285</v>
      </c>
      <c r="J1762" s="4" t="s">
        <v>12</v>
      </c>
    </row>
    <row r="1763" spans="1:10" x14ac:dyDescent="0.25">
      <c r="A1763" s="2">
        <v>576.99113365954304</v>
      </c>
      <c r="B1763" s="3">
        <v>0.48629223888050599</v>
      </c>
      <c r="C1763" s="5">
        <v>9.7227820685218291E-16</v>
      </c>
      <c r="D1763" s="6">
        <v>1.1989019160947899E-14</v>
      </c>
      <c r="E1763" s="3" t="s">
        <v>4149</v>
      </c>
      <c r="F1763" s="3" t="s">
        <v>4150</v>
      </c>
      <c r="G1763" s="3">
        <v>12380</v>
      </c>
      <c r="H1763" s="7" t="str">
        <f>HYPERLINK("http://www.ensembl.org/Mus_musculus/Gene/Summary?db=core;g=ENSMUSG00000021585","ENSMUSG00000021585")</f>
        <v>ENSMUSG00000021585</v>
      </c>
      <c r="I1763" s="7" t="str">
        <f>HYPERLINK("http://www.informatics.jax.org/marker/MGI:1098236","MGI:1098236")</f>
        <v>MGI:1098236</v>
      </c>
      <c r="J1763" s="4" t="s">
        <v>12</v>
      </c>
    </row>
    <row r="1764" spans="1:10" x14ac:dyDescent="0.25">
      <c r="A1764" s="2">
        <v>90.742448364697196</v>
      </c>
      <c r="B1764" s="3">
        <v>0.48553718957588599</v>
      </c>
      <c r="C1764" s="3">
        <v>1.3412332785517499E-4</v>
      </c>
      <c r="D1764" s="4">
        <v>5.4794836363160002E-4</v>
      </c>
      <c r="E1764" s="3" t="s">
        <v>8813</v>
      </c>
      <c r="F1764" s="3" t="s">
        <v>8814</v>
      </c>
      <c r="G1764" s="3" t="s">
        <v>83</v>
      </c>
      <c r="H1764" s="7" t="str">
        <f>HYPERLINK("http://www.ensembl.org/Mus_musculus/Gene/Summary?db=core;g=ENSMUSG00000045464","ENSMUSG00000045464")</f>
        <v>ENSMUSG00000045464</v>
      </c>
      <c r="I1764" s="7" t="str">
        <f>HYPERLINK("http://www.informatics.jax.org/marker/MGI:1913707","MGI:1913707")</f>
        <v>MGI:1913707</v>
      </c>
      <c r="J1764" s="4" t="s">
        <v>331</v>
      </c>
    </row>
    <row r="1765" spans="1:10" x14ac:dyDescent="0.25">
      <c r="A1765" s="2">
        <v>642.69676172339302</v>
      </c>
      <c r="B1765" s="3">
        <v>0.485007343662263</v>
      </c>
      <c r="C1765" s="5">
        <v>1.1584333066704301E-5</v>
      </c>
      <c r="D1765" s="6">
        <v>5.6105360122425301E-5</v>
      </c>
      <c r="E1765" s="3" t="s">
        <v>3768</v>
      </c>
      <c r="F1765" s="3" t="s">
        <v>3769</v>
      </c>
      <c r="G1765" s="3">
        <v>268567</v>
      </c>
      <c r="H1765" s="7" t="str">
        <f>HYPERLINK("http://www.ensembl.org/Mus_musculus/Gene/Summary?db=core;g=ENSMUSG00000046157","ENSMUSG00000046157")</f>
        <v>ENSMUSG00000046157</v>
      </c>
      <c r="I1765" s="7" t="str">
        <f>HYPERLINK("http://www.informatics.jax.org/marker/MGI:2444389","MGI:2444389")</f>
        <v>MGI:2444389</v>
      </c>
      <c r="J1765" s="4" t="s">
        <v>12</v>
      </c>
    </row>
    <row r="1766" spans="1:10" x14ac:dyDescent="0.25">
      <c r="A1766" s="2">
        <v>1402.00370975755</v>
      </c>
      <c r="B1766" s="3">
        <v>0.484692914532459</v>
      </c>
      <c r="C1766" s="5">
        <v>5.5911534977045997E-17</v>
      </c>
      <c r="D1766" s="6">
        <v>7.4216148940762102E-16</v>
      </c>
      <c r="E1766" s="3" t="s">
        <v>3114</v>
      </c>
      <c r="F1766" s="3" t="s">
        <v>3115</v>
      </c>
      <c r="G1766" s="3">
        <v>80889</v>
      </c>
      <c r="H1766" s="7" t="str">
        <f>HYPERLINK("http://www.ensembl.org/Mus_musculus/Gene/Summary?db=core;g=ENSMUSG00000070462","ENSMUSG00000070462")</f>
        <v>ENSMUSG00000070462</v>
      </c>
      <c r="I1766" s="7" t="str">
        <f>HYPERLINK("http://www.informatics.jax.org/marker/MGI:1891420","MGI:1891420")</f>
        <v>MGI:1891420</v>
      </c>
      <c r="J1766" s="4" t="s">
        <v>12</v>
      </c>
    </row>
    <row r="1767" spans="1:10" x14ac:dyDescent="0.25">
      <c r="A1767" s="2">
        <v>3200.7670889629899</v>
      </c>
      <c r="B1767" s="3">
        <v>0.48457431138493401</v>
      </c>
      <c r="C1767" s="5">
        <v>7.9781491584363499E-30</v>
      </c>
      <c r="D1767" s="6">
        <v>1.95959256620623E-28</v>
      </c>
      <c r="E1767" s="3" t="s">
        <v>2063</v>
      </c>
      <c r="F1767" s="3" t="s">
        <v>2064</v>
      </c>
      <c r="G1767" s="3">
        <v>22324</v>
      </c>
      <c r="H1767" s="7" t="str">
        <f>HYPERLINK("http://www.ensembl.org/Mus_musculus/Gene/Summary?db=core;g=ENSMUSG00000034116","ENSMUSG00000034116")</f>
        <v>ENSMUSG00000034116</v>
      </c>
      <c r="I1767" s="7" t="str">
        <f>HYPERLINK("http://www.informatics.jax.org/marker/MGI:98923","MGI:98923")</f>
        <v>MGI:98923</v>
      </c>
      <c r="J1767" s="4" t="s">
        <v>12</v>
      </c>
    </row>
    <row r="1768" spans="1:10" x14ac:dyDescent="0.25">
      <c r="A1768" s="2">
        <v>2463.1058318993601</v>
      </c>
      <c r="B1768" s="3">
        <v>0.48451389883434998</v>
      </c>
      <c r="C1768" s="5">
        <v>4.4717236482160802E-18</v>
      </c>
      <c r="D1768" s="6">
        <v>6.3570330334429106E-17</v>
      </c>
      <c r="E1768" s="3" t="s">
        <v>3622</v>
      </c>
      <c r="F1768" s="3" t="s">
        <v>3623</v>
      </c>
      <c r="G1768" s="3">
        <v>68420</v>
      </c>
      <c r="H1768" s="7" t="str">
        <f>HYPERLINK("http://www.ensembl.org/Mus_musculus/Gene/Summary?db=core;g=ENSMUSG00000041870","ENSMUSG00000041870")</f>
        <v>ENSMUSG00000041870</v>
      </c>
      <c r="I1768" s="7" t="str">
        <f>HYPERLINK("http://www.informatics.jax.org/marker/MGI:1915670","MGI:1915670")</f>
        <v>MGI:1915670</v>
      </c>
      <c r="J1768" s="4" t="s">
        <v>12</v>
      </c>
    </row>
    <row r="1769" spans="1:10" x14ac:dyDescent="0.25">
      <c r="A1769" s="2">
        <v>3344.8776807116701</v>
      </c>
      <c r="B1769" s="3">
        <v>0.48404532422935898</v>
      </c>
      <c r="C1769" s="5">
        <v>1.8494840097401399E-23</v>
      </c>
      <c r="D1769" s="6">
        <v>3.4500354224681701E-22</v>
      </c>
      <c r="E1769" s="3" t="s">
        <v>3300</v>
      </c>
      <c r="F1769" s="3" t="s">
        <v>3301</v>
      </c>
      <c r="G1769" s="3">
        <v>233489</v>
      </c>
      <c r="H1769" s="7" t="str">
        <f>HYPERLINK("http://www.ensembl.org/Mus_musculus/Gene/Summary?db=core;g=ENSMUSG00000039361","ENSMUSG00000039361")</f>
        <v>ENSMUSG00000039361</v>
      </c>
      <c r="I1769" s="7" t="str">
        <f>HYPERLINK("http://www.informatics.jax.org/marker/MGI:2385902","MGI:2385902")</f>
        <v>MGI:2385902</v>
      </c>
      <c r="J1769" s="4" t="s">
        <v>12</v>
      </c>
    </row>
    <row r="1770" spans="1:10" x14ac:dyDescent="0.25">
      <c r="A1770" s="2">
        <v>5344.9135043570004</v>
      </c>
      <c r="B1770" s="3">
        <v>0.48400975511844202</v>
      </c>
      <c r="C1770" s="5">
        <v>1.6813655155743501E-32</v>
      </c>
      <c r="D1770" s="6">
        <v>4.5396868920507497E-31</v>
      </c>
      <c r="E1770" s="3" t="s">
        <v>2712</v>
      </c>
      <c r="F1770" s="3" t="s">
        <v>2713</v>
      </c>
      <c r="G1770" s="3">
        <v>268396</v>
      </c>
      <c r="H1770" s="7" t="str">
        <f>HYPERLINK("http://www.ensembl.org/Mus_musculus/Gene/Summary?db=core;g=ENSMUSG00000040711","ENSMUSG00000040711")</f>
        <v>ENSMUSG00000040711</v>
      </c>
      <c r="I1770" s="7" t="str">
        <f>HYPERLINK("http://www.informatics.jax.org/marker/MGI:2442062","MGI:2442062")</f>
        <v>MGI:2442062</v>
      </c>
      <c r="J1770" s="4" t="s">
        <v>12</v>
      </c>
    </row>
    <row r="1771" spans="1:10" x14ac:dyDescent="0.25">
      <c r="A1771" s="2">
        <v>485.47181105278497</v>
      </c>
      <c r="B1771" s="3">
        <v>0.48343940952500303</v>
      </c>
      <c r="C1771" s="5">
        <v>3.3818806889087799E-7</v>
      </c>
      <c r="D1771" s="6">
        <v>1.9952986583153899E-6</v>
      </c>
      <c r="E1771" s="3" t="s">
        <v>6277</v>
      </c>
      <c r="F1771" s="3" t="s">
        <v>6278</v>
      </c>
      <c r="G1771" s="3">
        <v>74277</v>
      </c>
      <c r="H1771" s="7" t="str">
        <f>HYPERLINK("http://www.ensembl.org/Mus_musculus/Gene/Summary?db=core;g=ENSMUSG00000029229","ENSMUSG00000029229")</f>
        <v>ENSMUSG00000029229</v>
      </c>
      <c r="I1771" s="7" t="str">
        <f>HYPERLINK("http://www.informatics.jax.org/marker/MGI:1921527","MGI:1921527")</f>
        <v>MGI:1921527</v>
      </c>
      <c r="J1771" s="4" t="s">
        <v>12</v>
      </c>
    </row>
    <row r="1772" spans="1:10" x14ac:dyDescent="0.25">
      <c r="A1772" s="2">
        <v>521.29672868115301</v>
      </c>
      <c r="B1772" s="3">
        <v>0.483070156737957</v>
      </c>
      <c r="C1772" s="5">
        <v>2.78000326286923E-14</v>
      </c>
      <c r="D1772" s="6">
        <v>3.1121351023213602E-13</v>
      </c>
      <c r="E1772" s="3" t="s">
        <v>3128</v>
      </c>
      <c r="F1772" s="3" t="s">
        <v>3129</v>
      </c>
      <c r="G1772" s="3">
        <v>73067</v>
      </c>
      <c r="H1772" s="7" t="str">
        <f>HYPERLINK("http://www.ensembl.org/Mus_musculus/Gene/Summary?db=core;g=ENSMUSG00000025521","ENSMUSG00000025521")</f>
        <v>ENSMUSG00000025521</v>
      </c>
      <c r="I1772" s="7" t="str">
        <f>HYPERLINK("http://www.informatics.jax.org/marker/MGI:1920317","MGI:1920317")</f>
        <v>MGI:1920317</v>
      </c>
      <c r="J1772" s="4" t="s">
        <v>12</v>
      </c>
    </row>
    <row r="1773" spans="1:10" x14ac:dyDescent="0.25">
      <c r="A1773" s="2">
        <v>1009.2175876872</v>
      </c>
      <c r="B1773" s="3">
        <v>0.482789927237053</v>
      </c>
      <c r="C1773" s="5">
        <v>7.0795778266571898E-6</v>
      </c>
      <c r="D1773" s="6">
        <v>3.53881804418067E-5</v>
      </c>
      <c r="E1773" s="3" t="s">
        <v>9697</v>
      </c>
      <c r="F1773" s="3" t="s">
        <v>9698</v>
      </c>
      <c r="G1773" s="3">
        <v>69538</v>
      </c>
      <c r="H1773" s="7" t="str">
        <f>HYPERLINK("http://www.ensembl.org/Mus_musculus/Gene/Summary?db=core;g=ENSMUSG00000033420","ENSMUSG00000033420")</f>
        <v>ENSMUSG00000033420</v>
      </c>
      <c r="I1773" s="7" t="str">
        <f>HYPERLINK("http://www.informatics.jax.org/marker/MGI:1916788","MGI:1916788")</f>
        <v>MGI:1916788</v>
      </c>
      <c r="J1773" s="4" t="s">
        <v>12</v>
      </c>
    </row>
    <row r="1774" spans="1:10" x14ac:dyDescent="0.25">
      <c r="A1774" s="2">
        <v>1441.6657476533601</v>
      </c>
      <c r="B1774" s="3">
        <v>0.48215304891899102</v>
      </c>
      <c r="C1774" s="5">
        <v>4.0493311389854597E-6</v>
      </c>
      <c r="D1774" s="6">
        <v>2.0941844497165199E-5</v>
      </c>
      <c r="E1774" s="3" t="s">
        <v>3654</v>
      </c>
      <c r="F1774" s="3" t="s">
        <v>3655</v>
      </c>
      <c r="G1774" s="3">
        <v>216549</v>
      </c>
      <c r="H1774" s="7" t="str">
        <f>HYPERLINK("http://www.ensembl.org/Mus_musculus/Gene/Summary?db=core;g=ENSMUSG00000049659","ENSMUSG00000049659")</f>
        <v>ENSMUSG00000049659</v>
      </c>
      <c r="I1774" s="7" t="str">
        <f>HYPERLINK("http://www.informatics.jax.org/marker/MGI:1923012","MGI:1923012")</f>
        <v>MGI:1923012</v>
      </c>
      <c r="J1774" s="4" t="s">
        <v>12</v>
      </c>
    </row>
    <row r="1775" spans="1:10" x14ac:dyDescent="0.25">
      <c r="A1775" s="2">
        <v>1929.45539683693</v>
      </c>
      <c r="B1775" s="3">
        <v>0.48160739603230301</v>
      </c>
      <c r="C1775" s="5">
        <v>2.5209035973923499E-25</v>
      </c>
      <c r="D1775" s="6">
        <v>5.1219027940329597E-24</v>
      </c>
      <c r="E1775" s="3" t="s">
        <v>2369</v>
      </c>
      <c r="F1775" s="3" t="s">
        <v>2370</v>
      </c>
      <c r="G1775" s="3">
        <v>74522</v>
      </c>
      <c r="H1775" s="7" t="str">
        <f>HYPERLINK("http://www.ensembl.org/Mus_musculus/Gene/Summary?db=core;g=ENSMUSG00000034543","ENSMUSG00000034543")</f>
        <v>ENSMUSG00000034543</v>
      </c>
      <c r="I1775" s="7" t="str">
        <f>HYPERLINK("http://www.informatics.jax.org/marker/MGI:1921772","MGI:1921772")</f>
        <v>MGI:1921772</v>
      </c>
      <c r="J1775" s="4" t="s">
        <v>12</v>
      </c>
    </row>
    <row r="1776" spans="1:10" x14ac:dyDescent="0.25">
      <c r="A1776" s="2">
        <v>851.10853145119302</v>
      </c>
      <c r="B1776" s="3">
        <v>0.48099320130918299</v>
      </c>
      <c r="C1776" s="5">
        <v>7.3679414060974202E-14</v>
      </c>
      <c r="D1776" s="6">
        <v>8.0552328809913298E-13</v>
      </c>
      <c r="E1776" s="3" t="s">
        <v>1202</v>
      </c>
      <c r="F1776" s="3" t="s">
        <v>1203</v>
      </c>
      <c r="G1776" s="3">
        <v>319481</v>
      </c>
      <c r="H1776" s="7" t="str">
        <f>HYPERLINK("http://www.ensembl.org/Mus_musculus/Gene/Summary?db=core;g=ENSMUSG00000031959","ENSMUSG00000031959")</f>
        <v>ENSMUSG00000031959</v>
      </c>
      <c r="I1776" s="7" t="str">
        <f>HYPERLINK("http://www.informatics.jax.org/marker/MGI:2442115","MGI:2442115")</f>
        <v>MGI:2442115</v>
      </c>
      <c r="J1776" s="4" t="s">
        <v>12</v>
      </c>
    </row>
    <row r="1777" spans="1:10" x14ac:dyDescent="0.25">
      <c r="A1777" s="2">
        <v>1291.4241493434699</v>
      </c>
      <c r="B1777" s="3">
        <v>0.48076101580491398</v>
      </c>
      <c r="C1777" s="5">
        <v>5.10549838353476E-13</v>
      </c>
      <c r="D1777" s="6">
        <v>5.2808006833099302E-12</v>
      </c>
      <c r="E1777" s="3" t="s">
        <v>3420</v>
      </c>
      <c r="F1777" s="3" t="s">
        <v>3421</v>
      </c>
      <c r="G1777" s="3">
        <v>77891</v>
      </c>
      <c r="H1777" s="7" t="str">
        <f>HYPERLINK("http://www.ensembl.org/Mus_musculus/Gene/Summary?db=core;g=ENSMUSG00000060860","ENSMUSG00000060860")</f>
        <v>ENSMUSG00000060860</v>
      </c>
      <c r="I1777" s="7" t="str">
        <f>HYPERLINK("http://www.informatics.jax.org/marker/MGI:1925141","MGI:1925141")</f>
        <v>MGI:1925141</v>
      </c>
      <c r="J1777" s="4" t="s">
        <v>12</v>
      </c>
    </row>
    <row r="1778" spans="1:10" x14ac:dyDescent="0.25">
      <c r="A1778" s="2">
        <v>628.468373593313</v>
      </c>
      <c r="B1778" s="3">
        <v>0.47988382212409503</v>
      </c>
      <c r="C1778" s="5">
        <v>1.6708873206875E-12</v>
      </c>
      <c r="D1778" s="6">
        <v>1.6631306072927199E-11</v>
      </c>
      <c r="E1778" s="3" t="s">
        <v>1778</v>
      </c>
      <c r="F1778" s="3" t="s">
        <v>1779</v>
      </c>
      <c r="G1778" s="3">
        <v>68048</v>
      </c>
      <c r="H1778" s="7" t="str">
        <f>HYPERLINK("http://www.ensembl.org/Mus_musculus/Gene/Summary?db=core;g=ENSMUSG00000030609","ENSMUSG00000030609")</f>
        <v>ENSMUSG00000030609</v>
      </c>
      <c r="I1778" s="7" t="str">
        <f>HYPERLINK("http://www.informatics.jax.org/marker/MGI:1915298","MGI:1915298")</f>
        <v>MGI:1915298</v>
      </c>
      <c r="J1778" s="4" t="s">
        <v>12</v>
      </c>
    </row>
    <row r="1779" spans="1:10" x14ac:dyDescent="0.25">
      <c r="A1779" s="2">
        <v>635.76646409168097</v>
      </c>
      <c r="B1779" s="3">
        <v>0.47927308873468499</v>
      </c>
      <c r="C1779" s="5">
        <v>2.9669023926503602E-9</v>
      </c>
      <c r="D1779" s="6">
        <v>2.19447224456383E-8</v>
      </c>
      <c r="E1779" s="3" t="s">
        <v>8281</v>
      </c>
      <c r="F1779" s="3" t="s">
        <v>8282</v>
      </c>
      <c r="G1779" s="3">
        <v>66979</v>
      </c>
      <c r="H1779" s="7" t="str">
        <f>HYPERLINK("http://www.ensembl.org/Mus_musculus/Gene/Summary?db=core;g=ENSMUSG00000030042","ENSMUSG00000030042")</f>
        <v>ENSMUSG00000030042</v>
      </c>
      <c r="I1779" s="7" t="str">
        <f>HYPERLINK("http://www.informatics.jax.org/marker/MGI:1914229","MGI:1914229")</f>
        <v>MGI:1914229</v>
      </c>
      <c r="J1779" s="4" t="s">
        <v>12</v>
      </c>
    </row>
    <row r="1780" spans="1:10" x14ac:dyDescent="0.25">
      <c r="A1780" s="2">
        <v>1328.7456110463499</v>
      </c>
      <c r="B1780" s="3">
        <v>0.47840996436244299</v>
      </c>
      <c r="C1780" s="5">
        <v>5.4523896200462401E-6</v>
      </c>
      <c r="D1780" s="6">
        <v>2.7702760196638599E-5</v>
      </c>
      <c r="E1780" s="3" t="s">
        <v>5637</v>
      </c>
      <c r="F1780" s="3" t="s">
        <v>5638</v>
      </c>
      <c r="G1780" s="3">
        <v>11746</v>
      </c>
      <c r="H1780" s="7" t="str">
        <f>HYPERLINK("http://www.ensembl.org/Mus_musculus/Gene/Summary?db=core;g=ENSMUSG00000029994","ENSMUSG00000029994")</f>
        <v>ENSMUSG00000029994</v>
      </c>
      <c r="I1780" s="7" t="str">
        <f>HYPERLINK("http://www.informatics.jax.org/marker/MGI:88030","MGI:88030")</f>
        <v>MGI:88030</v>
      </c>
      <c r="J1780" s="4" t="s">
        <v>12</v>
      </c>
    </row>
    <row r="1781" spans="1:10" x14ac:dyDescent="0.25">
      <c r="A1781" s="2">
        <v>1686.6638375847201</v>
      </c>
      <c r="B1781" s="3">
        <v>0.47832904365064799</v>
      </c>
      <c r="C1781" s="5">
        <v>6.4201360002295899E-7</v>
      </c>
      <c r="D1781" s="6">
        <v>3.6439420306503999E-6</v>
      </c>
      <c r="E1781" s="3" t="s">
        <v>9519</v>
      </c>
      <c r="F1781" s="3" t="s">
        <v>9520</v>
      </c>
      <c r="G1781" s="3">
        <v>71772</v>
      </c>
      <c r="H1781" s="7" t="str">
        <f>HYPERLINK("http://www.ensembl.org/Mus_musculus/Gene/Summary?db=core;g=ENSMUSG00000029598","ENSMUSG00000029598")</f>
        <v>ENSMUSG00000029598</v>
      </c>
      <c r="I1781" s="7" t="str">
        <f>HYPERLINK("http://www.informatics.jax.org/marker/MGI:1919022","MGI:1919022")</f>
        <v>MGI:1919022</v>
      </c>
      <c r="J1781" s="4" t="s">
        <v>12</v>
      </c>
    </row>
    <row r="1782" spans="1:10" x14ac:dyDescent="0.25">
      <c r="A1782" s="2">
        <v>4738.2386530355398</v>
      </c>
      <c r="B1782" s="3">
        <v>0.47798627467382898</v>
      </c>
      <c r="C1782" s="5">
        <v>2.2429663967552101E-17</v>
      </c>
      <c r="D1782" s="6">
        <v>3.0506016851390802E-16</v>
      </c>
      <c r="E1782" s="3" t="s">
        <v>4751</v>
      </c>
      <c r="F1782" s="3" t="s">
        <v>4752</v>
      </c>
      <c r="G1782" s="3">
        <v>26921</v>
      </c>
      <c r="H1782" s="7" t="str">
        <f>HYPERLINK("http://www.ensembl.org/Mus_musculus/Gene/Summary?db=core;g=ENSMUSG00000026074","ENSMUSG00000026074")</f>
        <v>ENSMUSG00000026074</v>
      </c>
      <c r="I1782" s="7" t="str">
        <f>HYPERLINK("http://www.informatics.jax.org/marker/MGI:1349394","MGI:1349394")</f>
        <v>MGI:1349394</v>
      </c>
      <c r="J1782" s="4" t="s">
        <v>12</v>
      </c>
    </row>
    <row r="1783" spans="1:10" x14ac:dyDescent="0.25">
      <c r="A1783" s="2">
        <v>7324.4182609216296</v>
      </c>
      <c r="B1783" s="3">
        <v>0.47797177141705399</v>
      </c>
      <c r="C1783" s="5">
        <v>2.0303579094575602E-6</v>
      </c>
      <c r="D1783" s="6">
        <v>1.0880115524805601E-5</v>
      </c>
      <c r="E1783" s="3" t="s">
        <v>8275</v>
      </c>
      <c r="F1783" s="3" t="s">
        <v>8276</v>
      </c>
      <c r="G1783" s="3">
        <v>70223</v>
      </c>
      <c r="H1783" s="7" t="str">
        <f>HYPERLINK("http://www.ensembl.org/Mus_musculus/Gene/Summary?db=core;g=ENSMUSG00000024587","ENSMUSG00000024587")</f>
        <v>ENSMUSG00000024587</v>
      </c>
      <c r="I1783" s="7" t="str">
        <f>HYPERLINK("http://www.informatics.jax.org/marker/MGI:1917473","MGI:1917473")</f>
        <v>MGI:1917473</v>
      </c>
      <c r="J1783" s="4" t="s">
        <v>12</v>
      </c>
    </row>
    <row r="1784" spans="1:10" x14ac:dyDescent="0.25">
      <c r="A1784" s="2">
        <v>115.193498504763</v>
      </c>
      <c r="B1784" s="3">
        <v>0.477450938835836</v>
      </c>
      <c r="C1784" s="3">
        <v>3.9087373466544202E-3</v>
      </c>
      <c r="D1784" s="4">
        <v>1.20658431813646E-2</v>
      </c>
      <c r="E1784" s="3" t="s">
        <v>8569</v>
      </c>
      <c r="F1784" s="3" t="s">
        <v>8570</v>
      </c>
      <c r="G1784" s="3">
        <v>23882</v>
      </c>
      <c r="H1784" s="7" t="str">
        <f>HYPERLINK("http://www.ensembl.org/Mus_musculus/Gene/Summary?db=core;g=ENSMUSG00000021453","ENSMUSG00000021453")</f>
        <v>ENSMUSG00000021453</v>
      </c>
      <c r="I1784" s="7" t="str">
        <f>HYPERLINK("http://www.informatics.jax.org/marker/MGI:1346325","MGI:1346325")</f>
        <v>MGI:1346325</v>
      </c>
      <c r="J1784" s="4" t="s">
        <v>12</v>
      </c>
    </row>
    <row r="1785" spans="1:10" x14ac:dyDescent="0.25">
      <c r="A1785" s="2">
        <v>720.85975541662003</v>
      </c>
      <c r="B1785" s="3">
        <v>0.47661598664969601</v>
      </c>
      <c r="C1785" s="5">
        <v>1.65498168457666E-10</v>
      </c>
      <c r="D1785" s="6">
        <v>1.3899558157331601E-9</v>
      </c>
      <c r="E1785" s="3" t="s">
        <v>3816</v>
      </c>
      <c r="F1785" s="3" t="s">
        <v>3817</v>
      </c>
      <c r="G1785" s="3">
        <v>14201</v>
      </c>
      <c r="H1785" s="7" t="str">
        <f>HYPERLINK("http://www.ensembl.org/Mus_musculus/Gene/Summary?db=core;g=ENSMUSG00000032643","ENSMUSG00000032643")</f>
        <v>ENSMUSG00000032643</v>
      </c>
      <c r="I1785" s="7" t="str">
        <f>HYPERLINK("http://www.informatics.jax.org/marker/MGI:1341092","MGI:1341092")</f>
        <v>MGI:1341092</v>
      </c>
      <c r="J1785" s="4" t="s">
        <v>12</v>
      </c>
    </row>
    <row r="1786" spans="1:10" x14ac:dyDescent="0.25">
      <c r="A1786" s="2">
        <v>314.80274159784398</v>
      </c>
      <c r="B1786" s="3">
        <v>0.47645432283790201</v>
      </c>
      <c r="C1786" s="5">
        <v>1.6147141693103199E-7</v>
      </c>
      <c r="D1786" s="6">
        <v>9.9118106216505798E-7</v>
      </c>
      <c r="E1786" s="3" t="s">
        <v>8109</v>
      </c>
      <c r="F1786" s="3" t="s">
        <v>8110</v>
      </c>
      <c r="G1786" s="3">
        <v>226418</v>
      </c>
      <c r="H1786" s="7" t="str">
        <f>HYPERLINK("http://www.ensembl.org/Mus_musculus/Gene/Summary?db=core;g=ENSMUSG00000046404","ENSMUSG00000046404")</f>
        <v>ENSMUSG00000046404</v>
      </c>
      <c r="I1786" s="7" t="str">
        <f>HYPERLINK("http://www.informatics.jax.org/marker/MGI:2442596","MGI:2442596")</f>
        <v>MGI:2442596</v>
      </c>
      <c r="J1786" s="4" t="s">
        <v>12</v>
      </c>
    </row>
    <row r="1787" spans="1:10" x14ac:dyDescent="0.25">
      <c r="A1787" s="2">
        <v>456.85320055096599</v>
      </c>
      <c r="B1787" s="3">
        <v>0.47605328645246298</v>
      </c>
      <c r="C1787" s="5">
        <v>4.2385945084184799E-9</v>
      </c>
      <c r="D1787" s="6">
        <v>3.0886999166703999E-8</v>
      </c>
      <c r="E1787" s="3" t="s">
        <v>4535</v>
      </c>
      <c r="F1787" s="3" t="s">
        <v>4536</v>
      </c>
      <c r="G1787" s="3">
        <v>68523</v>
      </c>
      <c r="H1787" s="7" t="str">
        <f>HYPERLINK("http://www.ensembl.org/Mus_musculus/Gene/Summary?db=core;g=ENSMUSG00000031879","ENSMUSG00000031879")</f>
        <v>ENSMUSG00000031879</v>
      </c>
      <c r="I1787" s="7" t="str">
        <f>HYPERLINK("http://www.informatics.jax.org/marker/MGI:1915773","MGI:1915773")</f>
        <v>MGI:1915773</v>
      </c>
      <c r="J1787" s="4" t="s">
        <v>12</v>
      </c>
    </row>
    <row r="1788" spans="1:10" x14ac:dyDescent="0.25">
      <c r="A1788" s="2">
        <v>1302.8428619163701</v>
      </c>
      <c r="B1788" s="3">
        <v>0.47603682415892801</v>
      </c>
      <c r="C1788" s="5">
        <v>1.1321055941468501E-15</v>
      </c>
      <c r="D1788" s="6">
        <v>1.3875335879842799E-14</v>
      </c>
      <c r="E1788" s="3" t="s">
        <v>3684</v>
      </c>
      <c r="F1788" s="3" t="s">
        <v>3685</v>
      </c>
      <c r="G1788" s="3">
        <v>50527</v>
      </c>
      <c r="H1788" s="7" t="str">
        <f>HYPERLINK("http://www.ensembl.org/Mus_musculus/Gene/Summary?db=core;g=ENSMUSG00000021831","ENSMUSG00000021831")</f>
        <v>ENSMUSG00000021831</v>
      </c>
      <c r="I1788" s="7" t="str">
        <f>HYPERLINK("http://www.informatics.jax.org/marker/MGI:1354385","MGI:1354385")</f>
        <v>MGI:1354385</v>
      </c>
      <c r="J1788" s="4" t="s">
        <v>12</v>
      </c>
    </row>
    <row r="1789" spans="1:10" x14ac:dyDescent="0.25">
      <c r="A1789" s="2">
        <v>41.376787737870899</v>
      </c>
      <c r="B1789" s="3">
        <v>0.47573508207048598</v>
      </c>
      <c r="C1789" s="3">
        <v>9.0225892698606106E-3</v>
      </c>
      <c r="D1789" s="4">
        <v>2.55972430640115E-2</v>
      </c>
      <c r="E1789" s="3" t="s">
        <v>12245</v>
      </c>
      <c r="F1789" s="3" t="s">
        <v>12246</v>
      </c>
      <c r="G1789" s="3">
        <v>213084</v>
      </c>
      <c r="H1789" s="7" t="str">
        <f>HYPERLINK("http://www.ensembl.org/Mus_musculus/Gene/Summary?db=core;g=ENSMUSG00000020389","ENSMUSG00000020389")</f>
        <v>ENSMUSG00000020389</v>
      </c>
      <c r="I1789" s="7" t="str">
        <f>HYPERLINK("http://www.informatics.jax.org/marker/MGI:2388268","MGI:2388268")</f>
        <v>MGI:2388268</v>
      </c>
      <c r="J1789" s="4" t="s">
        <v>12</v>
      </c>
    </row>
    <row r="1790" spans="1:10" x14ac:dyDescent="0.25">
      <c r="A1790" s="2">
        <v>397.00307712539598</v>
      </c>
      <c r="B1790" s="3">
        <v>0.475424042099377</v>
      </c>
      <c r="C1790" s="5">
        <v>1.68864817501668E-8</v>
      </c>
      <c r="D1790" s="6">
        <v>1.14663237666464E-7</v>
      </c>
      <c r="E1790" s="3" t="s">
        <v>5119</v>
      </c>
      <c r="F1790" s="3" t="s">
        <v>5120</v>
      </c>
      <c r="G1790" s="3">
        <v>18519</v>
      </c>
      <c r="H1790" s="7" t="str">
        <f>HYPERLINK("http://www.ensembl.org/Mus_musculus/Gene/Summary?db=core;g=ENSMUSG00000000708","ENSMUSG00000000708")</f>
        <v>ENSMUSG00000000708</v>
      </c>
      <c r="I1790" s="7" t="str">
        <f>HYPERLINK("http://www.informatics.jax.org/marker/MGI:1343094","MGI:1343094")</f>
        <v>MGI:1343094</v>
      </c>
      <c r="J1790" s="4" t="s">
        <v>12</v>
      </c>
    </row>
    <row r="1791" spans="1:10" x14ac:dyDescent="0.25">
      <c r="A1791" s="2">
        <v>1207.8161451562901</v>
      </c>
      <c r="B1791" s="3">
        <v>0.474851414164084</v>
      </c>
      <c r="C1791" s="5">
        <v>4.9485720911551201E-9</v>
      </c>
      <c r="D1791" s="6">
        <v>3.5724699454954E-8</v>
      </c>
      <c r="E1791" s="3" t="s">
        <v>5213</v>
      </c>
      <c r="F1791" s="3" t="s">
        <v>5214</v>
      </c>
      <c r="G1791" s="3">
        <v>55950</v>
      </c>
      <c r="H1791" s="7" t="str">
        <f>HYPERLINK("http://www.ensembl.org/Mus_musculus/Gene/Summary?db=core;g=ENSMUSG00000047843","ENSMUSG00000047843")</f>
        <v>ENSMUSG00000047843</v>
      </c>
      <c r="I1791" s="7" t="str">
        <f>HYPERLINK("http://www.informatics.jax.org/marker/MGI:1933174","MGI:1933174")</f>
        <v>MGI:1933174</v>
      </c>
      <c r="J1791" s="4" t="s">
        <v>12</v>
      </c>
    </row>
    <row r="1792" spans="1:10" x14ac:dyDescent="0.25">
      <c r="A1792" s="2">
        <v>4018.24409436822</v>
      </c>
      <c r="B1792" s="3">
        <v>0.474505232781052</v>
      </c>
      <c r="C1792" s="5">
        <v>3.4697558445023797E-18</v>
      </c>
      <c r="D1792" s="6">
        <v>4.9597098247887001E-17</v>
      </c>
      <c r="E1792" s="3" t="s">
        <v>2391</v>
      </c>
      <c r="F1792" s="3" t="s">
        <v>2392</v>
      </c>
      <c r="G1792" s="3">
        <v>56397</v>
      </c>
      <c r="H1792" s="7" t="str">
        <f>HYPERLINK("http://www.ensembl.org/Mus_musculus/Gene/Summary?db=core;g=ENSMUSG00000031422","ENSMUSG00000031422")</f>
        <v>ENSMUSG00000031422</v>
      </c>
      <c r="I1792" s="7" t="str">
        <f>HYPERLINK("http://www.informatics.jax.org/marker/MGI:1927167","MGI:1927167")</f>
        <v>MGI:1927167</v>
      </c>
      <c r="J1792" s="4" t="s">
        <v>12</v>
      </c>
    </row>
    <row r="1793" spans="1:10" x14ac:dyDescent="0.25">
      <c r="A1793" s="2">
        <v>268.79693427857097</v>
      </c>
      <c r="B1793" s="3">
        <v>0.47447235285226902</v>
      </c>
      <c r="C1793" s="5">
        <v>6.4429554364843097E-9</v>
      </c>
      <c r="D1793" s="6">
        <v>4.5886230101573503E-8</v>
      </c>
      <c r="E1793" s="3" t="s">
        <v>6275</v>
      </c>
      <c r="F1793" s="3" t="s">
        <v>6276</v>
      </c>
      <c r="G1793" s="3">
        <v>19338</v>
      </c>
      <c r="H1793" s="7" t="str">
        <f>HYPERLINK("http://www.ensembl.org/Mus_musculus/Gene/Summary?db=core;g=ENSMUSG00000027739","ENSMUSG00000027739")</f>
        <v>ENSMUSG00000027739</v>
      </c>
      <c r="I1793" s="7" t="str">
        <f>HYPERLINK("http://www.informatics.jax.org/marker/MGI:1330805","MGI:1330805")</f>
        <v>MGI:1330805</v>
      </c>
      <c r="J1793" s="4" t="s">
        <v>12</v>
      </c>
    </row>
    <row r="1794" spans="1:10" x14ac:dyDescent="0.25">
      <c r="A1794" s="2">
        <v>2961.6364847170398</v>
      </c>
      <c r="B1794" s="3">
        <v>0.47422463934704101</v>
      </c>
      <c r="C1794" s="5">
        <v>1.42810813153667E-30</v>
      </c>
      <c r="D1794" s="6">
        <v>3.6199263834847999E-29</v>
      </c>
      <c r="E1794" s="3" t="s">
        <v>2467</v>
      </c>
      <c r="F1794" s="3" t="s">
        <v>2468</v>
      </c>
      <c r="G1794" s="3">
        <v>64340</v>
      </c>
      <c r="H1794" s="7" t="str">
        <f>HYPERLINK("http://www.ensembl.org/Mus_musculus/Gene/Summary?db=core;g=ENSMUSG00000037993","ENSMUSG00000037993")</f>
        <v>ENSMUSG00000037993</v>
      </c>
      <c r="I1794" s="7" t="str">
        <f>HYPERLINK("http://www.informatics.jax.org/marker/MGI:1927617","MGI:1927617")</f>
        <v>MGI:1927617</v>
      </c>
      <c r="J1794" s="4" t="s">
        <v>12</v>
      </c>
    </row>
    <row r="1795" spans="1:10" x14ac:dyDescent="0.25">
      <c r="A1795" s="2">
        <v>1338.55231465526</v>
      </c>
      <c r="B1795" s="3">
        <v>0.47372471669103799</v>
      </c>
      <c r="C1795" s="5">
        <v>6.7174663724198096E-11</v>
      </c>
      <c r="D1795" s="6">
        <v>5.8353586576430498E-10</v>
      </c>
      <c r="E1795" s="3" t="s">
        <v>8375</v>
      </c>
      <c r="F1795" s="3" t="s">
        <v>8376</v>
      </c>
      <c r="G1795" s="3">
        <v>13026</v>
      </c>
      <c r="H1795" s="7" t="str">
        <f>HYPERLINK("http://www.ensembl.org/Mus_musculus/Gene/Summary?db=core;g=ENSMUSG00000005615","ENSMUSG00000005615")</f>
        <v>ENSMUSG00000005615</v>
      </c>
      <c r="I1795" s="7" t="str">
        <f>HYPERLINK("http://www.informatics.jax.org/marker/MGI:88557","MGI:88557")</f>
        <v>MGI:88557</v>
      </c>
      <c r="J1795" s="4" t="s">
        <v>12</v>
      </c>
    </row>
    <row r="1796" spans="1:10" x14ac:dyDescent="0.25">
      <c r="A1796" s="2">
        <v>303.21979496857</v>
      </c>
      <c r="B1796" s="3">
        <v>0.47356673885717898</v>
      </c>
      <c r="C1796" s="5">
        <v>1.9029194158382601E-9</v>
      </c>
      <c r="D1796" s="6">
        <v>1.4330870394071201E-8</v>
      </c>
      <c r="E1796" s="3" t="s">
        <v>9065</v>
      </c>
      <c r="F1796" s="3" t="s">
        <v>9066</v>
      </c>
      <c r="G1796" s="3">
        <v>211612</v>
      </c>
      <c r="H1796" s="7" t="str">
        <f>HYPERLINK("http://www.ensembl.org/Mus_musculus/Gene/Summary?db=core;g=ENSMUSG00000041552","ENSMUSG00000041552")</f>
        <v>ENSMUSG00000041552</v>
      </c>
      <c r="I1796" s="7" t="str">
        <f>HYPERLINK("http://www.informatics.jax.org/marker/MGI:2685233","MGI:2685233")</f>
        <v>MGI:2685233</v>
      </c>
      <c r="J1796" s="4" t="s">
        <v>12</v>
      </c>
    </row>
    <row r="1797" spans="1:10" x14ac:dyDescent="0.25">
      <c r="A1797" s="2">
        <v>3035.89684362772</v>
      </c>
      <c r="B1797" s="3">
        <v>0.47245288004247199</v>
      </c>
      <c r="C1797" s="5">
        <v>3.2740561578797201E-36</v>
      </c>
      <c r="D1797" s="6">
        <v>9.8954682383678208E-35</v>
      </c>
      <c r="E1797" s="3" t="s">
        <v>1530</v>
      </c>
      <c r="F1797" s="3" t="s">
        <v>1531</v>
      </c>
      <c r="G1797" s="3">
        <v>16451</v>
      </c>
      <c r="H1797" s="7" t="str">
        <f>HYPERLINK("http://www.ensembl.org/Mus_musculus/Gene/Summary?db=core;g=ENSMUSG00000028530","ENSMUSG00000028530")</f>
        <v>ENSMUSG00000028530</v>
      </c>
      <c r="I1797" s="7" t="str">
        <f>HYPERLINK("http://www.informatics.jax.org/marker/MGI:96628","MGI:96628")</f>
        <v>MGI:96628</v>
      </c>
      <c r="J1797" s="4" t="s">
        <v>12</v>
      </c>
    </row>
    <row r="1798" spans="1:10" x14ac:dyDescent="0.25">
      <c r="A1798" s="2">
        <v>1968.92056859428</v>
      </c>
      <c r="B1798" s="3">
        <v>0.47126007633729999</v>
      </c>
      <c r="C1798" s="5">
        <v>4.0997470161178098E-12</v>
      </c>
      <c r="D1798" s="6">
        <v>3.9387395555480798E-11</v>
      </c>
      <c r="E1798" s="3" t="s">
        <v>3126</v>
      </c>
      <c r="F1798" s="3" t="s">
        <v>3127</v>
      </c>
      <c r="G1798" s="3">
        <v>56436</v>
      </c>
      <c r="H1798" s="7" t="str">
        <f>HYPERLINK("http://www.ensembl.org/Mus_musculus/Gene/Summary?db=core;g=ENSMUSG00000039041","ENSMUSG00000039041")</f>
        <v>ENSMUSG00000039041</v>
      </c>
      <c r="I1798" s="7" t="str">
        <f>HYPERLINK("http://www.informatics.jax.org/marker/MGI:1929289","MGI:1929289")</f>
        <v>MGI:1929289</v>
      </c>
      <c r="J1798" s="4" t="s">
        <v>12</v>
      </c>
    </row>
    <row r="1799" spans="1:10" x14ac:dyDescent="0.25">
      <c r="A1799" s="2">
        <v>733.04382781258698</v>
      </c>
      <c r="B1799" s="3">
        <v>0.47101058032479998</v>
      </c>
      <c r="C1799" s="3">
        <v>5.1590918275825997E-4</v>
      </c>
      <c r="D1799" s="4">
        <v>1.9110660275953801E-3</v>
      </c>
      <c r="E1799" s="3" t="s">
        <v>10720</v>
      </c>
      <c r="F1799" s="3" t="s">
        <v>10721</v>
      </c>
      <c r="G1799" s="3">
        <v>241452</v>
      </c>
      <c r="H1799" s="7" t="str">
        <f>HYPERLINK("http://www.ensembl.org/Mus_musculus/Gene/Summary?db=core;g=ENSMUSG00000027068","ENSMUSG00000027068")</f>
        <v>ENSMUSG00000027068</v>
      </c>
      <c r="I1799" s="7" t="str">
        <f>HYPERLINK("http://www.informatics.jax.org/marker/MGI:2442798","MGI:2442798")</f>
        <v>MGI:2442798</v>
      </c>
      <c r="J1799" s="4" t="s">
        <v>12</v>
      </c>
    </row>
    <row r="1800" spans="1:10" x14ac:dyDescent="0.25">
      <c r="A1800" s="2">
        <v>1783.2716301437599</v>
      </c>
      <c r="B1800" s="3">
        <v>0.470400617264983</v>
      </c>
      <c r="C1800" s="5">
        <v>1.7327434156206401E-14</v>
      </c>
      <c r="D1800" s="6">
        <v>1.9749373827195799E-13</v>
      </c>
      <c r="E1800" s="3" t="s">
        <v>2982</v>
      </c>
      <c r="F1800" s="3" t="s">
        <v>2983</v>
      </c>
      <c r="G1800" s="3">
        <v>11973</v>
      </c>
      <c r="H1800" s="7" t="str">
        <f>HYPERLINK("http://www.ensembl.org/Mus_musculus/Gene/Summary?db=core;g=ENSMUSG00000019210","ENSMUSG00000019210")</f>
        <v>ENSMUSG00000019210</v>
      </c>
      <c r="I1800" s="7" t="str">
        <f>HYPERLINK("http://www.informatics.jax.org/marker/MGI:894326","MGI:894326")</f>
        <v>MGI:894326</v>
      </c>
      <c r="J1800" s="4" t="s">
        <v>12</v>
      </c>
    </row>
    <row r="1801" spans="1:10" x14ac:dyDescent="0.25">
      <c r="A1801" s="2">
        <v>260.73089903881299</v>
      </c>
      <c r="B1801" s="3">
        <v>0.469827892231307</v>
      </c>
      <c r="C1801" s="3">
        <v>2.3614669646992401E-4</v>
      </c>
      <c r="D1801" s="4">
        <v>9.2574178170883102E-4</v>
      </c>
      <c r="E1801" s="3" t="s">
        <v>7951</v>
      </c>
      <c r="F1801" s="3" t="s">
        <v>7952</v>
      </c>
      <c r="G1801" s="3">
        <v>66966</v>
      </c>
      <c r="H1801" s="7" t="str">
        <f>HYPERLINK("http://www.ensembl.org/Mus_musculus/Gene/Summary?db=core;g=ENSMUSG00000028653","ENSMUSG00000028653")</f>
        <v>ENSMUSG00000028653</v>
      </c>
      <c r="I1801" s="7" t="str">
        <f>HYPERLINK("http://www.informatics.jax.org/marker/MGI:1914216","MGI:1914216")</f>
        <v>MGI:1914216</v>
      </c>
      <c r="J1801" s="4" t="s">
        <v>12</v>
      </c>
    </row>
    <row r="1802" spans="1:10" x14ac:dyDescent="0.25">
      <c r="A1802" s="2">
        <v>2172.6544399961999</v>
      </c>
      <c r="B1802" s="3">
        <v>0.46941461021303998</v>
      </c>
      <c r="C1802" s="5">
        <v>7.87196470309399E-11</v>
      </c>
      <c r="D1802" s="6">
        <v>6.7897092623704702E-10</v>
      </c>
      <c r="E1802" s="3" t="s">
        <v>3746</v>
      </c>
      <c r="F1802" s="3" t="s">
        <v>3747</v>
      </c>
      <c r="G1802" s="3">
        <v>75751</v>
      </c>
      <c r="H1802" s="7" t="str">
        <f>HYPERLINK("http://www.ensembl.org/Mus_musculus/Gene/Summary?db=core;g=ENSMUSG00000002319","ENSMUSG00000002319")</f>
        <v>ENSMUSG00000002319</v>
      </c>
      <c r="I1802" s="7" t="str">
        <f>HYPERLINK("http://www.informatics.jax.org/marker/MGI:1923001","MGI:1923001")</f>
        <v>MGI:1923001</v>
      </c>
      <c r="J1802" s="4" t="s">
        <v>12</v>
      </c>
    </row>
    <row r="1803" spans="1:10" x14ac:dyDescent="0.25">
      <c r="A1803" s="2">
        <v>3338.2833836147802</v>
      </c>
      <c r="B1803" s="3">
        <v>0.46889882247308601</v>
      </c>
      <c r="C1803" s="5">
        <v>1.7237031001185E-6</v>
      </c>
      <c r="D1803" s="6">
        <v>9.3190415306020995E-6</v>
      </c>
      <c r="E1803" s="3" t="s">
        <v>9411</v>
      </c>
      <c r="F1803" s="3" t="s">
        <v>9412</v>
      </c>
      <c r="G1803" s="3">
        <v>13244</v>
      </c>
      <c r="H1803" s="7" t="str">
        <f>HYPERLINK("http://www.ensembl.org/Mus_musculus/Gene/Summary?db=core;g=ENSMUSG00000038633","ENSMUSG00000038633")</f>
        <v>ENSMUSG00000038633</v>
      </c>
      <c r="I1803" s="7" t="str">
        <f>HYPERLINK("http://www.informatics.jax.org/marker/MGI:1097711","MGI:1097711")</f>
        <v>MGI:1097711</v>
      </c>
      <c r="J1803" s="4" t="s">
        <v>12</v>
      </c>
    </row>
    <row r="1804" spans="1:10" x14ac:dyDescent="0.25">
      <c r="A1804" s="2">
        <v>16.791146321075701</v>
      </c>
      <c r="B1804" s="3">
        <v>0.46862279845791399</v>
      </c>
      <c r="C1804" s="3">
        <v>9.0413831107833201E-2</v>
      </c>
      <c r="D1804" s="4">
        <v>0.187440799902202</v>
      </c>
      <c r="E1804" s="3" t="s">
        <v>12951</v>
      </c>
      <c r="F1804" s="3" t="s">
        <v>12952</v>
      </c>
      <c r="G1804" s="3" t="s">
        <v>83</v>
      </c>
      <c r="H1804" s="7" t="str">
        <f>HYPERLINK("http://www.ensembl.org/Mus_musculus/Gene/Summary?db=core;g=ENSMUSG00000112008","ENSMUSG00000112008")</f>
        <v>ENSMUSG00000112008</v>
      </c>
      <c r="I1804" s="7" t="str">
        <f>HYPERLINK("http://www.informatics.jax.org/marker/MGI:6096027","MGI:6096027")</f>
        <v>MGI:6096027</v>
      </c>
      <c r="J1804" s="4" t="s">
        <v>1828</v>
      </c>
    </row>
    <row r="1805" spans="1:10" x14ac:dyDescent="0.25">
      <c r="A1805" s="2">
        <v>241.817629873697</v>
      </c>
      <c r="B1805" s="3">
        <v>0.46853639522004698</v>
      </c>
      <c r="C1805" s="5">
        <v>5.7877299657308698E-6</v>
      </c>
      <c r="D1805" s="6">
        <v>2.9300382951512499E-5</v>
      </c>
      <c r="E1805" s="3" t="s">
        <v>5653</v>
      </c>
      <c r="F1805" s="3" t="s">
        <v>5654</v>
      </c>
      <c r="G1805" s="3">
        <v>103737</v>
      </c>
      <c r="H1805" s="7" t="str">
        <f>HYPERLINK("http://www.ensembl.org/Mus_musculus/Gene/Summary?db=core;g=ENSMUSG00000018733","ENSMUSG00000018733")</f>
        <v>ENSMUSG00000018733</v>
      </c>
      <c r="I1805" s="7" t="str">
        <f>HYPERLINK("http://www.informatics.jax.org/marker/MGI:2144177","MGI:2144177")</f>
        <v>MGI:2144177</v>
      </c>
      <c r="J1805" s="4" t="s">
        <v>12</v>
      </c>
    </row>
    <row r="1806" spans="1:10" x14ac:dyDescent="0.25">
      <c r="A1806" s="2">
        <v>1862.2144882207699</v>
      </c>
      <c r="B1806" s="3">
        <v>0.46836292723895501</v>
      </c>
      <c r="C1806" s="5">
        <v>2.9811508606661497E-20</v>
      </c>
      <c r="D1806" s="6">
        <v>4.7285878534064896E-19</v>
      </c>
      <c r="E1806" s="3" t="s">
        <v>3096</v>
      </c>
      <c r="F1806" s="3" t="s">
        <v>3097</v>
      </c>
      <c r="G1806" s="3">
        <v>233033</v>
      </c>
      <c r="H1806" s="7" t="str">
        <f>HYPERLINK("http://www.ensembl.org/Mus_musculus/Gene/Summary?db=core;g=ENSMUSG00000109336","ENSMUSG00000109336")</f>
        <v>ENSMUSG00000109336</v>
      </c>
      <c r="I1806" s="7" t="str">
        <f>HYPERLINK("http://www.informatics.jax.org/marker/MGI:2448542","MGI:2448542")</f>
        <v>MGI:2448542</v>
      </c>
      <c r="J1806" s="4" t="s">
        <v>12</v>
      </c>
    </row>
    <row r="1807" spans="1:10" x14ac:dyDescent="0.25">
      <c r="A1807" s="2">
        <v>104.62804518547</v>
      </c>
      <c r="B1807" s="3">
        <v>0.46789916572656598</v>
      </c>
      <c r="C1807" s="3">
        <v>3.8816446160858798E-4</v>
      </c>
      <c r="D1807" s="4">
        <v>1.4670877878093099E-3</v>
      </c>
      <c r="E1807" s="3" t="s">
        <v>9229</v>
      </c>
      <c r="F1807" s="3" t="s">
        <v>9230</v>
      </c>
      <c r="G1807" s="3" t="s">
        <v>83</v>
      </c>
      <c r="H1807" s="7" t="str">
        <f>HYPERLINK("http://www.ensembl.org/Mus_musculus/Gene/Summary?db=core;g=ENSMUSG00000104366","ENSMUSG00000104366")</f>
        <v>ENSMUSG00000104366</v>
      </c>
      <c r="I1807" s="7" t="str">
        <f>HYPERLINK("http://www.informatics.jax.org/marker/MGI:1918334","MGI:1918334")</f>
        <v>MGI:1918334</v>
      </c>
      <c r="J1807" s="4" t="s">
        <v>939</v>
      </c>
    </row>
    <row r="1808" spans="1:10" x14ac:dyDescent="0.25">
      <c r="A1808" s="2">
        <v>283.24512451797301</v>
      </c>
      <c r="B1808" s="3">
        <v>0.46742015626862699</v>
      </c>
      <c r="C1808" s="5">
        <v>1.9065332173506099E-7</v>
      </c>
      <c r="D1808" s="6">
        <v>1.16054000955962E-6</v>
      </c>
      <c r="E1808" s="3" t="s">
        <v>11681</v>
      </c>
      <c r="F1808" s="3" t="s">
        <v>11682</v>
      </c>
      <c r="G1808" s="3">
        <v>11479</v>
      </c>
      <c r="H1808" s="7" t="str">
        <f>HYPERLINK("http://www.ensembl.org/Mus_musculus/Gene/Summary?db=core;g=ENSMUSG00000000532","ENSMUSG00000000532")</f>
        <v>ENSMUSG00000000532</v>
      </c>
      <c r="I1808" s="7" t="str">
        <f>HYPERLINK("http://www.informatics.jax.org/marker/MGI:1338944","MGI:1338944")</f>
        <v>MGI:1338944</v>
      </c>
      <c r="J1808" s="4" t="s">
        <v>12</v>
      </c>
    </row>
    <row r="1809" spans="1:10" x14ac:dyDescent="0.25">
      <c r="A1809" s="2">
        <v>1835.3312044418201</v>
      </c>
      <c r="B1809" s="3">
        <v>0.467035850941588</v>
      </c>
      <c r="C1809" s="5">
        <v>1.1759816552322499E-12</v>
      </c>
      <c r="D1809" s="6">
        <v>1.18214372126905E-11</v>
      </c>
      <c r="E1809" s="3" t="s">
        <v>4161</v>
      </c>
      <c r="F1809" s="3" t="s">
        <v>4162</v>
      </c>
      <c r="G1809" s="3">
        <v>22368</v>
      </c>
      <c r="H1809" s="7" t="str">
        <f>HYPERLINK("http://www.ensembl.org/Mus_musculus/Gene/Summary?db=core;g=ENSMUSG00000018507","ENSMUSG00000018507")</f>
        <v>ENSMUSG00000018507</v>
      </c>
      <c r="I1809" s="7" t="str">
        <f>HYPERLINK("http://www.informatics.jax.org/marker/MGI:1341836","MGI:1341836")</f>
        <v>MGI:1341836</v>
      </c>
      <c r="J1809" s="4" t="s">
        <v>12</v>
      </c>
    </row>
    <row r="1810" spans="1:10" x14ac:dyDescent="0.25">
      <c r="A1810" s="2">
        <v>9.2774028503035098</v>
      </c>
      <c r="B1810" s="3">
        <v>0.46685537535674898</v>
      </c>
      <c r="C1810" s="3">
        <v>0.18545520204546301</v>
      </c>
      <c r="D1810" s="4">
        <v>0.33198320963348998</v>
      </c>
      <c r="E1810" s="3" t="s">
        <v>10928</v>
      </c>
      <c r="F1810" s="3" t="s">
        <v>10929</v>
      </c>
      <c r="G1810" s="3" t="s">
        <v>83</v>
      </c>
      <c r="H1810" s="7" t="str">
        <f>HYPERLINK("http://www.ensembl.org/Mus_musculus/Gene/Summary?db=core;g=ENSMUSG00000086638","ENSMUSG00000086638")</f>
        <v>ENSMUSG00000086638</v>
      </c>
      <c r="I1810" s="7" t="str">
        <f>HYPERLINK("http://www.informatics.jax.org/marker/MGI:1922096","MGI:1922096")</f>
        <v>MGI:1922096</v>
      </c>
      <c r="J1810" s="4" t="s">
        <v>331</v>
      </c>
    </row>
    <row r="1811" spans="1:10" x14ac:dyDescent="0.25">
      <c r="A1811" s="2">
        <v>1094.6097437948899</v>
      </c>
      <c r="B1811" s="3">
        <v>0.46650074531052199</v>
      </c>
      <c r="C1811" s="5">
        <v>1.47161209015233E-10</v>
      </c>
      <c r="D1811" s="6">
        <v>1.2451313993976899E-9</v>
      </c>
      <c r="E1811" s="3" t="s">
        <v>3662</v>
      </c>
      <c r="F1811" s="3" t="s">
        <v>3663</v>
      </c>
      <c r="G1811" s="3">
        <v>170768</v>
      </c>
      <c r="H1811" s="7" t="str">
        <f>HYPERLINK("http://www.ensembl.org/Mus_musculus/Gene/Summary?db=core;g=ENSMUSG00000026773","ENSMUSG00000026773")</f>
        <v>ENSMUSG00000026773</v>
      </c>
      <c r="I1811" s="7" t="str">
        <f>HYPERLINK("http://www.informatics.jax.org/marker/MGI:2181202","MGI:2181202")</f>
        <v>MGI:2181202</v>
      </c>
      <c r="J1811" s="4" t="s">
        <v>12</v>
      </c>
    </row>
    <row r="1812" spans="1:10" x14ac:dyDescent="0.25">
      <c r="A1812" s="2">
        <v>499.44043132660101</v>
      </c>
      <c r="B1812" s="3">
        <v>0.46607123262995598</v>
      </c>
      <c r="C1812" s="5">
        <v>3.0315479932182298E-8</v>
      </c>
      <c r="D1812" s="6">
        <v>2.0067731510904299E-7</v>
      </c>
      <c r="E1812" s="3" t="s">
        <v>5569</v>
      </c>
      <c r="F1812" s="3" t="s">
        <v>5570</v>
      </c>
      <c r="G1812" s="3" t="s">
        <v>83</v>
      </c>
      <c r="H1812" s="7" t="str">
        <f>HYPERLINK("http://www.ensembl.org/Mus_musculus/Gene/Summary?db=core;g=ENSMUSG00000094638","ENSMUSG00000094638")</f>
        <v>ENSMUSG00000094638</v>
      </c>
      <c r="I1812" s="7" t="str">
        <f>HYPERLINK("http://www.informatics.jax.org/marker/MGI:5439441","MGI:5439441")</f>
        <v>MGI:5439441</v>
      </c>
      <c r="J1812" s="4" t="s">
        <v>12</v>
      </c>
    </row>
    <row r="1813" spans="1:10" x14ac:dyDescent="0.25">
      <c r="A1813" s="2">
        <v>3615.45669841368</v>
      </c>
      <c r="B1813" s="3">
        <v>0.46591783303361101</v>
      </c>
      <c r="C1813" s="5">
        <v>8.4274608973336106E-12</v>
      </c>
      <c r="D1813" s="6">
        <v>7.8723974809792404E-11</v>
      </c>
      <c r="E1813" s="3" t="s">
        <v>5329</v>
      </c>
      <c r="F1813" s="3" t="s">
        <v>5330</v>
      </c>
      <c r="G1813" s="3">
        <v>80879</v>
      </c>
      <c r="H1813" s="7" t="str">
        <f>HYPERLINK("http://www.ensembl.org/Mus_musculus/Gene/Summary?db=core;g=ENSMUSG00000025161","ENSMUSG00000025161")</f>
        <v>ENSMUSG00000025161</v>
      </c>
      <c r="I1813" s="7" t="str">
        <f>HYPERLINK("http://www.informatics.jax.org/marker/MGI:1933438","MGI:1933438")</f>
        <v>MGI:1933438</v>
      </c>
      <c r="J1813" s="4" t="s">
        <v>12</v>
      </c>
    </row>
    <row r="1814" spans="1:10" x14ac:dyDescent="0.25">
      <c r="A1814" s="2">
        <v>929.90288852370395</v>
      </c>
      <c r="B1814" s="3">
        <v>0.46531918719285797</v>
      </c>
      <c r="C1814" s="5">
        <v>9.7927761243906192E-16</v>
      </c>
      <c r="D1814" s="6">
        <v>1.20671632770128E-14</v>
      </c>
      <c r="E1814" s="3" t="s">
        <v>3810</v>
      </c>
      <c r="F1814" s="3" t="s">
        <v>3811</v>
      </c>
      <c r="G1814" s="3">
        <v>76630</v>
      </c>
      <c r="H1814" s="7" t="str">
        <f>HYPERLINK("http://www.ensembl.org/Mus_musculus/Gene/Summary?db=core;g=ENSMUSG00000024776","ENSMUSG00000024776")</f>
        <v>ENSMUSG00000024776</v>
      </c>
      <c r="I1814" s="7" t="str">
        <f>HYPERLINK("http://www.informatics.jax.org/marker/MGI:1923880","MGI:1923880")</f>
        <v>MGI:1923880</v>
      </c>
      <c r="J1814" s="4" t="s">
        <v>12</v>
      </c>
    </row>
    <row r="1815" spans="1:10" x14ac:dyDescent="0.25">
      <c r="A1815" s="2">
        <v>438.337942376564</v>
      </c>
      <c r="B1815" s="3">
        <v>0.46519451792739103</v>
      </c>
      <c r="C1815" s="5">
        <v>8.0868281410560204E-7</v>
      </c>
      <c r="D1815" s="6">
        <v>4.53903427381417E-6</v>
      </c>
      <c r="E1815" s="3" t="s">
        <v>7376</v>
      </c>
      <c r="F1815" s="3" t="s">
        <v>7377</v>
      </c>
      <c r="G1815" s="3">
        <v>208449</v>
      </c>
      <c r="H1815" s="7" t="str">
        <f>HYPERLINK("http://www.ensembl.org/Mus_musculus/Gene/Summary?db=core;g=ENSMUSG00000040451","ENSMUSG00000040451")</f>
        <v>ENSMUSG00000040451</v>
      </c>
      <c r="I1815" s="7" t="str">
        <f>HYPERLINK("http://www.informatics.jax.org/marker/MGI:2444110","MGI:2444110")</f>
        <v>MGI:2444110</v>
      </c>
      <c r="J1815" s="4" t="s">
        <v>12</v>
      </c>
    </row>
    <row r="1816" spans="1:10" x14ac:dyDescent="0.25">
      <c r="A1816" s="2">
        <v>1551.29168552596</v>
      </c>
      <c r="B1816" s="3">
        <v>0.465161572451049</v>
      </c>
      <c r="C1816" s="5">
        <v>9.6655315952434794E-10</v>
      </c>
      <c r="D1816" s="6">
        <v>7.4991193411371806E-9</v>
      </c>
      <c r="E1816" s="3" t="s">
        <v>5079</v>
      </c>
      <c r="F1816" s="3" t="s">
        <v>5080</v>
      </c>
      <c r="G1816" s="3">
        <v>56205</v>
      </c>
      <c r="H1816" s="7" t="str">
        <f>HYPERLINK("http://www.ensembl.org/Mus_musculus/Gene/Summary?db=core;g=ENSMUSG00000038619","ENSMUSG00000038619")</f>
        <v>ENSMUSG00000038619</v>
      </c>
      <c r="I1816" s="7" t="str">
        <f>HYPERLINK("http://www.informatics.jax.org/marker/MGI:1891189","MGI:1891189")</f>
        <v>MGI:1891189</v>
      </c>
      <c r="J1816" s="4" t="s">
        <v>12</v>
      </c>
    </row>
    <row r="1817" spans="1:10" x14ac:dyDescent="0.25">
      <c r="A1817" s="2">
        <v>2413.0456548153602</v>
      </c>
      <c r="B1817" s="3">
        <v>0.46443545812242898</v>
      </c>
      <c r="C1817" s="5">
        <v>2.4114656946294601E-23</v>
      </c>
      <c r="D1817" s="6">
        <v>4.4709015548954101E-22</v>
      </c>
      <c r="E1817" s="3" t="s">
        <v>1853</v>
      </c>
      <c r="F1817" s="3" t="s">
        <v>1854</v>
      </c>
      <c r="G1817" s="3">
        <v>68724</v>
      </c>
      <c r="H1817" s="7" t="str">
        <f>HYPERLINK("http://www.ensembl.org/Mus_musculus/Gene/Summary?db=core;g=ENSMUSG00000026426","ENSMUSG00000026426")</f>
        <v>ENSMUSG00000026426</v>
      </c>
      <c r="I1817" s="7" t="str">
        <f>HYPERLINK("http://www.informatics.jax.org/marker/MGI:1915974","MGI:1915974")</f>
        <v>MGI:1915974</v>
      </c>
      <c r="J1817" s="4" t="s">
        <v>12</v>
      </c>
    </row>
    <row r="1818" spans="1:10" x14ac:dyDescent="0.25">
      <c r="A1818" s="2">
        <v>331.51228489082899</v>
      </c>
      <c r="B1818" s="3">
        <v>0.46358162529246799</v>
      </c>
      <c r="C1818" s="5">
        <v>2.0777253469456099E-8</v>
      </c>
      <c r="D1818" s="6">
        <v>1.4009080446941799E-7</v>
      </c>
      <c r="E1818" s="3" t="s">
        <v>11807</v>
      </c>
      <c r="F1818" s="3" t="s">
        <v>11808</v>
      </c>
      <c r="G1818" s="3">
        <v>213993</v>
      </c>
      <c r="H1818" s="7" t="str">
        <f>HYPERLINK("http://www.ensembl.org/Mus_musculus/Gene/Summary?db=core;g=ENSMUSG00000035173","ENSMUSG00000035173")</f>
        <v>ENSMUSG00000035173</v>
      </c>
      <c r="I1818" s="7" t="str">
        <f>HYPERLINK("http://www.informatics.jax.org/marker/MGI:2445022","MGI:2445022")</f>
        <v>MGI:2445022</v>
      </c>
      <c r="J1818" s="4" t="s">
        <v>12</v>
      </c>
    </row>
    <row r="1819" spans="1:10" x14ac:dyDescent="0.25">
      <c r="A1819" s="2">
        <v>277.79836029730598</v>
      </c>
      <c r="B1819" s="3">
        <v>0.46345187682057198</v>
      </c>
      <c r="C1819" s="5">
        <v>1.91016056243863E-7</v>
      </c>
      <c r="D1819" s="6">
        <v>1.1623598080281799E-6</v>
      </c>
      <c r="E1819" s="3" t="s">
        <v>8087</v>
      </c>
      <c r="F1819" s="3" t="s">
        <v>8088</v>
      </c>
      <c r="G1819" s="3">
        <v>30945</v>
      </c>
      <c r="H1819" s="7" t="str">
        <f>HYPERLINK("http://www.ensembl.org/Mus_musculus/Gene/Summary?db=core;g=ENSMUSG00000022280","ENSMUSG00000022280")</f>
        <v>ENSMUSG00000022280</v>
      </c>
      <c r="I1819" s="7" t="str">
        <f>HYPERLINK("http://www.informatics.jax.org/marker/MGI:1353623","MGI:1353623")</f>
        <v>MGI:1353623</v>
      </c>
      <c r="J1819" s="4" t="s">
        <v>12</v>
      </c>
    </row>
    <row r="1820" spans="1:10" x14ac:dyDescent="0.25">
      <c r="A1820" s="2">
        <v>968.10889712548897</v>
      </c>
      <c r="B1820" s="3">
        <v>0.46210405001273203</v>
      </c>
      <c r="C1820" s="5">
        <v>3.4372273824723902E-12</v>
      </c>
      <c r="D1820" s="6">
        <v>3.3162238774779901E-11</v>
      </c>
      <c r="E1820" s="3" t="s">
        <v>3688</v>
      </c>
      <c r="F1820" s="3" t="s">
        <v>3689</v>
      </c>
      <c r="G1820" s="3">
        <v>72323</v>
      </c>
      <c r="H1820" s="7" t="str">
        <f>HYPERLINK("http://www.ensembl.org/Mus_musculus/Gene/Summary?db=core;g=ENSMUSG00000039483","ENSMUSG00000039483")</f>
        <v>ENSMUSG00000039483</v>
      </c>
      <c r="I1820" s="7" t="str">
        <f>HYPERLINK("http://www.informatics.jax.org/marker/MGI:1919573","MGI:1919573")</f>
        <v>MGI:1919573</v>
      </c>
      <c r="J1820" s="4" t="s">
        <v>12</v>
      </c>
    </row>
    <row r="1821" spans="1:10" x14ac:dyDescent="0.25">
      <c r="A1821" s="2">
        <v>2023.5185344267099</v>
      </c>
      <c r="B1821" s="3">
        <v>0.46165222860941302</v>
      </c>
      <c r="C1821" s="5">
        <v>5.1694967209602998E-12</v>
      </c>
      <c r="D1821" s="6">
        <v>4.91209998641822E-11</v>
      </c>
      <c r="E1821" s="3" t="s">
        <v>7334</v>
      </c>
      <c r="F1821" s="3" t="s">
        <v>7335</v>
      </c>
      <c r="G1821" s="3">
        <v>67220</v>
      </c>
      <c r="H1821" s="7" t="str">
        <f>HYPERLINK("http://www.ensembl.org/Mus_musculus/Gene/Summary?db=core;g=ENSMUSG00000015745","ENSMUSG00000015745")</f>
        <v>ENSMUSG00000015745</v>
      </c>
      <c r="I1821" s="7" t="str">
        <f>HYPERLINK("http://www.informatics.jax.org/marker/MGI:1914470","MGI:1914470")</f>
        <v>MGI:1914470</v>
      </c>
      <c r="J1821" s="4" t="s">
        <v>12</v>
      </c>
    </row>
    <row r="1822" spans="1:10" x14ac:dyDescent="0.25">
      <c r="A1822" s="2">
        <v>1113.0404011906501</v>
      </c>
      <c r="B1822" s="3">
        <v>0.461432127016636</v>
      </c>
      <c r="C1822" s="5">
        <v>1.87936352013727E-10</v>
      </c>
      <c r="D1822" s="6">
        <v>1.5690059621851499E-9</v>
      </c>
      <c r="E1822" s="3" t="s">
        <v>9247</v>
      </c>
      <c r="F1822" s="3" t="s">
        <v>9248</v>
      </c>
      <c r="G1822" s="3">
        <v>19347</v>
      </c>
      <c r="H1822" s="7" t="str">
        <f>HYPERLINK("http://www.ensembl.org/Mus_musculus/Gene/Summary?db=core;g=ENSMUSG00000035901","ENSMUSG00000035901")</f>
        <v>ENSMUSG00000035901</v>
      </c>
      <c r="I1822" s="7" t="str">
        <f>HYPERLINK("http://www.informatics.jax.org/marker/MGI:1201681","MGI:1201681")</f>
        <v>MGI:1201681</v>
      </c>
      <c r="J1822" s="4" t="s">
        <v>12</v>
      </c>
    </row>
    <row r="1823" spans="1:10" x14ac:dyDescent="0.25">
      <c r="A1823" s="2">
        <v>858.140321200274</v>
      </c>
      <c r="B1823" s="3">
        <v>0.46100911975380099</v>
      </c>
      <c r="C1823" s="5">
        <v>3.7059278394852698E-13</v>
      </c>
      <c r="D1823" s="6">
        <v>3.8838720456940197E-12</v>
      </c>
      <c r="E1823" s="3" t="s">
        <v>1406</v>
      </c>
      <c r="F1823" s="3" t="s">
        <v>1407</v>
      </c>
      <c r="G1823" s="3">
        <v>17873</v>
      </c>
      <c r="H1823" s="7" t="str">
        <f>HYPERLINK("http://www.ensembl.org/Mus_musculus/Gene/Summary?db=core;g=ENSMUSG00000015312","ENSMUSG00000015312")</f>
        <v>ENSMUSG00000015312</v>
      </c>
      <c r="I1823" s="7" t="str">
        <f>HYPERLINK("http://www.informatics.jax.org/marker/MGI:107776","MGI:107776")</f>
        <v>MGI:107776</v>
      </c>
      <c r="J1823" s="4" t="s">
        <v>12</v>
      </c>
    </row>
    <row r="1824" spans="1:10" x14ac:dyDescent="0.25">
      <c r="A1824" s="2">
        <v>1373.2042220134799</v>
      </c>
      <c r="B1824" s="3">
        <v>0.46034782750789899</v>
      </c>
      <c r="C1824" s="5">
        <v>4.67800160715514E-18</v>
      </c>
      <c r="D1824" s="6">
        <v>6.6347532521713898E-17</v>
      </c>
      <c r="E1824" s="3" t="s">
        <v>3102</v>
      </c>
      <c r="F1824" s="3" t="s">
        <v>3103</v>
      </c>
      <c r="G1824" s="3">
        <v>216161</v>
      </c>
      <c r="H1824" s="7" t="str">
        <f>HYPERLINK("http://www.ensembl.org/Mus_musculus/Gene/Summary?db=core;g=ENSMUSG00000035673","ENSMUSG00000035673")</f>
        <v>ENSMUSG00000035673</v>
      </c>
      <c r="I1824" s="7" t="str">
        <f>HYPERLINK("http://www.informatics.jax.org/marker/MGI:2448490","MGI:2448490")</f>
        <v>MGI:2448490</v>
      </c>
      <c r="J1824" s="4" t="s">
        <v>12</v>
      </c>
    </row>
    <row r="1825" spans="1:10" x14ac:dyDescent="0.25">
      <c r="A1825" s="2">
        <v>4424.0231336424704</v>
      </c>
      <c r="B1825" s="3">
        <v>0.46002662352384099</v>
      </c>
      <c r="C1825" s="5">
        <v>1.13262318461785E-14</v>
      </c>
      <c r="D1825" s="6">
        <v>1.3048076826586799E-13</v>
      </c>
      <c r="E1825" s="3" t="s">
        <v>4905</v>
      </c>
      <c r="F1825" s="3" t="s">
        <v>4906</v>
      </c>
      <c r="G1825" s="3">
        <v>22059</v>
      </c>
      <c r="H1825" s="7" t="str">
        <f>HYPERLINK("http://www.ensembl.org/Mus_musculus/Gene/Summary?db=core;g=ENSMUSG00000059552","ENSMUSG00000059552")</f>
        <v>ENSMUSG00000059552</v>
      </c>
      <c r="I1825" s="7" t="str">
        <f>HYPERLINK("http://www.informatics.jax.org/marker/MGI:98834","MGI:98834")</f>
        <v>MGI:98834</v>
      </c>
      <c r="J1825" s="4" t="s">
        <v>12</v>
      </c>
    </row>
    <row r="1826" spans="1:10" x14ac:dyDescent="0.25">
      <c r="A1826" s="2">
        <v>295.21309087773602</v>
      </c>
      <c r="B1826" s="3">
        <v>0.458645417204465</v>
      </c>
      <c r="C1826" s="5">
        <v>7.0278335869660101E-9</v>
      </c>
      <c r="D1826" s="6">
        <v>4.9837458024301797E-8</v>
      </c>
      <c r="E1826" s="3" t="s">
        <v>6443</v>
      </c>
      <c r="F1826" s="3" t="s">
        <v>6444</v>
      </c>
      <c r="G1826" s="3" t="s">
        <v>83</v>
      </c>
      <c r="H1826" s="7" t="str">
        <f>HYPERLINK("http://www.ensembl.org/Mus_musculus/Gene/Summary?db=core;g=ENSMUSG00000105704","ENSMUSG00000105704")</f>
        <v>ENSMUSG00000105704</v>
      </c>
      <c r="I1826" s="7" t="str">
        <f>HYPERLINK("http://www.informatics.jax.org/marker/MGI:5663192","MGI:5663192")</f>
        <v>MGI:5663192</v>
      </c>
      <c r="J1826" s="4" t="s">
        <v>939</v>
      </c>
    </row>
    <row r="1827" spans="1:10" x14ac:dyDescent="0.25">
      <c r="A1827" s="2">
        <v>3774.2198628609699</v>
      </c>
      <c r="B1827" s="3">
        <v>0.45829324249044601</v>
      </c>
      <c r="C1827" s="5">
        <v>4.6218128252611401E-15</v>
      </c>
      <c r="D1827" s="6">
        <v>5.4448958461786902E-14</v>
      </c>
      <c r="E1827" s="3" t="s">
        <v>5101</v>
      </c>
      <c r="F1827" s="3" t="s">
        <v>5102</v>
      </c>
      <c r="G1827" s="3">
        <v>21803</v>
      </c>
      <c r="H1827" s="7" t="str">
        <f>HYPERLINK("http://www.ensembl.org/Mus_musculus/Gene/Summary?db=core;g=ENSMUSG00000002603","ENSMUSG00000002603")</f>
        <v>ENSMUSG00000002603</v>
      </c>
      <c r="I1827" s="7" t="str">
        <f>HYPERLINK("http://www.informatics.jax.org/marker/MGI:98725","MGI:98725")</f>
        <v>MGI:98725</v>
      </c>
      <c r="J1827" s="4" t="s">
        <v>12</v>
      </c>
    </row>
    <row r="1828" spans="1:10" x14ac:dyDescent="0.25">
      <c r="A1828" s="2">
        <v>847.11147973514005</v>
      </c>
      <c r="B1828" s="3">
        <v>0.45723068306048498</v>
      </c>
      <c r="C1828" s="5">
        <v>6.5656797170527998E-15</v>
      </c>
      <c r="D1828" s="6">
        <v>7.6655677670267306E-14</v>
      </c>
      <c r="E1828" s="3" t="s">
        <v>4159</v>
      </c>
      <c r="F1828" s="3" t="s">
        <v>4160</v>
      </c>
      <c r="G1828" s="3">
        <v>68040</v>
      </c>
      <c r="H1828" s="7" t="str">
        <f>HYPERLINK("http://www.ensembl.org/Mus_musculus/Gene/Summary?db=core;g=ENSMUSG00000028840","ENSMUSG00000028840")</f>
        <v>ENSMUSG00000028840</v>
      </c>
      <c r="I1828" s="7" t="str">
        <f>HYPERLINK("http://www.informatics.jax.org/marker/MGI:1915290","MGI:1915290")</f>
        <v>MGI:1915290</v>
      </c>
      <c r="J1828" s="4" t="s">
        <v>12</v>
      </c>
    </row>
    <row r="1829" spans="1:10" x14ac:dyDescent="0.25">
      <c r="A1829" s="2">
        <v>50.514016678394597</v>
      </c>
      <c r="B1829" s="3">
        <v>0.45689714959704703</v>
      </c>
      <c r="C1829" s="3">
        <v>4.59270111812859E-2</v>
      </c>
      <c r="D1829" s="4">
        <v>0.10645043606498</v>
      </c>
      <c r="E1829" s="3" t="s">
        <v>10104</v>
      </c>
      <c r="F1829" s="3" t="s">
        <v>10105</v>
      </c>
      <c r="G1829" s="3">
        <v>22033</v>
      </c>
      <c r="H1829" s="7" t="str">
        <f>HYPERLINK("http://www.ensembl.org/Mus_musculus/Gene/Summary?db=core;g=ENSMUSG00000026637","ENSMUSG00000026637")</f>
        <v>ENSMUSG00000026637</v>
      </c>
      <c r="I1829" s="7" t="str">
        <f>HYPERLINK("http://www.informatics.jax.org/marker/MGI:107548","MGI:107548")</f>
        <v>MGI:107548</v>
      </c>
      <c r="J1829" s="4" t="s">
        <v>12</v>
      </c>
    </row>
    <row r="1830" spans="1:10" x14ac:dyDescent="0.25">
      <c r="A1830" s="2">
        <v>13013.8112919174</v>
      </c>
      <c r="B1830" s="3">
        <v>0.45684124857570202</v>
      </c>
      <c r="C1830" s="5">
        <v>1.27111180364134E-11</v>
      </c>
      <c r="D1830" s="6">
        <v>1.1705918454453499E-10</v>
      </c>
      <c r="E1830" s="3" t="s">
        <v>4573</v>
      </c>
      <c r="F1830" s="3" t="s">
        <v>4574</v>
      </c>
      <c r="G1830" s="3">
        <v>22628</v>
      </c>
      <c r="H1830" s="7" t="str">
        <f>HYPERLINK("http://www.ensembl.org/Mus_musculus/Gene/Summary?db=core;g=ENSMUSG00000051391","ENSMUSG00000051391")</f>
        <v>ENSMUSG00000051391</v>
      </c>
      <c r="I1830" s="7" t="str">
        <f>HYPERLINK("http://www.informatics.jax.org/marker/MGI:108109","MGI:108109")</f>
        <v>MGI:108109</v>
      </c>
      <c r="J1830" s="4" t="s">
        <v>12</v>
      </c>
    </row>
    <row r="1831" spans="1:10" x14ac:dyDescent="0.25">
      <c r="A1831" s="2">
        <v>389.913114418963</v>
      </c>
      <c r="B1831" s="3">
        <v>0.45651927914550899</v>
      </c>
      <c r="C1831" s="5">
        <v>5.3383838854994001E-9</v>
      </c>
      <c r="D1831" s="6">
        <v>3.8303955241427801E-8</v>
      </c>
      <c r="E1831" s="3" t="s">
        <v>4073</v>
      </c>
      <c r="F1831" s="3" t="s">
        <v>4074</v>
      </c>
      <c r="G1831" s="3">
        <v>67489</v>
      </c>
      <c r="H1831" s="7" t="str">
        <f>HYPERLINK("http://www.ensembl.org/Mus_musculus/Gene/Summary?db=core;g=ENSMUSG00000032952","ENSMUSG00000032952")</f>
        <v>ENSMUSG00000032952</v>
      </c>
      <c r="I1831" s="7" t="str">
        <f>HYPERLINK("http://www.informatics.jax.org/marker/MGI:1337130","MGI:1337130")</f>
        <v>MGI:1337130</v>
      </c>
      <c r="J1831" s="4" t="s">
        <v>12</v>
      </c>
    </row>
    <row r="1832" spans="1:10" x14ac:dyDescent="0.25">
      <c r="A1832" s="2">
        <v>1142.6695653499901</v>
      </c>
      <c r="B1832" s="3">
        <v>0.456479631265159</v>
      </c>
      <c r="C1832" s="5">
        <v>1.8567842103830498E-12</v>
      </c>
      <c r="D1832" s="6">
        <v>1.8381255966448201E-11</v>
      </c>
      <c r="E1832" s="3" t="s">
        <v>7270</v>
      </c>
      <c r="F1832" s="3" t="s">
        <v>7271</v>
      </c>
      <c r="G1832" s="3">
        <v>103466</v>
      </c>
      <c r="H1832" s="7" t="str">
        <f>HYPERLINK("http://www.ensembl.org/Mus_musculus/Gene/Summary?db=core;g=ENSMUSG00000054027","ENSMUSG00000054027")</f>
        <v>ENSMUSG00000054027</v>
      </c>
      <c r="I1832" s="7" t="str">
        <f>HYPERLINK("http://www.informatics.jax.org/marker/MGI:3513266","MGI:3513266")</f>
        <v>MGI:3513266</v>
      </c>
      <c r="J1832" s="4" t="s">
        <v>12</v>
      </c>
    </row>
    <row r="1833" spans="1:10" x14ac:dyDescent="0.25">
      <c r="A1833" s="2">
        <v>1631.41403734766</v>
      </c>
      <c r="B1833" s="3">
        <v>0.45634920182303801</v>
      </c>
      <c r="C1833" s="5">
        <v>1.7219766768737098E-21</v>
      </c>
      <c r="D1833" s="6">
        <v>2.9058356422243902E-20</v>
      </c>
      <c r="E1833" s="3" t="s">
        <v>2395</v>
      </c>
      <c r="F1833" s="3" t="s">
        <v>2396</v>
      </c>
      <c r="G1833" s="3">
        <v>19346</v>
      </c>
      <c r="H1833" s="7" t="str">
        <f>HYPERLINK("http://www.ensembl.org/Mus_musculus/Gene/Summary?db=core;g=ENSMUSG00000030704","ENSMUSG00000030704")</f>
        <v>ENSMUSG00000030704</v>
      </c>
      <c r="I1833" s="7" t="str">
        <f>HYPERLINK("http://www.informatics.jax.org/marker/MGI:894313","MGI:894313")</f>
        <v>MGI:894313</v>
      </c>
      <c r="J1833" s="4" t="s">
        <v>12</v>
      </c>
    </row>
    <row r="1834" spans="1:10" x14ac:dyDescent="0.25">
      <c r="A1834" s="2">
        <v>319.493589475595</v>
      </c>
      <c r="B1834" s="3">
        <v>0.45627380683344199</v>
      </c>
      <c r="C1834" s="5">
        <v>1.2208793196241901E-8</v>
      </c>
      <c r="D1834" s="6">
        <v>8.4346192570700904E-8</v>
      </c>
      <c r="E1834" s="3" t="s">
        <v>10960</v>
      </c>
      <c r="F1834" s="3" t="s">
        <v>10961</v>
      </c>
      <c r="G1834" s="3" t="s">
        <v>83</v>
      </c>
      <c r="H1834" s="7" t="str">
        <f>HYPERLINK("http://www.ensembl.org/Mus_musculus/Gene/Summary?db=core;g=ENSMUSG00000086841","ENSMUSG00000086841")</f>
        <v>ENSMUSG00000086841</v>
      </c>
      <c r="I1834" s="7" t="str">
        <f>HYPERLINK("http://www.informatics.jax.org/marker/MGI:1916471","MGI:1916471")</f>
        <v>MGI:1916471</v>
      </c>
      <c r="J1834" s="4" t="s">
        <v>331</v>
      </c>
    </row>
    <row r="1835" spans="1:10" x14ac:dyDescent="0.25">
      <c r="A1835" s="2">
        <v>1739.3753436326799</v>
      </c>
      <c r="B1835" s="3">
        <v>0.45614040808170098</v>
      </c>
      <c r="C1835" s="5">
        <v>9.3225053319825492E-16</v>
      </c>
      <c r="D1835" s="6">
        <v>1.1503226789125401E-14</v>
      </c>
      <c r="E1835" s="3" t="s">
        <v>3844</v>
      </c>
      <c r="F1835" s="3" t="s">
        <v>3845</v>
      </c>
      <c r="G1835" s="3">
        <v>19303</v>
      </c>
      <c r="H1835" s="7" t="str">
        <f>HYPERLINK("http://www.ensembl.org/Mus_musculus/Gene/Summary?db=core;g=ENSMUSG00000029528","ENSMUSG00000029528")</f>
        <v>ENSMUSG00000029528</v>
      </c>
      <c r="I1835" s="7" t="str">
        <f>HYPERLINK("http://www.informatics.jax.org/marker/MGI:108295","MGI:108295")</f>
        <v>MGI:108295</v>
      </c>
      <c r="J1835" s="4" t="s">
        <v>12</v>
      </c>
    </row>
    <row r="1836" spans="1:10" x14ac:dyDescent="0.25">
      <c r="A1836" s="2">
        <v>752.10405488131198</v>
      </c>
      <c r="B1836" s="3">
        <v>0.45589367403756997</v>
      </c>
      <c r="C1836" s="5">
        <v>8.8936428822000601E-6</v>
      </c>
      <c r="D1836" s="6">
        <v>4.3807200412998902E-5</v>
      </c>
      <c r="E1836" s="3" t="s">
        <v>6994</v>
      </c>
      <c r="F1836" s="3" t="s">
        <v>6995</v>
      </c>
      <c r="G1836" s="3">
        <v>20194</v>
      </c>
      <c r="H1836" s="7" t="str">
        <f>HYPERLINK("http://www.ensembl.org/Mus_musculus/Gene/Summary?db=core;g=ENSMUSG00000041959","ENSMUSG00000041959")</f>
        <v>ENSMUSG00000041959</v>
      </c>
      <c r="I1836" s="7" t="str">
        <f>HYPERLINK("http://www.informatics.jax.org/marker/MGI:1339468","MGI:1339468")</f>
        <v>MGI:1339468</v>
      </c>
      <c r="J1836" s="4" t="s">
        <v>12</v>
      </c>
    </row>
    <row r="1837" spans="1:10" x14ac:dyDescent="0.25">
      <c r="A1837" s="2">
        <v>633.82695294262396</v>
      </c>
      <c r="B1837" s="3">
        <v>0.45583542488760398</v>
      </c>
      <c r="C1837" s="5">
        <v>4.24041989467111E-8</v>
      </c>
      <c r="D1837" s="6">
        <v>2.7434026475108599E-7</v>
      </c>
      <c r="E1837" s="3" t="s">
        <v>7254</v>
      </c>
      <c r="F1837" s="3" t="s">
        <v>7255</v>
      </c>
      <c r="G1837" s="3">
        <v>242691</v>
      </c>
      <c r="H1837" s="7" t="str">
        <f>HYPERLINK("http://www.ensembl.org/Mus_musculus/Gene/Summary?db=core;g=ENSMUSG00000028850","ENSMUSG00000028850")</f>
        <v>ENSMUSG00000028850</v>
      </c>
      <c r="I1837" s="7" t="str">
        <f>HYPERLINK("http://www.informatics.jax.org/marker/MGI:2442492","MGI:2442492")</f>
        <v>MGI:2442492</v>
      </c>
      <c r="J1837" s="4" t="s">
        <v>12</v>
      </c>
    </row>
    <row r="1838" spans="1:10" x14ac:dyDescent="0.25">
      <c r="A1838" s="2">
        <v>939.86048306456701</v>
      </c>
      <c r="B1838" s="3">
        <v>0.45511728949527003</v>
      </c>
      <c r="C1838" s="5">
        <v>9.0683982837468095E-22</v>
      </c>
      <c r="D1838" s="6">
        <v>1.5533041233203501E-20</v>
      </c>
      <c r="E1838" s="3" t="s">
        <v>2225</v>
      </c>
      <c r="F1838" s="3" t="s">
        <v>2226</v>
      </c>
      <c r="G1838" s="3">
        <v>353258</v>
      </c>
      <c r="H1838" s="7" t="str">
        <f>HYPERLINK("http://www.ensembl.org/Mus_musculus/Gene/Summary?db=core;g=ENSMUSG00000019814","ENSMUSG00000019814")</f>
        <v>ENSMUSG00000019814</v>
      </c>
      <c r="I1838" s="7" t="str">
        <f>HYPERLINK("http://www.informatics.jax.org/marker/MGI:2447810","MGI:2447810")</f>
        <v>MGI:2447810</v>
      </c>
      <c r="J1838" s="4" t="s">
        <v>12</v>
      </c>
    </row>
    <row r="1839" spans="1:10" x14ac:dyDescent="0.25">
      <c r="A1839" s="2">
        <v>5045.7064334243196</v>
      </c>
      <c r="B1839" s="3">
        <v>0.45504245740426302</v>
      </c>
      <c r="C1839" s="5">
        <v>1.1230240626283099E-9</v>
      </c>
      <c r="D1839" s="6">
        <v>8.6614953624210604E-9</v>
      </c>
      <c r="E1839" s="3" t="s">
        <v>4833</v>
      </c>
      <c r="F1839" s="3" t="s">
        <v>4834</v>
      </c>
      <c r="G1839" s="3">
        <v>70247</v>
      </c>
      <c r="H1839" s="7" t="str">
        <f>HYPERLINK("http://www.ensembl.org/Mus_musculus/Gene/Summary?db=core;g=ENSMUSG00000026229","ENSMUSG00000026229")</f>
        <v>ENSMUSG00000026229</v>
      </c>
      <c r="I1839" s="7" t="str">
        <f>HYPERLINK("http://www.informatics.jax.org/marker/MGI:1917497","MGI:1917497")</f>
        <v>MGI:1917497</v>
      </c>
      <c r="J1839" s="4" t="s">
        <v>12</v>
      </c>
    </row>
    <row r="1840" spans="1:10" x14ac:dyDescent="0.25">
      <c r="A1840" s="2">
        <v>363.24203445149197</v>
      </c>
      <c r="B1840" s="3">
        <v>0.45466324000254299</v>
      </c>
      <c r="C1840" s="5">
        <v>1.9048611163506399E-12</v>
      </c>
      <c r="D1840" s="6">
        <v>1.8826515100591401E-11</v>
      </c>
      <c r="E1840" s="3" t="s">
        <v>6295</v>
      </c>
      <c r="F1840" s="3" t="s">
        <v>6296</v>
      </c>
      <c r="G1840" s="3">
        <v>100210</v>
      </c>
      <c r="H1840" s="7" t="str">
        <f>HYPERLINK("http://www.ensembl.org/Mus_musculus/Gene/Summary?db=core;g=ENSMUSG00000028848","ENSMUSG00000028848")</f>
        <v>ENSMUSG00000028848</v>
      </c>
      <c r="I1840" s="7" t="str">
        <f>HYPERLINK("http://www.informatics.jax.org/marker/MGI:2140368","MGI:2140368")</f>
        <v>MGI:2140368</v>
      </c>
      <c r="J1840" s="4" t="s">
        <v>12</v>
      </c>
    </row>
    <row r="1841" spans="1:10" x14ac:dyDescent="0.25">
      <c r="A1841" s="2">
        <v>1315.5868836704001</v>
      </c>
      <c r="B1841" s="3">
        <v>0.45461696670145602</v>
      </c>
      <c r="C1841" s="3">
        <v>1.3954144004900599E-3</v>
      </c>
      <c r="D1841" s="4">
        <v>4.7785470591753601E-3</v>
      </c>
      <c r="E1841" s="3" t="s">
        <v>7120</v>
      </c>
      <c r="F1841" s="3" t="s">
        <v>7121</v>
      </c>
      <c r="G1841" s="3">
        <v>16913</v>
      </c>
      <c r="H1841" s="7" t="str">
        <f>HYPERLINK("http://www.ensembl.org/Mus_musculus/Gene/Summary?db=core;g=ENSMUSG00000024338","ENSMUSG00000024338")</f>
        <v>ENSMUSG00000024338</v>
      </c>
      <c r="I1841" s="7" t="str">
        <f>HYPERLINK("http://www.informatics.jax.org/marker/MGI:1346527","MGI:1346527")</f>
        <v>MGI:1346527</v>
      </c>
      <c r="J1841" s="4" t="s">
        <v>12</v>
      </c>
    </row>
    <row r="1842" spans="1:10" x14ac:dyDescent="0.25">
      <c r="A1842" s="2">
        <v>1139.9539393617899</v>
      </c>
      <c r="B1842" s="3">
        <v>0.45427701891426903</v>
      </c>
      <c r="C1842" s="5">
        <v>5.4956819748770001E-10</v>
      </c>
      <c r="D1842" s="6">
        <v>4.3852366021074099E-9</v>
      </c>
      <c r="E1842" s="3" t="s">
        <v>8231</v>
      </c>
      <c r="F1842" s="3" t="s">
        <v>8232</v>
      </c>
      <c r="G1842" s="3">
        <v>108160</v>
      </c>
      <c r="H1842" s="7" t="str">
        <f>HYPERLINK("http://www.ensembl.org/Mus_musculus/Gene/Summary?db=core;g=ENSMUSG00000001962","ENSMUSG00000001962")</f>
        <v>ENSMUSG00000001962</v>
      </c>
      <c r="I1842" s="7" t="str">
        <f>HYPERLINK("http://www.informatics.jax.org/marker/MGI:1351626","MGI:1351626")</f>
        <v>MGI:1351626</v>
      </c>
      <c r="J1842" s="4" t="s">
        <v>12</v>
      </c>
    </row>
    <row r="1843" spans="1:10" x14ac:dyDescent="0.25">
      <c r="A1843" s="2">
        <v>1526.7876184783299</v>
      </c>
      <c r="B1843" s="3">
        <v>0.45407732652925598</v>
      </c>
      <c r="C1843" s="5">
        <v>1.9065559409749899E-24</v>
      </c>
      <c r="D1843" s="6">
        <v>3.7004240707421999E-23</v>
      </c>
      <c r="E1843" s="3" t="s">
        <v>2818</v>
      </c>
      <c r="F1843" s="3" t="s">
        <v>2819</v>
      </c>
      <c r="G1843" s="3">
        <v>54473</v>
      </c>
      <c r="H1843" s="7" t="str">
        <f>HYPERLINK("http://www.ensembl.org/Mus_musculus/Gene/Summary?db=core;g=ENSMUSG00000025139","ENSMUSG00000025139")</f>
        <v>ENSMUSG00000025139</v>
      </c>
      <c r="I1843" s="7" t="str">
        <f>HYPERLINK("http://www.informatics.jax.org/marker/MGI:1891808","MGI:1891808")</f>
        <v>MGI:1891808</v>
      </c>
      <c r="J1843" s="4" t="s">
        <v>12</v>
      </c>
    </row>
    <row r="1844" spans="1:10" x14ac:dyDescent="0.25">
      <c r="A1844" s="2">
        <v>1884.0805924962499</v>
      </c>
      <c r="B1844" s="3">
        <v>0.45395847735956601</v>
      </c>
      <c r="C1844" s="5">
        <v>8.2594253504102405E-28</v>
      </c>
      <c r="D1844" s="6">
        <v>1.86527914512053E-26</v>
      </c>
      <c r="E1844" s="3" t="s">
        <v>2918</v>
      </c>
      <c r="F1844" s="3" t="s">
        <v>2919</v>
      </c>
      <c r="G1844" s="3">
        <v>76895</v>
      </c>
      <c r="H1844" s="7" t="str">
        <f>HYPERLINK("http://www.ensembl.org/Mus_musculus/Gene/Summary?db=core;g=ENSMUSG00000037933","ENSMUSG00000037933")</f>
        <v>ENSMUSG00000037933</v>
      </c>
      <c r="I1844" s="7" t="str">
        <f>HYPERLINK("http://www.informatics.jax.org/marker/MGI:1924145","MGI:1924145")</f>
        <v>MGI:1924145</v>
      </c>
      <c r="J1844" s="4" t="s">
        <v>12</v>
      </c>
    </row>
    <row r="1845" spans="1:10" x14ac:dyDescent="0.25">
      <c r="A1845" s="2">
        <v>46.272042478536903</v>
      </c>
      <c r="B1845" s="3">
        <v>0.45282889509443103</v>
      </c>
      <c r="C1845" s="3">
        <v>8.5668867681826799E-3</v>
      </c>
      <c r="D1845" s="4">
        <v>2.44337263458731E-2</v>
      </c>
      <c r="E1845" s="3" t="s">
        <v>11693</v>
      </c>
      <c r="F1845" s="3" t="s">
        <v>11694</v>
      </c>
      <c r="G1845" s="3" t="s">
        <v>83</v>
      </c>
      <c r="H1845" s="7" t="str">
        <f>HYPERLINK("http://www.ensembl.org/Mus_musculus/Gene/Summary?db=core;g=ENSMUSG00000061062","ENSMUSG00000061062")</f>
        <v>ENSMUSG00000061062</v>
      </c>
      <c r="I1845" s="7" t="str">
        <f>HYPERLINK("http://www.informatics.jax.org/marker/MGI:3704479","MGI:3704479")</f>
        <v>MGI:3704479</v>
      </c>
      <c r="J1845" s="4" t="s">
        <v>1043</v>
      </c>
    </row>
    <row r="1846" spans="1:10" x14ac:dyDescent="0.25">
      <c r="A1846" s="2">
        <v>170.47731429684401</v>
      </c>
      <c r="B1846" s="3">
        <v>0.45263506908378098</v>
      </c>
      <c r="C1846" s="5">
        <v>7.4054054691169202E-5</v>
      </c>
      <c r="D1846" s="4">
        <v>3.1555649912241201E-4</v>
      </c>
      <c r="E1846" s="3" t="s">
        <v>10690</v>
      </c>
      <c r="F1846" s="3" t="s">
        <v>10691</v>
      </c>
      <c r="G1846" s="3">
        <v>319601</v>
      </c>
      <c r="H1846" s="7" t="str">
        <f>HYPERLINK("http://www.ensembl.org/Mus_musculus/Gene/Summary?db=core;g=ENSMUSG00000038895","ENSMUSG00000038895")</f>
        <v>ENSMUSG00000038895</v>
      </c>
      <c r="I1846" s="7" t="str">
        <f>HYPERLINK("http://www.informatics.jax.org/marker/MGI:2442362","MGI:2442362")</f>
        <v>MGI:2442362</v>
      </c>
      <c r="J1846" s="4" t="s">
        <v>12</v>
      </c>
    </row>
    <row r="1847" spans="1:10" x14ac:dyDescent="0.25">
      <c r="A1847" s="2">
        <v>5119.1254719563303</v>
      </c>
      <c r="B1847" s="3">
        <v>0.45254700489334099</v>
      </c>
      <c r="C1847" s="5">
        <v>2.7917875509190399E-15</v>
      </c>
      <c r="D1847" s="6">
        <v>3.3320450632285197E-14</v>
      </c>
      <c r="E1847" s="3" t="s">
        <v>3532</v>
      </c>
      <c r="F1847" s="3" t="s">
        <v>3533</v>
      </c>
      <c r="G1847" s="3">
        <v>21453</v>
      </c>
      <c r="H1847" s="7" t="str">
        <f>HYPERLINK("http://www.ensembl.org/Mus_musculus/Gene/Summary?db=core;g=ENSMUSG00000024613","ENSMUSG00000024613")</f>
        <v>ENSMUSG00000024613</v>
      </c>
      <c r="I1847" s="7" t="str">
        <f>HYPERLINK("http://www.informatics.jax.org/marker/MGI:892003","MGI:892003")</f>
        <v>MGI:892003</v>
      </c>
      <c r="J1847" s="4" t="s">
        <v>12</v>
      </c>
    </row>
    <row r="1848" spans="1:10" x14ac:dyDescent="0.25">
      <c r="A1848" s="2">
        <v>600.89799010852903</v>
      </c>
      <c r="B1848" s="3">
        <v>0.45205980008501301</v>
      </c>
      <c r="C1848" s="5">
        <v>1.29043583431922E-6</v>
      </c>
      <c r="D1848" s="6">
        <v>7.0966183103403299E-6</v>
      </c>
      <c r="E1848" s="3" t="s">
        <v>5923</v>
      </c>
      <c r="F1848" s="3" t="s">
        <v>5924</v>
      </c>
      <c r="G1848" s="3">
        <v>14567</v>
      </c>
      <c r="H1848" s="7" t="str">
        <f>HYPERLINK("http://www.ensembl.org/Mus_musculus/Gene/Summary?db=core;g=ENSMUSG00000015291","ENSMUSG00000015291")</f>
        <v>ENSMUSG00000015291</v>
      </c>
      <c r="I1848" s="7" t="str">
        <f>HYPERLINK("http://www.informatics.jax.org/marker/MGI:99846","MGI:99846")</f>
        <v>MGI:99846</v>
      </c>
      <c r="J1848" s="4" t="s">
        <v>12</v>
      </c>
    </row>
    <row r="1849" spans="1:10" x14ac:dyDescent="0.25">
      <c r="A1849" s="2">
        <v>7127.0906332064096</v>
      </c>
      <c r="B1849" s="3">
        <v>0.45081621184898901</v>
      </c>
      <c r="C1849" s="5">
        <v>1.7611118356533201E-7</v>
      </c>
      <c r="D1849" s="6">
        <v>1.0756120376937601E-6</v>
      </c>
      <c r="E1849" s="3" t="s">
        <v>6233</v>
      </c>
      <c r="F1849" s="3" t="s">
        <v>6234</v>
      </c>
      <c r="G1849" s="3">
        <v>17886</v>
      </c>
      <c r="H1849" s="7" t="str">
        <f>HYPERLINK("http://www.ensembl.org/Mus_musculus/Gene/Summary?db=core;g=ENSMUSG00000022443","ENSMUSG00000022443")</f>
        <v>ENSMUSG00000022443</v>
      </c>
      <c r="I1849" s="7" t="str">
        <f>HYPERLINK("http://www.informatics.jax.org/marker/MGI:107717","MGI:107717")</f>
        <v>MGI:107717</v>
      </c>
      <c r="J1849" s="4" t="s">
        <v>12</v>
      </c>
    </row>
    <row r="1850" spans="1:10" x14ac:dyDescent="0.25">
      <c r="A1850" s="2">
        <v>2950.2156024587498</v>
      </c>
      <c r="B1850" s="3">
        <v>0.450474463579282</v>
      </c>
      <c r="C1850" s="5">
        <v>1.8814481317652801E-16</v>
      </c>
      <c r="D1850" s="6">
        <v>2.4301482779179399E-15</v>
      </c>
      <c r="E1850" s="3" t="s">
        <v>2381</v>
      </c>
      <c r="F1850" s="3" t="s">
        <v>2382</v>
      </c>
      <c r="G1850" s="3">
        <v>108150</v>
      </c>
      <c r="H1850" s="7" t="str">
        <f>HYPERLINK("http://www.ensembl.org/Mus_musculus/Gene/Summary?db=core;g=ENSMUSG00000031608","ENSMUSG00000031608")</f>
        <v>ENSMUSG00000031608</v>
      </c>
      <c r="I1850" s="7" t="str">
        <f>HYPERLINK("http://www.informatics.jax.org/marker/MGI:1349449","MGI:1349449")</f>
        <v>MGI:1349449</v>
      </c>
      <c r="J1850" s="4" t="s">
        <v>12</v>
      </c>
    </row>
    <row r="1851" spans="1:10" x14ac:dyDescent="0.25">
      <c r="A1851" s="2">
        <v>1065.67983506788</v>
      </c>
      <c r="B1851" s="3">
        <v>0.45040633251674</v>
      </c>
      <c r="C1851" s="5">
        <v>1.72045781334176E-13</v>
      </c>
      <c r="D1851" s="6">
        <v>1.84010232676958E-12</v>
      </c>
      <c r="E1851" s="3" t="s">
        <v>6367</v>
      </c>
      <c r="F1851" s="3" t="s">
        <v>6368</v>
      </c>
      <c r="G1851" s="3">
        <v>108655</v>
      </c>
      <c r="H1851" s="7" t="str">
        <f>HYPERLINK("http://www.ensembl.org/Mus_musculus/Gene/Summary?db=core;g=ENSMUSG00000030067","ENSMUSG00000030067")</f>
        <v>ENSMUSG00000030067</v>
      </c>
      <c r="I1851" s="7" t="str">
        <f>HYPERLINK("http://www.informatics.jax.org/marker/MGI:1914004","MGI:1914004")</f>
        <v>MGI:1914004</v>
      </c>
      <c r="J1851" s="4" t="s">
        <v>12</v>
      </c>
    </row>
    <row r="1852" spans="1:10" x14ac:dyDescent="0.25">
      <c r="A1852" s="2">
        <v>935.04135364774697</v>
      </c>
      <c r="B1852" s="3">
        <v>0.45027961759465401</v>
      </c>
      <c r="C1852" s="5">
        <v>2.9946991599821202E-13</v>
      </c>
      <c r="D1852" s="6">
        <v>3.1548203578424302E-12</v>
      </c>
      <c r="E1852" s="3" t="s">
        <v>3986</v>
      </c>
      <c r="F1852" s="3" t="s">
        <v>3987</v>
      </c>
      <c r="G1852" s="3">
        <v>67588</v>
      </c>
      <c r="H1852" s="7" t="str">
        <f>HYPERLINK("http://www.ensembl.org/Mus_musculus/Gene/Summary?db=core;g=ENSMUSG00000025373","ENSMUSG00000025373")</f>
        <v>ENSMUSG00000025373</v>
      </c>
      <c r="I1852" s="7" t="str">
        <f>HYPERLINK("http://www.informatics.jax.org/marker/MGI:1914838","MGI:1914838")</f>
        <v>MGI:1914838</v>
      </c>
      <c r="J1852" s="4" t="s">
        <v>12</v>
      </c>
    </row>
    <row r="1853" spans="1:10" x14ac:dyDescent="0.25">
      <c r="A1853" s="2">
        <v>2899.5102112575901</v>
      </c>
      <c r="B1853" s="3">
        <v>0.449774720717801</v>
      </c>
      <c r="C1853" s="5">
        <v>1.9101643832646801E-35</v>
      </c>
      <c r="D1853" s="6">
        <v>5.6698283200323699E-34</v>
      </c>
      <c r="E1853" s="3" t="s">
        <v>1180</v>
      </c>
      <c r="F1853" s="3" t="s">
        <v>1181</v>
      </c>
      <c r="G1853" s="3">
        <v>30930</v>
      </c>
      <c r="H1853" s="7" t="str">
        <f>HYPERLINK("http://www.ensembl.org/Mus_musculus/Gene/Summary?db=core;g=ENSMUSG00000020078","ENSMUSG00000020078")</f>
        <v>ENSMUSG00000020078</v>
      </c>
      <c r="I1853" s="7" t="str">
        <f>HYPERLINK("http://www.informatics.jax.org/marker/MGI:1353654","MGI:1353654")</f>
        <v>MGI:1353654</v>
      </c>
      <c r="J1853" s="4" t="s">
        <v>12</v>
      </c>
    </row>
    <row r="1854" spans="1:10" x14ac:dyDescent="0.25">
      <c r="A1854" s="2">
        <v>827.10823126281298</v>
      </c>
      <c r="B1854" s="3">
        <v>0.44938258803164899</v>
      </c>
      <c r="C1854" s="5">
        <v>1.2241145775311901E-18</v>
      </c>
      <c r="D1854" s="6">
        <v>1.78618800444403E-17</v>
      </c>
      <c r="E1854" s="3" t="s">
        <v>3320</v>
      </c>
      <c r="F1854" s="3" t="s">
        <v>3321</v>
      </c>
      <c r="G1854" s="3">
        <v>71999</v>
      </c>
      <c r="H1854" s="7" t="str">
        <f>HYPERLINK("http://www.ensembl.org/Mus_musculus/Gene/Summary?db=core;g=ENSMUSG00000032309","ENSMUSG00000032309")</f>
        <v>ENSMUSG00000032309</v>
      </c>
      <c r="I1854" s="7" t="str">
        <f>HYPERLINK("http://www.informatics.jax.org/marker/MGI:1926014","MGI:1926014")</f>
        <v>MGI:1926014</v>
      </c>
      <c r="J1854" s="4" t="s">
        <v>12</v>
      </c>
    </row>
    <row r="1855" spans="1:10" x14ac:dyDescent="0.25">
      <c r="A1855" s="2">
        <v>1454.12448561368</v>
      </c>
      <c r="B1855" s="3">
        <v>0.449215426865676</v>
      </c>
      <c r="C1855" s="5">
        <v>9.1559573790980696E-15</v>
      </c>
      <c r="D1855" s="6">
        <v>1.0628491925736501E-13</v>
      </c>
      <c r="E1855" s="3" t="s">
        <v>7026</v>
      </c>
      <c r="F1855" s="3" t="s">
        <v>7027</v>
      </c>
      <c r="G1855" s="3">
        <v>74334</v>
      </c>
      <c r="H1855" s="7" t="str">
        <f>HYPERLINK("http://www.ensembl.org/Mus_musculus/Gene/Summary?db=core;g=ENSMUSG00000037415","ENSMUSG00000037415")</f>
        <v>ENSMUSG00000037415</v>
      </c>
      <c r="I1855" s="7" t="str">
        <f>HYPERLINK("http://www.informatics.jax.org/marker/MGI:1921584","MGI:1921584")</f>
        <v>MGI:1921584</v>
      </c>
      <c r="J1855" s="4" t="s">
        <v>12</v>
      </c>
    </row>
    <row r="1856" spans="1:10" x14ac:dyDescent="0.25">
      <c r="A1856" s="2">
        <v>571.76087602470602</v>
      </c>
      <c r="B1856" s="3">
        <v>0.44914529951918303</v>
      </c>
      <c r="C1856" s="5">
        <v>1.5820608540771801E-5</v>
      </c>
      <c r="D1856" s="6">
        <v>7.5047004335129303E-5</v>
      </c>
      <c r="E1856" s="3" t="s">
        <v>4339</v>
      </c>
      <c r="F1856" s="3" t="s">
        <v>4340</v>
      </c>
      <c r="G1856" s="3">
        <v>17342</v>
      </c>
      <c r="H1856" s="7" t="str">
        <f>HYPERLINK("http://www.ensembl.org/Mus_musculus/Gene/Summary?db=core;g=ENSMUSG00000035158","ENSMUSG00000035158")</f>
        <v>ENSMUSG00000035158</v>
      </c>
      <c r="I1856" s="7" t="str">
        <f>HYPERLINK("http://www.informatics.jax.org/marker/MGI:104554","MGI:104554")</f>
        <v>MGI:104554</v>
      </c>
      <c r="J1856" s="4" t="s">
        <v>12</v>
      </c>
    </row>
    <row r="1857" spans="1:10" x14ac:dyDescent="0.25">
      <c r="A1857" s="2">
        <v>150.54524166927001</v>
      </c>
      <c r="B1857" s="3">
        <v>0.44892410740696798</v>
      </c>
      <c r="C1857" s="5">
        <v>5.6285902838316898E-5</v>
      </c>
      <c r="D1857" s="4">
        <v>2.4511602848944499E-4</v>
      </c>
      <c r="E1857" s="3" t="s">
        <v>9047</v>
      </c>
      <c r="F1857" s="3" t="s">
        <v>9048</v>
      </c>
      <c r="G1857" s="3">
        <v>269870</v>
      </c>
      <c r="H1857" s="7" t="str">
        <f>HYPERLINK("http://www.ensembl.org/Mus_musculus/Gene/Summary?db=core;g=ENSMUSG00000033961","ENSMUSG00000033961")</f>
        <v>ENSMUSG00000033961</v>
      </c>
      <c r="I1857" s="7" t="str">
        <f>HYPERLINK("http://www.informatics.jax.org/marker/MGI:2442185","MGI:2442185")</f>
        <v>MGI:2442185</v>
      </c>
      <c r="J1857" s="4" t="s">
        <v>12</v>
      </c>
    </row>
    <row r="1858" spans="1:10" x14ac:dyDescent="0.25">
      <c r="A1858" s="2">
        <v>798.81035534307296</v>
      </c>
      <c r="B1858" s="3">
        <v>0.44884602756236802</v>
      </c>
      <c r="C1858" s="5">
        <v>3.0300445325358697E-14</v>
      </c>
      <c r="D1858" s="6">
        <v>3.3858100309911898E-13</v>
      </c>
      <c r="E1858" s="3" t="s">
        <v>2732</v>
      </c>
      <c r="F1858" s="3" t="s">
        <v>2733</v>
      </c>
      <c r="G1858" s="3">
        <v>69587</v>
      </c>
      <c r="H1858" s="7" t="str">
        <f>HYPERLINK("http://www.ensembl.org/Mus_musculus/Gene/Summary?db=core;g=ENSMUSG00000033623","ENSMUSG00000033623")</f>
        <v>ENSMUSG00000033623</v>
      </c>
      <c r="I1858" s="7" t="str">
        <f>HYPERLINK("http://www.informatics.jax.org/marker/MGI:1916837","MGI:1916837")</f>
        <v>MGI:1916837</v>
      </c>
      <c r="J1858" s="4" t="s">
        <v>12</v>
      </c>
    </row>
    <row r="1859" spans="1:10" x14ac:dyDescent="0.25">
      <c r="A1859" s="2">
        <v>2006.74548903761</v>
      </c>
      <c r="B1859" s="3">
        <v>0.44875402311217999</v>
      </c>
      <c r="C1859" s="5">
        <v>2.43849500270439E-17</v>
      </c>
      <c r="D1859" s="6">
        <v>3.3042060538503699E-16</v>
      </c>
      <c r="E1859" s="3" t="s">
        <v>1134</v>
      </c>
      <c r="F1859" s="3" t="s">
        <v>1135</v>
      </c>
      <c r="G1859" s="3">
        <v>226849</v>
      </c>
      <c r="H1859" s="7" t="str">
        <f>HYPERLINK("http://www.ensembl.org/Mus_musculus/Gene/Summary?db=core;g=ENSMUSG00000026626","ENSMUSG00000026626")</f>
        <v>ENSMUSG00000026626</v>
      </c>
      <c r="I1859" s="7" t="str">
        <f>HYPERLINK("http://www.informatics.jax.org/marker/MGI:2388479","MGI:2388479")</f>
        <v>MGI:2388479</v>
      </c>
      <c r="J1859" s="4" t="s">
        <v>12</v>
      </c>
    </row>
    <row r="1860" spans="1:10" x14ac:dyDescent="0.25">
      <c r="A1860" s="2">
        <v>238.36235375939799</v>
      </c>
      <c r="B1860" s="3">
        <v>0.44873995501163799</v>
      </c>
      <c r="C1860" s="5">
        <v>3.69723343852537E-6</v>
      </c>
      <c r="D1860" s="6">
        <v>1.9186241291892099E-5</v>
      </c>
      <c r="E1860" s="3" t="s">
        <v>8717</v>
      </c>
      <c r="F1860" s="3" t="s">
        <v>8718</v>
      </c>
      <c r="G1860" s="3">
        <v>59048</v>
      </c>
      <c r="H1860" s="7" t="str">
        <f>HYPERLINK("http://www.ensembl.org/Mus_musculus/Gene/Summary?db=core;g=ENSMUSG00000048970","ENSMUSG00000048970")</f>
        <v>ENSMUSG00000048970</v>
      </c>
      <c r="I1860" s="7" t="str">
        <f>HYPERLINK("http://www.informatics.jax.org/marker/MGI:1913493","MGI:1913493")</f>
        <v>MGI:1913493</v>
      </c>
      <c r="J1860" s="4" t="s">
        <v>12</v>
      </c>
    </row>
    <row r="1861" spans="1:10" x14ac:dyDescent="0.25">
      <c r="A1861" s="2">
        <v>148.32409351740699</v>
      </c>
      <c r="B1861" s="3">
        <v>0.44856064087456698</v>
      </c>
      <c r="C1861" s="3">
        <v>4.4449736396270201E-4</v>
      </c>
      <c r="D1861" s="4">
        <v>1.6644677333511901E-3</v>
      </c>
      <c r="E1861" s="3" t="s">
        <v>5235</v>
      </c>
      <c r="F1861" s="3" t="s">
        <v>5236</v>
      </c>
      <c r="G1861" s="3">
        <v>14462</v>
      </c>
      <c r="H1861" s="7" t="str">
        <f>HYPERLINK("http://www.ensembl.org/Mus_musculus/Gene/Summary?db=core;g=ENSMUSG00000015619","ENSMUSG00000015619")</f>
        <v>ENSMUSG00000015619</v>
      </c>
      <c r="I1861" s="7" t="str">
        <f>HYPERLINK("http://www.informatics.jax.org/marker/MGI:95663","MGI:95663")</f>
        <v>MGI:95663</v>
      </c>
      <c r="J1861" s="4" t="s">
        <v>12</v>
      </c>
    </row>
    <row r="1862" spans="1:10" x14ac:dyDescent="0.25">
      <c r="A1862" s="2">
        <v>1429.40129772606</v>
      </c>
      <c r="B1862" s="3">
        <v>0.44838412843367498</v>
      </c>
      <c r="C1862" s="5">
        <v>1.1145859126119599E-7</v>
      </c>
      <c r="D1862" s="6">
        <v>6.9399823222934496E-7</v>
      </c>
      <c r="E1862" s="3" t="s">
        <v>11761</v>
      </c>
      <c r="F1862" s="3" t="s">
        <v>11762</v>
      </c>
      <c r="G1862" s="3">
        <v>70097</v>
      </c>
      <c r="H1862" s="7" t="str">
        <f>HYPERLINK("http://www.ensembl.org/Mus_musculus/Gene/Summary?db=core;g=ENSMUSG00000015305","ENSMUSG00000015305")</f>
        <v>ENSMUSG00000015305</v>
      </c>
      <c r="I1862" s="7" t="str">
        <f>HYPERLINK("http://www.informatics.jax.org/marker/MGI:1917347","MGI:1917347")</f>
        <v>MGI:1917347</v>
      </c>
      <c r="J1862" s="4" t="s">
        <v>12</v>
      </c>
    </row>
    <row r="1863" spans="1:10" x14ac:dyDescent="0.25">
      <c r="A1863" s="2">
        <v>83.963604984391793</v>
      </c>
      <c r="B1863" s="3">
        <v>0.44825752972375099</v>
      </c>
      <c r="C1863" s="3">
        <v>9.6479714590976505E-4</v>
      </c>
      <c r="D1863" s="4">
        <v>3.4056610467180898E-3</v>
      </c>
      <c r="E1863" s="3" t="s">
        <v>12479</v>
      </c>
      <c r="F1863" s="3" t="s">
        <v>12480</v>
      </c>
      <c r="G1863" s="3">
        <v>100042807</v>
      </c>
      <c r="H1863" s="7" t="str">
        <f>HYPERLINK("http://www.ensembl.org/Mus_musculus/Gene/Summary?db=core;g=ENSMUSG00000043424","ENSMUSG00000043424")</f>
        <v>ENSMUSG00000043424</v>
      </c>
      <c r="I1863" s="7" t="str">
        <f>HYPERLINK("http://www.informatics.jax.org/marker/MGI:3704486","MGI:3704486")</f>
        <v>MGI:3704486</v>
      </c>
      <c r="J1863" s="4" t="s">
        <v>12</v>
      </c>
    </row>
    <row r="1864" spans="1:10" x14ac:dyDescent="0.25">
      <c r="A1864" s="2">
        <v>625.96001595016696</v>
      </c>
      <c r="B1864" s="3">
        <v>0.44809751390676</v>
      </c>
      <c r="C1864" s="5">
        <v>1.10690714736801E-14</v>
      </c>
      <c r="D1864" s="6">
        <v>1.2759887894232799E-13</v>
      </c>
      <c r="E1864" s="3" t="s">
        <v>2623</v>
      </c>
      <c r="F1864" s="3" t="s">
        <v>2624</v>
      </c>
      <c r="G1864" s="3">
        <v>108067</v>
      </c>
      <c r="H1864" s="7" t="str">
        <f>HYPERLINK("http://www.ensembl.org/Mus_musculus/Gene/Summary?db=core;g=ENSMUSG00000028683","ENSMUSG00000028683")</f>
        <v>ENSMUSG00000028683</v>
      </c>
      <c r="I1864" s="7" t="str">
        <f>HYPERLINK("http://www.informatics.jax.org/marker/MGI:1313286","MGI:1313286")</f>
        <v>MGI:1313286</v>
      </c>
      <c r="J1864" s="4" t="s">
        <v>12</v>
      </c>
    </row>
    <row r="1865" spans="1:10" x14ac:dyDescent="0.25">
      <c r="A1865" s="2">
        <v>24.060520683211699</v>
      </c>
      <c r="B1865" s="3">
        <v>0.44713382090624898</v>
      </c>
      <c r="C1865" s="3">
        <v>9.7984749924760903E-2</v>
      </c>
      <c r="D1865" s="4">
        <v>0.200108927317208</v>
      </c>
      <c r="E1865" s="3" t="s">
        <v>12773</v>
      </c>
      <c r="F1865" s="3" t="s">
        <v>12774</v>
      </c>
      <c r="G1865" s="3">
        <v>11475</v>
      </c>
      <c r="H1865" s="7" t="str">
        <f>HYPERLINK("http://www.ensembl.org/Mus_musculus/Gene/Summary?db=core;g=ENSMUSG00000035783","ENSMUSG00000035783")</f>
        <v>ENSMUSG00000035783</v>
      </c>
      <c r="I1865" s="7" t="str">
        <f>HYPERLINK("http://www.informatics.jax.org/marker/MGI:87909","MGI:87909")</f>
        <v>MGI:87909</v>
      </c>
      <c r="J1865" s="4" t="s">
        <v>12</v>
      </c>
    </row>
    <row r="1866" spans="1:10" x14ac:dyDescent="0.25">
      <c r="A1866" s="2">
        <v>19.411089228773701</v>
      </c>
      <c r="B1866" s="3">
        <v>0.44662725734333703</v>
      </c>
      <c r="C1866" s="3">
        <v>0.15118666189959501</v>
      </c>
      <c r="D1866" s="4">
        <v>0.28338752577600701</v>
      </c>
      <c r="E1866" s="3" t="s">
        <v>13977</v>
      </c>
      <c r="F1866" s="3" t="s">
        <v>13978</v>
      </c>
      <c r="G1866" s="3" t="s">
        <v>83</v>
      </c>
      <c r="H1866" s="7" t="str">
        <f>HYPERLINK("http://www.ensembl.org/Mus_musculus/Gene/Summary?db=core;g=ENSMUSG00000118377","ENSMUSG00000118377")</f>
        <v>ENSMUSG00000118377</v>
      </c>
      <c r="I1866" s="7" t="str">
        <f>HYPERLINK("http://www.informatics.jax.org/marker/MGI:3643073","MGI:3643073")</f>
        <v>MGI:3643073</v>
      </c>
      <c r="J1866" s="4" t="s">
        <v>1043</v>
      </c>
    </row>
    <row r="1867" spans="1:10" x14ac:dyDescent="0.25">
      <c r="A1867" s="2">
        <v>2921.8003284096399</v>
      </c>
      <c r="B1867" s="3">
        <v>0.446583935510807</v>
      </c>
      <c r="C1867" s="5">
        <v>1.03197446080914E-13</v>
      </c>
      <c r="D1867" s="6">
        <v>1.1195080088242E-12</v>
      </c>
      <c r="E1867" s="3" t="s">
        <v>4067</v>
      </c>
      <c r="F1867" s="3" t="s">
        <v>4068</v>
      </c>
      <c r="G1867" s="3">
        <v>107182</v>
      </c>
      <c r="H1867" s="7" t="str">
        <f>HYPERLINK("http://www.ensembl.org/Mus_musculus/Gene/Summary?db=core;g=ENSMUSG00000040565","ENSMUSG00000040565")</f>
        <v>ENSMUSG00000040565</v>
      </c>
      <c r="I1867" s="7" t="str">
        <f>HYPERLINK("http://www.informatics.jax.org/marker/MGI:2147538","MGI:2147538")</f>
        <v>MGI:2147538</v>
      </c>
      <c r="J1867" s="4" t="s">
        <v>12</v>
      </c>
    </row>
    <row r="1868" spans="1:10" x14ac:dyDescent="0.25">
      <c r="A1868" s="2">
        <v>3964.8691153469999</v>
      </c>
      <c r="B1868" s="3">
        <v>0.44612768306983203</v>
      </c>
      <c r="C1868" s="5">
        <v>7.3615954502187794E-14</v>
      </c>
      <c r="D1868" s="6">
        <v>8.0531258751643103E-13</v>
      </c>
      <c r="E1868" s="3" t="s">
        <v>3958</v>
      </c>
      <c r="F1868" s="3" t="s">
        <v>3959</v>
      </c>
      <c r="G1868" s="3">
        <v>50772</v>
      </c>
      <c r="H1868" s="7" t="str">
        <f>HYPERLINK("http://www.ensembl.org/Mus_musculus/Gene/Summary?db=core;g=ENSMUSG00000042688","ENSMUSG00000042688")</f>
        <v>ENSMUSG00000042688</v>
      </c>
      <c r="I1868" s="7" t="str">
        <f>HYPERLINK("http://www.informatics.jax.org/marker/MGI:1354946","MGI:1354946")</f>
        <v>MGI:1354946</v>
      </c>
      <c r="J1868" s="4" t="s">
        <v>12</v>
      </c>
    </row>
    <row r="1869" spans="1:10" x14ac:dyDescent="0.25">
      <c r="A1869" s="2">
        <v>1519.76735194344</v>
      </c>
      <c r="B1869" s="3">
        <v>0.44581080674116802</v>
      </c>
      <c r="C1869" s="5">
        <v>2.94064432108826E-9</v>
      </c>
      <c r="D1869" s="6">
        <v>2.1768173335432001E-8</v>
      </c>
      <c r="E1869" s="3" t="s">
        <v>8709</v>
      </c>
      <c r="F1869" s="3" t="s">
        <v>8710</v>
      </c>
      <c r="G1869" s="3">
        <v>72344</v>
      </c>
      <c r="H1869" s="7" t="str">
        <f>HYPERLINK("http://www.ensembl.org/Mus_musculus/Gene/Summary?db=core;g=ENSMUSG00000033909","ENSMUSG00000033909")</f>
        <v>ENSMUSG00000033909</v>
      </c>
      <c r="I1869" s="7" t="str">
        <f>HYPERLINK("http://www.informatics.jax.org/marker/MGI:1919594","MGI:1919594")</f>
        <v>MGI:1919594</v>
      </c>
      <c r="J1869" s="4" t="s">
        <v>12</v>
      </c>
    </row>
    <row r="1870" spans="1:10" x14ac:dyDescent="0.25">
      <c r="A1870" s="2">
        <v>319.07074175935998</v>
      </c>
      <c r="B1870" s="3">
        <v>0.44569064899548699</v>
      </c>
      <c r="C1870" s="5">
        <v>3.3671644489596999E-7</v>
      </c>
      <c r="D1870" s="6">
        <v>1.9872594586233999E-6</v>
      </c>
      <c r="E1870" s="3" t="s">
        <v>4581</v>
      </c>
      <c r="F1870" s="3" t="s">
        <v>4582</v>
      </c>
      <c r="G1870" s="3">
        <v>79233</v>
      </c>
      <c r="H1870" s="7" t="str">
        <f>HYPERLINK("http://www.ensembl.org/Mus_musculus/Gene/Summary?db=core;g=ENSMUSG00000046556","ENSMUSG00000046556")</f>
        <v>ENSMUSG00000046556</v>
      </c>
      <c r="I1870" s="7" t="str">
        <f>HYPERLINK("http://www.informatics.jax.org/marker/MGI:1890618","MGI:1890618")</f>
        <v>MGI:1890618</v>
      </c>
      <c r="J1870" s="4" t="s">
        <v>12</v>
      </c>
    </row>
    <row r="1871" spans="1:10" x14ac:dyDescent="0.25">
      <c r="A1871" s="2">
        <v>83.674942876795996</v>
      </c>
      <c r="B1871" s="3">
        <v>0.44551396814227501</v>
      </c>
      <c r="C1871" s="3">
        <v>0.18861535863259901</v>
      </c>
      <c r="D1871" s="4">
        <v>0.33622015953434298</v>
      </c>
      <c r="E1871" s="3" t="s">
        <v>7985</v>
      </c>
      <c r="F1871" s="3" t="s">
        <v>7986</v>
      </c>
      <c r="G1871" s="3">
        <v>16168</v>
      </c>
      <c r="H1871" s="7" t="str">
        <f>HYPERLINK("http://www.ensembl.org/Mus_musculus/Gene/Summary?db=core;g=ENSMUSG00000031712","ENSMUSG00000031712")</f>
        <v>ENSMUSG00000031712</v>
      </c>
      <c r="I1871" s="7" t="str">
        <f>HYPERLINK("http://www.informatics.jax.org/marker/MGI:103014","MGI:103014")</f>
        <v>MGI:103014</v>
      </c>
      <c r="J1871" s="4" t="s">
        <v>12</v>
      </c>
    </row>
    <row r="1872" spans="1:10" x14ac:dyDescent="0.25">
      <c r="A1872" s="2">
        <v>796.93700423112796</v>
      </c>
      <c r="B1872" s="3">
        <v>0.44527991202010903</v>
      </c>
      <c r="C1872" s="5">
        <v>1.4340259748809001E-9</v>
      </c>
      <c r="D1872" s="6">
        <v>1.0944356529398799E-8</v>
      </c>
      <c r="E1872" s="3" t="s">
        <v>4979</v>
      </c>
      <c r="F1872" s="3" t="s">
        <v>4980</v>
      </c>
      <c r="G1872" s="3">
        <v>21428</v>
      </c>
      <c r="H1872" s="7" t="str">
        <f>HYPERLINK("http://www.ensembl.org/Mus_musculus/Gene/Summary?db=core;g=ENSMUSG00000017801","ENSMUSG00000017801")</f>
        <v>ENSMUSG00000017801</v>
      </c>
      <c r="I1872" s="7" t="str">
        <f>HYPERLINK("http://www.informatics.jax.org/marker/MGI:108398","MGI:108398")</f>
        <v>MGI:108398</v>
      </c>
      <c r="J1872" s="4" t="s">
        <v>12</v>
      </c>
    </row>
    <row r="1873" spans="1:10" x14ac:dyDescent="0.25">
      <c r="A1873" s="2">
        <v>1382.2580210881699</v>
      </c>
      <c r="B1873" s="3">
        <v>0.44491835710805</v>
      </c>
      <c r="C1873" s="5">
        <v>8.5959428822716002E-23</v>
      </c>
      <c r="D1873" s="6">
        <v>1.5404233926194701E-21</v>
      </c>
      <c r="E1873" s="3" t="s">
        <v>1126</v>
      </c>
      <c r="F1873" s="3" t="s">
        <v>1127</v>
      </c>
      <c r="G1873" s="3">
        <v>216344</v>
      </c>
      <c r="H1873" s="7" t="str">
        <f>HYPERLINK("http://www.ensembl.org/Mus_musculus/Gene/Summary?db=core;g=ENSMUSG00000020132","ENSMUSG00000020132")</f>
        <v>ENSMUSG00000020132</v>
      </c>
      <c r="I1873" s="7" t="str">
        <f>HYPERLINK("http://www.informatics.jax.org/marker/MGI:894308","MGI:894308")</f>
        <v>MGI:894308</v>
      </c>
      <c r="J1873" s="4" t="s">
        <v>12</v>
      </c>
    </row>
    <row r="1874" spans="1:10" x14ac:dyDescent="0.25">
      <c r="A1874" s="2">
        <v>34.524508270453602</v>
      </c>
      <c r="B1874" s="3">
        <v>0.44450935551320903</v>
      </c>
      <c r="C1874" s="3">
        <v>4.38708563016331E-2</v>
      </c>
      <c r="D1874" s="4">
        <v>0.1022307065717</v>
      </c>
      <c r="E1874" s="3" t="s">
        <v>12059</v>
      </c>
      <c r="F1874" s="3" t="s">
        <v>12060</v>
      </c>
      <c r="G1874" s="3">
        <v>69743</v>
      </c>
      <c r="H1874" s="7" t="str">
        <f>HYPERLINK("http://www.ensembl.org/Mus_musculus/Gene/Summary?db=core;g=ENSMUSG00000028977","ENSMUSG00000028977")</f>
        <v>ENSMUSG00000028977</v>
      </c>
      <c r="I1874" s="7" t="str">
        <f>HYPERLINK("http://www.informatics.jax.org/marker/MGI:1196251","MGI:1196251")</f>
        <v>MGI:1196251</v>
      </c>
      <c r="J1874" s="4" t="s">
        <v>12</v>
      </c>
    </row>
    <row r="1875" spans="1:10" x14ac:dyDescent="0.25">
      <c r="A1875" s="2">
        <v>1272.69691126308</v>
      </c>
      <c r="B1875" s="3">
        <v>0.44400819011839698</v>
      </c>
      <c r="C1875" s="5">
        <v>8.8880911855775098E-6</v>
      </c>
      <c r="D1875" s="6">
        <v>4.3791690147918403E-5</v>
      </c>
      <c r="E1875" s="3" t="s">
        <v>8113</v>
      </c>
      <c r="F1875" s="3" t="s">
        <v>8114</v>
      </c>
      <c r="G1875" s="3">
        <v>80291</v>
      </c>
      <c r="H1875" s="7" t="str">
        <f>HYPERLINK("http://www.ensembl.org/Mus_musculus/Gene/Summary?db=core;g=ENSMUSG00000029401","ENSMUSG00000029401")</f>
        <v>ENSMUSG00000029401</v>
      </c>
      <c r="I1875" s="7" t="str">
        <f>HYPERLINK("http://www.informatics.jax.org/marker/MGI:1933112","MGI:1933112")</f>
        <v>MGI:1933112</v>
      </c>
      <c r="J1875" s="4" t="s">
        <v>12</v>
      </c>
    </row>
    <row r="1876" spans="1:10" x14ac:dyDescent="0.25">
      <c r="A1876" s="2">
        <v>986.03450661765203</v>
      </c>
      <c r="B1876" s="3">
        <v>0.44386519600253699</v>
      </c>
      <c r="C1876" s="5">
        <v>9.2296939773502003E-10</v>
      </c>
      <c r="D1876" s="6">
        <v>7.18851165543621E-9</v>
      </c>
      <c r="E1876" s="3" t="s">
        <v>7110</v>
      </c>
      <c r="F1876" s="3" t="s">
        <v>7111</v>
      </c>
      <c r="G1876" s="3">
        <v>320790</v>
      </c>
      <c r="H1876" s="7" t="str">
        <f>HYPERLINK("http://www.ensembl.org/Mus_musculus/Gene/Summary?db=core;g=ENSMUSG00000041235","ENSMUSG00000041235")</f>
        <v>ENSMUSG00000041235</v>
      </c>
      <c r="I1876" s="7" t="str">
        <f>HYPERLINK("http://www.informatics.jax.org/marker/MGI:2444748","MGI:2444748")</f>
        <v>MGI:2444748</v>
      </c>
      <c r="J1876" s="4" t="s">
        <v>12</v>
      </c>
    </row>
    <row r="1877" spans="1:10" x14ac:dyDescent="0.25">
      <c r="A1877" s="2">
        <v>821.733777772287</v>
      </c>
      <c r="B1877" s="3">
        <v>0.44323971047619898</v>
      </c>
      <c r="C1877" s="5">
        <v>5.6041642267768601E-12</v>
      </c>
      <c r="D1877" s="6">
        <v>5.3140423014052198E-11</v>
      </c>
      <c r="E1877" s="3" t="s">
        <v>5639</v>
      </c>
      <c r="F1877" s="3" t="s">
        <v>5640</v>
      </c>
      <c r="G1877" s="3">
        <v>329003</v>
      </c>
      <c r="H1877" s="7" t="str">
        <f>HYPERLINK("http://www.ensembl.org/Mus_musculus/Gene/Summary?db=core;g=ENSMUSG00000058881","ENSMUSG00000058881")</f>
        <v>ENSMUSG00000058881</v>
      </c>
      <c r="I1877" s="7" t="str">
        <f>HYPERLINK("http://www.informatics.jax.org/marker/MGI:2443957","MGI:2443957")</f>
        <v>MGI:2443957</v>
      </c>
      <c r="J1877" s="4" t="s">
        <v>12</v>
      </c>
    </row>
    <row r="1878" spans="1:10" x14ac:dyDescent="0.25">
      <c r="A1878" s="2">
        <v>1257.5178587219</v>
      </c>
      <c r="B1878" s="3">
        <v>0.44315225248186402</v>
      </c>
      <c r="C1878" s="5">
        <v>8.8692449868476904E-20</v>
      </c>
      <c r="D1878" s="6">
        <v>1.36984737190932E-18</v>
      </c>
      <c r="E1878" s="3" t="s">
        <v>2545</v>
      </c>
      <c r="F1878" s="3" t="s">
        <v>2546</v>
      </c>
      <c r="G1878" s="3">
        <v>68112</v>
      </c>
      <c r="H1878" s="7" t="str">
        <f>HYPERLINK("http://www.ensembl.org/Mus_musculus/Gene/Summary?db=core;g=ENSMUSG00000026927","ENSMUSG00000026927")</f>
        <v>ENSMUSG00000026927</v>
      </c>
      <c r="I1878" s="7" t="str">
        <f>HYPERLINK("http://www.informatics.jax.org/marker/MGI:1915362","MGI:1915362")</f>
        <v>MGI:1915362</v>
      </c>
      <c r="J1878" s="4" t="s">
        <v>12</v>
      </c>
    </row>
    <row r="1879" spans="1:10" x14ac:dyDescent="0.25">
      <c r="A1879" s="2">
        <v>1810.9573136367201</v>
      </c>
      <c r="B1879" s="3">
        <v>0.44306596442203999</v>
      </c>
      <c r="C1879" s="5">
        <v>2.5778583113653101E-26</v>
      </c>
      <c r="D1879" s="6">
        <v>5.4629613633293997E-25</v>
      </c>
      <c r="E1879" s="3" t="s">
        <v>1550</v>
      </c>
      <c r="F1879" s="3" t="s">
        <v>1551</v>
      </c>
      <c r="G1879" s="3">
        <v>235442</v>
      </c>
      <c r="H1879" s="7" t="str">
        <f>HYPERLINK("http://www.ensembl.org/Mus_musculus/Gene/Summary?db=core;g=ENSMUSG00000036943","ENSMUSG00000036943")</f>
        <v>ENSMUSG00000036943</v>
      </c>
      <c r="I1879" s="7" t="str">
        <f>HYPERLINK("http://www.informatics.jax.org/marker/MGI:2442982","MGI:2442982")</f>
        <v>MGI:2442982</v>
      </c>
      <c r="J1879" s="4" t="s">
        <v>12</v>
      </c>
    </row>
    <row r="1880" spans="1:10" x14ac:dyDescent="0.25">
      <c r="A1880" s="2">
        <v>363.186250747705</v>
      </c>
      <c r="B1880" s="3">
        <v>0.44305167322191702</v>
      </c>
      <c r="C1880" s="5">
        <v>1.9570662617121999E-7</v>
      </c>
      <c r="D1880" s="6">
        <v>1.18891775399016E-6</v>
      </c>
      <c r="E1880" s="3" t="s">
        <v>5031</v>
      </c>
      <c r="F1880" s="3" t="s">
        <v>5032</v>
      </c>
      <c r="G1880" s="3">
        <v>18590</v>
      </c>
      <c r="H1880" s="7" t="str">
        <f>HYPERLINK("http://www.ensembl.org/Mus_musculus/Gene/Summary?db=core;g=ENSMUSG00000025856","ENSMUSG00000025856")</f>
        <v>ENSMUSG00000025856</v>
      </c>
      <c r="I1880" s="7" t="str">
        <f>HYPERLINK("http://www.informatics.jax.org/marker/MGI:97527","MGI:97527")</f>
        <v>MGI:97527</v>
      </c>
      <c r="J1880" s="4" t="s">
        <v>12</v>
      </c>
    </row>
    <row r="1881" spans="1:10" x14ac:dyDescent="0.25">
      <c r="A1881" s="2">
        <v>29.3062087585961</v>
      </c>
      <c r="B1881" s="3">
        <v>0.44269547702749501</v>
      </c>
      <c r="C1881" s="3">
        <v>5.1706234953230498E-2</v>
      </c>
      <c r="D1881" s="4">
        <v>0.11739705145417</v>
      </c>
      <c r="E1881" s="3" t="s">
        <v>11609</v>
      </c>
      <c r="F1881" s="3" t="s">
        <v>11610</v>
      </c>
      <c r="G1881" s="3" t="s">
        <v>83</v>
      </c>
      <c r="H1881" s="7" t="str">
        <f>HYPERLINK("http://www.ensembl.org/Mus_musculus/Gene/Summary?db=core;g=ENSMUSG00000074862","ENSMUSG00000074862")</f>
        <v>ENSMUSG00000074862</v>
      </c>
      <c r="I1881" s="7" t="str">
        <f>HYPERLINK("http://www.informatics.jax.org/marker/MGI:2670983","MGI:2670983")</f>
        <v>MGI:2670983</v>
      </c>
      <c r="J1881" s="4" t="s">
        <v>12</v>
      </c>
    </row>
    <row r="1882" spans="1:10" x14ac:dyDescent="0.25">
      <c r="A1882" s="2">
        <v>411.27496112665102</v>
      </c>
      <c r="B1882" s="3">
        <v>0.44217689333695098</v>
      </c>
      <c r="C1882" s="5">
        <v>5.8264939172484303E-9</v>
      </c>
      <c r="D1882" s="6">
        <v>4.1642294761510801E-8</v>
      </c>
      <c r="E1882" s="3" t="s">
        <v>7963</v>
      </c>
      <c r="F1882" s="3" t="s">
        <v>7964</v>
      </c>
      <c r="G1882" s="3">
        <v>76273</v>
      </c>
      <c r="H1882" s="7" t="str">
        <f>HYPERLINK("http://www.ensembl.org/Mus_musculus/Gene/Summary?db=core;g=ENSMUSG00000053253","ENSMUSG00000053253")</f>
        <v>ENSMUSG00000053253</v>
      </c>
      <c r="I1882" s="7" t="str">
        <f>HYPERLINK("http://www.informatics.jax.org/marker/MGI:1923523","MGI:1923523")</f>
        <v>MGI:1923523</v>
      </c>
      <c r="J1882" s="4" t="s">
        <v>12</v>
      </c>
    </row>
    <row r="1883" spans="1:10" x14ac:dyDescent="0.25">
      <c r="A1883" s="2">
        <v>1828.2798910157001</v>
      </c>
      <c r="B1883" s="3">
        <v>0.44114926595437798</v>
      </c>
      <c r="C1883" s="5">
        <v>1.40034617379125E-8</v>
      </c>
      <c r="D1883" s="6">
        <v>9.6089265878559794E-8</v>
      </c>
      <c r="E1883" s="3" t="s">
        <v>7860</v>
      </c>
      <c r="F1883" s="3" t="s">
        <v>7861</v>
      </c>
      <c r="G1883" s="3">
        <v>233833</v>
      </c>
      <c r="H1883" s="7" t="str">
        <f>HYPERLINK("http://www.ensembl.org/Mus_musculus/Gene/Summary?db=core;g=ENSMUSG00000052707","ENSMUSG00000052707")</f>
        <v>ENSMUSG00000052707</v>
      </c>
      <c r="I1883" s="7" t="str">
        <f>HYPERLINK("http://www.informatics.jax.org/marker/MGI:2385292","MGI:2385292")</f>
        <v>MGI:2385292</v>
      </c>
      <c r="J1883" s="4" t="s">
        <v>12</v>
      </c>
    </row>
    <row r="1884" spans="1:10" x14ac:dyDescent="0.25">
      <c r="A1884" s="2">
        <v>939.72974828165297</v>
      </c>
      <c r="B1884" s="3">
        <v>0.441098515861157</v>
      </c>
      <c r="C1884" s="5">
        <v>9.0944442074129305E-8</v>
      </c>
      <c r="D1884" s="6">
        <v>5.7232819640918702E-7</v>
      </c>
      <c r="E1884" s="3" t="s">
        <v>10146</v>
      </c>
      <c r="F1884" s="3" t="s">
        <v>10147</v>
      </c>
      <c r="G1884" s="3">
        <v>74018</v>
      </c>
      <c r="H1884" s="7" t="str">
        <f>HYPERLINK("http://www.ensembl.org/Mus_musculus/Gene/Summary?db=core;g=ENSMUSG00000026024","ENSMUSG00000026024")</f>
        <v>ENSMUSG00000026024</v>
      </c>
      <c r="I1884" s="7" t="str">
        <f>HYPERLINK("http://www.informatics.jax.org/marker/MGI:1921268","MGI:1921268")</f>
        <v>MGI:1921268</v>
      </c>
      <c r="J1884" s="4" t="s">
        <v>12</v>
      </c>
    </row>
    <row r="1885" spans="1:10" x14ac:dyDescent="0.25">
      <c r="A1885" s="2">
        <v>1068.0853875299899</v>
      </c>
      <c r="B1885" s="3">
        <v>0.44076112100877601</v>
      </c>
      <c r="C1885" s="5">
        <v>6.4910439958118504E-6</v>
      </c>
      <c r="D1885" s="6">
        <v>3.2670333284637102E-5</v>
      </c>
      <c r="E1885" s="3" t="s">
        <v>9105</v>
      </c>
      <c r="F1885" s="3" t="s">
        <v>9106</v>
      </c>
      <c r="G1885" s="3">
        <v>73389</v>
      </c>
      <c r="H1885" s="7" t="str">
        <f>HYPERLINK("http://www.ensembl.org/Mus_musculus/Gene/Summary?db=core;g=ENSMUSG00000002996","ENSMUSG00000002996")</f>
        <v>ENSMUSG00000002996</v>
      </c>
      <c r="I1885" s="7" t="str">
        <f>HYPERLINK("http://www.informatics.jax.org/marker/MGI:894659","MGI:894659")</f>
        <v>MGI:894659</v>
      </c>
      <c r="J1885" s="4" t="s">
        <v>12</v>
      </c>
    </row>
    <row r="1886" spans="1:10" x14ac:dyDescent="0.25">
      <c r="A1886" s="2">
        <v>332.94450685428899</v>
      </c>
      <c r="B1886" s="3">
        <v>0.44025909658194401</v>
      </c>
      <c r="C1886" s="5">
        <v>2.30615422501338E-7</v>
      </c>
      <c r="D1886" s="6">
        <v>1.38941027275599E-6</v>
      </c>
      <c r="E1886" s="3" t="s">
        <v>4413</v>
      </c>
      <c r="F1886" s="3" t="s">
        <v>4414</v>
      </c>
      <c r="G1886" s="3" t="s">
        <v>83</v>
      </c>
      <c r="H1886" s="7" t="str">
        <f>HYPERLINK("http://www.ensembl.org/Mus_musculus/Gene/Summary?db=core;g=ENSMUSG00000105053","ENSMUSG00000105053")</f>
        <v>ENSMUSG00000105053</v>
      </c>
      <c r="I1886" s="7" t="str">
        <f>HYPERLINK("http://www.informatics.jax.org/marker/MGI:5663201","MGI:5663201")</f>
        <v>MGI:5663201</v>
      </c>
      <c r="J1886" s="4" t="s">
        <v>12</v>
      </c>
    </row>
    <row r="1887" spans="1:10" x14ac:dyDescent="0.25">
      <c r="A1887" s="2">
        <v>4982.4328442470096</v>
      </c>
      <c r="B1887" s="3">
        <v>0.44022243625409602</v>
      </c>
      <c r="C1887" s="5">
        <v>6.4402048253216199E-21</v>
      </c>
      <c r="D1887" s="6">
        <v>1.0545618413431E-19</v>
      </c>
      <c r="E1887" s="3" t="s">
        <v>2812</v>
      </c>
      <c r="F1887" s="3" t="s">
        <v>2813</v>
      </c>
      <c r="G1887" s="3">
        <v>21894</v>
      </c>
      <c r="H1887" s="7" t="str">
        <f>HYPERLINK("http://www.ensembl.org/Mus_musculus/Gene/Summary?db=core;g=ENSMUSG00000028465","ENSMUSG00000028465")</f>
        <v>ENSMUSG00000028465</v>
      </c>
      <c r="I1887" s="7" t="str">
        <f>HYPERLINK("http://www.informatics.jax.org/marker/MGI:1099832","MGI:1099832")</f>
        <v>MGI:1099832</v>
      </c>
      <c r="J1887" s="4" t="s">
        <v>12</v>
      </c>
    </row>
    <row r="1888" spans="1:10" x14ac:dyDescent="0.25">
      <c r="A1888" s="2">
        <v>445.23299628804801</v>
      </c>
      <c r="B1888" s="3">
        <v>0.43998744602540402</v>
      </c>
      <c r="C1888" s="5">
        <v>5.0097401066305802E-11</v>
      </c>
      <c r="D1888" s="6">
        <v>4.3980016109509698E-10</v>
      </c>
      <c r="E1888" s="3" t="s">
        <v>4002</v>
      </c>
      <c r="F1888" s="3" t="s">
        <v>4003</v>
      </c>
      <c r="G1888" s="3">
        <v>207615</v>
      </c>
      <c r="H1888" s="7" t="str">
        <f>HYPERLINK("http://www.ensembl.org/Mus_musculus/Gene/Summary?db=core;g=ENSMUSG00000021147","ENSMUSG00000021147")</f>
        <v>ENSMUSG00000021147</v>
      </c>
      <c r="I1888" s="7" t="str">
        <f>HYPERLINK("http://www.informatics.jax.org/marker/MGI:1920393","MGI:1920393")</f>
        <v>MGI:1920393</v>
      </c>
      <c r="J1888" s="4" t="s">
        <v>12</v>
      </c>
    </row>
    <row r="1889" spans="1:10" x14ac:dyDescent="0.25">
      <c r="A1889" s="2">
        <v>267.99178230764898</v>
      </c>
      <c r="B1889" s="3">
        <v>0.43966698590650499</v>
      </c>
      <c r="C1889" s="5">
        <v>8.6355368067008406E-6</v>
      </c>
      <c r="D1889" s="6">
        <v>4.2639571471721198E-5</v>
      </c>
      <c r="E1889" s="3" t="s">
        <v>3976</v>
      </c>
      <c r="F1889" s="3" t="s">
        <v>3977</v>
      </c>
      <c r="G1889" s="3">
        <v>240665</v>
      </c>
      <c r="H1889" s="7" t="str">
        <f>HYPERLINK("http://www.ensembl.org/Mus_musculus/Gene/Summary?db=core;g=ENSMUSG00000025010","ENSMUSG00000025010")</f>
        <v>ENSMUSG00000025010</v>
      </c>
      <c r="I1889" s="7" t="str">
        <f>HYPERLINK("http://www.informatics.jax.org/marker/MGI:2443297","MGI:2443297")</f>
        <v>MGI:2443297</v>
      </c>
      <c r="J1889" s="4" t="s">
        <v>12</v>
      </c>
    </row>
    <row r="1890" spans="1:10" x14ac:dyDescent="0.25">
      <c r="A1890" s="2">
        <v>742.94750183810595</v>
      </c>
      <c r="B1890" s="3">
        <v>0.439335190828058</v>
      </c>
      <c r="C1890" s="5">
        <v>9.3322530293036204E-7</v>
      </c>
      <c r="D1890" s="6">
        <v>5.2076029228125699E-6</v>
      </c>
      <c r="E1890" s="3" t="s">
        <v>6437</v>
      </c>
      <c r="F1890" s="3" t="s">
        <v>6438</v>
      </c>
      <c r="G1890" s="3">
        <v>214150</v>
      </c>
      <c r="H1890" s="7" t="str">
        <f>HYPERLINK("http://www.ensembl.org/Mus_musculus/Gene/Summary?db=core;g=ENSMUSG00000028842","ENSMUSG00000028842")</f>
        <v>ENSMUSG00000028842</v>
      </c>
      <c r="I1890" s="7" t="str">
        <f>HYPERLINK("http://www.informatics.jax.org/marker/MGI:2446634","MGI:2446634")</f>
        <v>MGI:2446634</v>
      </c>
      <c r="J1890" s="4" t="s">
        <v>12</v>
      </c>
    </row>
    <row r="1891" spans="1:10" x14ac:dyDescent="0.25">
      <c r="A1891" s="2">
        <v>3428.6413431553201</v>
      </c>
      <c r="B1891" s="3">
        <v>0.43888512564195697</v>
      </c>
      <c r="C1891" s="5">
        <v>3.08260410697522E-19</v>
      </c>
      <c r="D1891" s="6">
        <v>4.6315300782871698E-18</v>
      </c>
      <c r="E1891" s="3" t="s">
        <v>3064</v>
      </c>
      <c r="F1891" s="3" t="s">
        <v>3065</v>
      </c>
      <c r="G1891" s="3">
        <v>22146</v>
      </c>
      <c r="H1891" s="7" t="str">
        <f>HYPERLINK("http://www.ensembl.org/Mus_musculus/Gene/Summary?db=core;g=ENSMUSG00000043091","ENSMUSG00000043091")</f>
        <v>ENSMUSG00000043091</v>
      </c>
      <c r="I1891" s="7" t="str">
        <f>HYPERLINK("http://www.informatics.jax.org/marker/MGI:1095409","MGI:1095409")</f>
        <v>MGI:1095409</v>
      </c>
      <c r="J1891" s="4" t="s">
        <v>12</v>
      </c>
    </row>
    <row r="1892" spans="1:10" x14ac:dyDescent="0.25">
      <c r="A1892" s="2">
        <v>11.1712599993333</v>
      </c>
      <c r="B1892" s="3">
        <v>0.43871945825369302</v>
      </c>
      <c r="C1892" s="3">
        <v>0.17340468256432201</v>
      </c>
      <c r="D1892" s="4">
        <v>0.31499243216081202</v>
      </c>
      <c r="E1892" s="3" t="s">
        <v>11511</v>
      </c>
      <c r="F1892" s="3" t="s">
        <v>11512</v>
      </c>
      <c r="G1892" s="3">
        <v>77595</v>
      </c>
      <c r="H1892" s="7" t="str">
        <f>HYPERLINK("http://www.ensembl.org/Mus_musculus/Gene/Summary?db=core;g=ENSMUSG00000027939","ENSMUSG00000027939")</f>
        <v>ENSMUSG00000027939</v>
      </c>
      <c r="I1892" s="7" t="str">
        <f>HYPERLINK("http://www.informatics.jax.org/marker/MGI:1924845","MGI:1924845")</f>
        <v>MGI:1924845</v>
      </c>
      <c r="J1892" s="4" t="s">
        <v>12</v>
      </c>
    </row>
    <row r="1893" spans="1:10" x14ac:dyDescent="0.25">
      <c r="A1893" s="2">
        <v>1617.56814381818</v>
      </c>
      <c r="B1893" s="3">
        <v>0.43719601790949703</v>
      </c>
      <c r="C1893" s="5">
        <v>1.1984436078232301E-23</v>
      </c>
      <c r="D1893" s="6">
        <v>2.2493959580410298E-22</v>
      </c>
      <c r="E1893" s="3" t="s">
        <v>1604</v>
      </c>
      <c r="F1893" s="3" t="s">
        <v>1605</v>
      </c>
      <c r="G1893" s="3">
        <v>19248</v>
      </c>
      <c r="H1893" s="7" t="str">
        <f>HYPERLINK("http://www.ensembl.org/Mus_musculus/Gene/Summary?db=core;g=ENSMUSG00000028771","ENSMUSG00000028771")</f>
        <v>ENSMUSG00000028771</v>
      </c>
      <c r="I1893" s="7" t="str">
        <f>HYPERLINK("http://www.informatics.jax.org/marker/MGI:104673","MGI:104673")</f>
        <v>MGI:104673</v>
      </c>
      <c r="J1893" s="4" t="s">
        <v>12</v>
      </c>
    </row>
    <row r="1894" spans="1:10" x14ac:dyDescent="0.25">
      <c r="A1894" s="2">
        <v>39.673479330545902</v>
      </c>
      <c r="B1894" s="3">
        <v>0.43703558952840099</v>
      </c>
      <c r="C1894" s="3">
        <v>3.1943789707691898E-2</v>
      </c>
      <c r="D1894" s="4">
        <v>7.7737423878045706E-2</v>
      </c>
      <c r="E1894" s="3" t="s">
        <v>12695</v>
      </c>
      <c r="F1894" s="3" t="s">
        <v>12696</v>
      </c>
      <c r="G1894" s="3">
        <v>214944</v>
      </c>
      <c r="H1894" s="7" t="str">
        <f>HYPERLINK("http://www.ensembl.org/Mus_musculus/Gene/Summary?db=core;g=ENSMUSG00000073910","ENSMUSG00000073910")</f>
        <v>ENSMUSG00000073910</v>
      </c>
      <c r="I1894" s="7" t="str">
        <f>HYPERLINK("http://www.informatics.jax.org/marker/MGI:2664539","MGI:2664539")</f>
        <v>MGI:2664539</v>
      </c>
      <c r="J1894" s="4" t="s">
        <v>12</v>
      </c>
    </row>
    <row r="1895" spans="1:10" x14ac:dyDescent="0.25">
      <c r="A1895" s="2">
        <v>1167.9502475336201</v>
      </c>
      <c r="B1895" s="3">
        <v>0.43625071387096698</v>
      </c>
      <c r="C1895" s="5">
        <v>7.9211317742112896E-10</v>
      </c>
      <c r="D1895" s="6">
        <v>6.2375039401316898E-9</v>
      </c>
      <c r="E1895" s="3" t="s">
        <v>8783</v>
      </c>
      <c r="F1895" s="3" t="s">
        <v>8784</v>
      </c>
      <c r="G1895" s="3">
        <v>66270</v>
      </c>
      <c r="H1895" s="7" t="str">
        <f>HYPERLINK("http://www.ensembl.org/Mus_musculus/Gene/Summary?db=core;g=ENSMUSG00000022270","ENSMUSG00000022270")</f>
        <v>ENSMUSG00000022270</v>
      </c>
      <c r="I1895" s="7" t="str">
        <f>HYPERLINK("http://www.informatics.jax.org/marker/MGI:1913520","MGI:1913520")</f>
        <v>MGI:1913520</v>
      </c>
      <c r="J1895" s="4" t="s">
        <v>12</v>
      </c>
    </row>
    <row r="1896" spans="1:10" x14ac:dyDescent="0.25">
      <c r="A1896" s="2">
        <v>591.47483098463897</v>
      </c>
      <c r="B1896" s="3">
        <v>0.436169147225897</v>
      </c>
      <c r="C1896" s="5">
        <v>6.6673182671893694E-8</v>
      </c>
      <c r="D1896" s="6">
        <v>4.2397723454126399E-7</v>
      </c>
      <c r="E1896" s="3" t="s">
        <v>11759</v>
      </c>
      <c r="F1896" s="3" t="s">
        <v>11760</v>
      </c>
      <c r="G1896" s="3">
        <v>58240</v>
      </c>
      <c r="H1896" s="7" t="str">
        <f>HYPERLINK("http://www.ensembl.org/Mus_musculus/Gene/Summary?db=core;g=ENSMUSG00000020605","ENSMUSG00000020605")</f>
        <v>ENSMUSG00000020605</v>
      </c>
      <c r="I1896" s="7" t="str">
        <f>HYPERLINK("http://www.informatics.jax.org/marker/MGI:1913224","MGI:1913224")</f>
        <v>MGI:1913224</v>
      </c>
      <c r="J1896" s="4" t="s">
        <v>12</v>
      </c>
    </row>
    <row r="1897" spans="1:10" x14ac:dyDescent="0.25">
      <c r="A1897" s="2">
        <v>1797.1344239970399</v>
      </c>
      <c r="B1897" s="3">
        <v>0.435446341785032</v>
      </c>
      <c r="C1897" s="5">
        <v>1.89069854829303E-25</v>
      </c>
      <c r="D1897" s="6">
        <v>3.8543602955973697E-24</v>
      </c>
      <c r="E1897" s="3" t="s">
        <v>1750</v>
      </c>
      <c r="F1897" s="3" t="s">
        <v>1751</v>
      </c>
      <c r="G1897" s="3">
        <v>75624</v>
      </c>
      <c r="H1897" s="7" t="str">
        <f>HYPERLINK("http://www.ensembl.org/Mus_musculus/Gene/Summary?db=core;g=ENSMUSG00000005813","ENSMUSG00000005813")</f>
        <v>ENSMUSG00000005813</v>
      </c>
      <c r="I1897" s="7" t="str">
        <f>HYPERLINK("http://www.informatics.jax.org/marker/MGI:1922874","MGI:1922874")</f>
        <v>MGI:1922874</v>
      </c>
      <c r="J1897" s="4" t="s">
        <v>12</v>
      </c>
    </row>
    <row r="1898" spans="1:10" x14ac:dyDescent="0.25">
      <c r="A1898" s="2">
        <v>812.69694997611202</v>
      </c>
      <c r="B1898" s="3">
        <v>0.435225588604921</v>
      </c>
      <c r="C1898" s="5">
        <v>8.2563256683268499E-9</v>
      </c>
      <c r="D1898" s="6">
        <v>5.8097117878477598E-8</v>
      </c>
      <c r="E1898" s="3" t="s">
        <v>13187</v>
      </c>
      <c r="F1898" s="3" t="s">
        <v>13188</v>
      </c>
      <c r="G1898" s="3">
        <v>20868</v>
      </c>
      <c r="H1898" s="7" t="str">
        <f>HYPERLINK("http://www.ensembl.org/Mus_musculus/Gene/Summary?db=core;g=ENSMUSG00000020272","ENSMUSG00000020272")</f>
        <v>ENSMUSG00000020272</v>
      </c>
      <c r="I1898" s="7" t="str">
        <f>HYPERLINK("http://www.informatics.jax.org/marker/MGI:1099439","MGI:1099439")</f>
        <v>MGI:1099439</v>
      </c>
      <c r="J1898" s="4" t="s">
        <v>12</v>
      </c>
    </row>
    <row r="1899" spans="1:10" x14ac:dyDescent="0.25">
      <c r="A1899" s="2">
        <v>2880.8007025203801</v>
      </c>
      <c r="B1899" s="3">
        <v>0.435197784090601</v>
      </c>
      <c r="C1899" s="5">
        <v>2.8772607773160901E-15</v>
      </c>
      <c r="D1899" s="6">
        <v>3.4273253376853398E-14</v>
      </c>
      <c r="E1899" s="3" t="s">
        <v>2651</v>
      </c>
      <c r="F1899" s="3" t="s">
        <v>2652</v>
      </c>
      <c r="G1899" s="3">
        <v>11737</v>
      </c>
      <c r="H1899" s="7" t="str">
        <f>HYPERLINK("http://www.ensembl.org/Mus_musculus/Gene/Summary?db=core;g=ENSMUSG00000032249","ENSMUSG00000032249")</f>
        <v>ENSMUSG00000032249</v>
      </c>
      <c r="I1899" s="7" t="str">
        <f>HYPERLINK("http://www.informatics.jax.org/marker/MGI:108447","MGI:108447")</f>
        <v>MGI:108447</v>
      </c>
      <c r="J1899" s="4" t="s">
        <v>12</v>
      </c>
    </row>
    <row r="1900" spans="1:10" x14ac:dyDescent="0.25">
      <c r="A1900" s="2">
        <v>1543.51658891901</v>
      </c>
      <c r="B1900" s="3">
        <v>0.43464607592418097</v>
      </c>
      <c r="C1900" s="5">
        <v>3.4624968310163002E-14</v>
      </c>
      <c r="D1900" s="6">
        <v>3.85015282155412E-13</v>
      </c>
      <c r="E1900" s="3" t="s">
        <v>2597</v>
      </c>
      <c r="F1900" s="3" t="s">
        <v>2598</v>
      </c>
      <c r="G1900" s="3">
        <v>227656</v>
      </c>
      <c r="H1900" s="7" t="str">
        <f>HYPERLINK("http://www.ensembl.org/Mus_musculus/Gene/Summary?db=core;g=ENSMUSG00000052406","ENSMUSG00000052406")</f>
        <v>ENSMUSG00000052406</v>
      </c>
      <c r="I1900" s="7" t="str">
        <f>HYPERLINK("http://www.informatics.jax.org/marker/MGI:2684957","MGI:2684957")</f>
        <v>MGI:2684957</v>
      </c>
      <c r="J1900" s="4" t="s">
        <v>12</v>
      </c>
    </row>
    <row r="1901" spans="1:10" x14ac:dyDescent="0.25">
      <c r="A1901" s="2">
        <v>1556.0339547814201</v>
      </c>
      <c r="B1901" s="3">
        <v>0.43422149256516901</v>
      </c>
      <c r="C1901" s="5">
        <v>2.6922762530629399E-17</v>
      </c>
      <c r="D1901" s="6">
        <v>3.6399654830913998E-16</v>
      </c>
      <c r="E1901" s="3" t="s">
        <v>2301</v>
      </c>
      <c r="F1901" s="3" t="s">
        <v>2302</v>
      </c>
      <c r="G1901" s="3">
        <v>230857</v>
      </c>
      <c r="H1901" s="7" t="str">
        <f>HYPERLINK("http://www.ensembl.org/Mus_musculus/Gene/Summary?db=core;g=ENSMUSG00000057530","ENSMUSG00000057530")</f>
        <v>ENSMUSG00000057530</v>
      </c>
      <c r="I1901" s="7" t="str">
        <f>HYPERLINK("http://www.informatics.jax.org/marker/MGI:1101357","MGI:1101357")</f>
        <v>MGI:1101357</v>
      </c>
      <c r="J1901" s="4" t="s">
        <v>12</v>
      </c>
    </row>
    <row r="1902" spans="1:10" x14ac:dyDescent="0.25">
      <c r="A1902" s="2">
        <v>3647.83749644417</v>
      </c>
      <c r="B1902" s="3">
        <v>0.43392450654790499</v>
      </c>
      <c r="C1902" s="5">
        <v>1.5417357939180401E-6</v>
      </c>
      <c r="D1902" s="6">
        <v>8.3975298398554304E-6</v>
      </c>
      <c r="E1902" s="3" t="s">
        <v>12341</v>
      </c>
      <c r="F1902" s="3" t="s">
        <v>12342</v>
      </c>
      <c r="G1902" s="3">
        <v>77087</v>
      </c>
      <c r="H1902" s="7" t="str">
        <f>HYPERLINK("http://www.ensembl.org/Mus_musculus/Gene/Summary?db=core;g=ENSMUSG00000035569","ENSMUSG00000035569")</f>
        <v>ENSMUSG00000035569</v>
      </c>
      <c r="I1902" s="7" t="str">
        <f>HYPERLINK("http://www.informatics.jax.org/marker/MGI:1924337","MGI:1924337")</f>
        <v>MGI:1924337</v>
      </c>
      <c r="J1902" s="4" t="s">
        <v>12</v>
      </c>
    </row>
    <row r="1903" spans="1:10" x14ac:dyDescent="0.25">
      <c r="A1903" s="2">
        <v>5620.0746934997796</v>
      </c>
      <c r="B1903" s="3">
        <v>0.43372341877345699</v>
      </c>
      <c r="C1903" s="5">
        <v>1.5922568196987799E-12</v>
      </c>
      <c r="D1903" s="6">
        <v>1.5874661126373201E-11</v>
      </c>
      <c r="E1903" s="3" t="s">
        <v>2968</v>
      </c>
      <c r="F1903" s="3" t="s">
        <v>2969</v>
      </c>
      <c r="G1903" s="3">
        <v>17969</v>
      </c>
      <c r="H1903" s="7" t="str">
        <f>HYPERLINK("http://www.ensembl.org/Mus_musculus/Gene/Summary?db=core;g=ENSMUSG00000015950","ENSMUSG00000015950")</f>
        <v>ENSMUSG00000015950</v>
      </c>
      <c r="I1903" s="7" t="str">
        <f>HYPERLINK("http://www.informatics.jax.org/marker/MGI:97283","MGI:97283")</f>
        <v>MGI:97283</v>
      </c>
      <c r="J1903" s="4" t="s">
        <v>12</v>
      </c>
    </row>
    <row r="1904" spans="1:10" x14ac:dyDescent="0.25">
      <c r="A1904" s="2">
        <v>926.01401877293097</v>
      </c>
      <c r="B1904" s="3">
        <v>0.43333805511300999</v>
      </c>
      <c r="C1904" s="5">
        <v>1.23598231551547E-14</v>
      </c>
      <c r="D1904" s="6">
        <v>1.4202886317950401E-13</v>
      </c>
      <c r="E1904" s="3" t="s">
        <v>3236</v>
      </c>
      <c r="F1904" s="3" t="s">
        <v>3237</v>
      </c>
      <c r="G1904" s="3">
        <v>78244</v>
      </c>
      <c r="H1904" s="7" t="str">
        <f>HYPERLINK("http://www.ensembl.org/Mus_musculus/Gene/Summary?db=core;g=ENSMUSG00000044224","ENSMUSG00000044224")</f>
        <v>ENSMUSG00000044224</v>
      </c>
      <c r="I1904" s="7" t="str">
        <f>HYPERLINK("http://www.informatics.jax.org/marker/MGI:1925371","MGI:1925371")</f>
        <v>MGI:1925371</v>
      </c>
      <c r="J1904" s="4" t="s">
        <v>12</v>
      </c>
    </row>
    <row r="1905" spans="1:10" x14ac:dyDescent="0.25">
      <c r="A1905" s="2">
        <v>2773.0998931231102</v>
      </c>
      <c r="B1905" s="3">
        <v>0.432755176536957</v>
      </c>
      <c r="C1905" s="5">
        <v>4.9370714834670204E-7</v>
      </c>
      <c r="D1905" s="6">
        <v>2.8474091071577999E-6</v>
      </c>
      <c r="E1905" s="3" t="s">
        <v>5365</v>
      </c>
      <c r="F1905" s="3" t="s">
        <v>5366</v>
      </c>
      <c r="G1905" s="3">
        <v>114715</v>
      </c>
      <c r="H1905" s="7" t="str">
        <f>HYPERLINK("http://www.ensembl.org/Mus_musculus/Gene/Summary?db=core;g=ENSMUSG00000027351","ENSMUSG00000027351")</f>
        <v>ENSMUSG00000027351</v>
      </c>
      <c r="I1905" s="7" t="str">
        <f>HYPERLINK("http://www.informatics.jax.org/marker/MGI:2150016","MGI:2150016")</f>
        <v>MGI:2150016</v>
      </c>
      <c r="J1905" s="4" t="s">
        <v>12</v>
      </c>
    </row>
    <row r="1906" spans="1:10" x14ac:dyDescent="0.25">
      <c r="A1906" s="2">
        <v>32.346914778364798</v>
      </c>
      <c r="B1906" s="3">
        <v>0.43261370060527199</v>
      </c>
      <c r="C1906" s="3">
        <v>4.50126144304306E-2</v>
      </c>
      <c r="D1906" s="4">
        <v>0.104610418004922</v>
      </c>
      <c r="E1906" s="3" t="s">
        <v>12406</v>
      </c>
      <c r="F1906" s="3" t="s">
        <v>12407</v>
      </c>
      <c r="G1906" s="3" t="s">
        <v>83</v>
      </c>
      <c r="H1906" s="7" t="str">
        <f>HYPERLINK("http://www.ensembl.org/Mus_musculus/Gene/Summary?db=core;g=ENSMUSG00000077565","ENSMUSG00000077565")</f>
        <v>ENSMUSG00000077565</v>
      </c>
      <c r="I1906" s="7" t="str">
        <f>HYPERLINK("http://www.informatics.jax.org/marker/MGI:5452978","MGI:5452978")</f>
        <v>MGI:5452978</v>
      </c>
      <c r="J1906" s="4" t="s">
        <v>11100</v>
      </c>
    </row>
    <row r="1907" spans="1:10" x14ac:dyDescent="0.25">
      <c r="A1907" s="2">
        <v>1104.82378252127</v>
      </c>
      <c r="B1907" s="3">
        <v>0.43212308343595701</v>
      </c>
      <c r="C1907" s="5">
        <v>8.3344031354122603E-14</v>
      </c>
      <c r="D1907" s="6">
        <v>9.0845991114167704E-13</v>
      </c>
      <c r="E1907" s="3" t="s">
        <v>3714</v>
      </c>
      <c r="F1907" s="3" t="s">
        <v>3715</v>
      </c>
      <c r="G1907" s="3">
        <v>215194</v>
      </c>
      <c r="H1907" s="7" t="str">
        <f>HYPERLINK("http://www.ensembl.org/Mus_musculus/Gene/Summary?db=core;g=ENSMUSG00000035047","ENSMUSG00000035047")</f>
        <v>ENSMUSG00000035047</v>
      </c>
      <c r="I1907" s="7" t="str">
        <f>HYPERLINK("http://www.informatics.jax.org/marker/MGI:2384899","MGI:2384899")</f>
        <v>MGI:2384899</v>
      </c>
      <c r="J1907" s="4" t="s">
        <v>12</v>
      </c>
    </row>
    <row r="1908" spans="1:10" x14ac:dyDescent="0.25">
      <c r="A1908" s="2">
        <v>2722.39238769452</v>
      </c>
      <c r="B1908" s="3">
        <v>0.43170745233449298</v>
      </c>
      <c r="C1908" s="5">
        <v>4.0697254662069902E-8</v>
      </c>
      <c r="D1908" s="6">
        <v>2.6414083554708799E-7</v>
      </c>
      <c r="E1908" s="3" t="s">
        <v>2826</v>
      </c>
      <c r="F1908" s="3" t="s">
        <v>2827</v>
      </c>
      <c r="G1908" s="3">
        <v>18753</v>
      </c>
      <c r="H1908" s="7" t="str">
        <f>HYPERLINK("http://www.ensembl.org/Mus_musculus/Gene/Summary?db=core;g=ENSMUSG00000021948","ENSMUSG00000021948")</f>
        <v>ENSMUSG00000021948</v>
      </c>
      <c r="I1908" s="7" t="str">
        <f>HYPERLINK("http://www.informatics.jax.org/marker/MGI:97598","MGI:97598")</f>
        <v>MGI:97598</v>
      </c>
      <c r="J1908" s="4" t="s">
        <v>12</v>
      </c>
    </row>
    <row r="1909" spans="1:10" x14ac:dyDescent="0.25">
      <c r="A1909" s="2">
        <v>581.79234943613596</v>
      </c>
      <c r="B1909" s="3">
        <v>0.43115810647894898</v>
      </c>
      <c r="C1909" s="5">
        <v>1.49501913286135E-10</v>
      </c>
      <c r="D1909" s="6">
        <v>1.2637626946381301E-9</v>
      </c>
      <c r="E1909" s="3" t="s">
        <v>2259</v>
      </c>
      <c r="F1909" s="3" t="s">
        <v>2260</v>
      </c>
      <c r="G1909" s="3">
        <v>74120</v>
      </c>
      <c r="H1909" s="7" t="str">
        <f>HYPERLINK("http://www.ensembl.org/Mus_musculus/Gene/Summary?db=core;g=ENSMUSG00000022529","ENSMUSG00000022529")</f>
        <v>ENSMUSG00000022529</v>
      </c>
      <c r="I1909" s="7" t="str">
        <f>HYPERLINK("http://www.informatics.jax.org/marker/MGI:1921370","MGI:1921370")</f>
        <v>MGI:1921370</v>
      </c>
      <c r="J1909" s="4" t="s">
        <v>12</v>
      </c>
    </row>
    <row r="1910" spans="1:10" x14ac:dyDescent="0.25">
      <c r="A1910" s="2">
        <v>874.27385899747503</v>
      </c>
      <c r="B1910" s="3">
        <v>0.43001246166280599</v>
      </c>
      <c r="C1910" s="5">
        <v>1.5350813679700198E-8</v>
      </c>
      <c r="D1910" s="6">
        <v>1.0490010472911E-7</v>
      </c>
      <c r="E1910" s="3" t="s">
        <v>5701</v>
      </c>
      <c r="F1910" s="3" t="s">
        <v>5702</v>
      </c>
      <c r="G1910" s="3">
        <v>109880</v>
      </c>
      <c r="H1910" s="7" t="str">
        <f>HYPERLINK("http://www.ensembl.org/Mus_musculus/Gene/Summary?db=core;g=ENSMUSG00000002413","ENSMUSG00000002413")</f>
        <v>ENSMUSG00000002413</v>
      </c>
      <c r="I1910" s="7" t="str">
        <f>HYPERLINK("http://www.informatics.jax.org/marker/MGI:88190","MGI:88190")</f>
        <v>MGI:88190</v>
      </c>
      <c r="J1910" s="4" t="s">
        <v>12</v>
      </c>
    </row>
    <row r="1911" spans="1:10" x14ac:dyDescent="0.25">
      <c r="A1911" s="2">
        <v>621.91234505508896</v>
      </c>
      <c r="B1911" s="3">
        <v>0.42948327371559197</v>
      </c>
      <c r="C1911" s="3">
        <v>2.1530834671082801E-4</v>
      </c>
      <c r="D1911" s="4">
        <v>8.5082277077294904E-4</v>
      </c>
      <c r="E1911" s="3" t="s">
        <v>10344</v>
      </c>
      <c r="F1911" s="3" t="s">
        <v>10345</v>
      </c>
      <c r="G1911" s="3">
        <v>20148</v>
      </c>
      <c r="H1911" s="7" t="str">
        <f>HYPERLINK("http://www.ensembl.org/Mus_musculus/Gene/Summary?db=core;g=ENSMUSG00000066026","ENSMUSG00000066026")</f>
        <v>ENSMUSG00000066026</v>
      </c>
      <c r="I1911" s="7" t="str">
        <f>HYPERLINK("http://www.informatics.jax.org/marker/MGI:1315215","MGI:1315215")</f>
        <v>MGI:1315215</v>
      </c>
      <c r="J1911" s="4" t="s">
        <v>12</v>
      </c>
    </row>
    <row r="1912" spans="1:10" x14ac:dyDescent="0.25">
      <c r="A1912" s="2">
        <v>4183.0474743910399</v>
      </c>
      <c r="B1912" s="3">
        <v>0.42914444148379199</v>
      </c>
      <c r="C1912" s="5">
        <v>1.0404590975974901E-10</v>
      </c>
      <c r="D1912" s="6">
        <v>8.8609191839785999E-10</v>
      </c>
      <c r="E1912" s="3" t="s">
        <v>5077</v>
      </c>
      <c r="F1912" s="3" t="s">
        <v>5078</v>
      </c>
      <c r="G1912" s="3">
        <v>114143</v>
      </c>
      <c r="H1912" s="7" t="str">
        <f>HYPERLINK("http://www.ensembl.org/Mus_musculus/Gene/Summary?db=core;g=ENSMUSG00000033379","ENSMUSG00000033379")</f>
        <v>ENSMUSG00000033379</v>
      </c>
      <c r="I1912" s="7" t="str">
        <f>HYPERLINK("http://www.informatics.jax.org/marker/MGI:1890510","MGI:1890510")</f>
        <v>MGI:1890510</v>
      </c>
      <c r="J1912" s="4" t="s">
        <v>12</v>
      </c>
    </row>
    <row r="1913" spans="1:10" x14ac:dyDescent="0.25">
      <c r="A1913" s="2">
        <v>507.59867148217597</v>
      </c>
      <c r="B1913" s="3">
        <v>0.42904203144967401</v>
      </c>
      <c r="C1913" s="5">
        <v>2.69315731694139E-7</v>
      </c>
      <c r="D1913" s="6">
        <v>1.6092718721723501E-6</v>
      </c>
      <c r="E1913" s="3" t="s">
        <v>4333</v>
      </c>
      <c r="F1913" s="3" t="s">
        <v>4334</v>
      </c>
      <c r="G1913" s="3">
        <v>235533</v>
      </c>
      <c r="H1913" s="7" t="str">
        <f>HYPERLINK("http://www.ensembl.org/Mus_musculus/Gene/Summary?db=core;g=ENSMUSG00000041440","ENSMUSG00000041440")</f>
        <v>ENSMUSG00000041440</v>
      </c>
      <c r="I1913" s="7" t="str">
        <f>HYPERLINK("http://www.informatics.jax.org/marker/MGI:2443336","MGI:2443336")</f>
        <v>MGI:2443336</v>
      </c>
      <c r="J1913" s="4" t="s">
        <v>12</v>
      </c>
    </row>
    <row r="1914" spans="1:10" x14ac:dyDescent="0.25">
      <c r="A1914" s="2">
        <v>3099.56066807348</v>
      </c>
      <c r="B1914" s="3">
        <v>0.42857331735313198</v>
      </c>
      <c r="C1914" s="5">
        <v>3.2595261986212998E-20</v>
      </c>
      <c r="D1914" s="6">
        <v>5.1477352660202001E-19</v>
      </c>
      <c r="E1914" s="3" t="s">
        <v>2139</v>
      </c>
      <c r="F1914" s="3" t="s">
        <v>2140</v>
      </c>
      <c r="G1914" s="3">
        <v>52874</v>
      </c>
      <c r="H1914" s="7" t="str">
        <f>HYPERLINK("http://www.ensembl.org/Mus_musculus/Gene/Summary?db=core;g=ENSMUSG00000041360","ENSMUSG00000041360")</f>
        <v>ENSMUSG00000041360</v>
      </c>
      <c r="I1914" s="7" t="str">
        <f>HYPERLINK("http://www.informatics.jax.org/marker/MGI:106253","MGI:106253")</f>
        <v>MGI:106253</v>
      </c>
      <c r="J1914" s="4" t="s">
        <v>12</v>
      </c>
    </row>
    <row r="1915" spans="1:10" x14ac:dyDescent="0.25">
      <c r="A1915" s="2">
        <v>1.99606646837781</v>
      </c>
      <c r="B1915" s="3">
        <v>0.42844334514926202</v>
      </c>
      <c r="C1915" s="3">
        <v>0.34241228943483498</v>
      </c>
      <c r="D1915" s="4">
        <v>0.52021206860202396</v>
      </c>
      <c r="E1915" s="3" t="s">
        <v>9917</v>
      </c>
      <c r="F1915" s="3" t="s">
        <v>9918</v>
      </c>
      <c r="G1915" s="3" t="s">
        <v>83</v>
      </c>
      <c r="H1915" s="7" t="str">
        <f>HYPERLINK("http://www.ensembl.org/Mus_musculus/Gene/Summary?db=core;g=ENSMUSG00000098934","ENSMUSG00000098934")</f>
        <v>ENSMUSG00000098934</v>
      </c>
      <c r="I1915" s="7" t="str">
        <f>HYPERLINK("http://www.informatics.jax.org/marker/MGI:5011038","MGI:5011038")</f>
        <v>MGI:5011038</v>
      </c>
      <c r="J1915" s="4" t="s">
        <v>2683</v>
      </c>
    </row>
    <row r="1916" spans="1:10" x14ac:dyDescent="0.25">
      <c r="A1916" s="2">
        <v>4002.5283203621202</v>
      </c>
      <c r="B1916" s="3">
        <v>0.42822458667200602</v>
      </c>
      <c r="C1916" s="5">
        <v>8.4878564365074001E-27</v>
      </c>
      <c r="D1916" s="6">
        <v>1.8371874531513899E-25</v>
      </c>
      <c r="E1916" s="3" t="s">
        <v>1835</v>
      </c>
      <c r="F1916" s="3" t="s">
        <v>1836</v>
      </c>
      <c r="G1916" s="3">
        <v>12388</v>
      </c>
      <c r="H1916" s="7" t="str">
        <f>HYPERLINK("http://www.ensembl.org/Mus_musculus/Gene/Summary?db=core;g=ENSMUSG00000034101","ENSMUSG00000034101")</f>
        <v>ENSMUSG00000034101</v>
      </c>
      <c r="I1916" s="7" t="str">
        <f>HYPERLINK("http://www.informatics.jax.org/marker/MGI:105100","MGI:105100")</f>
        <v>MGI:105100</v>
      </c>
      <c r="J1916" s="4" t="s">
        <v>12</v>
      </c>
    </row>
    <row r="1917" spans="1:10" x14ac:dyDescent="0.25">
      <c r="A1917" s="2">
        <v>961.25600460850706</v>
      </c>
      <c r="B1917" s="3">
        <v>0.428109474661097</v>
      </c>
      <c r="C1917" s="5">
        <v>1.58238557568273E-15</v>
      </c>
      <c r="D1917" s="6">
        <v>1.9187609525494201E-14</v>
      </c>
      <c r="E1917" s="3" t="s">
        <v>1776</v>
      </c>
      <c r="F1917" s="3" t="s">
        <v>1777</v>
      </c>
      <c r="G1917" s="3">
        <v>98258</v>
      </c>
      <c r="H1917" s="7" t="str">
        <f>HYPERLINK("http://www.ensembl.org/Mus_musculus/Gene/Summary?db=core;g=ENSMUSG00000058407","ENSMUSG00000058407")</f>
        <v>ENSMUSG00000058407</v>
      </c>
      <c r="I1917" s="7" t="str">
        <f>HYPERLINK("http://www.informatics.jax.org/marker/MGI:2138153","MGI:2138153")</f>
        <v>MGI:2138153</v>
      </c>
      <c r="J1917" s="4" t="s">
        <v>12</v>
      </c>
    </row>
    <row r="1918" spans="1:10" x14ac:dyDescent="0.25">
      <c r="A1918" s="2">
        <v>1177.08871034601</v>
      </c>
      <c r="B1918" s="3">
        <v>0.42783812588386599</v>
      </c>
      <c r="C1918" s="5">
        <v>1.57015379262977E-8</v>
      </c>
      <c r="D1918" s="6">
        <v>1.0709600625253599E-7</v>
      </c>
      <c r="E1918" s="3" t="s">
        <v>5861</v>
      </c>
      <c r="F1918" s="3" t="s">
        <v>5862</v>
      </c>
      <c r="G1918" s="3">
        <v>109129</v>
      </c>
      <c r="H1918" s="7" t="str">
        <f>HYPERLINK("http://www.ensembl.org/Mus_musculus/Gene/Summary?db=core;g=ENSMUSG00000026766","ENSMUSG00000026766")</f>
        <v>ENSMUSG00000026766</v>
      </c>
      <c r="I1918" s="7" t="str">
        <f>HYPERLINK("http://www.informatics.jax.org/marker/MGI:1923786","MGI:1923786")</f>
        <v>MGI:1923786</v>
      </c>
      <c r="J1918" s="4" t="s">
        <v>12</v>
      </c>
    </row>
    <row r="1919" spans="1:10" x14ac:dyDescent="0.25">
      <c r="A1919" s="2">
        <v>500.36326839035002</v>
      </c>
      <c r="B1919" s="3">
        <v>0.42780091156690198</v>
      </c>
      <c r="C1919" s="5">
        <v>6.9198504124236202E-7</v>
      </c>
      <c r="D1919" s="6">
        <v>3.9165923529944202E-6</v>
      </c>
      <c r="E1919" s="3" t="s">
        <v>7570</v>
      </c>
      <c r="F1919" s="3" t="s">
        <v>7571</v>
      </c>
      <c r="G1919" s="3">
        <v>242864</v>
      </c>
      <c r="H1919" s="7" t="str">
        <f>HYPERLINK("http://www.ensembl.org/Mus_musculus/Gene/Summary?db=core;g=ENSMUSG00000044968","ENSMUSG00000044968")</f>
        <v>ENSMUSG00000044968</v>
      </c>
      <c r="I1919" s="7" t="str">
        <f>HYPERLINK("http://www.informatics.jax.org/marker/MGI:2140885","MGI:2140885")</f>
        <v>MGI:2140885</v>
      </c>
      <c r="J1919" s="4" t="s">
        <v>12</v>
      </c>
    </row>
    <row r="1920" spans="1:10" x14ac:dyDescent="0.25">
      <c r="A1920" s="2">
        <v>401.96733340778599</v>
      </c>
      <c r="B1920" s="3">
        <v>0.42735485126021899</v>
      </c>
      <c r="C1920" s="3">
        <v>4.3588899200224901E-4</v>
      </c>
      <c r="D1920" s="4">
        <v>1.63458372000844E-3</v>
      </c>
      <c r="E1920" s="3" t="s">
        <v>11973</v>
      </c>
      <c r="F1920" s="3" t="s">
        <v>11974</v>
      </c>
      <c r="G1920" s="3">
        <v>216831</v>
      </c>
      <c r="H1920" s="7" t="str">
        <f>HYPERLINK("http://www.ensembl.org/Mus_musculus/Gene/Summary?db=core;g=ENSMUSG00000033389","ENSMUSG00000033389")</f>
        <v>ENSMUSG00000033389</v>
      </c>
      <c r="I1920" s="7" t="str">
        <f>HYPERLINK("http://www.informatics.jax.org/marker/MGI:2144423","MGI:2144423")</f>
        <v>MGI:2144423</v>
      </c>
      <c r="J1920" s="4" t="s">
        <v>12</v>
      </c>
    </row>
    <row r="1921" spans="1:10" x14ac:dyDescent="0.25">
      <c r="A1921" s="2">
        <v>4556.0925202844701</v>
      </c>
      <c r="B1921" s="3">
        <v>0.42727177209163397</v>
      </c>
      <c r="C1921" s="5">
        <v>9.0522559832848608E-19</v>
      </c>
      <c r="D1921" s="6">
        <v>1.33046262334973E-17</v>
      </c>
      <c r="E1921" s="3" t="s">
        <v>4247</v>
      </c>
      <c r="F1921" s="3" t="s">
        <v>4248</v>
      </c>
      <c r="G1921" s="3">
        <v>224088</v>
      </c>
      <c r="H1921" s="7" t="str">
        <f>HYPERLINK("http://www.ensembl.org/Mus_musculus/Gene/Summary?db=core;g=ENSMUSG00000022533","ENSMUSG00000022533")</f>
        <v>ENSMUSG00000022533</v>
      </c>
      <c r="I1921" s="7" t="str">
        <f>HYPERLINK("http://www.informatics.jax.org/marker/MGI:2685387","MGI:2685387")</f>
        <v>MGI:2685387</v>
      </c>
      <c r="J1921" s="4" t="s">
        <v>12</v>
      </c>
    </row>
    <row r="1922" spans="1:10" x14ac:dyDescent="0.25">
      <c r="A1922" s="2">
        <v>111.558161759827</v>
      </c>
      <c r="B1922" s="3">
        <v>0.42712445828314199</v>
      </c>
      <c r="C1922" s="3">
        <v>3.3544990156896899E-3</v>
      </c>
      <c r="D1922" s="4">
        <v>1.05243147806756E-2</v>
      </c>
      <c r="E1922" s="3" t="s">
        <v>9553</v>
      </c>
      <c r="F1922" s="3" t="s">
        <v>9554</v>
      </c>
      <c r="G1922" s="3" t="s">
        <v>83</v>
      </c>
      <c r="H1922" s="7" t="str">
        <f>HYPERLINK("http://www.ensembl.org/Mus_musculus/Gene/Summary?db=core;g=ENSMUSG00000052825","ENSMUSG00000052825")</f>
        <v>ENSMUSG00000052825</v>
      </c>
      <c r="I1922" s="7" t="str">
        <f>HYPERLINK("http://www.informatics.jax.org/marker/MGI:3701610","MGI:3701610")</f>
        <v>MGI:3701610</v>
      </c>
      <c r="J1922" s="4" t="s">
        <v>1043</v>
      </c>
    </row>
    <row r="1923" spans="1:10" x14ac:dyDescent="0.25">
      <c r="A1923" s="2">
        <v>1014.08908204824</v>
      </c>
      <c r="B1923" s="3">
        <v>0.42676864320365099</v>
      </c>
      <c r="C1923" s="5">
        <v>2.59958430361548E-7</v>
      </c>
      <c r="D1923" s="6">
        <v>1.5559088319668999E-6</v>
      </c>
      <c r="E1923" s="3" t="s">
        <v>4397</v>
      </c>
      <c r="F1923" s="3" t="s">
        <v>4398</v>
      </c>
      <c r="G1923" s="3">
        <v>56706</v>
      </c>
      <c r="H1923" s="7" t="str">
        <f>HYPERLINK("http://www.ensembl.org/Mus_musculus/Gene/Summary?db=core;g=ENSMUSG00000027829","ENSMUSG00000027829")</f>
        <v>ENSMUSG00000027829</v>
      </c>
      <c r="I1923" s="7" t="str">
        <f>HYPERLINK("http://www.informatics.jax.org/marker/MGI:1922664","MGI:1922664")</f>
        <v>MGI:1922664</v>
      </c>
      <c r="J1923" s="4" t="s">
        <v>12</v>
      </c>
    </row>
    <row r="1924" spans="1:10" x14ac:dyDescent="0.25">
      <c r="A1924" s="2">
        <v>2.3839018463991501</v>
      </c>
      <c r="B1924" s="3">
        <v>0.42636736779537299</v>
      </c>
      <c r="C1924" s="3">
        <v>0.36476793608153102</v>
      </c>
      <c r="D1924" s="4">
        <v>0.54318596135804798</v>
      </c>
      <c r="E1924" s="3" t="s">
        <v>8725</v>
      </c>
      <c r="F1924" s="3" t="s">
        <v>8726</v>
      </c>
      <c r="G1924" s="3" t="s">
        <v>83</v>
      </c>
      <c r="H1924" s="7" t="str">
        <f>HYPERLINK("http://www.ensembl.org/Mus_musculus/Gene/Summary?db=core;g=ENSMUSG00000095366","ENSMUSG00000095366")</f>
        <v>ENSMUSG00000095366</v>
      </c>
      <c r="I1924" s="7" t="str">
        <f>HYPERLINK("http://www.informatics.jax.org/marker/MGI:5434024","MGI:5434024")</f>
        <v>MGI:5434024</v>
      </c>
      <c r="J1924" s="4" t="s">
        <v>939</v>
      </c>
    </row>
    <row r="1925" spans="1:10" x14ac:dyDescent="0.25">
      <c r="A1925" s="2">
        <v>774.62878010108102</v>
      </c>
      <c r="B1925" s="3">
        <v>0.426326411985474</v>
      </c>
      <c r="C1925" s="5">
        <v>4.5573228588840603E-8</v>
      </c>
      <c r="D1925" s="6">
        <v>2.9432037244210501E-7</v>
      </c>
      <c r="E1925" s="3" t="s">
        <v>5327</v>
      </c>
      <c r="F1925" s="3" t="s">
        <v>5328</v>
      </c>
      <c r="G1925" s="3">
        <v>68050</v>
      </c>
      <c r="H1925" s="7" t="str">
        <f>HYPERLINK("http://www.ensembl.org/Mus_musculus/Gene/Summary?db=core;g=ENSMUSG00000023075","ENSMUSG00000023075")</f>
        <v>ENSMUSG00000023075</v>
      </c>
      <c r="I1925" s="7" t="str">
        <f>HYPERLINK("http://www.informatics.jax.org/marker/MGI:1915300","MGI:1915300")</f>
        <v>MGI:1915300</v>
      </c>
      <c r="J1925" s="4" t="s">
        <v>12</v>
      </c>
    </row>
    <row r="1926" spans="1:10" x14ac:dyDescent="0.25">
      <c r="A1926" s="2">
        <v>898.54239559264397</v>
      </c>
      <c r="B1926" s="3">
        <v>0.426047801558049</v>
      </c>
      <c r="C1926" s="5">
        <v>4.4997400787359198E-15</v>
      </c>
      <c r="D1926" s="6">
        <v>5.31138360977734E-14</v>
      </c>
      <c r="E1926" s="3" t="s">
        <v>2411</v>
      </c>
      <c r="F1926" s="3" t="s">
        <v>2412</v>
      </c>
      <c r="G1926" s="3">
        <v>52575</v>
      </c>
      <c r="H1926" s="7" t="str">
        <f>HYPERLINK("http://www.ensembl.org/Mus_musculus/Gene/Summary?db=core;g=ENSMUSG00000044763","ENSMUSG00000044763")</f>
        <v>ENSMUSG00000044763</v>
      </c>
      <c r="I1926" s="7" t="str">
        <f>HYPERLINK("http://www.informatics.jax.org/marker/MGI:1196261","MGI:1196261")</f>
        <v>MGI:1196261</v>
      </c>
      <c r="J1926" s="4" t="s">
        <v>12</v>
      </c>
    </row>
    <row r="1927" spans="1:10" x14ac:dyDescent="0.25">
      <c r="A1927" s="2">
        <v>1844.8785443331999</v>
      </c>
      <c r="B1927" s="3">
        <v>0.42553440612219501</v>
      </c>
      <c r="C1927" s="5">
        <v>2.7414228231294198E-10</v>
      </c>
      <c r="D1927" s="6">
        <v>2.2586994101055E-9</v>
      </c>
      <c r="E1927" s="3" t="s">
        <v>12027</v>
      </c>
      <c r="F1927" s="3" t="s">
        <v>12028</v>
      </c>
      <c r="G1927" s="3">
        <v>238317</v>
      </c>
      <c r="H1927" s="7" t="str">
        <f>HYPERLINK("http://www.ensembl.org/Mus_musculus/Gene/Summary?db=core;g=ENSMUSG00000042507","ENSMUSG00000042507")</f>
        <v>ENSMUSG00000042507</v>
      </c>
      <c r="I1927" s="7" t="str">
        <f>HYPERLINK("http://www.informatics.jax.org/marker/MGI:2685106","MGI:2685106")</f>
        <v>MGI:2685106</v>
      </c>
      <c r="J1927" s="4" t="s">
        <v>12</v>
      </c>
    </row>
    <row r="1928" spans="1:10" x14ac:dyDescent="0.25">
      <c r="A1928" s="2">
        <v>726.70720394552302</v>
      </c>
      <c r="B1928" s="3">
        <v>0.42545994416810001</v>
      </c>
      <c r="C1928" s="5">
        <v>9.0357352723735701E-11</v>
      </c>
      <c r="D1928" s="6">
        <v>7.7531203078629104E-10</v>
      </c>
      <c r="E1928" s="3" t="s">
        <v>6231</v>
      </c>
      <c r="F1928" s="3" t="s">
        <v>6232</v>
      </c>
      <c r="G1928" s="3">
        <v>68770</v>
      </c>
      <c r="H1928" s="7" t="str">
        <f>HYPERLINK("http://www.ensembl.org/Mus_musculus/Gene/Summary?db=core;g=ENSMUSG00000039987","ENSMUSG00000039987")</f>
        <v>ENSMUSG00000039987</v>
      </c>
      <c r="I1928" s="7" t="str">
        <f>HYPERLINK("http://www.informatics.jax.org/marker/MGI:1916020","MGI:1916020")</f>
        <v>MGI:1916020</v>
      </c>
      <c r="J1928" s="4" t="s">
        <v>12</v>
      </c>
    </row>
    <row r="1929" spans="1:10" x14ac:dyDescent="0.25">
      <c r="A1929" s="2">
        <v>566.20826765094</v>
      </c>
      <c r="B1929" s="3">
        <v>0.42537263664035802</v>
      </c>
      <c r="C1929" s="5">
        <v>6.7939314908243104E-6</v>
      </c>
      <c r="D1929" s="6">
        <v>3.4081861112103797E-5</v>
      </c>
      <c r="E1929" s="3" t="s">
        <v>10312</v>
      </c>
      <c r="F1929" s="3" t="s">
        <v>10313</v>
      </c>
      <c r="G1929" s="3">
        <v>243853</v>
      </c>
      <c r="H1929" s="7" t="str">
        <f>HYPERLINK("http://www.ensembl.org/Mus_musculus/Gene/Summary?db=core;g=ENSMUSG00000048920","ENSMUSG00000048920")</f>
        <v>ENSMUSG00000048920</v>
      </c>
      <c r="I1929" s="7" t="str">
        <f>HYPERLINK("http://www.informatics.jax.org/marker/MGI:2447586","MGI:2447586")</f>
        <v>MGI:2447586</v>
      </c>
      <c r="J1929" s="4" t="s">
        <v>12</v>
      </c>
    </row>
    <row r="1930" spans="1:10" x14ac:dyDescent="0.25">
      <c r="A1930" s="2">
        <v>1236.40759566616</v>
      </c>
      <c r="B1930" s="3">
        <v>0.42493202095638899</v>
      </c>
      <c r="C1930" s="5">
        <v>1.2269471213791099E-17</v>
      </c>
      <c r="D1930" s="6">
        <v>1.69018225904265E-16</v>
      </c>
      <c r="E1930" s="3" t="s">
        <v>2611</v>
      </c>
      <c r="F1930" s="3" t="s">
        <v>2612</v>
      </c>
      <c r="G1930" s="3">
        <v>106894</v>
      </c>
      <c r="H1930" s="7" t="str">
        <f>HYPERLINK("http://www.ensembl.org/Mus_musculus/Gene/Summary?db=core;g=ENSMUSG00000024622","ENSMUSG00000024622")</f>
        <v>ENSMUSG00000024622</v>
      </c>
      <c r="I1930" s="7" t="str">
        <f>HYPERLINK("http://www.informatics.jax.org/marker/MGI:2441817","MGI:2441817")</f>
        <v>MGI:2441817</v>
      </c>
      <c r="J1930" s="4" t="s">
        <v>12</v>
      </c>
    </row>
    <row r="1931" spans="1:10" x14ac:dyDescent="0.25">
      <c r="A1931" s="2">
        <v>399.84271853452299</v>
      </c>
      <c r="B1931" s="3">
        <v>0.42375009835057698</v>
      </c>
      <c r="C1931" s="5">
        <v>1.3101499303694301E-6</v>
      </c>
      <c r="D1931" s="6">
        <v>7.2006883235774398E-6</v>
      </c>
      <c r="E1931" s="3" t="s">
        <v>5193</v>
      </c>
      <c r="F1931" s="3" t="s">
        <v>5194</v>
      </c>
      <c r="G1931" s="3">
        <v>71835</v>
      </c>
      <c r="H1931" s="7" t="str">
        <f>HYPERLINK("http://www.ensembl.org/Mus_musculus/Gene/Summary?db=core;g=ENSMUSG00000062190","ENSMUSG00000062190")</f>
        <v>ENSMUSG00000062190</v>
      </c>
      <c r="I1931" s="7" t="str">
        <f>HYPERLINK("http://www.informatics.jax.org/marker/MGI:1919085","MGI:1919085")</f>
        <v>MGI:1919085</v>
      </c>
      <c r="J1931" s="4" t="s">
        <v>12</v>
      </c>
    </row>
    <row r="1932" spans="1:10" x14ac:dyDescent="0.25">
      <c r="A1932" s="2">
        <v>171.45284208283999</v>
      </c>
      <c r="B1932" s="3">
        <v>0.42307741598837301</v>
      </c>
      <c r="C1932" s="3">
        <v>2.6252003930480803E-4</v>
      </c>
      <c r="D1932" s="4">
        <v>1.0194817209312E-3</v>
      </c>
      <c r="E1932" s="3" t="s">
        <v>10916</v>
      </c>
      <c r="F1932" s="3" t="s">
        <v>10917</v>
      </c>
      <c r="G1932" s="3" t="s">
        <v>83</v>
      </c>
      <c r="H1932" s="7" t="str">
        <f>HYPERLINK("http://www.ensembl.org/Mus_musculus/Gene/Summary?db=core;g=ENSMUSG00000083899","ENSMUSG00000083899")</f>
        <v>ENSMUSG00000083899</v>
      </c>
      <c r="I1932" s="7" t="str">
        <f>HYPERLINK("http://www.informatics.jax.org/marker/MGI:3649810","MGI:3649810")</f>
        <v>MGI:3649810</v>
      </c>
      <c r="J1932" s="4" t="s">
        <v>5705</v>
      </c>
    </row>
    <row r="1933" spans="1:10" x14ac:dyDescent="0.25">
      <c r="A1933" s="2">
        <v>1230.5619305298901</v>
      </c>
      <c r="B1933" s="3">
        <v>0.42252238090948702</v>
      </c>
      <c r="C1933" s="5">
        <v>2.6936233714981502E-9</v>
      </c>
      <c r="D1933" s="6">
        <v>1.99964504869873E-8</v>
      </c>
      <c r="E1933" s="3" t="s">
        <v>7638</v>
      </c>
      <c r="F1933" s="3" t="s">
        <v>7639</v>
      </c>
      <c r="G1933" s="3">
        <v>74315</v>
      </c>
      <c r="H1933" s="7" t="str">
        <f>HYPERLINK("http://www.ensembl.org/Mus_musculus/Gene/Summary?db=core;g=ENSMUSG00000019189","ENSMUSG00000019189")</f>
        <v>ENSMUSG00000019189</v>
      </c>
      <c r="I1933" s="7" t="str">
        <f>HYPERLINK("http://www.informatics.jax.org/marker/MGI:1921565","MGI:1921565")</f>
        <v>MGI:1921565</v>
      </c>
      <c r="J1933" s="4" t="s">
        <v>12</v>
      </c>
    </row>
    <row r="1934" spans="1:10" x14ac:dyDescent="0.25">
      <c r="A1934" s="2">
        <v>2077.0575317371099</v>
      </c>
      <c r="B1934" s="3">
        <v>0.422516660529133</v>
      </c>
      <c r="C1934" s="5">
        <v>1.2538063675391301E-15</v>
      </c>
      <c r="D1934" s="6">
        <v>1.5315429657105001E-14</v>
      </c>
      <c r="E1934" s="3" t="s">
        <v>2928</v>
      </c>
      <c r="F1934" s="3" t="s">
        <v>2929</v>
      </c>
      <c r="G1934" s="3">
        <v>52014</v>
      </c>
      <c r="H1934" s="7" t="str">
        <f>HYPERLINK("http://www.ensembl.org/Mus_musculus/Gene/Summary?db=core;g=ENSMUSG00000023068","ENSMUSG00000023068")</f>
        <v>ENSMUSG00000023068</v>
      </c>
      <c r="I1934" s="7" t="str">
        <f>HYPERLINK("http://www.informatics.jax.org/marker/MGI:1196365","MGI:1196365")</f>
        <v>MGI:1196365</v>
      </c>
      <c r="J1934" s="4" t="s">
        <v>12</v>
      </c>
    </row>
    <row r="1935" spans="1:10" x14ac:dyDescent="0.25">
      <c r="A1935" s="2">
        <v>371.57202566222202</v>
      </c>
      <c r="B1935" s="3">
        <v>0.42247517032770998</v>
      </c>
      <c r="C1935" s="5">
        <v>2.7223766865842001E-10</v>
      </c>
      <c r="D1935" s="6">
        <v>2.2450368829410499E-9</v>
      </c>
      <c r="E1935" s="3" t="s">
        <v>4075</v>
      </c>
      <c r="F1935" s="3" t="s">
        <v>4076</v>
      </c>
      <c r="G1935" s="3">
        <v>321000</v>
      </c>
      <c r="H1935" s="7" t="str">
        <f>HYPERLINK("http://www.ensembl.org/Mus_musculus/Gene/Summary?db=core;g=ENSMUSG00000056260","ENSMUSG00000056260")</f>
        <v>ENSMUSG00000056260</v>
      </c>
      <c r="I1935" s="7" t="str">
        <f>HYPERLINK("http://www.informatics.jax.org/marker/MGI:2445214","MGI:2445214")</f>
        <v>MGI:2445214</v>
      </c>
      <c r="J1935" s="4" t="s">
        <v>12</v>
      </c>
    </row>
    <row r="1936" spans="1:10" x14ac:dyDescent="0.25">
      <c r="A1936" s="2">
        <v>910.70050799706098</v>
      </c>
      <c r="B1936" s="3">
        <v>0.42216331500361898</v>
      </c>
      <c r="C1936" s="5">
        <v>1.13396105238673E-8</v>
      </c>
      <c r="D1936" s="6">
        <v>7.8549753628841696E-8</v>
      </c>
      <c r="E1936" s="3" t="s">
        <v>5699</v>
      </c>
      <c r="F1936" s="3" t="s">
        <v>5700</v>
      </c>
      <c r="G1936" s="3">
        <v>23917</v>
      </c>
      <c r="H1936" s="7" t="str">
        <f>HYPERLINK("http://www.ensembl.org/Mus_musculus/Gene/Summary?db=core;g=ENSMUSG00000003500","ENSMUSG00000003500")</f>
        <v>ENSMUSG00000003500</v>
      </c>
      <c r="I1936" s="7" t="str">
        <f>HYPERLINK("http://www.informatics.jax.org/marker/MGI:96567","MGI:96567")</f>
        <v>MGI:96567</v>
      </c>
      <c r="J1936" s="4" t="s">
        <v>12</v>
      </c>
    </row>
    <row r="1937" spans="1:10" x14ac:dyDescent="0.25">
      <c r="A1937" s="2">
        <v>1453.0927570808699</v>
      </c>
      <c r="B1937" s="3">
        <v>0.42196654197872402</v>
      </c>
      <c r="C1937" s="5">
        <v>2.1577173678435401E-13</v>
      </c>
      <c r="D1937" s="6">
        <v>2.2969859245881202E-12</v>
      </c>
      <c r="E1937" s="3" t="s">
        <v>3900</v>
      </c>
      <c r="F1937" s="3" t="s">
        <v>3901</v>
      </c>
      <c r="G1937" s="3">
        <v>53414</v>
      </c>
      <c r="H1937" s="7" t="str">
        <f>HYPERLINK("http://www.ensembl.org/Mus_musculus/Gene/Summary?db=core;g=ENSMUSG00000023988","ENSMUSG00000023988")</f>
        <v>ENSMUSG00000023988</v>
      </c>
      <c r="I1937" s="7" t="str">
        <f>HYPERLINK("http://www.informatics.jax.org/marker/MGI:1858419","MGI:1858419")</f>
        <v>MGI:1858419</v>
      </c>
      <c r="J1937" s="4" t="s">
        <v>12</v>
      </c>
    </row>
    <row r="1938" spans="1:10" x14ac:dyDescent="0.25">
      <c r="A1938" s="2">
        <v>1.5599538801550601</v>
      </c>
      <c r="B1938" s="3">
        <v>0.42177278448766398</v>
      </c>
      <c r="C1938" s="3">
        <v>0.356618244629824</v>
      </c>
      <c r="D1938" s="4">
        <v>0.53422386227014096</v>
      </c>
      <c r="E1938" s="3" t="s">
        <v>12315</v>
      </c>
      <c r="F1938" s="3" t="s">
        <v>12316</v>
      </c>
      <c r="G1938" s="3">
        <v>20728</v>
      </c>
      <c r="H1938" s="7" t="str">
        <f>HYPERLINK("http://www.ensembl.org/Mus_musculus/Gene/Summary?db=core;g=ENSMUSG00000004359","ENSMUSG00000004359")</f>
        <v>ENSMUSG00000004359</v>
      </c>
      <c r="I1938" s="7" t="str">
        <f>HYPERLINK("http://www.informatics.jax.org/marker/MGI:1341168","MGI:1341168")</f>
        <v>MGI:1341168</v>
      </c>
      <c r="J1938" s="4" t="s">
        <v>12</v>
      </c>
    </row>
    <row r="1939" spans="1:10" x14ac:dyDescent="0.25">
      <c r="A1939" s="2">
        <v>76.886672638060404</v>
      </c>
      <c r="B1939" s="3">
        <v>0.42173940191028703</v>
      </c>
      <c r="C1939" s="3">
        <v>1.5877893081339199E-3</v>
      </c>
      <c r="D1939" s="4">
        <v>5.3767112859050004E-3</v>
      </c>
      <c r="E1939" s="3" t="s">
        <v>12913</v>
      </c>
      <c r="F1939" s="3" t="s">
        <v>12914</v>
      </c>
      <c r="G1939" s="3">
        <v>75284</v>
      </c>
      <c r="H1939" s="7" t="str">
        <f>HYPERLINK("http://www.ensembl.org/Mus_musculus/Gene/Summary?db=core;g=ENSMUSG00000037525","ENSMUSG00000037525")</f>
        <v>ENSMUSG00000037525</v>
      </c>
      <c r="I1939" s="7" t="str">
        <f>HYPERLINK("http://www.informatics.jax.org/marker/MGI:1922534","MGI:1922534")</f>
        <v>MGI:1922534</v>
      </c>
      <c r="J1939" s="4" t="s">
        <v>12</v>
      </c>
    </row>
    <row r="1940" spans="1:10" x14ac:dyDescent="0.25">
      <c r="A1940" s="2">
        <v>1176.6229760272699</v>
      </c>
      <c r="B1940" s="3">
        <v>0.42154883193577097</v>
      </c>
      <c r="C1940" s="5">
        <v>3.5467502407010499E-9</v>
      </c>
      <c r="D1940" s="6">
        <v>2.6064323845474501E-8</v>
      </c>
      <c r="E1940" s="3" t="s">
        <v>13813</v>
      </c>
      <c r="F1940" s="3" t="s">
        <v>13814</v>
      </c>
      <c r="G1940" s="3">
        <v>70385</v>
      </c>
      <c r="H1940" s="7" t="str">
        <f>HYPERLINK("http://www.ensembl.org/Mus_musculus/Gene/Summary?db=core;g=ENSMUSG00000069910","ENSMUSG00000069910")</f>
        <v>ENSMUSG00000069910</v>
      </c>
      <c r="I1940" s="7" t="str">
        <f>HYPERLINK("http://www.informatics.jax.org/marker/MGI:1917635","MGI:1917635")</f>
        <v>MGI:1917635</v>
      </c>
      <c r="J1940" s="4" t="s">
        <v>12</v>
      </c>
    </row>
    <row r="1941" spans="1:10" x14ac:dyDescent="0.25">
      <c r="A1941" s="2">
        <v>394.17842095889398</v>
      </c>
      <c r="B1941" s="3">
        <v>0.42084835447727298</v>
      </c>
      <c r="C1941" s="5">
        <v>8.1298378375731398E-7</v>
      </c>
      <c r="D1941" s="6">
        <v>4.5603661000237202E-6</v>
      </c>
      <c r="E1941" s="3" t="s">
        <v>9845</v>
      </c>
      <c r="F1941" s="3" t="s">
        <v>9846</v>
      </c>
      <c r="G1941" s="3">
        <v>74097</v>
      </c>
      <c r="H1941" s="7" t="str">
        <f>HYPERLINK("http://www.ensembl.org/Mus_musculus/Gene/Summary?db=core;g=ENSMUSG00000029715","ENSMUSG00000029715")</f>
        <v>ENSMUSG00000029715</v>
      </c>
      <c r="I1941" s="7" t="str">
        <f>HYPERLINK("http://www.informatics.jax.org/marker/MGI:1921347","MGI:1921347")</f>
        <v>MGI:1921347</v>
      </c>
      <c r="J1941" s="4" t="s">
        <v>12</v>
      </c>
    </row>
    <row r="1942" spans="1:10" x14ac:dyDescent="0.25">
      <c r="A1942" s="2">
        <v>2257.63778213671</v>
      </c>
      <c r="B1942" s="3">
        <v>0.420309077096438</v>
      </c>
      <c r="C1942" s="5">
        <v>6.4945891237769296E-9</v>
      </c>
      <c r="D1942" s="6">
        <v>4.6199799680263299E-8</v>
      </c>
      <c r="E1942" s="3" t="s">
        <v>4523</v>
      </c>
      <c r="F1942" s="3" t="s">
        <v>4524</v>
      </c>
      <c r="G1942" s="3">
        <v>224902</v>
      </c>
      <c r="H1942" s="7" t="str">
        <f>HYPERLINK("http://www.ensembl.org/Mus_musculus/Gene/Summary?db=core;g=ENSMUSG00000042625","ENSMUSG00000042625")</f>
        <v>ENSMUSG00000042625</v>
      </c>
      <c r="I1942" s="7" t="str">
        <f>HYPERLINK("http://www.informatics.jax.org/marker/MGI:2146808","MGI:2146808")</f>
        <v>MGI:2146808</v>
      </c>
      <c r="J1942" s="4" t="s">
        <v>12</v>
      </c>
    </row>
    <row r="1943" spans="1:10" x14ac:dyDescent="0.25">
      <c r="A1943" s="2">
        <v>701.28133988754405</v>
      </c>
      <c r="B1943" s="3">
        <v>0.42009939931080598</v>
      </c>
      <c r="C1943" s="5">
        <v>7.5451381950323899E-13</v>
      </c>
      <c r="D1943" s="6">
        <v>7.7296314561250908E-12</v>
      </c>
      <c r="E1943" s="3" t="s">
        <v>3444</v>
      </c>
      <c r="F1943" s="3" t="s">
        <v>3445</v>
      </c>
      <c r="G1943" s="3">
        <v>110599566</v>
      </c>
      <c r="H1943" s="7" t="str">
        <f>HYPERLINK("http://www.ensembl.org/Mus_musculus/Gene/Summary?db=core;g=ENSMUSG00000115219","ENSMUSG00000115219")</f>
        <v>ENSMUSG00000115219</v>
      </c>
      <c r="I1943" s="7" t="str">
        <f>HYPERLINK("http://www.informatics.jax.org/marker/MGI:5903914","MGI:5903914")</f>
        <v>MGI:5903914</v>
      </c>
      <c r="J1943" s="4" t="s">
        <v>12</v>
      </c>
    </row>
    <row r="1944" spans="1:10" x14ac:dyDescent="0.25">
      <c r="A1944" s="2">
        <v>479.46061238534497</v>
      </c>
      <c r="B1944" s="3">
        <v>0.41993486114652001</v>
      </c>
      <c r="C1944" s="5">
        <v>3.12528336066866E-10</v>
      </c>
      <c r="D1944" s="6">
        <v>2.5610741568429101E-9</v>
      </c>
      <c r="E1944" s="3" t="s">
        <v>11295</v>
      </c>
      <c r="F1944" s="3" t="s">
        <v>11296</v>
      </c>
      <c r="G1944" s="3">
        <v>72960</v>
      </c>
      <c r="H1944" s="7" t="str">
        <f>HYPERLINK("http://www.ensembl.org/Mus_musculus/Gene/Summary?db=core;g=ENSMUSG00000000934","ENSMUSG00000000934")</f>
        <v>ENSMUSG00000000934</v>
      </c>
      <c r="I1944" s="7" t="str">
        <f>HYPERLINK("http://www.informatics.jax.org/marker/MGI:1920210","MGI:1920210")</f>
        <v>MGI:1920210</v>
      </c>
      <c r="J1944" s="4" t="s">
        <v>12</v>
      </c>
    </row>
    <row r="1945" spans="1:10" x14ac:dyDescent="0.25">
      <c r="A1945" s="2">
        <v>562.93680872430502</v>
      </c>
      <c r="B1945" s="3">
        <v>0.41901598732291601</v>
      </c>
      <c r="C1945" s="5">
        <v>7.0858310821110202E-12</v>
      </c>
      <c r="D1945" s="6">
        <v>6.6635330996632304E-11</v>
      </c>
      <c r="E1945" s="3" t="s">
        <v>6707</v>
      </c>
      <c r="F1945" s="3" t="s">
        <v>6708</v>
      </c>
      <c r="G1945" s="3">
        <v>53621</v>
      </c>
      <c r="H1945" s="7" t="str">
        <f>HYPERLINK("http://www.ensembl.org/Mus_musculus/Gene/Summary?db=core;g=ENSMUSG00000038784","ENSMUSG00000038784")</f>
        <v>ENSMUSG00000038784</v>
      </c>
      <c r="I1945" s="7" t="str">
        <f>HYPERLINK("http://www.informatics.jax.org/marker/MGI:1859026","MGI:1859026")</f>
        <v>MGI:1859026</v>
      </c>
      <c r="J1945" s="4" t="s">
        <v>12</v>
      </c>
    </row>
    <row r="1946" spans="1:10" x14ac:dyDescent="0.25">
      <c r="A1946" s="2">
        <v>8014.3179052676296</v>
      </c>
      <c r="B1946" s="3">
        <v>0.41895377007392798</v>
      </c>
      <c r="C1946" s="5">
        <v>2.6987872622668699E-10</v>
      </c>
      <c r="D1946" s="6">
        <v>2.2265911206343899E-9</v>
      </c>
      <c r="E1946" s="3" t="s">
        <v>3104</v>
      </c>
      <c r="F1946" s="3" t="s">
        <v>3105</v>
      </c>
      <c r="G1946" s="3">
        <v>81910</v>
      </c>
      <c r="H1946" s="7" t="str">
        <f>HYPERLINK("http://www.ensembl.org/Mus_musculus/Gene/Summary?db=core;g=ENSMUSG00000027422","ENSMUSG00000027422")</f>
        <v>ENSMUSG00000027422</v>
      </c>
      <c r="I1946" s="7" t="str">
        <f>HYPERLINK("http://www.informatics.jax.org/marker/MGI:1932395","MGI:1932395")</f>
        <v>MGI:1932395</v>
      </c>
      <c r="J1946" s="4" t="s">
        <v>12</v>
      </c>
    </row>
    <row r="1947" spans="1:10" x14ac:dyDescent="0.25">
      <c r="A1947" s="2">
        <v>285.38907484899602</v>
      </c>
      <c r="B1947" s="3">
        <v>0.41886254266878098</v>
      </c>
      <c r="C1947" s="3">
        <v>1.73521091824957E-3</v>
      </c>
      <c r="D1947" s="4">
        <v>5.8218370738399097E-3</v>
      </c>
      <c r="E1947" s="3" t="s">
        <v>12871</v>
      </c>
      <c r="F1947" s="3" t="s">
        <v>12872</v>
      </c>
      <c r="G1947" s="3">
        <v>66251</v>
      </c>
      <c r="H1947" s="7" t="str">
        <f>HYPERLINK("http://www.ensembl.org/Mus_musculus/Gene/Summary?db=core;g=ENSMUSG00000054277","ENSMUSG00000054277")</f>
        <v>ENSMUSG00000054277</v>
      </c>
      <c r="I1947" s="7" t="str">
        <f>HYPERLINK("http://www.informatics.jax.org/marker/MGI:1913501","MGI:1913501")</f>
        <v>MGI:1913501</v>
      </c>
      <c r="J1947" s="4" t="s">
        <v>12</v>
      </c>
    </row>
    <row r="1948" spans="1:10" x14ac:dyDescent="0.25">
      <c r="A1948" s="2">
        <v>89.326531480968896</v>
      </c>
      <c r="B1948" s="3">
        <v>0.41882560981453199</v>
      </c>
      <c r="C1948" s="3">
        <v>5.9948757379377899E-4</v>
      </c>
      <c r="D1948" s="4">
        <v>2.2000928377752002E-3</v>
      </c>
      <c r="E1948" s="3" t="s">
        <v>10696</v>
      </c>
      <c r="F1948" s="3" t="s">
        <v>10697</v>
      </c>
      <c r="G1948" s="3" t="s">
        <v>83</v>
      </c>
      <c r="H1948" s="7" t="str">
        <f>HYPERLINK("http://www.ensembl.org/Mus_musculus/Gene/Summary?db=core;g=ENSMUSG00000048949","ENSMUSG00000048949")</f>
        <v>ENSMUSG00000048949</v>
      </c>
      <c r="I1948" s="7" t="str">
        <f>HYPERLINK("http://www.informatics.jax.org/marker/MGI:3644890","MGI:3644890")</f>
        <v>MGI:3644890</v>
      </c>
      <c r="J1948" s="4" t="s">
        <v>1043</v>
      </c>
    </row>
    <row r="1949" spans="1:10" x14ac:dyDescent="0.25">
      <c r="A1949" s="2">
        <v>307.22938908774398</v>
      </c>
      <c r="B1949" s="3">
        <v>0.41823937243581999</v>
      </c>
      <c r="C1949" s="5">
        <v>1.4334894907388499E-5</v>
      </c>
      <c r="D1949" s="6">
        <v>6.8444710423671995E-5</v>
      </c>
      <c r="E1949" s="3" t="s">
        <v>6774</v>
      </c>
      <c r="F1949" s="3" t="s">
        <v>6775</v>
      </c>
      <c r="G1949" s="3">
        <v>16890</v>
      </c>
      <c r="H1949" s="7" t="str">
        <f>HYPERLINK("http://www.ensembl.org/Mus_musculus/Gene/Summary?db=core;g=ENSMUSG00000003123","ENSMUSG00000003123")</f>
        <v>ENSMUSG00000003123</v>
      </c>
      <c r="I1949" s="7" t="str">
        <f>HYPERLINK("http://www.informatics.jax.org/marker/MGI:96790","MGI:96790")</f>
        <v>MGI:96790</v>
      </c>
      <c r="J1949" s="4" t="s">
        <v>12</v>
      </c>
    </row>
    <row r="1950" spans="1:10" x14ac:dyDescent="0.25">
      <c r="A1950" s="2">
        <v>640.24117330729996</v>
      </c>
      <c r="B1950" s="3">
        <v>0.41776434921071698</v>
      </c>
      <c r="C1950" s="5">
        <v>5.3468812613358698E-6</v>
      </c>
      <c r="D1950" s="6">
        <v>2.7227412961119299E-5</v>
      </c>
      <c r="E1950" s="3" t="s">
        <v>13123</v>
      </c>
      <c r="F1950" s="3" t="s">
        <v>13124</v>
      </c>
      <c r="G1950" s="3">
        <v>252903</v>
      </c>
      <c r="H1950" s="7" t="str">
        <f>HYPERLINK("http://www.ensembl.org/Mus_musculus/Gene/Summary?db=core;g=ENSMUSG00000054702","ENSMUSG00000054702")</f>
        <v>ENSMUSG00000054702</v>
      </c>
      <c r="I1950" s="7" t="str">
        <f>HYPERLINK("http://www.informatics.jax.org/marker/MGI:1891304","MGI:1891304")</f>
        <v>MGI:1891304</v>
      </c>
      <c r="J1950" s="4" t="s">
        <v>12</v>
      </c>
    </row>
    <row r="1951" spans="1:10" x14ac:dyDescent="0.25">
      <c r="A1951" s="2">
        <v>1955.1120171170401</v>
      </c>
      <c r="B1951" s="3">
        <v>0.41775919085685298</v>
      </c>
      <c r="C1951" s="5">
        <v>1.4783805091104901E-22</v>
      </c>
      <c r="D1951" s="6">
        <v>2.63893092835835E-21</v>
      </c>
      <c r="E1951" s="3" t="s">
        <v>2285</v>
      </c>
      <c r="F1951" s="3" t="s">
        <v>2286</v>
      </c>
      <c r="G1951" s="3">
        <v>17758</v>
      </c>
      <c r="H1951" s="7" t="str">
        <f>HYPERLINK("http://www.ensembl.org/Mus_musculus/Gene/Summary?db=core;g=ENSMUSG00000032479","ENSMUSG00000032479")</f>
        <v>ENSMUSG00000032479</v>
      </c>
      <c r="I1951" s="7" t="str">
        <f>HYPERLINK("http://www.informatics.jax.org/marker/MGI:97178","MGI:97178")</f>
        <v>MGI:97178</v>
      </c>
      <c r="J1951" s="4" t="s">
        <v>12</v>
      </c>
    </row>
    <row r="1952" spans="1:10" x14ac:dyDescent="0.25">
      <c r="A1952" s="2">
        <v>101.102179247111</v>
      </c>
      <c r="B1952" s="3">
        <v>0.41775484612812602</v>
      </c>
      <c r="C1952" s="3">
        <v>1.0847915477220299E-2</v>
      </c>
      <c r="D1952" s="4">
        <v>3.0151480794927701E-2</v>
      </c>
      <c r="E1952" s="3" t="s">
        <v>10714</v>
      </c>
      <c r="F1952" s="3" t="s">
        <v>10715</v>
      </c>
      <c r="G1952" s="3">
        <v>241308</v>
      </c>
      <c r="H1952" s="7" t="str">
        <f>HYPERLINK("http://www.ensembl.org/Mus_musculus/Gene/Summary?db=core;g=ENSMUSG00000038831","ENSMUSG00000038831")</f>
        <v>ENSMUSG00000038831</v>
      </c>
      <c r="I1952" s="7" t="str">
        <f>HYPERLINK("http://www.informatics.jax.org/marker/MGI:1922008","MGI:1922008")</f>
        <v>MGI:1922008</v>
      </c>
      <c r="J1952" s="4" t="s">
        <v>12</v>
      </c>
    </row>
    <row r="1953" spans="1:10" x14ac:dyDescent="0.25">
      <c r="A1953" s="2">
        <v>929.480039753558</v>
      </c>
      <c r="B1953" s="3">
        <v>0.41772998275405399</v>
      </c>
      <c r="C1953" s="5">
        <v>3.2634228164920898E-11</v>
      </c>
      <c r="D1953" s="6">
        <v>2.91262883597298E-10</v>
      </c>
      <c r="E1953" s="3" t="s">
        <v>3066</v>
      </c>
      <c r="F1953" s="3" t="s">
        <v>3067</v>
      </c>
      <c r="G1953" s="3">
        <v>67239</v>
      </c>
      <c r="H1953" s="7" t="str">
        <f>HYPERLINK("http://www.ensembl.org/Mus_musculus/Gene/Summary?db=core;g=ENSMUSG00000038510","ENSMUSG00000038510")</f>
        <v>ENSMUSG00000038510</v>
      </c>
      <c r="I1953" s="7" t="str">
        <f>HYPERLINK("http://www.informatics.jax.org/marker/MGI:1914489","MGI:1914489")</f>
        <v>MGI:1914489</v>
      </c>
      <c r="J1953" s="4" t="s">
        <v>12</v>
      </c>
    </row>
    <row r="1954" spans="1:10" x14ac:dyDescent="0.25">
      <c r="A1954" s="2">
        <v>837.37043655013395</v>
      </c>
      <c r="B1954" s="3">
        <v>0.41721739835638399</v>
      </c>
      <c r="C1954" s="5">
        <v>5.0174577512439002E-10</v>
      </c>
      <c r="D1954" s="6">
        <v>4.0230166087294399E-9</v>
      </c>
      <c r="E1954" s="3" t="s">
        <v>4971</v>
      </c>
      <c r="F1954" s="3" t="s">
        <v>4972</v>
      </c>
      <c r="G1954" s="3">
        <v>101489</v>
      </c>
      <c r="H1954" s="7" t="str">
        <f>HYPERLINK("http://www.ensembl.org/Mus_musculus/Gene/Summary?db=core;g=ENSMUSG00000025485","ENSMUSG00000025485")</f>
        <v>ENSMUSG00000025485</v>
      </c>
      <c r="I1954" s="7" t="str">
        <f>HYPERLINK("http://www.informatics.jax.org/marker/MGI:2141866","MGI:2141866")</f>
        <v>MGI:2141866</v>
      </c>
      <c r="J1954" s="4" t="s">
        <v>12</v>
      </c>
    </row>
    <row r="1955" spans="1:10" x14ac:dyDescent="0.25">
      <c r="A1955" s="2">
        <v>339.89215972265799</v>
      </c>
      <c r="B1955" s="3">
        <v>0.41682367203800202</v>
      </c>
      <c r="C1955" s="5">
        <v>2.1376720115769599E-7</v>
      </c>
      <c r="D1955" s="6">
        <v>1.2926035969140699E-6</v>
      </c>
      <c r="E1955" s="3" t="s">
        <v>9791</v>
      </c>
      <c r="F1955" s="3" t="s">
        <v>9792</v>
      </c>
      <c r="G1955" s="3">
        <v>23873</v>
      </c>
      <c r="H1955" s="7" t="str">
        <f>HYPERLINK("http://www.ensembl.org/Mus_musculus/Gene/Summary?db=core;g=ENSMUSG00000032463","ENSMUSG00000032463")</f>
        <v>ENSMUSG00000032463</v>
      </c>
      <c r="I1955" s="7" t="str">
        <f>HYPERLINK("http://www.informatics.jax.org/marker/MGI:1344387","MGI:1344387")</f>
        <v>MGI:1344387</v>
      </c>
      <c r="J1955" s="4" t="s">
        <v>12</v>
      </c>
    </row>
    <row r="1956" spans="1:10" x14ac:dyDescent="0.25">
      <c r="A1956" s="2">
        <v>2.19001738928509</v>
      </c>
      <c r="B1956" s="3">
        <v>0.416770937792525</v>
      </c>
      <c r="C1956" s="3">
        <v>0.376038000899166</v>
      </c>
      <c r="D1956" s="4">
        <v>0.55505730674554898</v>
      </c>
      <c r="E1956" s="3" t="s">
        <v>13063</v>
      </c>
      <c r="F1956" s="3" t="s">
        <v>13064</v>
      </c>
      <c r="G1956" s="3" t="s">
        <v>83</v>
      </c>
      <c r="H1956" s="7" t="str">
        <f>HYPERLINK("http://www.ensembl.org/Mus_musculus/Gene/Summary?db=core;g=ENSMUSG00000087593","ENSMUSG00000087593")</f>
        <v>ENSMUSG00000087593</v>
      </c>
      <c r="I1956" s="7" t="str">
        <f>HYPERLINK("http://www.informatics.jax.org/marker/MGI:3801857","MGI:3801857")</f>
        <v>MGI:3801857</v>
      </c>
      <c r="J1956" s="4" t="s">
        <v>932</v>
      </c>
    </row>
    <row r="1957" spans="1:10" x14ac:dyDescent="0.25">
      <c r="A1957" s="2">
        <v>214.67429138298601</v>
      </c>
      <c r="B1957" s="3">
        <v>0.41642776711696899</v>
      </c>
      <c r="C1957" s="3">
        <v>9.5147028302534995E-3</v>
      </c>
      <c r="D1957" s="4">
        <v>2.6818041924121599E-2</v>
      </c>
      <c r="E1957" s="3" t="s">
        <v>9041</v>
      </c>
      <c r="F1957" s="3" t="s">
        <v>9042</v>
      </c>
      <c r="G1957" s="3">
        <v>19294</v>
      </c>
      <c r="H1957" s="7" t="str">
        <f>HYPERLINK("http://www.ensembl.org/Mus_musculus/Gene/Summary?db=core;g=ENSMUSG00000062300","ENSMUSG00000062300")</f>
        <v>ENSMUSG00000062300</v>
      </c>
      <c r="I1957" s="7" t="str">
        <f>HYPERLINK("http://www.informatics.jax.org/marker/MGI:97822","MGI:97822")</f>
        <v>MGI:97822</v>
      </c>
      <c r="J1957" s="4" t="s">
        <v>12</v>
      </c>
    </row>
    <row r="1958" spans="1:10" x14ac:dyDescent="0.25">
      <c r="A1958" s="2">
        <v>3039.9677797985701</v>
      </c>
      <c r="B1958" s="3">
        <v>0.41619119772729202</v>
      </c>
      <c r="C1958" s="5">
        <v>2.5555596358507998E-13</v>
      </c>
      <c r="D1958" s="6">
        <v>2.7031383844097999E-12</v>
      </c>
      <c r="E1958" s="3" t="s">
        <v>3218</v>
      </c>
      <c r="F1958" s="3" t="s">
        <v>3219</v>
      </c>
      <c r="G1958" s="3">
        <v>16573</v>
      </c>
      <c r="H1958" s="7" t="str">
        <f>HYPERLINK("http://www.ensembl.org/Mus_musculus/Gene/Summary?db=core;g=ENSMUSG00000006740","ENSMUSG00000006740")</f>
        <v>ENSMUSG00000006740</v>
      </c>
      <c r="I1958" s="7" t="str">
        <f>HYPERLINK("http://www.informatics.jax.org/marker/MGI:1098268","MGI:1098268")</f>
        <v>MGI:1098268</v>
      </c>
      <c r="J1958" s="4" t="s">
        <v>12</v>
      </c>
    </row>
    <row r="1959" spans="1:10" x14ac:dyDescent="0.25">
      <c r="A1959" s="2">
        <v>5279.9316267839704</v>
      </c>
      <c r="B1959" s="3">
        <v>0.415884401628556</v>
      </c>
      <c r="C1959" s="5">
        <v>3.9577310205300703E-9</v>
      </c>
      <c r="D1959" s="6">
        <v>2.8921270188115699E-8</v>
      </c>
      <c r="E1959" s="3" t="s">
        <v>5947</v>
      </c>
      <c r="F1959" s="3" t="s">
        <v>5948</v>
      </c>
      <c r="G1959" s="3">
        <v>317750</v>
      </c>
      <c r="H1959" s="7" t="str">
        <f>HYPERLINK("http://www.ensembl.org/Mus_musculus/Gene/Summary?db=core;g=ENSMUSG00000035183","ENSMUSG00000035183")</f>
        <v>ENSMUSG00000035183</v>
      </c>
      <c r="I1959" s="7" t="str">
        <f>HYPERLINK("http://www.informatics.jax.org/marker/MGI:2677271","MGI:2677271")</f>
        <v>MGI:2677271</v>
      </c>
      <c r="J1959" s="4" t="s">
        <v>12</v>
      </c>
    </row>
    <row r="1960" spans="1:10" x14ac:dyDescent="0.25">
      <c r="A1960" s="2">
        <v>2357.1030398901298</v>
      </c>
      <c r="B1960" s="3">
        <v>0.41559619446023599</v>
      </c>
      <c r="C1960" s="5">
        <v>8.56367010603577E-14</v>
      </c>
      <c r="D1960" s="6">
        <v>9.3280186335259409E-13</v>
      </c>
      <c r="E1960" s="3" t="s">
        <v>2097</v>
      </c>
      <c r="F1960" s="3" t="s">
        <v>2098</v>
      </c>
      <c r="G1960" s="3">
        <v>13427</v>
      </c>
      <c r="H1960" s="7" t="str">
        <f>HYPERLINK("http://www.ensembl.org/Mus_musculus/Gene/Summary?db=core;g=ENSMUSG00000027012","ENSMUSG00000027012")</f>
        <v>ENSMUSG00000027012</v>
      </c>
      <c r="I1960" s="7" t="str">
        <f>HYPERLINK("http://www.informatics.jax.org/marker/MGI:107750","MGI:107750")</f>
        <v>MGI:107750</v>
      </c>
      <c r="J1960" s="4" t="s">
        <v>12</v>
      </c>
    </row>
    <row r="1961" spans="1:10" x14ac:dyDescent="0.25">
      <c r="A1961" s="2">
        <v>1321.58793719458</v>
      </c>
      <c r="B1961" s="3">
        <v>0.41554158470804098</v>
      </c>
      <c r="C1961" s="5">
        <v>6.3932763106003601E-8</v>
      </c>
      <c r="D1961" s="6">
        <v>4.0768880602061501E-7</v>
      </c>
      <c r="E1961" s="3" t="s">
        <v>2838</v>
      </c>
      <c r="F1961" s="3" t="s">
        <v>2839</v>
      </c>
      <c r="G1961" s="3">
        <v>18708</v>
      </c>
      <c r="H1961" s="7" t="str">
        <f>HYPERLINK("http://www.ensembl.org/Mus_musculus/Gene/Summary?db=core;g=ENSMUSG00000041417","ENSMUSG00000041417")</f>
        <v>ENSMUSG00000041417</v>
      </c>
      <c r="I1961" s="7" t="str">
        <f>HYPERLINK("http://www.informatics.jax.org/marker/MGI:97583","MGI:97583")</f>
        <v>MGI:97583</v>
      </c>
      <c r="J1961" s="4" t="s">
        <v>12</v>
      </c>
    </row>
    <row r="1962" spans="1:10" x14ac:dyDescent="0.25">
      <c r="A1962" s="2">
        <v>2421.8470914042</v>
      </c>
      <c r="B1962" s="3">
        <v>0.415267964099719</v>
      </c>
      <c r="C1962" s="5">
        <v>3.76195801062227E-23</v>
      </c>
      <c r="D1962" s="6">
        <v>6.89755379714193E-22</v>
      </c>
      <c r="E1962" s="3" t="s">
        <v>3368</v>
      </c>
      <c r="F1962" s="3" t="s">
        <v>3369</v>
      </c>
      <c r="G1962" s="3">
        <v>52915</v>
      </c>
      <c r="H1962" s="7" t="str">
        <f>HYPERLINK("http://www.ensembl.org/Mus_musculus/Gene/Summary?db=core;g=ENSMUSG00000041164","ENSMUSG00000041164")</f>
        <v>ENSMUSG00000041164</v>
      </c>
      <c r="I1962" s="7" t="str">
        <f>HYPERLINK("http://www.informatics.jax.org/marker/MGI:106374","MGI:106374")</f>
        <v>MGI:106374</v>
      </c>
      <c r="J1962" s="4" t="s">
        <v>12</v>
      </c>
    </row>
    <row r="1963" spans="1:10" x14ac:dyDescent="0.25">
      <c r="A1963" s="2">
        <v>9135.1122311676008</v>
      </c>
      <c r="B1963" s="3">
        <v>0.41508972943183903</v>
      </c>
      <c r="C1963" s="3">
        <v>1.03165297302718E-3</v>
      </c>
      <c r="D1963" s="4">
        <v>3.6213165318606201E-3</v>
      </c>
      <c r="E1963" s="3" t="s">
        <v>13619</v>
      </c>
      <c r="F1963" s="3" t="s">
        <v>13620</v>
      </c>
      <c r="G1963" s="3">
        <v>16854</v>
      </c>
      <c r="H1963" s="7" t="str">
        <f>HYPERLINK("http://www.ensembl.org/Mus_musculus/Gene/Summary?db=core;g=ENSMUSG00000050335","ENSMUSG00000050335")</f>
        <v>ENSMUSG00000050335</v>
      </c>
      <c r="I1963" s="7" t="str">
        <f>HYPERLINK("http://www.informatics.jax.org/marker/MGI:96778","MGI:96778")</f>
        <v>MGI:96778</v>
      </c>
      <c r="J1963" s="4" t="s">
        <v>12</v>
      </c>
    </row>
    <row r="1964" spans="1:10" x14ac:dyDescent="0.25">
      <c r="A1964" s="2">
        <v>777.70792411111597</v>
      </c>
      <c r="B1964" s="3">
        <v>0.414998818563664</v>
      </c>
      <c r="C1964" s="5">
        <v>2.5902599586926902E-9</v>
      </c>
      <c r="D1964" s="6">
        <v>1.9244797287881901E-8</v>
      </c>
      <c r="E1964" s="3" t="s">
        <v>5177</v>
      </c>
      <c r="F1964" s="3" t="s">
        <v>5178</v>
      </c>
      <c r="G1964" s="3">
        <v>13418</v>
      </c>
      <c r="H1964" s="7" t="str">
        <f>HYPERLINK("http://www.ensembl.org/Mus_musculus/Gene/Summary?db=core;g=ENSMUSG00000026740","ENSMUSG00000026740")</f>
        <v>ENSMUSG00000026740</v>
      </c>
      <c r="I1964" s="7" t="str">
        <f>HYPERLINK("http://www.informatics.jax.org/marker/MGI:103268","MGI:103268")</f>
        <v>MGI:103268</v>
      </c>
      <c r="J1964" s="4" t="s">
        <v>12</v>
      </c>
    </row>
    <row r="1965" spans="1:10" x14ac:dyDescent="0.25">
      <c r="A1965" s="2">
        <v>441.02015629241703</v>
      </c>
      <c r="B1965" s="3">
        <v>0.41479283537459799</v>
      </c>
      <c r="C1965" s="5">
        <v>3.16809162465851E-6</v>
      </c>
      <c r="D1965" s="6">
        <v>1.6572465516475699E-5</v>
      </c>
      <c r="E1965" s="3" t="s">
        <v>7788</v>
      </c>
      <c r="F1965" s="3" t="s">
        <v>7789</v>
      </c>
      <c r="G1965" s="3">
        <v>68212</v>
      </c>
      <c r="H1965" s="7" t="str">
        <f>HYPERLINK("http://www.ensembl.org/Mus_musculus/Gene/Summary?db=core;g=ENSMUSG00000020225","ENSMUSG00000020225")</f>
        <v>ENSMUSG00000020225</v>
      </c>
      <c r="I1965" s="7" t="str">
        <f>HYPERLINK("http://www.informatics.jax.org/marker/MGI:1915462","MGI:1915462")</f>
        <v>MGI:1915462</v>
      </c>
      <c r="J1965" s="4" t="s">
        <v>12</v>
      </c>
    </row>
    <row r="1966" spans="1:10" x14ac:dyDescent="0.25">
      <c r="A1966" s="2">
        <v>138.28928124480601</v>
      </c>
      <c r="B1966" s="3">
        <v>0.41424052416582702</v>
      </c>
      <c r="C1966" s="3">
        <v>3.4417038409445099E-4</v>
      </c>
      <c r="D1966" s="4">
        <v>1.3105944943839101E-3</v>
      </c>
      <c r="E1966" s="3" t="s">
        <v>13983</v>
      </c>
      <c r="F1966" s="3" t="s">
        <v>13984</v>
      </c>
      <c r="G1966" s="3">
        <v>108138</v>
      </c>
      <c r="H1966" s="7" t="str">
        <f>HYPERLINK("http://www.ensembl.org/Mus_musculus/Gene/Summary?db=core;g=ENSMUSG00000021615","ENSMUSG00000021615")</f>
        <v>ENSMUSG00000021615</v>
      </c>
      <c r="I1966" s="7" t="str">
        <f>HYPERLINK("http://www.informatics.jax.org/marker/MGI:1333799","MGI:1333799")</f>
        <v>MGI:1333799</v>
      </c>
      <c r="J1966" s="4" t="s">
        <v>12</v>
      </c>
    </row>
    <row r="1967" spans="1:10" x14ac:dyDescent="0.25">
      <c r="A1967" s="2">
        <v>12.165214861598599</v>
      </c>
      <c r="B1967" s="3">
        <v>0.414102821869963</v>
      </c>
      <c r="C1967" s="3">
        <v>0.207281763889859</v>
      </c>
      <c r="D1967" s="4">
        <v>0.36098520276088802</v>
      </c>
      <c r="E1967" s="3" t="s">
        <v>11467</v>
      </c>
      <c r="F1967" s="3" t="s">
        <v>11468</v>
      </c>
      <c r="G1967" s="3" t="s">
        <v>83</v>
      </c>
      <c r="H1967" s="7" t="str">
        <f>HYPERLINK("http://www.ensembl.org/Mus_musculus/Gene/Summary?db=core;g=ENSMUSG00000084968","ENSMUSG00000084968")</f>
        <v>ENSMUSG00000084968</v>
      </c>
      <c r="I1967" s="7" t="str">
        <f>HYPERLINK("http://www.informatics.jax.org/marker/MGI:3651449","MGI:3651449")</f>
        <v>MGI:3651449</v>
      </c>
      <c r="J1967" s="4" t="s">
        <v>331</v>
      </c>
    </row>
    <row r="1968" spans="1:10" x14ac:dyDescent="0.25">
      <c r="A1968" s="2">
        <v>1812.4230145696299</v>
      </c>
      <c r="B1968" s="3">
        <v>0.41372991742125398</v>
      </c>
      <c r="C1968" s="5">
        <v>1.8983460727603702E-12</v>
      </c>
      <c r="D1968" s="6">
        <v>1.87723044905359E-11</v>
      </c>
      <c r="E1968" s="3" t="s">
        <v>3232</v>
      </c>
      <c r="F1968" s="3" t="s">
        <v>3233</v>
      </c>
      <c r="G1968" s="3">
        <v>14270</v>
      </c>
      <c r="H1968" s="7" t="str">
        <f>HYPERLINK("http://www.ensembl.org/Mus_musculus/Gene/Summary?db=core;g=ENSMUSG00000026425","ENSMUSG00000026425")</f>
        <v>ENSMUSG00000026425</v>
      </c>
      <c r="I1968" s="7" t="str">
        <f>HYPERLINK("http://www.informatics.jax.org/marker/MGI:109605","MGI:109605")</f>
        <v>MGI:109605</v>
      </c>
      <c r="J1968" s="4" t="s">
        <v>12</v>
      </c>
    </row>
    <row r="1969" spans="1:10" x14ac:dyDescent="0.25">
      <c r="A1969" s="2">
        <v>2215.2439836634699</v>
      </c>
      <c r="B1969" s="3">
        <v>0.412479763823421</v>
      </c>
      <c r="C1969" s="5">
        <v>7.9163163959212899E-20</v>
      </c>
      <c r="D1969" s="6">
        <v>1.22578476054091E-18</v>
      </c>
      <c r="E1969" s="3" t="s">
        <v>1891</v>
      </c>
      <c r="F1969" s="3" t="s">
        <v>1892</v>
      </c>
      <c r="G1969" s="3">
        <v>11774</v>
      </c>
      <c r="H1969" s="7" t="str">
        <f>HYPERLINK("http://www.ensembl.org/Mus_musculus/Gene/Summary?db=core;g=ENSMUSG00000021686","ENSMUSG00000021686")</f>
        <v>ENSMUSG00000021686</v>
      </c>
      <c r="I1969" s="7" t="str">
        <f>HYPERLINK("http://www.informatics.jax.org/marker/MGI:1333879","MGI:1333879")</f>
        <v>MGI:1333879</v>
      </c>
      <c r="J1969" s="4" t="s">
        <v>12</v>
      </c>
    </row>
    <row r="1970" spans="1:10" x14ac:dyDescent="0.25">
      <c r="A1970" s="2">
        <v>249.31227934326401</v>
      </c>
      <c r="B1970" s="3">
        <v>0.41219401063153899</v>
      </c>
      <c r="C1970" s="5">
        <v>1.4855871792585299E-6</v>
      </c>
      <c r="D1970" s="6">
        <v>8.1110923732734107E-6</v>
      </c>
      <c r="E1970" s="3" t="s">
        <v>8217</v>
      </c>
      <c r="F1970" s="3" t="s">
        <v>8218</v>
      </c>
      <c r="G1970" s="3">
        <v>76355</v>
      </c>
      <c r="H1970" s="7" t="str">
        <f>HYPERLINK("http://www.ensembl.org/Mus_musculus/Gene/Summary?db=core;g=ENSMUSG00000022130","ENSMUSG00000022130")</f>
        <v>ENSMUSG00000022130</v>
      </c>
      <c r="I1970" s="7" t="str">
        <f>HYPERLINK("http://www.informatics.jax.org/marker/MGI:1923605","MGI:1923605")</f>
        <v>MGI:1923605</v>
      </c>
      <c r="J1970" s="4" t="s">
        <v>12</v>
      </c>
    </row>
    <row r="1971" spans="1:10" x14ac:dyDescent="0.25">
      <c r="A1971" s="2">
        <v>1107.87520230837</v>
      </c>
      <c r="B1971" s="3">
        <v>0.41193961469381901</v>
      </c>
      <c r="C1971" s="5">
        <v>1.0333228474474099E-10</v>
      </c>
      <c r="D1971" s="6">
        <v>8.8054617765137003E-10</v>
      </c>
      <c r="E1971" s="3" t="s">
        <v>4113</v>
      </c>
      <c r="F1971" s="3" t="s">
        <v>4114</v>
      </c>
      <c r="G1971" s="3">
        <v>17423</v>
      </c>
      <c r="H1971" s="7" t="str">
        <f>HYPERLINK("http://www.ensembl.org/Mus_musculus/Gene/Summary?db=core;g=ENSMUSG00000039308","ENSMUSG00000039308")</f>
        <v>ENSMUSG00000039308</v>
      </c>
      <c r="I1971" s="7" t="str">
        <f>HYPERLINK("http://www.informatics.jax.org/marker/MGI:97040","MGI:97040")</f>
        <v>MGI:97040</v>
      </c>
      <c r="J1971" s="4" t="s">
        <v>12</v>
      </c>
    </row>
    <row r="1972" spans="1:10" x14ac:dyDescent="0.25">
      <c r="A1972" s="2">
        <v>1309.10930519932</v>
      </c>
      <c r="B1972" s="3">
        <v>0.41083440896974099</v>
      </c>
      <c r="C1972" s="5">
        <v>8.7605247561490896E-11</v>
      </c>
      <c r="D1972" s="6">
        <v>7.5240604939122099E-10</v>
      </c>
      <c r="E1972" s="3" t="s">
        <v>6966</v>
      </c>
      <c r="F1972" s="3" t="s">
        <v>6967</v>
      </c>
      <c r="G1972" s="3">
        <v>216825</v>
      </c>
      <c r="H1972" s="7" t="str">
        <f>HYPERLINK("http://www.ensembl.org/Mus_musculus/Gene/Summary?db=core;g=ENSMUSG00000042506","ENSMUSG00000042506")</f>
        <v>ENSMUSG00000042506</v>
      </c>
      <c r="I1972" s="7" t="str">
        <f>HYPERLINK("http://www.informatics.jax.org/marker/MGI:2144157","MGI:2144157")</f>
        <v>MGI:2144157</v>
      </c>
      <c r="J1972" s="4" t="s">
        <v>12</v>
      </c>
    </row>
    <row r="1973" spans="1:10" x14ac:dyDescent="0.25">
      <c r="A1973" s="2">
        <v>731.84954212008995</v>
      </c>
      <c r="B1973" s="3">
        <v>0.410782641986561</v>
      </c>
      <c r="C1973" s="5">
        <v>1.5941323582015301E-8</v>
      </c>
      <c r="D1973" s="6">
        <v>1.0860957842326299E-7</v>
      </c>
      <c r="E1973" s="3" t="s">
        <v>9563</v>
      </c>
      <c r="F1973" s="3" t="s">
        <v>9564</v>
      </c>
      <c r="G1973" s="3">
        <v>66367</v>
      </c>
      <c r="H1973" s="7" t="str">
        <f>HYPERLINK("http://www.ensembl.org/Mus_musculus/Gene/Summary?db=core;g=ENSMUSG00000049643","ENSMUSG00000049643")</f>
        <v>ENSMUSG00000049643</v>
      </c>
      <c r="I1973" s="7" t="str">
        <f>HYPERLINK("http://www.informatics.jax.org/marker/MGI:1913617","MGI:1913617")</f>
        <v>MGI:1913617</v>
      </c>
      <c r="J1973" s="4" t="s">
        <v>12</v>
      </c>
    </row>
    <row r="1974" spans="1:10" x14ac:dyDescent="0.25">
      <c r="A1974" s="2">
        <v>276.63901360900701</v>
      </c>
      <c r="B1974" s="3">
        <v>0.41005833642002498</v>
      </c>
      <c r="C1974" s="5">
        <v>2.54842211688844E-5</v>
      </c>
      <c r="D1974" s="4">
        <v>1.17196550795589E-4</v>
      </c>
      <c r="E1974" s="3" t="s">
        <v>10850</v>
      </c>
      <c r="F1974" s="3" t="s">
        <v>10851</v>
      </c>
      <c r="G1974" s="3">
        <v>71804</v>
      </c>
      <c r="H1974" s="7" t="str">
        <f>HYPERLINK("http://www.ensembl.org/Mus_musculus/Gene/Summary?db=core;g=ENSMUSG00000019992","ENSMUSG00000019992")</f>
        <v>ENSMUSG00000019992</v>
      </c>
      <c r="I1974" s="7" t="str">
        <f>HYPERLINK("http://www.informatics.jax.org/marker/MGI:1919054","MGI:1919054")</f>
        <v>MGI:1919054</v>
      </c>
      <c r="J1974" s="4" t="s">
        <v>12</v>
      </c>
    </row>
    <row r="1975" spans="1:10" x14ac:dyDescent="0.25">
      <c r="A1975" s="2">
        <v>55.751800669460799</v>
      </c>
      <c r="B1975" s="3">
        <v>0.409131428708988</v>
      </c>
      <c r="C1975" s="3">
        <v>2.68012154937004E-2</v>
      </c>
      <c r="D1975" s="4">
        <v>6.6646493706193202E-2</v>
      </c>
      <c r="E1975" s="3" t="s">
        <v>13627</v>
      </c>
      <c r="F1975" s="3" t="s">
        <v>13628</v>
      </c>
      <c r="G1975" s="3">
        <v>108899</v>
      </c>
      <c r="H1975" s="7" t="str">
        <f>HYPERLINK("http://www.ensembl.org/Mus_musculus/Gene/Summary?db=core;g=ENSMUSG00000053080","ENSMUSG00000053080")</f>
        <v>ENSMUSG00000053080</v>
      </c>
      <c r="I1975" s="7" t="str">
        <f>HYPERLINK("http://www.informatics.jax.org/marker/MGI:1919667","MGI:1919667")</f>
        <v>MGI:1919667</v>
      </c>
      <c r="J1975" s="4" t="s">
        <v>12</v>
      </c>
    </row>
    <row r="1976" spans="1:10" x14ac:dyDescent="0.25">
      <c r="A1976" s="2">
        <v>4322.80097517585</v>
      </c>
      <c r="B1976" s="3">
        <v>0.409098017394108</v>
      </c>
      <c r="C1976" s="5">
        <v>1.55291371790338E-15</v>
      </c>
      <c r="D1976" s="6">
        <v>1.8855331451558399E-14</v>
      </c>
      <c r="E1976" s="3" t="s">
        <v>5499</v>
      </c>
      <c r="F1976" s="3" t="s">
        <v>5500</v>
      </c>
      <c r="G1976" s="3">
        <v>319939</v>
      </c>
      <c r="H1976" s="7" t="str">
        <f>HYPERLINK("http://www.ensembl.org/Mus_musculus/Gene/Summary?db=core;g=ENSMUSG00000020422","ENSMUSG00000020422")</f>
        <v>ENSMUSG00000020422</v>
      </c>
      <c r="I1976" s="7" t="str">
        <f>HYPERLINK("http://www.informatics.jax.org/marker/MGI:2443012","MGI:2443012")</f>
        <v>MGI:2443012</v>
      </c>
      <c r="J1976" s="4" t="s">
        <v>12</v>
      </c>
    </row>
    <row r="1977" spans="1:10" x14ac:dyDescent="0.25">
      <c r="A1977" s="2">
        <v>1156.6023641024501</v>
      </c>
      <c r="B1977" s="3">
        <v>0.40872154218365397</v>
      </c>
      <c r="C1977" s="5">
        <v>1.6415018325352201E-18</v>
      </c>
      <c r="D1977" s="6">
        <v>2.37808989649876E-17</v>
      </c>
      <c r="E1977" s="3" t="s">
        <v>2906</v>
      </c>
      <c r="F1977" s="3" t="s">
        <v>2907</v>
      </c>
      <c r="G1977" s="3">
        <v>74287</v>
      </c>
      <c r="H1977" s="7" t="str">
        <f>HYPERLINK("http://www.ensembl.org/Mus_musculus/Gene/Summary?db=core;g=ENSMUSG00000055239","ENSMUSG00000055239")</f>
        <v>ENSMUSG00000055239</v>
      </c>
      <c r="I1977" s="7" t="str">
        <f>HYPERLINK("http://www.informatics.jax.org/marker/MGI:1921537","MGI:1921537")</f>
        <v>MGI:1921537</v>
      </c>
      <c r="J1977" s="4" t="s">
        <v>12</v>
      </c>
    </row>
    <row r="1978" spans="1:10" x14ac:dyDescent="0.25">
      <c r="A1978" s="2">
        <v>48.273598030062999</v>
      </c>
      <c r="B1978" s="3">
        <v>0.40859720685066903</v>
      </c>
      <c r="C1978" s="3">
        <v>2.1879276512314201E-2</v>
      </c>
      <c r="D1978" s="4">
        <v>5.5769204816353203E-2</v>
      </c>
      <c r="E1978" s="3" t="s">
        <v>11052</v>
      </c>
      <c r="F1978" s="3" t="s">
        <v>11053</v>
      </c>
      <c r="G1978" s="3" t="s">
        <v>83</v>
      </c>
      <c r="H1978" s="7" t="str">
        <f>HYPERLINK("http://www.ensembl.org/Mus_musculus/Gene/Summary?db=core;g=ENSMUSG00000050900","ENSMUSG00000050900")</f>
        <v>ENSMUSG00000050900</v>
      </c>
      <c r="I1978" s="7" t="str">
        <f>HYPERLINK("http://www.informatics.jax.org/marker/MGI:3646274","MGI:3646274")</f>
        <v>MGI:3646274</v>
      </c>
      <c r="J1978" s="4" t="s">
        <v>1043</v>
      </c>
    </row>
    <row r="1979" spans="1:10" x14ac:dyDescent="0.25">
      <c r="A1979" s="2">
        <v>732.05148585062602</v>
      </c>
      <c r="B1979" s="3">
        <v>0.408306419890964</v>
      </c>
      <c r="C1979" s="5">
        <v>1.8127794956944799E-8</v>
      </c>
      <c r="D1979" s="6">
        <v>1.2281749557260899E-7</v>
      </c>
      <c r="E1979" s="3" t="s">
        <v>3230</v>
      </c>
      <c r="F1979" s="3" t="s">
        <v>3231</v>
      </c>
      <c r="G1979" s="3">
        <v>67179</v>
      </c>
      <c r="H1979" s="7" t="str">
        <f>HYPERLINK("http://www.ensembl.org/Mus_musculus/Gene/Summary?db=core;g=ENSMUSG00000022035","ENSMUSG00000022035")</f>
        <v>ENSMUSG00000022035</v>
      </c>
      <c r="I1979" s="7" t="str">
        <f>HYPERLINK("http://www.informatics.jax.org/marker/MGI:1914429","MGI:1914429")</f>
        <v>MGI:1914429</v>
      </c>
      <c r="J1979" s="4" t="s">
        <v>12</v>
      </c>
    </row>
    <row r="1980" spans="1:10" x14ac:dyDescent="0.25">
      <c r="A1980" s="2">
        <v>466.22878626915201</v>
      </c>
      <c r="B1980" s="3">
        <v>0.40816361996988398</v>
      </c>
      <c r="C1980" s="5">
        <v>6.5362314601761595E-5</v>
      </c>
      <c r="D1980" s="4">
        <v>2.8101632074005797E-4</v>
      </c>
      <c r="E1980" s="3" t="s">
        <v>11127</v>
      </c>
      <c r="F1980" s="3" t="s">
        <v>11128</v>
      </c>
      <c r="G1980" s="3">
        <v>53357</v>
      </c>
      <c r="H1980" s="7" t="str">
        <f>HYPERLINK("http://www.ensembl.org/Mus_musculus/Gene/Summary?db=core;g=ENSMUSG00000042632","ENSMUSG00000042632")</f>
        <v>ENSMUSG00000042632</v>
      </c>
      <c r="I1980" s="7" t="str">
        <f>HYPERLINK("http://www.informatics.jax.org/marker/MGI:1859152","MGI:1859152")</f>
        <v>MGI:1859152</v>
      </c>
      <c r="J1980" s="4" t="s">
        <v>12</v>
      </c>
    </row>
    <row r="1981" spans="1:10" x14ac:dyDescent="0.25">
      <c r="A1981" s="2">
        <v>384.991986554405</v>
      </c>
      <c r="B1981" s="3">
        <v>0.40813875356707802</v>
      </c>
      <c r="C1981" s="5">
        <v>8.0032193362431202E-6</v>
      </c>
      <c r="D1981" s="6">
        <v>3.9711046121162797E-5</v>
      </c>
      <c r="E1981" s="3" t="s">
        <v>3750</v>
      </c>
      <c r="F1981" s="3" t="s">
        <v>3751</v>
      </c>
      <c r="G1981" s="3">
        <v>320376</v>
      </c>
      <c r="H1981" s="7" t="str">
        <f>HYPERLINK("http://www.ensembl.org/Mus_musculus/Gene/Summary?db=core;g=ENSMUSG00000036959","ENSMUSG00000036959")</f>
        <v>ENSMUSG00000036959</v>
      </c>
      <c r="I1981" s="7" t="str">
        <f>HYPERLINK("http://www.informatics.jax.org/marker/MGI:2443910","MGI:2443910")</f>
        <v>MGI:2443910</v>
      </c>
      <c r="J1981" s="4" t="s">
        <v>12</v>
      </c>
    </row>
    <row r="1982" spans="1:10" x14ac:dyDescent="0.25">
      <c r="A1982" s="2">
        <v>2302.5384880070901</v>
      </c>
      <c r="B1982" s="3">
        <v>0.407777996039621</v>
      </c>
      <c r="C1982" s="5">
        <v>1.0086320530252199E-12</v>
      </c>
      <c r="D1982" s="6">
        <v>1.0201065020191199E-11</v>
      </c>
      <c r="E1982" s="3" t="s">
        <v>2579</v>
      </c>
      <c r="F1982" s="3" t="s">
        <v>2580</v>
      </c>
      <c r="G1982" s="3">
        <v>20773</v>
      </c>
      <c r="H1982" s="7" t="str">
        <f>HYPERLINK("http://www.ensembl.org/Mus_musculus/Gene/Summary?db=core;g=ENSMUSG00000021036","ENSMUSG00000021036")</f>
        <v>ENSMUSG00000021036</v>
      </c>
      <c r="I1982" s="7" t="str">
        <f>HYPERLINK("http://www.informatics.jax.org/marker/MGI:108074","MGI:108074")</f>
        <v>MGI:108074</v>
      </c>
      <c r="J1982" s="4" t="s">
        <v>12</v>
      </c>
    </row>
    <row r="1983" spans="1:10" x14ac:dyDescent="0.25">
      <c r="A1983" s="2">
        <v>597.790056984834</v>
      </c>
      <c r="B1983" s="3">
        <v>0.40761963218908998</v>
      </c>
      <c r="C1983" s="5">
        <v>6.4857106523605101E-9</v>
      </c>
      <c r="D1983" s="6">
        <v>4.61546570243149E-8</v>
      </c>
      <c r="E1983" s="3" t="s">
        <v>9897</v>
      </c>
      <c r="F1983" s="3" t="s">
        <v>9898</v>
      </c>
      <c r="G1983" s="3">
        <v>72843</v>
      </c>
      <c r="H1983" s="7" t="str">
        <f>HYPERLINK("http://www.ensembl.org/Mus_musculus/Gene/Summary?db=core;g=ENSMUSG00000035529","ENSMUSG00000035529")</f>
        <v>ENSMUSG00000035529</v>
      </c>
      <c r="I1983" s="7" t="str">
        <f>HYPERLINK("http://www.informatics.jax.org/marker/MGI:1920093","MGI:1920093")</f>
        <v>MGI:1920093</v>
      </c>
      <c r="J1983" s="4" t="s">
        <v>12</v>
      </c>
    </row>
    <row r="1984" spans="1:10" x14ac:dyDescent="0.25">
      <c r="A1984" s="2">
        <v>173.76982693158899</v>
      </c>
      <c r="B1984" s="3">
        <v>0.40687814040628401</v>
      </c>
      <c r="C1984" s="3">
        <v>1.5471437068056699E-4</v>
      </c>
      <c r="D1984" s="4">
        <v>6.2589775930151602E-4</v>
      </c>
      <c r="E1984" s="3" t="s">
        <v>10878</v>
      </c>
      <c r="F1984" s="3" t="s">
        <v>10879</v>
      </c>
      <c r="G1984" s="3">
        <v>56306</v>
      </c>
      <c r="H1984" s="7" t="str">
        <f>HYPERLINK("http://www.ensembl.org/Mus_musculus/Gene/Summary?db=core;g=ENSMUSG00000039985","ENSMUSG00000039985")</f>
        <v>ENSMUSG00000039985</v>
      </c>
      <c r="I1984" s="7" t="str">
        <f>HYPERLINK("http://www.informatics.jax.org/marker/MGI:1929091","MGI:1929091")</f>
        <v>MGI:1929091</v>
      </c>
      <c r="J1984" s="4" t="s">
        <v>12</v>
      </c>
    </row>
    <row r="1985" spans="1:10" x14ac:dyDescent="0.25">
      <c r="A1985" s="2">
        <v>1728.39964266162</v>
      </c>
      <c r="B1985" s="3">
        <v>0.40668145374086601</v>
      </c>
      <c r="C1985" s="5">
        <v>1.5211211199988101E-18</v>
      </c>
      <c r="D1985" s="6">
        <v>2.2054441059648601E-17</v>
      </c>
      <c r="E1985" s="3" t="s">
        <v>2079</v>
      </c>
      <c r="F1985" s="3" t="s">
        <v>2080</v>
      </c>
      <c r="G1985" s="3">
        <v>14701</v>
      </c>
      <c r="H1985" s="7" t="str">
        <f>HYPERLINK("http://www.ensembl.org/Mus_musculus/Gene/Summary?db=core;g=ENSMUSG00000036402","ENSMUSG00000036402")</f>
        <v>ENSMUSG00000036402</v>
      </c>
      <c r="I1985" s="7" t="str">
        <f>HYPERLINK("http://www.informatics.jax.org/marker/MGI:1336171","MGI:1336171")</f>
        <v>MGI:1336171</v>
      </c>
      <c r="J1985" s="4" t="s">
        <v>12</v>
      </c>
    </row>
    <row r="1986" spans="1:10" x14ac:dyDescent="0.25">
      <c r="A1986" s="2">
        <v>1949.3945056072</v>
      </c>
      <c r="B1986" s="3">
        <v>0.40647929832306101</v>
      </c>
      <c r="C1986" s="5">
        <v>2.2230919855007901E-7</v>
      </c>
      <c r="D1986" s="6">
        <v>1.3420288650464401E-6</v>
      </c>
      <c r="E1986" s="3" t="s">
        <v>8729</v>
      </c>
      <c r="F1986" s="3" t="s">
        <v>8730</v>
      </c>
      <c r="G1986" s="3">
        <v>22134</v>
      </c>
      <c r="H1986" s="7" t="str">
        <f>HYPERLINK("http://www.ensembl.org/Mus_musculus/Gene/Summary?db=core;g=ENSMUSG00000056429","ENSMUSG00000056429")</f>
        <v>ENSMUSG00000056429</v>
      </c>
      <c r="I1986" s="7" t="str">
        <f>HYPERLINK("http://www.informatics.jax.org/marker/MGI:105080","MGI:105080")</f>
        <v>MGI:105080</v>
      </c>
      <c r="J1986" s="4" t="s">
        <v>12</v>
      </c>
    </row>
    <row r="1987" spans="1:10" x14ac:dyDescent="0.25">
      <c r="A1987" s="2">
        <v>772.08907510244399</v>
      </c>
      <c r="B1987" s="3">
        <v>0.40639795731865502</v>
      </c>
      <c r="C1987" s="5">
        <v>2.0404907506922199E-5</v>
      </c>
      <c r="D1987" s="6">
        <v>9.5207229726998897E-5</v>
      </c>
      <c r="E1987" s="3" t="s">
        <v>3112</v>
      </c>
      <c r="F1987" s="3" t="s">
        <v>3113</v>
      </c>
      <c r="G1987" s="3">
        <v>66151</v>
      </c>
      <c r="H1987" s="7" t="str">
        <f>HYPERLINK("http://www.ensembl.org/Mus_musculus/Gene/Summary?db=core;g=ENSMUSG00000023048","ENSMUSG00000023048")</f>
        <v>ENSMUSG00000023048</v>
      </c>
      <c r="I1987" s="7" t="str">
        <f>HYPERLINK("http://www.informatics.jax.org/marker/MGI:1913401","MGI:1913401")</f>
        <v>MGI:1913401</v>
      </c>
      <c r="J1987" s="4" t="s">
        <v>12</v>
      </c>
    </row>
    <row r="1988" spans="1:10" x14ac:dyDescent="0.25">
      <c r="A1988" s="2">
        <v>236.83947563288501</v>
      </c>
      <c r="B1988" s="3">
        <v>0.40629635434279199</v>
      </c>
      <c r="C1988" s="3">
        <v>3.05312204518047E-4</v>
      </c>
      <c r="D1988" s="4">
        <v>1.1724220243028701E-3</v>
      </c>
      <c r="E1988" s="3" t="s">
        <v>10088</v>
      </c>
      <c r="F1988" s="3" t="s">
        <v>10089</v>
      </c>
      <c r="G1988" s="3">
        <v>72469</v>
      </c>
      <c r="H1988" s="7" t="str">
        <f>HYPERLINK("http://www.ensembl.org/Mus_musculus/Gene/Summary?db=core;g=ENSMUSG00000020937","ENSMUSG00000020937")</f>
        <v>ENSMUSG00000020937</v>
      </c>
      <c r="I1988" s="7" t="str">
        <f>HYPERLINK("http://www.informatics.jax.org/marker/MGI:107451","MGI:107451")</f>
        <v>MGI:107451</v>
      </c>
      <c r="J1988" s="4" t="s">
        <v>12</v>
      </c>
    </row>
    <row r="1989" spans="1:10" x14ac:dyDescent="0.25">
      <c r="A1989" s="2">
        <v>325.31422537312199</v>
      </c>
      <c r="B1989" s="3">
        <v>0.40515538446459298</v>
      </c>
      <c r="C1989" s="3">
        <v>5.8347030161785796E-4</v>
      </c>
      <c r="D1989" s="4">
        <v>2.14346830215389E-3</v>
      </c>
      <c r="E1989" s="3" t="s">
        <v>13731</v>
      </c>
      <c r="F1989" s="3" t="s">
        <v>13732</v>
      </c>
      <c r="G1989" s="3">
        <v>208650</v>
      </c>
      <c r="H1989" s="7" t="str">
        <f>HYPERLINK("http://www.ensembl.org/Mus_musculus/Gene/Summary?db=core;g=ENSMUSG00000022637","ENSMUSG00000022637")</f>
        <v>ENSMUSG00000022637</v>
      </c>
      <c r="I1989" s="7" t="str">
        <f>HYPERLINK("http://www.informatics.jax.org/marker/MGI:2146430","MGI:2146430")</f>
        <v>MGI:2146430</v>
      </c>
      <c r="J1989" s="4" t="s">
        <v>12</v>
      </c>
    </row>
    <row r="1990" spans="1:10" x14ac:dyDescent="0.25">
      <c r="A1990" s="2">
        <v>81.568264727134107</v>
      </c>
      <c r="B1990" s="3">
        <v>0.40511753295109498</v>
      </c>
      <c r="C1990" s="3">
        <v>8.5049351911868805E-3</v>
      </c>
      <c r="D1990" s="4">
        <v>2.4276028795517698E-2</v>
      </c>
      <c r="E1990" s="3" t="s">
        <v>8091</v>
      </c>
      <c r="F1990" s="3" t="s">
        <v>8092</v>
      </c>
      <c r="G1990" s="3">
        <v>55942</v>
      </c>
      <c r="H1990" s="7" t="str">
        <f>HYPERLINK("http://www.ensembl.org/Mus_musculus/Gene/Summary?db=core;g=ENSMUSG00000008384","ENSMUSG00000008384")</f>
        <v>ENSMUSG00000008384</v>
      </c>
      <c r="I1990" s="7" t="str">
        <f>HYPERLINK("http://www.informatics.jax.org/marker/MGI:1913438","MGI:1913438")</f>
        <v>MGI:1913438</v>
      </c>
      <c r="J1990" s="4" t="s">
        <v>12</v>
      </c>
    </row>
    <row r="1991" spans="1:10" x14ac:dyDescent="0.25">
      <c r="A1991" s="2">
        <v>3810.3542794515201</v>
      </c>
      <c r="B1991" s="3">
        <v>0.40502178809400102</v>
      </c>
      <c r="C1991" s="5">
        <v>5.5652950205237898E-24</v>
      </c>
      <c r="D1991" s="6">
        <v>1.05653647655256E-22</v>
      </c>
      <c r="E1991" s="3" t="s">
        <v>1963</v>
      </c>
      <c r="F1991" s="3" t="s">
        <v>1964</v>
      </c>
      <c r="G1991" s="3">
        <v>59025</v>
      </c>
      <c r="H1991" s="7" t="str">
        <f>HYPERLINK("http://www.ensembl.org/Mus_musculus/Gene/Summary?db=core;g=ENSMUSG00000047879","ENSMUSG00000047879")</f>
        <v>ENSMUSG00000047879</v>
      </c>
      <c r="I1991" s="7" t="str">
        <f>HYPERLINK("http://www.informatics.jax.org/marker/MGI:1928898","MGI:1928898")</f>
        <v>MGI:1928898</v>
      </c>
      <c r="J1991" s="4" t="s">
        <v>12</v>
      </c>
    </row>
    <row r="1992" spans="1:10" x14ac:dyDescent="0.25">
      <c r="A1992" s="2">
        <v>1158.0354387019499</v>
      </c>
      <c r="B1992" s="3">
        <v>0.404812395043602</v>
      </c>
      <c r="C1992" s="5">
        <v>1.3008008721673201E-20</v>
      </c>
      <c r="D1992" s="6">
        <v>2.1016928985150201E-19</v>
      </c>
      <c r="E1992" s="3" t="s">
        <v>1021</v>
      </c>
      <c r="F1992" s="3" t="s">
        <v>1022</v>
      </c>
      <c r="G1992" s="3">
        <v>170760</v>
      </c>
      <c r="H1992" s="7" t="str">
        <f>HYPERLINK("http://www.ensembl.org/Mus_musculus/Gene/Summary?db=core;g=ENSMUSG00000026499","ENSMUSG00000026499")</f>
        <v>ENSMUSG00000026499</v>
      </c>
      <c r="I1992" s="7" t="str">
        <f>HYPERLINK("http://www.informatics.jax.org/marker/MGI:2181074","MGI:2181074")</f>
        <v>MGI:2181074</v>
      </c>
      <c r="J1992" s="4" t="s">
        <v>12</v>
      </c>
    </row>
    <row r="1993" spans="1:10" x14ac:dyDescent="0.25">
      <c r="A1993" s="2">
        <v>248.87714974484601</v>
      </c>
      <c r="B1993" s="3">
        <v>0.40460568411286502</v>
      </c>
      <c r="C1993" s="5">
        <v>2.3300401764980799E-5</v>
      </c>
      <c r="D1993" s="4">
        <v>1.0783388069242601E-4</v>
      </c>
      <c r="E1993" s="3" t="s">
        <v>10464</v>
      </c>
      <c r="F1993" s="3" t="s">
        <v>10465</v>
      </c>
      <c r="G1993" s="3" t="s">
        <v>83</v>
      </c>
      <c r="H1993" s="7" t="str">
        <f>HYPERLINK("http://www.ensembl.org/Mus_musculus/Gene/Summary?db=core;g=ENSMUSG00000112743","ENSMUSG00000112743")</f>
        <v>ENSMUSG00000112743</v>
      </c>
      <c r="I1993" s="7" t="str">
        <f>HYPERLINK("http://www.informatics.jax.org/marker/MGI:6121566","MGI:6121566")</f>
        <v>MGI:6121566</v>
      </c>
      <c r="J1993" s="4" t="s">
        <v>12</v>
      </c>
    </row>
    <row r="1994" spans="1:10" x14ac:dyDescent="0.25">
      <c r="A1994" s="2">
        <v>25246.870773855</v>
      </c>
      <c r="B1994" s="3">
        <v>0.40441540719670699</v>
      </c>
      <c r="C1994" s="5">
        <v>3.16297665150327E-30</v>
      </c>
      <c r="D1994" s="6">
        <v>7.8858070415385804E-29</v>
      </c>
      <c r="E1994" s="3" t="s">
        <v>1428</v>
      </c>
      <c r="F1994" s="3" t="s">
        <v>1429</v>
      </c>
      <c r="G1994" s="3">
        <v>15519</v>
      </c>
      <c r="H1994" s="7" t="str">
        <f>HYPERLINK("http://www.ensembl.org/Mus_musculus/Gene/Summary?db=core;g=ENSMUSG00000021270","ENSMUSG00000021270")</f>
        <v>ENSMUSG00000021270</v>
      </c>
      <c r="I1994" s="7" t="str">
        <f>HYPERLINK("http://www.informatics.jax.org/marker/MGI:96250","MGI:96250")</f>
        <v>MGI:96250</v>
      </c>
      <c r="J1994" s="4" t="s">
        <v>12</v>
      </c>
    </row>
    <row r="1995" spans="1:10" x14ac:dyDescent="0.25">
      <c r="A1995" s="2">
        <v>64.250789702045495</v>
      </c>
      <c r="B1995" s="3">
        <v>0.40439188223712202</v>
      </c>
      <c r="C1995" s="3">
        <v>3.6619047026246701E-2</v>
      </c>
      <c r="D1995" s="4">
        <v>8.7548489053305298E-2</v>
      </c>
      <c r="E1995" s="3" t="s">
        <v>4027</v>
      </c>
      <c r="F1995" s="3" t="s">
        <v>4028</v>
      </c>
      <c r="G1995" s="3" t="s">
        <v>83</v>
      </c>
      <c r="H1995" s="7" t="str">
        <f>HYPERLINK("http://www.ensembl.org/Mus_musculus/Gene/Summary?db=core;g=ENSMUSG00000112627","ENSMUSG00000112627")</f>
        <v>ENSMUSG00000112627</v>
      </c>
      <c r="I1995" s="7" t="str">
        <f>HYPERLINK("http://www.informatics.jax.org/marker/MGI:1918336","MGI:1918336")</f>
        <v>MGI:1918336</v>
      </c>
      <c r="J1995" s="4" t="s">
        <v>3187</v>
      </c>
    </row>
    <row r="1996" spans="1:10" x14ac:dyDescent="0.25">
      <c r="A1996" s="2">
        <v>635.34504893925896</v>
      </c>
      <c r="B1996" s="3">
        <v>0.40434626362191001</v>
      </c>
      <c r="C1996" s="5">
        <v>5.7488737330226401E-8</v>
      </c>
      <c r="D1996" s="6">
        <v>3.6840092751173598E-7</v>
      </c>
      <c r="E1996" s="3" t="s">
        <v>5059</v>
      </c>
      <c r="F1996" s="3" t="s">
        <v>5060</v>
      </c>
      <c r="G1996" s="3">
        <v>20524</v>
      </c>
      <c r="H1996" s="7" t="str">
        <f>HYPERLINK("http://www.ensembl.org/Mus_musculus/Gene/Summary?db=core;g=ENSMUSG00000022404","ENSMUSG00000022404")</f>
        <v>ENSMUSG00000022404</v>
      </c>
      <c r="I1996" s="7" t="str">
        <f>HYPERLINK("http://www.informatics.jax.org/marker/MGI:1342248","MGI:1342248")</f>
        <v>MGI:1342248</v>
      </c>
      <c r="J1996" s="4" t="s">
        <v>12</v>
      </c>
    </row>
    <row r="1997" spans="1:10" x14ac:dyDescent="0.25">
      <c r="A1997" s="2">
        <v>1960.78469876026</v>
      </c>
      <c r="B1997" s="3">
        <v>0.40431025147159499</v>
      </c>
      <c r="C1997" s="5">
        <v>1.77738734516785E-12</v>
      </c>
      <c r="D1997" s="6">
        <v>1.76239849650076E-11</v>
      </c>
      <c r="E1997" s="3" t="s">
        <v>4012</v>
      </c>
      <c r="F1997" s="3" t="s">
        <v>4013</v>
      </c>
      <c r="G1997" s="3">
        <v>66942</v>
      </c>
      <c r="H1997" s="7" t="str">
        <f>HYPERLINK("http://www.ensembl.org/Mus_musculus/Gene/Summary?db=core;g=ENSMUSG00000001674","ENSMUSG00000001674")</f>
        <v>ENSMUSG00000001674</v>
      </c>
      <c r="I1997" s="7" t="str">
        <f>HYPERLINK("http://www.informatics.jax.org/marker/MGI:1914192","MGI:1914192")</f>
        <v>MGI:1914192</v>
      </c>
      <c r="J1997" s="4" t="s">
        <v>12</v>
      </c>
    </row>
    <row r="1998" spans="1:10" x14ac:dyDescent="0.25">
      <c r="A1998" s="2">
        <v>1046.0187620735801</v>
      </c>
      <c r="B1998" s="3">
        <v>0.40398931282575301</v>
      </c>
      <c r="C1998" s="5">
        <v>3.5572908971586099E-11</v>
      </c>
      <c r="D1998" s="6">
        <v>3.1563596202879999E-10</v>
      </c>
      <c r="E1998" s="3" t="s">
        <v>4775</v>
      </c>
      <c r="F1998" s="3" t="s">
        <v>4776</v>
      </c>
      <c r="G1998" s="3">
        <v>16709</v>
      </c>
      <c r="H1998" s="7" t="str">
        <f>HYPERLINK("http://www.ensembl.org/Mus_musculus/Gene/Summary?db=core;g=ENSMUSG00000021843","ENSMUSG00000021843")</f>
        <v>ENSMUSG00000021843</v>
      </c>
      <c r="I1998" s="7" t="str">
        <f>HYPERLINK("http://www.informatics.jax.org/marker/MGI:109153","MGI:109153")</f>
        <v>MGI:109153</v>
      </c>
      <c r="J1998" s="4" t="s">
        <v>12</v>
      </c>
    </row>
    <row r="1999" spans="1:10" x14ac:dyDescent="0.25">
      <c r="A1999" s="2">
        <v>1718.3213863318999</v>
      </c>
      <c r="B1999" s="3">
        <v>0.40384788351566098</v>
      </c>
      <c r="C1999" s="5">
        <v>3.13065530706801E-12</v>
      </c>
      <c r="D1999" s="6">
        <v>3.0252488319891003E-11</v>
      </c>
      <c r="E1999" s="3" t="s">
        <v>9727</v>
      </c>
      <c r="F1999" s="3" t="s">
        <v>9728</v>
      </c>
      <c r="G1999" s="3">
        <v>13830</v>
      </c>
      <c r="H1999" s="7" t="str">
        <f>HYPERLINK("http://www.ensembl.org/Mus_musculus/Gene/Summary?db=core;g=ENSMUSG00000026880","ENSMUSG00000026880")</f>
        <v>ENSMUSG00000026880</v>
      </c>
      <c r="I1999" s="7" t="str">
        <f>HYPERLINK("http://www.informatics.jax.org/marker/MGI:95403","MGI:95403")</f>
        <v>MGI:95403</v>
      </c>
      <c r="J1999" s="4" t="s">
        <v>12</v>
      </c>
    </row>
    <row r="2000" spans="1:10" x14ac:dyDescent="0.25">
      <c r="A2000" s="2">
        <v>478.799781903221</v>
      </c>
      <c r="B2000" s="3">
        <v>0.40350943664751499</v>
      </c>
      <c r="C2000" s="5">
        <v>6.9609415848061102E-7</v>
      </c>
      <c r="D2000" s="6">
        <v>3.9361824506078598E-6</v>
      </c>
      <c r="E2000" s="3" t="s">
        <v>9445</v>
      </c>
      <c r="F2000" s="3" t="s">
        <v>9446</v>
      </c>
      <c r="G2000" s="3">
        <v>100126824</v>
      </c>
      <c r="H2000" s="7" t="str">
        <f>HYPERLINK("http://www.ensembl.org/Mus_musculus/Gene/Summary?db=core;g=ENSMUSG00000091780","ENSMUSG00000091780")</f>
        <v>ENSMUSG00000091780</v>
      </c>
      <c r="I2000" s="7" t="str">
        <f>HYPERLINK("http://www.informatics.jax.org/marker/MGI:3818630","MGI:3818630")</f>
        <v>MGI:3818630</v>
      </c>
      <c r="J2000" s="4" t="s">
        <v>12</v>
      </c>
    </row>
    <row r="2001" spans="1:10" x14ac:dyDescent="0.25">
      <c r="A2001" s="2">
        <v>1374.4799328962999</v>
      </c>
      <c r="B2001" s="3">
        <v>0.40321003444200898</v>
      </c>
      <c r="C2001" s="5">
        <v>3.5938944377405202E-5</v>
      </c>
      <c r="D2001" s="4">
        <v>1.61049240540499E-4</v>
      </c>
      <c r="E2001" s="3" t="s">
        <v>9017</v>
      </c>
      <c r="F2001" s="3" t="s">
        <v>9018</v>
      </c>
      <c r="G2001" s="3">
        <v>17904</v>
      </c>
      <c r="H2001" s="7" t="str">
        <f>HYPERLINK("http://www.ensembl.org/Mus_musculus/Gene/Summary?db=core;g=ENSMUSG00000090841","ENSMUSG00000090841")</f>
        <v>ENSMUSG00000090841</v>
      </c>
      <c r="I2001" s="7" t="str">
        <f>HYPERLINK("http://www.informatics.jax.org/marker/MGI:109318","MGI:109318")</f>
        <v>MGI:109318</v>
      </c>
      <c r="J2001" s="4" t="s">
        <v>12</v>
      </c>
    </row>
    <row r="2002" spans="1:10" x14ac:dyDescent="0.25">
      <c r="A2002" s="2">
        <v>647.28356851091701</v>
      </c>
      <c r="B2002" s="3">
        <v>0.40307687393324898</v>
      </c>
      <c r="C2002" s="3">
        <v>6.0974422246109399E-4</v>
      </c>
      <c r="D2002" s="4">
        <v>2.23413519387886E-3</v>
      </c>
      <c r="E2002" s="3" t="s">
        <v>8809</v>
      </c>
      <c r="F2002" s="3" t="s">
        <v>8810</v>
      </c>
      <c r="G2002" s="3">
        <v>207728</v>
      </c>
      <c r="H2002" s="7" t="str">
        <f>HYPERLINK("http://www.ensembl.org/Mus_musculus/Gene/Summary?db=core;g=ENSMUSG00000030653","ENSMUSG00000030653")</f>
        <v>ENSMUSG00000030653</v>
      </c>
      <c r="I2002" s="7" t="str">
        <f>HYPERLINK("http://www.informatics.jax.org/marker/MGI:5804952","MGI:5804952")</f>
        <v>MGI:5804952</v>
      </c>
      <c r="J2002" s="4" t="s">
        <v>12</v>
      </c>
    </row>
    <row r="2003" spans="1:10" x14ac:dyDescent="0.25">
      <c r="A2003" s="2">
        <v>6.4406026577750497</v>
      </c>
      <c r="B2003" s="3">
        <v>0.40300798114294101</v>
      </c>
      <c r="C2003" s="3">
        <v>0.28297348082743801</v>
      </c>
      <c r="D2003" s="4">
        <v>0.45501955956238299</v>
      </c>
      <c r="E2003" s="3" t="s">
        <v>12905</v>
      </c>
      <c r="F2003" s="3" t="s">
        <v>12906</v>
      </c>
      <c r="G2003" s="3">
        <v>69528</v>
      </c>
      <c r="H2003" s="7" t="str">
        <f>HYPERLINK("http://www.ensembl.org/Mus_musculus/Gene/Summary?db=core;g=ENSMUSG00000031847","ENSMUSG00000031847")</f>
        <v>ENSMUSG00000031847</v>
      </c>
      <c r="I2003" s="7" t="str">
        <f>HYPERLINK("http://www.informatics.jax.org/marker/MGI:1916778","MGI:1916778")</f>
        <v>MGI:1916778</v>
      </c>
      <c r="J2003" s="4" t="s">
        <v>12</v>
      </c>
    </row>
    <row r="2004" spans="1:10" x14ac:dyDescent="0.25">
      <c r="A2004" s="2">
        <v>7.4908762151508004</v>
      </c>
      <c r="B2004" s="3">
        <v>0.40249431216366099</v>
      </c>
      <c r="C2004" s="3">
        <v>0.291164109350464</v>
      </c>
      <c r="D2004" s="4">
        <v>0.46433898257894701</v>
      </c>
      <c r="E2004" s="3" t="s">
        <v>8161</v>
      </c>
      <c r="F2004" s="3" t="s">
        <v>8162</v>
      </c>
      <c r="G2004" s="3" t="s">
        <v>83</v>
      </c>
      <c r="H2004" s="7" t="str">
        <f>HYPERLINK("http://www.ensembl.org/Mus_musculus/Gene/Summary?db=core;g=ENSMUSG00000116946","ENSMUSG00000116946")</f>
        <v>ENSMUSG00000116946</v>
      </c>
      <c r="I2004" s="7" t="str">
        <f>HYPERLINK("http://www.informatics.jax.org/marker/MGI:5624327","MGI:5624327")</f>
        <v>MGI:5624327</v>
      </c>
      <c r="J2004" s="4" t="s">
        <v>939</v>
      </c>
    </row>
    <row r="2005" spans="1:10" x14ac:dyDescent="0.25">
      <c r="A2005" s="2">
        <v>18493.514092038498</v>
      </c>
      <c r="B2005" s="3">
        <v>0.40231327130676298</v>
      </c>
      <c r="C2005" s="5">
        <v>6.2760469233328496E-20</v>
      </c>
      <c r="D2005" s="6">
        <v>9.7761500151915592E-19</v>
      </c>
      <c r="E2005" s="3" t="s">
        <v>1979</v>
      </c>
      <c r="F2005" s="3" t="s">
        <v>1980</v>
      </c>
      <c r="G2005" s="3">
        <v>13681</v>
      </c>
      <c r="H2005" s="7" t="str">
        <f>HYPERLINK("http://www.ensembl.org/Mus_musculus/Gene/Summary?db=core;g=ENSMUSG00000059796","ENSMUSG00000059796")</f>
        <v>ENSMUSG00000059796</v>
      </c>
      <c r="I2005" s="7" t="str">
        <f>HYPERLINK("http://www.informatics.jax.org/marker/MGI:95303","MGI:95303")</f>
        <v>MGI:95303</v>
      </c>
      <c r="J2005" s="4" t="s">
        <v>12</v>
      </c>
    </row>
    <row r="2006" spans="1:10" x14ac:dyDescent="0.25">
      <c r="A2006" s="2">
        <v>3440.7711512127398</v>
      </c>
      <c r="B2006" s="3">
        <v>0.40197090227101601</v>
      </c>
      <c r="C2006" s="5">
        <v>1.6838082030378899E-23</v>
      </c>
      <c r="D2006" s="6">
        <v>3.1506575462387701E-22</v>
      </c>
      <c r="E2006" s="3" t="s">
        <v>2179</v>
      </c>
      <c r="F2006" s="3" t="s">
        <v>2180</v>
      </c>
      <c r="G2006" s="3" t="s">
        <v>83</v>
      </c>
      <c r="H2006" s="7" t="str">
        <f>HYPERLINK("http://www.ensembl.org/Mus_musculus/Gene/Summary?db=core;g=ENSMUSG00000101645","ENSMUSG00000101645")</f>
        <v>ENSMUSG00000101645</v>
      </c>
      <c r="I2006" s="7" t="str">
        <f>HYPERLINK("http://www.informatics.jax.org/marker/MGI:5579341","MGI:5579341")</f>
        <v>MGI:5579341</v>
      </c>
      <c r="J2006" s="4" t="s">
        <v>12</v>
      </c>
    </row>
    <row r="2007" spans="1:10" x14ac:dyDescent="0.25">
      <c r="A2007" s="2">
        <v>502.89797108320403</v>
      </c>
      <c r="B2007" s="3">
        <v>0.40192215483967803</v>
      </c>
      <c r="C2007" s="5">
        <v>1.7330714388967E-9</v>
      </c>
      <c r="D2007" s="6">
        <v>1.3122238044824399E-8</v>
      </c>
      <c r="E2007" s="3" t="s">
        <v>4399</v>
      </c>
      <c r="F2007" s="3" t="s">
        <v>4400</v>
      </c>
      <c r="G2007" s="3">
        <v>29819</v>
      </c>
      <c r="H2007" s="7" t="str">
        <f>HYPERLINK("http://www.ensembl.org/Mus_musculus/Gene/Summary?db=core;g=ENSMUSG00000025920","ENSMUSG00000025920")</f>
        <v>ENSMUSG00000025920</v>
      </c>
      <c r="I2007" s="7" t="str">
        <f>HYPERLINK("http://www.informatics.jax.org/marker/MGI:1352508","MGI:1352508")</f>
        <v>MGI:1352508</v>
      </c>
      <c r="J2007" s="4" t="s">
        <v>12</v>
      </c>
    </row>
    <row r="2008" spans="1:10" x14ac:dyDescent="0.25">
      <c r="A2008" s="2">
        <v>3847.5925076134299</v>
      </c>
      <c r="B2008" s="3">
        <v>0.40191776403234702</v>
      </c>
      <c r="C2008" s="5">
        <v>6.8103086471955796E-10</v>
      </c>
      <c r="D2008" s="6">
        <v>5.4034773659181301E-9</v>
      </c>
      <c r="E2008" s="3" t="s">
        <v>4647</v>
      </c>
      <c r="F2008" s="3" t="s">
        <v>4648</v>
      </c>
      <c r="G2008" s="3">
        <v>71602</v>
      </c>
      <c r="H2008" s="7" t="str">
        <f>HYPERLINK("http://www.ensembl.org/Mus_musculus/Gene/Summary?db=core;g=ENSMUSG00000032220","ENSMUSG00000032220")</f>
        <v>ENSMUSG00000032220</v>
      </c>
      <c r="I2008" s="7" t="str">
        <f>HYPERLINK("http://www.informatics.jax.org/marker/MGI:106621","MGI:106621")</f>
        <v>MGI:106621</v>
      </c>
      <c r="J2008" s="4" t="s">
        <v>12</v>
      </c>
    </row>
    <row r="2009" spans="1:10" x14ac:dyDescent="0.25">
      <c r="A2009" s="2">
        <v>2201.7470272933101</v>
      </c>
      <c r="B2009" s="3">
        <v>0.401687505676395</v>
      </c>
      <c r="C2009" s="3">
        <v>1.05249787790392E-4</v>
      </c>
      <c r="D2009" s="4">
        <v>4.3874139580967299E-4</v>
      </c>
      <c r="E2009" s="3" t="s">
        <v>8643</v>
      </c>
      <c r="F2009" s="3" t="s">
        <v>8644</v>
      </c>
      <c r="G2009" s="3">
        <v>73130</v>
      </c>
      <c r="H2009" s="7" t="str">
        <f>HYPERLINK("http://www.ensembl.org/Mus_musculus/Gene/Summary?db=core;g=ENSMUSG00000063406","ENSMUSG00000063406")</f>
        <v>ENSMUSG00000063406</v>
      </c>
      <c r="I2009" s="7" t="str">
        <f>HYPERLINK("http://www.informatics.jax.org/marker/MGI:1921586","MGI:1921586")</f>
        <v>MGI:1921586</v>
      </c>
      <c r="J2009" s="4" t="s">
        <v>12</v>
      </c>
    </row>
    <row r="2010" spans="1:10" x14ac:dyDescent="0.25">
      <c r="A2010" s="2">
        <v>3262.8501348681698</v>
      </c>
      <c r="B2010" s="3">
        <v>0.40166275434007798</v>
      </c>
      <c r="C2010" s="5">
        <v>2.8120319113766702E-13</v>
      </c>
      <c r="D2010" s="6">
        <v>2.9640995711301199E-12</v>
      </c>
      <c r="E2010" s="3" t="s">
        <v>5343</v>
      </c>
      <c r="F2010" s="3" t="s">
        <v>5344</v>
      </c>
      <c r="G2010" s="3">
        <v>107045</v>
      </c>
      <c r="H2010" s="7" t="str">
        <f>HYPERLINK("http://www.ensembl.org/Mus_musculus/Gene/Summary?db=core;g=ENSMUSG00000024493","ENSMUSG00000024493")</f>
        <v>ENSMUSG00000024493</v>
      </c>
      <c r="I2010" s="7" t="str">
        <f>HYPERLINK("http://www.informatics.jax.org/marker/MGI:1913808","MGI:1913808")</f>
        <v>MGI:1913808</v>
      </c>
      <c r="J2010" s="4" t="s">
        <v>12</v>
      </c>
    </row>
    <row r="2011" spans="1:10" x14ac:dyDescent="0.25">
      <c r="A2011" s="2">
        <v>1262.25305854513</v>
      </c>
      <c r="B2011" s="3">
        <v>0.40130205758739101</v>
      </c>
      <c r="C2011" s="5">
        <v>1.65667192185444E-14</v>
      </c>
      <c r="D2011" s="6">
        <v>1.88941462927392E-13</v>
      </c>
      <c r="E2011" s="3" t="s">
        <v>4061</v>
      </c>
      <c r="F2011" s="3" t="s">
        <v>4062</v>
      </c>
      <c r="G2011" s="3">
        <v>213499</v>
      </c>
      <c r="H2011" s="7" t="str">
        <f>HYPERLINK("http://www.ensembl.org/Mus_musculus/Gene/Summary?db=core;g=ENSMUSG00000028920","ENSMUSG00000028920")</f>
        <v>ENSMUSG00000028920</v>
      </c>
      <c r="I2011" s="7" t="str">
        <f>HYPERLINK("http://www.informatics.jax.org/marker/MGI:1924992","MGI:1924992")</f>
        <v>MGI:1924992</v>
      </c>
      <c r="J2011" s="4" t="s">
        <v>12</v>
      </c>
    </row>
    <row r="2012" spans="1:10" x14ac:dyDescent="0.25">
      <c r="A2012" s="2">
        <v>387.199170279942</v>
      </c>
      <c r="B2012" s="3">
        <v>0.40114112072448899</v>
      </c>
      <c r="C2012" s="5">
        <v>3.0458664750066801E-6</v>
      </c>
      <c r="D2012" s="6">
        <v>1.59697688455111E-5</v>
      </c>
      <c r="E2012" s="3" t="s">
        <v>5083</v>
      </c>
      <c r="F2012" s="3" t="s">
        <v>5084</v>
      </c>
      <c r="G2012" s="3">
        <v>70612</v>
      </c>
      <c r="H2012" s="7" t="str">
        <f>HYPERLINK("http://www.ensembl.org/Mus_musculus/Gene/Summary?db=core;g=ENSMUSG00000027341","ENSMUSG00000027341")</f>
        <v>ENSMUSG00000027341</v>
      </c>
      <c r="I2012" s="7" t="str">
        <f>HYPERLINK("http://www.informatics.jax.org/marker/MGI:1917862","MGI:1917862")</f>
        <v>MGI:1917862</v>
      </c>
      <c r="J2012" s="4" t="s">
        <v>12</v>
      </c>
    </row>
    <row r="2013" spans="1:10" x14ac:dyDescent="0.25">
      <c r="A2013" s="2">
        <v>229.21851183867901</v>
      </c>
      <c r="B2013" s="3">
        <v>0.400852228787627</v>
      </c>
      <c r="C2013" s="5">
        <v>2.3935819775557699E-5</v>
      </c>
      <c r="D2013" s="4">
        <v>1.10634114991007E-4</v>
      </c>
      <c r="E2013" s="3" t="s">
        <v>4865</v>
      </c>
      <c r="F2013" s="3" t="s">
        <v>4866</v>
      </c>
      <c r="G2013" s="3">
        <v>30939</v>
      </c>
      <c r="H2013" s="7" t="str">
        <f>HYPERLINK("http://www.ensembl.org/Mus_musculus/Gene/Summary?db=core;g=ENSMUSG00000020415","ENSMUSG00000020415")</f>
        <v>ENSMUSG00000020415</v>
      </c>
      <c r="I2013" s="7" t="str">
        <f>HYPERLINK("http://www.informatics.jax.org/marker/MGI:1353578","MGI:1353578")</f>
        <v>MGI:1353578</v>
      </c>
      <c r="J2013" s="4" t="s">
        <v>12</v>
      </c>
    </row>
    <row r="2014" spans="1:10" x14ac:dyDescent="0.25">
      <c r="A2014" s="2">
        <v>1636.15277322566</v>
      </c>
      <c r="B2014" s="3">
        <v>0.40080608933336598</v>
      </c>
      <c r="C2014" s="5">
        <v>3.1571383471855402E-13</v>
      </c>
      <c r="D2014" s="6">
        <v>3.3240234764561802E-12</v>
      </c>
      <c r="E2014" s="3" t="s">
        <v>6742</v>
      </c>
      <c r="F2014" s="3" t="s">
        <v>6743</v>
      </c>
      <c r="G2014" s="3">
        <v>170625</v>
      </c>
      <c r="H2014" s="7" t="str">
        <f>HYPERLINK("http://www.ensembl.org/Mus_musculus/Gene/Summary?db=core;g=ENSMUSG00000042364","ENSMUSG00000042364")</f>
        <v>ENSMUSG00000042364</v>
      </c>
      <c r="I2014" s="7" t="str">
        <f>HYPERLINK("http://www.informatics.jax.org/marker/MGI:2137642","MGI:2137642")</f>
        <v>MGI:2137642</v>
      </c>
      <c r="J2014" s="4" t="s">
        <v>12</v>
      </c>
    </row>
    <row r="2015" spans="1:10" x14ac:dyDescent="0.25">
      <c r="A2015" s="2">
        <v>93.040960087202293</v>
      </c>
      <c r="B2015" s="3">
        <v>0.40062964768973403</v>
      </c>
      <c r="C2015" s="3">
        <v>0.103568743244769</v>
      </c>
      <c r="D2015" s="4">
        <v>0.20916892128057599</v>
      </c>
      <c r="E2015" s="3" t="s">
        <v>6513</v>
      </c>
      <c r="F2015" s="3" t="s">
        <v>6514</v>
      </c>
      <c r="G2015" s="3">
        <v>60525</v>
      </c>
      <c r="H2015" s="7" t="str">
        <f>HYPERLINK("http://www.ensembl.org/Mus_musculus/Gene/Summary?db=core;g=ENSMUSG00000027605","ENSMUSG00000027605")</f>
        <v>ENSMUSG00000027605</v>
      </c>
      <c r="I2015" s="7" t="str">
        <f>HYPERLINK("http://www.informatics.jax.org/marker/MGI:1890410","MGI:1890410")</f>
        <v>MGI:1890410</v>
      </c>
      <c r="J2015" s="4" t="s">
        <v>12</v>
      </c>
    </row>
    <row r="2016" spans="1:10" x14ac:dyDescent="0.25">
      <c r="A2016" s="2">
        <v>383.753684444339</v>
      </c>
      <c r="B2016" s="3">
        <v>0.40039584002790901</v>
      </c>
      <c r="C2016" s="5">
        <v>5.8747975532216304E-6</v>
      </c>
      <c r="D2016" s="6">
        <v>2.9708153553680399E-5</v>
      </c>
      <c r="E2016" s="3" t="s">
        <v>5361</v>
      </c>
      <c r="F2016" s="3" t="s">
        <v>5362</v>
      </c>
      <c r="G2016" s="3">
        <v>20364</v>
      </c>
      <c r="H2016" s="7" t="str">
        <f>HYPERLINK("http://www.ensembl.org/Mus_musculus/Gene/Summary?db=core;g=ENSMUSG00000041571","ENSMUSG00000041571")</f>
        <v>ENSMUSG00000041571</v>
      </c>
      <c r="I2016" s="7" t="str">
        <f>HYPERLINK("http://www.informatics.jax.org/marker/MGI:1100878","MGI:1100878")</f>
        <v>MGI:1100878</v>
      </c>
      <c r="J2016" s="4" t="s">
        <v>12</v>
      </c>
    </row>
    <row r="2017" spans="1:10" x14ac:dyDescent="0.25">
      <c r="A2017" s="2">
        <v>785.726003362813</v>
      </c>
      <c r="B2017" s="3">
        <v>0.39996056735169899</v>
      </c>
      <c r="C2017" s="5">
        <v>4.5092041598387101E-9</v>
      </c>
      <c r="D2017" s="6">
        <v>3.2702047677302198E-8</v>
      </c>
      <c r="E2017" s="3" t="s">
        <v>6509</v>
      </c>
      <c r="F2017" s="3" t="s">
        <v>6510</v>
      </c>
      <c r="G2017" s="3">
        <v>66632</v>
      </c>
      <c r="H2017" s="7" t="str">
        <f>HYPERLINK("http://www.ensembl.org/Mus_musculus/Gene/Summary?db=core;g=ENSMUSG00000057147","ENSMUSG00000057147")</f>
        <v>ENSMUSG00000057147</v>
      </c>
      <c r="I2017" s="7" t="str">
        <f>HYPERLINK("http://www.informatics.jax.org/marker/MGI:1913882","MGI:1913882")</f>
        <v>MGI:1913882</v>
      </c>
      <c r="J2017" s="4" t="s">
        <v>12</v>
      </c>
    </row>
    <row r="2018" spans="1:10" x14ac:dyDescent="0.25">
      <c r="A2018" s="2">
        <v>1858.1163171748101</v>
      </c>
      <c r="B2018" s="3">
        <v>0.39981440230311599</v>
      </c>
      <c r="C2018" s="5">
        <v>9.2363478158212301E-6</v>
      </c>
      <c r="D2018" s="6">
        <v>4.5372625052113697E-5</v>
      </c>
      <c r="E2018" s="3" t="s">
        <v>8621</v>
      </c>
      <c r="F2018" s="3" t="s">
        <v>8622</v>
      </c>
      <c r="G2018" s="3">
        <v>67803</v>
      </c>
      <c r="H2018" s="7" t="str">
        <f>HYPERLINK("http://www.ensembl.org/Mus_musculus/Gene/Summary?db=core;g=ENSMUSG00000040699","ENSMUSG00000040699")</f>
        <v>ENSMUSG00000040699</v>
      </c>
      <c r="I2018" s="7" t="str">
        <f>HYPERLINK("http://www.informatics.jax.org/marker/MGI:1915053","MGI:1915053")</f>
        <v>MGI:1915053</v>
      </c>
      <c r="J2018" s="4" t="s">
        <v>12</v>
      </c>
    </row>
    <row r="2019" spans="1:10" x14ac:dyDescent="0.25">
      <c r="A2019" s="2">
        <v>700.58783281012495</v>
      </c>
      <c r="B2019" s="3">
        <v>0.39936734977940402</v>
      </c>
      <c r="C2019" s="3">
        <v>1.0502187766974899E-4</v>
      </c>
      <c r="D2019" s="4">
        <v>4.3799169806205601E-4</v>
      </c>
      <c r="E2019" s="3" t="s">
        <v>10990</v>
      </c>
      <c r="F2019" s="3" t="s">
        <v>10991</v>
      </c>
      <c r="G2019" s="3" t="s">
        <v>83</v>
      </c>
      <c r="H2019" s="7" t="str">
        <f>HYPERLINK("http://www.ensembl.org/Mus_musculus/Gene/Summary?db=core;g=ENSMUSG00000093701","ENSMUSG00000093701")</f>
        <v>ENSMUSG00000093701</v>
      </c>
      <c r="I2019" s="7" t="str">
        <f>HYPERLINK("http://www.informatics.jax.org/marker/MGI:5439439","MGI:5439439")</f>
        <v>MGI:5439439</v>
      </c>
      <c r="J2019" s="4" t="s">
        <v>12</v>
      </c>
    </row>
    <row r="2020" spans="1:10" x14ac:dyDescent="0.25">
      <c r="A2020" s="2">
        <v>702.320138452072</v>
      </c>
      <c r="B2020" s="3">
        <v>0.39903187635277199</v>
      </c>
      <c r="C2020" s="5">
        <v>3.1379453965048801E-12</v>
      </c>
      <c r="D2020" s="6">
        <v>3.0306865316005001E-11</v>
      </c>
      <c r="E2020" s="3" t="s">
        <v>4745</v>
      </c>
      <c r="F2020" s="3" t="s">
        <v>4746</v>
      </c>
      <c r="G2020" s="3">
        <v>68991</v>
      </c>
      <c r="H2020" s="7" t="str">
        <f>HYPERLINK("http://www.ensembl.org/Mus_musculus/Gene/Summary?db=core;g=ENSMUSG00000029038","ENSMUSG00000029038")</f>
        <v>ENSMUSG00000029038</v>
      </c>
      <c r="I2020" s="7" t="str">
        <f>HYPERLINK("http://www.informatics.jax.org/marker/MGI:1916241","MGI:1916241")</f>
        <v>MGI:1916241</v>
      </c>
      <c r="J2020" s="4" t="s">
        <v>12</v>
      </c>
    </row>
    <row r="2021" spans="1:10" x14ac:dyDescent="0.25">
      <c r="A2021" s="2">
        <v>250.87080214466201</v>
      </c>
      <c r="B2021" s="3">
        <v>0.398846833222335</v>
      </c>
      <c r="C2021" s="5">
        <v>8.8047116574286901E-6</v>
      </c>
      <c r="D2021" s="6">
        <v>4.3427840313027803E-5</v>
      </c>
      <c r="E2021" s="3" t="s">
        <v>4851</v>
      </c>
      <c r="F2021" s="3" t="s">
        <v>4852</v>
      </c>
      <c r="G2021" s="3">
        <v>66213</v>
      </c>
      <c r="H2021" s="7" t="str">
        <f>HYPERLINK("http://www.ensembl.org/Mus_musculus/Gene/Summary?db=core;g=ENSMUSG00000020397","ENSMUSG00000020397")</f>
        <v>ENSMUSG00000020397</v>
      </c>
      <c r="I2021" s="7" t="str">
        <f>HYPERLINK("http://www.informatics.jax.org/marker/MGI:1913463","MGI:1913463")</f>
        <v>MGI:1913463</v>
      </c>
      <c r="J2021" s="4" t="s">
        <v>12</v>
      </c>
    </row>
    <row r="2022" spans="1:10" x14ac:dyDescent="0.25">
      <c r="A2022" s="2">
        <v>1225.2211606088099</v>
      </c>
      <c r="B2022" s="3">
        <v>0.39853827510537199</v>
      </c>
      <c r="C2022" s="5">
        <v>1.3843541677750001E-12</v>
      </c>
      <c r="D2022" s="6">
        <v>1.38473406738197E-11</v>
      </c>
      <c r="E2022" s="3" t="s">
        <v>4825</v>
      </c>
      <c r="F2022" s="3" t="s">
        <v>4826</v>
      </c>
      <c r="G2022" s="3">
        <v>11908</v>
      </c>
      <c r="H2022" s="7" t="str">
        <f>HYPERLINK("http://www.ensembl.org/Mus_musculus/Gene/Summary?db=core;g=ENSMUSG00000023027","ENSMUSG00000023027")</f>
        <v>ENSMUSG00000023027</v>
      </c>
      <c r="I2022" s="7" t="str">
        <f>HYPERLINK("http://www.informatics.jax.org/marker/MGI:1298366","MGI:1298366")</f>
        <v>MGI:1298366</v>
      </c>
      <c r="J2022" s="4" t="s">
        <v>12</v>
      </c>
    </row>
    <row r="2023" spans="1:10" x14ac:dyDescent="0.25">
      <c r="A2023" s="2">
        <v>3176.0260493574201</v>
      </c>
      <c r="B2023" s="3">
        <v>0.39824776283664998</v>
      </c>
      <c r="C2023" s="5">
        <v>5.1502678619520202E-23</v>
      </c>
      <c r="D2023" s="6">
        <v>9.3676279225624195E-22</v>
      </c>
      <c r="E2023" s="3" t="s">
        <v>1877</v>
      </c>
      <c r="F2023" s="3" t="s">
        <v>1878</v>
      </c>
      <c r="G2023" s="3">
        <v>19359</v>
      </c>
      <c r="H2023" s="7" t="str">
        <f>HYPERLINK("http://www.ensembl.org/Mus_musculus/Gene/Summary?db=core;g=ENSMUSG00000028426","ENSMUSG00000028426")</f>
        <v>ENSMUSG00000028426</v>
      </c>
      <c r="I2023" s="7" t="str">
        <f>HYPERLINK("http://www.informatics.jax.org/marker/MGI:105128","MGI:105128")</f>
        <v>MGI:105128</v>
      </c>
      <c r="J2023" s="4" t="s">
        <v>12</v>
      </c>
    </row>
    <row r="2024" spans="1:10" x14ac:dyDescent="0.25">
      <c r="A2024" s="2">
        <v>3338.5680777872099</v>
      </c>
      <c r="B2024" s="3">
        <v>0.39797099236934103</v>
      </c>
      <c r="C2024" s="5">
        <v>9.96071659698012E-5</v>
      </c>
      <c r="D2024" s="4">
        <v>4.16744857621585E-4</v>
      </c>
      <c r="E2024" s="3" t="s">
        <v>11211</v>
      </c>
      <c r="F2024" s="3" t="s">
        <v>11212</v>
      </c>
      <c r="G2024" s="3">
        <v>100019</v>
      </c>
      <c r="H2024" s="7" t="str">
        <f>HYPERLINK("http://www.ensembl.org/Mus_musculus/Gene/Summary?db=core;g=ENSMUSG00000058006","ENSMUSG00000058006")</f>
        <v>ENSMUSG00000058006</v>
      </c>
      <c r="I2024" s="7" t="str">
        <f>HYPERLINK("http://www.informatics.jax.org/marker/MGI:1926159","MGI:1926159")</f>
        <v>MGI:1926159</v>
      </c>
      <c r="J2024" s="4" t="s">
        <v>12</v>
      </c>
    </row>
    <row r="2025" spans="1:10" x14ac:dyDescent="0.25">
      <c r="A2025" s="2">
        <v>1034.07073724559</v>
      </c>
      <c r="B2025" s="3">
        <v>0.39793523751774201</v>
      </c>
      <c r="C2025" s="5">
        <v>2.61043888327829E-14</v>
      </c>
      <c r="D2025" s="6">
        <v>2.9277076090921098E-13</v>
      </c>
      <c r="E2025" s="3" t="s">
        <v>2319</v>
      </c>
      <c r="F2025" s="3" t="s">
        <v>2320</v>
      </c>
      <c r="G2025" s="3">
        <v>330171</v>
      </c>
      <c r="H2025" s="7" t="str">
        <f>HYPERLINK("http://www.ensembl.org/Mus_musculus/Gene/Summary?db=core;g=ENSMUSG00000001098","ENSMUSG00000001098")</f>
        <v>ENSMUSG00000001098</v>
      </c>
      <c r="I2025" s="7" t="str">
        <f>HYPERLINK("http://www.informatics.jax.org/marker/MGI:2141207","MGI:2141207")</f>
        <v>MGI:2141207</v>
      </c>
      <c r="J2025" s="4" t="s">
        <v>12</v>
      </c>
    </row>
    <row r="2026" spans="1:10" x14ac:dyDescent="0.25">
      <c r="A2026" s="2">
        <v>3014.55485207729</v>
      </c>
      <c r="B2026" s="3">
        <v>0.39773505404846499</v>
      </c>
      <c r="C2026" s="5">
        <v>3.7508057122336303E-8</v>
      </c>
      <c r="D2026" s="6">
        <v>2.4413726466235E-7</v>
      </c>
      <c r="E2026" s="3" t="s">
        <v>10579</v>
      </c>
      <c r="F2026" s="3" t="s">
        <v>10580</v>
      </c>
      <c r="G2026" s="3">
        <v>11352</v>
      </c>
      <c r="H2026" s="7" t="str">
        <f>HYPERLINK("http://www.ensembl.org/Mus_musculus/Gene/Summary?db=core;g=ENSMUSG00000026596","ENSMUSG00000026596")</f>
        <v>ENSMUSG00000026596</v>
      </c>
      <c r="I2026" s="7" t="str">
        <f>HYPERLINK("http://www.informatics.jax.org/marker/MGI:87860","MGI:87860")</f>
        <v>MGI:87860</v>
      </c>
      <c r="J2026" s="4" t="s">
        <v>12</v>
      </c>
    </row>
    <row r="2027" spans="1:10" x14ac:dyDescent="0.25">
      <c r="A2027" s="2">
        <v>6999.8048997060196</v>
      </c>
      <c r="B2027" s="3">
        <v>0.39765831083853298</v>
      </c>
      <c r="C2027" s="5">
        <v>8.7931394894493696E-13</v>
      </c>
      <c r="D2027" s="6">
        <v>8.9328298325091807E-12</v>
      </c>
      <c r="E2027" s="3" t="s">
        <v>2922</v>
      </c>
      <c r="F2027" s="3" t="s">
        <v>2923</v>
      </c>
      <c r="G2027" s="3">
        <v>20867</v>
      </c>
      <c r="H2027" s="7" t="str">
        <f>HYPERLINK("http://www.ensembl.org/Mus_musculus/Gene/Summary?db=core;g=ENSMUSG00000024966","ENSMUSG00000024966")</f>
        <v>ENSMUSG00000024966</v>
      </c>
      <c r="I2027" s="7" t="str">
        <f>HYPERLINK("http://www.informatics.jax.org/marker/MGI:109130","MGI:109130")</f>
        <v>MGI:109130</v>
      </c>
      <c r="J2027" s="4" t="s">
        <v>12</v>
      </c>
    </row>
    <row r="2028" spans="1:10" x14ac:dyDescent="0.25">
      <c r="A2028" s="2">
        <v>1082.3931042541899</v>
      </c>
      <c r="B2028" s="3">
        <v>0.3970695011723</v>
      </c>
      <c r="C2028" s="5">
        <v>1.9582287200800498E-9</v>
      </c>
      <c r="D2028" s="6">
        <v>1.4717603073226599E-8</v>
      </c>
      <c r="E2028" s="3" t="s">
        <v>5405</v>
      </c>
      <c r="F2028" s="3" t="s">
        <v>5406</v>
      </c>
      <c r="G2028" s="3">
        <v>13732</v>
      </c>
      <c r="H2028" s="7" t="str">
        <f>HYPERLINK("http://www.ensembl.org/Mus_musculus/Gene/Summary?db=core;g=ENSMUSG00000040212","ENSMUSG00000040212")</f>
        <v>ENSMUSG00000040212</v>
      </c>
      <c r="I2028" s="7" t="str">
        <f>HYPERLINK("http://www.informatics.jax.org/marker/MGI:1098729","MGI:1098729")</f>
        <v>MGI:1098729</v>
      </c>
      <c r="J2028" s="4" t="s">
        <v>12</v>
      </c>
    </row>
    <row r="2029" spans="1:10" x14ac:dyDescent="0.25">
      <c r="A2029" s="2">
        <v>240.42406940621399</v>
      </c>
      <c r="B2029" s="3">
        <v>0.39673091858509002</v>
      </c>
      <c r="C2029" s="5">
        <v>5.4746449315021098E-6</v>
      </c>
      <c r="D2029" s="6">
        <v>2.7800335435114501E-5</v>
      </c>
      <c r="E2029" s="3" t="s">
        <v>13025</v>
      </c>
      <c r="F2029" s="3" t="s">
        <v>13026</v>
      </c>
      <c r="G2029" s="3">
        <v>66612</v>
      </c>
      <c r="H2029" s="7" t="str">
        <f>HYPERLINK("http://www.ensembl.org/Mus_musculus/Gene/Summary?db=core;g=ENSMUSG00000038150","ENSMUSG00000038150")</f>
        <v>ENSMUSG00000038150</v>
      </c>
      <c r="I2029" s="7" t="str">
        <f>HYPERLINK("http://www.informatics.jax.org/marker/MGI:1913862","MGI:1913862")</f>
        <v>MGI:1913862</v>
      </c>
      <c r="J2029" s="4" t="s">
        <v>12</v>
      </c>
    </row>
    <row r="2030" spans="1:10" x14ac:dyDescent="0.25">
      <c r="A2030" s="2">
        <v>956.13368719740595</v>
      </c>
      <c r="B2030" s="3">
        <v>0.39642912969823502</v>
      </c>
      <c r="C2030" s="5">
        <v>2.08996190209464E-8</v>
      </c>
      <c r="D2030" s="6">
        <v>1.40759629215354E-7</v>
      </c>
      <c r="E2030" s="3" t="s">
        <v>5999</v>
      </c>
      <c r="F2030" s="3" t="s">
        <v>6000</v>
      </c>
      <c r="G2030" s="3">
        <v>66999</v>
      </c>
      <c r="H2030" s="7" t="str">
        <f>HYPERLINK("http://www.ensembl.org/Mus_musculus/Gene/Summary?db=core;g=ENSMUSG00000015804","ENSMUSG00000015804")</f>
        <v>ENSMUSG00000015804</v>
      </c>
      <c r="I2030" s="7" t="str">
        <f>HYPERLINK("http://www.informatics.jax.org/marker/MGI:1914249","MGI:1914249")</f>
        <v>MGI:1914249</v>
      </c>
      <c r="J2030" s="4" t="s">
        <v>12</v>
      </c>
    </row>
    <row r="2031" spans="1:10" x14ac:dyDescent="0.25">
      <c r="A2031" s="2">
        <v>322.27969945276402</v>
      </c>
      <c r="B2031" s="3">
        <v>0.39634978831495699</v>
      </c>
      <c r="C2031" s="5">
        <v>6.1402421026650199E-7</v>
      </c>
      <c r="D2031" s="6">
        <v>3.4937843372172899E-6</v>
      </c>
      <c r="E2031" s="3" t="s">
        <v>7404</v>
      </c>
      <c r="F2031" s="3" t="s">
        <v>7405</v>
      </c>
      <c r="G2031" s="3">
        <v>235040</v>
      </c>
      <c r="H2031" s="7" t="str">
        <f>HYPERLINK("http://www.ensembl.org/Mus_musculus/Gene/Summary?db=core;g=ENSMUSG00000002820","ENSMUSG00000002820")</f>
        <v>ENSMUSG00000002820</v>
      </c>
      <c r="I2031" s="7" t="str">
        <f>HYPERLINK("http://www.informatics.jax.org/marker/MGI:2444308","MGI:2444308")</f>
        <v>MGI:2444308</v>
      </c>
      <c r="J2031" s="4" t="s">
        <v>12</v>
      </c>
    </row>
    <row r="2032" spans="1:10" x14ac:dyDescent="0.25">
      <c r="A2032" s="2">
        <v>1058.60053643481</v>
      </c>
      <c r="B2032" s="3">
        <v>0.39610219046165501</v>
      </c>
      <c r="C2032" s="5">
        <v>8.6591659184339102E-11</v>
      </c>
      <c r="D2032" s="6">
        <v>7.44402353129519E-10</v>
      </c>
      <c r="E2032" s="3" t="s">
        <v>13265</v>
      </c>
      <c r="F2032" s="3" t="s">
        <v>13266</v>
      </c>
      <c r="G2032" s="3">
        <v>223701</v>
      </c>
      <c r="H2032" s="7" t="str">
        <f>HYPERLINK("http://www.ensembl.org/Mus_musculus/Gene/Summary?db=core;g=ENSMUSG00000042292","ENSMUSG00000042292")</f>
        <v>ENSMUSG00000042292</v>
      </c>
      <c r="I2032" s="7" t="str">
        <f>HYPERLINK("http://www.informatics.jax.org/marker/MGI:2384495","MGI:2384495")</f>
        <v>MGI:2384495</v>
      </c>
      <c r="J2032" s="4" t="s">
        <v>12</v>
      </c>
    </row>
    <row r="2033" spans="1:10" x14ac:dyDescent="0.25">
      <c r="A2033" s="2">
        <v>828.087325549056</v>
      </c>
      <c r="B2033" s="3">
        <v>0.39585319919581202</v>
      </c>
      <c r="C2033" s="5">
        <v>9.0129721765831405E-6</v>
      </c>
      <c r="D2033" s="6">
        <v>4.4335065564973699E-5</v>
      </c>
      <c r="E2033" s="3" t="s">
        <v>8699</v>
      </c>
      <c r="F2033" s="3" t="s">
        <v>8700</v>
      </c>
      <c r="G2033" s="3">
        <v>214763</v>
      </c>
      <c r="H2033" s="7" t="str">
        <f>HYPERLINK("http://www.ensembl.org/Mus_musculus/Gene/Summary?db=core;g=ENSMUSG00000032344","ENSMUSG00000032344")</f>
        <v>ENSMUSG00000032344</v>
      </c>
      <c r="I2033" s="7" t="str">
        <f>HYPERLINK("http://www.informatics.jax.org/marker/MGI:2442261","MGI:2442261")</f>
        <v>MGI:2442261</v>
      </c>
      <c r="J2033" s="4" t="s">
        <v>12</v>
      </c>
    </row>
    <row r="2034" spans="1:10" x14ac:dyDescent="0.25">
      <c r="A2034" s="2">
        <v>1683.6479318844899</v>
      </c>
      <c r="B2034" s="3">
        <v>0.39570346491320402</v>
      </c>
      <c r="C2034" s="3">
        <v>1.68567861307124E-3</v>
      </c>
      <c r="D2034" s="4">
        <v>5.6681720891556004E-3</v>
      </c>
      <c r="E2034" s="3" t="s">
        <v>11267</v>
      </c>
      <c r="F2034" s="3" t="s">
        <v>11268</v>
      </c>
      <c r="G2034" s="3">
        <v>13821</v>
      </c>
      <c r="H2034" s="7" t="str">
        <f>HYPERLINK("http://www.ensembl.org/Mus_musculus/Gene/Summary?db=core;g=ENSMUSG00000027624","ENSMUSG00000027624")</f>
        <v>ENSMUSG00000027624</v>
      </c>
      <c r="I2034" s="7" t="str">
        <f>HYPERLINK("http://www.informatics.jax.org/marker/MGI:103010","MGI:103010")</f>
        <v>MGI:103010</v>
      </c>
      <c r="J2034" s="4" t="s">
        <v>12</v>
      </c>
    </row>
    <row r="2035" spans="1:10" x14ac:dyDescent="0.25">
      <c r="A2035" s="2">
        <v>3682.5527318067402</v>
      </c>
      <c r="B2035" s="3">
        <v>0.395654423964033</v>
      </c>
      <c r="C2035" s="5">
        <v>1.8968038885865901E-8</v>
      </c>
      <c r="D2035" s="6">
        <v>1.28414750629608E-7</v>
      </c>
      <c r="E2035" s="3" t="s">
        <v>4817</v>
      </c>
      <c r="F2035" s="3" t="s">
        <v>4818</v>
      </c>
      <c r="G2035" s="3">
        <v>67204</v>
      </c>
      <c r="H2035" s="7" t="str">
        <f>HYPERLINK("http://www.ensembl.org/Mus_musculus/Gene/Summary?db=core;g=ENSMUSG00000074656","ENSMUSG00000074656")</f>
        <v>ENSMUSG00000074656</v>
      </c>
      <c r="I2035" s="7" t="str">
        <f>HYPERLINK("http://www.informatics.jax.org/marker/MGI:1914454","MGI:1914454")</f>
        <v>MGI:1914454</v>
      </c>
      <c r="J2035" s="4" t="s">
        <v>12</v>
      </c>
    </row>
    <row r="2036" spans="1:10" x14ac:dyDescent="0.25">
      <c r="A2036" s="2">
        <v>1.37188098421077</v>
      </c>
      <c r="B2036" s="3">
        <v>0.39563353530316397</v>
      </c>
      <c r="C2036" s="3">
        <v>0.37074447449440001</v>
      </c>
      <c r="D2036" s="4">
        <v>0.54964760820470504</v>
      </c>
      <c r="E2036" s="3" t="s">
        <v>9607</v>
      </c>
      <c r="F2036" s="3" t="s">
        <v>9608</v>
      </c>
      <c r="G2036" s="3" t="s">
        <v>83</v>
      </c>
      <c r="H2036" s="7" t="str">
        <f>HYPERLINK("http://www.ensembl.org/Mus_musculus/Gene/Summary?db=core;g=ENSMUSG00000063388","ENSMUSG00000063388")</f>
        <v>ENSMUSG00000063388</v>
      </c>
      <c r="I2036" s="7" t="str">
        <f>HYPERLINK("http://www.informatics.jax.org/marker/MGI:2384767","MGI:2384767")</f>
        <v>MGI:2384767</v>
      </c>
      <c r="J2036" s="4" t="s">
        <v>1043</v>
      </c>
    </row>
    <row r="2037" spans="1:10" x14ac:dyDescent="0.25">
      <c r="A2037" s="2">
        <v>3997.1761081837199</v>
      </c>
      <c r="B2037" s="3">
        <v>0.39533806656229198</v>
      </c>
      <c r="C2037" s="5">
        <v>6.47768173923558E-6</v>
      </c>
      <c r="D2037" s="6">
        <v>3.2612085551814499E-5</v>
      </c>
      <c r="E2037" s="3" t="s">
        <v>7324</v>
      </c>
      <c r="F2037" s="3" t="s">
        <v>7325</v>
      </c>
      <c r="G2037" s="3">
        <v>67771</v>
      </c>
      <c r="H2037" s="7" t="str">
        <f>HYPERLINK("http://www.ensembl.org/Mus_musculus/Gene/Summary?db=core;g=ENSMUSG00000008475","ENSMUSG00000008475")</f>
        <v>ENSMUSG00000008475</v>
      </c>
      <c r="I2037" s="7" t="str">
        <f>HYPERLINK("http://www.informatics.jax.org/marker/MGI:1915021","MGI:1915021")</f>
        <v>MGI:1915021</v>
      </c>
      <c r="J2037" s="4" t="s">
        <v>12</v>
      </c>
    </row>
    <row r="2038" spans="1:10" x14ac:dyDescent="0.25">
      <c r="A2038" s="2">
        <v>259.01099577024797</v>
      </c>
      <c r="B2038" s="3">
        <v>0.39528766175288399</v>
      </c>
      <c r="C2038" s="3">
        <v>1.4561565913451301E-3</v>
      </c>
      <c r="D2038" s="4">
        <v>4.96695749153376E-3</v>
      </c>
      <c r="E2038" s="3" t="s">
        <v>7804</v>
      </c>
      <c r="F2038" s="3" t="s">
        <v>7805</v>
      </c>
      <c r="G2038" s="3">
        <v>93730</v>
      </c>
      <c r="H2038" s="7" t="str">
        <f>HYPERLINK("http://www.ensembl.org/Mus_musculus/Gene/Summary?db=core;g=ENSMUSG00000025245","ENSMUSG00000025245")</f>
        <v>ENSMUSG00000025245</v>
      </c>
      <c r="I2038" s="7" t="str">
        <f>HYPERLINK("http://www.informatics.jax.org/marker/MGI:1934860","MGI:1934860")</f>
        <v>MGI:1934860</v>
      </c>
      <c r="J2038" s="4" t="s">
        <v>12</v>
      </c>
    </row>
    <row r="2039" spans="1:10" x14ac:dyDescent="0.25">
      <c r="A2039" s="2">
        <v>471.99330403664101</v>
      </c>
      <c r="B2039" s="3">
        <v>0.39523198782834001</v>
      </c>
      <c r="C2039" s="5">
        <v>2.3106957817772799E-7</v>
      </c>
      <c r="D2039" s="6">
        <v>1.3916864052508599E-6</v>
      </c>
      <c r="E2039" s="3" t="s">
        <v>6814</v>
      </c>
      <c r="F2039" s="3" t="s">
        <v>6815</v>
      </c>
      <c r="G2039" s="3" t="s">
        <v>83</v>
      </c>
      <c r="H2039" s="7" t="str">
        <f>HYPERLINK("http://www.ensembl.org/Mus_musculus/Gene/Summary?db=core;g=ENSMUSG00000071456","ENSMUSG00000071456")</f>
        <v>ENSMUSG00000071456</v>
      </c>
      <c r="I2039" s="7" t="str">
        <f>HYPERLINK("http://www.informatics.jax.org/marker/MGI:1915821","MGI:1915821")</f>
        <v>MGI:1915821</v>
      </c>
      <c r="J2039" s="4" t="s">
        <v>932</v>
      </c>
    </row>
    <row r="2040" spans="1:10" x14ac:dyDescent="0.25">
      <c r="A2040" s="2">
        <v>1559.6448379425899</v>
      </c>
      <c r="B2040" s="3">
        <v>0.39479079077269902</v>
      </c>
      <c r="C2040" s="5">
        <v>7.0523506796489694E-14</v>
      </c>
      <c r="D2040" s="6">
        <v>7.71946493312928E-13</v>
      </c>
      <c r="E2040" s="3" t="s">
        <v>2355</v>
      </c>
      <c r="F2040" s="3" t="s">
        <v>2356</v>
      </c>
      <c r="G2040" s="3">
        <v>72170</v>
      </c>
      <c r="H2040" s="7" t="str">
        <f>HYPERLINK("http://www.ensembl.org/Mus_musculus/Gene/Summary?db=core;g=ENSMUSG00000034203","ENSMUSG00000034203")</f>
        <v>ENSMUSG00000034203</v>
      </c>
      <c r="I2040" s="7" t="str">
        <f>HYPERLINK("http://www.informatics.jax.org/marker/MGI:1919420","MGI:1919420")</f>
        <v>MGI:1919420</v>
      </c>
      <c r="J2040" s="4" t="s">
        <v>12</v>
      </c>
    </row>
    <row r="2041" spans="1:10" x14ac:dyDescent="0.25">
      <c r="A2041" s="2">
        <v>1138.9953324569799</v>
      </c>
      <c r="B2041" s="3">
        <v>0.39463615976532301</v>
      </c>
      <c r="C2041" s="5">
        <v>4.5237608005576504E-12</v>
      </c>
      <c r="D2041" s="6">
        <v>4.3255792544681601E-11</v>
      </c>
      <c r="E2041" s="3" t="s">
        <v>5317</v>
      </c>
      <c r="F2041" s="3" t="s">
        <v>5318</v>
      </c>
      <c r="G2041" s="3">
        <v>14236</v>
      </c>
      <c r="H2041" s="7" t="str">
        <f>HYPERLINK("http://www.ensembl.org/Mus_musculus/Gene/Summary?db=core;g=ENSMUSG00000034998","ENSMUSG00000034998")</f>
        <v>ENSMUSG00000034998</v>
      </c>
      <c r="I2041" s="7" t="str">
        <f>HYPERLINK("http://www.informatics.jax.org/marker/MGI:1347478","MGI:1347478")</f>
        <v>MGI:1347478</v>
      </c>
      <c r="J2041" s="4" t="s">
        <v>12</v>
      </c>
    </row>
    <row r="2042" spans="1:10" x14ac:dyDescent="0.25">
      <c r="A2042" s="2">
        <v>2423.5869306442301</v>
      </c>
      <c r="B2042" s="3">
        <v>0.39364112652872002</v>
      </c>
      <c r="C2042" s="5">
        <v>2.6856765782693801E-6</v>
      </c>
      <c r="D2042" s="6">
        <v>1.4166846784069301E-5</v>
      </c>
      <c r="E2042" s="3" t="s">
        <v>4507</v>
      </c>
      <c r="F2042" s="3" t="s">
        <v>4508</v>
      </c>
      <c r="G2042" s="3">
        <v>78317</v>
      </c>
      <c r="H2042" s="7" t="str">
        <f>HYPERLINK("http://www.ensembl.org/Mus_musculus/Gene/Summary?db=core;g=ENSMUSG00000047810","ENSMUSG00000047810")</f>
        <v>ENSMUSG00000047810</v>
      </c>
      <c r="I2042" s="7" t="str">
        <f>HYPERLINK("http://www.informatics.jax.org/marker/MGI:1925567","MGI:1925567")</f>
        <v>MGI:1925567</v>
      </c>
      <c r="J2042" s="4" t="s">
        <v>12</v>
      </c>
    </row>
    <row r="2043" spans="1:10" x14ac:dyDescent="0.25">
      <c r="A2043" s="2">
        <v>3.20858661683733</v>
      </c>
      <c r="B2043" s="3">
        <v>0.39357402911015199</v>
      </c>
      <c r="C2043" s="3">
        <v>0.38388375141030201</v>
      </c>
      <c r="D2043" s="4">
        <v>0.56272274270910405</v>
      </c>
      <c r="E2043" s="3" t="s">
        <v>12877</v>
      </c>
      <c r="F2043" s="3" t="s">
        <v>12878</v>
      </c>
      <c r="G2043" s="3" t="s">
        <v>83</v>
      </c>
      <c r="H2043" s="7" t="str">
        <f>HYPERLINK("http://www.ensembl.org/Mus_musculus/Gene/Summary?db=core;g=ENSMUSG00000106492","ENSMUSG00000106492")</f>
        <v>ENSMUSG00000106492</v>
      </c>
      <c r="I2043" s="7" t="str">
        <f>HYPERLINK("http://www.informatics.jax.org/marker/MGI:5588866","MGI:5588866")</f>
        <v>MGI:5588866</v>
      </c>
      <c r="J2043" s="4" t="s">
        <v>939</v>
      </c>
    </row>
    <row r="2044" spans="1:10" x14ac:dyDescent="0.25">
      <c r="A2044" s="2">
        <v>683.11726472452801</v>
      </c>
      <c r="B2044" s="3">
        <v>0.39353246453134999</v>
      </c>
      <c r="C2044" s="5">
        <v>1.6971238383071901E-8</v>
      </c>
      <c r="D2044" s="6">
        <v>1.15195835952136E-7</v>
      </c>
      <c r="E2044" s="3" t="s">
        <v>13045</v>
      </c>
      <c r="F2044" s="3" t="s">
        <v>13046</v>
      </c>
      <c r="G2044" s="3">
        <v>83925</v>
      </c>
      <c r="H2044" s="7" t="str">
        <f>HYPERLINK("http://www.ensembl.org/Mus_musculus/Gene/Summary?db=core;g=ENSMUSG00000038679","ENSMUSG00000038679")</f>
        <v>ENSMUSG00000038679</v>
      </c>
      <c r="I2044" s="7" t="str">
        <f>HYPERLINK("http://www.informatics.jax.org/marker/MGI:1927616","MGI:1927616")</f>
        <v>MGI:1927616</v>
      </c>
      <c r="J2044" s="4" t="s">
        <v>12</v>
      </c>
    </row>
    <row r="2045" spans="1:10" x14ac:dyDescent="0.25">
      <c r="A2045" s="2">
        <v>143.99613569901999</v>
      </c>
      <c r="B2045" s="3">
        <v>0.39324115276016902</v>
      </c>
      <c r="C2045" s="3">
        <v>2.1980688512020798E-3</v>
      </c>
      <c r="D2045" s="4">
        <v>7.2101880513243096E-3</v>
      </c>
      <c r="E2045" s="3" t="s">
        <v>12607</v>
      </c>
      <c r="F2045" s="3" t="s">
        <v>12608</v>
      </c>
      <c r="G2045" s="3">
        <v>71910</v>
      </c>
      <c r="H2045" s="7" t="str">
        <f>HYPERLINK("http://www.ensembl.org/Mus_musculus/Gene/Summary?db=core;g=ENSMUSG00000031570","ENSMUSG00000031570")</f>
        <v>ENSMUSG00000031570</v>
      </c>
      <c r="I2045" s="7" t="str">
        <f>HYPERLINK("http://www.informatics.jax.org/marker/MGI:1919160","MGI:1919160")</f>
        <v>MGI:1919160</v>
      </c>
      <c r="J2045" s="4" t="s">
        <v>12</v>
      </c>
    </row>
    <row r="2046" spans="1:10" x14ac:dyDescent="0.25">
      <c r="A2046" s="2">
        <v>17.8583971651064</v>
      </c>
      <c r="B2046" s="3">
        <v>0.39249104315035599</v>
      </c>
      <c r="C2046" s="3">
        <v>0.21792023229499899</v>
      </c>
      <c r="D2046" s="4">
        <v>0.37479031086755699</v>
      </c>
      <c r="E2046" s="3" t="s">
        <v>12467</v>
      </c>
      <c r="F2046" s="3" t="s">
        <v>12468</v>
      </c>
      <c r="G2046" s="3">
        <v>14859</v>
      </c>
      <c r="H2046" s="7" t="str">
        <f>HYPERLINK("http://www.ensembl.org/Mus_musculus/Gene/Summary?db=core;g=ENSMUSG00000025934","ENSMUSG00000025934")</f>
        <v>ENSMUSG00000025934</v>
      </c>
      <c r="I2046" s="7" t="str">
        <f>HYPERLINK("http://www.informatics.jax.org/marker/MGI:95856","MGI:95856")</f>
        <v>MGI:95856</v>
      </c>
      <c r="J2046" s="4" t="s">
        <v>12</v>
      </c>
    </row>
    <row r="2047" spans="1:10" x14ac:dyDescent="0.25">
      <c r="A2047" s="2">
        <v>936.13445125110297</v>
      </c>
      <c r="B2047" s="3">
        <v>0.39247241947783101</v>
      </c>
      <c r="C2047" s="5">
        <v>2.4460736577207898E-11</v>
      </c>
      <c r="D2047" s="6">
        <v>2.2025539729230001E-10</v>
      </c>
      <c r="E2047" s="3" t="s">
        <v>3108</v>
      </c>
      <c r="F2047" s="3" t="s">
        <v>3109</v>
      </c>
      <c r="G2047" s="3">
        <v>76688</v>
      </c>
      <c r="H2047" s="7" t="str">
        <f>HYPERLINK("http://www.ensembl.org/Mus_musculus/Gene/Summary?db=core;g=ENSMUSG00000038671","ENSMUSG00000038671")</f>
        <v>ENSMUSG00000038671</v>
      </c>
      <c r="I2047" s="7" t="str">
        <f>HYPERLINK("http://www.informatics.jax.org/marker/MGI:1923938","MGI:1923938")</f>
        <v>MGI:1923938</v>
      </c>
      <c r="J2047" s="4" t="s">
        <v>12</v>
      </c>
    </row>
    <row r="2048" spans="1:10" x14ac:dyDescent="0.25">
      <c r="A2048" s="2">
        <v>1109.0801450891399</v>
      </c>
      <c r="B2048" s="3">
        <v>0.39170710987676</v>
      </c>
      <c r="C2048" s="5">
        <v>4.9927548807718E-13</v>
      </c>
      <c r="D2048" s="6">
        <v>5.1729936158081899E-12</v>
      </c>
      <c r="E2048" s="3" t="s">
        <v>4739</v>
      </c>
      <c r="F2048" s="3" t="s">
        <v>4740</v>
      </c>
      <c r="G2048" s="3">
        <v>338355</v>
      </c>
      <c r="H2048" s="7" t="str">
        <f>HYPERLINK("http://www.ensembl.org/Mus_musculus/Gene/Summary?db=core;g=ENSMUSG00000066151","ENSMUSG00000066151")</f>
        <v>ENSMUSG00000066151</v>
      </c>
      <c r="I2048" s="7" t="str">
        <f>HYPERLINK("http://www.informatics.jax.org/marker/MGI:2444782","MGI:2444782")</f>
        <v>MGI:2444782</v>
      </c>
      <c r="J2048" s="4" t="s">
        <v>12</v>
      </c>
    </row>
    <row r="2049" spans="1:10" x14ac:dyDescent="0.25">
      <c r="A2049" s="2">
        <v>628.17329854507204</v>
      </c>
      <c r="B2049" s="3">
        <v>0.39166789954967701</v>
      </c>
      <c r="C2049" s="5">
        <v>4.0796493451736202E-6</v>
      </c>
      <c r="D2049" s="6">
        <v>2.10747191938178E-5</v>
      </c>
      <c r="E2049" s="3" t="s">
        <v>5011</v>
      </c>
      <c r="F2049" s="3" t="s">
        <v>5012</v>
      </c>
      <c r="G2049" s="3">
        <v>234577</v>
      </c>
      <c r="H2049" s="7" t="str">
        <f>HYPERLINK("http://www.ensembl.org/Mus_musculus/Gene/Summary?db=core;g=ENSMUSG00000034361","ENSMUSG00000034361")</f>
        <v>ENSMUSG00000034361</v>
      </c>
      <c r="I2049" s="7" t="str">
        <f>HYPERLINK("http://www.informatics.jax.org/marker/MGI:2387578","MGI:2387578")</f>
        <v>MGI:2387578</v>
      </c>
      <c r="J2049" s="4" t="s">
        <v>12</v>
      </c>
    </row>
    <row r="2050" spans="1:10" x14ac:dyDescent="0.25">
      <c r="A2050" s="2">
        <v>9.2164851827212804</v>
      </c>
      <c r="B2050" s="3">
        <v>0.391394607720433</v>
      </c>
      <c r="C2050" s="3">
        <v>0.2670920709788</v>
      </c>
      <c r="D2050" s="4">
        <v>0.43578809253255502</v>
      </c>
      <c r="E2050" s="3" t="s">
        <v>7874</v>
      </c>
      <c r="F2050" s="3" t="s">
        <v>7875</v>
      </c>
      <c r="G2050" s="3" t="s">
        <v>83</v>
      </c>
      <c r="H2050" s="7" t="str">
        <f>HYPERLINK("http://www.ensembl.org/Mus_musculus/Gene/Summary?db=core;g=ENSMUSG00000105940","ENSMUSG00000105940")</f>
        <v>ENSMUSG00000105940</v>
      </c>
      <c r="I2050" s="7" t="str">
        <f>HYPERLINK("http://www.informatics.jax.org/marker/MGI:5662772","MGI:5662772")</f>
        <v>MGI:5662772</v>
      </c>
      <c r="J2050" s="4" t="s">
        <v>1828</v>
      </c>
    </row>
    <row r="2051" spans="1:10" x14ac:dyDescent="0.25">
      <c r="A2051" s="2">
        <v>164.546047743218</v>
      </c>
      <c r="B2051" s="3">
        <v>0.39113738157115302</v>
      </c>
      <c r="C2051" s="3">
        <v>1.68069281496589E-4</v>
      </c>
      <c r="D2051" s="4">
        <v>6.7632207005417105E-4</v>
      </c>
      <c r="E2051" s="3" t="s">
        <v>9151</v>
      </c>
      <c r="F2051" s="3" t="s">
        <v>9152</v>
      </c>
      <c r="G2051" s="3">
        <v>69478</v>
      </c>
      <c r="H2051" s="7" t="str">
        <f>HYPERLINK("http://www.ensembl.org/Mus_musculus/Gene/Summary?db=core;g=ENSMUSG00000032403","ENSMUSG00000032403")</f>
        <v>ENSMUSG00000032403</v>
      </c>
      <c r="I2051" s="7" t="str">
        <f>HYPERLINK("http://www.informatics.jax.org/marker/MGI:1916728","MGI:1916728")</f>
        <v>MGI:1916728</v>
      </c>
      <c r="J2051" s="4" t="s">
        <v>12</v>
      </c>
    </row>
    <row r="2052" spans="1:10" x14ac:dyDescent="0.25">
      <c r="A2052" s="2">
        <v>2226.5156501581901</v>
      </c>
      <c r="B2052" s="3">
        <v>0.39049625106087299</v>
      </c>
      <c r="C2052" s="5">
        <v>4.21808617489781E-9</v>
      </c>
      <c r="D2052" s="6">
        <v>3.0762153076235599E-8</v>
      </c>
      <c r="E2052" s="3" t="s">
        <v>3036</v>
      </c>
      <c r="F2052" s="3" t="s">
        <v>3037</v>
      </c>
      <c r="G2052" s="3">
        <v>226517</v>
      </c>
      <c r="H2052" s="7" t="str">
        <f>HYPERLINK("http://www.ensembl.org/Mus_musculus/Gene/Summary?db=core;g=ENSMUSG00000042772","ENSMUSG00000042772")</f>
        <v>ENSMUSG00000042772</v>
      </c>
      <c r="I2052" s="7" t="str">
        <f>HYPERLINK("http://www.informatics.jax.org/marker/MGI:2682334","MGI:2682334")</f>
        <v>MGI:2682334</v>
      </c>
      <c r="J2052" s="4" t="s">
        <v>12</v>
      </c>
    </row>
    <row r="2053" spans="1:10" x14ac:dyDescent="0.25">
      <c r="A2053" s="2">
        <v>286.17247605268398</v>
      </c>
      <c r="B2053" s="3">
        <v>0.39035368396276898</v>
      </c>
      <c r="C2053" s="5">
        <v>6.6482239130308802E-6</v>
      </c>
      <c r="D2053" s="6">
        <v>3.3397235094629201E-5</v>
      </c>
      <c r="E2053" s="3" t="s">
        <v>8625</v>
      </c>
      <c r="F2053" s="3" t="s">
        <v>8626</v>
      </c>
      <c r="G2053" s="3">
        <v>66680</v>
      </c>
      <c r="H2053" s="7" t="str">
        <f>HYPERLINK("http://www.ensembl.org/Mus_musculus/Gene/Summary?db=core;g=ENSMUSG00000035399","ENSMUSG00000035399")</f>
        <v>ENSMUSG00000035399</v>
      </c>
      <c r="I2053" s="7" t="str">
        <f>HYPERLINK("http://www.informatics.jax.org/marker/MGI:1913930","MGI:1913930")</f>
        <v>MGI:1913930</v>
      </c>
      <c r="J2053" s="4" t="s">
        <v>12</v>
      </c>
    </row>
    <row r="2054" spans="1:10" x14ac:dyDescent="0.25">
      <c r="A2054" s="2">
        <v>388.209074730179</v>
      </c>
      <c r="B2054" s="3">
        <v>0.39009678119844599</v>
      </c>
      <c r="C2054" s="5">
        <v>7.4365978126190093E-5</v>
      </c>
      <c r="D2054" s="4">
        <v>3.1658957050918301E-4</v>
      </c>
      <c r="E2054" s="3" t="s">
        <v>7991</v>
      </c>
      <c r="F2054" s="3" t="s">
        <v>7992</v>
      </c>
      <c r="G2054" s="3">
        <v>110521</v>
      </c>
      <c r="H2054" s="7" t="str">
        <f>HYPERLINK("http://www.ensembl.org/Mus_musculus/Gene/Summary?db=core;g=ENSMUSG00000021366","ENSMUSG00000021366")</f>
        <v>ENSMUSG00000021366</v>
      </c>
      <c r="I2054" s="7" t="str">
        <f>HYPERLINK("http://www.informatics.jax.org/marker/MGI:96100","MGI:96100")</f>
        <v>MGI:96100</v>
      </c>
      <c r="J2054" s="4" t="s">
        <v>12</v>
      </c>
    </row>
    <row r="2055" spans="1:10" x14ac:dyDescent="0.25">
      <c r="A2055" s="2">
        <v>679.70405633149903</v>
      </c>
      <c r="B2055" s="3">
        <v>0.39000297214440199</v>
      </c>
      <c r="C2055" s="5">
        <v>4.2694085731966798E-7</v>
      </c>
      <c r="D2055" s="6">
        <v>2.4819767542746198E-6</v>
      </c>
      <c r="E2055" s="3" t="s">
        <v>7920</v>
      </c>
      <c r="F2055" s="3" t="s">
        <v>7921</v>
      </c>
      <c r="G2055" s="3">
        <v>54667</v>
      </c>
      <c r="H2055" s="7" t="str">
        <f>HYPERLINK("http://www.ensembl.org/Mus_musculus/Gene/Summary?db=core;g=ENSMUSG00000060671","ENSMUSG00000060671")</f>
        <v>ENSMUSG00000060671</v>
      </c>
      <c r="I2055" s="7" t="str">
        <f>HYPERLINK("http://www.informatics.jax.org/marker/MGI:1859660","MGI:1859660")</f>
        <v>MGI:1859660</v>
      </c>
      <c r="J2055" s="4" t="s">
        <v>12</v>
      </c>
    </row>
    <row r="2056" spans="1:10" x14ac:dyDescent="0.25">
      <c r="A2056" s="2">
        <v>2779.3618751438798</v>
      </c>
      <c r="B2056" s="3">
        <v>0.38953877753751498</v>
      </c>
      <c r="C2056" s="5">
        <v>2.4892783819494801E-11</v>
      </c>
      <c r="D2056" s="6">
        <v>2.2376429441782999E-10</v>
      </c>
      <c r="E2056" s="3" t="s">
        <v>2890</v>
      </c>
      <c r="F2056" s="3" t="s">
        <v>2891</v>
      </c>
      <c r="G2056" s="3">
        <v>12343</v>
      </c>
      <c r="H2056" s="7" t="str">
        <f>HYPERLINK("http://www.ensembl.org/Mus_musculus/Gene/Summary?db=core;g=ENSMUSG00000015733","ENSMUSG00000015733")</f>
        <v>ENSMUSG00000015733</v>
      </c>
      <c r="I2056" s="7" t="str">
        <f>HYPERLINK("http://www.informatics.jax.org/marker/MGI:106222","MGI:106222")</f>
        <v>MGI:106222</v>
      </c>
      <c r="J2056" s="4" t="s">
        <v>12</v>
      </c>
    </row>
    <row r="2057" spans="1:10" x14ac:dyDescent="0.25">
      <c r="A2057" s="2">
        <v>662.09652955711999</v>
      </c>
      <c r="B2057" s="3">
        <v>0.38928785027193502</v>
      </c>
      <c r="C2057" s="5">
        <v>6.1655407663511898E-9</v>
      </c>
      <c r="D2057" s="6">
        <v>4.3979248714970802E-8</v>
      </c>
      <c r="E2057" s="3" t="s">
        <v>3926</v>
      </c>
      <c r="F2057" s="3" t="s">
        <v>3927</v>
      </c>
      <c r="G2057" s="3">
        <v>23857</v>
      </c>
      <c r="H2057" s="7" t="str">
        <f>HYPERLINK("http://www.ensembl.org/Mus_musculus/Gene/Summary?db=core;g=ENSMUSG00000042508","ENSMUSG00000042508")</f>
        <v>ENSMUSG00000042508</v>
      </c>
      <c r="I2057" s="7" t="str">
        <f>HYPERLINK("http://www.informatics.jax.org/marker/MGI:1344415","MGI:1344415")</f>
        <v>MGI:1344415</v>
      </c>
      <c r="J2057" s="4" t="s">
        <v>12</v>
      </c>
    </row>
    <row r="2058" spans="1:10" x14ac:dyDescent="0.25">
      <c r="A2058" s="2">
        <v>1.0539040361391501</v>
      </c>
      <c r="B2058" s="3">
        <v>0.38879906652883001</v>
      </c>
      <c r="C2058" s="3">
        <v>0.33679441877327099</v>
      </c>
      <c r="D2058" s="4">
        <v>0.51446469551109397</v>
      </c>
      <c r="E2058" s="3" t="s">
        <v>13169</v>
      </c>
      <c r="F2058" s="3" t="s">
        <v>13170</v>
      </c>
      <c r="G2058" s="3" t="s">
        <v>83</v>
      </c>
      <c r="H2058" s="7" t="str">
        <f>HYPERLINK("http://www.ensembl.org/Mus_musculus/Gene/Summary?db=core;g=ENSMUSG00000085977","ENSMUSG00000085977")</f>
        <v>ENSMUSG00000085977</v>
      </c>
      <c r="I2058" s="7" t="str">
        <f>HYPERLINK("http://www.informatics.jax.org/marker/MGI:3646761","MGI:3646761")</f>
        <v>MGI:3646761</v>
      </c>
      <c r="J2058" s="4" t="s">
        <v>1043</v>
      </c>
    </row>
    <row r="2059" spans="1:10" x14ac:dyDescent="0.25">
      <c r="A2059" s="2">
        <v>2140.07587618459</v>
      </c>
      <c r="B2059" s="3">
        <v>0.38779655303747801</v>
      </c>
      <c r="C2059" s="5">
        <v>3.3877349422870702E-11</v>
      </c>
      <c r="D2059" s="6">
        <v>3.0132488688717301E-10</v>
      </c>
      <c r="E2059" s="3" t="s">
        <v>8549</v>
      </c>
      <c r="F2059" s="3" t="s">
        <v>8550</v>
      </c>
      <c r="G2059" s="3">
        <v>52626</v>
      </c>
      <c r="H2059" s="7" t="str">
        <f>HYPERLINK("http://www.ensembl.org/Mus_musculus/Gene/Summary?db=core;g=ENSMUSG00000020392","ENSMUSG00000020392")</f>
        <v>ENSMUSG00000020392</v>
      </c>
      <c r="I2059" s="7" t="str">
        <f>HYPERLINK("http://www.informatics.jax.org/marker/MGI:1261797","MGI:1261797")</f>
        <v>MGI:1261797</v>
      </c>
      <c r="J2059" s="4" t="s">
        <v>12</v>
      </c>
    </row>
    <row r="2060" spans="1:10" x14ac:dyDescent="0.25">
      <c r="A2060" s="2">
        <v>953.96494190177202</v>
      </c>
      <c r="B2060" s="3">
        <v>0.38774754780075299</v>
      </c>
      <c r="C2060" s="5">
        <v>4.4746793346391902E-11</v>
      </c>
      <c r="D2060" s="6">
        <v>3.9492024636222298E-10</v>
      </c>
      <c r="E2060" s="3" t="s">
        <v>7930</v>
      </c>
      <c r="F2060" s="3" t="s">
        <v>7931</v>
      </c>
      <c r="G2060" s="3">
        <v>209018</v>
      </c>
      <c r="H2060" s="7" t="str">
        <f>HYPERLINK("http://www.ensembl.org/Mus_musculus/Gene/Summary?db=core;g=ENSMUSG00000033653","ENSMUSG00000033653")</f>
        <v>ENSMUSG00000033653</v>
      </c>
      <c r="I2060" s="7" t="str">
        <f>HYPERLINK("http://www.informatics.jax.org/marker/MGI:2146407","MGI:2146407")</f>
        <v>MGI:2146407</v>
      </c>
      <c r="J2060" s="4" t="s">
        <v>12</v>
      </c>
    </row>
    <row r="2061" spans="1:10" x14ac:dyDescent="0.25">
      <c r="A2061" s="2">
        <v>880.88292879676396</v>
      </c>
      <c r="B2061" s="3">
        <v>0.38732991364442498</v>
      </c>
      <c r="C2061" s="5">
        <v>1.8930497429180199E-10</v>
      </c>
      <c r="D2061" s="6">
        <v>1.5797084049762301E-9</v>
      </c>
      <c r="E2061" s="3" t="s">
        <v>3574</v>
      </c>
      <c r="F2061" s="3" t="s">
        <v>3575</v>
      </c>
      <c r="G2061" s="3">
        <v>108841</v>
      </c>
      <c r="H2061" s="7" t="str">
        <f>HYPERLINK("http://www.ensembl.org/Mus_musculus/Gene/Summary?db=core;g=ENSMUSG00000008435","ENSMUSG00000008435")</f>
        <v>ENSMUSG00000008435</v>
      </c>
      <c r="I2061" s="7" t="str">
        <f>HYPERLINK("http://www.informatics.jax.org/marker/MGI:1918732","MGI:1918732")</f>
        <v>MGI:1918732</v>
      </c>
      <c r="J2061" s="4" t="s">
        <v>12</v>
      </c>
    </row>
    <row r="2062" spans="1:10" x14ac:dyDescent="0.25">
      <c r="A2062" s="2">
        <v>1583.4978257896501</v>
      </c>
      <c r="B2062" s="3">
        <v>0.38671759669508998</v>
      </c>
      <c r="C2062" s="5">
        <v>2.4773454647026599E-10</v>
      </c>
      <c r="D2062" s="6">
        <v>2.0522555042820902E-9</v>
      </c>
      <c r="E2062" s="3" t="s">
        <v>4385</v>
      </c>
      <c r="F2062" s="3" t="s">
        <v>4386</v>
      </c>
      <c r="G2062" s="3" t="s">
        <v>83</v>
      </c>
      <c r="H2062" s="7" t="str">
        <f>HYPERLINK("http://www.ensembl.org/Mus_musculus/Gene/Summary?db=core;g=ENSMUSG00000115232","ENSMUSG00000115232")</f>
        <v>ENSMUSG00000115232</v>
      </c>
      <c r="I2062" s="7" t="str">
        <f>HYPERLINK("http://www.informatics.jax.org/marker/MGI:6121598","MGI:6121598")</f>
        <v>MGI:6121598</v>
      </c>
      <c r="J2062" s="4" t="s">
        <v>12</v>
      </c>
    </row>
    <row r="2063" spans="1:10" x14ac:dyDescent="0.25">
      <c r="A2063" s="2">
        <v>376.886360826236</v>
      </c>
      <c r="B2063" s="3">
        <v>0.38648464382289299</v>
      </c>
      <c r="C2063" s="5">
        <v>2.46071173205838E-5</v>
      </c>
      <c r="D2063" s="4">
        <v>1.13535370422187E-4</v>
      </c>
      <c r="E2063" s="3" t="s">
        <v>9207</v>
      </c>
      <c r="F2063" s="3" t="s">
        <v>9208</v>
      </c>
      <c r="G2063" s="3">
        <v>72962</v>
      </c>
      <c r="H2063" s="7" t="str">
        <f>HYPERLINK("http://www.ensembl.org/Mus_musculus/Gene/Summary?db=core;g=ENSMUSG00000022615","ENSMUSG00000022615")</f>
        <v>ENSMUSG00000022615</v>
      </c>
      <c r="I2063" s="7" t="str">
        <f>HYPERLINK("http://www.informatics.jax.org/marker/MGI:1920212","MGI:1920212")</f>
        <v>MGI:1920212</v>
      </c>
      <c r="J2063" s="4" t="s">
        <v>12</v>
      </c>
    </row>
    <row r="2064" spans="1:10" x14ac:dyDescent="0.25">
      <c r="A2064" s="2">
        <v>2160.7275683985099</v>
      </c>
      <c r="B2064" s="3">
        <v>0.38614161763779498</v>
      </c>
      <c r="C2064" s="5">
        <v>5.8966884281045797E-16</v>
      </c>
      <c r="D2064" s="6">
        <v>7.3759194648048006E-15</v>
      </c>
      <c r="E2064" s="3" t="s">
        <v>4016</v>
      </c>
      <c r="F2064" s="3" t="s">
        <v>4017</v>
      </c>
      <c r="G2064" s="3">
        <v>213773</v>
      </c>
      <c r="H2064" s="7" t="str">
        <f>HYPERLINK("http://www.ensembl.org/Mus_musculus/Gene/Summary?db=core;g=ENSMUSG00000040688","ENSMUSG00000040688")</f>
        <v>ENSMUSG00000040688</v>
      </c>
      <c r="I2064" s="7" t="str">
        <f>HYPERLINK("http://www.informatics.jax.org/marker/MGI:2384863","MGI:2384863")</f>
        <v>MGI:2384863</v>
      </c>
      <c r="J2064" s="4" t="s">
        <v>12</v>
      </c>
    </row>
    <row r="2065" spans="1:10" x14ac:dyDescent="0.25">
      <c r="A2065" s="2">
        <v>1899.78480055817</v>
      </c>
      <c r="B2065" s="3">
        <v>0.38612960969316701</v>
      </c>
      <c r="C2065" s="5">
        <v>2.6594918885888198E-19</v>
      </c>
      <c r="D2065" s="6">
        <v>4.01900826447191E-18</v>
      </c>
      <c r="E2065" s="3" t="s">
        <v>3074</v>
      </c>
      <c r="F2065" s="3" t="s">
        <v>3075</v>
      </c>
      <c r="G2065" s="3">
        <v>231672</v>
      </c>
      <c r="H2065" s="7" t="str">
        <f>HYPERLINK("http://www.ensembl.org/Mus_musculus/Gene/Summary?db=core;g=ENSMUSG00000032867","ENSMUSG00000032867")</f>
        <v>ENSMUSG00000032867</v>
      </c>
      <c r="I2065" s="7" t="str">
        <f>HYPERLINK("http://www.informatics.jax.org/marker/MGI:1923041","MGI:1923041")</f>
        <v>MGI:1923041</v>
      </c>
      <c r="J2065" s="4" t="s">
        <v>12</v>
      </c>
    </row>
    <row r="2066" spans="1:10" x14ac:dyDescent="0.25">
      <c r="A2066" s="2">
        <v>293.04264826670698</v>
      </c>
      <c r="B2066" s="3">
        <v>0.38532737194056199</v>
      </c>
      <c r="C2066" s="5">
        <v>9.8383503854564407E-7</v>
      </c>
      <c r="D2066" s="6">
        <v>5.4715879089088698E-6</v>
      </c>
      <c r="E2066" s="3" t="s">
        <v>9079</v>
      </c>
      <c r="F2066" s="3" t="s">
        <v>9080</v>
      </c>
      <c r="G2066" s="3">
        <v>382985</v>
      </c>
      <c r="H2066" s="7" t="str">
        <f>HYPERLINK("http://www.ensembl.org/Mus_musculus/Gene/Summary?db=core;g=ENSMUSG00000022292","ENSMUSG00000022292")</f>
        <v>ENSMUSG00000022292</v>
      </c>
      <c r="I2066" s="7" t="str">
        <f>HYPERLINK("http://www.informatics.jax.org/marker/MGI:2155865","MGI:2155865")</f>
        <v>MGI:2155865</v>
      </c>
      <c r="J2066" s="4" t="s">
        <v>12</v>
      </c>
    </row>
    <row r="2067" spans="1:10" x14ac:dyDescent="0.25">
      <c r="A2067" s="2">
        <v>341.55781046631802</v>
      </c>
      <c r="B2067" s="3">
        <v>0.38530225386741401</v>
      </c>
      <c r="C2067" s="5">
        <v>7.7728200994672705E-7</v>
      </c>
      <c r="D2067" s="6">
        <v>4.3695140750398196E-6</v>
      </c>
      <c r="E2067" s="3" t="s">
        <v>6483</v>
      </c>
      <c r="F2067" s="3" t="s">
        <v>6484</v>
      </c>
      <c r="G2067" s="3">
        <v>66225</v>
      </c>
      <c r="H2067" s="7" t="str">
        <f>HYPERLINK("http://www.ensembl.org/Mus_musculus/Gene/Summary?db=core;g=ENSMUSG00000020224","ENSMUSG00000020224")</f>
        <v>ENSMUSG00000020224</v>
      </c>
      <c r="I2067" s="7" t="str">
        <f>HYPERLINK("http://www.informatics.jax.org/marker/MGI:1913475","MGI:1913475")</f>
        <v>MGI:1913475</v>
      </c>
      <c r="J2067" s="4" t="s">
        <v>12</v>
      </c>
    </row>
    <row r="2068" spans="1:10" x14ac:dyDescent="0.25">
      <c r="A2068" s="2">
        <v>440.41699080525501</v>
      </c>
      <c r="B2068" s="3">
        <v>0.38529809084407401</v>
      </c>
      <c r="C2068" s="3">
        <v>2.6389164489817499E-4</v>
      </c>
      <c r="D2068" s="4">
        <v>1.02371758796706E-3</v>
      </c>
      <c r="E2068" s="3" t="s">
        <v>12691</v>
      </c>
      <c r="F2068" s="3" t="s">
        <v>12692</v>
      </c>
      <c r="G2068" s="3">
        <v>69632</v>
      </c>
      <c r="H2068" s="7" t="str">
        <f>HYPERLINK("http://www.ensembl.org/Mus_musculus/Gene/Summary?db=core;g=ENSMUSG00000059495","ENSMUSG00000059495")</f>
        <v>ENSMUSG00000059495</v>
      </c>
      <c r="I2068" s="7" t="str">
        <f>HYPERLINK("http://www.informatics.jax.org/marker/MGI:1916882","MGI:1916882")</f>
        <v>MGI:1916882</v>
      </c>
      <c r="J2068" s="4" t="s">
        <v>12</v>
      </c>
    </row>
    <row r="2069" spans="1:10" x14ac:dyDescent="0.25">
      <c r="A2069" s="2">
        <v>1197.69181118047</v>
      </c>
      <c r="B2069" s="3">
        <v>0.38492683071425599</v>
      </c>
      <c r="C2069" s="5">
        <v>8.6220203016052094E-9</v>
      </c>
      <c r="D2069" s="6">
        <v>6.0437046152597997E-8</v>
      </c>
      <c r="E2069" s="3" t="s">
        <v>7532</v>
      </c>
      <c r="F2069" s="3" t="s">
        <v>7533</v>
      </c>
      <c r="G2069" s="3">
        <v>17776</v>
      </c>
      <c r="H2069" s="7" t="str">
        <f>HYPERLINK("http://www.ensembl.org/Mus_musculus/Gene/Summary?db=core;g=ENSMUSG00000003810","ENSMUSG00000003810")</f>
        <v>ENSMUSG00000003810</v>
      </c>
      <c r="I2069" s="7" t="str">
        <f>HYPERLINK("http://www.informatics.jax.org/marker/MGI:894676","MGI:894676")</f>
        <v>MGI:894676</v>
      </c>
      <c r="J2069" s="4" t="s">
        <v>12</v>
      </c>
    </row>
    <row r="2070" spans="1:10" x14ac:dyDescent="0.25">
      <c r="A2070" s="2">
        <v>1358.43227100893</v>
      </c>
      <c r="B2070" s="3">
        <v>0.38470746680455897</v>
      </c>
      <c r="C2070" s="5">
        <v>1.8213067189437401E-5</v>
      </c>
      <c r="D2070" s="6">
        <v>8.57265365515231E-5</v>
      </c>
      <c r="E2070" s="3" t="s">
        <v>6631</v>
      </c>
      <c r="F2070" s="3" t="s">
        <v>6632</v>
      </c>
      <c r="G2070" s="3">
        <v>229227</v>
      </c>
      <c r="H2070" s="7" t="str">
        <f>HYPERLINK("http://www.ensembl.org/Mus_musculus/Gene/Summary?db=core;g=ENSMUSG00000037270","ENSMUSG00000037270")</f>
        <v>ENSMUSG00000037270</v>
      </c>
      <c r="I2070" s="7" t="str">
        <f>HYPERLINK("http://www.informatics.jax.org/marker/MGI:2444631","MGI:2444631")</f>
        <v>MGI:2444631</v>
      </c>
      <c r="J2070" s="4" t="s">
        <v>12</v>
      </c>
    </row>
    <row r="2071" spans="1:10" x14ac:dyDescent="0.25">
      <c r="A2071" s="2">
        <v>1008.40365472803</v>
      </c>
      <c r="B2071" s="3">
        <v>0.38467815506987102</v>
      </c>
      <c r="C2071" s="5">
        <v>3.1322524659330999E-6</v>
      </c>
      <c r="D2071" s="6">
        <v>1.6399109793631299E-5</v>
      </c>
      <c r="E2071" s="3" t="s">
        <v>5267</v>
      </c>
      <c r="F2071" s="3" t="s">
        <v>5268</v>
      </c>
      <c r="G2071" s="3">
        <v>217431</v>
      </c>
      <c r="H2071" s="7" t="str">
        <f>HYPERLINK("http://www.ensembl.org/Mus_musculus/Gene/Summary?db=core;g=ENSMUSG00000061458","ENSMUSG00000061458")</f>
        <v>ENSMUSG00000061458</v>
      </c>
      <c r="I2071" s="7" t="str">
        <f>HYPERLINK("http://www.informatics.jax.org/marker/MGI:2684913","MGI:2684913")</f>
        <v>MGI:2684913</v>
      </c>
      <c r="J2071" s="4" t="s">
        <v>12</v>
      </c>
    </row>
    <row r="2072" spans="1:10" x14ac:dyDescent="0.25">
      <c r="A2072" s="2">
        <v>12.168562223234</v>
      </c>
      <c r="B2072" s="3">
        <v>0.38464287800602898</v>
      </c>
      <c r="C2072" s="3">
        <v>0.34318377276480899</v>
      </c>
      <c r="D2072" s="4">
        <v>0.52103667599455505</v>
      </c>
      <c r="E2072" s="3" t="s">
        <v>12390</v>
      </c>
      <c r="F2072" s="3" t="s">
        <v>12391</v>
      </c>
      <c r="G2072" s="3">
        <v>75605</v>
      </c>
      <c r="H2072" s="7" t="str">
        <f>HYPERLINK("http://www.ensembl.org/Mus_musculus/Gene/Summary?db=core;g=ENSMUSG00000042207","ENSMUSG00000042207")</f>
        <v>ENSMUSG00000042207</v>
      </c>
      <c r="I2072" s="7" t="str">
        <f>HYPERLINK("http://www.informatics.jax.org/marker/MGI:1922855","MGI:1922855")</f>
        <v>MGI:1922855</v>
      </c>
      <c r="J2072" s="4" t="s">
        <v>12</v>
      </c>
    </row>
    <row r="2073" spans="1:10" x14ac:dyDescent="0.25">
      <c r="A2073" s="2">
        <v>3693.56987543371</v>
      </c>
      <c r="B2073" s="3">
        <v>0.38415228985845401</v>
      </c>
      <c r="C2073" s="5">
        <v>5.0582242622670997E-24</v>
      </c>
      <c r="D2073" s="6">
        <v>9.6227700605237996E-23</v>
      </c>
      <c r="E2073" s="3" t="s">
        <v>1814</v>
      </c>
      <c r="F2073" s="3" t="s">
        <v>1815</v>
      </c>
      <c r="G2073" s="3">
        <v>55944</v>
      </c>
      <c r="H2073" s="7" t="str">
        <f>HYPERLINK("http://www.ensembl.org/Mus_musculus/Gene/Summary?db=core;g=ENSMUSG00000016554","ENSMUSG00000016554")</f>
        <v>ENSMUSG00000016554</v>
      </c>
      <c r="I2073" s="7" t="str">
        <f>HYPERLINK("http://www.informatics.jax.org/marker/MGI:1933181","MGI:1933181")</f>
        <v>MGI:1933181</v>
      </c>
      <c r="J2073" s="4" t="s">
        <v>12</v>
      </c>
    </row>
    <row r="2074" spans="1:10" x14ac:dyDescent="0.25">
      <c r="A2074" s="2">
        <v>309.55684879120798</v>
      </c>
      <c r="B2074" s="3">
        <v>0.38404414923208902</v>
      </c>
      <c r="C2074" s="5">
        <v>1.7289898785941099E-5</v>
      </c>
      <c r="D2074" s="6">
        <v>8.1613158604966501E-5</v>
      </c>
      <c r="E2074" s="3" t="s">
        <v>9437</v>
      </c>
      <c r="F2074" s="3" t="s">
        <v>9438</v>
      </c>
      <c r="G2074" s="3">
        <v>66689</v>
      </c>
      <c r="H2074" s="7" t="str">
        <f>HYPERLINK("http://www.ensembl.org/Mus_musculus/Gene/Summary?db=core;g=ENSMUSG00000020948","ENSMUSG00000020948")</f>
        <v>ENSMUSG00000020948</v>
      </c>
      <c r="I2074" s="7" t="str">
        <f>HYPERLINK("http://www.informatics.jax.org/marker/MGI:1913939","MGI:1913939")</f>
        <v>MGI:1913939</v>
      </c>
      <c r="J2074" s="4" t="s">
        <v>12</v>
      </c>
    </row>
    <row r="2075" spans="1:10" x14ac:dyDescent="0.25">
      <c r="A2075" s="2">
        <v>1077.38295363624</v>
      </c>
      <c r="B2075" s="3">
        <v>0.384031049968726</v>
      </c>
      <c r="C2075" s="5">
        <v>4.9710591376157502E-11</v>
      </c>
      <c r="D2075" s="6">
        <v>4.36614712207456E-10</v>
      </c>
      <c r="E2075" s="3" t="s">
        <v>9431</v>
      </c>
      <c r="F2075" s="3" t="s">
        <v>9432</v>
      </c>
      <c r="G2075" s="3">
        <v>67630</v>
      </c>
      <c r="H2075" s="7" t="str">
        <f>HYPERLINK("http://www.ensembl.org/Mus_musculus/Gene/Summary?db=core;g=ENSMUSG00000021770","ENSMUSG00000021770")</f>
        <v>ENSMUSG00000021770</v>
      </c>
      <c r="I2075" s="7" t="str">
        <f>HYPERLINK("http://www.informatics.jax.org/marker/MGI:1914880","MGI:1914880")</f>
        <v>MGI:1914880</v>
      </c>
      <c r="J2075" s="4" t="s">
        <v>12</v>
      </c>
    </row>
    <row r="2076" spans="1:10" x14ac:dyDescent="0.25">
      <c r="A2076" s="2">
        <v>1659.87439827717</v>
      </c>
      <c r="B2076" s="3">
        <v>0.38326237911296701</v>
      </c>
      <c r="C2076" s="5">
        <v>6.4634810645151798E-8</v>
      </c>
      <c r="D2076" s="6">
        <v>4.1158697334609499E-7</v>
      </c>
      <c r="E2076" s="3" t="s">
        <v>4619</v>
      </c>
      <c r="F2076" s="3" t="s">
        <v>4620</v>
      </c>
      <c r="G2076" s="3">
        <v>52392</v>
      </c>
      <c r="H2076" s="7" t="str">
        <f>HYPERLINK("http://www.ensembl.org/Mus_musculus/Gene/Summary?db=core;g=ENSMUSG00000044768","ENSMUSG00000044768")</f>
        <v>ENSMUSG00000044768</v>
      </c>
      <c r="I2076" s="7" t="str">
        <f>HYPERLINK("http://www.informatics.jax.org/marker/MGI:1277184","MGI:1277184")</f>
        <v>MGI:1277184</v>
      </c>
      <c r="J2076" s="4" t="s">
        <v>12</v>
      </c>
    </row>
    <row r="2077" spans="1:10" x14ac:dyDescent="0.25">
      <c r="A2077" s="2">
        <v>8629.6878349285507</v>
      </c>
      <c r="B2077" s="3">
        <v>0.38323155746860998</v>
      </c>
      <c r="C2077" s="5">
        <v>5.11315405231316E-22</v>
      </c>
      <c r="D2077" s="6">
        <v>8.8581019584988E-21</v>
      </c>
      <c r="E2077" s="3" t="s">
        <v>3214</v>
      </c>
      <c r="F2077" s="3" t="s">
        <v>3215</v>
      </c>
      <c r="G2077" s="3">
        <v>11938</v>
      </c>
      <c r="H2077" s="7" t="str">
        <f>HYPERLINK("http://www.ensembl.org/Mus_musculus/Gene/Summary?db=core;g=ENSMUSG00000029467","ENSMUSG00000029467")</f>
        <v>ENSMUSG00000029467</v>
      </c>
      <c r="I2077" s="7" t="str">
        <f>HYPERLINK("http://www.informatics.jax.org/marker/MGI:88110","MGI:88110")</f>
        <v>MGI:88110</v>
      </c>
      <c r="J2077" s="4" t="s">
        <v>12</v>
      </c>
    </row>
    <row r="2078" spans="1:10" x14ac:dyDescent="0.25">
      <c r="A2078" s="2">
        <v>5716.3524396472903</v>
      </c>
      <c r="B2078" s="3">
        <v>0.38303391390381503</v>
      </c>
      <c r="C2078" s="5">
        <v>3.2891036613623002E-16</v>
      </c>
      <c r="D2078" s="6">
        <v>4.1948155513175498E-15</v>
      </c>
      <c r="E2078" s="3" t="s">
        <v>3536</v>
      </c>
      <c r="F2078" s="3" t="s">
        <v>3537</v>
      </c>
      <c r="G2078" s="3">
        <v>66865</v>
      </c>
      <c r="H2078" s="7" t="str">
        <f>HYPERLINK("http://www.ensembl.org/Mus_musculus/Gene/Summary?db=core;g=ENSMUSG00000026926","ENSMUSG00000026926")</f>
        <v>ENSMUSG00000026926</v>
      </c>
      <c r="I2078" s="7" t="str">
        <f>HYPERLINK("http://www.informatics.jax.org/marker/MGI:1918568","MGI:1918568")</f>
        <v>MGI:1918568</v>
      </c>
      <c r="J2078" s="4" t="s">
        <v>12</v>
      </c>
    </row>
    <row r="2079" spans="1:10" x14ac:dyDescent="0.25">
      <c r="A2079" s="2">
        <v>3059.0201782187801</v>
      </c>
      <c r="B2079" s="3">
        <v>0.382935589170386</v>
      </c>
      <c r="C2079" s="5">
        <v>7.7875421274071403E-10</v>
      </c>
      <c r="D2079" s="6">
        <v>6.14406732779199E-9</v>
      </c>
      <c r="E2079" s="3" t="s">
        <v>3744</v>
      </c>
      <c r="F2079" s="3" t="s">
        <v>3745</v>
      </c>
      <c r="G2079" s="3">
        <v>26443</v>
      </c>
      <c r="H2079" s="7" t="str">
        <f>HYPERLINK("http://www.ensembl.org/Mus_musculus/Gene/Summary?db=core;g=ENSMUSG00000021024","ENSMUSG00000021024")</f>
        <v>ENSMUSG00000021024</v>
      </c>
      <c r="I2079" s="7" t="str">
        <f>HYPERLINK("http://www.informatics.jax.org/marker/MGI:1347006","MGI:1347006")</f>
        <v>MGI:1347006</v>
      </c>
      <c r="J2079" s="4" t="s">
        <v>12</v>
      </c>
    </row>
    <row r="2080" spans="1:10" x14ac:dyDescent="0.25">
      <c r="A2080" s="2">
        <v>296.733361930868</v>
      </c>
      <c r="B2080" s="3">
        <v>0.38256456330711502</v>
      </c>
      <c r="C2080" s="5">
        <v>2.5903084252670102E-6</v>
      </c>
      <c r="D2080" s="6">
        <v>1.3707424811408601E-5</v>
      </c>
      <c r="E2080" s="3" t="s">
        <v>4949</v>
      </c>
      <c r="F2080" s="3" t="s">
        <v>4950</v>
      </c>
      <c r="G2080" s="3">
        <v>76167</v>
      </c>
      <c r="H2080" s="7" t="str">
        <f>HYPERLINK("http://www.ensembl.org/Mus_musculus/Gene/Summary?db=core;g=ENSMUSG00000029402","ENSMUSG00000029402")</f>
        <v>ENSMUSG00000029402</v>
      </c>
      <c r="I2080" s="7" t="str">
        <f>HYPERLINK("http://www.informatics.jax.org/marker/MGI:1923417","MGI:1923417")</f>
        <v>MGI:1923417</v>
      </c>
      <c r="J2080" s="4" t="s">
        <v>12</v>
      </c>
    </row>
    <row r="2081" spans="1:10" x14ac:dyDescent="0.25">
      <c r="A2081" s="2">
        <v>2071.7450958202098</v>
      </c>
      <c r="B2081" s="3">
        <v>0.38205615264943299</v>
      </c>
      <c r="C2081" s="5">
        <v>2.7465732649220201E-15</v>
      </c>
      <c r="D2081" s="6">
        <v>3.2802292105638201E-14</v>
      </c>
      <c r="E2081" s="3" t="s">
        <v>3308</v>
      </c>
      <c r="F2081" s="3" t="s">
        <v>3309</v>
      </c>
      <c r="G2081" s="3">
        <v>59287</v>
      </c>
      <c r="H2081" s="7" t="str">
        <f>HYPERLINK("http://www.ensembl.org/Mus_musculus/Gene/Summary?db=core;g=ENSMUSG00000003458","ENSMUSG00000003458")</f>
        <v>ENSMUSG00000003458</v>
      </c>
      <c r="I2081" s="7" t="str">
        <f>HYPERLINK("http://www.informatics.jax.org/marker/MGI:1891700","MGI:1891700")</f>
        <v>MGI:1891700</v>
      </c>
      <c r="J2081" s="4" t="s">
        <v>12</v>
      </c>
    </row>
    <row r="2082" spans="1:10" x14ac:dyDescent="0.25">
      <c r="A2082" s="2">
        <v>608.91630176051694</v>
      </c>
      <c r="B2082" s="3">
        <v>0.38181970210618799</v>
      </c>
      <c r="C2082" s="5">
        <v>2.7287465306326602E-6</v>
      </c>
      <c r="D2082" s="6">
        <v>1.43815516254425E-5</v>
      </c>
      <c r="E2082" s="3" t="s">
        <v>4699</v>
      </c>
      <c r="F2082" s="3" t="s">
        <v>4700</v>
      </c>
      <c r="G2082" s="3">
        <v>16190</v>
      </c>
      <c r="H2082" s="7" t="str">
        <f>HYPERLINK("http://www.ensembl.org/Mus_musculus/Gene/Summary?db=core;g=ENSMUSG00000030748","ENSMUSG00000030748")</f>
        <v>ENSMUSG00000030748</v>
      </c>
      <c r="I2082" s="7" t="str">
        <f>HYPERLINK("http://www.informatics.jax.org/marker/MGI:105367","MGI:105367")</f>
        <v>MGI:105367</v>
      </c>
      <c r="J2082" s="4" t="s">
        <v>12</v>
      </c>
    </row>
    <row r="2083" spans="1:10" x14ac:dyDescent="0.25">
      <c r="A2083" s="2">
        <v>351.08602440427802</v>
      </c>
      <c r="B2083" s="3">
        <v>0.38155143180865603</v>
      </c>
      <c r="C2083" s="3">
        <v>8.7179766094481201E-4</v>
      </c>
      <c r="D2083" s="4">
        <v>3.09898817451126E-3</v>
      </c>
      <c r="E2083" s="3" t="s">
        <v>8053</v>
      </c>
      <c r="F2083" s="3" t="s">
        <v>8054</v>
      </c>
      <c r="G2083" s="3">
        <v>228608</v>
      </c>
      <c r="H2083" s="7" t="str">
        <f>HYPERLINK("http://www.ensembl.org/Mus_musculus/Gene/Summary?db=core;g=ENSMUSG00000027333","ENSMUSG00000027333")</f>
        <v>ENSMUSG00000027333</v>
      </c>
      <c r="I2083" s="7" t="str">
        <f>HYPERLINK("http://www.informatics.jax.org/marker/MGI:2445356","MGI:2445356")</f>
        <v>MGI:2445356</v>
      </c>
      <c r="J2083" s="4" t="s">
        <v>12</v>
      </c>
    </row>
    <row r="2084" spans="1:10" x14ac:dyDescent="0.25">
      <c r="A2084" s="2">
        <v>1345.9210110951301</v>
      </c>
      <c r="B2084" s="3">
        <v>0.38134920599962102</v>
      </c>
      <c r="C2084" s="5">
        <v>1.37739069429262E-10</v>
      </c>
      <c r="D2084" s="6">
        <v>1.16703604851153E-9</v>
      </c>
      <c r="E2084" s="3" t="s">
        <v>3922</v>
      </c>
      <c r="F2084" s="3" t="s">
        <v>3923</v>
      </c>
      <c r="G2084" s="3">
        <v>433667</v>
      </c>
      <c r="H2084" s="7" t="str">
        <f>HYPERLINK("http://www.ensembl.org/Mus_musculus/Gene/Summary?db=core;g=ENSMUSG00000039988","ENSMUSG00000039988")</f>
        <v>ENSMUSG00000039988</v>
      </c>
      <c r="I2084" s="7" t="str">
        <f>HYPERLINK("http://www.informatics.jax.org/marker/MGI:2139746","MGI:2139746")</f>
        <v>MGI:2139746</v>
      </c>
      <c r="J2084" s="4" t="s">
        <v>12</v>
      </c>
    </row>
    <row r="2085" spans="1:10" x14ac:dyDescent="0.25">
      <c r="A2085" s="2">
        <v>936.04284256107996</v>
      </c>
      <c r="B2085" s="3">
        <v>0.381129773303862</v>
      </c>
      <c r="C2085" s="5">
        <v>2.06188505643326E-8</v>
      </c>
      <c r="D2085" s="6">
        <v>1.3912571326729399E-7</v>
      </c>
      <c r="E2085" s="3" t="s">
        <v>4921</v>
      </c>
      <c r="F2085" s="3" t="s">
        <v>4922</v>
      </c>
      <c r="G2085" s="3">
        <v>20544</v>
      </c>
      <c r="H2085" s="7" t="str">
        <f>HYPERLINK("http://www.ensembl.org/Mus_musculus/Gene/Summary?db=core;g=ENSMUSG00000028854","ENSMUSG00000028854")</f>
        <v>ENSMUSG00000028854</v>
      </c>
      <c r="I2085" s="7" t="str">
        <f>HYPERLINK("http://www.informatics.jax.org/marker/MGI:102462","MGI:102462")</f>
        <v>MGI:102462</v>
      </c>
      <c r="J2085" s="4" t="s">
        <v>12</v>
      </c>
    </row>
    <row r="2086" spans="1:10" x14ac:dyDescent="0.25">
      <c r="A2086" s="2">
        <v>2023.56577104291</v>
      </c>
      <c r="B2086" s="3">
        <v>0.38074846708183602</v>
      </c>
      <c r="C2086" s="5">
        <v>1.97375489941741E-8</v>
      </c>
      <c r="D2086" s="6">
        <v>1.3342612404259E-7</v>
      </c>
      <c r="E2086" s="3" t="s">
        <v>7680</v>
      </c>
      <c r="F2086" s="3" t="s">
        <v>7681</v>
      </c>
      <c r="G2086" s="3">
        <v>50932</v>
      </c>
      <c r="H2086" s="7" t="str">
        <f>HYPERLINK("http://www.ensembl.org/Mus_musculus/Gene/Summary?db=core;g=ENSMUSG00000020827","ENSMUSG00000020827")</f>
        <v>ENSMUSG00000020827</v>
      </c>
      <c r="I2086" s="7" t="str">
        <f>HYPERLINK("http://www.informatics.jax.org/marker/MGI:1355329","MGI:1355329")</f>
        <v>MGI:1355329</v>
      </c>
      <c r="J2086" s="4" t="s">
        <v>12</v>
      </c>
    </row>
    <row r="2087" spans="1:10" x14ac:dyDescent="0.25">
      <c r="A2087" s="2">
        <v>5948.6480406160799</v>
      </c>
      <c r="B2087" s="3">
        <v>0.37975936151895701</v>
      </c>
      <c r="C2087" s="3">
        <v>2.55985575911927E-4</v>
      </c>
      <c r="D2087" s="4">
        <v>9.9537809280880697E-4</v>
      </c>
      <c r="E2087" s="3" t="s">
        <v>6037</v>
      </c>
      <c r="F2087" s="3" t="s">
        <v>6038</v>
      </c>
      <c r="G2087" s="3">
        <v>17909</v>
      </c>
      <c r="H2087" s="7" t="str">
        <f>HYPERLINK("http://www.ensembl.org/Mus_musculus/Gene/Summary?db=core;g=ENSMUSG00000022272","ENSMUSG00000022272")</f>
        <v>ENSMUSG00000022272</v>
      </c>
      <c r="I2087" s="7" t="str">
        <f>HYPERLINK("http://www.informatics.jax.org/marker/MGI:107716","MGI:107716")</f>
        <v>MGI:107716</v>
      </c>
      <c r="J2087" s="4" t="s">
        <v>12</v>
      </c>
    </row>
    <row r="2088" spans="1:10" x14ac:dyDescent="0.25">
      <c r="A2088" s="2">
        <v>451.19763954364601</v>
      </c>
      <c r="B2088" s="3">
        <v>0.37961285294501901</v>
      </c>
      <c r="C2088" s="3">
        <v>4.1157561708665198E-4</v>
      </c>
      <c r="D2088" s="4">
        <v>1.5497862854141E-3</v>
      </c>
      <c r="E2088" s="3" t="s">
        <v>4303</v>
      </c>
      <c r="F2088" s="3" t="s">
        <v>4304</v>
      </c>
      <c r="G2088" s="3">
        <v>228357</v>
      </c>
      <c r="H2088" s="7" t="str">
        <f>HYPERLINK("http://www.ensembl.org/Mus_musculus/Gene/Summary?db=core;g=ENSMUSG00000027253","ENSMUSG00000027253")</f>
        <v>ENSMUSG00000027253</v>
      </c>
      <c r="I2088" s="7" t="str">
        <f>HYPERLINK("http://www.informatics.jax.org/marker/MGI:2442252","MGI:2442252")</f>
        <v>MGI:2442252</v>
      </c>
      <c r="J2088" s="4" t="s">
        <v>12</v>
      </c>
    </row>
    <row r="2089" spans="1:10" x14ac:dyDescent="0.25">
      <c r="A2089" s="2">
        <v>384.14451665726398</v>
      </c>
      <c r="B2089" s="3">
        <v>0.37947641801005999</v>
      </c>
      <c r="C2089" s="5">
        <v>1.8094138464383398E-5</v>
      </c>
      <c r="D2089" s="6">
        <v>8.5210768349712406E-5</v>
      </c>
      <c r="E2089" s="3" t="s">
        <v>6501</v>
      </c>
      <c r="F2089" s="3" t="s">
        <v>6502</v>
      </c>
      <c r="G2089" s="3">
        <v>69085</v>
      </c>
      <c r="H2089" s="7" t="str">
        <f>HYPERLINK("http://www.ensembl.org/Mus_musculus/Gene/Summary?db=core;g=ENSMUSG00000021621","ENSMUSG00000021621")</f>
        <v>ENSMUSG00000021621</v>
      </c>
      <c r="I2089" s="7" t="str">
        <f>HYPERLINK("http://www.informatics.jax.org/marker/MGI:1916335","MGI:1916335")</f>
        <v>MGI:1916335</v>
      </c>
      <c r="J2089" s="4" t="s">
        <v>12</v>
      </c>
    </row>
    <row r="2090" spans="1:10" x14ac:dyDescent="0.25">
      <c r="A2090" s="2">
        <v>1628.80966976782</v>
      </c>
      <c r="B2090" s="3">
        <v>0.37942016205875301</v>
      </c>
      <c r="C2090" s="5">
        <v>1.3093733714434201E-19</v>
      </c>
      <c r="D2090" s="6">
        <v>2.0053218230719501E-18</v>
      </c>
      <c r="E2090" s="3" t="s">
        <v>2998</v>
      </c>
      <c r="F2090" s="3" t="s">
        <v>2999</v>
      </c>
      <c r="G2090" s="3">
        <v>170750</v>
      </c>
      <c r="H2090" s="7" t="str">
        <f>HYPERLINK("http://www.ensembl.org/Mus_musculus/Gene/Summary?db=core;g=ENSMUSG00000025027","ENSMUSG00000025027")</f>
        <v>ENSMUSG00000025027</v>
      </c>
      <c r="I2090" s="7" t="str">
        <f>HYPERLINK("http://www.informatics.jax.org/marker/MGI:2180003","MGI:2180003")</f>
        <v>MGI:2180003</v>
      </c>
      <c r="J2090" s="4" t="s">
        <v>12</v>
      </c>
    </row>
    <row r="2091" spans="1:10" x14ac:dyDescent="0.25">
      <c r="A2091" s="2">
        <v>2206.9289650462101</v>
      </c>
      <c r="B2091" s="3">
        <v>0.37933369533607098</v>
      </c>
      <c r="C2091" s="5">
        <v>2.4772828741788499E-11</v>
      </c>
      <c r="D2091" s="6">
        <v>2.22955458676097E-10</v>
      </c>
      <c r="E2091" s="3" t="s">
        <v>2385</v>
      </c>
      <c r="F2091" s="3" t="s">
        <v>2386</v>
      </c>
      <c r="G2091" s="3">
        <v>67895</v>
      </c>
      <c r="H2091" s="7" t="str">
        <f>HYPERLINK("http://www.ensembl.org/Mus_musculus/Gene/Summary?db=core;g=ENSMUSG00000020089","ENSMUSG00000020089")</f>
        <v>ENSMUSG00000020089</v>
      </c>
      <c r="I2091" s="7" t="str">
        <f>HYPERLINK("http://www.informatics.jax.org/marker/MGI:97831","MGI:97831")</f>
        <v>MGI:97831</v>
      </c>
      <c r="J2091" s="4" t="s">
        <v>12</v>
      </c>
    </row>
    <row r="2092" spans="1:10" x14ac:dyDescent="0.25">
      <c r="A2092" s="2">
        <v>267.25438607642599</v>
      </c>
      <c r="B2092" s="3">
        <v>0.37882783999995601</v>
      </c>
      <c r="C2092" s="3">
        <v>2.6520825194606201E-4</v>
      </c>
      <c r="D2092" s="4">
        <v>1.0283873173865901E-3</v>
      </c>
      <c r="E2092" s="3" t="s">
        <v>9325</v>
      </c>
      <c r="F2092" s="3" t="s">
        <v>9326</v>
      </c>
      <c r="G2092" s="3">
        <v>67912</v>
      </c>
      <c r="H2092" s="7" t="str">
        <f>HYPERLINK("http://www.ensembl.org/Mus_musculus/Gene/Summary?db=core;g=ENSMUSG00000050088","ENSMUSG00000050088")</f>
        <v>ENSMUSG00000050088</v>
      </c>
      <c r="I2092" s="7" t="str">
        <f>HYPERLINK("http://www.informatics.jax.org/marker/MGI:1915162","MGI:1915162")</f>
        <v>MGI:1915162</v>
      </c>
      <c r="J2092" s="4" t="s">
        <v>12</v>
      </c>
    </row>
    <row r="2093" spans="1:10" x14ac:dyDescent="0.25">
      <c r="A2093" s="2">
        <v>1630.57391197789</v>
      </c>
      <c r="B2093" s="3">
        <v>0.378336843733733</v>
      </c>
      <c r="C2093" s="5">
        <v>5.2505233997745296E-10</v>
      </c>
      <c r="D2093" s="6">
        <v>4.1988060096924502E-9</v>
      </c>
      <c r="E2093" s="3" t="s">
        <v>3120</v>
      </c>
      <c r="F2093" s="3" t="s">
        <v>3121</v>
      </c>
      <c r="G2093" s="3">
        <v>78655</v>
      </c>
      <c r="H2093" s="7" t="str">
        <f>HYPERLINK("http://www.ensembl.org/Mus_musculus/Gene/Summary?db=core;g=ENSMUSG00000027236","ENSMUSG00000027236")</f>
        <v>ENSMUSG00000027236</v>
      </c>
      <c r="I2093" s="7" t="str">
        <f>HYPERLINK("http://www.informatics.jax.org/marker/MGI:1925905","MGI:1925905")</f>
        <v>MGI:1925905</v>
      </c>
      <c r="J2093" s="4" t="s">
        <v>12</v>
      </c>
    </row>
    <row r="2094" spans="1:10" x14ac:dyDescent="0.25">
      <c r="A2094" s="2">
        <v>6700.0269167456599</v>
      </c>
      <c r="B2094" s="3">
        <v>0.37787485946917199</v>
      </c>
      <c r="C2094" s="5">
        <v>1.6665650544405801E-16</v>
      </c>
      <c r="D2094" s="6">
        <v>2.1633296379757498E-15</v>
      </c>
      <c r="E2094" s="3" t="s">
        <v>2740</v>
      </c>
      <c r="F2094" s="3" t="s">
        <v>2741</v>
      </c>
      <c r="G2094" s="3">
        <v>229663</v>
      </c>
      <c r="H2094" s="7" t="str">
        <f>HYPERLINK("http://www.ensembl.org/Mus_musculus/Gene/Summary?db=core;g=ENSMUSG00000068823","ENSMUSG00000068823")</f>
        <v>ENSMUSG00000068823</v>
      </c>
      <c r="I2094" s="7" t="str">
        <f>HYPERLINK("http://www.informatics.jax.org/marker/MGI:92356","MGI:92356")</f>
        <v>MGI:92356</v>
      </c>
      <c r="J2094" s="4" t="s">
        <v>12</v>
      </c>
    </row>
    <row r="2095" spans="1:10" x14ac:dyDescent="0.25">
      <c r="A2095" s="2">
        <v>1988.24850322919</v>
      </c>
      <c r="B2095" s="3">
        <v>0.37743042983745101</v>
      </c>
      <c r="C2095" s="5">
        <v>6.4355339067961803E-8</v>
      </c>
      <c r="D2095" s="6">
        <v>4.1009652255720398E-7</v>
      </c>
      <c r="E2095" s="3" t="s">
        <v>4687</v>
      </c>
      <c r="F2095" s="3" t="s">
        <v>4688</v>
      </c>
      <c r="G2095" s="3">
        <v>239273</v>
      </c>
      <c r="H2095" s="7" t="str">
        <f>HYPERLINK("http://www.ensembl.org/Mus_musculus/Gene/Summary?db=core;g=ENSMUSG00000032849","ENSMUSG00000032849")</f>
        <v>ENSMUSG00000032849</v>
      </c>
      <c r="I2095" s="7" t="str">
        <f>HYPERLINK("http://www.informatics.jax.org/marker/MGI:2443111","MGI:2443111")</f>
        <v>MGI:2443111</v>
      </c>
      <c r="J2095" s="4" t="s">
        <v>12</v>
      </c>
    </row>
    <row r="2096" spans="1:10" x14ac:dyDescent="0.25">
      <c r="A2096" s="2">
        <v>613.72870579413302</v>
      </c>
      <c r="B2096" s="3">
        <v>0.37740609874463499</v>
      </c>
      <c r="C2096" s="3">
        <v>2.1884990153712199E-3</v>
      </c>
      <c r="D2096" s="4">
        <v>7.18008902882818E-3</v>
      </c>
      <c r="E2096" s="3" t="s">
        <v>10246</v>
      </c>
      <c r="F2096" s="3" t="s">
        <v>10247</v>
      </c>
      <c r="G2096" s="3">
        <v>207728</v>
      </c>
      <c r="H2096" s="7" t="str">
        <f>HYPERLINK("http://www.ensembl.org/Mus_musculus/Gene/Summary?db=core;g=ENSMUSG00000110195","ENSMUSG00000110195")</f>
        <v>ENSMUSG00000110195</v>
      </c>
      <c r="I2096" s="7" t="str">
        <f>HYPERLINK("http://www.informatics.jax.org/marker/MGI:2446107","MGI:2446107")</f>
        <v>MGI:2446107</v>
      </c>
      <c r="J2096" s="4" t="s">
        <v>12</v>
      </c>
    </row>
    <row r="2097" spans="1:10" x14ac:dyDescent="0.25">
      <c r="A2097" s="2">
        <v>1279.95344484253</v>
      </c>
      <c r="B2097" s="3">
        <v>0.37658752927573502</v>
      </c>
      <c r="C2097" s="5">
        <v>3.4363605751665599E-17</v>
      </c>
      <c r="D2097" s="6">
        <v>4.6219683750856503E-16</v>
      </c>
      <c r="E2097" s="3" t="s">
        <v>3014</v>
      </c>
      <c r="F2097" s="3" t="s">
        <v>3015</v>
      </c>
      <c r="G2097" s="3">
        <v>67920</v>
      </c>
      <c r="H2097" s="7" t="str">
        <f>HYPERLINK("http://www.ensembl.org/Mus_musculus/Gene/Summary?db=core;g=ENSMUSG00000031578","ENSMUSG00000031578")</f>
        <v>ENSMUSG00000031578</v>
      </c>
      <c r="I2097" s="7" t="str">
        <f>HYPERLINK("http://www.informatics.jax.org/marker/MGI:1915170","MGI:1915170")</f>
        <v>MGI:1915170</v>
      </c>
      <c r="J2097" s="4" t="s">
        <v>12</v>
      </c>
    </row>
    <row r="2098" spans="1:10" x14ac:dyDescent="0.25">
      <c r="A2098" s="2">
        <v>45.507341853099199</v>
      </c>
      <c r="B2098" s="3">
        <v>0.37651744785859698</v>
      </c>
      <c r="C2098" s="3">
        <v>0.113585502437305</v>
      </c>
      <c r="D2098" s="4">
        <v>0.22560906998684199</v>
      </c>
      <c r="E2098" s="3" t="s">
        <v>10014</v>
      </c>
      <c r="F2098" s="3" t="s">
        <v>10015</v>
      </c>
      <c r="G2098" s="3" t="s">
        <v>83</v>
      </c>
      <c r="H2098" s="7" t="str">
        <f>HYPERLINK("http://www.ensembl.org/Mus_musculus/Gene/Summary?db=core;g=ENSMUSG00000074024","ENSMUSG00000074024")</f>
        <v>ENSMUSG00000074024</v>
      </c>
      <c r="I2098" s="7" t="str">
        <f>HYPERLINK("http://www.informatics.jax.org/marker/MGI:1915436","MGI:1915436")</f>
        <v>MGI:1915436</v>
      </c>
      <c r="J2098" s="4" t="s">
        <v>3187</v>
      </c>
    </row>
    <row r="2099" spans="1:10" x14ac:dyDescent="0.25">
      <c r="A2099" s="2">
        <v>2382.2456019717001</v>
      </c>
      <c r="B2099" s="3">
        <v>0.37618810807054598</v>
      </c>
      <c r="C2099" s="5">
        <v>2.00138115052156E-12</v>
      </c>
      <c r="D2099" s="6">
        <v>1.9726972129937999E-11</v>
      </c>
      <c r="E2099" s="3" t="s">
        <v>4935</v>
      </c>
      <c r="F2099" s="3" t="s">
        <v>4936</v>
      </c>
      <c r="G2099" s="3">
        <v>223601</v>
      </c>
      <c r="H2099" s="7" t="str">
        <f>HYPERLINK("http://www.ensembl.org/Mus_musculus/Gene/Summary?db=core;g=ENSMUSG00000022378","ENSMUSG00000022378")</f>
        <v>ENSMUSG00000022378</v>
      </c>
      <c r="I2099" s="7" t="str">
        <f>HYPERLINK("http://www.informatics.jax.org/marker/MGI:1923520","MGI:1923520")</f>
        <v>MGI:1923520</v>
      </c>
      <c r="J2099" s="4" t="s">
        <v>12</v>
      </c>
    </row>
    <row r="2100" spans="1:10" x14ac:dyDescent="0.25">
      <c r="A2100" s="2">
        <v>392.83690155457498</v>
      </c>
      <c r="B2100" s="3">
        <v>0.376051844472296</v>
      </c>
      <c r="C2100" s="5">
        <v>4.76454234514174E-7</v>
      </c>
      <c r="D2100" s="6">
        <v>2.7513873333399301E-6</v>
      </c>
      <c r="E2100" s="3" t="s">
        <v>6119</v>
      </c>
      <c r="F2100" s="3" t="s">
        <v>6120</v>
      </c>
      <c r="G2100" s="3">
        <v>17168</v>
      </c>
      <c r="H2100" s="7" t="str">
        <f>HYPERLINK("http://www.ensembl.org/Mus_musculus/Gene/Summary?db=core;g=ENSMUSG00000020289","ENSMUSG00000020289")</f>
        <v>ENSMUSG00000020289</v>
      </c>
      <c r="I2100" s="7" t="str">
        <f>HYPERLINK("http://www.informatics.jax.org/marker/MGI:109258","MGI:109258")</f>
        <v>MGI:109258</v>
      </c>
      <c r="J2100" s="4" t="s">
        <v>12</v>
      </c>
    </row>
    <row r="2101" spans="1:10" x14ac:dyDescent="0.25">
      <c r="A2101" s="2">
        <v>1485.65779813886</v>
      </c>
      <c r="B2101" s="3">
        <v>0.37579605192830301</v>
      </c>
      <c r="C2101" s="5">
        <v>3.93994705710265E-12</v>
      </c>
      <c r="D2101" s="6">
        <v>3.7912109353587999E-11</v>
      </c>
      <c r="E2101" s="3" t="s">
        <v>5641</v>
      </c>
      <c r="F2101" s="3" t="s">
        <v>5642</v>
      </c>
      <c r="G2101" s="3">
        <v>12725</v>
      </c>
      <c r="H2101" s="7" t="str">
        <f>HYPERLINK("http://www.ensembl.org/Mus_musculus/Gene/Summary?db=core;g=ENSMUSG00000004319","ENSMUSG00000004319")</f>
        <v>ENSMUSG00000004319</v>
      </c>
      <c r="I2101" s="7" t="str">
        <f>HYPERLINK("http://www.informatics.jax.org/marker/MGI:103555","MGI:103555")</f>
        <v>MGI:103555</v>
      </c>
      <c r="J2101" s="4" t="s">
        <v>12</v>
      </c>
    </row>
    <row r="2102" spans="1:10" x14ac:dyDescent="0.25">
      <c r="A2102" s="2">
        <v>76.988458699485903</v>
      </c>
      <c r="B2102" s="3">
        <v>0.37448042495828898</v>
      </c>
      <c r="C2102" s="3">
        <v>6.0737540951224201E-3</v>
      </c>
      <c r="D2102" s="4">
        <v>1.7911677731975099E-2</v>
      </c>
      <c r="E2102" s="3" t="s">
        <v>12459</v>
      </c>
      <c r="F2102" s="3" t="s">
        <v>12460</v>
      </c>
      <c r="G2102" s="3">
        <v>380855</v>
      </c>
      <c r="H2102" s="7" t="str">
        <f>HYPERLINK("http://www.ensembl.org/Mus_musculus/Gene/Summary?db=core;g=ENSMUSG00000058900","ENSMUSG00000058900")</f>
        <v>ENSMUSG00000058900</v>
      </c>
      <c r="I2102" s="7" t="str">
        <f>HYPERLINK("http://www.informatics.jax.org/marker/MGI:3044162","MGI:3044162")</f>
        <v>MGI:3044162</v>
      </c>
      <c r="J2102" s="4" t="s">
        <v>12</v>
      </c>
    </row>
    <row r="2103" spans="1:10" x14ac:dyDescent="0.25">
      <c r="A2103" s="2">
        <v>729.96494057625</v>
      </c>
      <c r="B2103" s="3">
        <v>0.374396984721801</v>
      </c>
      <c r="C2103" s="5">
        <v>1.48126553679143E-8</v>
      </c>
      <c r="D2103" s="6">
        <v>1.01298553125793E-7</v>
      </c>
      <c r="E2103" s="3" t="s">
        <v>8245</v>
      </c>
      <c r="F2103" s="3" t="s">
        <v>8246</v>
      </c>
      <c r="G2103" s="3">
        <v>399510</v>
      </c>
      <c r="H2103" s="7" t="str">
        <f>HYPERLINK("http://www.ensembl.org/Mus_musculus/Gene/Summary?db=core;g=ENSMUSG00000034761","ENSMUSG00000034761")</f>
        <v>ENSMUSG00000034761</v>
      </c>
      <c r="I2103" s="7" t="str">
        <f>HYPERLINK("http://www.informatics.jax.org/marker/MGI:1925503","MGI:1925503")</f>
        <v>MGI:1925503</v>
      </c>
      <c r="J2103" s="4" t="s">
        <v>12</v>
      </c>
    </row>
    <row r="2104" spans="1:10" x14ac:dyDescent="0.25">
      <c r="A2104" s="2">
        <v>521.54183517049796</v>
      </c>
      <c r="B2104" s="3">
        <v>0.37408581500717097</v>
      </c>
      <c r="C2104" s="5">
        <v>3.28346910933354E-6</v>
      </c>
      <c r="D2104" s="6">
        <v>1.71513971102333E-5</v>
      </c>
      <c r="E2104" s="3" t="s">
        <v>7018</v>
      </c>
      <c r="F2104" s="3" t="s">
        <v>7019</v>
      </c>
      <c r="G2104" s="3">
        <v>67704</v>
      </c>
      <c r="H2104" s="7" t="str">
        <f>HYPERLINK("http://www.ensembl.org/Mus_musculus/Gene/Summary?db=core;g=ENSMUSG00000054091","ENSMUSG00000054091")</f>
        <v>ENSMUSG00000054091</v>
      </c>
      <c r="I2104" s="7" t="str">
        <f>HYPERLINK("http://www.informatics.jax.org/marker/MGI:1914954","MGI:1914954")</f>
        <v>MGI:1914954</v>
      </c>
      <c r="J2104" s="4" t="s">
        <v>12</v>
      </c>
    </row>
    <row r="2105" spans="1:10" x14ac:dyDescent="0.25">
      <c r="A2105" s="2">
        <v>5558.8636997720796</v>
      </c>
      <c r="B2105" s="3">
        <v>0.373616996947152</v>
      </c>
      <c r="C2105" s="5">
        <v>3.8659277509791798E-9</v>
      </c>
      <c r="D2105" s="6">
        <v>2.8295796490600701E-8</v>
      </c>
      <c r="E2105" s="3" t="s">
        <v>3226</v>
      </c>
      <c r="F2105" s="3" t="s">
        <v>3227</v>
      </c>
      <c r="G2105" s="3">
        <v>28146</v>
      </c>
      <c r="H2105" s="7" t="str">
        <f>HYPERLINK("http://www.ensembl.org/Mus_musculus/Gene/Summary?db=core;g=ENSMUSG00000027808","ENSMUSG00000027808")</f>
        <v>ENSMUSG00000027808</v>
      </c>
      <c r="I2105" s="7" t="str">
        <f>HYPERLINK("http://www.informatics.jax.org/marker/MGI:92638","MGI:92638")</f>
        <v>MGI:92638</v>
      </c>
      <c r="J2105" s="4" t="s">
        <v>12</v>
      </c>
    </row>
    <row r="2106" spans="1:10" x14ac:dyDescent="0.25">
      <c r="A2106" s="2">
        <v>1124.5583524875899</v>
      </c>
      <c r="B2106" s="3">
        <v>0.37244621634369102</v>
      </c>
      <c r="C2106" s="5">
        <v>1.3560056122221801E-15</v>
      </c>
      <c r="D2106" s="6">
        <v>1.65195202424795E-14</v>
      </c>
      <c r="E2106" s="3" t="s">
        <v>2938</v>
      </c>
      <c r="F2106" s="3" t="s">
        <v>2939</v>
      </c>
      <c r="G2106" s="3">
        <v>19708</v>
      </c>
      <c r="H2106" s="7" t="str">
        <f>HYPERLINK("http://www.ensembl.org/Mus_musculus/Gene/Summary?db=core;g=ENSMUSG00000024826","ENSMUSG00000024826")</f>
        <v>ENSMUSG00000024826</v>
      </c>
      <c r="I2106" s="7" t="str">
        <f>HYPERLINK("http://www.informatics.jax.org/marker/MGI:109529","MGI:109529")</f>
        <v>MGI:109529</v>
      </c>
      <c r="J2106" s="4" t="s">
        <v>12</v>
      </c>
    </row>
    <row r="2107" spans="1:10" x14ac:dyDescent="0.25">
      <c r="A2107" s="2">
        <v>2808.5135955331298</v>
      </c>
      <c r="B2107" s="3">
        <v>0.37206488871927201</v>
      </c>
      <c r="C2107" s="5">
        <v>7.8973069706107408E-9</v>
      </c>
      <c r="D2107" s="6">
        <v>5.5678305431095101E-8</v>
      </c>
      <c r="E2107" s="3" t="s">
        <v>6629</v>
      </c>
      <c r="F2107" s="3" t="s">
        <v>6630</v>
      </c>
      <c r="G2107" s="3">
        <v>77480</v>
      </c>
      <c r="H2107" s="7" t="str">
        <f>HYPERLINK("http://www.ensembl.org/Mus_musculus/Gene/Summary?db=core;g=ENSMUSG00000036333","ENSMUSG00000036333")</f>
        <v>ENSMUSG00000036333</v>
      </c>
      <c r="I2107" s="7" t="str">
        <f>HYPERLINK("http://www.informatics.jax.org/marker/MGI:1924730","MGI:1924730")</f>
        <v>MGI:1924730</v>
      </c>
      <c r="J2107" s="4" t="s">
        <v>12</v>
      </c>
    </row>
    <row r="2108" spans="1:10" x14ac:dyDescent="0.25">
      <c r="A2108" s="2">
        <v>187.48972443362999</v>
      </c>
      <c r="B2108" s="3">
        <v>0.371995962414993</v>
      </c>
      <c r="C2108" s="3">
        <v>1.4940594835429501E-3</v>
      </c>
      <c r="D2108" s="4">
        <v>5.0876745305624598E-3</v>
      </c>
      <c r="E2108" s="3" t="s">
        <v>11161</v>
      </c>
      <c r="F2108" s="3" t="s">
        <v>11162</v>
      </c>
      <c r="G2108" s="3">
        <v>227522</v>
      </c>
      <c r="H2108" s="7" t="str">
        <f>HYPERLINK("http://www.ensembl.org/Mus_musculus/Gene/Summary?db=core;g=ENSMUSG00000049950","ENSMUSG00000049950")</f>
        <v>ENSMUSG00000049950</v>
      </c>
      <c r="I2108" s="7" t="str">
        <f>HYPERLINK("http://www.informatics.jax.org/marker/MGI:2443607","MGI:2443607")</f>
        <v>MGI:2443607</v>
      </c>
      <c r="J2108" s="4" t="s">
        <v>12</v>
      </c>
    </row>
    <row r="2109" spans="1:10" x14ac:dyDescent="0.25">
      <c r="A2109" s="2">
        <v>38.5937538341257</v>
      </c>
      <c r="B2109" s="3">
        <v>0.37164737558692001</v>
      </c>
      <c r="C2109" s="3">
        <v>8.0485726841671407E-2</v>
      </c>
      <c r="D2109" s="4">
        <v>0.17014874976098601</v>
      </c>
      <c r="E2109" s="3" t="s">
        <v>13805</v>
      </c>
      <c r="F2109" s="3" t="s">
        <v>13806</v>
      </c>
      <c r="G2109" s="3" t="s">
        <v>83</v>
      </c>
      <c r="H2109" s="7" t="str">
        <f>HYPERLINK("http://www.ensembl.org/Mus_musculus/Gene/Summary?db=core;g=ENSMUSG00000110419","ENSMUSG00000110419")</f>
        <v>ENSMUSG00000110419</v>
      </c>
      <c r="I2109" s="7" t="str">
        <f>HYPERLINK("http://www.informatics.jax.org/marker/MGI:2142745","MGI:2142745")</f>
        <v>MGI:2142745</v>
      </c>
      <c r="J2109" s="4" t="s">
        <v>3187</v>
      </c>
    </row>
    <row r="2110" spans="1:10" x14ac:dyDescent="0.25">
      <c r="A2110" s="2">
        <v>142.70707565618901</v>
      </c>
      <c r="B2110" s="3">
        <v>0.37144245466284698</v>
      </c>
      <c r="C2110" s="3">
        <v>3.81887092268818E-3</v>
      </c>
      <c r="D2110" s="4">
        <v>1.1826494913507599E-2</v>
      </c>
      <c r="E2110" s="3" t="s">
        <v>13667</v>
      </c>
      <c r="F2110" s="3" t="s">
        <v>13668</v>
      </c>
      <c r="G2110" s="3">
        <v>26970</v>
      </c>
      <c r="H2110" s="7" t="str">
        <f>HYPERLINK("http://www.ensembl.org/Mus_musculus/Gene/Summary?db=core;g=ENSMUSG00000028751","ENSMUSG00000028751")</f>
        <v>ENSMUSG00000028751</v>
      </c>
      <c r="I2110" s="7" t="str">
        <f>HYPERLINK("http://www.informatics.jax.org/marker/MGI:1349660","MGI:1349660")</f>
        <v>MGI:1349660</v>
      </c>
      <c r="J2110" s="4" t="s">
        <v>12</v>
      </c>
    </row>
    <row r="2111" spans="1:10" x14ac:dyDescent="0.25">
      <c r="A2111" s="2">
        <v>3107.7266387429099</v>
      </c>
      <c r="B2111" s="3">
        <v>0.37142983408442898</v>
      </c>
      <c r="C2111" s="3">
        <v>4.7276792894844098E-4</v>
      </c>
      <c r="D2111" s="4">
        <v>1.76380665406046E-3</v>
      </c>
      <c r="E2111" s="3" t="s">
        <v>9701</v>
      </c>
      <c r="F2111" s="3" t="s">
        <v>9702</v>
      </c>
      <c r="G2111" s="3">
        <v>67739</v>
      </c>
      <c r="H2111" s="7" t="str">
        <f>HYPERLINK("http://www.ensembl.org/Mus_musculus/Gene/Summary?db=core;g=ENSMUSG00000081534","ENSMUSG00000081534")</f>
        <v>ENSMUSG00000081534</v>
      </c>
      <c r="I2111" s="7" t="str">
        <f>HYPERLINK("http://www.informatics.jax.org/marker/MGI:1914989","MGI:1914989")</f>
        <v>MGI:1914989</v>
      </c>
      <c r="J2111" s="4" t="s">
        <v>12</v>
      </c>
    </row>
    <row r="2112" spans="1:10" x14ac:dyDescent="0.25">
      <c r="A2112" s="2">
        <v>676.49877618389303</v>
      </c>
      <c r="B2112" s="3">
        <v>0.37092128969228</v>
      </c>
      <c r="C2112" s="3">
        <v>2.3936140573626601E-4</v>
      </c>
      <c r="D2112" s="4">
        <v>9.3693333753080998E-4</v>
      </c>
      <c r="E2112" s="3" t="s">
        <v>11629</v>
      </c>
      <c r="F2112" s="3" t="s">
        <v>11630</v>
      </c>
      <c r="G2112" s="3">
        <v>52850</v>
      </c>
      <c r="H2112" s="7" t="str">
        <f>HYPERLINK("http://www.ensembl.org/Mus_musculus/Gene/Summary?db=core;g=ENSMUSG00000042216","ENSMUSG00000042216")</f>
        <v>ENSMUSG00000042216</v>
      </c>
      <c r="I2112" s="7" t="str">
        <f>HYPERLINK("http://www.informatics.jax.org/marker/MGI:107320","MGI:107320")</f>
        <v>MGI:107320</v>
      </c>
      <c r="J2112" s="4" t="s">
        <v>12</v>
      </c>
    </row>
    <row r="2113" spans="1:10" x14ac:dyDescent="0.25">
      <c r="A2113" s="2">
        <v>38.953217920114398</v>
      </c>
      <c r="B2113" s="3">
        <v>0.37067679550230098</v>
      </c>
      <c r="C2113" s="3">
        <v>0.113795038230943</v>
      </c>
      <c r="D2113" s="4">
        <v>0.22594123235199201</v>
      </c>
      <c r="E2113" s="3" t="s">
        <v>12777</v>
      </c>
      <c r="F2113" s="3" t="s">
        <v>12778</v>
      </c>
      <c r="G2113" s="3">
        <v>16068</v>
      </c>
      <c r="H2113" s="7" t="str">
        <f>HYPERLINK("http://www.ensembl.org/Mus_musculus/Gene/Summary?db=core;g=ENSMUSG00000070427","ENSMUSG00000070427")</f>
        <v>ENSMUSG00000070427</v>
      </c>
      <c r="I2113" s="7" t="str">
        <f>HYPERLINK("http://www.informatics.jax.org/marker/MGI:1333800","MGI:1333800")</f>
        <v>MGI:1333800</v>
      </c>
      <c r="J2113" s="4" t="s">
        <v>12</v>
      </c>
    </row>
    <row r="2114" spans="1:10" x14ac:dyDescent="0.25">
      <c r="A2114" s="2">
        <v>3089.429524053</v>
      </c>
      <c r="B2114" s="3">
        <v>0.370485086731899</v>
      </c>
      <c r="C2114" s="5">
        <v>5.30563171362282E-7</v>
      </c>
      <c r="D2114" s="6">
        <v>3.0445572412083098E-6</v>
      </c>
      <c r="E2114" s="3" t="s">
        <v>8799</v>
      </c>
      <c r="F2114" s="3" t="s">
        <v>8800</v>
      </c>
      <c r="G2114" s="3">
        <v>18655</v>
      </c>
      <c r="H2114" s="7" t="str">
        <f>HYPERLINK("http://www.ensembl.org/Mus_musculus/Gene/Summary?db=core;g=ENSMUSG00000062070","ENSMUSG00000062070")</f>
        <v>ENSMUSG00000062070</v>
      </c>
      <c r="I2114" s="7" t="str">
        <f>HYPERLINK("http://www.informatics.jax.org/marker/MGI:97555","MGI:97555")</f>
        <v>MGI:97555</v>
      </c>
      <c r="J2114" s="4" t="s">
        <v>12</v>
      </c>
    </row>
    <row r="2115" spans="1:10" x14ac:dyDescent="0.25">
      <c r="A2115" s="2">
        <v>439.67071145179301</v>
      </c>
      <c r="B2115" s="3">
        <v>0.37030099291326002</v>
      </c>
      <c r="C2115" s="5">
        <v>1.8289853390850699E-5</v>
      </c>
      <c r="D2115" s="6">
        <v>8.6065731486768506E-5</v>
      </c>
      <c r="E2115" s="3" t="s">
        <v>12155</v>
      </c>
      <c r="F2115" s="3" t="s">
        <v>12156</v>
      </c>
      <c r="G2115" s="3">
        <v>105440</v>
      </c>
      <c r="H2115" s="7" t="str">
        <f>HYPERLINK("http://www.ensembl.org/Mus_musculus/Gene/Summary?db=core;g=ENSMUSG00000034327","ENSMUSG00000034327")</f>
        <v>ENSMUSG00000034327</v>
      </c>
      <c r="I2115" s="7" t="str">
        <f>HYPERLINK("http://www.informatics.jax.org/marker/MGI:2145579","MGI:2145579")</f>
        <v>MGI:2145579</v>
      </c>
      <c r="J2115" s="4" t="s">
        <v>12</v>
      </c>
    </row>
    <row r="2116" spans="1:10" x14ac:dyDescent="0.25">
      <c r="A2116" s="2">
        <v>726.27411771695199</v>
      </c>
      <c r="B2116" s="3">
        <v>0.37004296800755299</v>
      </c>
      <c r="C2116" s="5">
        <v>1.5470360995211598E-8</v>
      </c>
      <c r="D2116" s="6">
        <v>1.05598250613382E-7</v>
      </c>
      <c r="E2116" s="3" t="s">
        <v>7882</v>
      </c>
      <c r="F2116" s="3" t="s">
        <v>7883</v>
      </c>
      <c r="G2116" s="3">
        <v>83435</v>
      </c>
      <c r="H2116" s="7" t="str">
        <f>HYPERLINK("http://www.ensembl.org/Mus_musculus/Gene/Summary?db=core;g=ENSMUSG00000002733","ENSMUSG00000002733")</f>
        <v>ENSMUSG00000002733</v>
      </c>
      <c r="I2116" s="7" t="str">
        <f>HYPERLINK("http://www.informatics.jax.org/marker/MGI:1932515","MGI:1932515")</f>
        <v>MGI:1932515</v>
      </c>
      <c r="J2116" s="4" t="s">
        <v>12</v>
      </c>
    </row>
    <row r="2117" spans="1:10" x14ac:dyDescent="0.25">
      <c r="A2117" s="2">
        <v>2419.0241602881001</v>
      </c>
      <c r="B2117" s="3">
        <v>0.36921156724807602</v>
      </c>
      <c r="C2117" s="5">
        <v>3.4782765252349203E-8</v>
      </c>
      <c r="D2117" s="6">
        <v>2.2792343034607799E-7</v>
      </c>
      <c r="E2117" s="3" t="s">
        <v>3892</v>
      </c>
      <c r="F2117" s="3" t="s">
        <v>3893</v>
      </c>
      <c r="G2117" s="3">
        <v>84095</v>
      </c>
      <c r="H2117" s="7" t="str">
        <f>HYPERLINK("http://www.ensembl.org/Mus_musculus/Gene/Summary?db=core;g=ENSMUSG00000025178","ENSMUSG00000025178")</f>
        <v>ENSMUSG00000025178</v>
      </c>
      <c r="I2117" s="7" t="str">
        <f>HYPERLINK("http://www.informatics.jax.org/marker/MGI:1934031","MGI:1934031")</f>
        <v>MGI:1934031</v>
      </c>
      <c r="J2117" s="4" t="s">
        <v>12</v>
      </c>
    </row>
    <row r="2118" spans="1:10" x14ac:dyDescent="0.25">
      <c r="A2118" s="2">
        <v>37925.639384044101</v>
      </c>
      <c r="B2118" s="3">
        <v>0.36885670351590699</v>
      </c>
      <c r="C2118" s="5">
        <v>1.0174970380782701E-37</v>
      </c>
      <c r="D2118" s="6">
        <v>3.2533128980660503E-36</v>
      </c>
      <c r="E2118" s="3" t="s">
        <v>1470</v>
      </c>
      <c r="F2118" s="3" t="s">
        <v>1471</v>
      </c>
      <c r="G2118" s="3">
        <v>18458</v>
      </c>
      <c r="H2118" s="7" t="str">
        <f>HYPERLINK("http://www.ensembl.org/Mus_musculus/Gene/Summary?db=core;g=ENSMUSG00000022283","ENSMUSG00000022283")</f>
        <v>ENSMUSG00000022283</v>
      </c>
      <c r="I2118" s="7" t="str">
        <f>HYPERLINK("http://www.informatics.jax.org/marker/MGI:1349722","MGI:1349722")</f>
        <v>MGI:1349722</v>
      </c>
      <c r="J2118" s="4" t="s">
        <v>12</v>
      </c>
    </row>
    <row r="2119" spans="1:10" x14ac:dyDescent="0.25">
      <c r="A2119" s="2">
        <v>492.78692103716901</v>
      </c>
      <c r="B2119" s="3">
        <v>0.36878125994724897</v>
      </c>
      <c r="C2119" s="5">
        <v>9.6335982142315906E-8</v>
      </c>
      <c r="D2119" s="6">
        <v>6.0500457427419304E-7</v>
      </c>
      <c r="E2119" s="3" t="s">
        <v>8021</v>
      </c>
      <c r="F2119" s="3" t="s">
        <v>8022</v>
      </c>
      <c r="G2119" s="3">
        <v>234664</v>
      </c>
      <c r="H2119" s="7" t="str">
        <f>HYPERLINK("http://www.ensembl.org/Mus_musculus/Gene/Summary?db=core;g=ENSMUSG00000031878","ENSMUSG00000031878")</f>
        <v>ENSMUSG00000031878</v>
      </c>
      <c r="I2119" s="7" t="str">
        <f>HYPERLINK("http://www.informatics.jax.org/marker/MGI:2384561","MGI:2384561")</f>
        <v>MGI:2384561</v>
      </c>
      <c r="J2119" s="4" t="s">
        <v>12</v>
      </c>
    </row>
    <row r="2120" spans="1:10" x14ac:dyDescent="0.25">
      <c r="A2120" s="2">
        <v>6.4293947682208499</v>
      </c>
      <c r="B2120" s="3">
        <v>0.36865078392671102</v>
      </c>
      <c r="C2120" s="3">
        <v>0.341977881773531</v>
      </c>
      <c r="D2120" s="4">
        <v>0.51981208468078399</v>
      </c>
      <c r="E2120" s="3" t="s">
        <v>7832</v>
      </c>
      <c r="F2120" s="3" t="s">
        <v>7833</v>
      </c>
      <c r="G2120" s="3" t="s">
        <v>83</v>
      </c>
      <c r="H2120" s="7" t="str">
        <f>HYPERLINK("http://www.ensembl.org/Mus_musculus/Gene/Summary?db=core;g=ENSMUSG00000108720","ENSMUSG00000108720")</f>
        <v>ENSMUSG00000108720</v>
      </c>
      <c r="I2120" s="7" t="str">
        <f>HYPERLINK("http://www.informatics.jax.org/marker/MGI:5753248","MGI:5753248")</f>
        <v>MGI:5753248</v>
      </c>
      <c r="J2120" s="4" t="s">
        <v>932</v>
      </c>
    </row>
    <row r="2121" spans="1:10" x14ac:dyDescent="0.25">
      <c r="A2121" s="2">
        <v>1556.4749619071799</v>
      </c>
      <c r="B2121" s="3">
        <v>0.36827268976324301</v>
      </c>
      <c r="C2121" s="5">
        <v>1.2238510230081799E-13</v>
      </c>
      <c r="D2121" s="6">
        <v>1.32058525129213E-12</v>
      </c>
      <c r="E2121" s="3" t="s">
        <v>3416</v>
      </c>
      <c r="F2121" s="3" t="s">
        <v>3417</v>
      </c>
      <c r="G2121" s="3">
        <v>21854</v>
      </c>
      <c r="H2121" s="7" t="str">
        <f>HYPERLINK("http://www.ensembl.org/Mus_musculus/Gene/Summary?db=core;g=ENSMUSG00000062580","ENSMUSG00000062580")</f>
        <v>ENSMUSG00000062580</v>
      </c>
      <c r="I2121" s="7" t="str">
        <f>HYPERLINK("http://www.informatics.jax.org/marker/MGI:1343131","MGI:1343131")</f>
        <v>MGI:1343131</v>
      </c>
      <c r="J2121" s="4" t="s">
        <v>12</v>
      </c>
    </row>
    <row r="2122" spans="1:10" x14ac:dyDescent="0.25">
      <c r="A2122" s="2">
        <v>7513.8488403408701</v>
      </c>
      <c r="B2122" s="3">
        <v>0.36819000268961899</v>
      </c>
      <c r="C2122" s="5">
        <v>5.4633380813147203E-12</v>
      </c>
      <c r="D2122" s="6">
        <v>5.1832033592899903E-11</v>
      </c>
      <c r="E2122" s="3" t="s">
        <v>3802</v>
      </c>
      <c r="F2122" s="3" t="s">
        <v>3803</v>
      </c>
      <c r="G2122" s="3">
        <v>12540</v>
      </c>
      <c r="H2122" s="7" t="str">
        <f>HYPERLINK("http://www.ensembl.org/Mus_musculus/Gene/Summary?db=core;g=ENSMUSG00000006699","ENSMUSG00000006699")</f>
        <v>ENSMUSG00000006699</v>
      </c>
      <c r="I2122" s="7" t="str">
        <f>HYPERLINK("http://www.informatics.jax.org/marker/MGI:106211","MGI:106211")</f>
        <v>MGI:106211</v>
      </c>
      <c r="J2122" s="4" t="s">
        <v>12</v>
      </c>
    </row>
    <row r="2123" spans="1:10" x14ac:dyDescent="0.25">
      <c r="A2123" s="2">
        <v>178.01063846818599</v>
      </c>
      <c r="B2123" s="3">
        <v>0.36787401386456903</v>
      </c>
      <c r="C2123" s="5">
        <v>7.5769547549976306E-5</v>
      </c>
      <c r="D2123" s="4">
        <v>3.2226371157486998E-4</v>
      </c>
      <c r="E2123" s="3" t="s">
        <v>8971</v>
      </c>
      <c r="F2123" s="3" t="s">
        <v>8972</v>
      </c>
      <c r="G2123" s="3">
        <v>76539</v>
      </c>
      <c r="H2123" s="7" t="str">
        <f>HYPERLINK("http://www.ensembl.org/Mus_musculus/Gene/Summary?db=core;g=ENSMUSG00000057858","ENSMUSG00000057858")</f>
        <v>ENSMUSG00000057858</v>
      </c>
      <c r="I2123" s="7" t="str">
        <f>HYPERLINK("http://www.informatics.jax.org/marker/MGI:1289174","MGI:1289174")</f>
        <v>MGI:1289174</v>
      </c>
      <c r="J2123" s="4" t="s">
        <v>12</v>
      </c>
    </row>
    <row r="2124" spans="1:10" x14ac:dyDescent="0.25">
      <c r="A2124" s="2">
        <v>483.18910679296999</v>
      </c>
      <c r="B2124" s="3">
        <v>0.36729561340389499</v>
      </c>
      <c r="C2124" s="5">
        <v>4.5187522942989399E-9</v>
      </c>
      <c r="D2124" s="6">
        <v>3.2758257980747097E-8</v>
      </c>
      <c r="E2124" s="3" t="s">
        <v>8043</v>
      </c>
      <c r="F2124" s="3" t="s">
        <v>8044</v>
      </c>
      <c r="G2124" s="3">
        <v>75812</v>
      </c>
      <c r="H2124" s="7" t="str">
        <f>HYPERLINK("http://www.ensembl.org/Mus_musculus/Gene/Summary?db=core;g=ENSMUSG00000039033","ENSMUSG00000039033")</f>
        <v>ENSMUSG00000039033</v>
      </c>
      <c r="I2124" s="7" t="str">
        <f>HYPERLINK("http://www.informatics.jax.org/marker/MGI:1923062","MGI:1923062")</f>
        <v>MGI:1923062</v>
      </c>
      <c r="J2124" s="4" t="s">
        <v>12</v>
      </c>
    </row>
    <row r="2125" spans="1:10" x14ac:dyDescent="0.25">
      <c r="A2125" s="2">
        <v>325.44954069438899</v>
      </c>
      <c r="B2125" s="3">
        <v>0.36702907284966702</v>
      </c>
      <c r="C2125" s="5">
        <v>4.1585405921459401E-7</v>
      </c>
      <c r="D2125" s="6">
        <v>2.4221605078894099E-6</v>
      </c>
      <c r="E2125" s="3" t="s">
        <v>5419</v>
      </c>
      <c r="F2125" s="3" t="s">
        <v>5420</v>
      </c>
      <c r="G2125" s="3">
        <v>110599584</v>
      </c>
      <c r="H2125" s="7" t="str">
        <f>HYPERLINK("http://www.ensembl.org/Mus_musculus/Gene/Summary?db=core;g=ENSMUSG00000115293","ENSMUSG00000115293")</f>
        <v>ENSMUSG00000115293</v>
      </c>
      <c r="I2125" s="7" t="str">
        <f>HYPERLINK("http://www.informatics.jax.org/marker/MGI:6121518","MGI:6121518")</f>
        <v>MGI:6121518</v>
      </c>
      <c r="J2125" s="4" t="s">
        <v>12</v>
      </c>
    </row>
    <row r="2126" spans="1:10" x14ac:dyDescent="0.25">
      <c r="A2126" s="2">
        <v>1102.3994677729199</v>
      </c>
      <c r="B2126" s="3">
        <v>0.36619114144489001</v>
      </c>
      <c r="C2126" s="5">
        <v>5.7754392932765599E-5</v>
      </c>
      <c r="D2126" s="4">
        <v>2.5109108091594799E-4</v>
      </c>
      <c r="E2126" s="3" t="s">
        <v>11557</v>
      </c>
      <c r="F2126" s="3" t="s">
        <v>11558</v>
      </c>
      <c r="G2126" s="3">
        <v>83602</v>
      </c>
      <c r="H2126" s="7" t="str">
        <f>HYPERLINK("http://www.ensembl.org/Mus_musculus/Gene/Summary?db=core;g=ENSMUSG00000020962","ENSMUSG00000020962")</f>
        <v>ENSMUSG00000020962</v>
      </c>
      <c r="I2126" s="7" t="str">
        <f>HYPERLINK("http://www.informatics.jax.org/marker/MGI:1933277","MGI:1933277")</f>
        <v>MGI:1933277</v>
      </c>
      <c r="J2126" s="4" t="s">
        <v>12</v>
      </c>
    </row>
    <row r="2127" spans="1:10" x14ac:dyDescent="0.25">
      <c r="A2127" s="2">
        <v>4431.6625273259597</v>
      </c>
      <c r="B2127" s="3">
        <v>0.36598933762645602</v>
      </c>
      <c r="C2127" s="5">
        <v>1.7975326668279301E-20</v>
      </c>
      <c r="D2127" s="6">
        <v>2.8888917859734602E-19</v>
      </c>
      <c r="E2127" s="3" t="s">
        <v>3012</v>
      </c>
      <c r="F2127" s="3" t="s">
        <v>3013</v>
      </c>
      <c r="G2127" s="3">
        <v>13382</v>
      </c>
      <c r="H2127" s="7" t="str">
        <f>HYPERLINK("http://www.ensembl.org/Mus_musculus/Gene/Summary?db=core;g=ENSMUSG00000020664","ENSMUSG00000020664")</f>
        <v>ENSMUSG00000020664</v>
      </c>
      <c r="I2127" s="7" t="str">
        <f>HYPERLINK("http://www.informatics.jax.org/marker/MGI:107450","MGI:107450")</f>
        <v>MGI:107450</v>
      </c>
      <c r="J2127" s="4" t="s">
        <v>12</v>
      </c>
    </row>
    <row r="2128" spans="1:10" x14ac:dyDescent="0.25">
      <c r="A2128" s="2">
        <v>668.62176149823904</v>
      </c>
      <c r="B2128" s="3">
        <v>0.36557887841522302</v>
      </c>
      <c r="C2128" s="5">
        <v>1.40906726932678E-11</v>
      </c>
      <c r="D2128" s="6">
        <v>1.29306399715411E-10</v>
      </c>
      <c r="E2128" s="3" t="s">
        <v>5299</v>
      </c>
      <c r="F2128" s="3" t="s">
        <v>5300</v>
      </c>
      <c r="G2128" s="3">
        <v>21665</v>
      </c>
      <c r="H2128" s="7" t="str">
        <f>HYPERLINK("http://www.ensembl.org/Mus_musculus/Gene/Summary?db=core;g=ENSMUSG00000034674","ENSMUSG00000034674")</f>
        <v>ENSMUSG00000034674</v>
      </c>
      <c r="I2128" s="7" t="str">
        <f>HYPERLINK("http://www.informatics.jax.org/marker/MGI:108247","MGI:108247")</f>
        <v>MGI:108247</v>
      </c>
      <c r="J2128" s="4" t="s">
        <v>12</v>
      </c>
    </row>
    <row r="2129" spans="1:10" x14ac:dyDescent="0.25">
      <c r="A2129" s="2">
        <v>4.0376581083060197</v>
      </c>
      <c r="B2129" s="3">
        <v>0.36531418775080099</v>
      </c>
      <c r="C2129" s="3">
        <v>0.43169780802335</v>
      </c>
      <c r="D2129" s="4">
        <v>0.61013513386782103</v>
      </c>
      <c r="E2129" s="3" t="s">
        <v>12343</v>
      </c>
      <c r="F2129" s="3" t="s">
        <v>12344</v>
      </c>
      <c r="G2129" s="3" t="s">
        <v>83</v>
      </c>
      <c r="H2129" s="7" t="str">
        <f>HYPERLINK("http://www.ensembl.org/Mus_musculus/Gene/Summary?db=core;g=ENSMUSG00000118410","ENSMUSG00000118410")</f>
        <v>ENSMUSG00000118410</v>
      </c>
      <c r="I2129" s="3" t="s">
        <v>83</v>
      </c>
      <c r="J2129" s="4" t="s">
        <v>12345</v>
      </c>
    </row>
    <row r="2130" spans="1:10" x14ac:dyDescent="0.25">
      <c r="A2130" s="2">
        <v>2331.7119400136698</v>
      </c>
      <c r="B2130" s="3">
        <v>0.36530256990119297</v>
      </c>
      <c r="C2130" s="5">
        <v>6.6168896293729197E-8</v>
      </c>
      <c r="D2130" s="6">
        <v>4.20917324591E-7</v>
      </c>
      <c r="E2130" s="3" t="s">
        <v>6920</v>
      </c>
      <c r="F2130" s="3" t="s">
        <v>6921</v>
      </c>
      <c r="G2130" s="3">
        <v>70439</v>
      </c>
      <c r="H2130" s="7" t="str">
        <f>HYPERLINK("http://www.ensembl.org/Mus_musculus/Gene/Summary?db=core;g=ENSMUSG00000020680","ENSMUSG00000020680")</f>
        <v>ENSMUSG00000020680</v>
      </c>
      <c r="I2130" s="7" t="str">
        <f>HYPERLINK("http://www.informatics.jax.org/marker/MGI:1917689","MGI:1917689")</f>
        <v>MGI:1917689</v>
      </c>
      <c r="J2130" s="4" t="s">
        <v>12</v>
      </c>
    </row>
    <row r="2131" spans="1:10" x14ac:dyDescent="0.25">
      <c r="A2131" s="2">
        <v>436.56593965599399</v>
      </c>
      <c r="B2131" s="3">
        <v>0.36474083449776601</v>
      </c>
      <c r="C2131" s="3">
        <v>6.3220754975678401E-4</v>
      </c>
      <c r="D2131" s="4">
        <v>2.3062415120731301E-3</v>
      </c>
      <c r="E2131" s="3" t="s">
        <v>11499</v>
      </c>
      <c r="F2131" s="3" t="s">
        <v>11500</v>
      </c>
      <c r="G2131" s="3">
        <v>19265</v>
      </c>
      <c r="H2131" s="7" t="str">
        <f>HYPERLINK("http://www.ensembl.org/Mus_musculus/Gene/Summary?db=core;g=ENSMUSG00000045826","ENSMUSG00000045826")</f>
        <v>ENSMUSG00000045826</v>
      </c>
      <c r="I2131" s="7" t="str">
        <f>HYPERLINK("http://www.informatics.jax.org/marker/MGI:97811","MGI:97811")</f>
        <v>MGI:97811</v>
      </c>
      <c r="J2131" s="4" t="s">
        <v>12</v>
      </c>
    </row>
    <row r="2132" spans="1:10" x14ac:dyDescent="0.25">
      <c r="A2132" s="2">
        <v>1879.5231913382499</v>
      </c>
      <c r="B2132" s="3">
        <v>0.36451703249642903</v>
      </c>
      <c r="C2132" s="5">
        <v>2.6505300039828601E-12</v>
      </c>
      <c r="D2132" s="6">
        <v>2.5776899318349901E-11</v>
      </c>
      <c r="E2132" s="3" t="s">
        <v>2513</v>
      </c>
      <c r="F2132" s="3" t="s">
        <v>2514</v>
      </c>
      <c r="G2132" s="3">
        <v>224647</v>
      </c>
      <c r="H2132" s="7" t="str">
        <f>HYPERLINK("http://www.ensembl.org/Mus_musculus/Gene/Summary?db=core;g=ENSMUSG00000056692","ENSMUSG00000056692")</f>
        <v>ENSMUSG00000056692</v>
      </c>
      <c r="I2132" s="7" t="str">
        <f>HYPERLINK("http://www.informatics.jax.org/marker/MGI:106281","MGI:106281")</f>
        <v>MGI:106281</v>
      </c>
      <c r="J2132" s="4" t="s">
        <v>12</v>
      </c>
    </row>
    <row r="2133" spans="1:10" x14ac:dyDescent="0.25">
      <c r="A2133" s="2">
        <v>474.83639075564997</v>
      </c>
      <c r="B2133" s="3">
        <v>0.364464973215466</v>
      </c>
      <c r="C2133" s="5">
        <v>2.24115696930526E-6</v>
      </c>
      <c r="D2133" s="6">
        <v>1.1956992320137099E-5</v>
      </c>
      <c r="E2133" s="3" t="s">
        <v>6313</v>
      </c>
      <c r="F2133" s="3" t="s">
        <v>6314</v>
      </c>
      <c r="G2133" s="3">
        <v>54369</v>
      </c>
      <c r="H2133" s="7" t="str">
        <f>HYPERLINK("http://www.ensembl.org/Mus_musculus/Gene/Summary?db=core;g=ENSMUSG00000032478","ENSMUSG00000032478")</f>
        <v>ENSMUSG00000032478</v>
      </c>
      <c r="I2133" s="7" t="str">
        <f>HYPERLINK("http://www.informatics.jax.org/marker/MGI:1861676","MGI:1861676")</f>
        <v>MGI:1861676</v>
      </c>
      <c r="J2133" s="4" t="s">
        <v>12</v>
      </c>
    </row>
    <row r="2134" spans="1:10" x14ac:dyDescent="0.25">
      <c r="A2134" s="2">
        <v>2638.28097632556</v>
      </c>
      <c r="B2134" s="3">
        <v>0.36441623518675098</v>
      </c>
      <c r="C2134" s="5">
        <v>6.1743606995140503E-18</v>
      </c>
      <c r="D2134" s="6">
        <v>8.6760002890241802E-17</v>
      </c>
      <c r="E2134" s="3" t="s">
        <v>1995</v>
      </c>
      <c r="F2134" s="3" t="s">
        <v>1996</v>
      </c>
      <c r="G2134" s="3">
        <v>73826</v>
      </c>
      <c r="H2134" s="7" t="str">
        <f>HYPERLINK("http://www.ensembl.org/Mus_musculus/Gene/Summary?db=core;g=ENSMUSG00000041815","ENSMUSG00000041815")</f>
        <v>ENSMUSG00000041815</v>
      </c>
      <c r="I2134" s="7" t="str">
        <f>HYPERLINK("http://www.informatics.jax.org/marker/MGI:1921076","MGI:1921076")</f>
        <v>MGI:1921076</v>
      </c>
      <c r="J2134" s="4" t="s">
        <v>12</v>
      </c>
    </row>
    <row r="2135" spans="1:10" x14ac:dyDescent="0.25">
      <c r="A2135" s="2">
        <v>1933.6025132337099</v>
      </c>
      <c r="B2135" s="3">
        <v>0.36418881813234</v>
      </c>
      <c r="C2135" s="5">
        <v>2.1514080849144902E-6</v>
      </c>
      <c r="D2135" s="6">
        <v>1.1501734334868401E-5</v>
      </c>
      <c r="E2135" s="3" t="s">
        <v>7568</v>
      </c>
      <c r="F2135" s="3" t="s">
        <v>7569</v>
      </c>
      <c r="G2135" s="3">
        <v>19185</v>
      </c>
      <c r="H2135" s="7" t="str">
        <f>HYPERLINK("http://www.ensembl.org/Mus_musculus/Gene/Summary?db=core;g=ENSMUSG00000005625","ENSMUSG00000005625")</f>
        <v>ENSMUSG00000005625</v>
      </c>
      <c r="I2135" s="7" t="str">
        <f>HYPERLINK("http://www.informatics.jax.org/marker/MGI:1201670","MGI:1201670")</f>
        <v>MGI:1201670</v>
      </c>
      <c r="J2135" s="4" t="s">
        <v>12</v>
      </c>
    </row>
    <row r="2136" spans="1:10" x14ac:dyDescent="0.25">
      <c r="A2136" s="2">
        <v>1843.7253906846099</v>
      </c>
      <c r="B2136" s="3">
        <v>0.36412447271152798</v>
      </c>
      <c r="C2136" s="5">
        <v>2.3503289135199101E-7</v>
      </c>
      <c r="D2136" s="6">
        <v>1.41415465331464E-6</v>
      </c>
      <c r="E2136" s="3" t="s">
        <v>10160</v>
      </c>
      <c r="F2136" s="3" t="s">
        <v>10161</v>
      </c>
      <c r="G2136" s="3">
        <v>75991</v>
      </c>
      <c r="H2136" s="7" t="str">
        <f>HYPERLINK("http://www.ensembl.org/Mus_musculus/Gene/Summary?db=core;g=ENSMUSG00000036087","ENSMUSG00000036087")</f>
        <v>ENSMUSG00000036087</v>
      </c>
      <c r="I2136" s="7" t="str">
        <f>HYPERLINK("http://www.informatics.jax.org/marker/MGI:1923241","MGI:1923241")</f>
        <v>MGI:1923241</v>
      </c>
      <c r="J2136" s="4" t="s">
        <v>12</v>
      </c>
    </row>
    <row r="2137" spans="1:10" x14ac:dyDescent="0.25">
      <c r="A2137" s="2">
        <v>273.49324087337999</v>
      </c>
      <c r="B2137" s="3">
        <v>0.36391724586659302</v>
      </c>
      <c r="C2137" s="3">
        <v>4.2006173173420302E-4</v>
      </c>
      <c r="D2137" s="4">
        <v>1.5784793939909001E-3</v>
      </c>
      <c r="E2137" s="3" t="s">
        <v>13665</v>
      </c>
      <c r="F2137" s="3" t="s">
        <v>13666</v>
      </c>
      <c r="G2137" s="3">
        <v>329384</v>
      </c>
      <c r="H2137" s="7" t="str">
        <f>HYPERLINK("http://www.ensembl.org/Mus_musculus/Gene/Summary?db=core;g=ENSMUSG00000053746","ENSMUSG00000053746")</f>
        <v>ENSMUSG00000053746</v>
      </c>
      <c r="I2137" s="7" t="str">
        <f>HYPERLINK("http://www.informatics.jax.org/marker/MGI:1913779","MGI:1913779")</f>
        <v>MGI:1913779</v>
      </c>
      <c r="J2137" s="4" t="s">
        <v>12</v>
      </c>
    </row>
    <row r="2138" spans="1:10" x14ac:dyDescent="0.25">
      <c r="A2138" s="2">
        <v>912.42459483013204</v>
      </c>
      <c r="B2138" s="3">
        <v>0.363612433541326</v>
      </c>
      <c r="C2138" s="5">
        <v>5.3803615272554404E-10</v>
      </c>
      <c r="D2138" s="6">
        <v>4.3007495102732601E-9</v>
      </c>
      <c r="E2138" s="3" t="s">
        <v>4043</v>
      </c>
      <c r="F2138" s="3" t="s">
        <v>4044</v>
      </c>
      <c r="G2138" s="3">
        <v>328162</v>
      </c>
      <c r="H2138" s="7" t="str">
        <f>HYPERLINK("http://www.ensembl.org/Mus_musculus/Gene/Summary?db=core;g=ENSMUSG00000060950","ENSMUSG00000060950")</f>
        <v>ENSMUSG00000060950</v>
      </c>
      <c r="I2138" s="7" t="str">
        <f>HYPERLINK("http://www.informatics.jax.org/marker/MGI:2443487","MGI:2443487")</f>
        <v>MGI:2443487</v>
      </c>
      <c r="J2138" s="4" t="s">
        <v>12</v>
      </c>
    </row>
    <row r="2139" spans="1:10" x14ac:dyDescent="0.25">
      <c r="A2139" s="2">
        <v>919.55373957845302</v>
      </c>
      <c r="B2139" s="3">
        <v>0.36346814931323101</v>
      </c>
      <c r="C2139" s="5">
        <v>1.69680316451273E-6</v>
      </c>
      <c r="D2139" s="6">
        <v>9.1817807818421892E-6</v>
      </c>
      <c r="E2139" s="3" t="s">
        <v>9123</v>
      </c>
      <c r="F2139" s="3" t="s">
        <v>9124</v>
      </c>
      <c r="G2139" s="3">
        <v>22785</v>
      </c>
      <c r="H2139" s="7" t="str">
        <f>HYPERLINK("http://www.ensembl.org/Mus_musculus/Gene/Summary?db=core;g=ENSMUSG00000005802","ENSMUSG00000005802")</f>
        <v>ENSMUSG00000005802</v>
      </c>
      <c r="I2139" s="7" t="str">
        <f>HYPERLINK("http://www.informatics.jax.org/marker/MGI:1345282","MGI:1345282")</f>
        <v>MGI:1345282</v>
      </c>
      <c r="J2139" s="4" t="s">
        <v>12</v>
      </c>
    </row>
    <row r="2140" spans="1:10" x14ac:dyDescent="0.25">
      <c r="A2140" s="2">
        <v>154.99688976377101</v>
      </c>
      <c r="B2140" s="3">
        <v>0.36345231939392397</v>
      </c>
      <c r="C2140" s="3">
        <v>7.2660758737688996E-4</v>
      </c>
      <c r="D2140" s="4">
        <v>2.61707969959364E-3</v>
      </c>
      <c r="E2140" s="3" t="s">
        <v>7398</v>
      </c>
      <c r="F2140" s="3" t="s">
        <v>7399</v>
      </c>
      <c r="G2140" s="3">
        <v>666532</v>
      </c>
      <c r="H2140" s="7" t="str">
        <f>HYPERLINK("http://www.ensembl.org/Mus_musculus/Gene/Summary?db=core;g=ENSMUSG00000067916","ENSMUSG00000067916")</f>
        <v>ENSMUSG00000067916</v>
      </c>
      <c r="I2140" s="7" t="str">
        <f>HYPERLINK("http://www.informatics.jax.org/marker/MGI:3701604","MGI:3701604")</f>
        <v>MGI:3701604</v>
      </c>
      <c r="J2140" s="4" t="s">
        <v>12</v>
      </c>
    </row>
    <row r="2141" spans="1:10" x14ac:dyDescent="0.25">
      <c r="A2141" s="2">
        <v>1771.5159445701499</v>
      </c>
      <c r="B2141" s="3">
        <v>0.36332846827992699</v>
      </c>
      <c r="C2141" s="5">
        <v>2.18967601661481E-8</v>
      </c>
      <c r="D2141" s="6">
        <v>1.4704069787326801E-7</v>
      </c>
      <c r="E2141" s="3" t="s">
        <v>4553</v>
      </c>
      <c r="F2141" s="3" t="s">
        <v>4554</v>
      </c>
      <c r="G2141" s="3">
        <v>231386</v>
      </c>
      <c r="H2141" s="7" t="str">
        <f>HYPERLINK("http://www.ensembl.org/Mus_musculus/Gene/Summary?db=core;g=ENSMUSG00000035851","ENSMUSG00000035851")</f>
        <v>ENSMUSG00000035851</v>
      </c>
      <c r="I2141" s="7" t="str">
        <f>HYPERLINK("http://www.informatics.jax.org/marker/MGI:2443713","MGI:2443713")</f>
        <v>MGI:2443713</v>
      </c>
      <c r="J2141" s="4" t="s">
        <v>12</v>
      </c>
    </row>
    <row r="2142" spans="1:10" x14ac:dyDescent="0.25">
      <c r="A2142" s="2">
        <v>952.25334568308199</v>
      </c>
      <c r="B2142" s="3">
        <v>0.36323826225446199</v>
      </c>
      <c r="C2142" s="5">
        <v>7.5830739042242193E-12</v>
      </c>
      <c r="D2142" s="6">
        <v>7.1164532391599602E-11</v>
      </c>
      <c r="E2142" s="3" t="s">
        <v>4769</v>
      </c>
      <c r="F2142" s="3" t="s">
        <v>4770</v>
      </c>
      <c r="G2142" s="3">
        <v>19352</v>
      </c>
      <c r="H2142" s="7" t="str">
        <f>HYPERLINK("http://www.ensembl.org/Mus_musculus/Gene/Summary?db=core;g=ENSMUSG00000038975","ENSMUSG00000038975")</f>
        <v>ENSMUSG00000038975</v>
      </c>
      <c r="I2142" s="7" t="str">
        <f>HYPERLINK("http://www.informatics.jax.org/marker/MGI:99537","MGI:99537")</f>
        <v>MGI:99537</v>
      </c>
      <c r="J2142" s="4" t="s">
        <v>12</v>
      </c>
    </row>
    <row r="2143" spans="1:10" x14ac:dyDescent="0.25">
      <c r="A2143" s="2">
        <v>542.34690353724102</v>
      </c>
      <c r="B2143" s="3">
        <v>0.363232034959585</v>
      </c>
      <c r="C2143" s="3">
        <v>7.46273401618188E-3</v>
      </c>
      <c r="D2143" s="4">
        <v>2.16057708411302E-2</v>
      </c>
      <c r="E2143" s="3" t="s">
        <v>12425</v>
      </c>
      <c r="F2143" s="3" t="s">
        <v>12426</v>
      </c>
      <c r="G2143" s="3">
        <v>15490</v>
      </c>
      <c r="H2143" s="7" t="str">
        <f>HYPERLINK("http://www.ensembl.org/Mus_musculus/Gene/Summary?db=core;g=ENSMUSG00000026675","ENSMUSG00000026675")</f>
        <v>ENSMUSG00000026675</v>
      </c>
      <c r="I2143" s="7" t="str">
        <f>HYPERLINK("http://www.informatics.jax.org/marker/MGI:1330808","MGI:1330808")</f>
        <v>MGI:1330808</v>
      </c>
      <c r="J2143" s="4" t="s">
        <v>12</v>
      </c>
    </row>
    <row r="2144" spans="1:10" x14ac:dyDescent="0.25">
      <c r="A2144" s="2">
        <v>9351.8212524721603</v>
      </c>
      <c r="B2144" s="3">
        <v>0.36268261094777499</v>
      </c>
      <c r="C2144" s="5">
        <v>2.3839215811860201E-11</v>
      </c>
      <c r="D2144" s="6">
        <v>2.14977589396908E-10</v>
      </c>
      <c r="E2144" s="3" t="s">
        <v>2321</v>
      </c>
      <c r="F2144" s="3" t="s">
        <v>2322</v>
      </c>
      <c r="G2144" s="3">
        <v>12462</v>
      </c>
      <c r="H2144" s="7" t="str">
        <f>HYPERLINK("http://www.ensembl.org/Mus_musculus/Gene/Summary?db=core;g=ENSMUSG00000001416","ENSMUSG00000001416")</f>
        <v>ENSMUSG00000001416</v>
      </c>
      <c r="I2144" s="7" t="str">
        <f>HYPERLINK("http://www.informatics.jax.org/marker/MGI:104708","MGI:104708")</f>
        <v>MGI:104708</v>
      </c>
      <c r="J2144" s="4" t="s">
        <v>12</v>
      </c>
    </row>
    <row r="2145" spans="1:10" x14ac:dyDescent="0.25">
      <c r="A2145" s="2">
        <v>2247.2077954292699</v>
      </c>
      <c r="B2145" s="3">
        <v>0.36260081314801101</v>
      </c>
      <c r="C2145" s="5">
        <v>6.9204268185412106E-17</v>
      </c>
      <c r="D2145" s="6">
        <v>9.1593884363045391E-16</v>
      </c>
      <c r="E2145" s="3" t="s">
        <v>3452</v>
      </c>
      <c r="F2145" s="3" t="s">
        <v>3453</v>
      </c>
      <c r="G2145" s="3">
        <v>19820</v>
      </c>
      <c r="H2145" s="7" t="str">
        <f>HYPERLINK("http://www.ensembl.org/Mus_musculus/Gene/Summary?db=core;g=ENSMUSG00000056537","ENSMUSG00000056537")</f>
        <v>ENSMUSG00000056537</v>
      </c>
      <c r="I2145" s="7" t="str">
        <f>HYPERLINK("http://www.informatics.jax.org/marker/MGI:1342291","MGI:1342291")</f>
        <v>MGI:1342291</v>
      </c>
      <c r="J2145" s="4" t="s">
        <v>12</v>
      </c>
    </row>
    <row r="2146" spans="1:10" x14ac:dyDescent="0.25">
      <c r="A2146" s="2">
        <v>3586.4187091639101</v>
      </c>
      <c r="B2146" s="3">
        <v>0.362057010813016</v>
      </c>
      <c r="C2146" s="5">
        <v>3.7118908302725498E-22</v>
      </c>
      <c r="D2146" s="6">
        <v>6.5047317674728103E-21</v>
      </c>
      <c r="E2146" s="3" t="s">
        <v>2752</v>
      </c>
      <c r="F2146" s="3" t="s">
        <v>2753</v>
      </c>
      <c r="G2146" s="3">
        <v>70093</v>
      </c>
      <c r="H2146" s="7" t="str">
        <f>HYPERLINK("http://www.ensembl.org/Mus_musculus/Gene/Summary?db=core;g=ENSMUSG00000042572","ENSMUSG00000042572")</f>
        <v>ENSMUSG00000042572</v>
      </c>
      <c r="I2146" s="7" t="str">
        <f>HYPERLINK("http://www.informatics.jax.org/marker/MGI:1917343","MGI:1917343")</f>
        <v>MGI:1917343</v>
      </c>
      <c r="J2146" s="4" t="s">
        <v>12</v>
      </c>
    </row>
    <row r="2147" spans="1:10" x14ac:dyDescent="0.25">
      <c r="A2147" s="2">
        <v>1229.57632795687</v>
      </c>
      <c r="B2147" s="3">
        <v>0.36187575105837499</v>
      </c>
      <c r="C2147" s="5">
        <v>6.1474671363171395E-8</v>
      </c>
      <c r="D2147" s="6">
        <v>3.9242587936735502E-7</v>
      </c>
      <c r="E2147" s="3" t="s">
        <v>8427</v>
      </c>
      <c r="F2147" s="3" t="s">
        <v>8428</v>
      </c>
      <c r="G2147" s="3">
        <v>18015</v>
      </c>
      <c r="H2147" s="7" t="str">
        <f>HYPERLINK("http://www.ensembl.org/Mus_musculus/Gene/Summary?db=core;g=ENSMUSG00000020716","ENSMUSG00000020716")</f>
        <v>ENSMUSG00000020716</v>
      </c>
      <c r="I2147" s="7" t="str">
        <f>HYPERLINK("http://www.informatics.jax.org/marker/MGI:97306","MGI:97306")</f>
        <v>MGI:97306</v>
      </c>
      <c r="J2147" s="4" t="s">
        <v>12</v>
      </c>
    </row>
    <row r="2148" spans="1:10" x14ac:dyDescent="0.25">
      <c r="A2148" s="2">
        <v>1777.1311040185001</v>
      </c>
      <c r="B2148" s="3">
        <v>0.36187484687068799</v>
      </c>
      <c r="C2148" s="5">
        <v>1.9788188016324899E-7</v>
      </c>
      <c r="D2148" s="6">
        <v>1.20173184471017E-6</v>
      </c>
      <c r="E2148" s="3" t="s">
        <v>5745</v>
      </c>
      <c r="F2148" s="3" t="s">
        <v>5746</v>
      </c>
      <c r="G2148" s="3">
        <v>56258</v>
      </c>
      <c r="H2148" s="7" t="str">
        <f>HYPERLINK("http://www.ensembl.org/Mus_musculus/Gene/Summary?db=core;g=ENSMUSG00000045427","ENSMUSG00000045427")</f>
        <v>ENSMUSG00000045427</v>
      </c>
      <c r="I2148" s="7" t="str">
        <f>HYPERLINK("http://www.informatics.jax.org/marker/MGI:1201779","MGI:1201779")</f>
        <v>MGI:1201779</v>
      </c>
      <c r="J2148" s="4" t="s">
        <v>12</v>
      </c>
    </row>
    <row r="2149" spans="1:10" x14ac:dyDescent="0.25">
      <c r="A2149" s="2">
        <v>41.713241999248901</v>
      </c>
      <c r="B2149" s="3">
        <v>0.36185194189698</v>
      </c>
      <c r="C2149" s="3">
        <v>3.9256687064548997E-2</v>
      </c>
      <c r="D2149" s="4">
        <v>9.2964282971856299E-2</v>
      </c>
      <c r="E2149" s="3" t="s">
        <v>10480</v>
      </c>
      <c r="F2149" s="3" t="s">
        <v>10481</v>
      </c>
      <c r="G2149" s="3">
        <v>18752</v>
      </c>
      <c r="H2149" s="7" t="str">
        <f>HYPERLINK("http://www.ensembl.org/Mus_musculus/Gene/Summary?db=core;g=ENSMUSG00000078816","ENSMUSG00000078816")</f>
        <v>ENSMUSG00000078816</v>
      </c>
      <c r="I2149" s="7" t="str">
        <f>HYPERLINK("http://www.informatics.jax.org/marker/MGI:97597","MGI:97597")</f>
        <v>MGI:97597</v>
      </c>
      <c r="J2149" s="4" t="s">
        <v>12</v>
      </c>
    </row>
    <row r="2150" spans="1:10" x14ac:dyDescent="0.25">
      <c r="A2150" s="2">
        <v>332.39485091953702</v>
      </c>
      <c r="B2150" s="3">
        <v>0.36158773351592199</v>
      </c>
      <c r="C2150" s="5">
        <v>5.1066406791607197E-6</v>
      </c>
      <c r="D2150" s="6">
        <v>2.6106178507069901E-5</v>
      </c>
      <c r="E2150" s="3" t="s">
        <v>10294</v>
      </c>
      <c r="F2150" s="3" t="s">
        <v>10295</v>
      </c>
      <c r="G2150" s="3">
        <v>68815</v>
      </c>
      <c r="H2150" s="7" t="str">
        <f>HYPERLINK("http://www.ensembl.org/Mus_musculus/Gene/Summary?db=core;g=ENSMUSG00000038187","ENSMUSG00000038187")</f>
        <v>ENSMUSG00000038187</v>
      </c>
      <c r="I2150" s="7" t="str">
        <f>HYPERLINK("http://www.informatics.jax.org/marker/MGI:1916065","MGI:1916065")</f>
        <v>MGI:1916065</v>
      </c>
      <c r="J2150" s="4" t="s">
        <v>12</v>
      </c>
    </row>
    <row r="2151" spans="1:10" x14ac:dyDescent="0.25">
      <c r="A2151" s="2">
        <v>713.690356461531</v>
      </c>
      <c r="B2151" s="3">
        <v>0.36146638831911698</v>
      </c>
      <c r="C2151" s="5">
        <v>2.3075719869714998E-12</v>
      </c>
      <c r="D2151" s="6">
        <v>2.25983339401158E-11</v>
      </c>
      <c r="E2151" s="3" t="s">
        <v>5875</v>
      </c>
      <c r="F2151" s="3" t="s">
        <v>5876</v>
      </c>
      <c r="G2151" s="3">
        <v>52432</v>
      </c>
      <c r="H2151" s="7" t="str">
        <f>HYPERLINK("http://www.ensembl.org/Mus_musculus/Gene/Summary?db=core;g=ENSMUSG00000041769","ENSMUSG00000041769")</f>
        <v>ENSMUSG00000041769</v>
      </c>
      <c r="I2151" s="7" t="str">
        <f>HYPERLINK("http://www.informatics.jax.org/marker/MGI:1289252","MGI:1289252")</f>
        <v>MGI:1289252</v>
      </c>
      <c r="J2151" s="4" t="s">
        <v>12</v>
      </c>
    </row>
    <row r="2152" spans="1:10" x14ac:dyDescent="0.25">
      <c r="A2152" s="2">
        <v>1426.8740446459301</v>
      </c>
      <c r="B2152" s="3">
        <v>0.36128698187525699</v>
      </c>
      <c r="C2152" s="5">
        <v>9.2531912484255103E-10</v>
      </c>
      <c r="D2152" s="6">
        <v>7.2037338958801698E-9</v>
      </c>
      <c r="E2152" s="3" t="s">
        <v>5735</v>
      </c>
      <c r="F2152" s="3" t="s">
        <v>5736</v>
      </c>
      <c r="G2152" s="3">
        <v>100226</v>
      </c>
      <c r="H2152" s="7" t="str">
        <f>HYPERLINK("http://www.ensembl.org/Mus_musculus/Gene/Summary?db=core;g=ENSMUSG00000028879","ENSMUSG00000028879")</f>
        <v>ENSMUSG00000028879</v>
      </c>
      <c r="I2152" s="7" t="str">
        <f>HYPERLINK("http://www.informatics.jax.org/marker/MGI:1931027","MGI:1931027")</f>
        <v>MGI:1931027</v>
      </c>
      <c r="J2152" s="4" t="s">
        <v>12</v>
      </c>
    </row>
    <row r="2153" spans="1:10" x14ac:dyDescent="0.25">
      <c r="A2153" s="2">
        <v>841.28964380625405</v>
      </c>
      <c r="B2153" s="3">
        <v>0.36053349357380998</v>
      </c>
      <c r="C2153" s="5">
        <v>1.51942747547738E-9</v>
      </c>
      <c r="D2153" s="6">
        <v>1.1586429180157001E-8</v>
      </c>
      <c r="E2153" s="3" t="s">
        <v>4807</v>
      </c>
      <c r="F2153" s="3" t="s">
        <v>4808</v>
      </c>
      <c r="G2153" s="3">
        <v>56632</v>
      </c>
      <c r="H2153" s="7" t="str">
        <f>HYPERLINK("http://www.ensembl.org/Mus_musculus/Gene/Summary?db=core;g=ENSMUSG00000057342","ENSMUSG00000057342")</f>
        <v>ENSMUSG00000057342</v>
      </c>
      <c r="I2153" s="7" t="str">
        <f>HYPERLINK("http://www.informatics.jax.org/marker/MGI:1861380","MGI:1861380")</f>
        <v>MGI:1861380</v>
      </c>
      <c r="J2153" s="4" t="s">
        <v>12</v>
      </c>
    </row>
    <row r="2154" spans="1:10" x14ac:dyDescent="0.25">
      <c r="A2154" s="2">
        <v>791.25782986151501</v>
      </c>
      <c r="B2154" s="3">
        <v>0.36048027308212699</v>
      </c>
      <c r="C2154" s="5">
        <v>5.3137538691417595E-7</v>
      </c>
      <c r="D2154" s="6">
        <v>3.0472990643520599E-6</v>
      </c>
      <c r="E2154" s="3" t="s">
        <v>8441</v>
      </c>
      <c r="F2154" s="3" t="s">
        <v>8442</v>
      </c>
      <c r="G2154" s="3">
        <v>20931</v>
      </c>
      <c r="H2154" s="7" t="str">
        <f>HYPERLINK("http://www.ensembl.org/Mus_musculus/Gene/Summary?db=core;g=ENSMUSG00000014873","ENSMUSG00000014873")</f>
        <v>ENSMUSG00000014873</v>
      </c>
      <c r="I2154" s="7" t="str">
        <f>HYPERLINK("http://www.informatics.jax.org/marker/MGI:98444","MGI:98444")</f>
        <v>MGI:98444</v>
      </c>
      <c r="J2154" s="4" t="s">
        <v>12</v>
      </c>
    </row>
    <row r="2155" spans="1:10" x14ac:dyDescent="0.25">
      <c r="A2155" s="2">
        <v>1538.2790432089801</v>
      </c>
      <c r="B2155" s="3">
        <v>0.36041583948425199</v>
      </c>
      <c r="C2155" s="5">
        <v>8.0383894362055995E-11</v>
      </c>
      <c r="D2155" s="6">
        <v>6.9299738635216198E-10</v>
      </c>
      <c r="E2155" s="3" t="s">
        <v>5035</v>
      </c>
      <c r="F2155" s="3" t="s">
        <v>5036</v>
      </c>
      <c r="G2155" s="3">
        <v>223989</v>
      </c>
      <c r="H2155" s="7" t="str">
        <f>HYPERLINK("http://www.ensembl.org/Mus_musculus/Gene/Summary?db=core;g=ENSMUSG00000060657","ENSMUSG00000060657")</f>
        <v>ENSMUSG00000060657</v>
      </c>
      <c r="I2155" s="7" t="str">
        <f>HYPERLINK("http://www.informatics.jax.org/marker/MGI:2444505","MGI:2444505")</f>
        <v>MGI:2444505</v>
      </c>
      <c r="J2155" s="4" t="s">
        <v>12</v>
      </c>
    </row>
    <row r="2156" spans="1:10" x14ac:dyDescent="0.25">
      <c r="A2156" s="2">
        <v>1590.3502881540601</v>
      </c>
      <c r="B2156" s="3">
        <v>0.36040653626937402</v>
      </c>
      <c r="C2156" s="5">
        <v>3.7321696403839998E-7</v>
      </c>
      <c r="D2156" s="6">
        <v>2.1934155342848998E-6</v>
      </c>
      <c r="E2156" s="3" t="s">
        <v>8209</v>
      </c>
      <c r="F2156" s="3" t="s">
        <v>8210</v>
      </c>
      <c r="G2156" s="3">
        <v>57259</v>
      </c>
      <c r="H2156" s="7" t="str">
        <f>HYPERLINK("http://www.ensembl.org/Mus_musculus/Gene/Summary?db=core;g=ENSMUSG00000048546","ENSMUSG00000048546")</f>
        <v>ENSMUSG00000048546</v>
      </c>
      <c r="I2156" s="7" t="str">
        <f>HYPERLINK("http://www.informatics.jax.org/marker/MGI:1888525","MGI:1888525")</f>
        <v>MGI:1888525</v>
      </c>
      <c r="J2156" s="4" t="s">
        <v>12</v>
      </c>
    </row>
    <row r="2157" spans="1:10" x14ac:dyDescent="0.25">
      <c r="A2157" s="2">
        <v>5406.75716144337</v>
      </c>
      <c r="B2157" s="3">
        <v>0.35994209894736201</v>
      </c>
      <c r="C2157" s="5">
        <v>3.2684060378514999E-38</v>
      </c>
      <c r="D2157" s="6">
        <v>1.0655939184229599E-36</v>
      </c>
      <c r="E2157" s="3" t="s">
        <v>918</v>
      </c>
      <c r="F2157" s="3" t="s">
        <v>919</v>
      </c>
      <c r="G2157" s="3">
        <v>14688</v>
      </c>
      <c r="H2157" s="7" t="str">
        <f>HYPERLINK("http://www.ensembl.org/Mus_musculus/Gene/Summary?db=core;g=ENSMUSG00000029064","ENSMUSG00000029064")</f>
        <v>ENSMUSG00000029064</v>
      </c>
      <c r="I2157" s="7" t="str">
        <f>HYPERLINK("http://www.informatics.jax.org/marker/MGI:95781","MGI:95781")</f>
        <v>MGI:95781</v>
      </c>
      <c r="J2157" s="4" t="s">
        <v>12</v>
      </c>
    </row>
    <row r="2158" spans="1:10" x14ac:dyDescent="0.25">
      <c r="A2158" s="2">
        <v>637.44421777382604</v>
      </c>
      <c r="B2158" s="3">
        <v>0.35980946570505701</v>
      </c>
      <c r="C2158" s="5">
        <v>4.1685777279665601E-8</v>
      </c>
      <c r="D2158" s="6">
        <v>2.70075823292537E-7</v>
      </c>
      <c r="E2158" s="3" t="s">
        <v>4349</v>
      </c>
      <c r="F2158" s="3" t="s">
        <v>4350</v>
      </c>
      <c r="G2158" s="3">
        <v>20334</v>
      </c>
      <c r="H2158" s="7" t="str">
        <f>HYPERLINK("http://www.ensembl.org/Mus_musculus/Gene/Summary?db=core;g=ENSMUSG00000020986","ENSMUSG00000020986")</f>
        <v>ENSMUSG00000020986</v>
      </c>
      <c r="I2158" s="7" t="str">
        <f>HYPERLINK("http://www.informatics.jax.org/marker/MGI:1349635","MGI:1349635")</f>
        <v>MGI:1349635</v>
      </c>
      <c r="J2158" s="4" t="s">
        <v>12</v>
      </c>
    </row>
    <row r="2159" spans="1:10" x14ac:dyDescent="0.25">
      <c r="A2159" s="2">
        <v>5513.2119214262502</v>
      </c>
      <c r="B2159" s="3">
        <v>0.35927383823742498</v>
      </c>
      <c r="C2159" s="5">
        <v>1.02164533558829E-7</v>
      </c>
      <c r="D2159" s="6">
        <v>6.3962508557528501E-7</v>
      </c>
      <c r="E2159" s="3" t="s">
        <v>7702</v>
      </c>
      <c r="F2159" s="3" t="s">
        <v>7703</v>
      </c>
      <c r="G2159" s="3">
        <v>66092</v>
      </c>
      <c r="H2159" s="7" t="str">
        <f>HYPERLINK("http://www.ensembl.org/Mus_musculus/Gene/Summary?db=core;g=ENSMUSG00000041028","ENSMUSG00000041028")</f>
        <v>ENSMUSG00000041028</v>
      </c>
      <c r="I2159" s="7" t="str">
        <f>HYPERLINK("http://www.informatics.jax.org/marker/MGI:1913342","MGI:1913342")</f>
        <v>MGI:1913342</v>
      </c>
      <c r="J2159" s="4" t="s">
        <v>12</v>
      </c>
    </row>
    <row r="2160" spans="1:10" x14ac:dyDescent="0.25">
      <c r="A2160" s="2">
        <v>1501.8665248776199</v>
      </c>
      <c r="B2160" s="3">
        <v>0.35904152712502102</v>
      </c>
      <c r="C2160" s="5">
        <v>3.1011519077697699E-10</v>
      </c>
      <c r="D2160" s="6">
        <v>2.5435865670163799E-9</v>
      </c>
      <c r="E2160" s="3" t="s">
        <v>4261</v>
      </c>
      <c r="F2160" s="3" t="s">
        <v>4262</v>
      </c>
      <c r="G2160" s="3">
        <v>69902</v>
      </c>
      <c r="H2160" s="7" t="str">
        <f>HYPERLINK("http://www.ensembl.org/Mus_musculus/Gene/Summary?db=core;g=ENSMUSG00000028741","ENSMUSG00000028741")</f>
        <v>ENSMUSG00000028741</v>
      </c>
      <c r="I2160" s="7" t="str">
        <f>HYPERLINK("http://www.informatics.jax.org/marker/MGI:1917152","MGI:1917152")</f>
        <v>MGI:1917152</v>
      </c>
      <c r="J2160" s="4" t="s">
        <v>12</v>
      </c>
    </row>
    <row r="2161" spans="1:10" x14ac:dyDescent="0.25">
      <c r="A2161" s="2">
        <v>3276.9541962752</v>
      </c>
      <c r="B2161" s="3">
        <v>0.35899336299398199</v>
      </c>
      <c r="C2161" s="5">
        <v>1.2023777912505599E-18</v>
      </c>
      <c r="D2161" s="6">
        <v>1.75869464249932E-17</v>
      </c>
      <c r="E2161" s="3" t="s">
        <v>2083</v>
      </c>
      <c r="F2161" s="3" t="s">
        <v>2084</v>
      </c>
      <c r="G2161" s="3">
        <v>71770</v>
      </c>
      <c r="H2161" s="7" t="str">
        <f>HYPERLINK("http://www.ensembl.org/Mus_musculus/Gene/Summary?db=core;g=ENSMUSG00000035152","ENSMUSG00000035152")</f>
        <v>ENSMUSG00000035152</v>
      </c>
      <c r="I2161" s="7" t="str">
        <f>HYPERLINK("http://www.informatics.jax.org/marker/MGI:1919020","MGI:1919020")</f>
        <v>MGI:1919020</v>
      </c>
      <c r="J2161" s="4" t="s">
        <v>12</v>
      </c>
    </row>
    <row r="2162" spans="1:10" x14ac:dyDescent="0.25">
      <c r="A2162" s="2">
        <v>1751.0116017227399</v>
      </c>
      <c r="B2162" s="3">
        <v>0.35887407498511298</v>
      </c>
      <c r="C2162" s="5">
        <v>2.3895653275274399E-6</v>
      </c>
      <c r="D2162" s="6">
        <v>1.26967428846028E-5</v>
      </c>
      <c r="E2162" s="3" t="s">
        <v>3260</v>
      </c>
      <c r="F2162" s="3" t="s">
        <v>3261</v>
      </c>
      <c r="G2162" s="3">
        <v>71701</v>
      </c>
      <c r="H2162" s="7" t="str">
        <f>HYPERLINK("http://www.ensembl.org/Mus_musculus/Gene/Summary?db=core;g=ENSMUSG00000020464","ENSMUSG00000020464")</f>
        <v>ENSMUSG00000020464</v>
      </c>
      <c r="I2162" s="7" t="str">
        <f>HYPERLINK("http://www.informatics.jax.org/marker/MGI:1918951","MGI:1918951")</f>
        <v>MGI:1918951</v>
      </c>
      <c r="J2162" s="4" t="s">
        <v>12</v>
      </c>
    </row>
    <row r="2163" spans="1:10" x14ac:dyDescent="0.25">
      <c r="A2163" s="2">
        <v>3409.3576888709899</v>
      </c>
      <c r="B2163" s="3">
        <v>0.35877542125553202</v>
      </c>
      <c r="C2163" s="3">
        <v>6.1562084899178496E-4</v>
      </c>
      <c r="D2163" s="4">
        <v>2.2529497937500598E-3</v>
      </c>
      <c r="E2163" s="3" t="s">
        <v>9419</v>
      </c>
      <c r="F2163" s="3" t="s">
        <v>9420</v>
      </c>
      <c r="G2163" s="3">
        <v>269523</v>
      </c>
      <c r="H2163" s="7" t="str">
        <f>HYPERLINK("http://www.ensembl.org/Mus_musculus/Gene/Summary?db=core;g=ENSMUSG00000028452","ENSMUSG00000028452")</f>
        <v>ENSMUSG00000028452</v>
      </c>
      <c r="I2163" s="7" t="str">
        <f>HYPERLINK("http://www.informatics.jax.org/marker/MGI:99919","MGI:99919")</f>
        <v>MGI:99919</v>
      </c>
      <c r="J2163" s="4" t="s">
        <v>12</v>
      </c>
    </row>
    <row r="2164" spans="1:10" x14ac:dyDescent="0.25">
      <c r="A2164" s="2">
        <v>6189.5143444447804</v>
      </c>
      <c r="B2164" s="3">
        <v>0.35852694814979802</v>
      </c>
      <c r="C2164" s="3">
        <v>3.1076053979042301E-4</v>
      </c>
      <c r="D2164" s="4">
        <v>1.1920881577942501E-3</v>
      </c>
      <c r="E2164" s="3" t="s">
        <v>9309</v>
      </c>
      <c r="F2164" s="3" t="s">
        <v>9310</v>
      </c>
      <c r="G2164" s="3">
        <v>21346</v>
      </c>
      <c r="H2164" s="7" t="str">
        <f>HYPERLINK("http://www.ensembl.org/Mus_musculus/Gene/Summary?db=core;g=ENSMUSG00000026547","ENSMUSG00000026547")</f>
        <v>ENSMUSG00000026547</v>
      </c>
      <c r="I2164" s="7" t="str">
        <f>HYPERLINK("http://www.informatics.jax.org/marker/MGI:1312985","MGI:1312985")</f>
        <v>MGI:1312985</v>
      </c>
      <c r="J2164" s="4" t="s">
        <v>12</v>
      </c>
    </row>
    <row r="2165" spans="1:10" x14ac:dyDescent="0.25">
      <c r="A2165" s="2">
        <v>1045.22915643888</v>
      </c>
      <c r="B2165" s="3">
        <v>0.35816406284854801</v>
      </c>
      <c r="C2165" s="5">
        <v>2.1566646573913002E-9</v>
      </c>
      <c r="D2165" s="6">
        <v>1.6128524161246002E-8</v>
      </c>
      <c r="E2165" s="3" t="s">
        <v>3878</v>
      </c>
      <c r="F2165" s="3" t="s">
        <v>3879</v>
      </c>
      <c r="G2165" s="3">
        <v>217026</v>
      </c>
      <c r="H2165" s="7" t="str">
        <f>HYPERLINK("http://www.ensembl.org/Mus_musculus/Gene/Summary?db=core;g=ENSMUSG00000000976","ENSMUSG00000000976")</f>
        <v>ENSMUSG00000000976</v>
      </c>
      <c r="I2165" s="7" t="str">
        <f>HYPERLINK("http://www.informatics.jax.org/marker/MGI:1919790","MGI:1919790")</f>
        <v>MGI:1919790</v>
      </c>
      <c r="J2165" s="4" t="s">
        <v>12</v>
      </c>
    </row>
    <row r="2166" spans="1:10" x14ac:dyDescent="0.25">
      <c r="A2166" s="2">
        <v>1520.1907280422599</v>
      </c>
      <c r="B2166" s="3">
        <v>0.35793954669143901</v>
      </c>
      <c r="C2166" s="5">
        <v>4.1362308430917402E-10</v>
      </c>
      <c r="D2166" s="6">
        <v>3.3518366880990201E-9</v>
      </c>
      <c r="E2166" s="3" t="s">
        <v>6199</v>
      </c>
      <c r="F2166" s="3" t="s">
        <v>6200</v>
      </c>
      <c r="G2166" s="3">
        <v>76707</v>
      </c>
      <c r="H2166" s="7" t="str">
        <f>HYPERLINK("http://www.ensembl.org/Mus_musculus/Gene/Summary?db=core;g=ENSMUSG00000064302","ENSMUSG00000064302")</f>
        <v>ENSMUSG00000064302</v>
      </c>
      <c r="I2166" s="7" t="str">
        <f>HYPERLINK("http://www.informatics.jax.org/marker/MGI:1923957","MGI:1923957")</f>
        <v>MGI:1923957</v>
      </c>
      <c r="J2166" s="4" t="s">
        <v>12</v>
      </c>
    </row>
    <row r="2167" spans="1:10" x14ac:dyDescent="0.25">
      <c r="A2167" s="2">
        <v>746.33887113417802</v>
      </c>
      <c r="B2167" s="3">
        <v>0.35752991974413401</v>
      </c>
      <c r="C2167" s="5">
        <v>4.4361167926917602E-10</v>
      </c>
      <c r="D2167" s="6">
        <v>3.5726128390104901E-9</v>
      </c>
      <c r="E2167" s="3" t="s">
        <v>3790</v>
      </c>
      <c r="F2167" s="3" t="s">
        <v>3791</v>
      </c>
      <c r="G2167" s="3">
        <v>66827</v>
      </c>
      <c r="H2167" s="7" t="str">
        <f>HYPERLINK("http://www.ensembl.org/Mus_musculus/Gene/Summary?db=core;g=ENSMUSG00000041278","ENSMUSG00000041278")</f>
        <v>ENSMUSG00000041278</v>
      </c>
      <c r="I2167" s="7" t="str">
        <f>HYPERLINK("http://www.informatics.jax.org/marker/MGI:1914077","MGI:1914077")</f>
        <v>MGI:1914077</v>
      </c>
      <c r="J2167" s="4" t="s">
        <v>12</v>
      </c>
    </row>
    <row r="2168" spans="1:10" x14ac:dyDescent="0.25">
      <c r="A2168" s="2">
        <v>2882.6779363024202</v>
      </c>
      <c r="B2168" s="3">
        <v>0.35738593508456301</v>
      </c>
      <c r="C2168" s="5">
        <v>2.7331116874057702E-19</v>
      </c>
      <c r="D2168" s="6">
        <v>4.1268401410911502E-18</v>
      </c>
      <c r="E2168" s="3" t="s">
        <v>1546</v>
      </c>
      <c r="F2168" s="3" t="s">
        <v>1547</v>
      </c>
      <c r="G2168" s="3">
        <v>70599</v>
      </c>
      <c r="H2168" s="7" t="str">
        <f>HYPERLINK("http://www.ensembl.org/Mus_musculus/Gene/Summary?db=core;g=ENSMUSG00000027007","ENSMUSG00000027007")</f>
        <v>ENSMUSG00000027007</v>
      </c>
      <c r="I2168" s="7" t="str">
        <f>HYPERLINK("http://www.informatics.jax.org/marker/MGI:1917849","MGI:1917849")</f>
        <v>MGI:1917849</v>
      </c>
      <c r="J2168" s="4" t="s">
        <v>12</v>
      </c>
    </row>
    <row r="2169" spans="1:10" x14ac:dyDescent="0.25">
      <c r="A2169" s="2">
        <v>1247.3214792685101</v>
      </c>
      <c r="B2169" s="3">
        <v>0.35716060167573799</v>
      </c>
      <c r="C2169" s="3">
        <v>2.22307736503023E-4</v>
      </c>
      <c r="D2169" s="4">
        <v>8.76391628329567E-4</v>
      </c>
      <c r="E2169" s="3" t="s">
        <v>5959</v>
      </c>
      <c r="F2169" s="3" t="s">
        <v>5960</v>
      </c>
      <c r="G2169" s="3">
        <v>100910</v>
      </c>
      <c r="H2169" s="7" t="str">
        <f>HYPERLINK("http://www.ensembl.org/Mus_musculus/Gene/Summary?db=core;g=ENSMUSG00000038181","ENSMUSG00000038181")</f>
        <v>ENSMUSG00000038181</v>
      </c>
      <c r="I2169" s="7" t="str">
        <f>HYPERLINK("http://www.informatics.jax.org/marker/MGI:1917522","MGI:1917522")</f>
        <v>MGI:1917522</v>
      </c>
      <c r="J2169" s="4" t="s">
        <v>12</v>
      </c>
    </row>
    <row r="2170" spans="1:10" x14ac:dyDescent="0.25">
      <c r="A2170" s="2">
        <v>534.49409547001801</v>
      </c>
      <c r="B2170" s="3">
        <v>0.35658282855519402</v>
      </c>
      <c r="C2170" s="3">
        <v>2.4975999820212898E-4</v>
      </c>
      <c r="D2170" s="4">
        <v>9.73246946169296E-4</v>
      </c>
      <c r="E2170" s="3" t="s">
        <v>8123</v>
      </c>
      <c r="F2170" s="3" t="s">
        <v>8124</v>
      </c>
      <c r="G2170" s="3">
        <v>13171</v>
      </c>
      <c r="H2170" s="7" t="str">
        <f>HYPERLINK("http://www.ensembl.org/Mus_musculus/Gene/Summary?db=core;g=ENSMUSG00000000340","ENSMUSG00000000340")</f>
        <v>ENSMUSG00000000340</v>
      </c>
      <c r="I2170" s="7" t="str">
        <f>HYPERLINK("http://www.informatics.jax.org/marker/MGI:105386","MGI:105386")</f>
        <v>MGI:105386</v>
      </c>
      <c r="J2170" s="4" t="s">
        <v>12</v>
      </c>
    </row>
    <row r="2171" spans="1:10" x14ac:dyDescent="0.25">
      <c r="A2171" s="2">
        <v>378.18378908148298</v>
      </c>
      <c r="B2171" s="3">
        <v>0.35656270202583801</v>
      </c>
      <c r="C2171" s="5">
        <v>3.8218137075341399E-5</v>
      </c>
      <c r="D2171" s="4">
        <v>1.7025801715915399E-4</v>
      </c>
      <c r="E2171" s="3" t="s">
        <v>12305</v>
      </c>
      <c r="F2171" s="3" t="s">
        <v>12306</v>
      </c>
      <c r="G2171" s="3">
        <v>56187</v>
      </c>
      <c r="H2171" s="7" t="str">
        <f>HYPERLINK("http://www.ensembl.org/Mus_musculus/Gene/Summary?db=core;g=ENSMUSG00000040472","ENSMUSG00000040472")</f>
        <v>ENSMUSG00000040472</v>
      </c>
      <c r="I2171" s="7" t="str">
        <f>HYPERLINK("http://www.informatics.jax.org/marker/MGI:1860443","MGI:1860443")</f>
        <v>MGI:1860443</v>
      </c>
      <c r="J2171" s="4" t="s">
        <v>12</v>
      </c>
    </row>
    <row r="2172" spans="1:10" x14ac:dyDescent="0.25">
      <c r="A2172" s="2">
        <v>819.27810669283701</v>
      </c>
      <c r="B2172" s="3">
        <v>0.35622721587516598</v>
      </c>
      <c r="C2172" s="5">
        <v>3.43435472775645E-5</v>
      </c>
      <c r="D2172" s="4">
        <v>1.5446968142488E-4</v>
      </c>
      <c r="E2172" s="3" t="s">
        <v>9343</v>
      </c>
      <c r="F2172" s="3" t="s">
        <v>9344</v>
      </c>
      <c r="G2172" s="3">
        <v>68273</v>
      </c>
      <c r="H2172" s="7" t="str">
        <f>HYPERLINK("http://www.ensembl.org/Mus_musculus/Gene/Summary?db=core;g=ENSMUSG00000028700","ENSMUSG00000028700")</f>
        <v>ENSMUSG00000028700</v>
      </c>
      <c r="I2172" s="7" t="str">
        <f>HYPERLINK("http://www.informatics.jax.org/marker/MGI:1915523","MGI:1915523")</f>
        <v>MGI:1915523</v>
      </c>
      <c r="J2172" s="4" t="s">
        <v>12</v>
      </c>
    </row>
    <row r="2173" spans="1:10" x14ac:dyDescent="0.25">
      <c r="A2173" s="2">
        <v>1162.4043413335601</v>
      </c>
      <c r="B2173" s="3">
        <v>0.35610945748248701</v>
      </c>
      <c r="C2173" s="5">
        <v>4.9137242133680397E-8</v>
      </c>
      <c r="D2173" s="6">
        <v>3.1618195593249001E-7</v>
      </c>
      <c r="E2173" s="3" t="s">
        <v>5917</v>
      </c>
      <c r="F2173" s="3" t="s">
        <v>5918</v>
      </c>
      <c r="G2173" s="3">
        <v>16798</v>
      </c>
      <c r="H2173" s="7" t="str">
        <f>HYPERLINK("http://www.ensembl.org/Mus_musculus/Gene/Summary?db=core;g=ENSMUSG00000040021","ENSMUSG00000040021")</f>
        <v>ENSMUSG00000040021</v>
      </c>
      <c r="I2173" s="7" t="str">
        <f>HYPERLINK("http://www.informatics.jax.org/marker/MGI:1333883","MGI:1333883")</f>
        <v>MGI:1333883</v>
      </c>
      <c r="J2173" s="4" t="s">
        <v>12</v>
      </c>
    </row>
    <row r="2174" spans="1:10" x14ac:dyDescent="0.25">
      <c r="A2174" s="2">
        <v>1263.2711766863899</v>
      </c>
      <c r="B2174" s="3">
        <v>0.35600862656667198</v>
      </c>
      <c r="C2174" s="5">
        <v>1.5300845988869699E-9</v>
      </c>
      <c r="D2174" s="6">
        <v>1.16628154808511E-8</v>
      </c>
      <c r="E2174" s="3" t="s">
        <v>6938</v>
      </c>
      <c r="F2174" s="3" t="s">
        <v>6939</v>
      </c>
      <c r="G2174" s="3">
        <v>20818</v>
      </c>
      <c r="H2174" s="7" t="str">
        <f>HYPERLINK("http://www.ensembl.org/Mus_musculus/Gene/Summary?db=core;g=ENSMUSG00000032553","ENSMUSG00000032553")</f>
        <v>ENSMUSG00000032553</v>
      </c>
      <c r="I2174" s="7" t="str">
        <f>HYPERLINK("http://www.informatics.jax.org/marker/MGI:102964","MGI:102964")</f>
        <v>MGI:102964</v>
      </c>
      <c r="J2174" s="4" t="s">
        <v>12</v>
      </c>
    </row>
    <row r="2175" spans="1:10" x14ac:dyDescent="0.25">
      <c r="A2175" s="2">
        <v>1190.56085465413</v>
      </c>
      <c r="B2175" s="3">
        <v>0.35579573917368701</v>
      </c>
      <c r="C2175" s="5">
        <v>3.74813811496157E-8</v>
      </c>
      <c r="D2175" s="6">
        <v>2.4413726466235E-7</v>
      </c>
      <c r="E2175" s="3" t="s">
        <v>5229</v>
      </c>
      <c r="F2175" s="3" t="s">
        <v>5230</v>
      </c>
      <c r="G2175" s="3">
        <v>76577</v>
      </c>
      <c r="H2175" s="7" t="str">
        <f>HYPERLINK("http://www.ensembl.org/Mus_musculus/Gene/Summary?db=core;g=ENSMUSG00000025873","ENSMUSG00000025873")</f>
        <v>ENSMUSG00000025873</v>
      </c>
      <c r="I2175" s="7" t="str">
        <f>HYPERLINK("http://www.informatics.jax.org/marker/MGI:1923827","MGI:1923827")</f>
        <v>MGI:1923827</v>
      </c>
      <c r="J2175" s="4" t="s">
        <v>12</v>
      </c>
    </row>
    <row r="2176" spans="1:10" x14ac:dyDescent="0.25">
      <c r="A2176" s="2">
        <v>208.66449174742399</v>
      </c>
      <c r="B2176" s="3">
        <v>0.354603893081961</v>
      </c>
      <c r="C2176" s="3">
        <v>8.5980283340021603E-4</v>
      </c>
      <c r="D2176" s="4">
        <v>3.0593335881919002E-3</v>
      </c>
      <c r="E2176" s="3" t="s">
        <v>11187</v>
      </c>
      <c r="F2176" s="3" t="s">
        <v>11188</v>
      </c>
      <c r="G2176" s="3">
        <v>24064</v>
      </c>
      <c r="H2176" s="7" t="str">
        <f>HYPERLINK("http://www.ensembl.org/Mus_musculus/Gene/Summary?db=core;g=ENSMUSG00000022114","ENSMUSG00000022114")</f>
        <v>ENSMUSG00000022114</v>
      </c>
      <c r="I2176" s="7" t="str">
        <f>HYPERLINK("http://www.informatics.jax.org/marker/MGI:1345138","MGI:1345138")</f>
        <v>MGI:1345138</v>
      </c>
      <c r="J2176" s="4" t="s">
        <v>12</v>
      </c>
    </row>
    <row r="2177" spans="1:10" x14ac:dyDescent="0.25">
      <c r="A2177" s="2">
        <v>1714.81757078336</v>
      </c>
      <c r="B2177" s="3">
        <v>0.35424492059518498</v>
      </c>
      <c r="C2177" s="5">
        <v>2.8220057091849698E-9</v>
      </c>
      <c r="D2177" s="6">
        <v>2.0923943877093602E-8</v>
      </c>
      <c r="E2177" s="3" t="s">
        <v>5505</v>
      </c>
      <c r="F2177" s="3" t="s">
        <v>5506</v>
      </c>
      <c r="G2177" s="3">
        <v>66580</v>
      </c>
      <c r="H2177" s="7" t="str">
        <f>HYPERLINK("http://www.ensembl.org/Mus_musculus/Gene/Summary?db=core;g=ENSMUSG00000045624","ENSMUSG00000045624")</f>
        <v>ENSMUSG00000045624</v>
      </c>
      <c r="I2177" s="7" t="str">
        <f>HYPERLINK("http://www.informatics.jax.org/marker/MGI:1913830","MGI:1913830")</f>
        <v>MGI:1913830</v>
      </c>
      <c r="J2177" s="4" t="s">
        <v>12</v>
      </c>
    </row>
    <row r="2178" spans="1:10" x14ac:dyDescent="0.25">
      <c r="A2178" s="2">
        <v>1437.7522772791699</v>
      </c>
      <c r="B2178" s="3">
        <v>0.35419038367376399</v>
      </c>
      <c r="C2178" s="5">
        <v>1.9521971886312499E-7</v>
      </c>
      <c r="D2178" s="6">
        <v>1.18635524384143E-6</v>
      </c>
      <c r="E2178" s="3" t="s">
        <v>3372</v>
      </c>
      <c r="F2178" s="3" t="s">
        <v>3373</v>
      </c>
      <c r="G2178" s="3">
        <v>24056</v>
      </c>
      <c r="H2178" s="7" t="str">
        <f>HYPERLINK("http://www.ensembl.org/Mus_musculus/Gene/Summary?db=core;g=ENSMUSG00000021892","ENSMUSG00000021892")</f>
        <v>ENSMUSG00000021892</v>
      </c>
      <c r="I2178" s="7" t="str">
        <f>HYPERLINK("http://www.informatics.jax.org/marker/MGI:1344391","MGI:1344391")</f>
        <v>MGI:1344391</v>
      </c>
      <c r="J2178" s="4" t="s">
        <v>12</v>
      </c>
    </row>
    <row r="2179" spans="1:10" x14ac:dyDescent="0.25">
      <c r="A2179" s="2">
        <v>985.24175467022405</v>
      </c>
      <c r="B2179" s="3">
        <v>0.354117264149934</v>
      </c>
      <c r="C2179" s="5">
        <v>3.9195710201715497E-9</v>
      </c>
      <c r="D2179" s="6">
        <v>2.8676909611652599E-8</v>
      </c>
      <c r="E2179" s="3" t="s">
        <v>3582</v>
      </c>
      <c r="F2179" s="3" t="s">
        <v>3583</v>
      </c>
      <c r="G2179" s="3">
        <v>140499</v>
      </c>
      <c r="H2179" s="7" t="str">
        <f>HYPERLINK("http://www.ensembl.org/Mus_musculus/Gene/Summary?db=core;g=ENSMUSG00000023286","ENSMUSG00000023286")</f>
        <v>ENSMUSG00000023286</v>
      </c>
      <c r="I2179" s="7" t="str">
        <f>HYPERLINK("http://www.informatics.jax.org/marker/MGI:2153608","MGI:2153608")</f>
        <v>MGI:2153608</v>
      </c>
      <c r="J2179" s="4" t="s">
        <v>12</v>
      </c>
    </row>
    <row r="2180" spans="1:10" x14ac:dyDescent="0.25">
      <c r="A2180" s="2">
        <v>404.30314771637501</v>
      </c>
      <c r="B2180" s="3">
        <v>0.35400285348962202</v>
      </c>
      <c r="C2180" s="5">
        <v>3.16455649451358E-9</v>
      </c>
      <c r="D2180" s="6">
        <v>2.33687366744368E-8</v>
      </c>
      <c r="E2180" s="3" t="s">
        <v>5611</v>
      </c>
      <c r="F2180" s="3" t="s">
        <v>5612</v>
      </c>
      <c r="G2180" s="3">
        <v>66801</v>
      </c>
      <c r="H2180" s="7" t="str">
        <f>HYPERLINK("http://www.ensembl.org/Mus_musculus/Gene/Summary?db=core;g=ENSMUSG00000039737","ENSMUSG00000039737")</f>
        <v>ENSMUSG00000039737</v>
      </c>
      <c r="I2180" s="7" t="str">
        <f>HYPERLINK("http://www.informatics.jax.org/marker/MGI:1914051","MGI:1914051")</f>
        <v>MGI:1914051</v>
      </c>
      <c r="J2180" s="4" t="s">
        <v>12</v>
      </c>
    </row>
    <row r="2181" spans="1:10" x14ac:dyDescent="0.25">
      <c r="A2181" s="2">
        <v>4269.4635380968703</v>
      </c>
      <c r="B2181" s="3">
        <v>0.35369622934211498</v>
      </c>
      <c r="C2181" s="5">
        <v>1.2967406098812401E-5</v>
      </c>
      <c r="D2181" s="6">
        <v>6.2422339184061297E-5</v>
      </c>
      <c r="E2181" s="3" t="s">
        <v>4649</v>
      </c>
      <c r="F2181" s="3" t="s">
        <v>4650</v>
      </c>
      <c r="G2181" s="3">
        <v>17069</v>
      </c>
      <c r="H2181" s="7" t="str">
        <f>HYPERLINK("http://www.ensembl.org/Mus_musculus/Gene/Summary?db=core;g=ENSMUSG00000022587","ENSMUSG00000022587")</f>
        <v>ENSMUSG00000022587</v>
      </c>
      <c r="I2181" s="7" t="str">
        <f>HYPERLINK("http://www.informatics.jax.org/marker/MGI:106651","MGI:106651")</f>
        <v>MGI:106651</v>
      </c>
      <c r="J2181" s="4" t="s">
        <v>12</v>
      </c>
    </row>
    <row r="2182" spans="1:10" x14ac:dyDescent="0.25">
      <c r="A2182" s="2">
        <v>998.13312312914695</v>
      </c>
      <c r="B2182" s="3">
        <v>0.35359080383781499</v>
      </c>
      <c r="C2182" s="5">
        <v>2.70036504309536E-12</v>
      </c>
      <c r="D2182" s="6">
        <v>2.6205619228121899E-11</v>
      </c>
      <c r="E2182" s="3" t="s">
        <v>3496</v>
      </c>
      <c r="F2182" s="3" t="s">
        <v>3497</v>
      </c>
      <c r="G2182" s="3">
        <v>68705</v>
      </c>
      <c r="H2182" s="7" t="str">
        <f>HYPERLINK("http://www.ensembl.org/Mus_musculus/Gene/Summary?db=core;g=ENSMUSG00000067995","ENSMUSG00000067995")</f>
        <v>ENSMUSG00000067995</v>
      </c>
      <c r="I2182" s="7" t="str">
        <f>HYPERLINK("http://www.informatics.jax.org/marker/MGI:1915955","MGI:1915955")</f>
        <v>MGI:1915955</v>
      </c>
      <c r="J2182" s="4" t="s">
        <v>12</v>
      </c>
    </row>
    <row r="2183" spans="1:10" x14ac:dyDescent="0.25">
      <c r="A2183" s="2">
        <v>568.38063503194701</v>
      </c>
      <c r="B2183" s="3">
        <v>0.35356442424031598</v>
      </c>
      <c r="C2183" s="5">
        <v>2.0923862567988201E-9</v>
      </c>
      <c r="D2183" s="6">
        <v>1.56671074487093E-8</v>
      </c>
      <c r="E2183" s="3" t="s">
        <v>8499</v>
      </c>
      <c r="F2183" s="3" t="s">
        <v>8500</v>
      </c>
      <c r="G2183" s="3">
        <v>78232</v>
      </c>
      <c r="H2183" s="7" t="str">
        <f>HYPERLINK("http://www.ensembl.org/Mus_musculus/Gene/Summary?db=core;g=ENSMUSG00000020993","ENSMUSG00000020993")</f>
        <v>ENSMUSG00000020993</v>
      </c>
      <c r="I2183" s="7" t="str">
        <f>HYPERLINK("http://www.informatics.jax.org/marker/MGI:1925482","MGI:1925482")</f>
        <v>MGI:1925482</v>
      </c>
      <c r="J2183" s="4" t="s">
        <v>12</v>
      </c>
    </row>
    <row r="2184" spans="1:10" x14ac:dyDescent="0.25">
      <c r="A2184" s="2">
        <v>144.86019484253401</v>
      </c>
      <c r="B2184" s="3">
        <v>0.353524276664687</v>
      </c>
      <c r="C2184" s="3">
        <v>1.63215004656434E-3</v>
      </c>
      <c r="D2184" s="4">
        <v>5.5125898070117101E-3</v>
      </c>
      <c r="E2184" s="3" t="s">
        <v>13007</v>
      </c>
      <c r="F2184" s="3" t="s">
        <v>13008</v>
      </c>
      <c r="G2184" s="3">
        <v>18970</v>
      </c>
      <c r="H2184" s="7" t="str">
        <f>HYPERLINK("http://www.ensembl.org/Mus_musculus/Gene/Summary?db=core;g=ENSMUSG00000031536","ENSMUSG00000031536")</f>
        <v>ENSMUSG00000031536</v>
      </c>
      <c r="I2184" s="7" t="str">
        <f>HYPERLINK("http://www.informatics.jax.org/marker/MGI:97740","MGI:97740")</f>
        <v>MGI:97740</v>
      </c>
      <c r="J2184" s="4" t="s">
        <v>12</v>
      </c>
    </row>
    <row r="2185" spans="1:10" x14ac:dyDescent="0.25">
      <c r="A2185" s="2">
        <v>783.67635782978004</v>
      </c>
      <c r="B2185" s="3">
        <v>0.35347011391604</v>
      </c>
      <c r="C2185" s="5">
        <v>1.35803291104279E-6</v>
      </c>
      <c r="D2185" s="6">
        <v>7.4458934427661903E-6</v>
      </c>
      <c r="E2185" s="3" t="s">
        <v>6571</v>
      </c>
      <c r="F2185" s="3" t="s">
        <v>6572</v>
      </c>
      <c r="G2185" s="3">
        <v>69259</v>
      </c>
      <c r="H2185" s="7" t="str">
        <f>HYPERLINK("http://www.ensembl.org/Mus_musculus/Gene/Summary?db=core;g=ENSMUSG00000016946","ENSMUSG00000016946")</f>
        <v>ENSMUSG00000016946</v>
      </c>
      <c r="I2185" s="7" t="str">
        <f>HYPERLINK("http://www.informatics.jax.org/marker/MGI:1916509","MGI:1916509")</f>
        <v>MGI:1916509</v>
      </c>
      <c r="J2185" s="4" t="s">
        <v>12</v>
      </c>
    </row>
    <row r="2186" spans="1:10" x14ac:dyDescent="0.25">
      <c r="A2186" s="2">
        <v>2486.6829529533102</v>
      </c>
      <c r="B2186" s="3">
        <v>0.353005938066284</v>
      </c>
      <c r="C2186" s="5">
        <v>8.0037264621865603E-10</v>
      </c>
      <c r="D2186" s="6">
        <v>6.2982692043760801E-9</v>
      </c>
      <c r="E2186" s="3" t="s">
        <v>4749</v>
      </c>
      <c r="F2186" s="3" t="s">
        <v>4750</v>
      </c>
      <c r="G2186" s="3">
        <v>19247</v>
      </c>
      <c r="H2186" s="7" t="str">
        <f>HYPERLINK("http://www.ensembl.org/Mus_musculus/Gene/Summary?db=core;g=ENSMUSG00000043733","ENSMUSG00000043733")</f>
        <v>ENSMUSG00000043733</v>
      </c>
      <c r="I2186" s="7" t="str">
        <f>HYPERLINK("http://www.informatics.jax.org/marker/MGI:99511","MGI:99511")</f>
        <v>MGI:99511</v>
      </c>
      <c r="J2186" s="4" t="s">
        <v>12</v>
      </c>
    </row>
    <row r="2187" spans="1:10" x14ac:dyDescent="0.25">
      <c r="A2187" s="2">
        <v>1859.7649786894499</v>
      </c>
      <c r="B2187" s="3">
        <v>0.35293329135119</v>
      </c>
      <c r="C2187" s="5">
        <v>5.80136041018596E-9</v>
      </c>
      <c r="D2187" s="6">
        <v>4.1478930355291902E-8</v>
      </c>
      <c r="E2187" s="3" t="s">
        <v>4243</v>
      </c>
      <c r="F2187" s="3" t="s">
        <v>4244</v>
      </c>
      <c r="G2187" s="3">
        <v>97112</v>
      </c>
      <c r="H2187" s="7" t="str">
        <f>HYPERLINK("http://www.ensembl.org/Mus_musculus/Gene/Summary?db=core;g=ENSMUSG00000027787","ENSMUSG00000027787")</f>
        <v>ENSMUSG00000027787</v>
      </c>
      <c r="I2187" s="7" t="str">
        <f>HYPERLINK("http://www.informatics.jax.org/marker/MGI:2140103","MGI:2140103")</f>
        <v>MGI:2140103</v>
      </c>
      <c r="J2187" s="4" t="s">
        <v>12</v>
      </c>
    </row>
    <row r="2188" spans="1:10" x14ac:dyDescent="0.25">
      <c r="A2188" s="2">
        <v>1486.4206768714</v>
      </c>
      <c r="B2188" s="3">
        <v>0.35287442710761002</v>
      </c>
      <c r="C2188" s="5">
        <v>6.2497791634176599E-9</v>
      </c>
      <c r="D2188" s="6">
        <v>4.45452582140347E-8</v>
      </c>
      <c r="E2188" s="3" t="s">
        <v>5273</v>
      </c>
      <c r="F2188" s="3" t="s">
        <v>5274</v>
      </c>
      <c r="G2188" s="3">
        <v>15975</v>
      </c>
      <c r="H2188" s="7" t="str">
        <f>HYPERLINK("http://www.ensembl.org/Mus_musculus/Gene/Summary?db=core;g=ENSMUSG00000022967","ENSMUSG00000022967")</f>
        <v>ENSMUSG00000022967</v>
      </c>
      <c r="I2188" s="7" t="str">
        <f>HYPERLINK("http://www.informatics.jax.org/marker/MGI:107658","MGI:107658")</f>
        <v>MGI:107658</v>
      </c>
      <c r="J2188" s="4" t="s">
        <v>12</v>
      </c>
    </row>
    <row r="2189" spans="1:10" x14ac:dyDescent="0.25">
      <c r="A2189" s="2">
        <v>1853.9420654437399</v>
      </c>
      <c r="B2189" s="3">
        <v>0.35245455709962398</v>
      </c>
      <c r="C2189" s="5">
        <v>2.5750233090851002E-16</v>
      </c>
      <c r="D2189" s="6">
        <v>3.3025897120391202E-15</v>
      </c>
      <c r="E2189" s="3" t="s">
        <v>4257</v>
      </c>
      <c r="F2189" s="3" t="s">
        <v>4258</v>
      </c>
      <c r="G2189" s="3">
        <v>14682</v>
      </c>
      <c r="H2189" s="7" t="str">
        <f>HYPERLINK("http://www.ensembl.org/Mus_musculus/Gene/Summary?db=core;g=ENSMUSG00000024639","ENSMUSG00000024639")</f>
        <v>ENSMUSG00000024639</v>
      </c>
      <c r="I2189" s="7" t="str">
        <f>HYPERLINK("http://www.informatics.jax.org/marker/MGI:95776","MGI:95776")</f>
        <v>MGI:95776</v>
      </c>
      <c r="J2189" s="4" t="s">
        <v>12</v>
      </c>
    </row>
    <row r="2190" spans="1:10" x14ac:dyDescent="0.25">
      <c r="A2190" s="2">
        <v>2379.7093112501302</v>
      </c>
      <c r="B2190" s="3">
        <v>0.35237195303397001</v>
      </c>
      <c r="C2190" s="5">
        <v>4.2251339695294297E-10</v>
      </c>
      <c r="D2190" s="6">
        <v>3.4193191205450201E-9</v>
      </c>
      <c r="E2190" s="3" t="s">
        <v>2862</v>
      </c>
      <c r="F2190" s="3" t="s">
        <v>2863</v>
      </c>
      <c r="G2190" s="3">
        <v>56041</v>
      </c>
      <c r="H2190" s="7" t="str">
        <f>HYPERLINK("http://www.ensembl.org/Mus_musculus/Gene/Summary?db=core;g=ENSMUSG00000029407","ENSMUSG00000029407")</f>
        <v>ENSMUSG00000029407</v>
      </c>
      <c r="I2190" s="7" t="str">
        <f>HYPERLINK("http://www.informatics.jax.org/marker/MGI:1929095","MGI:1929095")</f>
        <v>MGI:1929095</v>
      </c>
      <c r="J2190" s="4" t="s">
        <v>12</v>
      </c>
    </row>
    <row r="2191" spans="1:10" x14ac:dyDescent="0.25">
      <c r="A2191" s="2">
        <v>860.23925201111899</v>
      </c>
      <c r="B2191" s="3">
        <v>0.35197490837626899</v>
      </c>
      <c r="C2191" s="5">
        <v>1.87837129605991E-9</v>
      </c>
      <c r="D2191" s="6">
        <v>1.4157699284818801E-8</v>
      </c>
      <c r="E2191" s="3" t="s">
        <v>4857</v>
      </c>
      <c r="F2191" s="3" t="s">
        <v>4858</v>
      </c>
      <c r="G2191" s="3">
        <v>66849</v>
      </c>
      <c r="H2191" s="7" t="str">
        <f>HYPERLINK("http://www.ensembl.org/Mus_musculus/Gene/Summary?db=core;g=ENSMUSG00000047714","ENSMUSG00000047714")</f>
        <v>ENSMUSG00000047714</v>
      </c>
      <c r="I2191" s="7" t="str">
        <f>HYPERLINK("http://www.informatics.jax.org/marker/MGI:1914099","MGI:1914099")</f>
        <v>MGI:1914099</v>
      </c>
      <c r="J2191" s="4" t="s">
        <v>12</v>
      </c>
    </row>
    <row r="2192" spans="1:10" x14ac:dyDescent="0.25">
      <c r="A2192" s="2">
        <v>256.18926005565697</v>
      </c>
      <c r="B2192" s="3">
        <v>0.35170755242121898</v>
      </c>
      <c r="C2192" s="5">
        <v>9.7641357211465698E-5</v>
      </c>
      <c r="D2192" s="4">
        <v>4.0908361728251999E-4</v>
      </c>
      <c r="E2192" s="3" t="s">
        <v>10734</v>
      </c>
      <c r="F2192" s="3" t="s">
        <v>10735</v>
      </c>
      <c r="G2192" s="3" t="s">
        <v>83</v>
      </c>
      <c r="H2192" s="7" t="str">
        <f>HYPERLINK("http://www.ensembl.org/Mus_musculus/Gene/Summary?db=core;g=ENSMUSG00000063902","ENSMUSG00000063902")</f>
        <v>ENSMUSG00000063902</v>
      </c>
      <c r="I2192" s="7" t="str">
        <f>HYPERLINK("http://www.informatics.jax.org/marker/MGI:3646150","MGI:3646150")</f>
        <v>MGI:3646150</v>
      </c>
      <c r="J2192" s="4" t="s">
        <v>1043</v>
      </c>
    </row>
    <row r="2193" spans="1:10" x14ac:dyDescent="0.25">
      <c r="A2193" s="2">
        <v>231.39682206356699</v>
      </c>
      <c r="B2193" s="3">
        <v>0.35167567604990302</v>
      </c>
      <c r="C2193" s="3">
        <v>1.9248922690249799E-4</v>
      </c>
      <c r="D2193" s="4">
        <v>7.6613150476043199E-4</v>
      </c>
      <c r="E2193" s="3" t="s">
        <v>11887</v>
      </c>
      <c r="F2193" s="3" t="s">
        <v>11888</v>
      </c>
      <c r="G2193" s="3">
        <v>235047</v>
      </c>
      <c r="H2193" s="7" t="str">
        <f>HYPERLINK("http://www.ensembl.org/Mus_musculus/Gene/Summary?db=core;g=ENSMUSG00000057982","ENSMUSG00000057982")</f>
        <v>ENSMUSG00000057982</v>
      </c>
      <c r="I2193" s="7" t="str">
        <f>HYPERLINK("http://www.informatics.jax.org/marker/MGI:2143362","MGI:2143362")</f>
        <v>MGI:2143362</v>
      </c>
      <c r="J2193" s="4" t="s">
        <v>12</v>
      </c>
    </row>
    <row r="2194" spans="1:10" x14ac:dyDescent="0.25">
      <c r="A2194" s="2">
        <v>362.16430012941998</v>
      </c>
      <c r="B2194" s="3">
        <v>0.35145029137274397</v>
      </c>
      <c r="C2194" s="3">
        <v>2.38575346091441E-4</v>
      </c>
      <c r="D2194" s="4">
        <v>9.3430744041703205E-4</v>
      </c>
      <c r="E2194" s="3" t="s">
        <v>13280</v>
      </c>
      <c r="F2194" s="3" t="s">
        <v>13281</v>
      </c>
      <c r="G2194" s="3">
        <v>13712</v>
      </c>
      <c r="H2194" s="7" t="str">
        <f>HYPERLINK("http://www.ensembl.org/Mus_musculus/Gene/Summary?db=core;g=ENSMUSG00000009406","ENSMUSG00000009406")</f>
        <v>ENSMUSG00000009406</v>
      </c>
      <c r="I2194" s="7" t="str">
        <f>HYPERLINK("http://www.informatics.jax.org/marker/MGI:101833","MGI:101833")</f>
        <v>MGI:101833</v>
      </c>
      <c r="J2194" s="4" t="s">
        <v>12</v>
      </c>
    </row>
    <row r="2195" spans="1:10" x14ac:dyDescent="0.25">
      <c r="A2195" s="2">
        <v>89.249125808473096</v>
      </c>
      <c r="B2195" s="3">
        <v>0.35139867765029797</v>
      </c>
      <c r="C2195" s="3">
        <v>2.1817057041015699E-2</v>
      </c>
      <c r="D2195" s="4">
        <v>5.5618389225417703E-2</v>
      </c>
      <c r="E2195" s="3" t="s">
        <v>13277</v>
      </c>
      <c r="F2195" s="3" t="s">
        <v>8624</v>
      </c>
      <c r="G2195" s="3" t="s">
        <v>83</v>
      </c>
      <c r="H2195" s="7" t="str">
        <f>HYPERLINK("http://www.ensembl.org/Mus_musculus/Gene/Summary?db=core;g=ENSMUSG00000116563","ENSMUSG00000116563")</f>
        <v>ENSMUSG00000116563</v>
      </c>
      <c r="I2195" s="3" t="s">
        <v>83</v>
      </c>
      <c r="J2195" s="4" t="s">
        <v>12</v>
      </c>
    </row>
    <row r="2196" spans="1:10" x14ac:dyDescent="0.25">
      <c r="A2196" s="2">
        <v>818.82435542977998</v>
      </c>
      <c r="B2196" s="3">
        <v>0.35099501367350799</v>
      </c>
      <c r="C2196" s="5">
        <v>4.4338712315308999E-8</v>
      </c>
      <c r="D2196" s="6">
        <v>2.8665237032511799E-7</v>
      </c>
      <c r="E2196" s="3" t="s">
        <v>3424</v>
      </c>
      <c r="F2196" s="3" t="s">
        <v>3425</v>
      </c>
      <c r="G2196" s="3">
        <v>225028</v>
      </c>
      <c r="H2196" s="7" t="str">
        <f>HYPERLINK("http://www.ensembl.org/Mus_musculus/Gene/Summary?db=core;g=ENSMUSG00000024242","ENSMUSG00000024242")</f>
        <v>ENSMUSG00000024242</v>
      </c>
      <c r="I2196" s="7" t="str">
        <f>HYPERLINK("http://www.informatics.jax.org/marker/MGI:2154405","MGI:2154405")</f>
        <v>MGI:2154405</v>
      </c>
      <c r="J2196" s="4" t="s">
        <v>12</v>
      </c>
    </row>
    <row r="2197" spans="1:10" x14ac:dyDescent="0.25">
      <c r="A2197" s="2">
        <v>188.487016349036</v>
      </c>
      <c r="B2197" s="3">
        <v>0.35097806162613898</v>
      </c>
      <c r="C2197" s="3">
        <v>1.7746703068100601E-2</v>
      </c>
      <c r="D2197" s="4">
        <v>4.6543914723864203E-2</v>
      </c>
      <c r="E2197" s="3" t="s">
        <v>10768</v>
      </c>
      <c r="F2197" s="3" t="s">
        <v>10769</v>
      </c>
      <c r="G2197" s="3">
        <v>67725</v>
      </c>
      <c r="H2197" s="7" t="str">
        <f>HYPERLINK("http://www.ensembl.org/Mus_musculus/Gene/Summary?db=core;g=ENSMUSG00000021809","ENSMUSG00000021809")</f>
        <v>ENSMUSG00000021809</v>
      </c>
      <c r="I2197" s="7" t="str">
        <f>HYPERLINK("http://www.informatics.jax.org/marker/MGI:1914975","MGI:1914975")</f>
        <v>MGI:1914975</v>
      </c>
      <c r="J2197" s="4" t="s">
        <v>12</v>
      </c>
    </row>
    <row r="2198" spans="1:10" x14ac:dyDescent="0.25">
      <c r="A2198" s="2">
        <v>1649.54667085593</v>
      </c>
      <c r="B2198" s="3">
        <v>0.35070798178615598</v>
      </c>
      <c r="C2198" s="5">
        <v>3.64910065361095E-8</v>
      </c>
      <c r="D2198" s="6">
        <v>2.38112636634657E-7</v>
      </c>
      <c r="E2198" s="3" t="s">
        <v>5913</v>
      </c>
      <c r="F2198" s="3" t="s">
        <v>5914</v>
      </c>
      <c r="G2198" s="3">
        <v>70827</v>
      </c>
      <c r="H2198" s="7" t="str">
        <f>HYPERLINK("http://www.ensembl.org/Mus_musculus/Gene/Summary?db=core;g=ENSMUSG00000026028","ENSMUSG00000026028")</f>
        <v>ENSMUSG00000026028</v>
      </c>
      <c r="I2198" s="7" t="str">
        <f>HYPERLINK("http://www.informatics.jax.org/marker/MGI:1918077","MGI:1918077")</f>
        <v>MGI:1918077</v>
      </c>
      <c r="J2198" s="4" t="s">
        <v>12</v>
      </c>
    </row>
    <row r="2199" spans="1:10" x14ac:dyDescent="0.25">
      <c r="A2199" s="2">
        <v>183.006433771221</v>
      </c>
      <c r="B2199" s="3">
        <v>0.35070576471765003</v>
      </c>
      <c r="C2199" s="3">
        <v>1.0818222076299101E-3</v>
      </c>
      <c r="D2199" s="4">
        <v>3.7872089385430599E-3</v>
      </c>
      <c r="E2199" s="3" t="s">
        <v>8143</v>
      </c>
      <c r="F2199" s="3" t="s">
        <v>8144</v>
      </c>
      <c r="G2199" s="3" t="s">
        <v>83</v>
      </c>
      <c r="H2199" s="7" t="str">
        <f>HYPERLINK("http://www.ensembl.org/Mus_musculus/Gene/Summary?db=core;g=ENSMUSG00000118181","ENSMUSG00000118181")</f>
        <v>ENSMUSG00000118181</v>
      </c>
      <c r="I2199" s="3" t="s">
        <v>83</v>
      </c>
      <c r="J2199" s="4" t="s">
        <v>331</v>
      </c>
    </row>
    <row r="2200" spans="1:10" x14ac:dyDescent="0.25">
      <c r="A2200" s="2">
        <v>3198.1545394395198</v>
      </c>
      <c r="B2200" s="3">
        <v>0.35067627434454102</v>
      </c>
      <c r="C2200" s="5">
        <v>8.1606092347529904E-12</v>
      </c>
      <c r="D2200" s="6">
        <v>7.6466377019729205E-11</v>
      </c>
      <c r="E2200" s="3" t="s">
        <v>8979</v>
      </c>
      <c r="F2200" s="3" t="s">
        <v>8980</v>
      </c>
      <c r="G2200" s="3">
        <v>93736</v>
      </c>
      <c r="H2200" s="7" t="str">
        <f>HYPERLINK("http://www.ensembl.org/Mus_musculus/Gene/Summary?db=core;g=ENSMUSG00000049470","ENSMUSG00000049470")</f>
        <v>ENSMUSG00000049470</v>
      </c>
      <c r="I2200" s="7" t="str">
        <f>HYPERLINK("http://www.informatics.jax.org/marker/MGI:2136171","MGI:2136171")</f>
        <v>MGI:2136171</v>
      </c>
      <c r="J2200" s="4" t="s">
        <v>12</v>
      </c>
    </row>
    <row r="2201" spans="1:10" x14ac:dyDescent="0.25">
      <c r="A2201" s="2">
        <v>231.766586711245</v>
      </c>
      <c r="B2201" s="3">
        <v>0.35045711502740501</v>
      </c>
      <c r="C2201" s="5">
        <v>9.5830779538695594E-5</v>
      </c>
      <c r="D2201" s="4">
        <v>4.0214505113809101E-4</v>
      </c>
      <c r="E2201" s="3" t="s">
        <v>12427</v>
      </c>
      <c r="F2201" s="3" t="s">
        <v>12428</v>
      </c>
      <c r="G2201" s="3">
        <v>65020</v>
      </c>
      <c r="H2201" s="7" t="str">
        <f>HYPERLINK("http://www.ensembl.org/Mus_musculus/Gene/Summary?db=core;g=ENSMUSG00000058638","ENSMUSG00000058638")</f>
        <v>ENSMUSG00000058638</v>
      </c>
      <c r="I2201" s="7" t="str">
        <f>HYPERLINK("http://www.informatics.jax.org/marker/MGI:1890378","MGI:1890378")</f>
        <v>MGI:1890378</v>
      </c>
      <c r="J2201" s="4" t="s">
        <v>12</v>
      </c>
    </row>
    <row r="2202" spans="1:10" x14ac:dyDescent="0.25">
      <c r="A2202" s="2">
        <v>1064.3393074712901</v>
      </c>
      <c r="B2202" s="3">
        <v>0.35035245262375603</v>
      </c>
      <c r="C2202" s="5">
        <v>7.0777341827317496E-9</v>
      </c>
      <c r="D2202" s="6">
        <v>5.0152296065430099E-8</v>
      </c>
      <c r="E2202" s="3" t="s">
        <v>3006</v>
      </c>
      <c r="F2202" s="3" t="s">
        <v>3007</v>
      </c>
      <c r="G2202" s="3">
        <v>69181</v>
      </c>
      <c r="H2202" s="7" t="str">
        <f>HYPERLINK("http://www.ensembl.org/Mus_musculus/Gene/Summary?db=core;g=ENSMUSG00000028630","ENSMUSG00000028630")</f>
        <v>ENSMUSG00000028630</v>
      </c>
      <c r="I2202" s="7" t="str">
        <f>HYPERLINK("http://www.informatics.jax.org/marker/MGI:1330301","MGI:1330301")</f>
        <v>MGI:1330301</v>
      </c>
      <c r="J2202" s="4" t="s">
        <v>12</v>
      </c>
    </row>
    <row r="2203" spans="1:10" x14ac:dyDescent="0.25">
      <c r="A2203" s="2">
        <v>1155.80319655466</v>
      </c>
      <c r="B2203" s="3">
        <v>0.349315992668844</v>
      </c>
      <c r="C2203" s="5">
        <v>4.8460293565867601E-6</v>
      </c>
      <c r="D2203" s="6">
        <v>2.4836581840211899E-5</v>
      </c>
      <c r="E2203" s="3" t="s">
        <v>3422</v>
      </c>
      <c r="F2203" s="3" t="s">
        <v>3423</v>
      </c>
      <c r="G2203" s="3">
        <v>106205</v>
      </c>
      <c r="H2203" s="7" t="str">
        <f>HYPERLINK("http://www.ensembl.org/Mus_musculus/Gene/Summary?db=core;g=ENSMUSG00000037965","ENSMUSG00000037965")</f>
        <v>ENSMUSG00000037965</v>
      </c>
      <c r="I2203" s="7" t="str">
        <f>HYPERLINK("http://www.informatics.jax.org/marker/MGI:2445044","MGI:2445044")</f>
        <v>MGI:2445044</v>
      </c>
      <c r="J2203" s="4" t="s">
        <v>12</v>
      </c>
    </row>
    <row r="2204" spans="1:10" x14ac:dyDescent="0.25">
      <c r="A2204" s="2">
        <v>216.13226404962401</v>
      </c>
      <c r="B2204" s="3">
        <v>0.34885782619114197</v>
      </c>
      <c r="C2204" s="3">
        <v>1.7123381683838701E-3</v>
      </c>
      <c r="D2204" s="4">
        <v>5.7525093306536402E-3</v>
      </c>
      <c r="E2204" s="3" t="s">
        <v>7388</v>
      </c>
      <c r="F2204" s="3" t="s">
        <v>7389</v>
      </c>
      <c r="G2204" s="3">
        <v>56812</v>
      </c>
      <c r="H2204" s="7" t="str">
        <f>HYPERLINK("http://www.ensembl.org/Mus_musculus/Gene/Summary?db=core;g=ENSMUSG00000026203","ENSMUSG00000026203")</f>
        <v>ENSMUSG00000026203</v>
      </c>
      <c r="I2204" s="7" t="str">
        <f>HYPERLINK("http://www.informatics.jax.org/marker/MGI:1928739","MGI:1928739")</f>
        <v>MGI:1928739</v>
      </c>
      <c r="J2204" s="4" t="s">
        <v>12</v>
      </c>
    </row>
    <row r="2205" spans="1:10" x14ac:dyDescent="0.25">
      <c r="A2205" s="2">
        <v>711.83708171219496</v>
      </c>
      <c r="B2205" s="3">
        <v>0.34883860297632502</v>
      </c>
      <c r="C2205" s="3">
        <v>6.2411268284901205E-4</v>
      </c>
      <c r="D2205" s="4">
        <v>2.28036360162856E-3</v>
      </c>
      <c r="E2205" s="3" t="s">
        <v>9049</v>
      </c>
      <c r="F2205" s="3" t="s">
        <v>9050</v>
      </c>
      <c r="G2205" s="3">
        <v>272589</v>
      </c>
      <c r="H2205" s="7" t="str">
        <f>HYPERLINK("http://www.ensembl.org/Mus_musculus/Gene/Summary?db=core;g=ENSMUSG00000037287","ENSMUSG00000037287")</f>
        <v>ENSMUSG00000037287</v>
      </c>
      <c r="I2205" s="7" t="str">
        <f>HYPERLINK("http://www.informatics.jax.org/marker/MGI:1925543","MGI:1925543")</f>
        <v>MGI:1925543</v>
      </c>
      <c r="J2205" s="4" t="s">
        <v>12</v>
      </c>
    </row>
    <row r="2206" spans="1:10" x14ac:dyDescent="0.25">
      <c r="A2206" s="2">
        <v>834.11267116607803</v>
      </c>
      <c r="B2206" s="3">
        <v>0.34876742134972299</v>
      </c>
      <c r="C2206" s="5">
        <v>5.1574708747843601E-5</v>
      </c>
      <c r="D2206" s="4">
        <v>2.2589499325389301E-4</v>
      </c>
      <c r="E2206" s="3" t="s">
        <v>8221</v>
      </c>
      <c r="F2206" s="3" t="s">
        <v>8222</v>
      </c>
      <c r="G2206" s="3">
        <v>29810</v>
      </c>
      <c r="H2206" s="7" t="str">
        <f>HYPERLINK("http://www.ensembl.org/Mus_musculus/Gene/Summary?db=core;g=ENSMUSG00000030847","ENSMUSG00000030847")</f>
        <v>ENSMUSG00000030847</v>
      </c>
      <c r="I2206" s="7" t="str">
        <f>HYPERLINK("http://www.informatics.jax.org/marker/MGI:1352493","MGI:1352493")</f>
        <v>MGI:1352493</v>
      </c>
      <c r="J2206" s="4" t="s">
        <v>12</v>
      </c>
    </row>
    <row r="2207" spans="1:10" x14ac:dyDescent="0.25">
      <c r="A2207" s="2">
        <v>876.65481621051504</v>
      </c>
      <c r="B2207" s="3">
        <v>0.34875197313107598</v>
      </c>
      <c r="C2207" s="5">
        <v>3.9257530818596799E-9</v>
      </c>
      <c r="D2207" s="6">
        <v>2.87106139313373E-8</v>
      </c>
      <c r="E2207" s="3" t="s">
        <v>7762</v>
      </c>
      <c r="F2207" s="3" t="s">
        <v>7763</v>
      </c>
      <c r="G2207" s="3">
        <v>218850</v>
      </c>
      <c r="H2207" s="7" t="str">
        <f>HYPERLINK("http://www.ensembl.org/Mus_musculus/Gene/Summary?db=core;g=ENSMUSG00000040651","ENSMUSG00000040651")</f>
        <v>ENSMUSG00000040651</v>
      </c>
      <c r="I2207" s="7" t="str">
        <f>HYPERLINK("http://www.informatics.jax.org/marker/MGI:1921694","MGI:1921694")</f>
        <v>MGI:1921694</v>
      </c>
      <c r="J2207" s="4" t="s">
        <v>12</v>
      </c>
    </row>
    <row r="2208" spans="1:10" x14ac:dyDescent="0.25">
      <c r="A2208" s="2">
        <v>1533.98765159292</v>
      </c>
      <c r="B2208" s="3">
        <v>0.34867130171185601</v>
      </c>
      <c r="C2208" s="3">
        <v>4.7462228598865199E-4</v>
      </c>
      <c r="D2208" s="4">
        <v>1.7700002378029801E-3</v>
      </c>
      <c r="E2208" s="3" t="s">
        <v>11024</v>
      </c>
      <c r="F2208" s="3" t="s">
        <v>11025</v>
      </c>
      <c r="G2208" s="3">
        <v>224432</v>
      </c>
      <c r="H2208" s="7" t="str">
        <f>HYPERLINK("http://www.ensembl.org/Mus_musculus/Gene/Summary?db=core;g=ENSMUSG00000022983","ENSMUSG00000022983")</f>
        <v>ENSMUSG00000022983</v>
      </c>
      <c r="I2208" s="7" t="str">
        <f>HYPERLINK("http://www.informatics.jax.org/marker/MGI:2146350","MGI:2146350")</f>
        <v>MGI:2146350</v>
      </c>
      <c r="J2208" s="4" t="s">
        <v>12</v>
      </c>
    </row>
    <row r="2209" spans="1:10" x14ac:dyDescent="0.25">
      <c r="A2209" s="2">
        <v>221.64983442361901</v>
      </c>
      <c r="B2209" s="3">
        <v>0.34864769914223298</v>
      </c>
      <c r="C2209" s="3">
        <v>2.2877601582622499E-3</v>
      </c>
      <c r="D2209" s="4">
        <v>7.4694426521550502E-3</v>
      </c>
      <c r="E2209" s="3" t="s">
        <v>10428</v>
      </c>
      <c r="F2209" s="3" t="s">
        <v>10429</v>
      </c>
      <c r="G2209" s="3" t="s">
        <v>83</v>
      </c>
      <c r="H2209" s="7" t="str">
        <f>HYPERLINK("http://www.ensembl.org/Mus_musculus/Gene/Summary?db=core;g=ENSMUSG00000100801","ENSMUSG00000100801")</f>
        <v>ENSMUSG00000100801</v>
      </c>
      <c r="I2209" s="7" t="str">
        <f>HYPERLINK("http://www.informatics.jax.org/marker/MGI:3705702","MGI:3705702")</f>
        <v>MGI:3705702</v>
      </c>
      <c r="J2209" s="4" t="s">
        <v>1043</v>
      </c>
    </row>
    <row r="2210" spans="1:10" x14ac:dyDescent="0.25">
      <c r="A2210" s="2">
        <v>448.89310021277402</v>
      </c>
      <c r="B2210" s="3">
        <v>0.34859971779211102</v>
      </c>
      <c r="C2210" s="5">
        <v>5.1796861985930203E-6</v>
      </c>
      <c r="D2210" s="6">
        <v>2.64314187082822E-5</v>
      </c>
      <c r="E2210" s="3" t="s">
        <v>6175</v>
      </c>
      <c r="F2210" s="3" t="s">
        <v>6176</v>
      </c>
      <c r="G2210" s="3">
        <v>67028</v>
      </c>
      <c r="H2210" s="7" t="str">
        <f>HYPERLINK("http://www.ensembl.org/Mus_musculus/Gene/Summary?db=core;g=ENSMUSG00000031242","ENSMUSG00000031242")</f>
        <v>ENSMUSG00000031242</v>
      </c>
      <c r="I2210" s="7" t="str">
        <f>HYPERLINK("http://www.informatics.jax.org/marker/MGI:1914278","MGI:1914278")</f>
        <v>MGI:1914278</v>
      </c>
      <c r="J2210" s="4" t="s">
        <v>12</v>
      </c>
    </row>
    <row r="2211" spans="1:10" x14ac:dyDescent="0.25">
      <c r="A2211" s="2">
        <v>424.71852607953298</v>
      </c>
      <c r="B2211" s="3">
        <v>0.34832412787238098</v>
      </c>
      <c r="C2211" s="3">
        <v>3.0751129636357199E-3</v>
      </c>
      <c r="D2211" s="4">
        <v>9.7187274898790001E-3</v>
      </c>
      <c r="E2211" s="3" t="s">
        <v>9673</v>
      </c>
      <c r="F2211" s="3" t="s">
        <v>9674</v>
      </c>
      <c r="G2211" s="3">
        <v>625098</v>
      </c>
      <c r="H2211" s="7" t="str">
        <f>HYPERLINK("http://www.ensembl.org/Mus_musculus/Gene/Summary?db=core;g=ENSMUSG00000044712","ENSMUSG00000044712")</f>
        <v>ENSMUSG00000044712</v>
      </c>
      <c r="I2211" s="7" t="str">
        <f>HYPERLINK("http://www.informatics.jax.org/marker/MGI:3648156","MGI:3648156")</f>
        <v>MGI:3648156</v>
      </c>
      <c r="J2211" s="4" t="s">
        <v>12</v>
      </c>
    </row>
    <row r="2212" spans="1:10" x14ac:dyDescent="0.25">
      <c r="A2212" s="2">
        <v>2020.9472470359799</v>
      </c>
      <c r="B2212" s="3">
        <v>0.34813098041111501</v>
      </c>
      <c r="C2212" s="5">
        <v>2.16074866648126E-12</v>
      </c>
      <c r="D2212" s="6">
        <v>2.1217480844084599E-11</v>
      </c>
      <c r="E2212" s="3" t="s">
        <v>3796</v>
      </c>
      <c r="F2212" s="3" t="s">
        <v>3797</v>
      </c>
      <c r="G2212" s="3">
        <v>23879</v>
      </c>
      <c r="H2212" s="7" t="str">
        <f>HYPERLINK("http://www.ensembl.org/Mus_musculus/Gene/Summary?db=core;g=ENSMUSG00000018765","ENSMUSG00000018765")</f>
        <v>ENSMUSG00000018765</v>
      </c>
      <c r="I2212" s="7" t="str">
        <f>HYPERLINK("http://www.informatics.jax.org/marker/MGI:1346074","MGI:1346074")</f>
        <v>MGI:1346074</v>
      </c>
      <c r="J2212" s="4" t="s">
        <v>12</v>
      </c>
    </row>
    <row r="2213" spans="1:10" x14ac:dyDescent="0.25">
      <c r="A2213" s="2">
        <v>3788.8545436678301</v>
      </c>
      <c r="B2213" s="3">
        <v>0.34793621288527898</v>
      </c>
      <c r="C2213" s="5">
        <v>3.6073663749967199E-14</v>
      </c>
      <c r="D2213" s="6">
        <v>4.0039130441117701E-13</v>
      </c>
      <c r="E2213" s="3" t="s">
        <v>2902</v>
      </c>
      <c r="F2213" s="3" t="s">
        <v>2903</v>
      </c>
      <c r="G2213" s="3">
        <v>110109</v>
      </c>
      <c r="H2213" s="7" t="str">
        <f>HYPERLINK("http://www.ensembl.org/Mus_musculus/Gene/Summary?db=core;g=ENSMUSG00000038279","ENSMUSG00000038279")</f>
        <v>ENSMUSG00000038279</v>
      </c>
      <c r="I2213" s="7" t="str">
        <f>HYPERLINK("http://www.informatics.jax.org/marker/MGI:107891","MGI:107891")</f>
        <v>MGI:107891</v>
      </c>
      <c r="J2213" s="4" t="s">
        <v>12</v>
      </c>
    </row>
    <row r="2214" spans="1:10" x14ac:dyDescent="0.25">
      <c r="A2214" s="2">
        <v>582.76646312952903</v>
      </c>
      <c r="B2214" s="3">
        <v>0.347920453379651</v>
      </c>
      <c r="C2214" s="5">
        <v>4.8210133371718596E-9</v>
      </c>
      <c r="D2214" s="6">
        <v>3.4824799076479301E-8</v>
      </c>
      <c r="E2214" s="3" t="s">
        <v>4059</v>
      </c>
      <c r="F2214" s="3" t="s">
        <v>4060</v>
      </c>
      <c r="G2214" s="3">
        <v>56044</v>
      </c>
      <c r="H2214" s="7" t="str">
        <f>HYPERLINK("http://www.ensembl.org/Mus_musculus/Gene/Summary?db=core;g=ENSMUSG00000008859","ENSMUSG00000008859")</f>
        <v>ENSMUSG00000008859</v>
      </c>
      <c r="I2214" s="7" t="str">
        <f>HYPERLINK("http://www.informatics.jax.org/marker/MGI:1927243","MGI:1927243")</f>
        <v>MGI:1927243</v>
      </c>
      <c r="J2214" s="4" t="s">
        <v>12</v>
      </c>
    </row>
    <row r="2215" spans="1:10" x14ac:dyDescent="0.25">
      <c r="A2215" s="2">
        <v>1.33572289015027</v>
      </c>
      <c r="B2215" s="3">
        <v>0.34785552977442702</v>
      </c>
      <c r="C2215" s="3">
        <v>0.421681157472445</v>
      </c>
      <c r="D2215" s="4">
        <v>0.599846891018749</v>
      </c>
      <c r="E2215" s="3" t="s">
        <v>11725</v>
      </c>
      <c r="F2215" s="3" t="s">
        <v>11726</v>
      </c>
      <c r="G2215" s="3">
        <v>16924</v>
      </c>
      <c r="H2215" s="7" t="str">
        <f>HYPERLINK("http://www.ensembl.org/Mus_musculus/Gene/Summary?db=core;g=ENSMUSG00000029228","ENSMUSG00000029228")</f>
        <v>ENSMUSG00000029228</v>
      </c>
      <c r="I2215" s="7" t="str">
        <f>HYPERLINK("http://www.informatics.jax.org/marker/MGI:1278335","MGI:1278335")</f>
        <v>MGI:1278335</v>
      </c>
      <c r="J2215" s="4" t="s">
        <v>12</v>
      </c>
    </row>
    <row r="2216" spans="1:10" x14ac:dyDescent="0.25">
      <c r="A2216" s="2">
        <v>294.912189770677</v>
      </c>
      <c r="B2216" s="3">
        <v>0.34754574781570102</v>
      </c>
      <c r="C2216" s="5">
        <v>8.9698860867708601E-6</v>
      </c>
      <c r="D2216" s="6">
        <v>4.4158880046298997E-5</v>
      </c>
      <c r="E2216" s="3" t="s">
        <v>8417</v>
      </c>
      <c r="F2216" s="3" t="s">
        <v>8418</v>
      </c>
      <c r="G2216" s="3">
        <v>75212</v>
      </c>
      <c r="H2216" s="7" t="str">
        <f>HYPERLINK("http://www.ensembl.org/Mus_musculus/Gene/Summary?db=core;g=ENSMUSG00000070426","ENSMUSG00000070426")</f>
        <v>ENSMUSG00000070426</v>
      </c>
      <c r="I2216" s="7" t="str">
        <f>HYPERLINK("http://www.informatics.jax.org/marker/MGI:1922462","MGI:1922462")</f>
        <v>MGI:1922462</v>
      </c>
      <c r="J2216" s="4" t="s">
        <v>12</v>
      </c>
    </row>
    <row r="2217" spans="1:10" x14ac:dyDescent="0.25">
      <c r="A2217" s="2">
        <v>467.028642293296</v>
      </c>
      <c r="B2217" s="3">
        <v>0.34734594607088498</v>
      </c>
      <c r="C2217" s="3">
        <v>2.66886032857281E-4</v>
      </c>
      <c r="D2217" s="4">
        <v>1.0340131693928399E-3</v>
      </c>
      <c r="E2217" s="3" t="s">
        <v>12565</v>
      </c>
      <c r="F2217" s="3" t="s">
        <v>12566</v>
      </c>
      <c r="G2217" s="3">
        <v>30928</v>
      </c>
      <c r="H2217" s="7" t="str">
        <f>HYPERLINK("http://www.ensembl.org/Mus_musculus/Gene/Summary?db=core;g=ENSMUSG00000063659","ENSMUSG00000063659")</f>
        <v>ENSMUSG00000063659</v>
      </c>
      <c r="I2217" s="7" t="str">
        <f>HYPERLINK("http://www.informatics.jax.org/marker/MGI:1353609","MGI:1353609")</f>
        <v>MGI:1353609</v>
      </c>
      <c r="J2217" s="4" t="s">
        <v>12</v>
      </c>
    </row>
    <row r="2218" spans="1:10" x14ac:dyDescent="0.25">
      <c r="A2218" s="2">
        <v>583.03757223361504</v>
      </c>
      <c r="B2218" s="3">
        <v>0.34734212875517301</v>
      </c>
      <c r="C2218" s="5">
        <v>1.41271669045668E-6</v>
      </c>
      <c r="D2218" s="6">
        <v>7.7340828127284501E-6</v>
      </c>
      <c r="E2218" s="3" t="s">
        <v>8759</v>
      </c>
      <c r="F2218" s="3" t="s">
        <v>8760</v>
      </c>
      <c r="G2218" s="3">
        <v>244418</v>
      </c>
      <c r="H2218" s="7" t="str">
        <f>HYPERLINK("http://www.ensembl.org/Mus_musculus/Gene/Summary?db=core;g=ENSMUSG00000050271","ENSMUSG00000050271")</f>
        <v>ENSMUSG00000050271</v>
      </c>
      <c r="I2218" s="7" t="str">
        <f>HYPERLINK("http://www.informatics.jax.org/marker/MGI:1196223","MGI:1196223")</f>
        <v>MGI:1196223</v>
      </c>
      <c r="J2218" s="4" t="s">
        <v>12</v>
      </c>
    </row>
    <row r="2219" spans="1:10" x14ac:dyDescent="0.25">
      <c r="A2219" s="2">
        <v>37.836927259012597</v>
      </c>
      <c r="B2219" s="3">
        <v>0.34729386335461598</v>
      </c>
      <c r="C2219" s="3">
        <v>5.2980688097896897E-2</v>
      </c>
      <c r="D2219" s="4">
        <v>0.11979814399307299</v>
      </c>
      <c r="E2219" s="3" t="s">
        <v>13363</v>
      </c>
      <c r="F2219" s="3" t="s">
        <v>13364</v>
      </c>
      <c r="G2219" s="3" t="s">
        <v>83</v>
      </c>
      <c r="H2219" s="7" t="str">
        <f>HYPERLINK("http://www.ensembl.org/Mus_musculus/Gene/Summary?db=core;g=ENSMUSG00000111842","ENSMUSG00000111842")</f>
        <v>ENSMUSG00000111842</v>
      </c>
      <c r="I2219" s="7" t="str">
        <f>HYPERLINK("http://www.informatics.jax.org/marker/MGI:6121495","MGI:6121495")</f>
        <v>MGI:6121495</v>
      </c>
      <c r="J2219" s="4" t="s">
        <v>12</v>
      </c>
    </row>
    <row r="2220" spans="1:10" x14ac:dyDescent="0.25">
      <c r="A2220" s="2">
        <v>155.72037776404699</v>
      </c>
      <c r="B2220" s="3">
        <v>0.34699548116342899</v>
      </c>
      <c r="C2220" s="3">
        <v>5.4581968625852799E-4</v>
      </c>
      <c r="D2220" s="4">
        <v>2.0161256145240498E-3</v>
      </c>
      <c r="E2220" s="3" t="s">
        <v>11321</v>
      </c>
      <c r="F2220" s="3" t="s">
        <v>11322</v>
      </c>
      <c r="G2220" s="3">
        <v>224585</v>
      </c>
      <c r="H2220" s="7" t="str">
        <f>HYPERLINK("http://www.ensembl.org/Mus_musculus/Gene/Summary?db=core;g=ENSMUSG00000067942","ENSMUSG00000067942")</f>
        <v>ENSMUSG00000067942</v>
      </c>
      <c r="I2220" s="7" t="str">
        <f>HYPERLINK("http://www.informatics.jax.org/marker/MGI:108187","MGI:108187")</f>
        <v>MGI:108187</v>
      </c>
      <c r="J2220" s="4" t="s">
        <v>12</v>
      </c>
    </row>
    <row r="2221" spans="1:10" x14ac:dyDescent="0.25">
      <c r="A2221" s="2">
        <v>2342.8518851939102</v>
      </c>
      <c r="B2221" s="3">
        <v>0.34697709931675402</v>
      </c>
      <c r="C2221" s="5">
        <v>8.8087588782695093E-6</v>
      </c>
      <c r="D2221" s="6">
        <v>4.3436047228479898E-5</v>
      </c>
      <c r="E2221" s="3" t="s">
        <v>7810</v>
      </c>
      <c r="F2221" s="3" t="s">
        <v>7811</v>
      </c>
      <c r="G2221" s="3">
        <v>66854</v>
      </c>
      <c r="H2221" s="7" t="str">
        <f>HYPERLINK("http://www.ensembl.org/Mus_musculus/Gene/Summary?db=core;g=ENSMUSG00000022043","ENSMUSG00000022043")</f>
        <v>ENSMUSG00000022043</v>
      </c>
      <c r="I2221" s="7" t="str">
        <f>HYPERLINK("http://www.informatics.jax.org/marker/MGI:1914104","MGI:1914104")</f>
        <v>MGI:1914104</v>
      </c>
      <c r="J2221" s="4" t="s">
        <v>12</v>
      </c>
    </row>
    <row r="2222" spans="1:10" x14ac:dyDescent="0.25">
      <c r="A2222" s="2">
        <v>2205.2681990677602</v>
      </c>
      <c r="B2222" s="3">
        <v>0.346441863627173</v>
      </c>
      <c r="C2222" s="5">
        <v>3.1901556115827599E-7</v>
      </c>
      <c r="D2222" s="6">
        <v>1.88890792791084E-6</v>
      </c>
      <c r="E2222" s="3" t="s">
        <v>3468</v>
      </c>
      <c r="F2222" s="3" t="s">
        <v>3469</v>
      </c>
      <c r="G2222" s="3">
        <v>70296</v>
      </c>
      <c r="H2222" s="7" t="str">
        <f>HYPERLINK("http://www.ensembl.org/Mus_musculus/Gene/Summary?db=core;g=ENSMUSG00000039678","ENSMUSG00000039678")</f>
        <v>ENSMUSG00000039678</v>
      </c>
      <c r="I2222" s="7" t="str">
        <f>HYPERLINK("http://www.informatics.jax.org/marker/MGI:2385326","MGI:2385326")</f>
        <v>MGI:2385326</v>
      </c>
      <c r="J2222" s="4" t="s">
        <v>12</v>
      </c>
    </row>
    <row r="2223" spans="1:10" x14ac:dyDescent="0.25">
      <c r="A2223" s="2">
        <v>12.788012286077</v>
      </c>
      <c r="B2223" s="3">
        <v>0.34632528290361397</v>
      </c>
      <c r="C2223" s="3">
        <v>0.34295140764140603</v>
      </c>
      <c r="D2223" s="4">
        <v>0.52077065524617705</v>
      </c>
      <c r="E2223" s="3" t="s">
        <v>12595</v>
      </c>
      <c r="F2223" s="3" t="s">
        <v>12596</v>
      </c>
      <c r="G2223" s="3" t="s">
        <v>83</v>
      </c>
      <c r="H2223" s="7" t="str">
        <f>HYPERLINK("http://www.ensembl.org/Mus_musculus/Gene/Summary?db=core;g=ENSMUSG00000104943","ENSMUSG00000104943")</f>
        <v>ENSMUSG00000104943</v>
      </c>
      <c r="I2223" s="7" t="str">
        <f>HYPERLINK("http://www.informatics.jax.org/marker/MGI:5663005","MGI:5663005")</f>
        <v>MGI:5663005</v>
      </c>
      <c r="J2223" s="4" t="s">
        <v>4024</v>
      </c>
    </row>
    <row r="2224" spans="1:10" x14ac:dyDescent="0.25">
      <c r="A2224" s="2">
        <v>755.31196227207602</v>
      </c>
      <c r="B2224" s="3">
        <v>0.34596861680923202</v>
      </c>
      <c r="C2224" s="3">
        <v>1.5964330895363601E-4</v>
      </c>
      <c r="D2224" s="4">
        <v>6.4483583902482495E-4</v>
      </c>
      <c r="E2224" s="3" t="s">
        <v>7058</v>
      </c>
      <c r="F2224" s="3" t="s">
        <v>7059</v>
      </c>
      <c r="G2224" s="3">
        <v>16330</v>
      </c>
      <c r="H2224" s="7" t="str">
        <f>HYPERLINK("http://www.ensembl.org/Mus_musculus/Gene/Summary?db=core;g=ENSMUSG00000028894","ENSMUSG00000028894")</f>
        <v>ENSMUSG00000028894</v>
      </c>
      <c r="I2224" s="7" t="str">
        <f>HYPERLINK("http://www.informatics.jax.org/marker/MGI:103257","MGI:103257")</f>
        <v>MGI:103257</v>
      </c>
      <c r="J2224" s="4" t="s">
        <v>12</v>
      </c>
    </row>
    <row r="2225" spans="1:10" x14ac:dyDescent="0.25">
      <c r="A2225" s="2">
        <v>21.154966767131899</v>
      </c>
      <c r="B2225" s="3">
        <v>0.34586806775041401</v>
      </c>
      <c r="C2225" s="3">
        <v>0.162580076463365</v>
      </c>
      <c r="D2225" s="4">
        <v>0.30026569654892898</v>
      </c>
      <c r="E2225" s="3" t="s">
        <v>13615</v>
      </c>
      <c r="F2225" s="3" t="s">
        <v>13616</v>
      </c>
      <c r="G2225" s="3">
        <v>330695</v>
      </c>
      <c r="H2225" s="7" t="str">
        <f>HYPERLINK("http://www.ensembl.org/Mus_musculus/Gene/Summary?db=core;g=ENSMUSG00000048644","ENSMUSG00000048644")</f>
        <v>ENSMUSG00000048644</v>
      </c>
      <c r="I2225" s="7" t="str">
        <f>HYPERLINK("http://www.informatics.jax.org/marker/MGI:88566","MGI:88566")</f>
        <v>MGI:88566</v>
      </c>
      <c r="J2225" s="4" t="s">
        <v>12</v>
      </c>
    </row>
    <row r="2226" spans="1:10" x14ac:dyDescent="0.25">
      <c r="A2226" s="2">
        <v>384.43027453291802</v>
      </c>
      <c r="B2226" s="3">
        <v>0.34546963198162101</v>
      </c>
      <c r="C2226" s="5">
        <v>3.4386768201968101E-5</v>
      </c>
      <c r="D2226" s="4">
        <v>1.5462591919093699E-4</v>
      </c>
      <c r="E2226" s="3" t="s">
        <v>4965</v>
      </c>
      <c r="F2226" s="3" t="s">
        <v>4966</v>
      </c>
      <c r="G2226" s="3">
        <v>380916</v>
      </c>
      <c r="H2226" s="7" t="str">
        <f>HYPERLINK("http://www.ensembl.org/Mus_musculus/Gene/Summary?db=core;g=ENSMUSG00000068015","ENSMUSG00000068015")</f>
        <v>ENSMUSG00000068015</v>
      </c>
      <c r="I2226" s="7" t="str">
        <f>HYPERLINK("http://www.informatics.jax.org/marker/MGI:2443390","MGI:2443390")</f>
        <v>MGI:2443390</v>
      </c>
      <c r="J2226" s="4" t="s">
        <v>12</v>
      </c>
    </row>
    <row r="2227" spans="1:10" x14ac:dyDescent="0.25">
      <c r="A2227" s="2">
        <v>72.814521713249903</v>
      </c>
      <c r="B2227" s="3">
        <v>0.34543165313480301</v>
      </c>
      <c r="C2227" s="3">
        <v>2.55090560996819E-2</v>
      </c>
      <c r="D2227" s="4">
        <v>6.3864889981857298E-2</v>
      </c>
      <c r="E2227" s="3" t="s">
        <v>9611</v>
      </c>
      <c r="F2227" s="3" t="s">
        <v>9612</v>
      </c>
      <c r="G2227" s="3" t="s">
        <v>83</v>
      </c>
      <c r="H2227" s="7" t="str">
        <f>HYPERLINK("http://www.ensembl.org/Mus_musculus/Gene/Summary?db=core;g=ENSMUSG00000097577","ENSMUSG00000097577")</f>
        <v>ENSMUSG00000097577</v>
      </c>
      <c r="I2227" s="7" t="str">
        <f>HYPERLINK("http://www.informatics.jax.org/marker/MGI:1923383","MGI:1923383")</f>
        <v>MGI:1923383</v>
      </c>
      <c r="J2227" s="4" t="s">
        <v>932</v>
      </c>
    </row>
    <row r="2228" spans="1:10" x14ac:dyDescent="0.25">
      <c r="A2228" s="2">
        <v>1230.69246984503</v>
      </c>
      <c r="B2228" s="3">
        <v>0.34542104259345702</v>
      </c>
      <c r="C2228" s="3">
        <v>2.2538460629552698E-3</v>
      </c>
      <c r="D2228" s="4">
        <v>7.3732443901202297E-3</v>
      </c>
      <c r="E2228" s="3" t="s">
        <v>13747</v>
      </c>
      <c r="F2228" s="3" t="s">
        <v>13748</v>
      </c>
      <c r="G2228" s="3">
        <v>27267</v>
      </c>
      <c r="H2228" s="7" t="str">
        <f>HYPERLINK("http://www.ensembl.org/Mus_musculus/Gene/Summary?db=core;g=ENSMUSG00000010755","ENSMUSG00000010755")</f>
        <v>ENSMUSG00000010755</v>
      </c>
      <c r="I2228" s="7" t="str">
        <f>HYPERLINK("http://www.informatics.jax.org/marker/MGI:1351477","MGI:1351477")</f>
        <v>MGI:1351477</v>
      </c>
      <c r="J2228" s="4" t="s">
        <v>12</v>
      </c>
    </row>
    <row r="2229" spans="1:10" x14ac:dyDescent="0.25">
      <c r="A2229" s="2">
        <v>624.43597383480505</v>
      </c>
      <c r="B2229" s="3">
        <v>0.344978760178343</v>
      </c>
      <c r="C2229" s="5">
        <v>1.4618215401337E-5</v>
      </c>
      <c r="D2229" s="6">
        <v>6.9724411329329306E-5</v>
      </c>
      <c r="E2229" s="3" t="s">
        <v>3884</v>
      </c>
      <c r="F2229" s="3" t="s">
        <v>3885</v>
      </c>
      <c r="G2229" s="3">
        <v>192157</v>
      </c>
      <c r="H2229" s="7" t="str">
        <f>HYPERLINK("http://www.ensembl.org/Mus_musculus/Gene/Summary?db=core;g=ENSMUSG00000038485","ENSMUSG00000038485")</f>
        <v>ENSMUSG00000038485</v>
      </c>
      <c r="I2229" s="7" t="str">
        <f>HYPERLINK("http://www.informatics.jax.org/marker/MGI:2651588","MGI:2651588")</f>
        <v>MGI:2651588</v>
      </c>
      <c r="J2229" s="4" t="s">
        <v>12</v>
      </c>
    </row>
    <row r="2230" spans="1:10" x14ac:dyDescent="0.25">
      <c r="A2230" s="2">
        <v>446.87945957721098</v>
      </c>
      <c r="B2230" s="3">
        <v>0.34468021185604703</v>
      </c>
      <c r="C2230" s="5">
        <v>2.5686112243742402E-5</v>
      </c>
      <c r="D2230" s="4">
        <v>1.1809520576241299E-4</v>
      </c>
      <c r="E2230" s="3" t="s">
        <v>11395</v>
      </c>
      <c r="F2230" s="3" t="s">
        <v>11396</v>
      </c>
      <c r="G2230" s="3">
        <v>66047</v>
      </c>
      <c r="H2230" s="7" t="str">
        <f>HYPERLINK("http://www.ensembl.org/Mus_musculus/Gene/Summary?db=core;g=ENSMUSG00000034932","ENSMUSG00000034932")</f>
        <v>ENSMUSG00000034932</v>
      </c>
      <c r="I2230" s="7" t="str">
        <f>HYPERLINK("http://www.informatics.jax.org/marker/MGI:1913297","MGI:1913297")</f>
        <v>MGI:1913297</v>
      </c>
      <c r="J2230" s="4" t="s">
        <v>12</v>
      </c>
    </row>
    <row r="2231" spans="1:10" x14ac:dyDescent="0.25">
      <c r="A2231" s="2">
        <v>4635.9748573096804</v>
      </c>
      <c r="B2231" s="3">
        <v>0.34444646824120501</v>
      </c>
      <c r="C2231" s="5">
        <v>3.1687775984108899E-13</v>
      </c>
      <c r="D2231" s="6">
        <v>3.3343517165726601E-12</v>
      </c>
      <c r="E2231" s="3" t="s">
        <v>3674</v>
      </c>
      <c r="F2231" s="3" t="s">
        <v>3675</v>
      </c>
      <c r="G2231" s="3">
        <v>55989</v>
      </c>
      <c r="H2231" s="7" t="str">
        <f>HYPERLINK("http://www.ensembl.org/Mus_musculus/Gene/Summary?db=core;g=ENSMUSG00000026020","ENSMUSG00000026020")</f>
        <v>ENSMUSG00000026020</v>
      </c>
      <c r="I2231" s="7" t="str">
        <f>HYPERLINK("http://www.informatics.jax.org/marker/MGI:1933184","MGI:1933184")</f>
        <v>MGI:1933184</v>
      </c>
      <c r="J2231" s="4" t="s">
        <v>12</v>
      </c>
    </row>
    <row r="2232" spans="1:10" x14ac:dyDescent="0.25">
      <c r="A2232" s="2">
        <v>10766.2645914513</v>
      </c>
      <c r="B2232" s="3">
        <v>0.34436456783406599</v>
      </c>
      <c r="C2232" s="5">
        <v>2.2568022970160602E-15</v>
      </c>
      <c r="D2232" s="6">
        <v>2.7077170416798999E-14</v>
      </c>
      <c r="E2232" s="3" t="s">
        <v>3194</v>
      </c>
      <c r="F2232" s="3" t="s">
        <v>3195</v>
      </c>
      <c r="G2232" s="3">
        <v>15387</v>
      </c>
      <c r="H2232" s="7" t="str">
        <f>HYPERLINK("http://www.ensembl.org/Mus_musculus/Gene/Summary?db=core;g=ENSMUSG00000021546","ENSMUSG00000021546")</f>
        <v>ENSMUSG00000021546</v>
      </c>
      <c r="I2232" s="7" t="str">
        <f>HYPERLINK("http://www.informatics.jax.org/marker/MGI:99894","MGI:99894")</f>
        <v>MGI:99894</v>
      </c>
      <c r="J2232" s="4" t="s">
        <v>12</v>
      </c>
    </row>
    <row r="2233" spans="1:10" x14ac:dyDescent="0.25">
      <c r="A2233" s="2">
        <v>1454.71647482546</v>
      </c>
      <c r="B2233" s="3">
        <v>0.34414271019201698</v>
      </c>
      <c r="C2233" s="5">
        <v>2.6292829662420201E-10</v>
      </c>
      <c r="D2233" s="6">
        <v>2.1741688774846101E-9</v>
      </c>
      <c r="E2233" s="3" t="s">
        <v>3610</v>
      </c>
      <c r="F2233" s="3" t="s">
        <v>3611</v>
      </c>
      <c r="G2233" s="3">
        <v>230737</v>
      </c>
      <c r="H2233" s="7" t="str">
        <f>HYPERLINK("http://www.ensembl.org/Mus_musculus/Gene/Summary?db=core;g=ENSMUSG00000028869","ENSMUSG00000028869")</f>
        <v>ENSMUSG00000028869</v>
      </c>
      <c r="I2233" s="7" t="str">
        <f>HYPERLINK("http://www.informatics.jax.org/marker/MGI:2385207","MGI:2385207")</f>
        <v>MGI:2385207</v>
      </c>
      <c r="J2233" s="4" t="s">
        <v>12</v>
      </c>
    </row>
    <row r="2234" spans="1:10" x14ac:dyDescent="0.25">
      <c r="A2234" s="2">
        <v>404.032603998382</v>
      </c>
      <c r="B2234" s="3">
        <v>0.34406132847002602</v>
      </c>
      <c r="C2234" s="5">
        <v>2.3104689865040499E-6</v>
      </c>
      <c r="D2234" s="6">
        <v>1.22908048099931E-5</v>
      </c>
      <c r="E2234" s="3" t="s">
        <v>5225</v>
      </c>
      <c r="F2234" s="3" t="s">
        <v>5226</v>
      </c>
      <c r="G2234" s="3" t="s">
        <v>83</v>
      </c>
      <c r="H2234" s="7" t="str">
        <f>HYPERLINK("http://www.ensembl.org/Mus_musculus/Gene/Summary?db=core;g=ENSMUSG00000074876","ENSMUSG00000074876")</f>
        <v>ENSMUSG00000074876</v>
      </c>
      <c r="I2234" s="7" t="str">
        <f>HYPERLINK("http://www.informatics.jax.org/marker/MGI:3036261","MGI:3036261")</f>
        <v>MGI:3036261</v>
      </c>
      <c r="J2234" s="4" t="s">
        <v>331</v>
      </c>
    </row>
    <row r="2235" spans="1:10" x14ac:dyDescent="0.25">
      <c r="A2235" s="2">
        <v>9675.0719234704302</v>
      </c>
      <c r="B2235" s="3">
        <v>0.34353677745574901</v>
      </c>
      <c r="C2235" s="5">
        <v>1.8472671748500402E-15</v>
      </c>
      <c r="D2235" s="6">
        <v>2.2266166839710401E-14</v>
      </c>
      <c r="E2235" s="3" t="s">
        <v>3366</v>
      </c>
      <c r="F2235" s="3" t="s">
        <v>3367</v>
      </c>
      <c r="G2235" s="3">
        <v>18789</v>
      </c>
      <c r="H2235" s="7" t="str">
        <f>HYPERLINK("http://www.ensembl.org/Mus_musculus/Gene/Summary?db=core;g=ENSMUSG00000021111","ENSMUSG00000021111")</f>
        <v>ENSMUSG00000021111</v>
      </c>
      <c r="I2235" s="7" t="str">
        <f>HYPERLINK("http://www.informatics.jax.org/marker/MGI:109301","MGI:109301")</f>
        <v>MGI:109301</v>
      </c>
      <c r="J2235" s="4" t="s">
        <v>12</v>
      </c>
    </row>
    <row r="2236" spans="1:10" x14ac:dyDescent="0.25">
      <c r="A2236" s="2">
        <v>19491.950779699298</v>
      </c>
      <c r="B2236" s="3">
        <v>0.34343342262919802</v>
      </c>
      <c r="C2236" s="5">
        <v>4.27273369049356E-6</v>
      </c>
      <c r="D2236" s="6">
        <v>2.2028450214779401E-5</v>
      </c>
      <c r="E2236" s="3" t="s">
        <v>8883</v>
      </c>
      <c r="F2236" s="3" t="s">
        <v>8884</v>
      </c>
      <c r="G2236" s="3">
        <v>11674</v>
      </c>
      <c r="H2236" s="7" t="str">
        <f>HYPERLINK("http://www.ensembl.org/Mus_musculus/Gene/Summary?db=core;g=ENSMUSG00000030695","ENSMUSG00000030695")</f>
        <v>ENSMUSG00000030695</v>
      </c>
      <c r="I2236" s="7" t="str">
        <f>HYPERLINK("http://www.informatics.jax.org/marker/MGI:87994","MGI:87994")</f>
        <v>MGI:87994</v>
      </c>
      <c r="J2236" s="4" t="s">
        <v>12</v>
      </c>
    </row>
    <row r="2237" spans="1:10" x14ac:dyDescent="0.25">
      <c r="A2237" s="2">
        <v>584.72831626324398</v>
      </c>
      <c r="B2237" s="3">
        <v>0.34297405562924799</v>
      </c>
      <c r="C2237" s="3">
        <v>9.6331459416596496E-4</v>
      </c>
      <c r="D2237" s="4">
        <v>3.4024047439292098E-3</v>
      </c>
      <c r="E2237" s="3" t="s">
        <v>11479</v>
      </c>
      <c r="F2237" s="3" t="s">
        <v>11480</v>
      </c>
      <c r="G2237" s="3">
        <v>71997</v>
      </c>
      <c r="H2237" s="7" t="str">
        <f>HYPERLINK("http://www.ensembl.org/Mus_musculus/Gene/Summary?db=core;g=ENSMUSG00000002210","ENSMUSG00000002210")</f>
        <v>ENSMUSG00000002210</v>
      </c>
      <c r="I2237" s="7" t="str">
        <f>HYPERLINK("http://www.informatics.jax.org/marker/MGI:1919247","MGI:1919247")</f>
        <v>MGI:1919247</v>
      </c>
      <c r="J2237" s="4" t="s">
        <v>12</v>
      </c>
    </row>
    <row r="2238" spans="1:10" x14ac:dyDescent="0.25">
      <c r="A2238" s="2">
        <v>2752.3653788870101</v>
      </c>
      <c r="B2238" s="3">
        <v>0.342867805598634</v>
      </c>
      <c r="C2238" s="5">
        <v>7.2783356365720995E-15</v>
      </c>
      <c r="D2238" s="6">
        <v>8.4867349313196699E-14</v>
      </c>
      <c r="E2238" s="3" t="s">
        <v>2065</v>
      </c>
      <c r="F2238" s="3" t="s">
        <v>2066</v>
      </c>
      <c r="G2238" s="3">
        <v>218975</v>
      </c>
      <c r="H2238" s="7" t="str">
        <f>HYPERLINK("http://www.ensembl.org/Mus_musculus/Gene/Summary?db=core;g=ENSMUSG00000021840","ENSMUSG00000021840")</f>
        <v>ENSMUSG00000021840</v>
      </c>
      <c r="I2238" s="7" t="str">
        <f>HYPERLINK("http://www.informatics.jax.org/marker/MGI:2444022","MGI:2444022")</f>
        <v>MGI:2444022</v>
      </c>
      <c r="J2238" s="4" t="s">
        <v>12</v>
      </c>
    </row>
    <row r="2239" spans="1:10" x14ac:dyDescent="0.25">
      <c r="A2239" s="2">
        <v>2226.7999194642398</v>
      </c>
      <c r="B2239" s="3">
        <v>0.34283889105176302</v>
      </c>
      <c r="C2239" s="5">
        <v>1.9824532102115799E-12</v>
      </c>
      <c r="D2239" s="6">
        <v>1.9550979305252199E-11</v>
      </c>
      <c r="E2239" s="3" t="s">
        <v>4051</v>
      </c>
      <c r="F2239" s="3" t="s">
        <v>4052</v>
      </c>
      <c r="G2239" s="3">
        <v>225876</v>
      </c>
      <c r="H2239" s="7" t="str">
        <f>HYPERLINK("http://www.ensembl.org/Mus_musculus/Gene/Summary?db=core;g=ENSMUSG00000054611","ENSMUSG00000054611")</f>
        <v>ENSMUSG00000054611</v>
      </c>
      <c r="I2239" s="7" t="str">
        <f>HYPERLINK("http://www.informatics.jax.org/marker/MGI:1354736","MGI:1354736")</f>
        <v>MGI:1354736</v>
      </c>
      <c r="J2239" s="4" t="s">
        <v>12</v>
      </c>
    </row>
    <row r="2240" spans="1:10" x14ac:dyDescent="0.25">
      <c r="A2240" s="2">
        <v>1262.27475126318</v>
      </c>
      <c r="B2240" s="3">
        <v>0.34277576484366101</v>
      </c>
      <c r="C2240" s="5">
        <v>1.5085458254044401E-10</v>
      </c>
      <c r="D2240" s="6">
        <v>1.2740151838737701E-9</v>
      </c>
      <c r="E2240" s="3" t="s">
        <v>4131</v>
      </c>
      <c r="F2240" s="3" t="s">
        <v>4132</v>
      </c>
      <c r="G2240" s="3">
        <v>208768</v>
      </c>
      <c r="H2240" s="7" t="str">
        <f>HYPERLINK("http://www.ensembl.org/Mus_musculus/Gene/Summary?db=core;g=ENSMUSG00000038806","ENSMUSG00000038806")</f>
        <v>ENSMUSG00000038806</v>
      </c>
      <c r="I2240" s="7" t="str">
        <f>HYPERLINK("http://www.informatics.jax.org/marker/MGI:2384788","MGI:2384788")</f>
        <v>MGI:2384788</v>
      </c>
      <c r="J2240" s="4" t="s">
        <v>12</v>
      </c>
    </row>
    <row r="2241" spans="1:10" x14ac:dyDescent="0.25">
      <c r="A2241" s="2">
        <v>873.54422025899498</v>
      </c>
      <c r="B2241" s="3">
        <v>0.34268255103891998</v>
      </c>
      <c r="C2241" s="5">
        <v>9.7129720792987897E-7</v>
      </c>
      <c r="D2241" s="6">
        <v>5.4068086788399602E-6</v>
      </c>
      <c r="E2241" s="3" t="s">
        <v>3888</v>
      </c>
      <c r="F2241" s="3" t="s">
        <v>3889</v>
      </c>
      <c r="G2241" s="3">
        <v>67073</v>
      </c>
      <c r="H2241" s="7" t="str">
        <f>HYPERLINK("http://www.ensembl.org/Mus_musculus/Gene/Summary?db=core;g=ENSMUSG00000029186","ENSMUSG00000029186")</f>
        <v>ENSMUSG00000029186</v>
      </c>
      <c r="I2241" s="7" t="str">
        <f>HYPERLINK("http://www.informatics.jax.org/marker/MGI:1914323","MGI:1914323")</f>
        <v>MGI:1914323</v>
      </c>
      <c r="J2241" s="4" t="s">
        <v>12</v>
      </c>
    </row>
    <row r="2242" spans="1:10" x14ac:dyDescent="0.25">
      <c r="A2242" s="2">
        <v>1926.47428275883</v>
      </c>
      <c r="B2242" s="3">
        <v>0.34259300213445698</v>
      </c>
      <c r="C2242" s="5">
        <v>2.0163348857897101E-10</v>
      </c>
      <c r="D2242" s="6">
        <v>1.67951111944778E-9</v>
      </c>
      <c r="E2242" s="3" t="s">
        <v>6703</v>
      </c>
      <c r="F2242" s="3" t="s">
        <v>6704</v>
      </c>
      <c r="G2242" s="3">
        <v>15983</v>
      </c>
      <c r="H2242" s="7" t="str">
        <f>HYPERLINK("http://www.ensembl.org/Mus_musculus/Gene/Summary?db=core;g=ENSMUSG00000010048","ENSMUSG00000010048")</f>
        <v>ENSMUSG00000010048</v>
      </c>
      <c r="I2242" s="7" t="str">
        <f>HYPERLINK("http://www.informatics.jax.org/marker/MGI:1316708","MGI:1316708")</f>
        <v>MGI:1316708</v>
      </c>
      <c r="J2242" s="4" t="s">
        <v>12</v>
      </c>
    </row>
    <row r="2243" spans="1:10" x14ac:dyDescent="0.25">
      <c r="A2243" s="2">
        <v>3373.1619928211499</v>
      </c>
      <c r="B2243" s="3">
        <v>0.34237887509144999</v>
      </c>
      <c r="C2243" s="5">
        <v>1.38629093835674E-16</v>
      </c>
      <c r="D2243" s="6">
        <v>1.80982466701658E-15</v>
      </c>
      <c r="E2243" s="3" t="s">
        <v>2501</v>
      </c>
      <c r="F2243" s="3" t="s">
        <v>2502</v>
      </c>
      <c r="G2243" s="3">
        <v>14884</v>
      </c>
      <c r="H2243" s="7" t="str">
        <f>HYPERLINK("http://www.ensembl.org/Mus_musculus/Gene/Summary?db=core;g=ENSMUSG00000006599","ENSMUSG00000006599")</f>
        <v>ENSMUSG00000006599</v>
      </c>
      <c r="I2243" s="7" t="str">
        <f>HYPERLINK("http://www.informatics.jax.org/marker/MGI:1277216","MGI:1277216")</f>
        <v>MGI:1277216</v>
      </c>
      <c r="J2243" s="4" t="s">
        <v>12</v>
      </c>
    </row>
    <row r="2244" spans="1:10" x14ac:dyDescent="0.25">
      <c r="A2244" s="2">
        <v>1815.4253539726601</v>
      </c>
      <c r="B2244" s="3">
        <v>0.34213291200094298</v>
      </c>
      <c r="C2244" s="5">
        <v>3.42868549210452E-9</v>
      </c>
      <c r="D2244" s="6">
        <v>2.5237396241359001E-8</v>
      </c>
      <c r="E2244" s="3" t="s">
        <v>5039</v>
      </c>
      <c r="F2244" s="3" t="s">
        <v>5040</v>
      </c>
      <c r="G2244" s="3">
        <v>74111</v>
      </c>
      <c r="H2244" s="7" t="str">
        <f>HYPERLINK("http://www.ensembl.org/Mus_musculus/Gene/Summary?db=core;g=ENSMUSG00000029594","ENSMUSG00000029594")</f>
        <v>ENSMUSG00000029594</v>
      </c>
      <c r="I2244" s="7" t="str">
        <f>HYPERLINK("http://www.informatics.jax.org/marker/MGI:1921361","MGI:1921361")</f>
        <v>MGI:1921361</v>
      </c>
      <c r="J2244" s="4" t="s">
        <v>12</v>
      </c>
    </row>
    <row r="2245" spans="1:10" x14ac:dyDescent="0.25">
      <c r="A2245" s="2">
        <v>366.263278143062</v>
      </c>
      <c r="B2245" s="3">
        <v>0.34208858311605</v>
      </c>
      <c r="C2245" s="3">
        <v>9.7977365811353304E-4</v>
      </c>
      <c r="D2245" s="4">
        <v>3.4531763525660702E-3</v>
      </c>
      <c r="E2245" s="3" t="s">
        <v>4877</v>
      </c>
      <c r="F2245" s="3" t="s">
        <v>4878</v>
      </c>
      <c r="G2245" s="3">
        <v>11610</v>
      </c>
      <c r="H2245" s="7" t="str">
        <f>HYPERLINK("http://www.ensembl.org/Mus_musculus/Gene/Summary?db=core;g=ENSMUSG00000029007","ENSMUSG00000029007")</f>
        <v>ENSMUSG00000029007</v>
      </c>
      <c r="I2245" s="7" t="str">
        <f>HYPERLINK("http://www.informatics.jax.org/marker/MGI:1339977","MGI:1339977")</f>
        <v>MGI:1339977</v>
      </c>
      <c r="J2245" s="4" t="s">
        <v>12</v>
      </c>
    </row>
    <row r="2246" spans="1:10" x14ac:dyDescent="0.25">
      <c r="A2246" s="2">
        <v>1369.36697764166</v>
      </c>
      <c r="B2246" s="3">
        <v>0.341987158983456</v>
      </c>
      <c r="C2246" s="5">
        <v>8.4093134817154208E-9</v>
      </c>
      <c r="D2246" s="6">
        <v>5.9082397148906503E-8</v>
      </c>
      <c r="E2246" s="3" t="s">
        <v>6151</v>
      </c>
      <c r="F2246" s="3" t="s">
        <v>6152</v>
      </c>
      <c r="G2246" s="3">
        <v>73174</v>
      </c>
      <c r="H2246" s="7" t="str">
        <f>HYPERLINK("http://www.ensembl.org/Mus_musculus/Gene/Summary?db=core;g=ENSMUSG00000038517","ENSMUSG00000038517")</f>
        <v>ENSMUSG00000038517</v>
      </c>
      <c r="I2246" s="7" t="str">
        <f>HYPERLINK("http://www.informatics.jax.org/marker/MGI:1920424","MGI:1920424")</f>
        <v>MGI:1920424</v>
      </c>
      <c r="J2246" s="4" t="s">
        <v>12</v>
      </c>
    </row>
    <row r="2247" spans="1:10" x14ac:dyDescent="0.25">
      <c r="A2247" s="2">
        <v>8793.7671541663894</v>
      </c>
      <c r="B2247" s="3">
        <v>0.34176972785548099</v>
      </c>
      <c r="C2247" s="5">
        <v>3.37203075652374E-5</v>
      </c>
      <c r="D2247" s="4">
        <v>1.5189140024133801E-4</v>
      </c>
      <c r="E2247" s="3" t="s">
        <v>10506</v>
      </c>
      <c r="F2247" s="3" t="s">
        <v>10507</v>
      </c>
      <c r="G2247" s="3">
        <v>18810</v>
      </c>
      <c r="H2247" s="7" t="str">
        <f>HYPERLINK("http://www.ensembl.org/Mus_musculus/Gene/Summary?db=core;g=ENSMUSG00000022565","ENSMUSG00000022565")</f>
        <v>ENSMUSG00000022565</v>
      </c>
      <c r="I2247" s="7" t="str">
        <f>HYPERLINK("http://www.informatics.jax.org/marker/MGI:1277961","MGI:1277961")</f>
        <v>MGI:1277961</v>
      </c>
      <c r="J2247" s="4" t="s">
        <v>12</v>
      </c>
    </row>
    <row r="2248" spans="1:10" x14ac:dyDescent="0.25">
      <c r="A2248" s="2">
        <v>155.12735075246999</v>
      </c>
      <c r="B2248" s="3">
        <v>0.341697972473749</v>
      </c>
      <c r="C2248" s="3">
        <v>5.14121993246209E-4</v>
      </c>
      <c r="D2248" s="4">
        <v>1.90483295932347E-3</v>
      </c>
      <c r="E2248" s="3" t="s">
        <v>2778</v>
      </c>
      <c r="F2248" s="3" t="s">
        <v>2779</v>
      </c>
      <c r="G2248" s="3">
        <v>75731</v>
      </c>
      <c r="H2248" s="7" t="str">
        <f>HYPERLINK("http://www.ensembl.org/Mus_musculus/Gene/Summary?db=core;g=ENSMUSG00000050002","ENSMUSG00000050002")</f>
        <v>ENSMUSG00000050002</v>
      </c>
      <c r="I2248" s="7" t="str">
        <f>HYPERLINK("http://www.informatics.jax.org/marker/MGI:1922981","MGI:1922981")</f>
        <v>MGI:1922981</v>
      </c>
      <c r="J2248" s="4" t="s">
        <v>12</v>
      </c>
    </row>
    <row r="2249" spans="1:10" x14ac:dyDescent="0.25">
      <c r="A2249" s="2">
        <v>967.74447024073504</v>
      </c>
      <c r="B2249" s="3">
        <v>0.34169326101386099</v>
      </c>
      <c r="C2249" s="5">
        <v>1.2626703630389999E-7</v>
      </c>
      <c r="D2249" s="6">
        <v>7.8192889454250096E-7</v>
      </c>
      <c r="E2249" s="3" t="s">
        <v>6025</v>
      </c>
      <c r="F2249" s="3" t="s">
        <v>6026</v>
      </c>
      <c r="G2249" s="3">
        <v>74737</v>
      </c>
      <c r="H2249" s="7" t="str">
        <f>HYPERLINK("http://www.ensembl.org/Mus_musculus/Gene/Summary?db=core;g=ENSMUSG00000041328","ENSMUSG00000041328")</f>
        <v>ENSMUSG00000041328</v>
      </c>
      <c r="I2249" s="7" t="str">
        <f>HYPERLINK("http://www.informatics.jax.org/marker/MGI:1919579","MGI:1919579")</f>
        <v>MGI:1919579</v>
      </c>
      <c r="J2249" s="4" t="s">
        <v>12</v>
      </c>
    </row>
    <row r="2250" spans="1:10" x14ac:dyDescent="0.25">
      <c r="A2250" s="2">
        <v>1143.62677136567</v>
      </c>
      <c r="B2250" s="3">
        <v>0.34120521014421601</v>
      </c>
      <c r="C2250" s="5">
        <v>5.1166623885838799E-12</v>
      </c>
      <c r="D2250" s="6">
        <v>4.8678629500137597E-11</v>
      </c>
      <c r="E2250" s="3" t="s">
        <v>3456</v>
      </c>
      <c r="F2250" s="3" t="s">
        <v>3457</v>
      </c>
      <c r="G2250" s="3">
        <v>54351</v>
      </c>
      <c r="H2250" s="7" t="str">
        <f>HYPERLINK("http://www.ensembl.org/Mus_musculus/Gene/Summary?db=core;g=ENSMUSG00000018565","ENSMUSG00000018565")</f>
        <v>ENSMUSG00000018565</v>
      </c>
      <c r="I2250" s="7" t="str">
        <f>HYPERLINK("http://www.informatics.jax.org/marker/MGI:1859017","MGI:1859017")</f>
        <v>MGI:1859017</v>
      </c>
      <c r="J2250" s="4" t="s">
        <v>12</v>
      </c>
    </row>
    <row r="2251" spans="1:10" x14ac:dyDescent="0.25">
      <c r="A2251" s="2">
        <v>27625.299617091499</v>
      </c>
      <c r="B2251" s="3">
        <v>0.34118602436425699</v>
      </c>
      <c r="C2251" s="5">
        <v>4.6403730442275398E-8</v>
      </c>
      <c r="D2251" s="6">
        <v>2.9957774966718702E-7</v>
      </c>
      <c r="E2251" s="3" t="s">
        <v>5575</v>
      </c>
      <c r="F2251" s="3" t="s">
        <v>5576</v>
      </c>
      <c r="G2251" s="3">
        <v>15481</v>
      </c>
      <c r="H2251" s="7" t="str">
        <f>HYPERLINK("http://www.ensembl.org/Mus_musculus/Gene/Summary?db=core;g=ENSMUSG00000015656","ENSMUSG00000015656")</f>
        <v>ENSMUSG00000015656</v>
      </c>
      <c r="I2251" s="7" t="str">
        <f>HYPERLINK("http://www.informatics.jax.org/marker/MGI:105384","MGI:105384")</f>
        <v>MGI:105384</v>
      </c>
      <c r="J2251" s="4" t="s">
        <v>12</v>
      </c>
    </row>
    <row r="2252" spans="1:10" x14ac:dyDescent="0.25">
      <c r="A2252" s="2">
        <v>3590.2106259730299</v>
      </c>
      <c r="B2252" s="3">
        <v>0.34114783029254703</v>
      </c>
      <c r="C2252" s="5">
        <v>8.4065437690063999E-19</v>
      </c>
      <c r="D2252" s="6">
        <v>1.2375546057362E-17</v>
      </c>
      <c r="E2252" s="3" t="s">
        <v>846</v>
      </c>
      <c r="F2252" s="3" t="s">
        <v>847</v>
      </c>
      <c r="G2252" s="3">
        <v>17187</v>
      </c>
      <c r="H2252" s="7" t="str">
        <f>HYPERLINK("http://www.ensembl.org/Mus_musculus/Gene/Summary?db=core;g=ENSMUSG00000059436","ENSMUSG00000059436")</f>
        <v>ENSMUSG00000059436</v>
      </c>
      <c r="I2252" s="7" t="str">
        <f>HYPERLINK("http://www.informatics.jax.org/marker/MGI:96921","MGI:96921")</f>
        <v>MGI:96921</v>
      </c>
      <c r="J2252" s="4" t="s">
        <v>12</v>
      </c>
    </row>
    <row r="2253" spans="1:10" x14ac:dyDescent="0.25">
      <c r="A2253" s="2">
        <v>1160.1087831884599</v>
      </c>
      <c r="B2253" s="3">
        <v>0.340175343722664</v>
      </c>
      <c r="C2253" s="5">
        <v>7.8395047488669797E-6</v>
      </c>
      <c r="D2253" s="6">
        <v>3.8930510639809498E-5</v>
      </c>
      <c r="E2253" s="3" t="s">
        <v>7748</v>
      </c>
      <c r="F2253" s="3" t="s">
        <v>7749</v>
      </c>
      <c r="G2253" s="3">
        <v>231889</v>
      </c>
      <c r="H2253" s="7" t="str">
        <f>HYPERLINK("http://www.ensembl.org/Mus_musculus/Gene/Summary?db=core;g=ENSMUSG00000038722","ENSMUSG00000038722")</f>
        <v>ENSMUSG00000038722</v>
      </c>
      <c r="I2253" s="7" t="str">
        <f>HYPERLINK("http://www.informatics.jax.org/marker/MGI:2141291","MGI:2141291")</f>
        <v>MGI:2141291</v>
      </c>
      <c r="J2253" s="4" t="s">
        <v>12</v>
      </c>
    </row>
    <row r="2254" spans="1:10" x14ac:dyDescent="0.25">
      <c r="A2254" s="2">
        <v>318.38530196802401</v>
      </c>
      <c r="B2254" s="3">
        <v>0.340102642278096</v>
      </c>
      <c r="C2254" s="5">
        <v>3.6124702239018097E-5</v>
      </c>
      <c r="D2254" s="4">
        <v>1.6184186290710501E-4</v>
      </c>
      <c r="E2254" s="3" t="s">
        <v>10571</v>
      </c>
      <c r="F2254" s="3" t="s">
        <v>10572</v>
      </c>
      <c r="G2254" s="3">
        <v>68975</v>
      </c>
      <c r="H2254" s="7" t="str">
        <f>HYPERLINK("http://www.ensembl.org/Mus_musculus/Gene/Summary?db=core;g=ENSMUSG00000026799","ENSMUSG00000026799")</f>
        <v>ENSMUSG00000026799</v>
      </c>
      <c r="I2254" s="7" t="str">
        <f>HYPERLINK("http://www.informatics.jax.org/marker/MGI:1916225","MGI:1916225")</f>
        <v>MGI:1916225</v>
      </c>
      <c r="J2254" s="4" t="s">
        <v>12</v>
      </c>
    </row>
    <row r="2255" spans="1:10" x14ac:dyDescent="0.25">
      <c r="A2255" s="2">
        <v>1913.05181497891</v>
      </c>
      <c r="B2255" s="3">
        <v>0.33970399258322098</v>
      </c>
      <c r="C2255" s="5">
        <v>3.9816094141985002E-13</v>
      </c>
      <c r="D2255" s="6">
        <v>4.1632146628667599E-12</v>
      </c>
      <c r="E2255" s="3" t="s">
        <v>3538</v>
      </c>
      <c r="F2255" s="3" t="s">
        <v>3539</v>
      </c>
      <c r="G2255" s="3">
        <v>68095</v>
      </c>
      <c r="H2255" s="7" t="str">
        <f>HYPERLINK("http://www.ensembl.org/Mus_musculus/Gene/Summary?db=core;g=ENSMUSG00000029152","ENSMUSG00000029152")</f>
        <v>ENSMUSG00000029152</v>
      </c>
      <c r="I2255" s="7" t="str">
        <f>HYPERLINK("http://www.informatics.jax.org/marker/MGI:1915345","MGI:1915345")</f>
        <v>MGI:1915345</v>
      </c>
      <c r="J2255" s="4" t="s">
        <v>12</v>
      </c>
    </row>
    <row r="2256" spans="1:10" x14ac:dyDescent="0.25">
      <c r="A2256" s="2">
        <v>1620.26863348455</v>
      </c>
      <c r="B2256" s="3">
        <v>0.33962068363456699</v>
      </c>
      <c r="C2256" s="5">
        <v>4.7989671456585799E-10</v>
      </c>
      <c r="D2256" s="6">
        <v>3.8544821164705002E-9</v>
      </c>
      <c r="E2256" s="3" t="s">
        <v>7556</v>
      </c>
      <c r="F2256" s="3" t="s">
        <v>7557</v>
      </c>
      <c r="G2256" s="3">
        <v>26894</v>
      </c>
      <c r="H2256" s="7" t="str">
        <f>HYPERLINK("http://www.ensembl.org/Mus_musculus/Gene/Summary?db=core;g=ENSMUSG00000030127","ENSMUSG00000030127")</f>
        <v>ENSMUSG00000030127</v>
      </c>
      <c r="I2256" s="7" t="str">
        <f>HYPERLINK("http://www.informatics.jax.org/marker/MGI:1349400","MGI:1349400")</f>
        <v>MGI:1349400</v>
      </c>
      <c r="J2256" s="4" t="s">
        <v>12</v>
      </c>
    </row>
    <row r="2257" spans="1:10" x14ac:dyDescent="0.25">
      <c r="A2257" s="2">
        <v>461.591726971284</v>
      </c>
      <c r="B2257" s="3">
        <v>0.33960516191826401</v>
      </c>
      <c r="C2257" s="5">
        <v>1.22196490844426E-5</v>
      </c>
      <c r="D2257" s="6">
        <v>5.9025471657557999E-5</v>
      </c>
      <c r="E2257" s="3" t="s">
        <v>5983</v>
      </c>
      <c r="F2257" s="3" t="s">
        <v>5984</v>
      </c>
      <c r="G2257" s="3" t="s">
        <v>83</v>
      </c>
      <c r="H2257" s="7" t="str">
        <f>HYPERLINK("http://www.ensembl.org/Mus_musculus/Gene/Summary?db=core;g=ENSMUSG00000101188","ENSMUSG00000101188")</f>
        <v>ENSMUSG00000101188</v>
      </c>
      <c r="I2257" s="7" t="str">
        <f>HYPERLINK("http://www.informatics.jax.org/marker/MGI:1195958","MGI:1195958")</f>
        <v>MGI:1195958</v>
      </c>
      <c r="J2257" s="4" t="s">
        <v>1043</v>
      </c>
    </row>
    <row r="2258" spans="1:10" x14ac:dyDescent="0.25">
      <c r="A2258" s="2">
        <v>349.65085878268002</v>
      </c>
      <c r="B2258" s="3">
        <v>0.33950252154348498</v>
      </c>
      <c r="C2258" s="5">
        <v>1.8704858784729001E-5</v>
      </c>
      <c r="D2258" s="6">
        <v>8.7927792455941606E-5</v>
      </c>
      <c r="E2258" s="3" t="s">
        <v>13421</v>
      </c>
      <c r="F2258" s="3" t="s">
        <v>13422</v>
      </c>
      <c r="G2258" s="3">
        <v>77106</v>
      </c>
      <c r="H2258" s="7" t="str">
        <f>HYPERLINK("http://www.ensembl.org/Mus_musculus/Gene/Summary?db=core;g=ENSMUSG00000038141","ENSMUSG00000038141")</f>
        <v>ENSMUSG00000038141</v>
      </c>
      <c r="I2258" s="7" t="str">
        <f>HYPERLINK("http://www.informatics.jax.org/marker/MGI:1924356","MGI:1924356")</f>
        <v>MGI:1924356</v>
      </c>
      <c r="J2258" s="4" t="s">
        <v>12</v>
      </c>
    </row>
    <row r="2259" spans="1:10" x14ac:dyDescent="0.25">
      <c r="A2259" s="2">
        <v>560.42340783458906</v>
      </c>
      <c r="B2259" s="3">
        <v>0.33935967104760301</v>
      </c>
      <c r="C2259" s="3">
        <v>3.4901875725814002E-4</v>
      </c>
      <c r="D2259" s="4">
        <v>1.3279471505281001E-3</v>
      </c>
      <c r="E2259" s="3" t="s">
        <v>9779</v>
      </c>
      <c r="F2259" s="3" t="s">
        <v>9780</v>
      </c>
      <c r="G2259" s="3">
        <v>70757</v>
      </c>
      <c r="H2259" s="7" t="str">
        <f>HYPERLINK("http://www.ensembl.org/Mus_musculus/Gene/Summary?db=core;g=ENSMUSG00000035376","ENSMUSG00000035376")</f>
        <v>ENSMUSG00000035376</v>
      </c>
      <c r="I2259" s="7" t="str">
        <f>HYPERLINK("http://www.informatics.jax.org/marker/MGI:1918007","MGI:1918007")</f>
        <v>MGI:1918007</v>
      </c>
      <c r="J2259" s="4" t="s">
        <v>12</v>
      </c>
    </row>
    <row r="2260" spans="1:10" x14ac:dyDescent="0.25">
      <c r="A2260" s="2">
        <v>15876.91061915</v>
      </c>
      <c r="B2260" s="3">
        <v>0.33931461173616601</v>
      </c>
      <c r="C2260" s="5">
        <v>1.49863920023783E-18</v>
      </c>
      <c r="D2260" s="6">
        <v>2.1745779796444601E-17</v>
      </c>
      <c r="E2260" s="3" t="s">
        <v>2433</v>
      </c>
      <c r="F2260" s="3" t="s">
        <v>2434</v>
      </c>
      <c r="G2260" s="3">
        <v>18432</v>
      </c>
      <c r="H2260" s="7" t="str">
        <f>HYPERLINK("http://www.ensembl.org/Mus_musculus/Gene/Summary?db=core;g=ENSMUSG00000040463","ENSMUSG00000040463")</f>
        <v>ENSMUSG00000040463</v>
      </c>
      <c r="I2260" s="7" t="str">
        <f>HYPERLINK("http://www.informatics.jax.org/marker/MGI:106181","MGI:106181")</f>
        <v>MGI:106181</v>
      </c>
      <c r="J2260" s="4" t="s">
        <v>12</v>
      </c>
    </row>
    <row r="2261" spans="1:10" x14ac:dyDescent="0.25">
      <c r="A2261" s="2">
        <v>1577.27029697424</v>
      </c>
      <c r="B2261" s="3">
        <v>0.33917173162733799</v>
      </c>
      <c r="C2261" s="5">
        <v>3.1502287024577302E-10</v>
      </c>
      <c r="D2261" s="6">
        <v>2.5803558697659401E-9</v>
      </c>
      <c r="E2261" s="3" t="s">
        <v>5005</v>
      </c>
      <c r="F2261" s="3" t="s">
        <v>5006</v>
      </c>
      <c r="G2261" s="3">
        <v>22258</v>
      </c>
      <c r="H2261" s="7" t="str">
        <f>HYPERLINK("http://www.ensembl.org/Mus_musculus/Gene/Summary?db=core;g=ENSMUSG00000032612","ENSMUSG00000032612")</f>
        <v>ENSMUSG00000032612</v>
      </c>
      <c r="I2261" s="7" t="str">
        <f>HYPERLINK("http://www.informatics.jax.org/marker/MGI:98905","MGI:98905")</f>
        <v>MGI:98905</v>
      </c>
      <c r="J2261" s="4" t="s">
        <v>12</v>
      </c>
    </row>
    <row r="2262" spans="1:10" x14ac:dyDescent="0.25">
      <c r="A2262" s="2">
        <v>1347.2899408575299</v>
      </c>
      <c r="B2262" s="3">
        <v>0.33889892897572099</v>
      </c>
      <c r="C2262" s="5">
        <v>1.7224312510682599E-11</v>
      </c>
      <c r="D2262" s="6">
        <v>1.5727108993346199E-10</v>
      </c>
      <c r="E2262" s="3" t="s">
        <v>4991</v>
      </c>
      <c r="F2262" s="3" t="s">
        <v>4992</v>
      </c>
      <c r="G2262" s="3">
        <v>14011</v>
      </c>
      <c r="H2262" s="7" t="str">
        <f>HYPERLINK("http://www.ensembl.org/Mus_musculus/Gene/Summary?db=core;g=ENSMUSG00000030199","ENSMUSG00000030199")</f>
        <v>ENSMUSG00000030199</v>
      </c>
      <c r="I2262" s="7" t="str">
        <f>HYPERLINK("http://www.informatics.jax.org/marker/MGI:109336","MGI:109336")</f>
        <v>MGI:109336</v>
      </c>
      <c r="J2262" s="4" t="s">
        <v>12</v>
      </c>
    </row>
    <row r="2263" spans="1:10" x14ac:dyDescent="0.25">
      <c r="A2263" s="2">
        <v>2105.7403001735202</v>
      </c>
      <c r="B2263" s="3">
        <v>0.33856386504990499</v>
      </c>
      <c r="C2263" s="5">
        <v>8.1998631966094297E-13</v>
      </c>
      <c r="D2263" s="6">
        <v>8.36275919184146E-12</v>
      </c>
      <c r="E2263" s="3" t="s">
        <v>4515</v>
      </c>
      <c r="F2263" s="3" t="s">
        <v>4516</v>
      </c>
      <c r="G2263" s="3">
        <v>106298</v>
      </c>
      <c r="H2263" s="7" t="str">
        <f>HYPERLINK("http://www.ensembl.org/Mus_musculus/Gene/Summary?db=core;g=ENSMUSG00000022682","ENSMUSG00000022682")</f>
        <v>ENSMUSG00000022682</v>
      </c>
      <c r="I2263" s="7" t="str">
        <f>HYPERLINK("http://www.informatics.jax.org/marker/MGI:1925255","MGI:1925255")</f>
        <v>MGI:1925255</v>
      </c>
      <c r="J2263" s="4" t="s">
        <v>12</v>
      </c>
    </row>
    <row r="2264" spans="1:10" x14ac:dyDescent="0.25">
      <c r="A2264" s="2">
        <v>590.85536824757401</v>
      </c>
      <c r="B2264" s="3">
        <v>0.33820432447436699</v>
      </c>
      <c r="C2264" s="5">
        <v>8.5014389189877003E-7</v>
      </c>
      <c r="D2264" s="6">
        <v>4.7614850737108398E-6</v>
      </c>
      <c r="E2264" s="3" t="s">
        <v>5799</v>
      </c>
      <c r="F2264" s="3" t="s">
        <v>5800</v>
      </c>
      <c r="G2264" s="3">
        <v>76763</v>
      </c>
      <c r="H2264" s="7" t="str">
        <f>HYPERLINK("http://www.ensembl.org/Mus_musculus/Gene/Summary?db=core;g=ENSMUSG00000061778","ENSMUSG00000061778")</f>
        <v>ENSMUSG00000061778</v>
      </c>
      <c r="I2264" s="7" t="str">
        <f>HYPERLINK("http://www.informatics.jax.org/marker/MGI:1924013","MGI:1924013")</f>
        <v>MGI:1924013</v>
      </c>
      <c r="J2264" s="4" t="s">
        <v>12</v>
      </c>
    </row>
    <row r="2265" spans="1:10" x14ac:dyDescent="0.25">
      <c r="A2265" s="2">
        <v>5718.1693971218001</v>
      </c>
      <c r="B2265" s="3">
        <v>0.338151038843509</v>
      </c>
      <c r="C2265" s="5">
        <v>1.3200458173953801E-6</v>
      </c>
      <c r="D2265" s="6">
        <v>7.2528896659725299E-6</v>
      </c>
      <c r="E2265" s="3" t="s">
        <v>8795</v>
      </c>
      <c r="F2265" s="3" t="s">
        <v>8796</v>
      </c>
      <c r="G2265" s="3">
        <v>20740</v>
      </c>
      <c r="H2265" s="7" t="str">
        <f>HYPERLINK("http://www.ensembl.org/Mus_musculus/Gene/Summary?db=core;g=ENSMUSG00000057738","ENSMUSG00000057738")</f>
        <v>ENSMUSG00000057738</v>
      </c>
      <c r="I2265" s="7" t="str">
        <f>HYPERLINK("http://www.informatics.jax.org/marker/MGI:98386","MGI:98386")</f>
        <v>MGI:98386</v>
      </c>
      <c r="J2265" s="4" t="s">
        <v>12</v>
      </c>
    </row>
    <row r="2266" spans="1:10" x14ac:dyDescent="0.25">
      <c r="A2266" s="2">
        <v>303.15671940978098</v>
      </c>
      <c r="B2266" s="3">
        <v>0.33776649536803099</v>
      </c>
      <c r="C2266" s="5">
        <v>1.3107253557879799E-5</v>
      </c>
      <c r="D2266" s="6">
        <v>6.3062221777285894E-5</v>
      </c>
      <c r="E2266" s="3" t="s">
        <v>11319</v>
      </c>
      <c r="F2266" s="3" t="s">
        <v>11320</v>
      </c>
      <c r="G2266" s="3">
        <v>52184</v>
      </c>
      <c r="H2266" s="7" t="str">
        <f>HYPERLINK("http://www.ensembl.org/Mus_musculus/Gene/Summary?db=core;g=ENSMUSG00000028256","ENSMUSG00000028256")</f>
        <v>ENSMUSG00000028256</v>
      </c>
      <c r="I2266" s="7" t="str">
        <f>HYPERLINK("http://www.informatics.jax.org/marker/MGI:1098600","MGI:1098600")</f>
        <v>MGI:1098600</v>
      </c>
      <c r="J2266" s="4" t="s">
        <v>12</v>
      </c>
    </row>
    <row r="2267" spans="1:10" x14ac:dyDescent="0.25">
      <c r="A2267" s="2">
        <v>4806.6781347178503</v>
      </c>
      <c r="B2267" s="3">
        <v>0.33775080567730897</v>
      </c>
      <c r="C2267" s="5">
        <v>5.8566585578462203E-16</v>
      </c>
      <c r="D2267" s="6">
        <v>7.3308792731282593E-15</v>
      </c>
      <c r="E2267" s="3" t="s">
        <v>2934</v>
      </c>
      <c r="F2267" s="3" t="s">
        <v>2935</v>
      </c>
      <c r="G2267" s="3">
        <v>224105</v>
      </c>
      <c r="H2267" s="7" t="str">
        <f>HYPERLINK("http://www.ensembl.org/Mus_musculus/Gene/Summary?db=core;g=ENSMUSG00000022781","ENSMUSG00000022781")</f>
        <v>ENSMUSG00000022781</v>
      </c>
      <c r="I2267" s="7" t="str">
        <f>HYPERLINK("http://www.informatics.jax.org/marker/MGI:1339984","MGI:1339984")</f>
        <v>MGI:1339984</v>
      </c>
      <c r="J2267" s="4" t="s">
        <v>12</v>
      </c>
    </row>
    <row r="2268" spans="1:10" x14ac:dyDescent="0.25">
      <c r="A2268" s="2">
        <v>532.66671105677995</v>
      </c>
      <c r="B2268" s="3">
        <v>0.33760994781190901</v>
      </c>
      <c r="C2268" s="5">
        <v>4.8209912168198202E-8</v>
      </c>
      <c r="D2268" s="6">
        <v>3.1068799478974998E-7</v>
      </c>
      <c r="E2268" s="3" t="s">
        <v>5337</v>
      </c>
      <c r="F2268" s="3" t="s">
        <v>5338</v>
      </c>
      <c r="G2268" s="3">
        <v>57370</v>
      </c>
      <c r="H2268" s="7" t="str">
        <f>HYPERLINK("http://www.ensembl.org/Mus_musculus/Gene/Summary?db=core;g=ENSMUSG00000052423","ENSMUSG00000052423")</f>
        <v>ENSMUSG00000052423</v>
      </c>
      <c r="I2268" s="7" t="str">
        <f>HYPERLINK("http://www.informatics.jax.org/marker/MGI:1928767","MGI:1928767")</f>
        <v>MGI:1928767</v>
      </c>
      <c r="J2268" s="4" t="s">
        <v>12</v>
      </c>
    </row>
    <row r="2269" spans="1:10" x14ac:dyDescent="0.25">
      <c r="A2269" s="2">
        <v>950.17960677890801</v>
      </c>
      <c r="B2269" s="3">
        <v>0.336909039417287</v>
      </c>
      <c r="C2269" s="5">
        <v>3.5779744015921998E-9</v>
      </c>
      <c r="D2269" s="6">
        <v>2.62725960793787E-8</v>
      </c>
      <c r="E2269" s="3" t="s">
        <v>4579</v>
      </c>
      <c r="F2269" s="3" t="s">
        <v>4580</v>
      </c>
      <c r="G2269" s="3">
        <v>19330</v>
      </c>
      <c r="H2269" s="7" t="str">
        <f>HYPERLINK("http://www.ensembl.org/Mus_musculus/Gene/Summary?db=core;g=ENSMUSG00000073639","ENSMUSG00000073639")</f>
        <v>ENSMUSG00000073639</v>
      </c>
      <c r="I2269" s="7" t="str">
        <f>HYPERLINK("http://www.informatics.jax.org/marker/MGI:102790","MGI:102790")</f>
        <v>MGI:102790</v>
      </c>
      <c r="J2269" s="4" t="s">
        <v>12</v>
      </c>
    </row>
    <row r="2270" spans="1:10" x14ac:dyDescent="0.25">
      <c r="A2270" s="2">
        <v>3144.6349118137</v>
      </c>
      <c r="B2270" s="3">
        <v>0.33680538710067998</v>
      </c>
      <c r="C2270" s="5">
        <v>1.06349943916853E-8</v>
      </c>
      <c r="D2270" s="6">
        <v>7.3893546621602799E-8</v>
      </c>
      <c r="E2270" s="3" t="s">
        <v>10605</v>
      </c>
      <c r="F2270" s="3" t="s">
        <v>10606</v>
      </c>
      <c r="G2270" s="3">
        <v>98732</v>
      </c>
      <c r="H2270" s="7" t="str">
        <f>HYPERLINK("http://www.ensembl.org/Mus_musculus/Gene/Summary?db=core;g=ENSMUSG00000039318","ENSMUSG00000039318")</f>
        <v>ENSMUSG00000039318</v>
      </c>
      <c r="I2270" s="7" t="str">
        <f>HYPERLINK("http://www.informatics.jax.org/marker/MGI:1916043","MGI:1916043")</f>
        <v>MGI:1916043</v>
      </c>
      <c r="J2270" s="4" t="s">
        <v>12</v>
      </c>
    </row>
    <row r="2271" spans="1:10" x14ac:dyDescent="0.25">
      <c r="A2271" s="2">
        <v>2037.5374915943701</v>
      </c>
      <c r="B2271" s="3">
        <v>0.33658471028365899</v>
      </c>
      <c r="C2271" s="5">
        <v>9.4526943700148396E-7</v>
      </c>
      <c r="D2271" s="6">
        <v>5.2715836870722302E-6</v>
      </c>
      <c r="E2271" s="3" t="s">
        <v>8633</v>
      </c>
      <c r="F2271" s="3" t="s">
        <v>8634</v>
      </c>
      <c r="G2271" s="3">
        <v>66660</v>
      </c>
      <c r="H2271" s="7" t="str">
        <f>HYPERLINK("http://www.ensembl.org/Mus_musculus/Gene/Summary?db=core;g=ENSMUSG00000032212","ENSMUSG00000032212")</f>
        <v>ENSMUSG00000032212</v>
      </c>
      <c r="I2271" s="7" t="str">
        <f>HYPERLINK("http://www.informatics.jax.org/marker/MGI:1913910","MGI:1913910")</f>
        <v>MGI:1913910</v>
      </c>
      <c r="J2271" s="4" t="s">
        <v>12</v>
      </c>
    </row>
    <row r="2272" spans="1:10" x14ac:dyDescent="0.25">
      <c r="A2272" s="2">
        <v>3101.6328693455898</v>
      </c>
      <c r="B2272" s="3">
        <v>0.33637744421281401</v>
      </c>
      <c r="C2272" s="5">
        <v>7.3264572968326298E-10</v>
      </c>
      <c r="D2272" s="6">
        <v>5.8003772473837801E-9</v>
      </c>
      <c r="E2272" s="3" t="s">
        <v>8747</v>
      </c>
      <c r="F2272" s="3" t="s">
        <v>8748</v>
      </c>
      <c r="G2272" s="3">
        <v>228545</v>
      </c>
      <c r="H2272" s="7" t="str">
        <f>HYPERLINK("http://www.ensembl.org/Mus_musculus/Gene/Summary?db=core;g=ENSMUSG00000034216","ENSMUSG00000034216")</f>
        <v>ENSMUSG00000034216</v>
      </c>
      <c r="I2272" s="7" t="str">
        <f>HYPERLINK("http://www.informatics.jax.org/marker/MGI:2443626","MGI:2443626")</f>
        <v>MGI:2443626</v>
      </c>
      <c r="J2272" s="4" t="s">
        <v>12</v>
      </c>
    </row>
    <row r="2273" spans="1:10" x14ac:dyDescent="0.25">
      <c r="A2273" s="2">
        <v>373.07060174936498</v>
      </c>
      <c r="B2273" s="3">
        <v>0.33575629889004299</v>
      </c>
      <c r="C2273" s="3">
        <v>7.3041596640240304E-3</v>
      </c>
      <c r="D2273" s="4">
        <v>2.1217454554803599E-2</v>
      </c>
      <c r="E2273" s="3" t="s">
        <v>10292</v>
      </c>
      <c r="F2273" s="3" t="s">
        <v>10293</v>
      </c>
      <c r="G2273" s="3">
        <v>14187</v>
      </c>
      <c r="H2273" s="7" t="str">
        <f>HYPERLINK("http://www.ensembl.org/Mus_musculus/Gene/Summary?db=core;g=ENSMUSG00000029762","ENSMUSG00000029762")</f>
        <v>ENSMUSG00000029762</v>
      </c>
      <c r="I2273" s="7" t="str">
        <f>HYPERLINK("http://www.informatics.jax.org/marker/MGI:107673","MGI:107673")</f>
        <v>MGI:107673</v>
      </c>
      <c r="J2273" s="4" t="s">
        <v>12</v>
      </c>
    </row>
    <row r="2274" spans="1:10" x14ac:dyDescent="0.25">
      <c r="A2274" s="2">
        <v>4563.4490933306897</v>
      </c>
      <c r="B2274" s="3">
        <v>0.335712370747829</v>
      </c>
      <c r="C2274" s="5">
        <v>2.2155160251355999E-5</v>
      </c>
      <c r="D2274" s="4">
        <v>1.02820930883871E-4</v>
      </c>
      <c r="E2274" s="3" t="s">
        <v>7262</v>
      </c>
      <c r="F2274" s="3" t="s">
        <v>7263</v>
      </c>
      <c r="G2274" s="3">
        <v>19179</v>
      </c>
      <c r="H2274" s="7" t="str">
        <f>HYPERLINK("http://www.ensembl.org/Mus_musculus/Gene/Summary?db=core;g=ENSMUSG00000021178","ENSMUSG00000021178")</f>
        <v>ENSMUSG00000021178</v>
      </c>
      <c r="I2274" s="7" t="str">
        <f>HYPERLINK("http://www.informatics.jax.org/marker/MGI:106054","MGI:106054")</f>
        <v>MGI:106054</v>
      </c>
      <c r="J2274" s="4" t="s">
        <v>12</v>
      </c>
    </row>
    <row r="2275" spans="1:10" x14ac:dyDescent="0.25">
      <c r="A2275" s="2">
        <v>2176.7767994106298</v>
      </c>
      <c r="B2275" s="3">
        <v>0.33569411814953898</v>
      </c>
      <c r="C2275" s="5">
        <v>1.5383852967364799E-9</v>
      </c>
      <c r="D2275" s="6">
        <v>1.1716285847481101E-8</v>
      </c>
      <c r="E2275" s="3" t="s">
        <v>4555</v>
      </c>
      <c r="F2275" s="3" t="s">
        <v>4556</v>
      </c>
      <c r="G2275" s="3">
        <v>55979</v>
      </c>
      <c r="H2275" s="7" t="str">
        <f>HYPERLINK("http://www.ensembl.org/Mus_musculus/Gene/Summary?db=core;g=ENSMUSG00000034254","ENSMUSG00000034254")</f>
        <v>ENSMUSG00000034254</v>
      </c>
      <c r="I2275" s="7" t="str">
        <f>HYPERLINK("http://www.informatics.jax.org/marker/MGI:1932075","MGI:1932075")</f>
        <v>MGI:1932075</v>
      </c>
      <c r="J2275" s="4" t="s">
        <v>12</v>
      </c>
    </row>
    <row r="2276" spans="1:10" x14ac:dyDescent="0.25">
      <c r="A2276" s="2">
        <v>2344.4929367612899</v>
      </c>
      <c r="B2276" s="3">
        <v>0.33553631712802401</v>
      </c>
      <c r="C2276" s="5">
        <v>2.0720238011112901E-7</v>
      </c>
      <c r="D2276" s="6">
        <v>1.25415588758729E-6</v>
      </c>
      <c r="E2276" s="3" t="s">
        <v>3914</v>
      </c>
      <c r="F2276" s="3" t="s">
        <v>3915</v>
      </c>
      <c r="G2276" s="3">
        <v>14248</v>
      </c>
      <c r="H2276" s="7" t="str">
        <f>HYPERLINK("http://www.ensembl.org/Mus_musculus/Gene/Summary?db=core;g=ENSMUSG00000002812","ENSMUSG00000002812")</f>
        <v>ENSMUSG00000002812</v>
      </c>
      <c r="I2276" s="7" t="str">
        <f>HYPERLINK("http://www.informatics.jax.org/marker/MGI:1342286","MGI:1342286")</f>
        <v>MGI:1342286</v>
      </c>
      <c r="J2276" s="4" t="s">
        <v>12</v>
      </c>
    </row>
    <row r="2277" spans="1:10" x14ac:dyDescent="0.25">
      <c r="A2277" s="2">
        <v>2394.1866671951002</v>
      </c>
      <c r="B2277" s="3">
        <v>0.33545414649511301</v>
      </c>
      <c r="C2277" s="5">
        <v>3.7543563774794699E-20</v>
      </c>
      <c r="D2277" s="6">
        <v>5.9036363226543098E-19</v>
      </c>
      <c r="E2277" s="3" t="s">
        <v>2021</v>
      </c>
      <c r="F2277" s="3" t="s">
        <v>2022</v>
      </c>
      <c r="G2277" s="3">
        <v>18176</v>
      </c>
      <c r="H2277" s="7" t="str">
        <f>HYPERLINK("http://www.ensembl.org/Mus_musculus/Gene/Summary?db=core;g=ENSMUSG00000027852","ENSMUSG00000027852")</f>
        <v>ENSMUSG00000027852</v>
      </c>
      <c r="I2277" s="7" t="str">
        <f>HYPERLINK("http://www.informatics.jax.org/marker/MGI:97376","MGI:97376")</f>
        <v>MGI:97376</v>
      </c>
      <c r="J2277" s="4" t="s">
        <v>12</v>
      </c>
    </row>
    <row r="2278" spans="1:10" x14ac:dyDescent="0.25">
      <c r="A2278" s="2">
        <v>4166.41866931196</v>
      </c>
      <c r="B2278" s="3">
        <v>0.33542705662683697</v>
      </c>
      <c r="C2278" s="5">
        <v>2.1624264133128999E-8</v>
      </c>
      <c r="D2278" s="6">
        <v>1.4531792545216699E-7</v>
      </c>
      <c r="E2278" s="3" t="s">
        <v>6467</v>
      </c>
      <c r="F2278" s="3" t="s">
        <v>6468</v>
      </c>
      <c r="G2278" s="3">
        <v>217578</v>
      </c>
      <c r="H2278" s="7" t="str">
        <f>HYPERLINK("http://www.ensembl.org/Mus_musculus/Gene/Summary?db=core;g=ENSMUSG00000035021","ENSMUSG00000035021")</f>
        <v>ENSMUSG00000035021</v>
      </c>
      <c r="I2278" s="7" t="str">
        <f>HYPERLINK("http://www.informatics.jax.org/marker/MGI:1309478","MGI:1309478")</f>
        <v>MGI:1309478</v>
      </c>
      <c r="J2278" s="4" t="s">
        <v>12</v>
      </c>
    </row>
    <row r="2279" spans="1:10" x14ac:dyDescent="0.25">
      <c r="A2279" s="2">
        <v>178.63516707353</v>
      </c>
      <c r="B2279" s="3">
        <v>0.33542482542339702</v>
      </c>
      <c r="C2279" s="3">
        <v>2.2271633173921501E-4</v>
      </c>
      <c r="D2279" s="4">
        <v>8.7781253156297295E-4</v>
      </c>
      <c r="E2279" s="3" t="s">
        <v>12169</v>
      </c>
      <c r="F2279" s="3" t="s">
        <v>12170</v>
      </c>
      <c r="G2279" s="3">
        <v>66449</v>
      </c>
      <c r="H2279" s="7" t="str">
        <f>HYPERLINK("http://www.ensembl.org/Mus_musculus/Gene/Summary?db=core;g=ENSMUSG00000014301","ENSMUSG00000014301")</f>
        <v>ENSMUSG00000014301</v>
      </c>
      <c r="I2279" s="7" t="str">
        <f>HYPERLINK("http://www.informatics.jax.org/marker/MGI:1913699","MGI:1913699")</f>
        <v>MGI:1913699</v>
      </c>
      <c r="J2279" s="4" t="s">
        <v>12</v>
      </c>
    </row>
    <row r="2280" spans="1:10" x14ac:dyDescent="0.25">
      <c r="A2280" s="2">
        <v>2922.47026007574</v>
      </c>
      <c r="B2280" s="3">
        <v>0.33535838071613</v>
      </c>
      <c r="C2280" s="5">
        <v>1.7475422145783101E-11</v>
      </c>
      <c r="D2280" s="6">
        <v>1.59324446526712E-10</v>
      </c>
      <c r="E2280" s="3" t="s">
        <v>3024</v>
      </c>
      <c r="F2280" s="3" t="s">
        <v>3025</v>
      </c>
      <c r="G2280" s="3">
        <v>13684</v>
      </c>
      <c r="H2280" s="7" t="str">
        <f>HYPERLINK("http://www.ensembl.org/Mus_musculus/Gene/Summary?db=core;g=ENSMUSG00000028156","ENSMUSG00000028156")</f>
        <v>ENSMUSG00000028156</v>
      </c>
      <c r="I2280" s="7" t="str">
        <f>HYPERLINK("http://www.informatics.jax.org/marker/MGI:95305","MGI:95305")</f>
        <v>MGI:95305</v>
      </c>
      <c r="J2280" s="4" t="s">
        <v>12</v>
      </c>
    </row>
    <row r="2281" spans="1:10" x14ac:dyDescent="0.25">
      <c r="A2281" s="2">
        <v>6969.8537582649897</v>
      </c>
      <c r="B2281" s="3">
        <v>0.33497619303884402</v>
      </c>
      <c r="C2281" s="5">
        <v>1.06166892928208E-12</v>
      </c>
      <c r="D2281" s="6">
        <v>1.07196211834714E-11</v>
      </c>
      <c r="E2281" s="3" t="s">
        <v>2329</v>
      </c>
      <c r="F2281" s="3" t="s">
        <v>2330</v>
      </c>
      <c r="G2281" s="3">
        <v>14852</v>
      </c>
      <c r="H2281" s="7" t="str">
        <f>HYPERLINK("http://www.ensembl.org/Mus_musculus/Gene/Summary?db=core;g=ENSMUSG00000062203","ENSMUSG00000062203")</f>
        <v>ENSMUSG00000062203</v>
      </c>
      <c r="I2281" s="7" t="str">
        <f>HYPERLINK("http://www.informatics.jax.org/marker/MGI:1316728","MGI:1316728")</f>
        <v>MGI:1316728</v>
      </c>
      <c r="J2281" s="4" t="s">
        <v>12</v>
      </c>
    </row>
    <row r="2282" spans="1:10" x14ac:dyDescent="0.25">
      <c r="A2282" s="2">
        <v>23271.201841108901</v>
      </c>
      <c r="B2282" s="3">
        <v>0.33489705857693602</v>
      </c>
      <c r="C2282" s="5">
        <v>8.9609467889017702E-9</v>
      </c>
      <c r="D2282" s="6">
        <v>6.2740397705622294E-8</v>
      </c>
      <c r="E2282" s="3" t="s">
        <v>4369</v>
      </c>
      <c r="F2282" s="3" t="s">
        <v>4370</v>
      </c>
      <c r="G2282" s="3">
        <v>18148</v>
      </c>
      <c r="H2282" s="7" t="str">
        <f>HYPERLINK("http://www.ensembl.org/Mus_musculus/Gene/Summary?db=core;g=ENSMUSG00000057113","ENSMUSG00000057113")</f>
        <v>ENSMUSG00000057113</v>
      </c>
      <c r="I2282" s="7" t="str">
        <f>HYPERLINK("http://www.informatics.jax.org/marker/MGI:106184","MGI:106184")</f>
        <v>MGI:106184</v>
      </c>
      <c r="J2282" s="4" t="s">
        <v>12</v>
      </c>
    </row>
    <row r="2283" spans="1:10" x14ac:dyDescent="0.25">
      <c r="A2283" s="2">
        <v>4449.1132213933297</v>
      </c>
      <c r="B2283" s="3">
        <v>0.33437862782549699</v>
      </c>
      <c r="C2283" s="5">
        <v>1.01192363480821E-10</v>
      </c>
      <c r="D2283" s="6">
        <v>8.6421313235143402E-10</v>
      </c>
      <c r="E2283" s="3" t="s">
        <v>4289</v>
      </c>
      <c r="F2283" s="3" t="s">
        <v>4290</v>
      </c>
      <c r="G2283" s="3">
        <v>321022</v>
      </c>
      <c r="H2283" s="7" t="str">
        <f>HYPERLINK("http://www.ensembl.org/Mus_musculus/Gene/Summary?db=core;g=ENSMUSG00000032803","ENSMUSG00000032803")</f>
        <v>ENSMUSG00000032803</v>
      </c>
      <c r="I2283" s="7" t="str">
        <f>HYPERLINK("http://www.informatics.jax.org/marker/MGI:2448759","MGI:2448759")</f>
        <v>MGI:2448759</v>
      </c>
      <c r="J2283" s="4" t="s">
        <v>12</v>
      </c>
    </row>
    <row r="2284" spans="1:10" x14ac:dyDescent="0.25">
      <c r="A2284" s="2">
        <v>489.17580671990203</v>
      </c>
      <c r="B2284" s="3">
        <v>0.334289581069528</v>
      </c>
      <c r="C2284" s="5">
        <v>8.2123530485396899E-6</v>
      </c>
      <c r="D2284" s="6">
        <v>4.0660183186535101E-5</v>
      </c>
      <c r="E2284" s="3" t="s">
        <v>8593</v>
      </c>
      <c r="F2284" s="3" t="s">
        <v>8594</v>
      </c>
      <c r="G2284" s="3">
        <v>627049</v>
      </c>
      <c r="H2284" s="7" t="str">
        <f>HYPERLINK("http://www.ensembl.org/Mus_musculus/Gene/Summary?db=core;g=ENSMUSG00000039841","ENSMUSG00000039841")</f>
        <v>ENSMUSG00000039841</v>
      </c>
      <c r="I2284" s="7" t="str">
        <f>HYPERLINK("http://www.informatics.jax.org/marker/MGI:1889334","MGI:1889334")</f>
        <v>MGI:1889334</v>
      </c>
      <c r="J2284" s="4" t="s">
        <v>12</v>
      </c>
    </row>
    <row r="2285" spans="1:10" x14ac:dyDescent="0.25">
      <c r="A2285" s="2">
        <v>0.98886301294580703</v>
      </c>
      <c r="B2285" s="3">
        <v>0.33386445985326801</v>
      </c>
      <c r="C2285" s="3">
        <v>0.41486520008406003</v>
      </c>
      <c r="D2285" s="4">
        <v>0.59315276312324505</v>
      </c>
      <c r="E2285" s="3" t="s">
        <v>12420</v>
      </c>
      <c r="F2285" s="3" t="s">
        <v>12421</v>
      </c>
      <c r="G2285" s="3" t="s">
        <v>83</v>
      </c>
      <c r="H2285" s="7" t="str">
        <f>HYPERLINK("http://www.ensembl.org/Mus_musculus/Gene/Summary?db=core;g=ENSMUSG00000088703","ENSMUSG00000088703")</f>
        <v>ENSMUSG00000088703</v>
      </c>
      <c r="I2285" s="7" t="str">
        <f>HYPERLINK("http://www.informatics.jax.org/marker/MGI:5455332","MGI:5455332")</f>
        <v>MGI:5455332</v>
      </c>
      <c r="J2285" s="4" t="s">
        <v>12422</v>
      </c>
    </row>
    <row r="2286" spans="1:10" x14ac:dyDescent="0.25">
      <c r="A2286" s="2">
        <v>164.512491461406</v>
      </c>
      <c r="B2286" s="3">
        <v>0.33368067020264502</v>
      </c>
      <c r="C2286" s="3">
        <v>1.23884846270932E-2</v>
      </c>
      <c r="D2286" s="4">
        <v>3.3895831305926098E-2</v>
      </c>
      <c r="E2286" s="3" t="s">
        <v>11821</v>
      </c>
      <c r="F2286" s="3" t="s">
        <v>11822</v>
      </c>
      <c r="G2286" s="3">
        <v>21384</v>
      </c>
      <c r="H2286" s="7" t="str">
        <f>HYPERLINK("http://www.ensembl.org/Mus_musculus/Gene/Summary?db=core;g=ENSMUSG00000027868","ENSMUSG00000027868")</f>
        <v>ENSMUSG00000027868</v>
      </c>
      <c r="I2286" s="7" t="str">
        <f>HYPERLINK("http://www.informatics.jax.org/marker/MGI:1277234","MGI:1277234")</f>
        <v>MGI:1277234</v>
      </c>
      <c r="J2286" s="4" t="s">
        <v>12</v>
      </c>
    </row>
    <row r="2287" spans="1:10" x14ac:dyDescent="0.25">
      <c r="A2287" s="2">
        <v>295.15391465803998</v>
      </c>
      <c r="B2287" s="3">
        <v>0.33362137544920301</v>
      </c>
      <c r="C2287" s="5">
        <v>8.1837686058347105E-5</v>
      </c>
      <c r="D2287" s="4">
        <v>3.4653620548637899E-4</v>
      </c>
      <c r="E2287" s="3" t="s">
        <v>13833</v>
      </c>
      <c r="F2287" s="3" t="s">
        <v>13834</v>
      </c>
      <c r="G2287" s="3" t="s">
        <v>83</v>
      </c>
      <c r="H2287" s="7" t="str">
        <f>HYPERLINK("http://www.ensembl.org/Mus_musculus/Gene/Summary?db=core;g=ENSMUSG00000075585","ENSMUSG00000075585")</f>
        <v>ENSMUSG00000075585</v>
      </c>
      <c r="I2287" s="7" t="str">
        <f>HYPERLINK("http://www.informatics.jax.org/marker/MGI:1917994","MGI:1917994")</f>
        <v>MGI:1917994</v>
      </c>
      <c r="J2287" s="4" t="s">
        <v>932</v>
      </c>
    </row>
    <row r="2288" spans="1:10" x14ac:dyDescent="0.25">
      <c r="A2288" s="2">
        <v>2209.5419622530699</v>
      </c>
      <c r="B2288" s="3">
        <v>0.33338122986496599</v>
      </c>
      <c r="C2288" s="5">
        <v>1.91853017513383E-9</v>
      </c>
      <c r="D2288" s="6">
        <v>1.44424669317696E-8</v>
      </c>
      <c r="E2288" s="3" t="s">
        <v>4457</v>
      </c>
      <c r="F2288" s="3" t="s">
        <v>4458</v>
      </c>
      <c r="G2288" s="3">
        <v>67398</v>
      </c>
      <c r="H2288" s="7" t="str">
        <f>HYPERLINK("http://www.ensembl.org/Mus_musculus/Gene/Summary?db=core;g=ENSMUSG00000032042","ENSMUSG00000032042")</f>
        <v>ENSMUSG00000032042</v>
      </c>
      <c r="I2288" s="7" t="str">
        <f>HYPERLINK("http://www.informatics.jax.org/marker/MGI:1914648","MGI:1914648")</f>
        <v>MGI:1914648</v>
      </c>
      <c r="J2288" s="4" t="s">
        <v>12</v>
      </c>
    </row>
    <row r="2289" spans="1:10" x14ac:dyDescent="0.25">
      <c r="A2289" s="2">
        <v>386.66593105224803</v>
      </c>
      <c r="B2289" s="3">
        <v>0.33298881343518</v>
      </c>
      <c r="C2289" s="3">
        <v>2.5515935420341901E-4</v>
      </c>
      <c r="D2289" s="4">
        <v>9.9237712982443702E-4</v>
      </c>
      <c r="E2289" s="3" t="s">
        <v>8521</v>
      </c>
      <c r="F2289" s="3" t="s">
        <v>8522</v>
      </c>
      <c r="G2289" s="3">
        <v>76959</v>
      </c>
      <c r="H2289" s="7" t="str">
        <f>HYPERLINK("http://www.ensembl.org/Mus_musculus/Gene/Summary?db=core;g=ENSMUSG00000028419","ENSMUSG00000028419")</f>
        <v>ENSMUSG00000028419</v>
      </c>
      <c r="I2289" s="7" t="str">
        <f>HYPERLINK("http://www.informatics.jax.org/marker/MGI:1924209","MGI:1924209")</f>
        <v>MGI:1924209</v>
      </c>
      <c r="J2289" s="4" t="s">
        <v>12</v>
      </c>
    </row>
    <row r="2290" spans="1:10" x14ac:dyDescent="0.25">
      <c r="A2290" s="2">
        <v>3322.8499064459302</v>
      </c>
      <c r="B2290" s="3">
        <v>0.33262914236359198</v>
      </c>
      <c r="C2290" s="5">
        <v>1.6429637021428599E-7</v>
      </c>
      <c r="D2290" s="6">
        <v>1.00614964622156E-6</v>
      </c>
      <c r="E2290" s="3" t="s">
        <v>4675</v>
      </c>
      <c r="F2290" s="3" t="s">
        <v>4676</v>
      </c>
      <c r="G2290" s="3">
        <v>107746</v>
      </c>
      <c r="H2290" s="7" t="str">
        <f>HYPERLINK("http://www.ensembl.org/Mus_musculus/Gene/Summary?db=core;g=ENSMUSG00000039844","ENSMUSG00000039844")</f>
        <v>ENSMUSG00000039844</v>
      </c>
      <c r="I2290" s="7" t="str">
        <f>HYPERLINK("http://www.informatics.jax.org/marker/MGI:104580","MGI:104580")</f>
        <v>MGI:104580</v>
      </c>
      <c r="J2290" s="4" t="s">
        <v>12</v>
      </c>
    </row>
    <row r="2291" spans="1:10" x14ac:dyDescent="0.25">
      <c r="A2291" s="2">
        <v>4802.0854195872498</v>
      </c>
      <c r="B2291" s="3">
        <v>0.33245725786283498</v>
      </c>
      <c r="C2291" s="5">
        <v>1.27904608982229E-26</v>
      </c>
      <c r="D2291" s="6">
        <v>2.7521387233779399E-25</v>
      </c>
      <c r="E2291" s="3" t="s">
        <v>2093</v>
      </c>
      <c r="F2291" s="3" t="s">
        <v>2094</v>
      </c>
      <c r="G2291" s="3">
        <v>13589</v>
      </c>
      <c r="H2291" s="7" t="str">
        <f>HYPERLINK("http://www.ensembl.org/Mus_musculus/Gene/Summary?db=core;g=ENSMUSG00000027479","ENSMUSG00000027479")</f>
        <v>ENSMUSG00000027479</v>
      </c>
      <c r="I2291" s="7" t="str">
        <f>HYPERLINK("http://www.informatics.jax.org/marker/MGI:891995","MGI:891995")</f>
        <v>MGI:891995</v>
      </c>
      <c r="J2291" s="4" t="s">
        <v>12</v>
      </c>
    </row>
    <row r="2292" spans="1:10" x14ac:dyDescent="0.25">
      <c r="A2292" s="2">
        <v>974.54431989146804</v>
      </c>
      <c r="B2292" s="3">
        <v>0.33229428421304302</v>
      </c>
      <c r="C2292" s="3">
        <v>2.3004397022291E-3</v>
      </c>
      <c r="D2292" s="4">
        <v>7.5081507115195897E-3</v>
      </c>
      <c r="E2292" s="3" t="s">
        <v>10794</v>
      </c>
      <c r="F2292" s="3" t="s">
        <v>10795</v>
      </c>
      <c r="G2292" s="3">
        <v>74322</v>
      </c>
      <c r="H2292" s="7" t="str">
        <f>HYPERLINK("http://www.ensembl.org/Mus_musculus/Gene/Summary?db=core;g=ENSMUSG00000024560","ENSMUSG00000024560")</f>
        <v>ENSMUSG00000024560</v>
      </c>
      <c r="I2292" s="7" t="str">
        <f>HYPERLINK("http://www.informatics.jax.org/marker/MGI:1921572","MGI:1921572")</f>
        <v>MGI:1921572</v>
      </c>
      <c r="J2292" s="4" t="s">
        <v>12</v>
      </c>
    </row>
    <row r="2293" spans="1:10" x14ac:dyDescent="0.25">
      <c r="A2293" s="2">
        <v>208.924981418709</v>
      </c>
      <c r="B2293" s="3">
        <v>0.33202771354823302</v>
      </c>
      <c r="C2293" s="3">
        <v>5.1296469388320499E-4</v>
      </c>
      <c r="D2293" s="4">
        <v>1.90170495240468E-3</v>
      </c>
      <c r="E2293" s="3" t="s">
        <v>12819</v>
      </c>
      <c r="F2293" s="3" t="s">
        <v>12820</v>
      </c>
      <c r="G2293" s="3">
        <v>108159</v>
      </c>
      <c r="H2293" s="7" t="str">
        <f>HYPERLINK("http://www.ensembl.org/Mus_musculus/Gene/Summary?db=core;g=ENSMUSG00000052906","ENSMUSG00000052906")</f>
        <v>ENSMUSG00000052906</v>
      </c>
      <c r="I2293" s="7" t="str">
        <f>HYPERLINK("http://www.informatics.jax.org/marker/MGI:1337129","MGI:1337129")</f>
        <v>MGI:1337129</v>
      </c>
      <c r="J2293" s="4" t="s">
        <v>12</v>
      </c>
    </row>
    <row r="2294" spans="1:10" x14ac:dyDescent="0.25">
      <c r="A2294" s="2">
        <v>138.19849553659</v>
      </c>
      <c r="B2294" s="3">
        <v>0.33196888603686198</v>
      </c>
      <c r="C2294" s="3">
        <v>1.6476468282181601E-3</v>
      </c>
      <c r="D2294" s="4">
        <v>5.55566391198444E-3</v>
      </c>
      <c r="E2294" s="3" t="s">
        <v>11307</v>
      </c>
      <c r="F2294" s="3" t="s">
        <v>11308</v>
      </c>
      <c r="G2294" s="3" t="s">
        <v>83</v>
      </c>
      <c r="H2294" s="7" t="str">
        <f>HYPERLINK("http://www.ensembl.org/Mus_musculus/Gene/Summary?db=core;g=ENSMUSG00000058126","ENSMUSG00000058126")</f>
        <v>ENSMUSG00000058126</v>
      </c>
      <c r="I2294" s="7" t="str">
        <f>HYPERLINK("http://www.informatics.jax.org/marker/MGI:99705","MGI:99705")</f>
        <v>MGI:99705</v>
      </c>
      <c r="J2294" s="4" t="s">
        <v>12</v>
      </c>
    </row>
    <row r="2295" spans="1:10" x14ac:dyDescent="0.25">
      <c r="A2295" s="2">
        <v>310.73541824418299</v>
      </c>
      <c r="B2295" s="3">
        <v>0.33196123642309899</v>
      </c>
      <c r="C2295" s="5">
        <v>1.4769232501562499E-5</v>
      </c>
      <c r="D2295" s="6">
        <v>7.0426285280213697E-5</v>
      </c>
      <c r="E2295" s="3" t="s">
        <v>5581</v>
      </c>
      <c r="F2295" s="3" t="s">
        <v>5582</v>
      </c>
      <c r="G2295" s="3">
        <v>67657</v>
      </c>
      <c r="H2295" s="7" t="str">
        <f>HYPERLINK("http://www.ensembl.org/Mus_musculus/Gene/Summary?db=core;g=ENSMUSG00000022827","ENSMUSG00000022827")</f>
        <v>ENSMUSG00000022827</v>
      </c>
      <c r="I2295" s="7" t="str">
        <f>HYPERLINK("http://www.informatics.jax.org/marker/MGI:1914907","MGI:1914907")</f>
        <v>MGI:1914907</v>
      </c>
      <c r="J2295" s="4" t="s">
        <v>12</v>
      </c>
    </row>
    <row r="2296" spans="1:10" x14ac:dyDescent="0.25">
      <c r="A2296" s="2">
        <v>603.47256903165805</v>
      </c>
      <c r="B2296" s="3">
        <v>0.33195172597811601</v>
      </c>
      <c r="C2296" s="5">
        <v>2.8560894624948E-6</v>
      </c>
      <c r="D2296" s="6">
        <v>1.50179545452879E-5</v>
      </c>
      <c r="E2296" s="3" t="s">
        <v>13963</v>
      </c>
      <c r="F2296" s="3" t="s">
        <v>13964</v>
      </c>
      <c r="G2296" s="3">
        <v>12753</v>
      </c>
      <c r="H2296" s="7" t="str">
        <f>HYPERLINK("http://www.ensembl.org/Mus_musculus/Gene/Summary?db=core;g=ENSMUSG00000029238","ENSMUSG00000029238")</f>
        <v>ENSMUSG00000029238</v>
      </c>
      <c r="I2296" s="7" t="str">
        <f>HYPERLINK("http://www.informatics.jax.org/marker/MGI:99698","MGI:99698")</f>
        <v>MGI:99698</v>
      </c>
      <c r="J2296" s="4" t="s">
        <v>12</v>
      </c>
    </row>
    <row r="2297" spans="1:10" x14ac:dyDescent="0.25">
      <c r="A2297" s="2">
        <v>117.820547296372</v>
      </c>
      <c r="B2297" s="3">
        <v>0.331803821327805</v>
      </c>
      <c r="C2297" s="3">
        <v>3.6836211464401501E-3</v>
      </c>
      <c r="D2297" s="4">
        <v>1.14406945115664E-2</v>
      </c>
      <c r="E2297" s="3" t="s">
        <v>6800</v>
      </c>
      <c r="F2297" s="3" t="s">
        <v>6801</v>
      </c>
      <c r="G2297" s="3" t="s">
        <v>83</v>
      </c>
      <c r="H2297" s="7" t="str">
        <f>HYPERLINK("http://www.ensembl.org/Mus_musculus/Gene/Summary?db=core;g=ENSMUSG00000082319","ENSMUSG00000082319")</f>
        <v>ENSMUSG00000082319</v>
      </c>
      <c r="I2297" s="7" t="str">
        <f>HYPERLINK("http://www.informatics.jax.org/marker/MGI:3648640","MGI:3648640")</f>
        <v>MGI:3648640</v>
      </c>
      <c r="J2297" s="4" t="s">
        <v>1043</v>
      </c>
    </row>
    <row r="2298" spans="1:10" x14ac:dyDescent="0.25">
      <c r="A2298" s="2">
        <v>1026.64434874688</v>
      </c>
      <c r="B2298" s="3">
        <v>0.33180218636808001</v>
      </c>
      <c r="C2298" s="5">
        <v>1.9035886945438E-6</v>
      </c>
      <c r="D2298" s="6">
        <v>1.0227860836692399E-5</v>
      </c>
      <c r="E2298" s="3" t="s">
        <v>5021</v>
      </c>
      <c r="F2298" s="3" t="s">
        <v>5022</v>
      </c>
      <c r="G2298" s="3">
        <v>230654</v>
      </c>
      <c r="H2298" s="7" t="str">
        <f>HYPERLINK("http://www.ensembl.org/Mus_musculus/Gene/Summary?db=core;g=ENSMUSG00000028703","ENSMUSG00000028703")</f>
        <v>ENSMUSG00000028703</v>
      </c>
      <c r="I2298" s="7" t="str">
        <f>HYPERLINK("http://www.informatics.jax.org/marker/MGI:2441984","MGI:2441984")</f>
        <v>MGI:2441984</v>
      </c>
      <c r="J2298" s="4" t="s">
        <v>12</v>
      </c>
    </row>
    <row r="2299" spans="1:10" x14ac:dyDescent="0.25">
      <c r="A2299" s="2">
        <v>1757.1780357942901</v>
      </c>
      <c r="B2299" s="3">
        <v>0.33107309843043398</v>
      </c>
      <c r="C2299" s="5">
        <v>4.74060588678477E-11</v>
      </c>
      <c r="D2299" s="6">
        <v>4.1818752316869499E-10</v>
      </c>
      <c r="E2299" s="3" t="s">
        <v>2037</v>
      </c>
      <c r="F2299" s="3" t="s">
        <v>2038</v>
      </c>
      <c r="G2299" s="3">
        <v>223499</v>
      </c>
      <c r="H2299" s="7" t="str">
        <f>HYPERLINK("http://www.ensembl.org/Mus_musculus/Gene/Summary?db=core;g=ENSMUSG00000022300","ENSMUSG00000022300")</f>
        <v>ENSMUSG00000022300</v>
      </c>
      <c r="I2299" s="7" t="str">
        <f>HYPERLINK("http://www.informatics.jax.org/marker/MGI:2684929","MGI:2684929")</f>
        <v>MGI:2684929</v>
      </c>
      <c r="J2299" s="4" t="s">
        <v>12</v>
      </c>
    </row>
    <row r="2300" spans="1:10" x14ac:dyDescent="0.25">
      <c r="A2300" s="2">
        <v>1138.9572941234901</v>
      </c>
      <c r="B2300" s="3">
        <v>0.33099582887406998</v>
      </c>
      <c r="C2300" s="5">
        <v>8.0799764963866701E-10</v>
      </c>
      <c r="D2300" s="6">
        <v>6.3527856620641499E-9</v>
      </c>
      <c r="E2300" s="3" t="s">
        <v>5481</v>
      </c>
      <c r="F2300" s="3" t="s">
        <v>5482</v>
      </c>
      <c r="G2300" s="3">
        <v>67095</v>
      </c>
      <c r="H2300" s="7" t="str">
        <f>HYPERLINK("http://www.ensembl.org/Mus_musculus/Gene/Summary?db=core;g=ENSMUSG00000032536","ENSMUSG00000032536")</f>
        <v>ENSMUSG00000032536</v>
      </c>
      <c r="I2300" s="7" t="str">
        <f>HYPERLINK("http://www.informatics.jax.org/marker/MGI:1914345","MGI:1914345")</f>
        <v>MGI:1914345</v>
      </c>
      <c r="J2300" s="4" t="s">
        <v>12</v>
      </c>
    </row>
    <row r="2301" spans="1:10" x14ac:dyDescent="0.25">
      <c r="A2301" s="2">
        <v>7140.6627801426603</v>
      </c>
      <c r="B2301" s="3">
        <v>0.33095601043397299</v>
      </c>
      <c r="C2301" s="5">
        <v>2.8350225348537598E-6</v>
      </c>
      <c r="D2301" s="6">
        <v>1.49114821638412E-5</v>
      </c>
      <c r="E2301" s="3" t="s">
        <v>9223</v>
      </c>
      <c r="F2301" s="3" t="s">
        <v>9224</v>
      </c>
      <c r="G2301" s="3">
        <v>26949</v>
      </c>
      <c r="H2301" s="7" t="str">
        <f>HYPERLINK("http://www.ensembl.org/Mus_musculus/Gene/Summary?db=core;g=ENSMUSG00000034993","ENSMUSG00000034993")</f>
        <v>ENSMUSG00000034993</v>
      </c>
      <c r="I2301" s="7" t="str">
        <f>HYPERLINK("http://www.informatics.jax.org/marker/MGI:1349450","MGI:1349450")</f>
        <v>MGI:1349450</v>
      </c>
      <c r="J2301" s="4" t="s">
        <v>12</v>
      </c>
    </row>
    <row r="2302" spans="1:10" x14ac:dyDescent="0.25">
      <c r="A2302" s="2">
        <v>1012.56996820094</v>
      </c>
      <c r="B2302" s="3">
        <v>0.33093830265888002</v>
      </c>
      <c r="C2302" s="5">
        <v>4.7506581302969102E-9</v>
      </c>
      <c r="D2302" s="6">
        <v>3.4343809767814801E-8</v>
      </c>
      <c r="E2302" s="3" t="s">
        <v>6601</v>
      </c>
      <c r="F2302" s="3" t="s">
        <v>6602</v>
      </c>
      <c r="G2302" s="3">
        <v>240476</v>
      </c>
      <c r="H2302" s="7" t="str">
        <f>HYPERLINK("http://www.ensembl.org/Mus_musculus/Gene/Summary?db=core;g=ENSMUSG00000048410","ENSMUSG00000048410")</f>
        <v>ENSMUSG00000048410</v>
      </c>
      <c r="I2302" s="7" t="str">
        <f>HYPERLINK("http://www.informatics.jax.org/marker/MGI:2685179","MGI:2685179")</f>
        <v>MGI:2685179</v>
      </c>
      <c r="J2302" s="4" t="s">
        <v>12</v>
      </c>
    </row>
    <row r="2303" spans="1:10" x14ac:dyDescent="0.25">
      <c r="A2303" s="2">
        <v>2308.4480235976298</v>
      </c>
      <c r="B2303" s="3">
        <v>0.33080820631535501</v>
      </c>
      <c r="C2303" s="5">
        <v>1.12785250229058E-8</v>
      </c>
      <c r="D2303" s="6">
        <v>7.8186047372559297E-8</v>
      </c>
      <c r="E2303" s="3" t="s">
        <v>5955</v>
      </c>
      <c r="F2303" s="3" t="s">
        <v>5956</v>
      </c>
      <c r="G2303" s="3">
        <v>107094</v>
      </c>
      <c r="H2303" s="7" t="str">
        <f>HYPERLINK("http://www.ensembl.org/Mus_musculus/Gene/Summary?db=core;g=ENSMUSG00000035049","ENSMUSG00000035049")</f>
        <v>ENSMUSG00000035049</v>
      </c>
      <c r="I2303" s="7" t="str">
        <f>HYPERLINK("http://www.informatics.jax.org/marker/MGI:2147437","MGI:2147437")</f>
        <v>MGI:2147437</v>
      </c>
      <c r="J2303" s="4" t="s">
        <v>12</v>
      </c>
    </row>
    <row r="2304" spans="1:10" x14ac:dyDescent="0.25">
      <c r="A2304" s="2">
        <v>94.222954204995801</v>
      </c>
      <c r="B2304" s="3">
        <v>0.330621934752512</v>
      </c>
      <c r="C2304" s="3">
        <v>1.5628804530906901E-2</v>
      </c>
      <c r="D2304" s="4">
        <v>4.1715723868743101E-2</v>
      </c>
      <c r="E2304" s="3" t="s">
        <v>10334</v>
      </c>
      <c r="F2304" s="3" t="s">
        <v>10335</v>
      </c>
      <c r="G2304" s="3">
        <v>194744</v>
      </c>
      <c r="H2304" s="7" t="str">
        <f>HYPERLINK("http://www.ensembl.org/Mus_musculus/Gene/Summary?db=core;g=ENSMUSG00000037636","ENSMUSG00000037636")</f>
        <v>ENSMUSG00000037636</v>
      </c>
      <c r="I2304" s="7" t="str">
        <f>HYPERLINK("http://www.informatics.jax.org/marker/MGI:2684854","MGI:2684854")</f>
        <v>MGI:2684854</v>
      </c>
      <c r="J2304" s="4" t="s">
        <v>12</v>
      </c>
    </row>
    <row r="2305" spans="1:10" x14ac:dyDescent="0.25">
      <c r="A2305" s="2">
        <v>721.74713023209699</v>
      </c>
      <c r="B2305" s="3">
        <v>0.33016799301681199</v>
      </c>
      <c r="C2305" s="5">
        <v>1.2002169897001299E-9</v>
      </c>
      <c r="D2305" s="6">
        <v>9.2334126793097792E-9</v>
      </c>
      <c r="E2305" s="3" t="s">
        <v>5731</v>
      </c>
      <c r="F2305" s="3" t="s">
        <v>5732</v>
      </c>
      <c r="G2305" s="3">
        <v>243983</v>
      </c>
      <c r="H2305" s="7" t="str">
        <f>HYPERLINK("http://www.ensembl.org/Mus_musculus/Gene/Summary?db=core;g=ENSMUSG00000030471","ENSMUSG00000030471")</f>
        <v>ENSMUSG00000030471</v>
      </c>
      <c r="I2305" s="7" t="str">
        <f>HYPERLINK("http://www.informatics.jax.org/marker/MGI:1919227","MGI:1919227")</f>
        <v>MGI:1919227</v>
      </c>
      <c r="J2305" s="4" t="s">
        <v>12</v>
      </c>
    </row>
    <row r="2306" spans="1:10" x14ac:dyDescent="0.25">
      <c r="A2306" s="2">
        <v>2201.1081367450302</v>
      </c>
      <c r="B2306" s="3">
        <v>0.33016430384113499</v>
      </c>
      <c r="C2306" s="5">
        <v>8.0494045170054898E-8</v>
      </c>
      <c r="D2306" s="6">
        <v>5.0849357824064098E-7</v>
      </c>
      <c r="E2306" s="3" t="s">
        <v>6389</v>
      </c>
      <c r="F2306" s="3" t="s">
        <v>6390</v>
      </c>
      <c r="G2306" s="3">
        <v>217365</v>
      </c>
      <c r="H2306" s="7" t="str">
        <f>HYPERLINK("http://www.ensembl.org/Mus_musculus/Gene/Summary?db=core;g=ENSMUSG00000039703","ENSMUSG00000039703")</f>
        <v>ENSMUSG00000039703</v>
      </c>
      <c r="I2306" s="7" t="str">
        <f>HYPERLINK("http://www.informatics.jax.org/marker/MGI:2679787","MGI:2679787")</f>
        <v>MGI:2679787</v>
      </c>
      <c r="J2306" s="4" t="s">
        <v>12</v>
      </c>
    </row>
    <row r="2307" spans="1:10" x14ac:dyDescent="0.25">
      <c r="A2307" s="2">
        <v>394.15775647604801</v>
      </c>
      <c r="B2307" s="3">
        <v>0.33006561386580802</v>
      </c>
      <c r="C2307" s="5">
        <v>2.36407618343749E-7</v>
      </c>
      <c r="D2307" s="6">
        <v>1.4219567142953199E-6</v>
      </c>
      <c r="E2307" s="3" t="s">
        <v>10096</v>
      </c>
      <c r="F2307" s="3" t="s">
        <v>10097</v>
      </c>
      <c r="G2307" s="3">
        <v>214897</v>
      </c>
      <c r="H2307" s="7" t="str">
        <f>HYPERLINK("http://www.ensembl.org/Mus_musculus/Gene/Summary?db=core;g=ENSMUSG00000032384","ENSMUSG00000032384")</f>
        <v>ENSMUSG00000032384</v>
      </c>
      <c r="I2307" s="7" t="str">
        <f>HYPERLINK("http://www.informatics.jax.org/marker/MGI:2660884","MGI:2660884")</f>
        <v>MGI:2660884</v>
      </c>
      <c r="J2307" s="4" t="s">
        <v>12</v>
      </c>
    </row>
    <row r="2308" spans="1:10" x14ac:dyDescent="0.25">
      <c r="A2308" s="2">
        <v>1.1869882795600999</v>
      </c>
      <c r="B2308" s="3">
        <v>0.32995940391943201</v>
      </c>
      <c r="C2308" s="3">
        <v>0.455157290340307</v>
      </c>
      <c r="D2308" s="4">
        <v>0.63322455087420504</v>
      </c>
      <c r="E2308" s="3" t="s">
        <v>12925</v>
      </c>
      <c r="F2308" s="3" t="s">
        <v>12926</v>
      </c>
      <c r="G2308" s="3" t="s">
        <v>83</v>
      </c>
      <c r="H2308" s="7" t="str">
        <f>HYPERLINK("http://www.ensembl.org/Mus_musculus/Gene/Summary?db=core;g=ENSMUSG00000117571","ENSMUSG00000117571")</f>
        <v>ENSMUSG00000117571</v>
      </c>
      <c r="I2308" s="7" t="str">
        <f>HYPERLINK("http://www.informatics.jax.org/marker/MGI:1921723","MGI:1921723")</f>
        <v>MGI:1921723</v>
      </c>
      <c r="J2308" s="4" t="s">
        <v>939</v>
      </c>
    </row>
    <row r="2309" spans="1:10" x14ac:dyDescent="0.25">
      <c r="A2309" s="2">
        <v>385.76037602536297</v>
      </c>
      <c r="B2309" s="3">
        <v>0.32949982761764601</v>
      </c>
      <c r="C2309" s="5">
        <v>5.2704346608686897E-5</v>
      </c>
      <c r="D2309" s="4">
        <v>2.30399788185013E-4</v>
      </c>
      <c r="E2309" s="3" t="s">
        <v>5647</v>
      </c>
      <c r="F2309" s="3" t="s">
        <v>5648</v>
      </c>
      <c r="G2309" s="3">
        <v>69126</v>
      </c>
      <c r="H2309" s="7" t="str">
        <f>HYPERLINK("http://www.ensembl.org/Mus_musculus/Gene/Summary?db=core;g=ENSMUSG00000078784","ENSMUSG00000078784")</f>
        <v>ENSMUSG00000078784</v>
      </c>
      <c r="I2309" s="7" t="str">
        <f>HYPERLINK("http://www.informatics.jax.org/marker/MGI:1916376","MGI:1916376")</f>
        <v>MGI:1916376</v>
      </c>
      <c r="J2309" s="4" t="s">
        <v>12</v>
      </c>
    </row>
    <row r="2310" spans="1:10" x14ac:dyDescent="0.25">
      <c r="A2310" s="2">
        <v>1943.4448736484601</v>
      </c>
      <c r="B2310" s="3">
        <v>0.32886686019244799</v>
      </c>
      <c r="C2310" s="5">
        <v>6.1929331841861996E-5</v>
      </c>
      <c r="D2310" s="4">
        <v>2.6764573697366298E-4</v>
      </c>
      <c r="E2310" s="3" t="s">
        <v>5149</v>
      </c>
      <c r="F2310" s="3" t="s">
        <v>5150</v>
      </c>
      <c r="G2310" s="3">
        <v>338467</v>
      </c>
      <c r="H2310" s="7" t="str">
        <f>HYPERLINK("http://www.ensembl.org/Mus_musculus/Gene/Summary?db=core;g=ENSMUSG00000039456","ENSMUSG00000039456")</f>
        <v>ENSMUSG00000039456</v>
      </c>
      <c r="I2310" s="7" t="str">
        <f>HYPERLINK("http://www.informatics.jax.org/marker/MGI:2136841","MGI:2136841")</f>
        <v>MGI:2136841</v>
      </c>
      <c r="J2310" s="4" t="s">
        <v>12</v>
      </c>
    </row>
    <row r="2311" spans="1:10" x14ac:dyDescent="0.25">
      <c r="A2311" s="2">
        <v>888.33078172475302</v>
      </c>
      <c r="B2311" s="3">
        <v>0.32825819787237598</v>
      </c>
      <c r="C2311" s="5">
        <v>5.0882050845754198E-9</v>
      </c>
      <c r="D2311" s="6">
        <v>3.6638695245510501E-8</v>
      </c>
      <c r="E2311" s="3" t="s">
        <v>9249</v>
      </c>
      <c r="F2311" s="3" t="s">
        <v>9250</v>
      </c>
      <c r="G2311" s="3">
        <v>227674</v>
      </c>
      <c r="H2311" s="7" t="str">
        <f>HYPERLINK("http://www.ensembl.org/Mus_musculus/Gene/Summary?db=core;g=ENSMUSG00000026806","ENSMUSG00000026806")</f>
        <v>ENSMUSG00000026806</v>
      </c>
      <c r="I2311" s="7" t="str">
        <f>HYPERLINK("http://www.informatics.jax.org/marker/MGI:2682639","MGI:2682639")</f>
        <v>MGI:2682639</v>
      </c>
      <c r="J2311" s="4" t="s">
        <v>12</v>
      </c>
    </row>
    <row r="2312" spans="1:10" x14ac:dyDescent="0.25">
      <c r="A2312" s="2">
        <v>654.89763515719699</v>
      </c>
      <c r="B2312" s="3">
        <v>0.32795300075396899</v>
      </c>
      <c r="C2312" s="5">
        <v>6.1626163895138699E-9</v>
      </c>
      <c r="D2312" s="6">
        <v>4.3975600508570997E-8</v>
      </c>
      <c r="E2312" s="3" t="s">
        <v>6465</v>
      </c>
      <c r="F2312" s="3" t="s">
        <v>6466</v>
      </c>
      <c r="G2312" s="3">
        <v>74133</v>
      </c>
      <c r="H2312" s="7" t="str">
        <f>HYPERLINK("http://www.ensembl.org/Mus_musculus/Gene/Summary?db=core;g=ENSMUSG00000020495","ENSMUSG00000020495")</f>
        <v>ENSMUSG00000020495</v>
      </c>
      <c r="I2312" s="7" t="str">
        <f>HYPERLINK("http://www.informatics.jax.org/marker/MGI:1921383","MGI:1921383")</f>
        <v>MGI:1921383</v>
      </c>
      <c r="J2312" s="4" t="s">
        <v>12</v>
      </c>
    </row>
    <row r="2313" spans="1:10" x14ac:dyDescent="0.25">
      <c r="A2313" s="2">
        <v>500.557308081239</v>
      </c>
      <c r="B2313" s="3">
        <v>0.32766986192088199</v>
      </c>
      <c r="C2313" s="3">
        <v>1.12414135453931E-4</v>
      </c>
      <c r="D2313" s="4">
        <v>4.6594214661084597E-4</v>
      </c>
      <c r="E2313" s="3" t="s">
        <v>11481</v>
      </c>
      <c r="F2313" s="3" t="s">
        <v>11482</v>
      </c>
      <c r="G2313" s="3">
        <v>109263</v>
      </c>
      <c r="H2313" s="7" t="str">
        <f>HYPERLINK("http://www.ensembl.org/Mus_musculus/Gene/Summary?db=core;g=ENSMUSG00000049878","ENSMUSG00000049878")</f>
        <v>ENSMUSG00000049878</v>
      </c>
      <c r="I2313" s="7" t="str">
        <f>HYPERLINK("http://www.informatics.jax.org/marker/MGI:1924705","MGI:1924705")</f>
        <v>MGI:1924705</v>
      </c>
      <c r="J2313" s="4" t="s">
        <v>12</v>
      </c>
    </row>
    <row r="2314" spans="1:10" x14ac:dyDescent="0.25">
      <c r="A2314" s="2">
        <v>3181.6868104146301</v>
      </c>
      <c r="B2314" s="3">
        <v>0.32751244802637203</v>
      </c>
      <c r="C2314" s="5">
        <v>2.0100533807832699E-7</v>
      </c>
      <c r="D2314" s="6">
        <v>1.21948145355443E-6</v>
      </c>
      <c r="E2314" s="3" t="s">
        <v>9511</v>
      </c>
      <c r="F2314" s="3" t="s">
        <v>9512</v>
      </c>
      <c r="G2314" s="3">
        <v>56700</v>
      </c>
      <c r="H2314" s="7" t="str">
        <f>HYPERLINK("http://www.ensembl.org/Mus_musculus/Gene/Summary?db=core;g=ENSMUSG00000001418","ENSMUSG00000001418")</f>
        <v>ENSMUSG00000001418</v>
      </c>
      <c r="I2314" s="7" t="str">
        <f>HYPERLINK("http://www.informatics.jax.org/marker/MGI:1913318","MGI:1913318")</f>
        <v>MGI:1913318</v>
      </c>
      <c r="J2314" s="4" t="s">
        <v>12</v>
      </c>
    </row>
    <row r="2315" spans="1:10" x14ac:dyDescent="0.25">
      <c r="A2315" s="2">
        <v>862.81632638258202</v>
      </c>
      <c r="B2315" s="3">
        <v>0.32731323298868198</v>
      </c>
      <c r="C2315" s="5">
        <v>2.89382017174792E-7</v>
      </c>
      <c r="D2315" s="6">
        <v>1.7223994980439501E-6</v>
      </c>
      <c r="E2315" s="3" t="s">
        <v>9589</v>
      </c>
      <c r="F2315" s="3" t="s">
        <v>9590</v>
      </c>
      <c r="G2315" s="3">
        <v>78757</v>
      </c>
      <c r="H2315" s="7" t="str">
        <f>HYPERLINK("http://www.ensembl.org/Mus_musculus/Gene/Summary?db=core;g=ENSMUSG00000050310","ENSMUSG00000050310")</f>
        <v>ENSMUSG00000050310</v>
      </c>
      <c r="I2315" s="7" t="str">
        <f>HYPERLINK("http://www.informatics.jax.org/marker/MGI:1926007","MGI:1926007")</f>
        <v>MGI:1926007</v>
      </c>
      <c r="J2315" s="4" t="s">
        <v>12</v>
      </c>
    </row>
    <row r="2316" spans="1:10" x14ac:dyDescent="0.25">
      <c r="A2316" s="2">
        <v>55617.832198848497</v>
      </c>
      <c r="B2316" s="3">
        <v>0.32696037577186199</v>
      </c>
      <c r="C2316" s="5">
        <v>2.7651465558605799E-20</v>
      </c>
      <c r="D2316" s="6">
        <v>4.4012922253763302E-19</v>
      </c>
      <c r="E2316" s="3" t="s">
        <v>2149</v>
      </c>
      <c r="F2316" s="3" t="s">
        <v>2150</v>
      </c>
      <c r="G2316" s="3">
        <v>15516</v>
      </c>
      <c r="H2316" s="7" t="str">
        <f>HYPERLINK("http://www.ensembl.org/Mus_musculus/Gene/Summary?db=core;g=ENSMUSG00000023944","ENSMUSG00000023944")</f>
        <v>ENSMUSG00000023944</v>
      </c>
      <c r="I2316" s="7" t="str">
        <f>HYPERLINK("http://www.informatics.jax.org/marker/MGI:96247","MGI:96247")</f>
        <v>MGI:96247</v>
      </c>
      <c r="J2316" s="4" t="s">
        <v>12</v>
      </c>
    </row>
    <row r="2317" spans="1:10" x14ac:dyDescent="0.25">
      <c r="A2317" s="2">
        <v>1774.55260053751</v>
      </c>
      <c r="B2317" s="3">
        <v>0.32680075898296501</v>
      </c>
      <c r="C2317" s="3">
        <v>1.35464971893032E-4</v>
      </c>
      <c r="D2317" s="4">
        <v>5.5318151753316295E-4</v>
      </c>
      <c r="E2317" s="3" t="s">
        <v>7326</v>
      </c>
      <c r="F2317" s="3" t="s">
        <v>7327</v>
      </c>
      <c r="G2317" s="3">
        <v>65107</v>
      </c>
      <c r="H2317" s="7" t="str">
        <f>HYPERLINK("http://www.ensembl.org/Mus_musculus/Gene/Summary?db=core;g=ENSMUSG00000022175","ENSMUSG00000022175")</f>
        <v>ENSMUSG00000022175</v>
      </c>
      <c r="I2317" s="7" t="str">
        <f>HYPERLINK("http://www.informatics.jax.org/marker/MGI:1929480","MGI:1929480")</f>
        <v>MGI:1929480</v>
      </c>
      <c r="J2317" s="4" t="s">
        <v>12</v>
      </c>
    </row>
    <row r="2318" spans="1:10" x14ac:dyDescent="0.25">
      <c r="A2318" s="2">
        <v>1465.0669291506699</v>
      </c>
      <c r="B2318" s="3">
        <v>0.32650256803212901</v>
      </c>
      <c r="C2318" s="5">
        <v>2.0093589563587002E-6</v>
      </c>
      <c r="D2318" s="6">
        <v>1.07770944613412E-5</v>
      </c>
      <c r="E2318" s="3" t="s">
        <v>6908</v>
      </c>
      <c r="F2318" s="3" t="s">
        <v>6909</v>
      </c>
      <c r="G2318" s="3">
        <v>235661</v>
      </c>
      <c r="H2318" s="7" t="str">
        <f>HYPERLINK("http://www.ensembl.org/Mus_musculus/Gene/Summary?db=core;g=ENSMUSG00000032435","ENSMUSG00000032435")</f>
        <v>ENSMUSG00000032435</v>
      </c>
      <c r="I2318" s="7" t="str">
        <f>HYPERLINK("http://www.informatics.jax.org/marker/MGI:2135610","MGI:2135610")</f>
        <v>MGI:2135610</v>
      </c>
      <c r="J2318" s="4" t="s">
        <v>12</v>
      </c>
    </row>
    <row r="2319" spans="1:10" x14ac:dyDescent="0.25">
      <c r="A2319" s="2">
        <v>11259.5521053022</v>
      </c>
      <c r="B2319" s="3">
        <v>0.32625664331545501</v>
      </c>
      <c r="C2319" s="5">
        <v>7.9313062064059301E-13</v>
      </c>
      <c r="D2319" s="6">
        <v>8.1024694849634596E-12</v>
      </c>
      <c r="E2319" s="3" t="s">
        <v>2499</v>
      </c>
      <c r="F2319" s="3" t="s">
        <v>2500</v>
      </c>
      <c r="G2319" s="3">
        <v>73158</v>
      </c>
      <c r="H2319" s="7" t="str">
        <f>HYPERLINK("http://www.ensembl.org/Mus_musculus/Gene/Summary?db=core;g=ENSMUSG00000037331","ENSMUSG00000037331")</f>
        <v>ENSMUSG00000037331</v>
      </c>
      <c r="I2319" s="7" t="str">
        <f>HYPERLINK("http://www.informatics.jax.org/marker/MGI:1890165","MGI:1890165")</f>
        <v>MGI:1890165</v>
      </c>
      <c r="J2319" s="4" t="s">
        <v>12</v>
      </c>
    </row>
    <row r="2320" spans="1:10" x14ac:dyDescent="0.25">
      <c r="A2320" s="2">
        <v>416.51248544687098</v>
      </c>
      <c r="B2320" s="3">
        <v>0.326020570632297</v>
      </c>
      <c r="C2320" s="5">
        <v>2.6197451377002898E-6</v>
      </c>
      <c r="D2320" s="6">
        <v>1.38511329082065E-5</v>
      </c>
      <c r="E2320" s="3" t="s">
        <v>8179</v>
      </c>
      <c r="F2320" s="3" t="s">
        <v>8180</v>
      </c>
      <c r="G2320" s="3">
        <v>109900</v>
      </c>
      <c r="H2320" s="7" t="str">
        <f>HYPERLINK("http://www.ensembl.org/Mus_musculus/Gene/Summary?db=core;g=ENSMUSG00000025533","ENSMUSG00000025533")</f>
        <v>ENSMUSG00000025533</v>
      </c>
      <c r="I2320" s="7" t="str">
        <f>HYPERLINK("http://www.informatics.jax.org/marker/MGI:88084","MGI:88084")</f>
        <v>MGI:88084</v>
      </c>
      <c r="J2320" s="4" t="s">
        <v>12</v>
      </c>
    </row>
    <row r="2321" spans="1:10" x14ac:dyDescent="0.25">
      <c r="A2321" s="2">
        <v>1768.5559447984199</v>
      </c>
      <c r="B2321" s="3">
        <v>0.32499451468071799</v>
      </c>
      <c r="C2321" s="3">
        <v>2.8140833828020901E-3</v>
      </c>
      <c r="D2321" s="4">
        <v>8.9960830821905098E-3</v>
      </c>
      <c r="E2321" s="3" t="s">
        <v>7961</v>
      </c>
      <c r="F2321" s="3" t="s">
        <v>7962</v>
      </c>
      <c r="G2321" s="3" t="s">
        <v>83</v>
      </c>
      <c r="H2321" s="7" t="str">
        <f>HYPERLINK("http://www.ensembl.org/Mus_musculus/Gene/Summary?db=core;g=ENSMUSG00000111394","ENSMUSG00000111394")</f>
        <v>ENSMUSG00000111394</v>
      </c>
      <c r="I2321" s="7" t="str">
        <f>HYPERLINK("http://www.informatics.jax.org/marker/MGI:6215263","MGI:6215263")</f>
        <v>MGI:6215263</v>
      </c>
      <c r="J2321" s="4" t="s">
        <v>1828</v>
      </c>
    </row>
    <row r="2322" spans="1:10" x14ac:dyDescent="0.25">
      <c r="A2322" s="2">
        <v>442.805235110073</v>
      </c>
      <c r="B2322" s="3">
        <v>0.32478279876170801</v>
      </c>
      <c r="C2322" s="5">
        <v>9.3977777977081802E-5</v>
      </c>
      <c r="D2322" s="4">
        <v>3.9491468840957301E-4</v>
      </c>
      <c r="E2322" s="3" t="s">
        <v>11223</v>
      </c>
      <c r="F2322" s="3" t="s">
        <v>11224</v>
      </c>
      <c r="G2322" s="3">
        <v>237459</v>
      </c>
      <c r="H2322" s="7" t="str">
        <f>HYPERLINK("http://www.ensembl.org/Mus_musculus/Gene/Summary?db=core;g=ENSMUSG00000020015","ENSMUSG00000020015")</f>
        <v>ENSMUSG00000020015</v>
      </c>
      <c r="I2322" s="7" t="str">
        <f>HYPERLINK("http://www.informatics.jax.org/marker/MGI:97517","MGI:97517")</f>
        <v>MGI:97517</v>
      </c>
      <c r="J2322" s="4" t="s">
        <v>12</v>
      </c>
    </row>
    <row r="2323" spans="1:10" x14ac:dyDescent="0.25">
      <c r="A2323" s="2">
        <v>204.273821219078</v>
      </c>
      <c r="B2323" s="3">
        <v>0.32439010596665102</v>
      </c>
      <c r="C2323" s="3">
        <v>3.70700347260992E-4</v>
      </c>
      <c r="D2323" s="4">
        <v>1.4039928987596799E-3</v>
      </c>
      <c r="E2323" s="3" t="s">
        <v>8685</v>
      </c>
      <c r="F2323" s="3" t="s">
        <v>8686</v>
      </c>
      <c r="G2323" s="3">
        <v>76500</v>
      </c>
      <c r="H2323" s="7" t="str">
        <f>HYPERLINK("http://www.ensembl.org/Mus_musculus/Gene/Summary?db=core;g=ENSMUSG00000032599","ENSMUSG00000032599")</f>
        <v>ENSMUSG00000032599</v>
      </c>
      <c r="I2323" s="7" t="str">
        <f>HYPERLINK("http://www.informatics.jax.org/marker/MGI:1923750","MGI:1923750")</f>
        <v>MGI:1923750</v>
      </c>
      <c r="J2323" s="4" t="s">
        <v>12</v>
      </c>
    </row>
    <row r="2324" spans="1:10" x14ac:dyDescent="0.25">
      <c r="A2324" s="2">
        <v>1899.11746702603</v>
      </c>
      <c r="B2324" s="3">
        <v>0.324127659736969</v>
      </c>
      <c r="C2324" s="5">
        <v>2.0887336552846899E-8</v>
      </c>
      <c r="D2324" s="6">
        <v>1.40728912634246E-7</v>
      </c>
      <c r="E2324" s="3" t="s">
        <v>5813</v>
      </c>
      <c r="F2324" s="3" t="s">
        <v>5814</v>
      </c>
      <c r="G2324" s="3">
        <v>23996</v>
      </c>
      <c r="H2324" s="7" t="str">
        <f>HYPERLINK("http://www.ensembl.org/Mus_musculus/Gene/Summary?db=core;g=ENSMUSG00000030603","ENSMUSG00000030603")</f>
        <v>ENSMUSG00000030603</v>
      </c>
      <c r="I2324" s="7" t="str">
        <f>HYPERLINK("http://www.informatics.jax.org/marker/MGI:1346093","MGI:1346093")</f>
        <v>MGI:1346093</v>
      </c>
      <c r="J2324" s="4" t="s">
        <v>12</v>
      </c>
    </row>
    <row r="2325" spans="1:10" x14ac:dyDescent="0.25">
      <c r="A2325" s="2">
        <v>1451.4013930456499</v>
      </c>
      <c r="B2325" s="3">
        <v>0.32385099400690498</v>
      </c>
      <c r="C2325" s="5">
        <v>1.86039532785556E-10</v>
      </c>
      <c r="D2325" s="6">
        <v>1.5545944452163E-9</v>
      </c>
      <c r="E2325" s="3" t="s">
        <v>3720</v>
      </c>
      <c r="F2325" s="3" t="s">
        <v>3721</v>
      </c>
      <c r="G2325" s="3">
        <v>217039</v>
      </c>
      <c r="H2325" s="7" t="str">
        <f>HYPERLINK("http://www.ensembl.org/Mus_musculus/Gene/Summary?db=core;g=ENSMUSG00000020530","ENSMUSG00000020530")</f>
        <v>ENSMUSG00000020530</v>
      </c>
      <c r="I2325" s="7" t="str">
        <f>HYPERLINK("http://www.informatics.jax.org/marker/MGI:2387356","MGI:2387356")</f>
        <v>MGI:2387356</v>
      </c>
      <c r="J2325" s="4" t="s">
        <v>12</v>
      </c>
    </row>
    <row r="2326" spans="1:10" x14ac:dyDescent="0.25">
      <c r="A2326" s="2">
        <v>812.49730667518895</v>
      </c>
      <c r="B2326" s="3">
        <v>0.32310912604822301</v>
      </c>
      <c r="C2326" s="5">
        <v>3.2587003344984301E-8</v>
      </c>
      <c r="D2326" s="6">
        <v>2.14713715098459E-7</v>
      </c>
      <c r="E2326" s="3" t="s">
        <v>7442</v>
      </c>
      <c r="F2326" s="3" t="s">
        <v>7443</v>
      </c>
      <c r="G2326" s="3">
        <v>57815</v>
      </c>
      <c r="H2326" s="7" t="str">
        <f>HYPERLINK("http://www.ensembl.org/Mus_musculus/Gene/Summary?db=core;g=ENSMUSG00000027722","ENSMUSG00000027722")</f>
        <v>ENSMUSG00000027722</v>
      </c>
      <c r="I2326" s="7" t="str">
        <f>HYPERLINK("http://www.informatics.jax.org/marker/MGI:1927170","MGI:1927170")</f>
        <v>MGI:1927170</v>
      </c>
      <c r="J2326" s="4" t="s">
        <v>12</v>
      </c>
    </row>
    <row r="2327" spans="1:10" x14ac:dyDescent="0.25">
      <c r="A2327" s="2">
        <v>459.74084059304602</v>
      </c>
      <c r="B2327" s="3">
        <v>0.32305639734819502</v>
      </c>
      <c r="C2327" s="5">
        <v>5.4500562885523201E-6</v>
      </c>
      <c r="D2327" s="6">
        <v>2.7698626842963198E-5</v>
      </c>
      <c r="E2327" s="3" t="s">
        <v>7170</v>
      </c>
      <c r="F2327" s="3" t="s">
        <v>7171</v>
      </c>
      <c r="G2327" s="3">
        <v>14911</v>
      </c>
      <c r="H2327" s="7" t="str">
        <f>HYPERLINK("http://www.ensembl.org/Mus_musculus/Gene/Summary?db=core;g=ENSMUSG00000030264","ENSMUSG00000030264")</f>
        <v>ENSMUSG00000030264</v>
      </c>
      <c r="I2327" s="7" t="str">
        <f>HYPERLINK("http://www.informatics.jax.org/marker/MGI:1277973","MGI:1277973")</f>
        <v>MGI:1277973</v>
      </c>
      <c r="J2327" s="4" t="s">
        <v>12</v>
      </c>
    </row>
    <row r="2328" spans="1:10" x14ac:dyDescent="0.25">
      <c r="A2328" s="2">
        <v>984.87762407914602</v>
      </c>
      <c r="B2328" s="3">
        <v>0.32299523970944599</v>
      </c>
      <c r="C2328" s="5">
        <v>5.1637816226158903E-9</v>
      </c>
      <c r="D2328" s="6">
        <v>3.71388792707871E-8</v>
      </c>
      <c r="E2328" s="3" t="s">
        <v>3450</v>
      </c>
      <c r="F2328" s="3" t="s">
        <v>3451</v>
      </c>
      <c r="G2328" s="3">
        <v>228410</v>
      </c>
      <c r="H2328" s="7" t="str">
        <f>HYPERLINK("http://www.ensembl.org/Mus_musculus/Gene/Summary?db=core;g=ENSMUSG00000027176","ENSMUSG00000027176")</f>
        <v>ENSMUSG00000027176</v>
      </c>
      <c r="I2328" s="7" t="str">
        <f>HYPERLINK("http://www.informatics.jax.org/marker/MGI:1351825","MGI:1351825")</f>
        <v>MGI:1351825</v>
      </c>
      <c r="J2328" s="4" t="s">
        <v>12</v>
      </c>
    </row>
    <row r="2329" spans="1:10" x14ac:dyDescent="0.25">
      <c r="A2329" s="2">
        <v>2429.3102906447498</v>
      </c>
      <c r="B2329" s="3">
        <v>0.32297018855257997</v>
      </c>
      <c r="C2329" s="5">
        <v>3.2429699610186099E-10</v>
      </c>
      <c r="D2329" s="6">
        <v>2.6515535011020299E-9</v>
      </c>
      <c r="E2329" s="3" t="s">
        <v>4357</v>
      </c>
      <c r="F2329" s="3" t="s">
        <v>4358</v>
      </c>
      <c r="G2329" s="3">
        <v>54170</v>
      </c>
      <c r="H2329" s="7" t="str">
        <f>HYPERLINK("http://www.ensembl.org/Mus_musculus/Gene/Summary?db=core;g=ENSMUSG00000028646","ENSMUSG00000028646")</f>
        <v>ENSMUSG00000028646</v>
      </c>
      <c r="I2329" s="7" t="str">
        <f>HYPERLINK("http://www.informatics.jax.org/marker/MGI:1858751","MGI:1858751")</f>
        <v>MGI:1858751</v>
      </c>
      <c r="J2329" s="4" t="s">
        <v>12</v>
      </c>
    </row>
    <row r="2330" spans="1:10" x14ac:dyDescent="0.25">
      <c r="A2330" s="2">
        <v>321.13537693580099</v>
      </c>
      <c r="B2330" s="3">
        <v>0.32277098964214501</v>
      </c>
      <c r="C2330" s="5">
        <v>7.3021808387899295E-5</v>
      </c>
      <c r="D2330" s="4">
        <v>3.1159504984066102E-4</v>
      </c>
      <c r="E2330" s="3" t="s">
        <v>7892</v>
      </c>
      <c r="F2330" s="3" t="s">
        <v>7893</v>
      </c>
      <c r="G2330" s="3">
        <v>72400</v>
      </c>
      <c r="H2330" s="7" t="str">
        <f>HYPERLINK("http://www.ensembl.org/Mus_musculus/Gene/Summary?db=core;g=ENSMUSG00000021958","ENSMUSG00000021958")</f>
        <v>ENSMUSG00000021958</v>
      </c>
      <c r="I2330" s="7" t="str">
        <f>HYPERLINK("http://www.informatics.jax.org/marker/MGI:1919650","MGI:1919650")</f>
        <v>MGI:1919650</v>
      </c>
      <c r="J2330" s="4" t="s">
        <v>12</v>
      </c>
    </row>
    <row r="2331" spans="1:10" x14ac:dyDescent="0.25">
      <c r="A2331" s="2">
        <v>2043.1562607097701</v>
      </c>
      <c r="B2331" s="3">
        <v>0.32273435851772903</v>
      </c>
      <c r="C2331" s="5">
        <v>4.2549792392223002E-7</v>
      </c>
      <c r="D2331" s="6">
        <v>2.47516746360761E-6</v>
      </c>
      <c r="E2331" s="3" t="s">
        <v>13239</v>
      </c>
      <c r="F2331" s="3" t="s">
        <v>13240</v>
      </c>
      <c r="G2331" s="3">
        <v>194388</v>
      </c>
      <c r="H2331" s="7" t="str">
        <f>HYPERLINK("http://www.ensembl.org/Mus_musculus/Gene/Summary?db=core;g=ENSMUSG00000034832","ENSMUSG00000034832")</f>
        <v>ENSMUSG00000034832</v>
      </c>
      <c r="I2331" s="7" t="str">
        <f>HYPERLINK("http://www.informatics.jax.org/marker/MGI:2446229","MGI:2446229")</f>
        <v>MGI:2446229</v>
      </c>
      <c r="J2331" s="4" t="s">
        <v>12</v>
      </c>
    </row>
    <row r="2332" spans="1:10" x14ac:dyDescent="0.25">
      <c r="A2332" s="2">
        <v>997.05207340531501</v>
      </c>
      <c r="B2332" s="3">
        <v>0.322489538771975</v>
      </c>
      <c r="C2332" s="5">
        <v>3.5319239439032399E-12</v>
      </c>
      <c r="D2332" s="6">
        <v>3.4039827539733698E-11</v>
      </c>
      <c r="E2332" s="3" t="s">
        <v>3364</v>
      </c>
      <c r="F2332" s="3" t="s">
        <v>3365</v>
      </c>
      <c r="G2332" s="3">
        <v>17190</v>
      </c>
      <c r="H2332" s="7" t="str">
        <f>HYPERLINK("http://www.ensembl.org/Mus_musculus/Gene/Summary?db=core;g=ENSMUSG00000024561","ENSMUSG00000024561")</f>
        <v>ENSMUSG00000024561</v>
      </c>
      <c r="I2332" s="7" t="str">
        <f>HYPERLINK("http://www.informatics.jax.org/marker/MGI:1333811","MGI:1333811")</f>
        <v>MGI:1333811</v>
      </c>
      <c r="J2332" s="4" t="s">
        <v>12</v>
      </c>
    </row>
    <row r="2333" spans="1:10" x14ac:dyDescent="0.25">
      <c r="A2333" s="2">
        <v>258.65944681933701</v>
      </c>
      <c r="B2333" s="3">
        <v>0.322421149475624</v>
      </c>
      <c r="C2333" s="3">
        <v>2.3107085186880498E-3</v>
      </c>
      <c r="D2333" s="4">
        <v>7.5362674933947098E-3</v>
      </c>
      <c r="E2333" s="3" t="s">
        <v>10200</v>
      </c>
      <c r="F2333" s="3" t="s">
        <v>10201</v>
      </c>
      <c r="G2333" s="3">
        <v>170829</v>
      </c>
      <c r="H2333" s="7" t="str">
        <f>HYPERLINK("http://www.ensembl.org/Mus_musculus/Gene/Summary?db=core;g=ENSMUSG00000041779","ENSMUSG00000041779")</f>
        <v>ENSMUSG00000041779</v>
      </c>
      <c r="I2333" s="7" t="str">
        <f>HYPERLINK("http://www.informatics.jax.org/marker/MGI:1924817","MGI:1924817")</f>
        <v>MGI:1924817</v>
      </c>
      <c r="J2333" s="4" t="s">
        <v>12</v>
      </c>
    </row>
    <row r="2334" spans="1:10" x14ac:dyDescent="0.25">
      <c r="A2334" s="2">
        <v>800.76274404014896</v>
      </c>
      <c r="B2334" s="3">
        <v>0.32148765484072001</v>
      </c>
      <c r="C2334" s="5">
        <v>2.2835159580316701E-5</v>
      </c>
      <c r="D2334" s="4">
        <v>1.05815098741742E-4</v>
      </c>
      <c r="E2334" s="3" t="s">
        <v>6830</v>
      </c>
      <c r="F2334" s="3" t="s">
        <v>6831</v>
      </c>
      <c r="G2334" s="3">
        <v>246177</v>
      </c>
      <c r="H2334" s="7" t="str">
        <f>HYPERLINK("http://www.ensembl.org/Mus_musculus/Gene/Summary?db=core;g=ENSMUSG00000020437","ENSMUSG00000020437")</f>
        <v>ENSMUSG00000020437</v>
      </c>
      <c r="I2334" s="7" t="str">
        <f>HYPERLINK("http://www.informatics.jax.org/marker/MGI:1927091","MGI:1927091")</f>
        <v>MGI:1927091</v>
      </c>
      <c r="J2334" s="4" t="s">
        <v>12</v>
      </c>
    </row>
    <row r="2335" spans="1:10" x14ac:dyDescent="0.25">
      <c r="A2335" s="2">
        <v>1328.2765940716599</v>
      </c>
      <c r="B2335" s="3">
        <v>0.321045175646263</v>
      </c>
      <c r="C2335" s="5">
        <v>6.8715194428031102E-10</v>
      </c>
      <c r="D2335" s="6">
        <v>5.4496710985677403E-9</v>
      </c>
      <c r="E2335" s="3" t="s">
        <v>3690</v>
      </c>
      <c r="F2335" s="3" t="s">
        <v>3691</v>
      </c>
      <c r="G2335" s="3">
        <v>320213</v>
      </c>
      <c r="H2335" s="7" t="str">
        <f>HYPERLINK("http://www.ensembl.org/Mus_musculus/Gene/Summary?db=core;g=ENSMUSG00000022772","ENSMUSG00000022772")</f>
        <v>ENSMUSG00000022772</v>
      </c>
      <c r="I2335" s="7" t="str">
        <f>HYPERLINK("http://www.informatics.jax.org/marker/MGI:2443596","MGI:2443596")</f>
        <v>MGI:2443596</v>
      </c>
      <c r="J2335" s="4" t="s">
        <v>12</v>
      </c>
    </row>
    <row r="2336" spans="1:10" x14ac:dyDescent="0.25">
      <c r="A2336" s="2">
        <v>308.27268690772399</v>
      </c>
      <c r="B2336" s="3">
        <v>0.32098896238930102</v>
      </c>
      <c r="C2336" s="5">
        <v>1.8079174361724001E-5</v>
      </c>
      <c r="D2336" s="6">
        <v>8.5162303629469896E-5</v>
      </c>
      <c r="E2336" s="3" t="s">
        <v>13233</v>
      </c>
      <c r="F2336" s="3" t="s">
        <v>13234</v>
      </c>
      <c r="G2336" s="3">
        <v>102323</v>
      </c>
      <c r="H2336" s="7" t="str">
        <f>HYPERLINK("http://www.ensembl.org/Mus_musculus/Gene/Summary?db=core;g=ENSMUSG00000038506","ENSMUSG00000038506")</f>
        <v>ENSMUSG00000038506</v>
      </c>
      <c r="I2336" s="7" t="str">
        <f>HYPERLINK("http://www.informatics.jax.org/marker/MGI:2142792","MGI:2142792")</f>
        <v>MGI:2142792</v>
      </c>
      <c r="J2336" s="4" t="s">
        <v>12</v>
      </c>
    </row>
    <row r="2337" spans="1:10" x14ac:dyDescent="0.25">
      <c r="A2337" s="2">
        <v>424.20912053934399</v>
      </c>
      <c r="B2337" s="3">
        <v>0.32086106996087999</v>
      </c>
      <c r="C2337" s="3">
        <v>4.8072422030375102E-4</v>
      </c>
      <c r="D2337" s="4">
        <v>1.79165621984373E-3</v>
      </c>
      <c r="E2337" s="3" t="s">
        <v>13905</v>
      </c>
      <c r="F2337" s="3" t="s">
        <v>13906</v>
      </c>
      <c r="G2337" s="3">
        <v>72599</v>
      </c>
      <c r="H2337" s="7" t="str">
        <f>HYPERLINK("http://www.ensembl.org/Mus_musculus/Gene/Summary?db=core;g=ENSMUSG00000022844","ENSMUSG00000022844")</f>
        <v>ENSMUSG00000022844</v>
      </c>
      <c r="I2337" s="7" t="str">
        <f>HYPERLINK("http://www.informatics.jax.org/marker/MGI:1919849","MGI:1919849")</f>
        <v>MGI:1919849</v>
      </c>
      <c r="J2337" s="4" t="s">
        <v>12</v>
      </c>
    </row>
    <row r="2338" spans="1:10" x14ac:dyDescent="0.25">
      <c r="A2338" s="2">
        <v>407.90192667256298</v>
      </c>
      <c r="B2338" s="3">
        <v>0.32015739414849798</v>
      </c>
      <c r="C2338" s="5">
        <v>7.5807980401020198E-7</v>
      </c>
      <c r="D2338" s="6">
        <v>4.2641988975573802E-6</v>
      </c>
      <c r="E2338" s="3" t="s">
        <v>5227</v>
      </c>
      <c r="F2338" s="3" t="s">
        <v>5228</v>
      </c>
      <c r="G2338" s="3">
        <v>66352</v>
      </c>
      <c r="H2338" s="7" t="str">
        <f>HYPERLINK("http://www.ensembl.org/Mus_musculus/Gene/Summary?db=core;g=ENSMUSG00000026577","ENSMUSG00000026577")</f>
        <v>ENSMUSG00000026577</v>
      </c>
      <c r="I2338" s="7" t="str">
        <f>HYPERLINK("http://www.informatics.jax.org/marker/MGI:1201607","MGI:1201607")</f>
        <v>MGI:1201607</v>
      </c>
      <c r="J2338" s="4" t="s">
        <v>12</v>
      </c>
    </row>
    <row r="2339" spans="1:10" x14ac:dyDescent="0.25">
      <c r="A2339" s="2">
        <v>1220.2390009849601</v>
      </c>
      <c r="B2339" s="3">
        <v>0.31990977906210799</v>
      </c>
      <c r="C2339" s="3">
        <v>1.2195496392133701E-3</v>
      </c>
      <c r="D2339" s="4">
        <v>4.2233242794558999E-3</v>
      </c>
      <c r="E2339" s="3" t="s">
        <v>12366</v>
      </c>
      <c r="F2339" s="3" t="s">
        <v>12367</v>
      </c>
      <c r="G2339" s="3">
        <v>20444</v>
      </c>
      <c r="H2339" s="7" t="str">
        <f>HYPERLINK("http://www.ensembl.org/Mus_musculus/Gene/Summary?db=core;g=ENSMUSG00000031749","ENSMUSG00000031749")</f>
        <v>ENSMUSG00000031749</v>
      </c>
      <c r="I2339" s="7" t="str">
        <f>HYPERLINK("http://www.informatics.jax.org/marker/MGI:99427","MGI:99427")</f>
        <v>MGI:99427</v>
      </c>
      <c r="J2339" s="4" t="s">
        <v>12</v>
      </c>
    </row>
    <row r="2340" spans="1:10" x14ac:dyDescent="0.25">
      <c r="A2340" s="2">
        <v>1305.2122324776999</v>
      </c>
      <c r="B2340" s="3">
        <v>0.31981221571104401</v>
      </c>
      <c r="C2340" s="5">
        <v>1.15510131016544E-9</v>
      </c>
      <c r="D2340" s="6">
        <v>8.8975999060714705E-9</v>
      </c>
      <c r="E2340" s="3" t="s">
        <v>4609</v>
      </c>
      <c r="F2340" s="3" t="s">
        <v>4610</v>
      </c>
      <c r="G2340" s="3">
        <v>229517</v>
      </c>
      <c r="H2340" s="7" t="str">
        <f>HYPERLINK("http://www.ensembl.org/Mus_musculus/Gene/Summary?db=core;g=ENSMUSG00000050144","ENSMUSG00000050144")</f>
        <v>ENSMUSG00000050144</v>
      </c>
      <c r="I2340" s="7" t="str">
        <f>HYPERLINK("http://www.informatics.jax.org/marker/MGI:2444391","MGI:2444391")</f>
        <v>MGI:2444391</v>
      </c>
      <c r="J2340" s="4" t="s">
        <v>12</v>
      </c>
    </row>
    <row r="2341" spans="1:10" x14ac:dyDescent="0.25">
      <c r="A2341" s="2">
        <v>306.04013866661103</v>
      </c>
      <c r="B2341" s="3">
        <v>0.319731939843729</v>
      </c>
      <c r="C2341" s="3">
        <v>1.1373773753398601E-2</v>
      </c>
      <c r="D2341" s="4">
        <v>3.1464333129279001E-2</v>
      </c>
      <c r="E2341" s="3" t="s">
        <v>9117</v>
      </c>
      <c r="F2341" s="3" t="s">
        <v>9118</v>
      </c>
      <c r="G2341" s="3">
        <v>56699</v>
      </c>
      <c r="H2341" s="7" t="str">
        <f>HYPERLINK("http://www.ensembl.org/Mus_musculus/Gene/Summary?db=core;g=ENSMUSG00000041598","ENSMUSG00000041598")</f>
        <v>ENSMUSG00000041598</v>
      </c>
      <c r="I2341" s="7" t="str">
        <f>HYPERLINK("http://www.informatics.jax.org/marker/MGI:1929760","MGI:1929760")</f>
        <v>MGI:1929760</v>
      </c>
      <c r="J2341" s="4" t="s">
        <v>12</v>
      </c>
    </row>
    <row r="2342" spans="1:10" x14ac:dyDescent="0.25">
      <c r="A2342" s="2">
        <v>3550.9829579062898</v>
      </c>
      <c r="B2342" s="3">
        <v>0.31949047549659099</v>
      </c>
      <c r="C2342" s="5">
        <v>3.2666892460663503E-8</v>
      </c>
      <c r="D2342" s="6">
        <v>2.1508457915303199E-7</v>
      </c>
      <c r="E2342" s="3" t="s">
        <v>5303</v>
      </c>
      <c r="F2342" s="3" t="s">
        <v>5304</v>
      </c>
      <c r="G2342" s="3">
        <v>22123</v>
      </c>
      <c r="H2342" s="7" t="str">
        <f>HYPERLINK("http://www.ensembl.org/Mus_musculus/Gene/Summary?db=core;g=ENSMUSG00000017221","ENSMUSG00000017221")</f>
        <v>ENSMUSG00000017221</v>
      </c>
      <c r="I2342" s="7" t="str">
        <f>HYPERLINK("http://www.informatics.jax.org/marker/MGI:98858","MGI:98858")</f>
        <v>MGI:98858</v>
      </c>
      <c r="J2342" s="4" t="s">
        <v>12</v>
      </c>
    </row>
    <row r="2343" spans="1:10" x14ac:dyDescent="0.25">
      <c r="A2343" s="2">
        <v>328.16714158223198</v>
      </c>
      <c r="B2343" s="3">
        <v>0.31938564418390603</v>
      </c>
      <c r="C2343" s="3">
        <v>2.1514434770682099E-3</v>
      </c>
      <c r="D2343" s="4">
        <v>7.0687677288486803E-3</v>
      </c>
      <c r="E2343" s="3" t="s">
        <v>12751</v>
      </c>
      <c r="F2343" s="3" t="s">
        <v>12752</v>
      </c>
      <c r="G2343" s="3">
        <v>71865</v>
      </c>
      <c r="H2343" s="7" t="str">
        <f>HYPERLINK("http://www.ensembl.org/Mus_musculus/Gene/Summary?db=core;g=ENSMUSG00000047648","ENSMUSG00000047648")</f>
        <v>ENSMUSG00000047648</v>
      </c>
      <c r="I2343" s="7" t="str">
        <f>HYPERLINK("http://www.informatics.jax.org/marker/MGI:1919115","MGI:1919115")</f>
        <v>MGI:1919115</v>
      </c>
      <c r="J2343" s="4" t="s">
        <v>12</v>
      </c>
    </row>
    <row r="2344" spans="1:10" x14ac:dyDescent="0.25">
      <c r="A2344" s="2">
        <v>1333.41500052216</v>
      </c>
      <c r="B2344" s="3">
        <v>0.31913642139971499</v>
      </c>
      <c r="C2344" s="5">
        <v>1.9937995540936099E-9</v>
      </c>
      <c r="D2344" s="6">
        <v>1.4959652891459899E-8</v>
      </c>
      <c r="E2344" s="3" t="s">
        <v>13511</v>
      </c>
      <c r="F2344" s="3" t="s">
        <v>13512</v>
      </c>
      <c r="G2344" s="3">
        <v>66687</v>
      </c>
      <c r="H2344" s="7" t="str">
        <f>HYPERLINK("http://www.ensembl.org/Mus_musculus/Gene/Summary?db=core;g=ENSMUSG00000020130","ENSMUSG00000020130")</f>
        <v>ENSMUSG00000020130</v>
      </c>
      <c r="I2344" s="7" t="str">
        <f>HYPERLINK("http://www.informatics.jax.org/marker/MGI:1913937","MGI:1913937")</f>
        <v>MGI:1913937</v>
      </c>
      <c r="J2344" s="4" t="s">
        <v>12</v>
      </c>
    </row>
    <row r="2345" spans="1:10" x14ac:dyDescent="0.25">
      <c r="A2345" s="2">
        <v>1607.8098896864401</v>
      </c>
      <c r="B2345" s="3">
        <v>0.31885017134188598</v>
      </c>
      <c r="C2345" s="5">
        <v>2.3446458872385001E-10</v>
      </c>
      <c r="D2345" s="6">
        <v>1.94497821096593E-9</v>
      </c>
      <c r="E2345" s="3" t="s">
        <v>3726</v>
      </c>
      <c r="F2345" s="3" t="s">
        <v>3727</v>
      </c>
      <c r="G2345" s="3" t="s">
        <v>83</v>
      </c>
      <c r="H2345" s="7" t="str">
        <f>HYPERLINK("http://www.ensembl.org/Mus_musculus/Gene/Summary?db=core;g=ENSMUSG00000056579","ENSMUSG00000056579")</f>
        <v>ENSMUSG00000056579</v>
      </c>
      <c r="I2345" s="7" t="str">
        <f>HYPERLINK("http://www.informatics.jax.org/marker/MGI:2144114","MGI:2144114")</f>
        <v>MGI:2144114</v>
      </c>
      <c r="J2345" s="4" t="s">
        <v>12</v>
      </c>
    </row>
    <row r="2346" spans="1:10" x14ac:dyDescent="0.25">
      <c r="A2346" s="2">
        <v>203.04966934717299</v>
      </c>
      <c r="B2346" s="3">
        <v>0.31836896045927898</v>
      </c>
      <c r="C2346" s="3">
        <v>4.6305358331707802E-4</v>
      </c>
      <c r="D2346" s="4">
        <v>1.73004336940421E-3</v>
      </c>
      <c r="E2346" s="3" t="s">
        <v>9007</v>
      </c>
      <c r="F2346" s="3" t="s">
        <v>9008</v>
      </c>
      <c r="G2346" s="3">
        <v>74375</v>
      </c>
      <c r="H2346" s="7" t="str">
        <f>HYPERLINK("http://www.ensembl.org/Mus_musculus/Gene/Summary?db=core;g=ENSMUSG00000029708","ENSMUSG00000029708")</f>
        <v>ENSMUSG00000029708</v>
      </c>
      <c r="I2346" s="7" t="str">
        <f>HYPERLINK("http://www.informatics.jax.org/marker/MGI:1921625","MGI:1921625")</f>
        <v>MGI:1921625</v>
      </c>
      <c r="J2346" s="4" t="s">
        <v>12</v>
      </c>
    </row>
    <row r="2347" spans="1:10" x14ac:dyDescent="0.25">
      <c r="A2347" s="2">
        <v>951.81850389571002</v>
      </c>
      <c r="B2347" s="3">
        <v>0.31833342402158799</v>
      </c>
      <c r="C2347" s="5">
        <v>5.2913136827799902E-6</v>
      </c>
      <c r="D2347" s="6">
        <v>2.6967055891684901E-5</v>
      </c>
      <c r="E2347" s="3" t="s">
        <v>7054</v>
      </c>
      <c r="F2347" s="3" t="s">
        <v>7055</v>
      </c>
      <c r="G2347" s="3">
        <v>229541</v>
      </c>
      <c r="H2347" s="7" t="str">
        <f>HYPERLINK("http://www.ensembl.org/Mus_musculus/Gene/Summary?db=core;g=ENSMUSG00000042404","ENSMUSG00000042404")</f>
        <v>ENSMUSG00000042404</v>
      </c>
      <c r="I2347" s="7" t="str">
        <f>HYPERLINK("http://www.informatics.jax.org/marker/MGI:2446201","MGI:2446201")</f>
        <v>MGI:2446201</v>
      </c>
      <c r="J2347" s="4" t="s">
        <v>12</v>
      </c>
    </row>
    <row r="2348" spans="1:10" x14ac:dyDescent="0.25">
      <c r="A2348" s="2">
        <v>551.99479662809495</v>
      </c>
      <c r="B2348" s="3">
        <v>0.31805301390982299</v>
      </c>
      <c r="C2348" s="5">
        <v>4.5744768888886202E-7</v>
      </c>
      <c r="D2348" s="6">
        <v>2.6475021054301398E-6</v>
      </c>
      <c r="E2348" s="3" t="s">
        <v>5909</v>
      </c>
      <c r="F2348" s="3" t="s">
        <v>5910</v>
      </c>
      <c r="G2348" s="3">
        <v>14391</v>
      </c>
      <c r="H2348" s="7" t="str">
        <f>HYPERLINK("http://www.ensembl.org/Mus_musculus/Gene/Summary?db=core;g=ENSMUSG00000027361","ENSMUSG00000027361")</f>
        <v>ENSMUSG00000027361</v>
      </c>
      <c r="I2348" s="7" t="str">
        <f>HYPERLINK("http://www.informatics.jax.org/marker/MGI:95611","MGI:95611")</f>
        <v>MGI:95611</v>
      </c>
      <c r="J2348" s="4" t="s">
        <v>12</v>
      </c>
    </row>
    <row r="2349" spans="1:10" x14ac:dyDescent="0.25">
      <c r="A2349" s="2">
        <v>537.82975728279996</v>
      </c>
      <c r="B2349" s="3">
        <v>0.317620565558904</v>
      </c>
      <c r="C2349" s="5">
        <v>1.3333246933019599E-6</v>
      </c>
      <c r="D2349" s="6">
        <v>7.3236415115817304E-6</v>
      </c>
      <c r="E2349" s="3" t="s">
        <v>10438</v>
      </c>
      <c r="F2349" s="3" t="s">
        <v>10439</v>
      </c>
      <c r="G2349" s="3">
        <v>12850</v>
      </c>
      <c r="H2349" s="7" t="str">
        <f>HYPERLINK("http://www.ensembl.org/Mus_musculus/Gene/Summary?db=core;g=ENSMUSG00000030652","ENSMUSG00000030652")</f>
        <v>ENSMUSG00000030652</v>
      </c>
      <c r="I2349" s="7" t="str">
        <f>HYPERLINK("http://www.informatics.jax.org/marker/MGI:107207","MGI:107207")</f>
        <v>MGI:107207</v>
      </c>
      <c r="J2349" s="4" t="s">
        <v>12</v>
      </c>
    </row>
    <row r="2350" spans="1:10" x14ac:dyDescent="0.25">
      <c r="A2350" s="2">
        <v>711.68467972761903</v>
      </c>
      <c r="B2350" s="3">
        <v>0.31757126515055201</v>
      </c>
      <c r="C2350" s="3">
        <v>1.14278646448951E-3</v>
      </c>
      <c r="D2350" s="4">
        <v>3.9807498691363397E-3</v>
      </c>
      <c r="E2350" s="3" t="s">
        <v>12671</v>
      </c>
      <c r="F2350" s="3" t="s">
        <v>12672</v>
      </c>
      <c r="G2350" s="3">
        <v>215210</v>
      </c>
      <c r="H2350" s="7" t="str">
        <f>HYPERLINK("http://www.ensembl.org/Mus_musculus/Gene/Summary?db=core;g=ENSMUSG00000039886","ENSMUSG00000039886")</f>
        <v>ENSMUSG00000039886</v>
      </c>
      <c r="I2350" s="7" t="str">
        <f>HYPERLINK("http://www.informatics.jax.org/marker/MGI:2686991","MGI:2686991")</f>
        <v>MGI:2686991</v>
      </c>
      <c r="J2350" s="4" t="s">
        <v>12</v>
      </c>
    </row>
    <row r="2351" spans="1:10" x14ac:dyDescent="0.25">
      <c r="A2351" s="2">
        <v>188.62857672400301</v>
      </c>
      <c r="B2351" s="3">
        <v>0.31750455345255202</v>
      </c>
      <c r="C2351" s="3">
        <v>1.40171215553616E-3</v>
      </c>
      <c r="D2351" s="4">
        <v>4.7965084556227102E-3</v>
      </c>
      <c r="E2351" s="3" t="s">
        <v>7878</v>
      </c>
      <c r="F2351" s="3" t="s">
        <v>7879</v>
      </c>
      <c r="G2351" s="3">
        <v>21899</v>
      </c>
      <c r="H2351" s="7" t="str">
        <f>HYPERLINK("http://www.ensembl.org/Mus_musculus/Gene/Summary?db=core;g=ENSMUSG00000051498","ENSMUSG00000051498")</f>
        <v>ENSMUSG00000051498</v>
      </c>
      <c r="I2351" s="7" t="str">
        <f>HYPERLINK("http://www.informatics.jax.org/marker/MGI:1341296","MGI:1341296")</f>
        <v>MGI:1341296</v>
      </c>
      <c r="J2351" s="4" t="s">
        <v>12</v>
      </c>
    </row>
    <row r="2352" spans="1:10" x14ac:dyDescent="0.25">
      <c r="A2352" s="2">
        <v>3855.6316647768499</v>
      </c>
      <c r="B2352" s="3">
        <v>0.31724084002010799</v>
      </c>
      <c r="C2352" s="5">
        <v>7.62900355456938E-19</v>
      </c>
      <c r="D2352" s="6">
        <v>1.1265161251988201E-17</v>
      </c>
      <c r="E2352" s="3" t="s">
        <v>2197</v>
      </c>
      <c r="F2352" s="3" t="s">
        <v>2198</v>
      </c>
      <c r="G2352" s="3">
        <v>56085</v>
      </c>
      <c r="H2352" s="7" t="str">
        <f>HYPERLINK("http://www.ensembl.org/Mus_musculus/Gene/Summary?db=core;g=ENSMUSG00000005312","ENSMUSG00000005312")</f>
        <v>ENSMUSG00000005312</v>
      </c>
      <c r="I2352" s="7" t="str">
        <f>HYPERLINK("http://www.informatics.jax.org/marker/MGI:1860276","MGI:1860276")</f>
        <v>MGI:1860276</v>
      </c>
      <c r="J2352" s="4" t="s">
        <v>12</v>
      </c>
    </row>
    <row r="2353" spans="1:10" x14ac:dyDescent="0.25">
      <c r="A2353" s="2">
        <v>192.16603122083501</v>
      </c>
      <c r="B2353" s="3">
        <v>0.31711075091081298</v>
      </c>
      <c r="C2353" s="3">
        <v>1.4656919519259E-2</v>
      </c>
      <c r="D2353" s="4">
        <v>3.93811526225116E-2</v>
      </c>
      <c r="E2353" s="3" t="s">
        <v>9311</v>
      </c>
      <c r="F2353" s="3" t="s">
        <v>9312</v>
      </c>
      <c r="G2353" s="3" t="s">
        <v>83</v>
      </c>
      <c r="H2353" s="7" t="str">
        <f>HYPERLINK("http://www.ensembl.org/Mus_musculus/Gene/Summary?db=core;g=ENSMUSG00000110605","ENSMUSG00000110605")</f>
        <v>ENSMUSG00000110605</v>
      </c>
      <c r="I2353" s="7" t="str">
        <f>HYPERLINK("http://www.informatics.jax.org/marker/MGI:5592015","MGI:5592015")</f>
        <v>MGI:5592015</v>
      </c>
      <c r="J2353" s="4" t="s">
        <v>939</v>
      </c>
    </row>
    <row r="2354" spans="1:10" x14ac:dyDescent="0.25">
      <c r="A2354" s="2">
        <v>673.38331934874498</v>
      </c>
      <c r="B2354" s="3">
        <v>0.31705268078969301</v>
      </c>
      <c r="C2354" s="5">
        <v>7.9931628867435101E-7</v>
      </c>
      <c r="D2354" s="6">
        <v>4.4892263054206596E-6</v>
      </c>
      <c r="E2354" s="3" t="s">
        <v>6201</v>
      </c>
      <c r="F2354" s="3" t="s">
        <v>6202</v>
      </c>
      <c r="G2354" s="3">
        <v>54645</v>
      </c>
      <c r="H2354" s="7" t="str">
        <f>HYPERLINK("http://www.ensembl.org/Mus_musculus/Gene/Summary?db=core;g=ENSMUSG00000031153","ENSMUSG00000031153")</f>
        <v>ENSMUSG00000031153</v>
      </c>
      <c r="I2354" s="7" t="str">
        <f>HYPERLINK("http://www.informatics.jax.org/marker/MGI:1859616","MGI:1859616")</f>
        <v>MGI:1859616</v>
      </c>
      <c r="J2354" s="4" t="s">
        <v>12</v>
      </c>
    </row>
    <row r="2355" spans="1:10" x14ac:dyDescent="0.25">
      <c r="A2355" s="2">
        <v>820.18223546609897</v>
      </c>
      <c r="B2355" s="3">
        <v>0.31668838644665998</v>
      </c>
      <c r="C2355" s="5">
        <v>3.3156188342458899E-10</v>
      </c>
      <c r="D2355" s="6">
        <v>2.70488600063256E-9</v>
      </c>
      <c r="E2355" s="3" t="s">
        <v>6734</v>
      </c>
      <c r="F2355" s="3" t="s">
        <v>6735</v>
      </c>
      <c r="G2355" s="3">
        <v>20021</v>
      </c>
      <c r="H2355" s="7" t="str">
        <f>HYPERLINK("http://www.ensembl.org/Mus_musculus/Gene/Summary?db=core;g=ENSMUSG00000031783","ENSMUSG00000031783")</f>
        <v>ENSMUSG00000031783</v>
      </c>
      <c r="I2355" s="7" t="str">
        <f>HYPERLINK("http://www.informatics.jax.org/marker/MGI:109299","MGI:109299")</f>
        <v>MGI:109299</v>
      </c>
      <c r="J2355" s="4" t="s">
        <v>12</v>
      </c>
    </row>
    <row r="2356" spans="1:10" x14ac:dyDescent="0.25">
      <c r="A2356" s="2">
        <v>1986.8468928387899</v>
      </c>
      <c r="B2356" s="3">
        <v>0.31646562716815302</v>
      </c>
      <c r="C2356" s="5">
        <v>8.3729592232100905E-10</v>
      </c>
      <c r="D2356" s="6">
        <v>6.5661437970311497E-9</v>
      </c>
      <c r="E2356" s="3" t="s">
        <v>6910</v>
      </c>
      <c r="F2356" s="3" t="s">
        <v>6911</v>
      </c>
      <c r="G2356" s="3">
        <v>19173</v>
      </c>
      <c r="H2356" s="7" t="str">
        <f>HYPERLINK("http://www.ensembl.org/Mus_musculus/Gene/Summary?db=core;g=ENSMUSG00000022193","ENSMUSG00000022193")</f>
        <v>ENSMUSG00000022193</v>
      </c>
      <c r="I2356" s="7" t="str">
        <f>HYPERLINK("http://www.informatics.jax.org/marker/MGI:1194513","MGI:1194513")</f>
        <v>MGI:1194513</v>
      </c>
      <c r="J2356" s="4" t="s">
        <v>12</v>
      </c>
    </row>
    <row r="2357" spans="1:10" x14ac:dyDescent="0.25">
      <c r="A2357" s="2">
        <v>4154.3189876224196</v>
      </c>
      <c r="B2357" s="3">
        <v>0.31615494723561799</v>
      </c>
      <c r="C2357" s="3">
        <v>8.4371122779039204E-4</v>
      </c>
      <c r="D2357" s="4">
        <v>3.0073610652219598E-3</v>
      </c>
      <c r="E2357" s="3" t="s">
        <v>13709</v>
      </c>
      <c r="F2357" s="3" t="s">
        <v>13710</v>
      </c>
      <c r="G2357" s="3">
        <v>353172</v>
      </c>
      <c r="H2357" s="7" t="str">
        <f>HYPERLINK("http://www.ensembl.org/Mus_musculus/Gene/Summary?db=core;g=ENSMUSG00000029777","ENSMUSG00000029777")</f>
        <v>ENSMUSG00000029777</v>
      </c>
      <c r="I2357" s="7" t="str">
        <f>HYPERLINK("http://www.informatics.jax.org/marker/MGI:2449057","MGI:2449057")</f>
        <v>MGI:2449057</v>
      </c>
      <c r="J2357" s="4" t="s">
        <v>12</v>
      </c>
    </row>
    <row r="2358" spans="1:10" x14ac:dyDescent="0.25">
      <c r="A2358" s="2">
        <v>13023.230639006</v>
      </c>
      <c r="B2358" s="3">
        <v>0.31601300240545299</v>
      </c>
      <c r="C2358" s="5">
        <v>1.03667550381476E-11</v>
      </c>
      <c r="D2358" s="6">
        <v>9.6198630636578695E-11</v>
      </c>
      <c r="E2358" s="3" t="s">
        <v>9367</v>
      </c>
      <c r="F2358" s="3" t="s">
        <v>9368</v>
      </c>
      <c r="G2358" s="3">
        <v>19261</v>
      </c>
      <c r="H2358" s="7" t="str">
        <f>HYPERLINK("http://www.ensembl.org/Mus_musculus/Gene/Summary?db=core;g=ENSMUSG00000037902","ENSMUSG00000037902")</f>
        <v>ENSMUSG00000037902</v>
      </c>
      <c r="I2358" s="7" t="str">
        <f>HYPERLINK("http://www.informatics.jax.org/marker/MGI:108563","MGI:108563")</f>
        <v>MGI:108563</v>
      </c>
      <c r="J2358" s="4" t="s">
        <v>12</v>
      </c>
    </row>
    <row r="2359" spans="1:10" x14ac:dyDescent="0.25">
      <c r="A2359" s="2">
        <v>2033.85379091235</v>
      </c>
      <c r="B2359" s="3">
        <v>0.31585562447715798</v>
      </c>
      <c r="C2359" s="3">
        <v>1.02699128296371E-4</v>
      </c>
      <c r="D2359" s="4">
        <v>4.2869711708689001E-4</v>
      </c>
      <c r="E2359" s="3" t="s">
        <v>6894</v>
      </c>
      <c r="F2359" s="3" t="s">
        <v>6895</v>
      </c>
      <c r="G2359" s="3">
        <v>22778</v>
      </c>
      <c r="H2359" s="7" t="str">
        <f>HYPERLINK("http://www.ensembl.org/Mus_musculus/Gene/Summary?db=core;g=ENSMUSG00000018654","ENSMUSG00000018654")</f>
        <v>ENSMUSG00000018654</v>
      </c>
      <c r="I2359" s="7" t="str">
        <f>HYPERLINK("http://www.informatics.jax.org/marker/MGI:1342540","MGI:1342540")</f>
        <v>MGI:1342540</v>
      </c>
      <c r="J2359" s="4" t="s">
        <v>12</v>
      </c>
    </row>
    <row r="2360" spans="1:10" x14ac:dyDescent="0.25">
      <c r="A2360" s="2">
        <v>7979.1465683972301</v>
      </c>
      <c r="B2360" s="3">
        <v>0.31583968777011201</v>
      </c>
      <c r="C2360" s="5">
        <v>1.2939513757057599E-8</v>
      </c>
      <c r="D2360" s="6">
        <v>8.9259136344578002E-8</v>
      </c>
      <c r="E2360" s="3" t="s">
        <v>3612</v>
      </c>
      <c r="F2360" s="3" t="s">
        <v>3613</v>
      </c>
      <c r="G2360" s="3">
        <v>56200</v>
      </c>
      <c r="H2360" s="7" t="str">
        <f>HYPERLINK("http://www.ensembl.org/Mus_musculus/Gene/Summary?db=core;g=ENSMUSG00000020075","ENSMUSG00000020075")</f>
        <v>ENSMUSG00000020075</v>
      </c>
      <c r="I2360" s="7" t="str">
        <f>HYPERLINK("http://www.informatics.jax.org/marker/MGI:1860494","MGI:1860494")</f>
        <v>MGI:1860494</v>
      </c>
      <c r="J2360" s="4" t="s">
        <v>12</v>
      </c>
    </row>
    <row r="2361" spans="1:10" x14ac:dyDescent="0.25">
      <c r="A2361" s="2">
        <v>1203.23714234248</v>
      </c>
      <c r="B2361" s="3">
        <v>0.31571862039243198</v>
      </c>
      <c r="C2361" s="5">
        <v>8.2602220283496393E-12</v>
      </c>
      <c r="D2361" s="6">
        <v>7.7359993045566402E-11</v>
      </c>
      <c r="E2361" s="3" t="s">
        <v>2523</v>
      </c>
      <c r="F2361" s="3" t="s">
        <v>2524</v>
      </c>
      <c r="G2361" s="3">
        <v>217011</v>
      </c>
      <c r="H2361" s="7" t="str">
        <f>HYPERLINK("http://www.ensembl.org/Mus_musculus/Gene/Summary?db=core;g=ENSMUSG00000020692","ENSMUSG00000020692")</f>
        <v>ENSMUSG00000020692</v>
      </c>
      <c r="I2361" s="7" t="str">
        <f>HYPERLINK("http://www.informatics.jax.org/marker/MGI:2429770","MGI:2429770")</f>
        <v>MGI:2429770</v>
      </c>
      <c r="J2361" s="4" t="s">
        <v>12</v>
      </c>
    </row>
    <row r="2362" spans="1:10" x14ac:dyDescent="0.25">
      <c r="A2362" s="2">
        <v>2209.7047673617399</v>
      </c>
      <c r="B2362" s="3">
        <v>0.315678388745808</v>
      </c>
      <c r="C2362" s="5">
        <v>4.9210357413542502E-8</v>
      </c>
      <c r="D2362" s="6">
        <v>3.16463925145311E-7</v>
      </c>
      <c r="E2362" s="3" t="s">
        <v>4395</v>
      </c>
      <c r="F2362" s="3" t="s">
        <v>4396</v>
      </c>
      <c r="G2362" s="3">
        <v>67812</v>
      </c>
      <c r="H2362" s="7" t="str">
        <f>HYPERLINK("http://www.ensembl.org/Mus_musculus/Gene/Summary?db=core;g=ENSMUSG00000026353","ENSMUSG00000026353")</f>
        <v>ENSMUSG00000026353</v>
      </c>
      <c r="I2362" s="7" t="str">
        <f>HYPERLINK("http://www.informatics.jax.org/marker/MGI:1915062","MGI:1915062")</f>
        <v>MGI:1915062</v>
      </c>
      <c r="J2362" s="4" t="s">
        <v>12</v>
      </c>
    </row>
    <row r="2363" spans="1:10" x14ac:dyDescent="0.25">
      <c r="A2363" s="2">
        <v>1997.22201707774</v>
      </c>
      <c r="B2363" s="3">
        <v>0.315626966074599</v>
      </c>
      <c r="C2363" s="5">
        <v>3.7869289593299499E-8</v>
      </c>
      <c r="D2363" s="6">
        <v>2.4640050083466002E-7</v>
      </c>
      <c r="E2363" s="3" t="s">
        <v>4239</v>
      </c>
      <c r="F2363" s="3" t="s">
        <v>4240</v>
      </c>
      <c r="G2363" s="3">
        <v>66249</v>
      </c>
      <c r="H2363" s="7" t="str">
        <f>HYPERLINK("http://www.ensembl.org/Mus_musculus/Gene/Summary?db=core;g=ENSMUSG00000020116","ENSMUSG00000020116")</f>
        <v>ENSMUSG00000020116</v>
      </c>
      <c r="I2363" s="7" t="str">
        <f>HYPERLINK("http://www.informatics.jax.org/marker/MGI:1913499","MGI:1913499")</f>
        <v>MGI:1913499</v>
      </c>
      <c r="J2363" s="4" t="s">
        <v>12</v>
      </c>
    </row>
    <row r="2364" spans="1:10" x14ac:dyDescent="0.25">
      <c r="A2364" s="2">
        <v>996.87485518475899</v>
      </c>
      <c r="B2364" s="3">
        <v>0.31560733031944199</v>
      </c>
      <c r="C2364" s="5">
        <v>2.0273447841974001E-7</v>
      </c>
      <c r="D2364" s="6">
        <v>1.2291536491017201E-6</v>
      </c>
      <c r="E2364" s="3" t="s">
        <v>3932</v>
      </c>
      <c r="F2364" s="3" t="s">
        <v>3933</v>
      </c>
      <c r="G2364" s="3">
        <v>67010</v>
      </c>
      <c r="H2364" s="7" t="str">
        <f>HYPERLINK("http://www.ensembl.org/Mus_musculus/Gene/Summary?db=core;g=ENSMUSG00000042396","ENSMUSG00000042396")</f>
        <v>ENSMUSG00000042396</v>
      </c>
      <c r="I2364" s="7" t="str">
        <f>HYPERLINK("http://www.informatics.jax.org/marker/MGI:1914260","MGI:1914260")</f>
        <v>MGI:1914260</v>
      </c>
      <c r="J2364" s="4" t="s">
        <v>12</v>
      </c>
    </row>
    <row r="2365" spans="1:10" x14ac:dyDescent="0.25">
      <c r="A2365" s="2">
        <v>73.163339250560597</v>
      </c>
      <c r="B2365" s="3">
        <v>0.31557392358821401</v>
      </c>
      <c r="C2365" s="3">
        <v>0.14541673450043299</v>
      </c>
      <c r="D2365" s="4">
        <v>0.27517599275987897</v>
      </c>
      <c r="E2365" s="3" t="s">
        <v>12465</v>
      </c>
      <c r="F2365" s="3" t="s">
        <v>12466</v>
      </c>
      <c r="G2365" s="3">
        <v>54525</v>
      </c>
      <c r="H2365" s="7" t="str">
        <f>HYPERLINK("http://www.ensembl.org/Mus_musculus/Gene/Summary?db=core;g=ENSMUSG00000024743","ENSMUSG00000024743")</f>
        <v>ENSMUSG00000024743</v>
      </c>
      <c r="I2365" s="7" t="str">
        <f>HYPERLINK("http://www.informatics.jax.org/marker/MGI:1859545","MGI:1859545")</f>
        <v>MGI:1859545</v>
      </c>
      <c r="J2365" s="4" t="s">
        <v>12</v>
      </c>
    </row>
    <row r="2366" spans="1:10" x14ac:dyDescent="0.25">
      <c r="A2366" s="2">
        <v>3513.7299220764999</v>
      </c>
      <c r="B2366" s="3">
        <v>0.315571334054356</v>
      </c>
      <c r="C2366" s="5">
        <v>3.1235321535472802E-5</v>
      </c>
      <c r="D2366" s="4">
        <v>1.41678381031357E-4</v>
      </c>
      <c r="E2366" s="3" t="s">
        <v>11209</v>
      </c>
      <c r="F2366" s="3" t="s">
        <v>11210</v>
      </c>
      <c r="G2366" s="3">
        <v>67427</v>
      </c>
      <c r="H2366" s="7" t="str">
        <f>HYPERLINK("http://www.ensembl.org/Mus_musculus/Gene/Summary?db=core;g=ENSMUSG00000028234","ENSMUSG00000028234")</f>
        <v>ENSMUSG00000028234</v>
      </c>
      <c r="I2366" s="7" t="str">
        <f>HYPERLINK("http://www.informatics.jax.org/marker/MGI:1914677","MGI:1914677")</f>
        <v>MGI:1914677</v>
      </c>
      <c r="J2366" s="4" t="s">
        <v>12</v>
      </c>
    </row>
    <row r="2367" spans="1:10" x14ac:dyDescent="0.25">
      <c r="A2367" s="2">
        <v>1331.9082317294401</v>
      </c>
      <c r="B2367" s="3">
        <v>0.315499578360317</v>
      </c>
      <c r="C2367" s="5">
        <v>2.4647751624049702E-7</v>
      </c>
      <c r="D2367" s="6">
        <v>1.47862170292398E-6</v>
      </c>
      <c r="E2367" s="3" t="s">
        <v>4911</v>
      </c>
      <c r="F2367" s="3" t="s">
        <v>4912</v>
      </c>
      <c r="G2367" s="3">
        <v>67845</v>
      </c>
      <c r="H2367" s="7" t="str">
        <f>HYPERLINK("http://www.ensembl.org/Mus_musculus/Gene/Summary?db=core;g=ENSMUSG00000028098","ENSMUSG00000028098")</f>
        <v>ENSMUSG00000028098</v>
      </c>
      <c r="I2367" s="7" t="str">
        <f>HYPERLINK("http://www.informatics.jax.org/marker/MGI:1915095","MGI:1915095")</f>
        <v>MGI:1915095</v>
      </c>
      <c r="J2367" s="4" t="s">
        <v>12</v>
      </c>
    </row>
    <row r="2368" spans="1:10" x14ac:dyDescent="0.25">
      <c r="A2368" s="2">
        <v>259.98234075334801</v>
      </c>
      <c r="B2368" s="3">
        <v>0.31545685189426897</v>
      </c>
      <c r="C2368" s="3">
        <v>8.3935692200190308E-3</v>
      </c>
      <c r="D2368" s="4">
        <v>2.3991969735703701E-2</v>
      </c>
      <c r="E2368" s="3" t="s">
        <v>10674</v>
      </c>
      <c r="F2368" s="3" t="s">
        <v>10675</v>
      </c>
      <c r="G2368" s="3">
        <v>208638</v>
      </c>
      <c r="H2368" s="7" t="str">
        <f>HYPERLINK("http://www.ensembl.org/Mus_musculus/Gene/Summary?db=core;g=ENSMUSG00000032519","ENSMUSG00000032519")</f>
        <v>ENSMUSG00000032519</v>
      </c>
      <c r="I2368" s="7" t="str">
        <f>HYPERLINK("http://www.informatics.jax.org/marker/MGI:2384782","MGI:2384782")</f>
        <v>MGI:2384782</v>
      </c>
      <c r="J2368" s="4" t="s">
        <v>12</v>
      </c>
    </row>
    <row r="2369" spans="1:10" x14ac:dyDescent="0.25">
      <c r="A2369" s="2">
        <v>581.04410555774405</v>
      </c>
      <c r="B2369" s="3">
        <v>0.31520134794823801</v>
      </c>
      <c r="C2369" s="3">
        <v>1.68706556368119E-4</v>
      </c>
      <c r="D2369" s="4">
        <v>6.7873664234193701E-4</v>
      </c>
      <c r="E2369" s="3" t="s">
        <v>4229</v>
      </c>
      <c r="F2369" s="3" t="s">
        <v>4230</v>
      </c>
      <c r="G2369" s="3" t="s">
        <v>83</v>
      </c>
      <c r="H2369" s="7" t="str">
        <f>HYPERLINK("http://www.ensembl.org/Mus_musculus/Gene/Summary?db=core;g=ENSMUSG00000074578","ENSMUSG00000074578")</f>
        <v>ENSMUSG00000074578</v>
      </c>
      <c r="I2369" s="7" t="str">
        <f>HYPERLINK("http://www.informatics.jax.org/marker/MGI:1916199","MGI:1916199")</f>
        <v>MGI:1916199</v>
      </c>
      <c r="J2369" s="4" t="s">
        <v>331</v>
      </c>
    </row>
    <row r="2370" spans="1:10" x14ac:dyDescent="0.25">
      <c r="A2370" s="2">
        <v>2791.45393127019</v>
      </c>
      <c r="B2370" s="3">
        <v>0.31497992409013797</v>
      </c>
      <c r="C2370" s="5">
        <v>3.00952465280319E-10</v>
      </c>
      <c r="D2370" s="6">
        <v>2.4728848871658301E-9</v>
      </c>
      <c r="E2370" s="3" t="s">
        <v>5785</v>
      </c>
      <c r="F2370" s="3" t="s">
        <v>5786</v>
      </c>
      <c r="G2370" s="3">
        <v>22375</v>
      </c>
      <c r="H2370" s="7" t="str">
        <f>HYPERLINK("http://www.ensembl.org/Mus_musculus/Gene/Summary?db=core;g=ENSMUSG00000021266","ENSMUSG00000021266")</f>
        <v>ENSMUSG00000021266</v>
      </c>
      <c r="I2370" s="7" t="str">
        <f>HYPERLINK("http://www.informatics.jax.org/marker/MGI:104630","MGI:104630")</f>
        <v>MGI:104630</v>
      </c>
      <c r="J2370" s="4" t="s">
        <v>12</v>
      </c>
    </row>
    <row r="2371" spans="1:10" x14ac:dyDescent="0.25">
      <c r="A2371" s="2">
        <v>4599.3517424847396</v>
      </c>
      <c r="B2371" s="3">
        <v>0.31482474908491498</v>
      </c>
      <c r="C2371" s="5">
        <v>4.3978335946236199E-19</v>
      </c>
      <c r="D2371" s="6">
        <v>6.5805022382607103E-18</v>
      </c>
      <c r="E2371" s="3" t="s">
        <v>2223</v>
      </c>
      <c r="F2371" s="3" t="s">
        <v>2224</v>
      </c>
      <c r="G2371" s="3">
        <v>19052</v>
      </c>
      <c r="H2371" s="7" t="str">
        <f>HYPERLINK("http://www.ensembl.org/Mus_musculus/Gene/Summary?db=core;g=ENSMUSG00000020349","ENSMUSG00000020349")</f>
        <v>ENSMUSG00000020349</v>
      </c>
      <c r="I2371" s="7" t="str">
        <f>HYPERLINK("http://www.informatics.jax.org/marker/MGI:1321159","MGI:1321159")</f>
        <v>MGI:1321159</v>
      </c>
      <c r="J2371" s="4" t="s">
        <v>12</v>
      </c>
    </row>
    <row r="2372" spans="1:10" x14ac:dyDescent="0.25">
      <c r="A2372" s="2">
        <v>1896.9416004233001</v>
      </c>
      <c r="B2372" s="3">
        <v>0.31456962715881698</v>
      </c>
      <c r="C2372" s="5">
        <v>1.20969845276002E-9</v>
      </c>
      <c r="D2372" s="6">
        <v>9.2985045556944101E-9</v>
      </c>
      <c r="E2372" s="3" t="s">
        <v>5519</v>
      </c>
      <c r="F2372" s="3" t="s">
        <v>5520</v>
      </c>
      <c r="G2372" s="3">
        <v>22763</v>
      </c>
      <c r="H2372" s="7" t="str">
        <f>HYPERLINK("http://www.ensembl.org/Mus_musculus/Gene/Summary?db=core;g=ENSMUSG00000022201","ENSMUSG00000022201")</f>
        <v>ENSMUSG00000022201</v>
      </c>
      <c r="I2372" s="7" t="str">
        <f>HYPERLINK("http://www.informatics.jax.org/marker/MGI:1341890","MGI:1341890")</f>
        <v>MGI:1341890</v>
      </c>
      <c r="J2372" s="4" t="s">
        <v>12</v>
      </c>
    </row>
    <row r="2373" spans="1:10" x14ac:dyDescent="0.25">
      <c r="A2373" s="2">
        <v>217.86813479571401</v>
      </c>
      <c r="B2373" s="3">
        <v>0.31440314128520502</v>
      </c>
      <c r="C2373" s="3">
        <v>5.29499838919261E-3</v>
      </c>
      <c r="D2373" s="4">
        <v>1.58432680418709E-2</v>
      </c>
      <c r="E2373" s="3" t="s">
        <v>7554</v>
      </c>
      <c r="F2373" s="3" t="s">
        <v>7555</v>
      </c>
      <c r="G2373" s="3">
        <v>67742</v>
      </c>
      <c r="H2373" s="7" t="str">
        <f>HYPERLINK("http://www.ensembl.org/Mus_musculus/Gene/Summary?db=core;g=ENSMUSG00000022876","ENSMUSG00000022876")</f>
        <v>ENSMUSG00000022876</v>
      </c>
      <c r="I2373" s="7" t="str">
        <f>HYPERLINK("http://www.informatics.jax.org/marker/MGI:1914992","MGI:1914992")</f>
        <v>MGI:1914992</v>
      </c>
      <c r="J2373" s="4" t="s">
        <v>12</v>
      </c>
    </row>
    <row r="2374" spans="1:10" x14ac:dyDescent="0.25">
      <c r="A2374" s="2">
        <v>332.118666237215</v>
      </c>
      <c r="B2374" s="3">
        <v>0.31417841672816399</v>
      </c>
      <c r="C2374" s="5">
        <v>6.0418159207173501E-6</v>
      </c>
      <c r="D2374" s="6">
        <v>3.0527334392867699E-5</v>
      </c>
      <c r="E2374" s="3" t="s">
        <v>11305</v>
      </c>
      <c r="F2374" s="3" t="s">
        <v>11306</v>
      </c>
      <c r="G2374" s="3">
        <v>15500</v>
      </c>
      <c r="H2374" s="7" t="str">
        <f>HYPERLINK("http://www.ensembl.org/Mus_musculus/Gene/Summary?db=core;g=ENSMUSG00000019878","ENSMUSG00000019878")</f>
        <v>ENSMUSG00000019878</v>
      </c>
      <c r="I2374" s="7" t="str">
        <f>HYPERLINK("http://www.informatics.jax.org/marker/MGI:96239","MGI:96239")</f>
        <v>MGI:96239</v>
      </c>
      <c r="J2374" s="4" t="s">
        <v>12</v>
      </c>
    </row>
    <row r="2375" spans="1:10" x14ac:dyDescent="0.25">
      <c r="A2375" s="2">
        <v>273.59737169882499</v>
      </c>
      <c r="B2375" s="3">
        <v>0.31416880563314098</v>
      </c>
      <c r="C2375" s="5">
        <v>6.4581573061910598E-5</v>
      </c>
      <c r="D2375" s="4">
        <v>2.7805319372863698E-4</v>
      </c>
      <c r="E2375" s="3" t="s">
        <v>13989</v>
      </c>
      <c r="F2375" s="3" t="s">
        <v>13990</v>
      </c>
      <c r="G2375" s="3">
        <v>72709</v>
      </c>
      <c r="H2375" s="7" t="str">
        <f>HYPERLINK("http://www.ensembl.org/Mus_musculus/Gene/Summary?db=core;g=ENSMUSG00000022440","ENSMUSG00000022440")</f>
        <v>ENSMUSG00000022440</v>
      </c>
      <c r="I2375" s="7" t="str">
        <f>HYPERLINK("http://www.informatics.jax.org/marker/MGI:1919959","MGI:1919959")</f>
        <v>MGI:1919959</v>
      </c>
      <c r="J2375" s="4" t="s">
        <v>12</v>
      </c>
    </row>
    <row r="2376" spans="1:10" x14ac:dyDescent="0.25">
      <c r="A2376" s="2">
        <v>899.47495342277898</v>
      </c>
      <c r="B2376" s="3">
        <v>0.314109866495974</v>
      </c>
      <c r="C2376" s="5">
        <v>8.7326310466551302E-6</v>
      </c>
      <c r="D2376" s="6">
        <v>4.3095640624232197E-5</v>
      </c>
      <c r="E2376" s="3" t="s">
        <v>4885</v>
      </c>
      <c r="F2376" s="3" t="s">
        <v>4886</v>
      </c>
      <c r="G2376" s="3">
        <v>56613</v>
      </c>
      <c r="H2376" s="7" t="str">
        <f>HYPERLINK("http://www.ensembl.org/Mus_musculus/Gene/Summary?db=core;g=ENSMUSG00000024952","ENSMUSG00000024952")</f>
        <v>ENSMUSG00000024952</v>
      </c>
      <c r="I2376" s="7" t="str">
        <f>HYPERLINK("http://www.informatics.jax.org/marker/MGI:1930076","MGI:1930076")</f>
        <v>MGI:1930076</v>
      </c>
      <c r="J2376" s="4" t="s">
        <v>12</v>
      </c>
    </row>
    <row r="2377" spans="1:10" x14ac:dyDescent="0.25">
      <c r="A2377" s="2">
        <v>2344.82370504144</v>
      </c>
      <c r="B2377" s="3">
        <v>0.31380792019562298</v>
      </c>
      <c r="C2377" s="5">
        <v>1.37221179002763E-10</v>
      </c>
      <c r="D2377" s="6">
        <v>1.1631888313141201E-9</v>
      </c>
      <c r="E2377" s="3" t="s">
        <v>3972</v>
      </c>
      <c r="F2377" s="3" t="s">
        <v>3973</v>
      </c>
      <c r="G2377" s="3">
        <v>19069</v>
      </c>
      <c r="H2377" s="7" t="str">
        <f>HYPERLINK("http://www.ensembl.org/Mus_musculus/Gene/Summary?db=core;g=ENSMUSG00000040667","ENSMUSG00000040667")</f>
        <v>ENSMUSG00000040667</v>
      </c>
      <c r="I2377" s="7" t="str">
        <f>HYPERLINK("http://www.informatics.jax.org/marker/MGI:104900","MGI:104900")</f>
        <v>MGI:104900</v>
      </c>
      <c r="J2377" s="4" t="s">
        <v>12</v>
      </c>
    </row>
    <row r="2378" spans="1:10" x14ac:dyDescent="0.25">
      <c r="A2378" s="2">
        <v>2292.5649303351302</v>
      </c>
      <c r="B2378" s="3">
        <v>0.31352394583652099</v>
      </c>
      <c r="C2378" s="5">
        <v>8.0121921396551E-6</v>
      </c>
      <c r="D2378" s="6">
        <v>3.9733932447677299E-5</v>
      </c>
      <c r="E2378" s="3" t="s">
        <v>7208</v>
      </c>
      <c r="F2378" s="3" t="s">
        <v>7209</v>
      </c>
      <c r="G2378" s="3">
        <v>18129</v>
      </c>
      <c r="H2378" s="7" t="str">
        <f>HYPERLINK("http://www.ensembl.org/Mus_musculus/Gene/Summary?db=core;g=ENSMUSG00000027878","ENSMUSG00000027878")</f>
        <v>ENSMUSG00000027878</v>
      </c>
      <c r="I2378" s="7" t="str">
        <f>HYPERLINK("http://www.informatics.jax.org/marker/MGI:97364","MGI:97364")</f>
        <v>MGI:97364</v>
      </c>
      <c r="J2378" s="4" t="s">
        <v>12</v>
      </c>
    </row>
    <row r="2379" spans="1:10" x14ac:dyDescent="0.25">
      <c r="A2379" s="2">
        <v>835.34764578975205</v>
      </c>
      <c r="B2379" s="3">
        <v>0.312986915354179</v>
      </c>
      <c r="C2379" s="5">
        <v>2.9927368269741199E-9</v>
      </c>
      <c r="D2379" s="6">
        <v>2.2126827047303598E-8</v>
      </c>
      <c r="E2379" s="3" t="s">
        <v>5677</v>
      </c>
      <c r="F2379" s="3" t="s">
        <v>5678</v>
      </c>
      <c r="G2379" s="3">
        <v>105513</v>
      </c>
      <c r="H2379" s="7" t="str">
        <f>HYPERLINK("http://www.ensembl.org/Mus_musculus/Gene/Summary?db=core;g=ENSMUSG00000034190","ENSMUSG00000034190")</f>
        <v>ENSMUSG00000034190</v>
      </c>
      <c r="I2379" s="7" t="str">
        <f>HYPERLINK("http://www.informatics.jax.org/marker/MGI:1913922","MGI:1913922")</f>
        <v>MGI:1913922</v>
      </c>
      <c r="J2379" s="4" t="s">
        <v>12</v>
      </c>
    </row>
    <row r="2380" spans="1:10" x14ac:dyDescent="0.25">
      <c r="A2380" s="2">
        <v>2812.7895980778499</v>
      </c>
      <c r="B2380" s="3">
        <v>0.31274924278238903</v>
      </c>
      <c r="C2380" s="5">
        <v>6.5788357955163197E-13</v>
      </c>
      <c r="D2380" s="6">
        <v>6.7663251903659699E-12</v>
      </c>
      <c r="E2380" s="3" t="s">
        <v>3806</v>
      </c>
      <c r="F2380" s="3" t="s">
        <v>3807</v>
      </c>
      <c r="G2380" s="3">
        <v>26987</v>
      </c>
      <c r="H2380" s="7" t="str">
        <f>HYPERLINK("http://www.ensembl.org/Mus_musculus/Gene/Summary?db=core;g=ENSMUSG00000026254","ENSMUSG00000026254")</f>
        <v>ENSMUSG00000026254</v>
      </c>
      <c r="I2380" s="7" t="str">
        <f>HYPERLINK("http://www.informatics.jax.org/marker/MGI:1914440","MGI:1914440")</f>
        <v>MGI:1914440</v>
      </c>
      <c r="J2380" s="4" t="s">
        <v>12</v>
      </c>
    </row>
    <row r="2381" spans="1:10" x14ac:dyDescent="0.25">
      <c r="A2381" s="2">
        <v>7859.22603141937</v>
      </c>
      <c r="B2381" s="3">
        <v>0.31249014447748602</v>
      </c>
      <c r="C2381" s="5">
        <v>3.93221590453993E-18</v>
      </c>
      <c r="D2381" s="6">
        <v>5.6075614131643305E-17</v>
      </c>
      <c r="E2381" s="3" t="s">
        <v>2744</v>
      </c>
      <c r="F2381" s="3" t="s">
        <v>2745</v>
      </c>
      <c r="G2381" s="3">
        <v>12461</v>
      </c>
      <c r="H2381" s="7" t="str">
        <f>HYPERLINK("http://www.ensembl.org/Mus_musculus/Gene/Summary?db=core;g=ENSMUSG00000034024","ENSMUSG00000034024")</f>
        <v>ENSMUSG00000034024</v>
      </c>
      <c r="I2381" s="7" t="str">
        <f>HYPERLINK("http://www.informatics.jax.org/marker/MGI:107186","MGI:107186")</f>
        <v>MGI:107186</v>
      </c>
      <c r="J2381" s="4" t="s">
        <v>12</v>
      </c>
    </row>
    <row r="2382" spans="1:10" x14ac:dyDescent="0.25">
      <c r="A2382" s="2">
        <v>1440.13516248016</v>
      </c>
      <c r="B2382" s="3">
        <v>0.31240930509744502</v>
      </c>
      <c r="C2382" s="3">
        <v>2.6826511816095198E-3</v>
      </c>
      <c r="D2382" s="4">
        <v>8.6121750545769694E-3</v>
      </c>
      <c r="E2382" s="3" t="s">
        <v>6593</v>
      </c>
      <c r="F2382" s="3" t="s">
        <v>6594</v>
      </c>
      <c r="G2382" s="3">
        <v>26442</v>
      </c>
      <c r="H2382" s="7" t="str">
        <f>HYPERLINK("http://www.ensembl.org/Mus_musculus/Gene/Summary?db=core;g=ENSMUSG00000068749","ENSMUSG00000068749")</f>
        <v>ENSMUSG00000068749</v>
      </c>
      <c r="I2382" s="7" t="str">
        <f>HYPERLINK("http://www.informatics.jax.org/marker/MGI:1347009","MGI:1347009")</f>
        <v>MGI:1347009</v>
      </c>
      <c r="J2382" s="4" t="s">
        <v>12</v>
      </c>
    </row>
    <row r="2383" spans="1:10" x14ac:dyDescent="0.25">
      <c r="A2383" s="2">
        <v>155.72000882375099</v>
      </c>
      <c r="B2383" s="3">
        <v>0.31123844712026699</v>
      </c>
      <c r="C2383" s="3">
        <v>4.3012397576619003E-3</v>
      </c>
      <c r="D2383" s="4">
        <v>1.3146083277442201E-2</v>
      </c>
      <c r="E2383" s="3" t="s">
        <v>12239</v>
      </c>
      <c r="F2383" s="3" t="s">
        <v>12240</v>
      </c>
      <c r="G2383" s="3">
        <v>228715</v>
      </c>
      <c r="H2383" s="7" t="str">
        <f>HYPERLINK("http://www.ensembl.org/Mus_musculus/Gene/Summary?db=core;g=ENSMUSG00000074754","ENSMUSG00000074754")</f>
        <v>ENSMUSG00000074754</v>
      </c>
      <c r="I2383" s="7" t="str">
        <f>HYPERLINK("http://www.informatics.jax.org/marker/MGI:2685407","MGI:2685407")</f>
        <v>MGI:2685407</v>
      </c>
      <c r="J2383" s="4" t="s">
        <v>12</v>
      </c>
    </row>
    <row r="2384" spans="1:10" x14ac:dyDescent="0.25">
      <c r="A2384" s="2">
        <v>824.58147350462298</v>
      </c>
      <c r="B2384" s="3">
        <v>0.31100847918471802</v>
      </c>
      <c r="C2384" s="5">
        <v>1.77764115205767E-5</v>
      </c>
      <c r="D2384" s="6">
        <v>8.3779441417768506E-5</v>
      </c>
      <c r="E2384" s="3" t="s">
        <v>3898</v>
      </c>
      <c r="F2384" s="3" t="s">
        <v>3899</v>
      </c>
      <c r="G2384" s="3">
        <v>59045</v>
      </c>
      <c r="H2384" s="7" t="str">
        <f>HYPERLINK("http://www.ensembl.org/Mus_musculus/Gene/Summary?db=core;g=ENSMUSG00000018167","ENSMUSG00000018167")</f>
        <v>ENSMUSG00000018167</v>
      </c>
      <c r="I2384" s="7" t="str">
        <f>HYPERLINK("http://www.informatics.jax.org/marker/MGI:1929618","MGI:1929618")</f>
        <v>MGI:1929618</v>
      </c>
      <c r="J2384" s="4" t="s">
        <v>12</v>
      </c>
    </row>
    <row r="2385" spans="1:10" x14ac:dyDescent="0.25">
      <c r="A2385" s="2">
        <v>492.32100056071602</v>
      </c>
      <c r="B2385" s="3">
        <v>0.31097587480182098</v>
      </c>
      <c r="C2385" s="5">
        <v>2.2288765782931E-6</v>
      </c>
      <c r="D2385" s="6">
        <v>1.1898440433330899E-5</v>
      </c>
      <c r="E2385" s="3" t="s">
        <v>7204</v>
      </c>
      <c r="F2385" s="3" t="s">
        <v>7205</v>
      </c>
      <c r="G2385" s="3">
        <v>21357</v>
      </c>
      <c r="H2385" s="7" t="str">
        <f>HYPERLINK("http://www.ensembl.org/Mus_musculus/Gene/Summary?db=core;g=ENSMUSG00000023051","ENSMUSG00000023051")</f>
        <v>ENSMUSG00000023051</v>
      </c>
      <c r="I2385" s="7" t="str">
        <f>HYPERLINK("http://www.informatics.jax.org/marker/MGI:103027","MGI:103027")</f>
        <v>MGI:103027</v>
      </c>
      <c r="J2385" s="4" t="s">
        <v>12</v>
      </c>
    </row>
    <row r="2386" spans="1:10" x14ac:dyDescent="0.25">
      <c r="A2386" s="2">
        <v>757.10788469417605</v>
      </c>
      <c r="B2386" s="3">
        <v>0.310805327572936</v>
      </c>
      <c r="C2386" s="5">
        <v>2.5147010547023598E-7</v>
      </c>
      <c r="D2386" s="6">
        <v>1.5065886496367701E-6</v>
      </c>
      <c r="E2386" s="3" t="s">
        <v>6597</v>
      </c>
      <c r="F2386" s="3" t="s">
        <v>6598</v>
      </c>
      <c r="G2386" s="3">
        <v>330817</v>
      </c>
      <c r="H2386" s="7" t="str">
        <f>HYPERLINK("http://www.ensembl.org/Mus_musculus/Gene/Summary?db=core;g=ENSMUSG00000060038","ENSMUSG00000060038")</f>
        <v>ENSMUSG00000060038</v>
      </c>
      <c r="I2386" s="7" t="str">
        <f>HYPERLINK("http://www.informatics.jax.org/marker/MGI:2683592","MGI:2683592")</f>
        <v>MGI:2683592</v>
      </c>
      <c r="J2386" s="4" t="s">
        <v>12</v>
      </c>
    </row>
    <row r="2387" spans="1:10" x14ac:dyDescent="0.25">
      <c r="A2387" s="2">
        <v>6725.7580653988698</v>
      </c>
      <c r="B2387" s="3">
        <v>0.31067579829910802</v>
      </c>
      <c r="C2387" s="5">
        <v>5.9651257294280702E-10</v>
      </c>
      <c r="D2387" s="6">
        <v>4.7515042141095498E-9</v>
      </c>
      <c r="E2387" s="3" t="s">
        <v>5025</v>
      </c>
      <c r="F2387" s="3" t="s">
        <v>5026</v>
      </c>
      <c r="G2387" s="3">
        <v>27984</v>
      </c>
      <c r="H2387" s="7" t="str">
        <f>HYPERLINK("http://www.ensembl.org/Mus_musculus/Gene/Summary?db=core;g=ENSMUSG00000040659","ENSMUSG00000040659")</f>
        <v>ENSMUSG00000040659</v>
      </c>
      <c r="I2387" s="7" t="str">
        <f>HYPERLINK("http://www.informatics.jax.org/marker/MGI:106504","MGI:106504")</f>
        <v>MGI:106504</v>
      </c>
      <c r="J2387" s="4" t="s">
        <v>12</v>
      </c>
    </row>
    <row r="2388" spans="1:10" x14ac:dyDescent="0.25">
      <c r="A2388" s="2">
        <v>6577.0272336991502</v>
      </c>
      <c r="B2388" s="3">
        <v>0.31052528287230402</v>
      </c>
      <c r="C2388" s="3">
        <v>3.0122718297506401E-3</v>
      </c>
      <c r="D2388" s="4">
        <v>9.5409548309359406E-3</v>
      </c>
      <c r="E2388" s="3" t="s">
        <v>12711</v>
      </c>
      <c r="F2388" s="3" t="s">
        <v>12712</v>
      </c>
      <c r="G2388" s="3">
        <v>13057</v>
      </c>
      <c r="H2388" s="7" t="str">
        <f>HYPERLINK("http://www.ensembl.org/Mus_musculus/Gene/Summary?db=core;g=ENSMUSG00000006519","ENSMUSG00000006519")</f>
        <v>ENSMUSG00000006519</v>
      </c>
      <c r="I2388" s="7" t="str">
        <f>HYPERLINK("http://www.informatics.jax.org/marker/MGI:1316658","MGI:1316658")</f>
        <v>MGI:1316658</v>
      </c>
      <c r="J2388" s="4" t="s">
        <v>12</v>
      </c>
    </row>
    <row r="2389" spans="1:10" x14ac:dyDescent="0.25">
      <c r="A2389" s="2">
        <v>2956.2139728010502</v>
      </c>
      <c r="B2389" s="3">
        <v>0.31038398541190998</v>
      </c>
      <c r="C2389" s="5">
        <v>3.63891409326977E-6</v>
      </c>
      <c r="D2389" s="6">
        <v>1.8894361638131498E-5</v>
      </c>
      <c r="E2389" s="3" t="s">
        <v>7244</v>
      </c>
      <c r="F2389" s="3" t="s">
        <v>7245</v>
      </c>
      <c r="G2389" s="3">
        <v>53378</v>
      </c>
      <c r="H2389" s="7" t="str">
        <f>HYPERLINK("http://www.ensembl.org/Mus_musculus/Gene/Summary?db=core;g=ENSMUSG00000028249","ENSMUSG00000028249")</f>
        <v>ENSMUSG00000028249</v>
      </c>
      <c r="I2389" s="7" t="str">
        <f>HYPERLINK("http://www.informatics.jax.org/marker/MGI:1337026","MGI:1337026")</f>
        <v>MGI:1337026</v>
      </c>
      <c r="J2389" s="4" t="s">
        <v>12</v>
      </c>
    </row>
    <row r="2390" spans="1:10" x14ac:dyDescent="0.25">
      <c r="A2390" s="2">
        <v>394.51414738494202</v>
      </c>
      <c r="B2390" s="3">
        <v>0.31011909164340401</v>
      </c>
      <c r="C2390" s="3">
        <v>2.6635320781133898E-4</v>
      </c>
      <c r="D2390" s="4">
        <v>1.0323877525226801E-3</v>
      </c>
      <c r="E2390" s="3" t="s">
        <v>8623</v>
      </c>
      <c r="F2390" s="3" t="s">
        <v>8624</v>
      </c>
      <c r="G2390" s="3" t="s">
        <v>83</v>
      </c>
      <c r="H2390" s="7" t="str">
        <f>HYPERLINK("http://www.ensembl.org/Mus_musculus/Gene/Summary?db=core;g=ENSMUSG00000115423","ENSMUSG00000115423")</f>
        <v>ENSMUSG00000115423</v>
      </c>
      <c r="I2390" s="3" t="s">
        <v>83</v>
      </c>
      <c r="J2390" s="4" t="s">
        <v>12</v>
      </c>
    </row>
    <row r="2391" spans="1:10" x14ac:dyDescent="0.25">
      <c r="A2391" s="2">
        <v>860.91327240381702</v>
      </c>
      <c r="B2391" s="3">
        <v>0.30968115430298698</v>
      </c>
      <c r="C2391" s="5">
        <v>6.1706762718228002E-9</v>
      </c>
      <c r="D2391" s="6">
        <v>4.3998660036764697E-8</v>
      </c>
      <c r="E2391" s="3" t="s">
        <v>5113</v>
      </c>
      <c r="F2391" s="3" t="s">
        <v>5114</v>
      </c>
      <c r="G2391" s="3">
        <v>101118</v>
      </c>
      <c r="H2391" s="7" t="str">
        <f>HYPERLINK("http://www.ensembl.org/Mus_musculus/Gene/Summary?db=core;g=ENSMUSG00000029569","ENSMUSG00000029569")</f>
        <v>ENSMUSG00000029569</v>
      </c>
      <c r="I2391" s="7" t="str">
        <f>HYPERLINK("http://www.informatics.jax.org/marker/MGI:1921794","MGI:1921794")</f>
        <v>MGI:1921794</v>
      </c>
      <c r="J2391" s="4" t="s">
        <v>12</v>
      </c>
    </row>
    <row r="2392" spans="1:10" x14ac:dyDescent="0.25">
      <c r="A2392" s="2">
        <v>1068.55176851899</v>
      </c>
      <c r="B2392" s="3">
        <v>0.30943638305788201</v>
      </c>
      <c r="C2392" s="5">
        <v>4.49337477615934E-9</v>
      </c>
      <c r="D2392" s="6">
        <v>3.2600221057127298E-8</v>
      </c>
      <c r="E2392" s="3" t="s">
        <v>5301</v>
      </c>
      <c r="F2392" s="3" t="s">
        <v>5302</v>
      </c>
      <c r="G2392" s="3">
        <v>66973</v>
      </c>
      <c r="H2392" s="7" t="str">
        <f>HYPERLINK("http://www.ensembl.org/Mus_musculus/Gene/Summary?db=core;g=ENSMUSG00000024436","ENSMUSG00000024436")</f>
        <v>ENSMUSG00000024436</v>
      </c>
      <c r="I2392" s="7" t="str">
        <f>HYPERLINK("http://www.informatics.jax.org/marker/MGI:1914223","MGI:1914223")</f>
        <v>MGI:1914223</v>
      </c>
      <c r="J2392" s="4" t="s">
        <v>12</v>
      </c>
    </row>
    <row r="2393" spans="1:10" x14ac:dyDescent="0.25">
      <c r="A2393" s="2">
        <v>1740.4639048609199</v>
      </c>
      <c r="B2393" s="3">
        <v>0.30923340851585202</v>
      </c>
      <c r="C2393" s="5">
        <v>1.03346407352334E-10</v>
      </c>
      <c r="D2393" s="6">
        <v>8.8054617765137003E-10</v>
      </c>
      <c r="E2393" s="3" t="s">
        <v>7868</v>
      </c>
      <c r="F2393" s="3" t="s">
        <v>7869</v>
      </c>
      <c r="G2393" s="3">
        <v>104718</v>
      </c>
      <c r="H2393" s="7" t="str">
        <f>HYPERLINK("http://www.ensembl.org/Mus_musculus/Gene/Summary?db=core;g=ENSMUSG00000033530","ENSMUSG00000033530")</f>
        <v>ENSMUSG00000033530</v>
      </c>
      <c r="I2393" s="7" t="str">
        <f>HYPERLINK("http://www.informatics.jax.org/marker/MGI:2144724","MGI:2144724")</f>
        <v>MGI:2144724</v>
      </c>
      <c r="J2393" s="4" t="s">
        <v>12</v>
      </c>
    </row>
    <row r="2394" spans="1:10" x14ac:dyDescent="0.25">
      <c r="A2394" s="2">
        <v>2695.6400529205298</v>
      </c>
      <c r="B2394" s="3">
        <v>0.30881012271834501</v>
      </c>
      <c r="C2394" s="5">
        <v>4.6069020755880601E-6</v>
      </c>
      <c r="D2394" s="6">
        <v>2.3664258829648401E-5</v>
      </c>
      <c r="E2394" s="3" t="s">
        <v>8047</v>
      </c>
      <c r="F2394" s="3" t="s">
        <v>8048</v>
      </c>
      <c r="G2394" s="3">
        <v>56351</v>
      </c>
      <c r="H2394" s="7" t="str">
        <f>HYPERLINK("http://www.ensembl.org/Mus_musculus/Gene/Summary?db=core;g=ENSMUSG00000071072","ENSMUSG00000071072")</f>
        <v>ENSMUSG00000071072</v>
      </c>
      <c r="I2394" s="7" t="str">
        <f>HYPERLINK("http://www.informatics.jax.org/marker/MGI:1929282","MGI:1929282")</f>
        <v>MGI:1929282</v>
      </c>
      <c r="J2394" s="4" t="s">
        <v>12</v>
      </c>
    </row>
    <row r="2395" spans="1:10" x14ac:dyDescent="0.25">
      <c r="A2395" s="2">
        <v>1360.47842028747</v>
      </c>
      <c r="B2395" s="3">
        <v>0.30842610309750701</v>
      </c>
      <c r="C2395" s="5">
        <v>2.9959722155198298E-7</v>
      </c>
      <c r="D2395" s="6">
        <v>1.7783896552302399E-6</v>
      </c>
      <c r="E2395" s="3" t="s">
        <v>6998</v>
      </c>
      <c r="F2395" s="3" t="s">
        <v>6999</v>
      </c>
      <c r="G2395" s="3">
        <v>11974</v>
      </c>
      <c r="H2395" s="7" t="str">
        <f>HYPERLINK("http://www.ensembl.org/Mus_musculus/Gene/Summary?db=core;g=ENSMUSG00000015575","ENSMUSG00000015575")</f>
        <v>ENSMUSG00000015575</v>
      </c>
      <c r="I2395" s="7" t="str">
        <f>HYPERLINK("http://www.informatics.jax.org/marker/MGI:1328318","MGI:1328318")</f>
        <v>MGI:1328318</v>
      </c>
      <c r="J2395" s="4" t="s">
        <v>12</v>
      </c>
    </row>
    <row r="2396" spans="1:10" x14ac:dyDescent="0.25">
      <c r="A2396" s="2">
        <v>305.081232274032</v>
      </c>
      <c r="B2396" s="3">
        <v>0.30835102022601801</v>
      </c>
      <c r="C2396" s="3">
        <v>1.65169690788598E-3</v>
      </c>
      <c r="D2396" s="4">
        <v>5.56520172790201E-3</v>
      </c>
      <c r="E2396" s="3" t="s">
        <v>8745</v>
      </c>
      <c r="F2396" s="3" t="s">
        <v>8746</v>
      </c>
      <c r="G2396" s="3">
        <v>232201</v>
      </c>
      <c r="H2396" s="7" t="str">
        <f>HYPERLINK("http://www.ensembl.org/Mus_musculus/Gene/Summary?db=core;g=ENSMUSG00000030047","ENSMUSG00000030047")</f>
        <v>ENSMUSG00000030047</v>
      </c>
      <c r="I2396" s="7" t="str">
        <f>HYPERLINK("http://www.informatics.jax.org/marker/MGI:2443687","MGI:2443687")</f>
        <v>MGI:2443687</v>
      </c>
      <c r="J2396" s="4" t="s">
        <v>12</v>
      </c>
    </row>
    <row r="2397" spans="1:10" x14ac:dyDescent="0.25">
      <c r="A2397" s="2">
        <v>900.89497454521597</v>
      </c>
      <c r="B2397" s="3">
        <v>0.30709956713375802</v>
      </c>
      <c r="C2397" s="3">
        <v>1.56531700412686E-3</v>
      </c>
      <c r="D2397" s="4">
        <v>5.3065294643251599E-3</v>
      </c>
      <c r="E2397" s="3" t="s">
        <v>11669</v>
      </c>
      <c r="F2397" s="3" t="s">
        <v>11670</v>
      </c>
      <c r="G2397" s="3">
        <v>11639</v>
      </c>
      <c r="H2397" s="7" t="str">
        <f>HYPERLINK("http://www.ensembl.org/Mus_musculus/Gene/Summary?db=core;g=ENSMUSG00000028527","ENSMUSG00000028527")</f>
        <v>ENSMUSG00000028527</v>
      </c>
      <c r="I2397" s="7" t="str">
        <f>HYPERLINK("http://www.informatics.jax.org/marker/MGI:87979","MGI:87979")</f>
        <v>MGI:87979</v>
      </c>
      <c r="J2397" s="4" t="s">
        <v>12</v>
      </c>
    </row>
    <row r="2398" spans="1:10" x14ac:dyDescent="0.25">
      <c r="A2398" s="2">
        <v>542.63266238788799</v>
      </c>
      <c r="B2398" s="3">
        <v>0.30642643528415098</v>
      </c>
      <c r="C2398" s="3">
        <v>5.5637510638351798E-3</v>
      </c>
      <c r="D2398" s="4">
        <v>1.65429710786263E-2</v>
      </c>
      <c r="E2398" s="3" t="s">
        <v>11989</v>
      </c>
      <c r="F2398" s="3" t="s">
        <v>11990</v>
      </c>
      <c r="G2398" s="3">
        <v>14017</v>
      </c>
      <c r="H2398" s="7" t="str">
        <f>HYPERLINK("http://www.ensembl.org/Mus_musculus/Gene/Summary?db=core;g=ENSMUSG00000078771","ENSMUSG00000078771")</f>
        <v>ENSMUSG00000078771</v>
      </c>
      <c r="I2398" s="7" t="str">
        <f>HYPERLINK("http://www.informatics.jax.org/marker/MGI:95458","MGI:95458")</f>
        <v>MGI:95458</v>
      </c>
      <c r="J2398" s="4" t="s">
        <v>12</v>
      </c>
    </row>
    <row r="2399" spans="1:10" x14ac:dyDescent="0.25">
      <c r="A2399" s="2">
        <v>2039.24231021533</v>
      </c>
      <c r="B2399" s="3">
        <v>0.30635190431130799</v>
      </c>
      <c r="C2399" s="3">
        <v>2.4856992256480501E-4</v>
      </c>
      <c r="D2399" s="4">
        <v>9.6902392272589695E-4</v>
      </c>
      <c r="E2399" s="3" t="s">
        <v>8677</v>
      </c>
      <c r="F2399" s="3" t="s">
        <v>8678</v>
      </c>
      <c r="G2399" s="3">
        <v>23789</v>
      </c>
      <c r="H2399" s="7" t="str">
        <f>HYPERLINK("http://www.ensembl.org/Mus_musculus/Gene/Summary?db=core;g=ENSMUSG00000024835","ENSMUSG00000024835")</f>
        <v>ENSMUSG00000024835</v>
      </c>
      <c r="I2399" s="7" t="str">
        <f>HYPERLINK("http://www.informatics.jax.org/marker/MGI:1345963","MGI:1345963")</f>
        <v>MGI:1345963</v>
      </c>
      <c r="J2399" s="4" t="s">
        <v>12</v>
      </c>
    </row>
    <row r="2400" spans="1:10" x14ac:dyDescent="0.25">
      <c r="A2400" s="2">
        <v>4959.8655898605202</v>
      </c>
      <c r="B2400" s="3">
        <v>0.30564097413198799</v>
      </c>
      <c r="C2400" s="5">
        <v>5.60095308372596E-7</v>
      </c>
      <c r="D2400" s="6">
        <v>3.1999175533199202E-6</v>
      </c>
      <c r="E2400" s="3" t="s">
        <v>5927</v>
      </c>
      <c r="F2400" s="3" t="s">
        <v>5928</v>
      </c>
      <c r="G2400" s="3">
        <v>20218</v>
      </c>
      <c r="H2400" s="7" t="str">
        <f>HYPERLINK("http://www.ensembl.org/Mus_musculus/Gene/Summary?db=core;g=ENSMUSG00000028790","ENSMUSG00000028790")</f>
        <v>ENSMUSG00000028790</v>
      </c>
      <c r="I2400" s="7" t="str">
        <f>HYPERLINK("http://www.informatics.jax.org/marker/MGI:893579","MGI:893579")</f>
        <v>MGI:893579</v>
      </c>
      <c r="J2400" s="4" t="s">
        <v>12</v>
      </c>
    </row>
    <row r="2401" spans="1:10" x14ac:dyDescent="0.25">
      <c r="A2401" s="2">
        <v>1294.61711242826</v>
      </c>
      <c r="B2401" s="3">
        <v>0.30550587165234</v>
      </c>
      <c r="C2401" s="5">
        <v>2.7737056857248E-12</v>
      </c>
      <c r="D2401" s="6">
        <v>2.6903026142807001E-11</v>
      </c>
      <c r="E2401" s="3" t="s">
        <v>3960</v>
      </c>
      <c r="F2401" s="3" t="s">
        <v>3961</v>
      </c>
      <c r="G2401" s="3">
        <v>319801</v>
      </c>
      <c r="H2401" s="7" t="str">
        <f>HYPERLINK("http://www.ensembl.org/Mus_musculus/Gene/Summary?db=core;g=ENSMUSG00000038028","ENSMUSG00000038028")</f>
        <v>ENSMUSG00000038028</v>
      </c>
      <c r="I2401" s="7" t="str">
        <f>HYPERLINK("http://www.informatics.jax.org/marker/MGI:2442752","MGI:2442752")</f>
        <v>MGI:2442752</v>
      </c>
      <c r="J2401" s="4" t="s">
        <v>12</v>
      </c>
    </row>
    <row r="2402" spans="1:10" x14ac:dyDescent="0.25">
      <c r="A2402" s="2">
        <v>1517.19671819624</v>
      </c>
      <c r="B2402" s="3">
        <v>0.305289936269316</v>
      </c>
      <c r="C2402" s="5">
        <v>8.3703103476537304E-6</v>
      </c>
      <c r="D2402" s="6">
        <v>4.1408497851788597E-5</v>
      </c>
      <c r="E2402" s="3" t="s">
        <v>12655</v>
      </c>
      <c r="F2402" s="3" t="s">
        <v>12656</v>
      </c>
      <c r="G2402" s="3">
        <v>76179</v>
      </c>
      <c r="H2402" s="7" t="str">
        <f>HYPERLINK("http://www.ensembl.org/Mus_musculus/Gene/Summary?db=core;g=ENSMUSG00000063317","ENSMUSG00000063317")</f>
        <v>ENSMUSG00000063317</v>
      </c>
      <c r="I2402" s="7" t="str">
        <f>HYPERLINK("http://www.informatics.jax.org/marker/MGI:1923429","MGI:1923429")</f>
        <v>MGI:1923429</v>
      </c>
      <c r="J2402" s="4" t="s">
        <v>12</v>
      </c>
    </row>
    <row r="2403" spans="1:10" x14ac:dyDescent="0.25">
      <c r="A2403" s="2">
        <v>1368.0449034517901</v>
      </c>
      <c r="B2403" s="3">
        <v>0.30521541058267898</v>
      </c>
      <c r="C2403" s="5">
        <v>1.82960805887746E-9</v>
      </c>
      <c r="D2403" s="6">
        <v>1.3807290630659099E-8</v>
      </c>
      <c r="E2403" s="3" t="s">
        <v>3728</v>
      </c>
      <c r="F2403" s="3" t="s">
        <v>3729</v>
      </c>
      <c r="G2403" s="3">
        <v>207352</v>
      </c>
      <c r="H2403" s="7" t="str">
        <f>HYPERLINK("http://www.ensembl.org/Mus_musculus/Gene/Summary?db=core;g=ENSMUSG00000055319","ENSMUSG00000055319")</f>
        <v>ENSMUSG00000055319</v>
      </c>
      <c r="I2403" s="7" t="str">
        <f>HYPERLINK("http://www.informatics.jax.org/marker/MGI:2450915","MGI:2450915")</f>
        <v>MGI:2450915</v>
      </c>
      <c r="J2403" s="4" t="s">
        <v>12</v>
      </c>
    </row>
    <row r="2404" spans="1:10" x14ac:dyDescent="0.25">
      <c r="A2404" s="2">
        <v>1976.0924201825801</v>
      </c>
      <c r="B2404" s="3">
        <v>0.30515337426016398</v>
      </c>
      <c r="C2404" s="5">
        <v>5.4379425143256502E-16</v>
      </c>
      <c r="D2404" s="6">
        <v>6.8349311947300003E-15</v>
      </c>
      <c r="E2404" s="3" t="s">
        <v>3442</v>
      </c>
      <c r="F2404" s="3" t="s">
        <v>3443</v>
      </c>
      <c r="G2404" s="3">
        <v>233875</v>
      </c>
      <c r="H2404" s="7" t="str">
        <f>HYPERLINK("http://www.ensembl.org/Mus_musculus/Gene/Summary?db=core;g=ENSMUSG00000030689","ENSMUSG00000030689")</f>
        <v>ENSMUSG00000030689</v>
      </c>
      <c r="I2404" s="7" t="str">
        <f>HYPERLINK("http://www.informatics.jax.org/marker/MGI:2141881","MGI:2141881")</f>
        <v>MGI:2141881</v>
      </c>
      <c r="J2404" s="4" t="s">
        <v>12</v>
      </c>
    </row>
    <row r="2405" spans="1:10" x14ac:dyDescent="0.25">
      <c r="A2405" s="2">
        <v>2394.91338805958</v>
      </c>
      <c r="B2405" s="3">
        <v>0.30450246258034602</v>
      </c>
      <c r="C2405" s="5">
        <v>3.2892815665898501E-5</v>
      </c>
      <c r="D2405" s="4">
        <v>1.4853111137537201E-4</v>
      </c>
      <c r="E2405" s="3" t="s">
        <v>7608</v>
      </c>
      <c r="F2405" s="3" t="s">
        <v>7609</v>
      </c>
      <c r="G2405" s="3">
        <v>67089</v>
      </c>
      <c r="H2405" s="7" t="str">
        <f>HYPERLINK("http://www.ensembl.org/Mus_musculus/Gene/Summary?db=core;g=ENSMUSG00000021832","ENSMUSG00000021832")</f>
        <v>ENSMUSG00000021832</v>
      </c>
      <c r="I2405" s="7" t="str">
        <f>HYPERLINK("http://www.informatics.jax.org/marker/MGI:1914339","MGI:1914339")</f>
        <v>MGI:1914339</v>
      </c>
      <c r="J2405" s="4" t="s">
        <v>12</v>
      </c>
    </row>
    <row r="2406" spans="1:10" x14ac:dyDescent="0.25">
      <c r="A2406" s="2">
        <v>4005.4949995074298</v>
      </c>
      <c r="B2406" s="3">
        <v>0.30421623491727801</v>
      </c>
      <c r="C2406" s="5">
        <v>4.7226898073005703E-15</v>
      </c>
      <c r="D2406" s="6">
        <v>5.5493888934914898E-14</v>
      </c>
      <c r="E2406" s="3" t="s">
        <v>1642</v>
      </c>
      <c r="F2406" s="3" t="s">
        <v>1643</v>
      </c>
      <c r="G2406" s="3">
        <v>11736</v>
      </c>
      <c r="H2406" s="7" t="str">
        <f>HYPERLINK("http://www.ensembl.org/Mus_musculus/Gene/Summary?db=core;g=ENSMUSG00000020790","ENSMUSG00000020790")</f>
        <v>ENSMUSG00000020790</v>
      </c>
      <c r="I2406" s="7" t="str">
        <f>HYPERLINK("http://www.informatics.jax.org/marker/MGI:1337008","MGI:1337008")</f>
        <v>MGI:1337008</v>
      </c>
      <c r="J2406" s="4" t="s">
        <v>12</v>
      </c>
    </row>
    <row r="2407" spans="1:10" x14ac:dyDescent="0.25">
      <c r="A2407" s="2">
        <v>1573.1877062358001</v>
      </c>
      <c r="B2407" s="3">
        <v>0.30409813092820198</v>
      </c>
      <c r="C2407" s="5">
        <v>1.05327182841332E-9</v>
      </c>
      <c r="D2407" s="6">
        <v>8.1476566523059497E-9</v>
      </c>
      <c r="E2407" s="3" t="s">
        <v>3702</v>
      </c>
      <c r="F2407" s="3" t="s">
        <v>3703</v>
      </c>
      <c r="G2407" s="3">
        <v>56212</v>
      </c>
      <c r="H2407" s="7" t="str">
        <f>HYPERLINK("http://www.ensembl.org/Mus_musculus/Gene/Summary?db=core;g=ENSMUSG00000073982","ENSMUSG00000073982")</f>
        <v>ENSMUSG00000073982</v>
      </c>
      <c r="I2407" s="7" t="str">
        <f>HYPERLINK("http://www.informatics.jax.org/marker/MGI:1928370","MGI:1928370")</f>
        <v>MGI:1928370</v>
      </c>
      <c r="J2407" s="4" t="s">
        <v>12</v>
      </c>
    </row>
    <row r="2408" spans="1:10" x14ac:dyDescent="0.25">
      <c r="A2408" s="2">
        <v>12637.8776952484</v>
      </c>
      <c r="B2408" s="3">
        <v>0.30408900625917901</v>
      </c>
      <c r="C2408" s="5">
        <v>2.0829774900635501E-8</v>
      </c>
      <c r="D2408" s="6">
        <v>1.40392990963048E-7</v>
      </c>
      <c r="E2408" s="3" t="s">
        <v>4453</v>
      </c>
      <c r="F2408" s="3" t="s">
        <v>4454</v>
      </c>
      <c r="G2408" s="3">
        <v>12313</v>
      </c>
      <c r="H2408" s="7" t="str">
        <f>HYPERLINK("http://www.ensembl.org/Mus_musculus/Gene/Summary?db=core;g=ENSMUSG00000001175","ENSMUSG00000001175")</f>
        <v>ENSMUSG00000001175</v>
      </c>
      <c r="I2408" s="7" t="str">
        <f>HYPERLINK("http://www.informatics.jax.org/marker/MGI:88251","MGI:88251")</f>
        <v>MGI:88251</v>
      </c>
      <c r="J2408" s="4" t="s">
        <v>12</v>
      </c>
    </row>
    <row r="2409" spans="1:10" x14ac:dyDescent="0.25">
      <c r="A2409" s="2">
        <v>2706.2240267734701</v>
      </c>
      <c r="B2409" s="3">
        <v>0.30407466451277398</v>
      </c>
      <c r="C2409" s="5">
        <v>3.9768106283894197E-12</v>
      </c>
      <c r="D2409" s="6">
        <v>3.8246635199154201E-11</v>
      </c>
      <c r="E2409" s="3" t="s">
        <v>2780</v>
      </c>
      <c r="F2409" s="3" t="s">
        <v>2781</v>
      </c>
      <c r="G2409" s="3">
        <v>54189</v>
      </c>
      <c r="H2409" s="7" t="str">
        <f>HYPERLINK("http://www.ensembl.org/Mus_musculus/Gene/Summary?db=core;g=ENSMUSG00000020817","ENSMUSG00000020817")</f>
        <v>ENSMUSG00000020817</v>
      </c>
      <c r="I2409" s="7" t="str">
        <f>HYPERLINK("http://www.informatics.jax.org/marker/MGI:1860236","MGI:1860236")</f>
        <v>MGI:1860236</v>
      </c>
      <c r="J2409" s="4" t="s">
        <v>12</v>
      </c>
    </row>
    <row r="2410" spans="1:10" x14ac:dyDescent="0.25">
      <c r="A2410" s="2">
        <v>10570.9854484362</v>
      </c>
      <c r="B2410" s="3">
        <v>0.30383072323063498</v>
      </c>
      <c r="C2410" s="5">
        <v>9.3644103280021102E-14</v>
      </c>
      <c r="D2410" s="6">
        <v>1.01768860004674E-12</v>
      </c>
      <c r="E2410" s="3" t="s">
        <v>2635</v>
      </c>
      <c r="F2410" s="3" t="s">
        <v>2636</v>
      </c>
      <c r="G2410" s="3">
        <v>66713</v>
      </c>
      <c r="H2410" s="7" t="str">
        <f>HYPERLINK("http://www.ensembl.org/Mus_musculus/Gene/Summary?db=core;g=ENSMUSG00000020152","ENSMUSG00000020152")</f>
        <v>ENSMUSG00000020152</v>
      </c>
      <c r="I2410" s="7" t="str">
        <f>HYPERLINK("http://www.informatics.jax.org/marker/MGI:1913963","MGI:1913963")</f>
        <v>MGI:1913963</v>
      </c>
      <c r="J2410" s="4" t="s">
        <v>12</v>
      </c>
    </row>
    <row r="2411" spans="1:10" x14ac:dyDescent="0.25">
      <c r="A2411" s="2">
        <v>350.44539404398199</v>
      </c>
      <c r="B2411" s="3">
        <v>0.30382784474003099</v>
      </c>
      <c r="C2411" s="3">
        <v>2.9876309784534301E-4</v>
      </c>
      <c r="D2411" s="4">
        <v>1.1496954092549401E-3</v>
      </c>
      <c r="E2411" s="3" t="s">
        <v>5183</v>
      </c>
      <c r="F2411" s="3" t="s">
        <v>5184</v>
      </c>
      <c r="G2411" s="3">
        <v>72886</v>
      </c>
      <c r="H2411" s="7" t="str">
        <f>HYPERLINK("http://www.ensembl.org/Mus_musculus/Gene/Summary?db=core;g=ENSMUSG00000003208","ENSMUSG00000003208")</f>
        <v>ENSMUSG00000003208</v>
      </c>
      <c r="I2411" s="7" t="str">
        <f>HYPERLINK("http://www.informatics.jax.org/marker/MGI:1920136","MGI:1920136")</f>
        <v>MGI:1920136</v>
      </c>
      <c r="J2411" s="4" t="s">
        <v>12</v>
      </c>
    </row>
    <row r="2412" spans="1:10" x14ac:dyDescent="0.25">
      <c r="A2412" s="2">
        <v>516.88668821230101</v>
      </c>
      <c r="B2412" s="3">
        <v>0.30364716717356</v>
      </c>
      <c r="C2412" s="5">
        <v>6.6719535583117099E-6</v>
      </c>
      <c r="D2412" s="6">
        <v>3.3506848608495703E-5</v>
      </c>
      <c r="E2412" s="3" t="s">
        <v>7664</v>
      </c>
      <c r="F2412" s="3" t="s">
        <v>7665</v>
      </c>
      <c r="G2412" s="3">
        <v>108123</v>
      </c>
      <c r="H2412" s="7" t="str">
        <f>HYPERLINK("http://www.ensembl.org/Mus_musculus/Gene/Summary?db=core;g=ENSMUSG00000024581","ENSMUSG00000024581")</f>
        <v>ENSMUSG00000024581</v>
      </c>
      <c r="I2412" s="7" t="str">
        <f>HYPERLINK("http://www.informatics.jax.org/marker/MGI:104561","MGI:104561")</f>
        <v>MGI:104561</v>
      </c>
      <c r="J2412" s="4" t="s">
        <v>12</v>
      </c>
    </row>
    <row r="2413" spans="1:10" x14ac:dyDescent="0.25">
      <c r="A2413" s="2">
        <v>956.49443402877205</v>
      </c>
      <c r="B2413" s="3">
        <v>0.30359080815212303</v>
      </c>
      <c r="C2413" s="5">
        <v>1.8195887813628699E-6</v>
      </c>
      <c r="D2413" s="6">
        <v>9.8112442427036306E-6</v>
      </c>
      <c r="E2413" s="3" t="s">
        <v>8459</v>
      </c>
      <c r="F2413" s="3" t="s">
        <v>8460</v>
      </c>
      <c r="G2413" s="3">
        <v>56692</v>
      </c>
      <c r="H2413" s="7" t="str">
        <f>HYPERLINK("http://www.ensembl.org/Mus_musculus/Gene/Summary?db=core;g=ENSMUSG00000091512","ENSMUSG00000091512")</f>
        <v>ENSMUSG00000091512</v>
      </c>
      <c r="I2413" s="7" t="str">
        <f>HYPERLINK("http://www.informatics.jax.org/marker/MGI:1929467","MGI:1929467")</f>
        <v>MGI:1929467</v>
      </c>
      <c r="J2413" s="4" t="s">
        <v>12</v>
      </c>
    </row>
    <row r="2414" spans="1:10" x14ac:dyDescent="0.25">
      <c r="A2414" s="2">
        <v>182.22482972402</v>
      </c>
      <c r="B2414" s="3">
        <v>0.303585286740644</v>
      </c>
      <c r="C2414" s="3">
        <v>6.4391921652655804E-4</v>
      </c>
      <c r="D2414" s="4">
        <v>2.34520937673791E-3</v>
      </c>
      <c r="E2414" s="3" t="s">
        <v>12603</v>
      </c>
      <c r="F2414" s="3" t="s">
        <v>12604</v>
      </c>
      <c r="G2414" s="3">
        <v>75458</v>
      </c>
      <c r="H2414" s="7" t="str">
        <f>HYPERLINK("http://www.ensembl.org/Mus_musculus/Gene/Summary?db=core;g=ENSMUSG00000054400","ENSMUSG00000054400")</f>
        <v>ENSMUSG00000054400</v>
      </c>
      <c r="I2414" s="7" t="str">
        <f>HYPERLINK("http://www.informatics.jax.org/marker/MGI:1922708","MGI:1922708")</f>
        <v>MGI:1922708</v>
      </c>
      <c r="J2414" s="4" t="s">
        <v>12</v>
      </c>
    </row>
    <row r="2415" spans="1:10" x14ac:dyDescent="0.25">
      <c r="A2415" s="2">
        <v>3223.5542504336699</v>
      </c>
      <c r="B2415" s="3">
        <v>0.30351033865015598</v>
      </c>
      <c r="C2415" s="5">
        <v>9.6164398735351197E-5</v>
      </c>
      <c r="D2415" s="4">
        <v>4.0335930194517302E-4</v>
      </c>
      <c r="E2415" s="3" t="s">
        <v>7494</v>
      </c>
      <c r="F2415" s="3" t="s">
        <v>7495</v>
      </c>
      <c r="G2415" s="3">
        <v>22166</v>
      </c>
      <c r="H2415" s="7" t="str">
        <f>HYPERLINK("http://www.ensembl.org/Mus_musculus/Gene/Summary?db=core;g=ENSMUSG00000028367","ENSMUSG00000028367")</f>
        <v>ENSMUSG00000028367</v>
      </c>
      <c r="I2415" s="7" t="str">
        <f>HYPERLINK("http://www.informatics.jax.org/marker/MGI:98874","MGI:98874")</f>
        <v>MGI:98874</v>
      </c>
      <c r="J2415" s="4" t="s">
        <v>12</v>
      </c>
    </row>
    <row r="2416" spans="1:10" x14ac:dyDescent="0.25">
      <c r="A2416" s="2">
        <v>2055.1761776448302</v>
      </c>
      <c r="B2416" s="3">
        <v>0.30280751732085998</v>
      </c>
      <c r="C2416" s="5">
        <v>2.3419164591191502E-8</v>
      </c>
      <c r="D2416" s="6">
        <v>1.5674413318930101E-7</v>
      </c>
      <c r="E2416" s="3" t="s">
        <v>9837</v>
      </c>
      <c r="F2416" s="3" t="s">
        <v>9838</v>
      </c>
      <c r="G2416" s="3">
        <v>12399</v>
      </c>
      <c r="H2416" s="7" t="str">
        <f>HYPERLINK("http://www.ensembl.org/Mus_musculus/Gene/Summary?db=core;g=ENSMUSG00000070691","ENSMUSG00000070691")</f>
        <v>ENSMUSG00000070691</v>
      </c>
      <c r="I2416" s="7" t="str">
        <f>HYPERLINK("http://www.informatics.jax.org/marker/MGI:102672","MGI:102672")</f>
        <v>MGI:102672</v>
      </c>
      <c r="J2416" s="4" t="s">
        <v>12</v>
      </c>
    </row>
    <row r="2417" spans="1:10" x14ac:dyDescent="0.25">
      <c r="A2417" s="2">
        <v>652.33307840984003</v>
      </c>
      <c r="B2417" s="3">
        <v>0.30275392919541499</v>
      </c>
      <c r="C2417" s="5">
        <v>2.0929174047985301E-6</v>
      </c>
      <c r="D2417" s="6">
        <v>1.1205469947841699E-5</v>
      </c>
      <c r="E2417" s="3" t="s">
        <v>7542</v>
      </c>
      <c r="F2417" s="3" t="s">
        <v>7543</v>
      </c>
      <c r="G2417" s="3">
        <v>56228</v>
      </c>
      <c r="H2417" s="7" t="str">
        <f>HYPERLINK("http://www.ensembl.org/Mus_musculus/Gene/Summary?db=core;g=ENSMUSG00000028277","ENSMUSG00000028277")</f>
        <v>ENSMUSG00000028277</v>
      </c>
      <c r="I2417" s="7" t="str">
        <f>HYPERLINK("http://www.informatics.jax.org/marker/MGI:1926245","MGI:1926245")</f>
        <v>MGI:1926245</v>
      </c>
      <c r="J2417" s="4" t="s">
        <v>12</v>
      </c>
    </row>
    <row r="2418" spans="1:10" x14ac:dyDescent="0.25">
      <c r="A2418" s="2">
        <v>1051.15050629555</v>
      </c>
      <c r="B2418" s="3">
        <v>0.30263027957229399</v>
      </c>
      <c r="C2418" s="5">
        <v>1.11928169533942E-5</v>
      </c>
      <c r="D2418" s="6">
        <v>5.4353607507489802E-5</v>
      </c>
      <c r="E2418" s="3" t="s">
        <v>6870</v>
      </c>
      <c r="F2418" s="3" t="s">
        <v>6871</v>
      </c>
      <c r="G2418" s="3">
        <v>218832</v>
      </c>
      <c r="H2418" s="7" t="str">
        <f>HYPERLINK("http://www.ensembl.org/Mus_musculus/Gene/Summary?db=core;g=ENSMUSG00000025280","ENSMUSG00000025280")</f>
        <v>ENSMUSG00000025280</v>
      </c>
      <c r="I2418" s="7" t="str">
        <f>HYPERLINK("http://www.informatics.jax.org/marker/MGI:2681836","MGI:2681836")</f>
        <v>MGI:2681836</v>
      </c>
      <c r="J2418" s="4" t="s">
        <v>12</v>
      </c>
    </row>
    <row r="2419" spans="1:10" x14ac:dyDescent="0.25">
      <c r="A2419" s="2">
        <v>239.17252123224901</v>
      </c>
      <c r="B2419" s="3">
        <v>0.30196946091820598</v>
      </c>
      <c r="C2419" s="3">
        <v>2.6222436487685599E-3</v>
      </c>
      <c r="D2419" s="4">
        <v>8.4435318902485804E-3</v>
      </c>
      <c r="E2419" s="3" t="s">
        <v>10210</v>
      </c>
      <c r="F2419" s="3" t="s">
        <v>10211</v>
      </c>
      <c r="G2419" s="3">
        <v>66061</v>
      </c>
      <c r="H2419" s="7" t="str">
        <f>HYPERLINK("http://www.ensembl.org/Mus_musculus/Gene/Summary?db=core;g=ENSMUSG00000014075","ENSMUSG00000014075")</f>
        <v>ENSMUSG00000014075</v>
      </c>
      <c r="I2419" s="7" t="str">
        <f>HYPERLINK("http://www.informatics.jax.org/marker/MGI:1913311","MGI:1913311")</f>
        <v>MGI:1913311</v>
      </c>
      <c r="J2419" s="4" t="s">
        <v>12</v>
      </c>
    </row>
    <row r="2420" spans="1:10" x14ac:dyDescent="0.25">
      <c r="A2420" s="2">
        <v>9424.6773451234094</v>
      </c>
      <c r="B2420" s="3">
        <v>0.30179883365295401</v>
      </c>
      <c r="C2420" s="5">
        <v>4.1632895962123898E-11</v>
      </c>
      <c r="D2420" s="6">
        <v>3.67972613438268E-10</v>
      </c>
      <c r="E2420" s="3" t="s">
        <v>4439</v>
      </c>
      <c r="F2420" s="3" t="s">
        <v>4440</v>
      </c>
      <c r="G2420" s="3">
        <v>13205</v>
      </c>
      <c r="H2420" s="7" t="str">
        <f>HYPERLINK("http://www.ensembl.org/Mus_musculus/Gene/Summary?db=core;g=ENSMUSG00000000787","ENSMUSG00000000787")</f>
        <v>ENSMUSG00000000787</v>
      </c>
      <c r="I2420" s="7" t="str">
        <f>HYPERLINK("http://www.informatics.jax.org/marker/MGI:103064","MGI:103064")</f>
        <v>MGI:103064</v>
      </c>
      <c r="J2420" s="4" t="s">
        <v>12</v>
      </c>
    </row>
    <row r="2421" spans="1:10" x14ac:dyDescent="0.25">
      <c r="A2421" s="2">
        <v>2778.61552093725</v>
      </c>
      <c r="B2421" s="3">
        <v>0.30172125061197502</v>
      </c>
      <c r="C2421" s="5">
        <v>8.0878126650166006E-6</v>
      </c>
      <c r="D2421" s="6">
        <v>4.0076233229996602E-5</v>
      </c>
      <c r="E2421" s="3" t="s">
        <v>5045</v>
      </c>
      <c r="F2421" s="3" t="s">
        <v>5046</v>
      </c>
      <c r="G2421" s="3">
        <v>243819</v>
      </c>
      <c r="H2421" s="7" t="str">
        <f>HYPERLINK("http://www.ensembl.org/Mus_musculus/Gene/Summary?db=core;g=ENSMUSG00000052296","ENSMUSG00000052296")</f>
        <v>ENSMUSG00000052296</v>
      </c>
      <c r="I2421" s="7" t="str">
        <f>HYPERLINK("http://www.informatics.jax.org/marker/MGI:2442163","MGI:2442163")</f>
        <v>MGI:2442163</v>
      </c>
      <c r="J2421" s="4" t="s">
        <v>12</v>
      </c>
    </row>
    <row r="2422" spans="1:10" x14ac:dyDescent="0.25">
      <c r="A2422" s="2">
        <v>862.96411223088501</v>
      </c>
      <c r="B2422" s="3">
        <v>0.30168171158516699</v>
      </c>
      <c r="C2422" s="5">
        <v>2.1532781873283599E-9</v>
      </c>
      <c r="D2422" s="6">
        <v>1.6109809098546601E-8</v>
      </c>
      <c r="E2422" s="3" t="s">
        <v>4008</v>
      </c>
      <c r="F2422" s="3" t="s">
        <v>4009</v>
      </c>
      <c r="G2422" s="3">
        <v>17000</v>
      </c>
      <c r="H2422" s="7" t="str">
        <f>HYPERLINK("http://www.ensembl.org/Mus_musculus/Gene/Summary?db=core;g=ENSMUSG00000030339","ENSMUSG00000030339")</f>
        <v>ENSMUSG00000030339</v>
      </c>
      <c r="I2422" s="7" t="str">
        <f>HYPERLINK("http://www.informatics.jax.org/marker/MGI:104875","MGI:104875")</f>
        <v>MGI:104875</v>
      </c>
      <c r="J2422" s="4" t="s">
        <v>12</v>
      </c>
    </row>
    <row r="2423" spans="1:10" x14ac:dyDescent="0.25">
      <c r="A2423" s="2">
        <v>1382.84401609469</v>
      </c>
      <c r="B2423" s="3">
        <v>0.30113816928119502</v>
      </c>
      <c r="C2423" s="5">
        <v>1.5019514870081601E-7</v>
      </c>
      <c r="D2423" s="6">
        <v>9.2507826464088501E-7</v>
      </c>
      <c r="E2423" s="3" t="s">
        <v>7256</v>
      </c>
      <c r="F2423" s="3" t="s">
        <v>7257</v>
      </c>
      <c r="G2423" s="3">
        <v>70078</v>
      </c>
      <c r="H2423" s="7" t="str">
        <f>HYPERLINK("http://www.ensembl.org/Mus_musculus/Gene/Summary?db=core;g=ENSMUSG00000063200","ENSMUSG00000063200")</f>
        <v>ENSMUSG00000063200</v>
      </c>
      <c r="I2423" s="7" t="str">
        <f>HYPERLINK("http://www.informatics.jax.org/marker/MGI:1917328","MGI:1917328")</f>
        <v>MGI:1917328</v>
      </c>
      <c r="J2423" s="4" t="s">
        <v>12</v>
      </c>
    </row>
    <row r="2424" spans="1:10" x14ac:dyDescent="0.25">
      <c r="A2424" s="2">
        <v>718.95721344222102</v>
      </c>
      <c r="B2424" s="3">
        <v>0.30108196433113599</v>
      </c>
      <c r="C2424" s="5">
        <v>3.0180714260497499E-6</v>
      </c>
      <c r="D2424" s="6">
        <v>1.5839413552551601E-5</v>
      </c>
      <c r="E2424" s="3" t="s">
        <v>8567</v>
      </c>
      <c r="F2424" s="3" t="s">
        <v>8568</v>
      </c>
      <c r="G2424" s="3">
        <v>271457</v>
      </c>
      <c r="H2424" s="7" t="str">
        <f>HYPERLINK("http://www.ensembl.org/Mus_musculus/Gene/Summary?db=core;g=ENSMUSG00000017831","ENSMUSG00000017831")</f>
        <v>ENSMUSG00000017831</v>
      </c>
      <c r="I2424" s="7" t="str">
        <f>HYPERLINK("http://www.informatics.jax.org/marker/MGI:105926","MGI:105926")</f>
        <v>MGI:105926</v>
      </c>
      <c r="J2424" s="4" t="s">
        <v>12</v>
      </c>
    </row>
    <row r="2425" spans="1:10" x14ac:dyDescent="0.25">
      <c r="A2425" s="2">
        <v>535.359478887416</v>
      </c>
      <c r="B2425" s="3">
        <v>0.30015523579189402</v>
      </c>
      <c r="C2425" s="3">
        <v>2.5185680349804201E-3</v>
      </c>
      <c r="D2425" s="4">
        <v>8.1442339314262095E-3</v>
      </c>
      <c r="E2425" s="3" t="s">
        <v>7584</v>
      </c>
      <c r="F2425" s="3" t="s">
        <v>7585</v>
      </c>
      <c r="G2425" s="3">
        <v>17948</v>
      </c>
      <c r="H2425" s="7" t="str">
        <f>HYPERLINK("http://www.ensembl.org/Mus_musculus/Gene/Summary?db=core;g=ENSMUSG00000078945","ENSMUSG00000078945")</f>
        <v>ENSMUSG00000078945</v>
      </c>
      <c r="I2425" s="7" t="str">
        <f>HYPERLINK("http://www.informatics.jax.org/marker/MGI:1298226","MGI:1298226")</f>
        <v>MGI:1298226</v>
      </c>
      <c r="J2425" s="4" t="s">
        <v>12</v>
      </c>
    </row>
    <row r="2426" spans="1:10" x14ac:dyDescent="0.25">
      <c r="A2426" s="2">
        <v>10390.112227449899</v>
      </c>
      <c r="B2426" s="3">
        <v>0.29962096357875401</v>
      </c>
      <c r="C2426" s="5">
        <v>1.58123886740338E-16</v>
      </c>
      <c r="D2426" s="6">
        <v>2.05403266988073E-15</v>
      </c>
      <c r="E2426" s="3" t="s">
        <v>2217</v>
      </c>
      <c r="F2426" s="3" t="s">
        <v>2218</v>
      </c>
      <c r="G2426" s="3">
        <v>13207</v>
      </c>
      <c r="H2426" s="7" t="str">
        <f>HYPERLINK("http://www.ensembl.org/Mus_musculus/Gene/Summary?db=core;g=ENSMUSG00000020719","ENSMUSG00000020719")</f>
        <v>ENSMUSG00000020719</v>
      </c>
      <c r="I2426" s="7" t="str">
        <f>HYPERLINK("http://www.informatics.jax.org/marker/MGI:105037","MGI:105037")</f>
        <v>MGI:105037</v>
      </c>
      <c r="J2426" s="4" t="s">
        <v>12</v>
      </c>
    </row>
    <row r="2427" spans="1:10" x14ac:dyDescent="0.25">
      <c r="A2427" s="2">
        <v>2386.2083452267002</v>
      </c>
      <c r="B2427" s="3">
        <v>0.29925877412528301</v>
      </c>
      <c r="C2427" s="5">
        <v>1.445724575795E-8</v>
      </c>
      <c r="D2427" s="6">
        <v>9.9016649356873195E-8</v>
      </c>
      <c r="E2427" s="3" t="s">
        <v>3834</v>
      </c>
      <c r="F2427" s="3" t="s">
        <v>3835</v>
      </c>
      <c r="G2427" s="3">
        <v>19184</v>
      </c>
      <c r="H2427" s="7" t="str">
        <f>HYPERLINK("http://www.ensembl.org/Mus_musculus/Gene/Summary?db=core;g=ENSMUSG00000020708","ENSMUSG00000020708")</f>
        <v>ENSMUSG00000020708</v>
      </c>
      <c r="I2427" s="7" t="str">
        <f>HYPERLINK("http://www.informatics.jax.org/marker/MGI:105047","MGI:105047")</f>
        <v>MGI:105047</v>
      </c>
      <c r="J2427" s="4" t="s">
        <v>12</v>
      </c>
    </row>
    <row r="2428" spans="1:10" x14ac:dyDescent="0.25">
      <c r="A2428" s="2">
        <v>502.05863141881298</v>
      </c>
      <c r="B2428" s="3">
        <v>0.29912795366578798</v>
      </c>
      <c r="C2428" s="5">
        <v>6.0170358477040702E-6</v>
      </c>
      <c r="D2428" s="6">
        <v>3.0410559712813802E-5</v>
      </c>
      <c r="E2428" s="3" t="s">
        <v>8395</v>
      </c>
      <c r="F2428" s="3" t="s">
        <v>8396</v>
      </c>
      <c r="G2428" s="3">
        <v>78938</v>
      </c>
      <c r="H2428" s="7" t="str">
        <f>HYPERLINK("http://www.ensembl.org/Mus_musculus/Gene/Summary?db=core;g=ENSMUSG00000037536","ENSMUSG00000037536")</f>
        <v>ENSMUSG00000037536</v>
      </c>
      <c r="I2428" s="7" t="str">
        <f>HYPERLINK("http://www.informatics.jax.org/marker/MGI:1926188","MGI:1926188")</f>
        <v>MGI:1926188</v>
      </c>
      <c r="J2428" s="4" t="s">
        <v>12</v>
      </c>
    </row>
    <row r="2429" spans="1:10" x14ac:dyDescent="0.25">
      <c r="A2429" s="2">
        <v>693.54426711485701</v>
      </c>
      <c r="B2429" s="3">
        <v>0.29893056881390601</v>
      </c>
      <c r="C2429" s="3">
        <v>2.6332508586614201E-4</v>
      </c>
      <c r="D2429" s="4">
        <v>1.02173721309569E-3</v>
      </c>
      <c r="E2429" s="3" t="s">
        <v>10986</v>
      </c>
      <c r="F2429" s="3" t="s">
        <v>10987</v>
      </c>
      <c r="G2429" s="3">
        <v>23853</v>
      </c>
      <c r="H2429" s="7" t="str">
        <f>HYPERLINK("http://www.ensembl.org/Mus_musculus/Gene/Summary?db=core;g=ENSMUSG00000002257","ENSMUSG00000002257")</f>
        <v>ENSMUSG00000002257</v>
      </c>
      <c r="I2429" s="7" t="str">
        <f>HYPERLINK("http://www.informatics.jax.org/marker/MGI:1346328","MGI:1346328")</f>
        <v>MGI:1346328</v>
      </c>
      <c r="J2429" s="4" t="s">
        <v>12</v>
      </c>
    </row>
    <row r="2430" spans="1:10" x14ac:dyDescent="0.25">
      <c r="A2430" s="2">
        <v>1941.7180130916499</v>
      </c>
      <c r="B2430" s="3">
        <v>0.29846753348555999</v>
      </c>
      <c r="C2430" s="5">
        <v>4.4700087642662701E-7</v>
      </c>
      <c r="D2430" s="6">
        <v>2.5895076201129299E-6</v>
      </c>
      <c r="E2430" s="3" t="s">
        <v>5791</v>
      </c>
      <c r="F2430" s="3" t="s">
        <v>5792</v>
      </c>
      <c r="G2430" s="3">
        <v>14674</v>
      </c>
      <c r="H2430" s="7" t="str">
        <f>HYPERLINK("http://www.ensembl.org/Mus_musculus/Gene/Summary?db=core;g=ENSMUSG00000020611","ENSMUSG00000020611")</f>
        <v>ENSMUSG00000020611</v>
      </c>
      <c r="I2430" s="7" t="str">
        <f>HYPERLINK("http://www.informatics.jax.org/marker/MGI:95768","MGI:95768")</f>
        <v>MGI:95768</v>
      </c>
      <c r="J2430" s="4" t="s">
        <v>12</v>
      </c>
    </row>
    <row r="2431" spans="1:10" x14ac:dyDescent="0.25">
      <c r="A2431" s="2">
        <v>496.53685173385702</v>
      </c>
      <c r="B2431" s="3">
        <v>0.29777402990438201</v>
      </c>
      <c r="C2431" s="5">
        <v>1.6851552135309701E-6</v>
      </c>
      <c r="D2431" s="6">
        <v>9.1241692711235608E-6</v>
      </c>
      <c r="E2431" s="3" t="s">
        <v>9217</v>
      </c>
      <c r="F2431" s="3" t="s">
        <v>9218</v>
      </c>
      <c r="G2431" s="3">
        <v>67674</v>
      </c>
      <c r="H2431" s="7" t="str">
        <f>HYPERLINK("http://www.ensembl.org/Mus_musculus/Gene/Summary?db=core;g=ENSMUSG00000038812","ENSMUSG00000038812")</f>
        <v>ENSMUSG00000038812</v>
      </c>
      <c r="I2431" s="7" t="str">
        <f>HYPERLINK("http://www.informatics.jax.org/marker/MGI:1914924","MGI:1914924")</f>
        <v>MGI:1914924</v>
      </c>
      <c r="J2431" s="4" t="s">
        <v>12</v>
      </c>
    </row>
    <row r="2432" spans="1:10" x14ac:dyDescent="0.25">
      <c r="A2432" s="2">
        <v>4541.5518770769004</v>
      </c>
      <c r="B2432" s="3">
        <v>0.29749041408615701</v>
      </c>
      <c r="C2432" s="3">
        <v>2.3143146680163E-4</v>
      </c>
      <c r="D2432" s="4">
        <v>9.0901691432321405E-4</v>
      </c>
      <c r="E2432" s="3" t="s">
        <v>12400</v>
      </c>
      <c r="F2432" s="3" t="s">
        <v>12401</v>
      </c>
      <c r="G2432" s="3">
        <v>11857</v>
      </c>
      <c r="H2432" s="7" t="str">
        <f>HYPERLINK("http://www.ensembl.org/Mus_musculus/Gene/Summary?db=core;g=ENSMUSG00000030220","ENSMUSG00000030220")</f>
        <v>ENSMUSG00000030220</v>
      </c>
      <c r="I2432" s="7" t="str">
        <f>HYPERLINK("http://www.informatics.jax.org/marker/MGI:101940","MGI:101940")</f>
        <v>MGI:101940</v>
      </c>
      <c r="J2432" s="4" t="s">
        <v>12</v>
      </c>
    </row>
    <row r="2433" spans="1:10" x14ac:dyDescent="0.25">
      <c r="A2433" s="2">
        <v>5914.2143421555302</v>
      </c>
      <c r="B2433" s="3">
        <v>0.29729741308663599</v>
      </c>
      <c r="C2433" s="5">
        <v>6.5325023471542598E-6</v>
      </c>
      <c r="D2433" s="6">
        <v>3.2842718697072099E-5</v>
      </c>
      <c r="E2433" s="3" t="s">
        <v>7312</v>
      </c>
      <c r="F2433" s="3" t="s">
        <v>7313</v>
      </c>
      <c r="G2433" s="3">
        <v>19324</v>
      </c>
      <c r="H2433" s="7" t="str">
        <f>HYPERLINK("http://www.ensembl.org/Mus_musculus/Gene/Summary?db=core;g=ENSMUSG00000020149","ENSMUSG00000020149")</f>
        <v>ENSMUSG00000020149</v>
      </c>
      <c r="I2433" s="7" t="str">
        <f>HYPERLINK("http://www.informatics.jax.org/marker/MGI:97842","MGI:97842")</f>
        <v>MGI:97842</v>
      </c>
      <c r="J2433" s="4" t="s">
        <v>12</v>
      </c>
    </row>
    <row r="2434" spans="1:10" x14ac:dyDescent="0.25">
      <c r="A2434" s="2">
        <v>1250.59424810014</v>
      </c>
      <c r="B2434" s="3">
        <v>0.29722775404511198</v>
      </c>
      <c r="C2434" s="3">
        <v>1.06230613567435E-4</v>
      </c>
      <c r="D2434" s="4">
        <v>4.4222314578951799E-4</v>
      </c>
      <c r="E2434" s="3" t="s">
        <v>10760</v>
      </c>
      <c r="F2434" s="3" t="s">
        <v>10761</v>
      </c>
      <c r="G2434" s="3">
        <v>207932</v>
      </c>
      <c r="H2434" s="7" t="str">
        <f>HYPERLINK("http://www.ensembl.org/Mus_musculus/Gene/Summary?db=core;g=ENSMUSG00000039929","ENSMUSG00000039929")</f>
        <v>ENSMUSG00000039929</v>
      </c>
      <c r="I2434" s="7" t="str">
        <f>HYPERLINK("http://www.informatics.jax.org/marker/MGI:2146468","MGI:2146468")</f>
        <v>MGI:2146468</v>
      </c>
      <c r="J2434" s="4" t="s">
        <v>12</v>
      </c>
    </row>
    <row r="2435" spans="1:10" x14ac:dyDescent="0.25">
      <c r="A2435" s="2">
        <v>329.670689405627</v>
      </c>
      <c r="B2435" s="3">
        <v>0.29721432966933398</v>
      </c>
      <c r="C2435" s="3">
        <v>1.2935863827779199E-4</v>
      </c>
      <c r="D2435" s="4">
        <v>5.3062371879647799E-4</v>
      </c>
      <c r="E2435" s="3" t="s">
        <v>7280</v>
      </c>
      <c r="F2435" s="3" t="s">
        <v>7281</v>
      </c>
      <c r="G2435" s="3">
        <v>212712</v>
      </c>
      <c r="H2435" s="7" t="str">
        <f>HYPERLINK("http://www.ensembl.org/Mus_musculus/Gene/Summary?db=core;g=ENSMUSG00000038331","ENSMUSG00000038331")</f>
        <v>ENSMUSG00000038331</v>
      </c>
      <c r="I2435" s="7" t="str">
        <f>HYPERLINK("http://www.informatics.jax.org/marker/MGI:2679336","MGI:2679336")</f>
        <v>MGI:2679336</v>
      </c>
      <c r="J2435" s="4" t="s">
        <v>12</v>
      </c>
    </row>
    <row r="2436" spans="1:10" x14ac:dyDescent="0.25">
      <c r="A2436" s="2">
        <v>7497.8869628928096</v>
      </c>
      <c r="B2436" s="3">
        <v>0.29716076694004401</v>
      </c>
      <c r="C2436" s="5">
        <v>3.4026845637764001E-22</v>
      </c>
      <c r="D2436" s="6">
        <v>5.98012788571117E-21</v>
      </c>
      <c r="E2436" s="3" t="s">
        <v>2974</v>
      </c>
      <c r="F2436" s="3" t="s">
        <v>2975</v>
      </c>
      <c r="G2436" s="3">
        <v>21454</v>
      </c>
      <c r="H2436" s="7" t="str">
        <f>HYPERLINK("http://www.ensembl.org/Mus_musculus/Gene/Summary?db=core;g=ENSMUSG00000068039","ENSMUSG00000068039")</f>
        <v>ENSMUSG00000068039</v>
      </c>
      <c r="I2436" s="7" t="str">
        <f>HYPERLINK("http://www.informatics.jax.org/marker/MGI:98535","MGI:98535")</f>
        <v>MGI:98535</v>
      </c>
      <c r="J2436" s="4" t="s">
        <v>12</v>
      </c>
    </row>
    <row r="2437" spans="1:10" x14ac:dyDescent="0.25">
      <c r="A2437" s="2">
        <v>2129.79285668376</v>
      </c>
      <c r="B2437" s="3">
        <v>0.296836741158025</v>
      </c>
      <c r="C2437" s="5">
        <v>5.1411781302410098E-6</v>
      </c>
      <c r="D2437" s="6">
        <v>2.6256179862251101E-5</v>
      </c>
      <c r="E2437" s="3" t="s">
        <v>7072</v>
      </c>
      <c r="F2437" s="3" t="s">
        <v>7073</v>
      </c>
      <c r="G2437" s="3">
        <v>68564</v>
      </c>
      <c r="H2437" s="7" t="str">
        <f>HYPERLINK("http://www.ensembl.org/Mus_musculus/Gene/Summary?db=core;g=ENSMUSG00000037857","ENSMUSG00000037857")</f>
        <v>ENSMUSG00000037857</v>
      </c>
      <c r="I2437" s="7" t="str">
        <f>HYPERLINK("http://www.informatics.jax.org/marker/MGI:1915814","MGI:1915814")</f>
        <v>MGI:1915814</v>
      </c>
      <c r="J2437" s="4" t="s">
        <v>12</v>
      </c>
    </row>
    <row r="2438" spans="1:10" x14ac:dyDescent="0.25">
      <c r="A2438" s="2">
        <v>469.26043894163001</v>
      </c>
      <c r="B2438" s="3">
        <v>0.29669199611606401</v>
      </c>
      <c r="C2438" s="5">
        <v>1.42975712595995E-5</v>
      </c>
      <c r="D2438" s="6">
        <v>6.8284391039360694E-5</v>
      </c>
      <c r="E2438" s="3" t="s">
        <v>7536</v>
      </c>
      <c r="F2438" s="3" t="s">
        <v>7537</v>
      </c>
      <c r="G2438" s="3">
        <v>66201</v>
      </c>
      <c r="H2438" s="7" t="str">
        <f>HYPERLINK("http://www.ensembl.org/Mus_musculus/Gene/Summary?db=core;g=ENSMUSG00000019868","ENSMUSG00000019868")</f>
        <v>ENSMUSG00000019868</v>
      </c>
      <c r="I2438" s="7" t="str">
        <f>HYPERLINK("http://www.informatics.jax.org/marker/MGI:1913451","MGI:1913451")</f>
        <v>MGI:1913451</v>
      </c>
      <c r="J2438" s="4" t="s">
        <v>12</v>
      </c>
    </row>
    <row r="2439" spans="1:10" x14ac:dyDescent="0.25">
      <c r="A2439" s="2">
        <v>9109.4725589288591</v>
      </c>
      <c r="B2439" s="3">
        <v>0.296650027232994</v>
      </c>
      <c r="C2439" s="5">
        <v>4.8749692233689099E-15</v>
      </c>
      <c r="D2439" s="6">
        <v>5.7209474627107801E-14</v>
      </c>
      <c r="E2439" s="3" t="s">
        <v>3672</v>
      </c>
      <c r="F2439" s="3" t="s">
        <v>3673</v>
      </c>
      <c r="G2439" s="3">
        <v>56347</v>
      </c>
      <c r="H2439" s="7" t="str">
        <f>HYPERLINK("http://www.ensembl.org/Mus_musculus/Gene/Summary?db=core;g=ENSMUSG00000030738","ENSMUSG00000030738")</f>
        <v>ENSMUSG00000030738</v>
      </c>
      <c r="I2439" s="7" t="str">
        <f>HYPERLINK("http://www.informatics.jax.org/marker/MGI:1926966","MGI:1926966")</f>
        <v>MGI:1926966</v>
      </c>
      <c r="J2439" s="4" t="s">
        <v>12</v>
      </c>
    </row>
    <row r="2440" spans="1:10" x14ac:dyDescent="0.25">
      <c r="A2440" s="2">
        <v>1060.2946025599399</v>
      </c>
      <c r="B2440" s="3">
        <v>0.29634956415276698</v>
      </c>
      <c r="C2440" s="3">
        <v>5.7184582770236604E-4</v>
      </c>
      <c r="D2440" s="4">
        <v>2.1045820294579199E-3</v>
      </c>
      <c r="E2440" s="3" t="s">
        <v>5395</v>
      </c>
      <c r="F2440" s="3" t="s">
        <v>5396</v>
      </c>
      <c r="G2440" s="3">
        <v>269682</v>
      </c>
      <c r="H2440" s="7" t="str">
        <f>HYPERLINK("http://www.ensembl.org/Mus_musculus/Gene/Summary?db=core;g=ENSMUSG00000029502","ENSMUSG00000029502")</f>
        <v>ENSMUSG00000029502</v>
      </c>
      <c r="I2440" s="7" t="str">
        <f>HYPERLINK("http://www.informatics.jax.org/marker/MGI:96958","MGI:96958")</f>
        <v>MGI:96958</v>
      </c>
      <c r="J2440" s="4" t="s">
        <v>12</v>
      </c>
    </row>
    <row r="2441" spans="1:10" x14ac:dyDescent="0.25">
      <c r="A2441" s="2">
        <v>6051.2476560587102</v>
      </c>
      <c r="B2441" s="3">
        <v>0.296318713348036</v>
      </c>
      <c r="C2441" s="5">
        <v>2.0939151775708999E-14</v>
      </c>
      <c r="D2441" s="6">
        <v>2.3673451681904301E-13</v>
      </c>
      <c r="E2441" s="3" t="s">
        <v>3412</v>
      </c>
      <c r="F2441" s="3" t="s">
        <v>3413</v>
      </c>
      <c r="G2441" s="3">
        <v>12468</v>
      </c>
      <c r="H2441" s="7" t="str">
        <f>HYPERLINK("http://www.ensembl.org/Mus_musculus/Gene/Summary?db=core;g=ENSMUSG00000030007","ENSMUSG00000030007")</f>
        <v>ENSMUSG00000030007</v>
      </c>
      <c r="I2441" s="7" t="str">
        <f>HYPERLINK("http://www.informatics.jax.org/marker/MGI:107184","MGI:107184")</f>
        <v>MGI:107184</v>
      </c>
      <c r="J2441" s="4" t="s">
        <v>12</v>
      </c>
    </row>
    <row r="2442" spans="1:10" x14ac:dyDescent="0.25">
      <c r="A2442" s="2">
        <v>585.85028853962604</v>
      </c>
      <c r="B2442" s="3">
        <v>0.295485816388597</v>
      </c>
      <c r="C2442" s="5">
        <v>2.47191788892661E-5</v>
      </c>
      <c r="D2442" s="4">
        <v>1.13994695156092E-4</v>
      </c>
      <c r="E2442" s="3" t="s">
        <v>6798</v>
      </c>
      <c r="F2442" s="3" t="s">
        <v>6799</v>
      </c>
      <c r="G2442" s="3">
        <v>56335</v>
      </c>
      <c r="H2442" s="7" t="str">
        <f>HYPERLINK("http://www.ensembl.org/Mus_musculus/Gene/Summary?db=core;g=ENSMUSG00000022160","ENSMUSG00000022160")</f>
        <v>ENSMUSG00000022160</v>
      </c>
      <c r="I2442" s="7" t="str">
        <f>HYPERLINK("http://www.informatics.jax.org/marker/MGI:1927165","MGI:1927165")</f>
        <v>MGI:1927165</v>
      </c>
      <c r="J2442" s="4" t="s">
        <v>12</v>
      </c>
    </row>
    <row r="2443" spans="1:10" x14ac:dyDescent="0.25">
      <c r="A2443" s="2">
        <v>4220.2636538411098</v>
      </c>
      <c r="B2443" s="3">
        <v>0.2954062252879</v>
      </c>
      <c r="C2443" s="5">
        <v>3.2038244531145503E-10</v>
      </c>
      <c r="D2443" s="6">
        <v>2.6207226507187001E-9</v>
      </c>
      <c r="E2443" s="3" t="s">
        <v>3874</v>
      </c>
      <c r="F2443" s="3" t="s">
        <v>3875</v>
      </c>
      <c r="G2443" s="3">
        <v>21771</v>
      </c>
      <c r="H2443" s="7" t="str">
        <f>HYPERLINK("http://www.ensembl.org/Mus_musculus/Gene/Summary?db=core;g=ENSMUSG00000041438","ENSMUSG00000041438")</f>
        <v>ENSMUSG00000041438</v>
      </c>
      <c r="I2443" s="7" t="str">
        <f>HYPERLINK("http://www.informatics.jax.org/marker/MGI:1096573","MGI:1096573")</f>
        <v>MGI:1096573</v>
      </c>
      <c r="J2443" s="4" t="s">
        <v>12</v>
      </c>
    </row>
    <row r="2444" spans="1:10" x14ac:dyDescent="0.25">
      <c r="A2444" s="2">
        <v>424.00355124423999</v>
      </c>
      <c r="B2444" s="3">
        <v>0.29534485607199401</v>
      </c>
      <c r="C2444" s="3">
        <v>7.5657229798857997E-3</v>
      </c>
      <c r="D2444" s="4">
        <v>2.1858798558722099E-2</v>
      </c>
      <c r="E2444" s="3" t="s">
        <v>13891</v>
      </c>
      <c r="F2444" s="3" t="s">
        <v>13892</v>
      </c>
      <c r="G2444" s="3">
        <v>22335</v>
      </c>
      <c r="H2444" s="7" t="str">
        <f>HYPERLINK("http://www.ensembl.org/Mus_musculus/Gene/Summary?db=core;g=ENSMUSG00000008892","ENSMUSG00000008892")</f>
        <v>ENSMUSG00000008892</v>
      </c>
      <c r="I2444" s="7" t="str">
        <f>HYPERLINK("http://www.informatics.jax.org/marker/MGI:106922","MGI:106922")</f>
        <v>MGI:106922</v>
      </c>
      <c r="J2444" s="4" t="s">
        <v>12</v>
      </c>
    </row>
    <row r="2445" spans="1:10" x14ac:dyDescent="0.25">
      <c r="A2445" s="2">
        <v>214.77197443136899</v>
      </c>
      <c r="B2445" s="3">
        <v>0.29503056111161902</v>
      </c>
      <c r="C2445" s="3">
        <v>6.15928479537259E-3</v>
      </c>
      <c r="D2445" s="4">
        <v>1.8140427504147599E-2</v>
      </c>
      <c r="E2445" s="3" t="s">
        <v>12295</v>
      </c>
      <c r="F2445" s="3" t="s">
        <v>12296</v>
      </c>
      <c r="G2445" s="3">
        <v>223774</v>
      </c>
      <c r="H2445" s="7" t="str">
        <f>HYPERLINK("http://www.ensembl.org/Mus_musculus/Gene/Summary?db=core;g=ENSMUSG00000035845","ENSMUSG00000035845")</f>
        <v>ENSMUSG00000035845</v>
      </c>
      <c r="I2445" s="7" t="str">
        <f>HYPERLINK("http://www.informatics.jax.org/marker/MGI:2385025","MGI:2385025")</f>
        <v>MGI:2385025</v>
      </c>
      <c r="J2445" s="4" t="s">
        <v>12</v>
      </c>
    </row>
    <row r="2446" spans="1:10" x14ac:dyDescent="0.25">
      <c r="A2446" s="2">
        <v>412.55547701039399</v>
      </c>
      <c r="B2446" s="3">
        <v>0.29496348836307201</v>
      </c>
      <c r="C2446" s="3">
        <v>4.5783703322997102E-4</v>
      </c>
      <c r="D2446" s="4">
        <v>1.7119573103439099E-3</v>
      </c>
      <c r="E2446" s="3" t="s">
        <v>13635</v>
      </c>
      <c r="F2446" s="3" t="s">
        <v>13636</v>
      </c>
      <c r="G2446" s="3">
        <v>24068</v>
      </c>
      <c r="H2446" s="7" t="str">
        <f>HYPERLINK("http://www.ensembl.org/Mus_musculus/Gene/Summary?db=core;g=ENSMUSG00000006050","ENSMUSG00000006050")</f>
        <v>ENSMUSG00000006050</v>
      </c>
      <c r="I2446" s="7" t="str">
        <f>HYPERLINK("http://www.informatics.jax.org/marker/MGI:1344414","MGI:1344414")</f>
        <v>MGI:1344414</v>
      </c>
      <c r="J2446" s="4" t="s">
        <v>12</v>
      </c>
    </row>
    <row r="2447" spans="1:10" x14ac:dyDescent="0.25">
      <c r="A2447" s="2">
        <v>482.00496644083699</v>
      </c>
      <c r="B2447" s="3">
        <v>0.29472682748538698</v>
      </c>
      <c r="C2447" s="3">
        <v>1.0012436796914301E-3</v>
      </c>
      <c r="D2447" s="4">
        <v>3.52407610320131E-3</v>
      </c>
      <c r="E2447" s="3" t="s">
        <v>12329</v>
      </c>
      <c r="F2447" s="3" t="s">
        <v>12330</v>
      </c>
      <c r="G2447" s="3">
        <v>66405</v>
      </c>
      <c r="H2447" s="7" t="str">
        <f>HYPERLINK("http://www.ensembl.org/Mus_musculus/Gene/Summary?db=core;g=ENSMUSG00000042814","ENSMUSG00000042814")</f>
        <v>ENSMUSG00000042814</v>
      </c>
      <c r="I2447" s="7" t="str">
        <f>HYPERLINK("http://www.informatics.jax.org/marker/MGI:1913655","MGI:1913655")</f>
        <v>MGI:1913655</v>
      </c>
      <c r="J2447" s="4" t="s">
        <v>12</v>
      </c>
    </row>
    <row r="2448" spans="1:10" x14ac:dyDescent="0.25">
      <c r="A2448" s="2">
        <v>3139.88244362356</v>
      </c>
      <c r="B2448" s="3">
        <v>0.29460165223735202</v>
      </c>
      <c r="C2448" s="5">
        <v>1.38708731510111E-5</v>
      </c>
      <c r="D2448" s="6">
        <v>6.6385678355350999E-5</v>
      </c>
      <c r="E2448" s="3" t="s">
        <v>7720</v>
      </c>
      <c r="F2448" s="3" t="s">
        <v>7721</v>
      </c>
      <c r="G2448" s="3">
        <v>218335</v>
      </c>
      <c r="H2448" s="7" t="str">
        <f>HYPERLINK("http://www.ensembl.org/Mus_musculus/Gene/Summary?db=core;g=ENSMUSG00000021610","ENSMUSG00000021610")</f>
        <v>ENSMUSG00000021610</v>
      </c>
      <c r="I2448" s="7" t="str">
        <f>HYPERLINK("http://www.informatics.jax.org/marker/MGI:2442892","MGI:2442892")</f>
        <v>MGI:2442892</v>
      </c>
      <c r="J2448" s="4" t="s">
        <v>12</v>
      </c>
    </row>
    <row r="2449" spans="1:10" x14ac:dyDescent="0.25">
      <c r="A2449" s="2">
        <v>2107.1236842053499</v>
      </c>
      <c r="B2449" s="3">
        <v>0.29450350914380702</v>
      </c>
      <c r="C2449" s="5">
        <v>4.4777181791984803E-15</v>
      </c>
      <c r="D2449" s="6">
        <v>5.2888148940954198E-14</v>
      </c>
      <c r="E2449" s="3" t="s">
        <v>3436</v>
      </c>
      <c r="F2449" s="3" t="s">
        <v>3437</v>
      </c>
      <c r="G2449" s="3">
        <v>74204</v>
      </c>
      <c r="H2449" s="7" t="str">
        <f>HYPERLINK("http://www.ensembl.org/Mus_musculus/Gene/Summary?db=core;g=ENSMUSG00000000131","ENSMUSG00000000131")</f>
        <v>ENSMUSG00000000131</v>
      </c>
      <c r="I2449" s="7" t="str">
        <f>HYPERLINK("http://www.informatics.jax.org/marker/MGI:2429950","MGI:2429950")</f>
        <v>MGI:2429950</v>
      </c>
      <c r="J2449" s="4" t="s">
        <v>12</v>
      </c>
    </row>
    <row r="2450" spans="1:10" x14ac:dyDescent="0.25">
      <c r="A2450" s="2">
        <v>1950.45094907105</v>
      </c>
      <c r="B2450" s="3">
        <v>0.29405540787428502</v>
      </c>
      <c r="C2450" s="5">
        <v>4.8009187404049605E-10</v>
      </c>
      <c r="D2450" s="6">
        <v>3.8544821164705002E-9</v>
      </c>
      <c r="E2450" s="3" t="s">
        <v>5539</v>
      </c>
      <c r="F2450" s="3" t="s">
        <v>5540</v>
      </c>
      <c r="G2450" s="3">
        <v>102216272</v>
      </c>
      <c r="H2450" s="7" t="str">
        <f>HYPERLINK("http://www.ensembl.org/Mus_musculus/Gene/Summary?db=core;g=ENSMUSG00000078941","ENSMUSG00000078941")</f>
        <v>ENSMUSG00000078941</v>
      </c>
      <c r="I2450" s="7" t="str">
        <f>HYPERLINK("http://www.informatics.jax.org/marker/MGI:5510732","MGI:5510732")</f>
        <v>MGI:5510732</v>
      </c>
      <c r="J2450" s="4" t="s">
        <v>12</v>
      </c>
    </row>
    <row r="2451" spans="1:10" x14ac:dyDescent="0.25">
      <c r="A2451" s="2">
        <v>1875.29485809224</v>
      </c>
      <c r="B2451" s="3">
        <v>0.29399851760879098</v>
      </c>
      <c r="C2451" s="5">
        <v>5.3076910477365E-11</v>
      </c>
      <c r="D2451" s="6">
        <v>4.6483743077846102E-10</v>
      </c>
      <c r="E2451" s="3" t="s">
        <v>5029</v>
      </c>
      <c r="F2451" s="3" t="s">
        <v>5030</v>
      </c>
      <c r="G2451" s="3">
        <v>75826</v>
      </c>
      <c r="H2451" s="7" t="str">
        <f>HYPERLINK("http://www.ensembl.org/Mus_musculus/Gene/Summary?db=core;g=ENSMUSG00000022855","ENSMUSG00000022855")</f>
        <v>ENSMUSG00000022855</v>
      </c>
      <c r="I2451" s="7" t="str">
        <f>HYPERLINK("http://www.informatics.jax.org/marker/MGI:1923076","MGI:1923076")</f>
        <v>MGI:1923076</v>
      </c>
      <c r="J2451" s="4" t="s">
        <v>12</v>
      </c>
    </row>
    <row r="2452" spans="1:10" x14ac:dyDescent="0.25">
      <c r="A2452" s="2">
        <v>1231.98199844037</v>
      </c>
      <c r="B2452" s="3">
        <v>0.29391228866935798</v>
      </c>
      <c r="C2452" s="5">
        <v>2.9245298115772198E-9</v>
      </c>
      <c r="D2452" s="6">
        <v>2.1657682168222201E-8</v>
      </c>
      <c r="E2452" s="3" t="s">
        <v>4343</v>
      </c>
      <c r="F2452" s="3" t="s">
        <v>4344</v>
      </c>
      <c r="G2452" s="3">
        <v>433759</v>
      </c>
      <c r="H2452" s="7" t="str">
        <f>HYPERLINK("http://www.ensembl.org/Mus_musculus/Gene/Summary?db=core;g=ENSMUSG00000028800","ENSMUSG00000028800")</f>
        <v>ENSMUSG00000028800</v>
      </c>
      <c r="I2452" s="7" t="str">
        <f>HYPERLINK("http://www.informatics.jax.org/marker/MGI:108086","MGI:108086")</f>
        <v>MGI:108086</v>
      </c>
      <c r="J2452" s="4" t="s">
        <v>12</v>
      </c>
    </row>
    <row r="2453" spans="1:10" x14ac:dyDescent="0.25">
      <c r="A2453" s="2">
        <v>454.44464112325699</v>
      </c>
      <c r="B2453" s="3">
        <v>0.293570971421932</v>
      </c>
      <c r="C2453" s="3">
        <v>2.6815740077912498E-3</v>
      </c>
      <c r="D2453" s="4">
        <v>8.6102336666658702E-3</v>
      </c>
      <c r="E2453" s="3" t="s">
        <v>8089</v>
      </c>
      <c r="F2453" s="3" t="s">
        <v>8090</v>
      </c>
      <c r="G2453" s="3">
        <v>12909</v>
      </c>
      <c r="H2453" s="7" t="str">
        <f>HYPERLINK("http://www.ensembl.org/Mus_musculus/Gene/Summary?db=core;g=ENSMUSG00000025532","ENSMUSG00000025532")</f>
        <v>ENSMUSG00000025532</v>
      </c>
      <c r="I2453" s="7" t="str">
        <f>HYPERLINK("http://www.informatics.jax.org/marker/MGI:1100818","MGI:1100818")</f>
        <v>MGI:1100818</v>
      </c>
      <c r="J2453" s="4" t="s">
        <v>12</v>
      </c>
    </row>
    <row r="2454" spans="1:10" x14ac:dyDescent="0.25">
      <c r="A2454" s="2">
        <v>9100.2372293360895</v>
      </c>
      <c r="B2454" s="3">
        <v>0.29352374723348501</v>
      </c>
      <c r="C2454" s="3">
        <v>3.0513093377484101E-4</v>
      </c>
      <c r="D2454" s="4">
        <v>1.1719728699781801E-3</v>
      </c>
      <c r="E2454" s="3" t="s">
        <v>9933</v>
      </c>
      <c r="F2454" s="3" t="s">
        <v>9934</v>
      </c>
      <c r="G2454" s="3">
        <v>226562</v>
      </c>
      <c r="H2454" s="7" t="str">
        <f>HYPERLINK("http://www.ensembl.org/Mus_musculus/Gene/Summary?db=core;g=ENSMUSG00000040225","ENSMUSG00000040225")</f>
        <v>ENSMUSG00000040225</v>
      </c>
      <c r="I2454" s="7" t="str">
        <f>HYPERLINK("http://www.informatics.jax.org/marker/MGI:1913754","MGI:1913754")</f>
        <v>MGI:1913754</v>
      </c>
      <c r="J2454" s="4" t="s">
        <v>12</v>
      </c>
    </row>
    <row r="2455" spans="1:10" x14ac:dyDescent="0.25">
      <c r="A2455" s="2">
        <v>18.7948914820341</v>
      </c>
      <c r="B2455" s="3">
        <v>0.29342421629644599</v>
      </c>
      <c r="C2455" s="3">
        <v>0.26035695137137999</v>
      </c>
      <c r="D2455" s="4">
        <v>0.42740095827268998</v>
      </c>
      <c r="E2455" s="3" t="s">
        <v>11793</v>
      </c>
      <c r="F2455" s="3" t="s">
        <v>11794</v>
      </c>
      <c r="G2455" s="3">
        <v>78751</v>
      </c>
      <c r="H2455" s="7" t="str">
        <f>HYPERLINK("http://www.ensembl.org/Mus_musculus/Gene/Summary?db=core;g=ENSMUSG00000042851","ENSMUSG00000042851")</f>
        <v>ENSMUSG00000042851</v>
      </c>
      <c r="I2455" s="7" t="str">
        <f>HYPERLINK("http://www.informatics.jax.org/marker/MGI:1926001","MGI:1926001")</f>
        <v>MGI:1926001</v>
      </c>
      <c r="J2455" s="4" t="s">
        <v>12</v>
      </c>
    </row>
    <row r="2456" spans="1:10" x14ac:dyDescent="0.25">
      <c r="A2456" s="2">
        <v>602.124933267193</v>
      </c>
      <c r="B2456" s="3">
        <v>0.29335788910500599</v>
      </c>
      <c r="C2456" s="5">
        <v>4.3806068955954398E-5</v>
      </c>
      <c r="D2456" s="4">
        <v>1.9396637675468201E-4</v>
      </c>
      <c r="E2456" s="3" t="s">
        <v>8129</v>
      </c>
      <c r="F2456" s="3" t="s">
        <v>8130</v>
      </c>
      <c r="G2456" s="3">
        <v>75616</v>
      </c>
      <c r="H2456" s="7" t="str">
        <f>HYPERLINK("http://www.ensembl.org/Mus_musculus/Gene/Summary?db=core;g=ENSMUSG00000071180","ENSMUSG00000071180")</f>
        <v>ENSMUSG00000071180</v>
      </c>
      <c r="I2456" s="7" t="str">
        <f>HYPERLINK("http://www.informatics.jax.org/marker/MGI:1922866","MGI:1922866")</f>
        <v>MGI:1922866</v>
      </c>
      <c r="J2456" s="4" t="s">
        <v>12</v>
      </c>
    </row>
    <row r="2457" spans="1:10" x14ac:dyDescent="0.25">
      <c r="A2457" s="2">
        <v>789.69347478996599</v>
      </c>
      <c r="B2457" s="3">
        <v>0.29324129774674101</v>
      </c>
      <c r="C2457" s="5">
        <v>2.14077865893232E-8</v>
      </c>
      <c r="D2457" s="6">
        <v>1.43916234079829E-7</v>
      </c>
      <c r="E2457" s="3" t="s">
        <v>5195</v>
      </c>
      <c r="F2457" s="3" t="s">
        <v>5196</v>
      </c>
      <c r="G2457" s="3">
        <v>77048</v>
      </c>
      <c r="H2457" s="7" t="str">
        <f>HYPERLINK("http://www.ensembl.org/Mus_musculus/Gene/Summary?db=core;g=ENSMUSG00000020024","ENSMUSG00000020024")</f>
        <v>ENSMUSG00000020024</v>
      </c>
      <c r="I2457" s="7" t="str">
        <f>HYPERLINK("http://www.informatics.jax.org/marker/MGI:1924298","MGI:1924298")</f>
        <v>MGI:1924298</v>
      </c>
      <c r="J2457" s="4" t="s">
        <v>12</v>
      </c>
    </row>
    <row r="2458" spans="1:10" x14ac:dyDescent="0.25">
      <c r="A2458" s="2">
        <v>1201.42102134467</v>
      </c>
      <c r="B2458" s="3">
        <v>0.292935821869868</v>
      </c>
      <c r="C2458" s="3">
        <v>1.3394313786040601E-4</v>
      </c>
      <c r="D2458" s="4">
        <v>5.4745765586586704E-4</v>
      </c>
      <c r="E2458" s="3" t="s">
        <v>7300</v>
      </c>
      <c r="F2458" s="3" t="s">
        <v>7301</v>
      </c>
      <c r="G2458" s="3">
        <v>13063</v>
      </c>
      <c r="H2458" s="7" t="str">
        <f>HYPERLINK("http://www.ensembl.org/Mus_musculus/Gene/Summary?db=core;g=ENSMUSG00000063694","ENSMUSG00000063694")</f>
        <v>ENSMUSG00000063694</v>
      </c>
      <c r="I2458" s="7" t="str">
        <f>HYPERLINK("http://www.informatics.jax.org/marker/MGI:88578","MGI:88578")</f>
        <v>MGI:88578</v>
      </c>
      <c r="J2458" s="4" t="s">
        <v>12</v>
      </c>
    </row>
    <row r="2459" spans="1:10" x14ac:dyDescent="0.25">
      <c r="A2459" s="2">
        <v>414.47456837016102</v>
      </c>
      <c r="B2459" s="3">
        <v>0.29278970903215501</v>
      </c>
      <c r="C2459" s="3">
        <v>1.1561434339582199E-3</v>
      </c>
      <c r="D2459" s="4">
        <v>4.0195944456101803E-3</v>
      </c>
      <c r="E2459" s="3" t="s">
        <v>12195</v>
      </c>
      <c r="F2459" s="3" t="s">
        <v>12196</v>
      </c>
      <c r="G2459" s="3">
        <v>81897</v>
      </c>
      <c r="H2459" s="7" t="str">
        <f>HYPERLINK("http://www.ensembl.org/Mus_musculus/Gene/Summary?db=core;g=ENSMUSG00000045322","ENSMUSG00000045322")</f>
        <v>ENSMUSG00000045322</v>
      </c>
      <c r="I2459" s="7" t="str">
        <f>HYPERLINK("http://www.informatics.jax.org/marker/MGI:1932389","MGI:1932389")</f>
        <v>MGI:1932389</v>
      </c>
      <c r="J2459" s="4" t="s">
        <v>12</v>
      </c>
    </row>
    <row r="2460" spans="1:10" x14ac:dyDescent="0.25">
      <c r="A2460" s="2">
        <v>657.54548431916601</v>
      </c>
      <c r="B2460" s="3">
        <v>0.29263604356056</v>
      </c>
      <c r="C2460" s="5">
        <v>5.6081530464327102E-6</v>
      </c>
      <c r="D2460" s="6">
        <v>2.8422855748397101E-5</v>
      </c>
      <c r="E2460" s="3" t="s">
        <v>6203</v>
      </c>
      <c r="F2460" s="3" t="s">
        <v>6204</v>
      </c>
      <c r="G2460" s="3">
        <v>67197</v>
      </c>
      <c r="H2460" s="7" t="str">
        <f>HYPERLINK("http://www.ensembl.org/Mus_musculus/Gene/Summary?db=core;g=ENSMUSG00000022635","ENSMUSG00000022635")</f>
        <v>ENSMUSG00000022635</v>
      </c>
      <c r="I2460" s="7" t="str">
        <f>HYPERLINK("http://www.informatics.jax.org/marker/MGI:1914447","MGI:1914447")</f>
        <v>MGI:1914447</v>
      </c>
      <c r="J2460" s="4" t="s">
        <v>12</v>
      </c>
    </row>
    <row r="2461" spans="1:10" x14ac:dyDescent="0.25">
      <c r="A2461" s="2">
        <v>1041.5681704091</v>
      </c>
      <c r="B2461" s="3">
        <v>0.292500439394005</v>
      </c>
      <c r="C2461" s="5">
        <v>2.5842695847596399E-5</v>
      </c>
      <c r="D2461" s="4">
        <v>1.1872526640343899E-4</v>
      </c>
      <c r="E2461" s="3" t="s">
        <v>6349</v>
      </c>
      <c r="F2461" s="3" t="s">
        <v>6350</v>
      </c>
      <c r="G2461" s="3">
        <v>18518</v>
      </c>
      <c r="H2461" s="7" t="str">
        <f>HYPERLINK("http://www.ensembl.org/Mus_musculus/Gene/Summary?db=core;g=ENSMUSG00000031221","ENSMUSG00000031221")</f>
        <v>ENSMUSG00000031221</v>
      </c>
      <c r="I2461" s="7" t="str">
        <f>HYPERLINK("http://www.informatics.jax.org/marker/MGI:1346500","MGI:1346500")</f>
        <v>MGI:1346500</v>
      </c>
      <c r="J2461" s="4" t="s">
        <v>12</v>
      </c>
    </row>
    <row r="2462" spans="1:10" x14ac:dyDescent="0.25">
      <c r="A2462" s="2">
        <v>826.51189441853398</v>
      </c>
      <c r="B2462" s="3">
        <v>0.29201812529460502</v>
      </c>
      <c r="C2462" s="5">
        <v>1.2386286558022799E-6</v>
      </c>
      <c r="D2462" s="6">
        <v>6.8240650701319399E-6</v>
      </c>
      <c r="E2462" s="3" t="s">
        <v>7654</v>
      </c>
      <c r="F2462" s="3" t="s">
        <v>7655</v>
      </c>
      <c r="G2462" s="3">
        <v>109331</v>
      </c>
      <c r="H2462" s="7" t="str">
        <f>HYPERLINK("http://www.ensembl.org/Mus_musculus/Gene/Summary?db=core;g=ENSMUSG00000028309","ENSMUSG00000028309")</f>
        <v>ENSMUSG00000028309</v>
      </c>
      <c r="I2462" s="7" t="str">
        <f>HYPERLINK("http://www.informatics.jax.org/marker/MGI:1925927","MGI:1925927")</f>
        <v>MGI:1925927</v>
      </c>
      <c r="J2462" s="4" t="s">
        <v>12</v>
      </c>
    </row>
    <row r="2463" spans="1:10" x14ac:dyDescent="0.25">
      <c r="A2463" s="2">
        <v>6400.2507744956201</v>
      </c>
      <c r="B2463" s="3">
        <v>0.29180654324313399</v>
      </c>
      <c r="C2463" s="5">
        <v>3.2482289788742E-7</v>
      </c>
      <c r="D2463" s="6">
        <v>1.9201742828408199E-6</v>
      </c>
      <c r="E2463" s="3" t="s">
        <v>6245</v>
      </c>
      <c r="F2463" s="3" t="s">
        <v>6246</v>
      </c>
      <c r="G2463" s="3">
        <v>211548</v>
      </c>
      <c r="H2463" s="7" t="str">
        <f>HYPERLINK("http://www.ensembl.org/Mus_musculus/Gene/Summary?db=core;g=ENSMUSG00000030835","ENSMUSG00000030835")</f>
        <v>ENSMUSG00000030835</v>
      </c>
      <c r="I2463" s="7" t="str">
        <f>HYPERLINK("http://www.informatics.jax.org/marker/MGI:2385850","MGI:2385850")</f>
        <v>MGI:2385850</v>
      </c>
      <c r="J2463" s="4" t="s">
        <v>12</v>
      </c>
    </row>
    <row r="2464" spans="1:10" x14ac:dyDescent="0.25">
      <c r="A2464" s="2">
        <v>469.02164534405699</v>
      </c>
      <c r="B2464" s="3">
        <v>0.291776953688342</v>
      </c>
      <c r="C2464" s="3">
        <v>3.2937163521376198E-2</v>
      </c>
      <c r="D2464" s="4">
        <v>7.9856299744190701E-2</v>
      </c>
      <c r="E2464" s="3" t="s">
        <v>9025</v>
      </c>
      <c r="F2464" s="3" t="s">
        <v>9026</v>
      </c>
      <c r="G2464" s="3">
        <v>269713</v>
      </c>
      <c r="H2464" s="7" t="str">
        <f>HYPERLINK("http://www.ensembl.org/Mus_musculus/Gene/Summary?db=core;g=ENSMUSG00000063146","ENSMUSG00000063146")</f>
        <v>ENSMUSG00000063146</v>
      </c>
      <c r="I2464" s="7" t="str">
        <f>HYPERLINK("http://www.informatics.jax.org/marker/MGI:1313136","MGI:1313136")</f>
        <v>MGI:1313136</v>
      </c>
      <c r="J2464" s="4" t="s">
        <v>12</v>
      </c>
    </row>
    <row r="2465" spans="1:10" x14ac:dyDescent="0.25">
      <c r="A2465" s="2">
        <v>1575.3150838777501</v>
      </c>
      <c r="B2465" s="3">
        <v>0.29159939299662802</v>
      </c>
      <c r="C2465" s="5">
        <v>1.02497162529808E-7</v>
      </c>
      <c r="D2465" s="6">
        <v>6.4148722084675505E-7</v>
      </c>
      <c r="E2465" s="3" t="s">
        <v>6359</v>
      </c>
      <c r="F2465" s="3" t="s">
        <v>6360</v>
      </c>
      <c r="G2465" s="3">
        <v>27054</v>
      </c>
      <c r="H2465" s="7" t="str">
        <f>HYPERLINK("http://www.ensembl.org/Mus_musculus/Gene/Summary?db=core;g=ENSMUSG00000027429","ENSMUSG00000027429")</f>
        <v>ENSMUSG00000027429</v>
      </c>
      <c r="I2465" s="7" t="str">
        <f>HYPERLINK("http://www.informatics.jax.org/marker/MGI:1350925","MGI:1350925")</f>
        <v>MGI:1350925</v>
      </c>
      <c r="J2465" s="4" t="s">
        <v>12</v>
      </c>
    </row>
    <row r="2466" spans="1:10" x14ac:dyDescent="0.25">
      <c r="A2466" s="2">
        <v>1761.08599105285</v>
      </c>
      <c r="B2466" s="3">
        <v>0.29159666832952402</v>
      </c>
      <c r="C2466" s="3">
        <v>1.2457703793975299E-4</v>
      </c>
      <c r="D2466" s="4">
        <v>5.1181616691884702E-4</v>
      </c>
      <c r="E2466" s="3" t="s">
        <v>12021</v>
      </c>
      <c r="F2466" s="3" t="s">
        <v>12022</v>
      </c>
      <c r="G2466" s="3">
        <v>67231</v>
      </c>
      <c r="H2466" s="7" t="str">
        <f>HYPERLINK("http://www.ensembl.org/Mus_musculus/Gene/Summary?db=core;g=ENSMUSG00000027465","ENSMUSG00000027465")</f>
        <v>ENSMUSG00000027465</v>
      </c>
      <c r="I2466" s="7" t="str">
        <f>HYPERLINK("http://www.informatics.jax.org/marker/MGI:1914481","MGI:1914481")</f>
        <v>MGI:1914481</v>
      </c>
      <c r="J2466" s="4" t="s">
        <v>12</v>
      </c>
    </row>
    <row r="2467" spans="1:10" x14ac:dyDescent="0.25">
      <c r="A2467" s="2">
        <v>242.559874519196</v>
      </c>
      <c r="B2467" s="3">
        <v>0.29156537650487702</v>
      </c>
      <c r="C2467" s="3">
        <v>1.8821046580170301E-3</v>
      </c>
      <c r="D2467" s="4">
        <v>6.2685229152705498E-3</v>
      </c>
      <c r="E2467" s="3" t="s">
        <v>12346</v>
      </c>
      <c r="F2467" s="3" t="s">
        <v>12347</v>
      </c>
      <c r="G2467" s="3">
        <v>215436</v>
      </c>
      <c r="H2467" s="7" t="str">
        <f>HYPERLINK("http://www.ensembl.org/Mus_musculus/Gene/Summary?db=core;g=ENSMUSG00000060181","ENSMUSG00000060181")</f>
        <v>ENSMUSG00000060181</v>
      </c>
      <c r="I2467" s="7" t="str">
        <f>HYPERLINK("http://www.informatics.jax.org/marker/MGI:2448489","MGI:2448489")</f>
        <v>MGI:2448489</v>
      </c>
      <c r="J2467" s="4" t="s">
        <v>12</v>
      </c>
    </row>
    <row r="2468" spans="1:10" x14ac:dyDescent="0.25">
      <c r="A2468" s="2">
        <v>354.65143067021597</v>
      </c>
      <c r="B2468" s="3">
        <v>0.29124111961500898</v>
      </c>
      <c r="C2468" s="3">
        <v>1.6479892485514599E-4</v>
      </c>
      <c r="D2468" s="4">
        <v>6.6374815590829704E-4</v>
      </c>
      <c r="E2468" s="3" t="s">
        <v>9181</v>
      </c>
      <c r="F2468" s="3" t="s">
        <v>9182</v>
      </c>
      <c r="G2468" s="3">
        <v>13528</v>
      </c>
      <c r="H2468" s="7" t="str">
        <f>HYPERLINK("http://www.ensembl.org/Mus_musculus/Gene/Summary?db=core;g=ENSMUSG00000071454","ENSMUSG00000071454")</f>
        <v>ENSMUSG00000071454</v>
      </c>
      <c r="I2468" s="7" t="str">
        <f>HYPERLINK("http://www.informatics.jax.org/marker/MGI:1203728","MGI:1203728")</f>
        <v>MGI:1203728</v>
      </c>
      <c r="J2468" s="4" t="s">
        <v>12</v>
      </c>
    </row>
    <row r="2469" spans="1:10" x14ac:dyDescent="0.25">
      <c r="A2469" s="2">
        <v>1197.8360141512601</v>
      </c>
      <c r="B2469" s="3">
        <v>0.29117915526161198</v>
      </c>
      <c r="C2469" s="5">
        <v>6.7104653550338495E-5</v>
      </c>
      <c r="D2469" s="4">
        <v>2.8782826805246402E-4</v>
      </c>
      <c r="E2469" s="3" t="s">
        <v>9485</v>
      </c>
      <c r="F2469" s="3" t="s">
        <v>9486</v>
      </c>
      <c r="G2469" s="3">
        <v>66144</v>
      </c>
      <c r="H2469" s="7" t="str">
        <f>HYPERLINK("http://www.ensembl.org/Mus_musculus/Gene/Summary?db=core;g=ENSMUSG00000004285","ENSMUSG00000004285")</f>
        <v>ENSMUSG00000004285</v>
      </c>
      <c r="I2469" s="7" t="str">
        <f>HYPERLINK("http://www.informatics.jax.org/marker/MGI:1913394","MGI:1913394")</f>
        <v>MGI:1913394</v>
      </c>
      <c r="J2469" s="4" t="s">
        <v>12</v>
      </c>
    </row>
    <row r="2470" spans="1:10" x14ac:dyDescent="0.25">
      <c r="A2470" s="2">
        <v>1312.4121222394399</v>
      </c>
      <c r="B2470" s="3">
        <v>0.29097922301080897</v>
      </c>
      <c r="C2470" s="3">
        <v>1.6318871860163699E-3</v>
      </c>
      <c r="D2470" s="4">
        <v>5.5125898070117101E-3</v>
      </c>
      <c r="E2470" s="3" t="s">
        <v>11601</v>
      </c>
      <c r="F2470" s="3" t="s">
        <v>11602</v>
      </c>
      <c r="G2470" s="3">
        <v>12013</v>
      </c>
      <c r="H2470" s="7" t="str">
        <f>HYPERLINK("http://www.ensembl.org/Mus_musculus/Gene/Summary?db=core;g=ENSMUSG00000025612","ENSMUSG00000025612")</f>
        <v>ENSMUSG00000025612</v>
      </c>
      <c r="I2470" s="7" t="str">
        <f>HYPERLINK("http://www.informatics.jax.org/marker/MGI:894680","MGI:894680")</f>
        <v>MGI:894680</v>
      </c>
      <c r="J2470" s="4" t="s">
        <v>12</v>
      </c>
    </row>
    <row r="2471" spans="1:10" x14ac:dyDescent="0.25">
      <c r="A2471" s="2">
        <v>2509.7628058232799</v>
      </c>
      <c r="B2471" s="3">
        <v>0.29094497637654299</v>
      </c>
      <c r="C2471" s="5">
        <v>7.56256533481489E-12</v>
      </c>
      <c r="D2471" s="6">
        <v>7.1008631234931095E-11</v>
      </c>
      <c r="E2471" s="3" t="s">
        <v>6117</v>
      </c>
      <c r="F2471" s="3" t="s">
        <v>6118</v>
      </c>
      <c r="G2471" s="3">
        <v>24045</v>
      </c>
      <c r="H2471" s="7" t="str">
        <f>HYPERLINK("http://www.ensembl.org/Mus_musculus/Gene/Summary?db=core;g=ENSMUSG00000028049","ENSMUSG00000028049")</f>
        <v>ENSMUSG00000028049</v>
      </c>
      <c r="I2471" s="7" t="str">
        <f>HYPERLINK("http://www.informatics.jax.org/marker/MGI:1346346","MGI:1346346")</f>
        <v>MGI:1346346</v>
      </c>
      <c r="J2471" s="4" t="s">
        <v>12</v>
      </c>
    </row>
    <row r="2472" spans="1:10" x14ac:dyDescent="0.25">
      <c r="A2472" s="2">
        <v>633.26026201163404</v>
      </c>
      <c r="B2472" s="3">
        <v>0.29029989850593302</v>
      </c>
      <c r="C2472" s="5">
        <v>1.19930515172231E-5</v>
      </c>
      <c r="D2472" s="6">
        <v>5.8007792967460502E-5</v>
      </c>
      <c r="E2472" s="3" t="s">
        <v>3686</v>
      </c>
      <c r="F2472" s="3" t="s">
        <v>3687</v>
      </c>
      <c r="G2472" s="3">
        <v>14854</v>
      </c>
      <c r="H2472" s="7" t="str">
        <f>HYPERLINK("http://www.ensembl.org/Mus_musculus/Gene/Summary?db=core;g=ENSMUSG00000027610","ENSMUSG00000027610")</f>
        <v>ENSMUSG00000027610</v>
      </c>
      <c r="I2472" s="7" t="str">
        <f>HYPERLINK("http://www.informatics.jax.org/marker/MGI:95852","MGI:95852")</f>
        <v>MGI:95852</v>
      </c>
      <c r="J2472" s="4" t="s">
        <v>12</v>
      </c>
    </row>
    <row r="2473" spans="1:10" x14ac:dyDescent="0.25">
      <c r="A2473" s="2">
        <v>2642.6976378089798</v>
      </c>
      <c r="B2473" s="3">
        <v>0.29008220989621197</v>
      </c>
      <c r="C2473" s="5">
        <v>3.1013396498840199E-6</v>
      </c>
      <c r="D2473" s="6">
        <v>1.6246598194635299E-5</v>
      </c>
      <c r="E2473" s="3" t="s">
        <v>6732</v>
      </c>
      <c r="F2473" s="3" t="s">
        <v>6733</v>
      </c>
      <c r="G2473" s="3">
        <v>19172</v>
      </c>
      <c r="H2473" s="7" t="str">
        <f>HYPERLINK("http://www.ensembl.org/Mus_musculus/Gene/Summary?db=core;g=ENSMUSG00000005779","ENSMUSG00000005779")</f>
        <v>ENSMUSG00000005779</v>
      </c>
      <c r="I2473" s="7" t="str">
        <f>HYPERLINK("http://www.informatics.jax.org/marker/MGI:1098257","MGI:1098257")</f>
        <v>MGI:1098257</v>
      </c>
      <c r="J2473" s="4" t="s">
        <v>12</v>
      </c>
    </row>
    <row r="2474" spans="1:10" x14ac:dyDescent="0.25">
      <c r="A2474" s="2">
        <v>42592.506199386196</v>
      </c>
      <c r="B2474" s="3">
        <v>0.29005723373545</v>
      </c>
      <c r="C2474" s="5">
        <v>1.20178254461914E-9</v>
      </c>
      <c r="D2474" s="6">
        <v>9.2415556437484493E-9</v>
      </c>
      <c r="E2474" s="3" t="s">
        <v>7544</v>
      </c>
      <c r="F2474" s="3" t="s">
        <v>7545</v>
      </c>
      <c r="G2474" s="3">
        <v>13629</v>
      </c>
      <c r="H2474" s="7" t="str">
        <f>HYPERLINK("http://www.ensembl.org/Mus_musculus/Gene/Summary?db=core;g=ENSMUSG00000034994","ENSMUSG00000034994")</f>
        <v>ENSMUSG00000034994</v>
      </c>
      <c r="I2474" s="7" t="str">
        <f>HYPERLINK("http://www.informatics.jax.org/marker/MGI:95288","MGI:95288")</f>
        <v>MGI:95288</v>
      </c>
      <c r="J2474" s="4" t="s">
        <v>12</v>
      </c>
    </row>
    <row r="2475" spans="1:10" x14ac:dyDescent="0.25">
      <c r="A2475" s="2">
        <v>952.37309307624798</v>
      </c>
      <c r="B2475" s="3">
        <v>0.28993573989372101</v>
      </c>
      <c r="C2475" s="5">
        <v>1.25734714957585E-9</v>
      </c>
      <c r="D2475" s="6">
        <v>9.6444241586784206E-9</v>
      </c>
      <c r="E2475" s="3" t="s">
        <v>9493</v>
      </c>
      <c r="F2475" s="3" t="s">
        <v>9494</v>
      </c>
      <c r="G2475" s="3">
        <v>66980</v>
      </c>
      <c r="H2475" s="7" t="str">
        <f>HYPERLINK("http://www.ensembl.org/Mus_musculus/Gene/Summary?db=core;g=ENSMUSG00000024982","ENSMUSG00000024982")</f>
        <v>ENSMUSG00000024982</v>
      </c>
      <c r="I2475" s="7" t="str">
        <f>HYPERLINK("http://www.informatics.jax.org/marker/MGI:1914230","MGI:1914230")</f>
        <v>MGI:1914230</v>
      </c>
      <c r="J2475" s="4" t="s">
        <v>12</v>
      </c>
    </row>
    <row r="2476" spans="1:10" x14ac:dyDescent="0.25">
      <c r="A2476" s="2">
        <v>152.60978864839799</v>
      </c>
      <c r="B2476" s="3">
        <v>0.28989765506723802</v>
      </c>
      <c r="C2476" s="3">
        <v>6.5167141811048601E-2</v>
      </c>
      <c r="D2476" s="4">
        <v>0.14257757016883099</v>
      </c>
      <c r="E2476" s="3" t="s">
        <v>12167</v>
      </c>
      <c r="F2476" s="3" t="s">
        <v>12168</v>
      </c>
      <c r="G2476" s="3">
        <v>24074</v>
      </c>
      <c r="H2476" s="7" t="str">
        <f>HYPERLINK("http://www.ensembl.org/Mus_musculus/Gene/Summary?db=core;g=ENSMUSG00000051316","ENSMUSG00000051316")</f>
        <v>ENSMUSG00000051316</v>
      </c>
      <c r="I2476" s="7" t="str">
        <f>HYPERLINK("http://www.informatics.jax.org/marker/MGI:1346348","MGI:1346348")</f>
        <v>MGI:1346348</v>
      </c>
      <c r="J2476" s="4" t="s">
        <v>12</v>
      </c>
    </row>
    <row r="2477" spans="1:10" x14ac:dyDescent="0.25">
      <c r="A2477" s="2">
        <v>17918.8007125648</v>
      </c>
      <c r="B2477" s="3">
        <v>0.289618284823212</v>
      </c>
      <c r="C2477" s="5">
        <v>1.73047790459471E-6</v>
      </c>
      <c r="D2477" s="6">
        <v>9.3501214975507103E-6</v>
      </c>
      <c r="E2477" s="3" t="s">
        <v>10184</v>
      </c>
      <c r="F2477" s="3" t="s">
        <v>10185</v>
      </c>
      <c r="G2477" s="3">
        <v>14433</v>
      </c>
      <c r="H2477" s="7" t="str">
        <f>HYPERLINK("http://www.ensembl.org/Mus_musculus/Gene/Summary?db=core;g=ENSMUSG00000057666","ENSMUSG00000057666")</f>
        <v>ENSMUSG00000057666</v>
      </c>
      <c r="I2477" s="7" t="str">
        <f>HYPERLINK("http://www.informatics.jax.org/marker/MGI:95640","MGI:95640")</f>
        <v>MGI:95640</v>
      </c>
      <c r="J2477" s="4" t="s">
        <v>12</v>
      </c>
    </row>
    <row r="2478" spans="1:10" x14ac:dyDescent="0.25">
      <c r="A2478" s="2">
        <v>958.79889331112497</v>
      </c>
      <c r="B2478" s="3">
        <v>0.28957980330231903</v>
      </c>
      <c r="C2478" s="3">
        <v>7.0764589388515602E-4</v>
      </c>
      <c r="D2478" s="4">
        <v>2.55480980172419E-3</v>
      </c>
      <c r="E2478" s="3" t="s">
        <v>8097</v>
      </c>
      <c r="F2478" s="3" t="s">
        <v>8098</v>
      </c>
      <c r="G2478" s="3">
        <v>22213</v>
      </c>
      <c r="H2478" s="7" t="str">
        <f>HYPERLINK("http://www.ensembl.org/Mus_musculus/Gene/Summary?db=core;g=ENSMUSG00000009293","ENSMUSG00000009293")</f>
        <v>ENSMUSG00000009293</v>
      </c>
      <c r="I2478" s="7" t="str">
        <f>HYPERLINK("http://www.informatics.jax.org/marker/MGI:1343188","MGI:1343188")</f>
        <v>MGI:1343188</v>
      </c>
      <c r="J2478" s="4" t="s">
        <v>12</v>
      </c>
    </row>
    <row r="2479" spans="1:10" x14ac:dyDescent="0.25">
      <c r="A2479" s="2">
        <v>1060.21758065462</v>
      </c>
      <c r="B2479" s="3">
        <v>0.28938339522031797</v>
      </c>
      <c r="C2479" s="3">
        <v>5.5271804051976502E-3</v>
      </c>
      <c r="D2479" s="4">
        <v>1.64515536313453E-2</v>
      </c>
      <c r="E2479" s="3" t="s">
        <v>3822</v>
      </c>
      <c r="F2479" s="3" t="s">
        <v>3823</v>
      </c>
      <c r="G2479" s="3">
        <v>68497</v>
      </c>
      <c r="H2479" s="7" t="str">
        <f>HYPERLINK("http://www.ensembl.org/Mus_musculus/Gene/Summary?db=core;g=ENSMUSG00000042350","ENSMUSG00000042350")</f>
        <v>ENSMUSG00000042350</v>
      </c>
      <c r="I2479" s="7" t="str">
        <f>HYPERLINK("http://www.informatics.jax.org/marker/MGI:1915747","MGI:1915747")</f>
        <v>MGI:1915747</v>
      </c>
      <c r="J2479" s="4" t="s">
        <v>12</v>
      </c>
    </row>
    <row r="2480" spans="1:10" x14ac:dyDescent="0.25">
      <c r="A2480" s="2">
        <v>684.99137461399096</v>
      </c>
      <c r="B2480" s="3">
        <v>0.28930488676059102</v>
      </c>
      <c r="C2480" s="3">
        <v>4.9269558429652201E-2</v>
      </c>
      <c r="D2480" s="4">
        <v>0.112948138664203</v>
      </c>
      <c r="E2480" s="3" t="s">
        <v>10994</v>
      </c>
      <c r="F2480" s="3" t="s">
        <v>10995</v>
      </c>
      <c r="G2480" s="3">
        <v>22190</v>
      </c>
      <c r="H2480" s="7" t="str">
        <f>HYPERLINK("http://www.ensembl.org/Mus_musculus/Gene/Summary?db=core;g=ENSMUSG00000008348","ENSMUSG00000008348")</f>
        <v>ENSMUSG00000008348</v>
      </c>
      <c r="I2480" s="7" t="str">
        <f>HYPERLINK("http://www.informatics.jax.org/marker/MGI:98889","MGI:98889")</f>
        <v>MGI:98889</v>
      </c>
      <c r="J2480" s="4" t="s">
        <v>12</v>
      </c>
    </row>
    <row r="2481" spans="1:10" x14ac:dyDescent="0.25">
      <c r="A2481" s="2">
        <v>289.25284843733999</v>
      </c>
      <c r="B2481" s="3">
        <v>0.28853894061408097</v>
      </c>
      <c r="C2481" s="3">
        <v>6.9626537194021696E-4</v>
      </c>
      <c r="D2481" s="4">
        <v>2.5192448686937601E-3</v>
      </c>
      <c r="E2481" s="3" t="s">
        <v>6643</v>
      </c>
      <c r="F2481" s="3" t="s">
        <v>6644</v>
      </c>
      <c r="G2481" s="3">
        <v>107999</v>
      </c>
      <c r="H2481" s="7" t="str">
        <f>HYPERLINK("http://www.ensembl.org/Mus_musculus/Gene/Summary?db=core;g=ENSMUSG00000033434","ENSMUSG00000033434")</f>
        <v>ENSMUSG00000033434</v>
      </c>
      <c r="I2481" s="7" t="str">
        <f>HYPERLINK("http://www.informatics.jax.org/marker/MGI:1306825","MGI:1306825")</f>
        <v>MGI:1306825</v>
      </c>
      <c r="J2481" s="4" t="s">
        <v>12</v>
      </c>
    </row>
    <row r="2482" spans="1:10" x14ac:dyDescent="0.25">
      <c r="A2482" s="2">
        <v>343.57246099415602</v>
      </c>
      <c r="B2482" s="3">
        <v>0.28798334413031001</v>
      </c>
      <c r="C2482" s="3">
        <v>9.5605073648537299E-3</v>
      </c>
      <c r="D2482" s="4">
        <v>2.69263246367577E-2</v>
      </c>
      <c r="E2482" s="3" t="s">
        <v>6858</v>
      </c>
      <c r="F2482" s="3" t="s">
        <v>6859</v>
      </c>
      <c r="G2482" s="3">
        <v>20557</v>
      </c>
      <c r="H2482" s="7" t="str">
        <f>HYPERLINK("http://www.ensembl.org/Mus_musculus/Gene/Summary?db=core;g=ENSMUSG00000018986","ENSMUSG00000018986")</f>
        <v>ENSMUSG00000018986</v>
      </c>
      <c r="I2482" s="7" t="str">
        <f>HYPERLINK("http://www.informatics.jax.org/marker/MGI:1329005","MGI:1329005")</f>
        <v>MGI:1329005</v>
      </c>
      <c r="J2482" s="4" t="s">
        <v>12</v>
      </c>
    </row>
    <row r="2483" spans="1:10" x14ac:dyDescent="0.25">
      <c r="A2483" s="2">
        <v>415.43280119613598</v>
      </c>
      <c r="B2483" s="3">
        <v>0.28747826327259801</v>
      </c>
      <c r="C2483" s="5">
        <v>9.8325336301898294E-5</v>
      </c>
      <c r="D2483" s="4">
        <v>4.1185457460402101E-4</v>
      </c>
      <c r="E2483" s="3" t="s">
        <v>9827</v>
      </c>
      <c r="F2483" s="3" t="s">
        <v>9828</v>
      </c>
      <c r="G2483" s="3">
        <v>109161</v>
      </c>
      <c r="H2483" s="7" t="str">
        <f>HYPERLINK("http://www.ensembl.org/Mus_musculus/Gene/Summary?db=core;g=ENSMUSG00000032307","ENSMUSG00000032307")</f>
        <v>ENSMUSG00000032307</v>
      </c>
      <c r="I2483" s="7" t="str">
        <f>HYPERLINK("http://www.informatics.jax.org/marker/MGI:2388672","MGI:2388672")</f>
        <v>MGI:2388672</v>
      </c>
      <c r="J2483" s="4" t="s">
        <v>12</v>
      </c>
    </row>
    <row r="2484" spans="1:10" x14ac:dyDescent="0.25">
      <c r="A2484" s="2">
        <v>15549.699880047499</v>
      </c>
      <c r="B2484" s="3">
        <v>0.28746660444355399</v>
      </c>
      <c r="C2484" s="5">
        <v>3.6304058994792198E-22</v>
      </c>
      <c r="D2484" s="6">
        <v>6.36806039634348E-21</v>
      </c>
      <c r="E2484" s="3" t="s">
        <v>3138</v>
      </c>
      <c r="F2484" s="3" t="s">
        <v>3139</v>
      </c>
      <c r="G2484" s="3">
        <v>13194</v>
      </c>
      <c r="H2484" s="7" t="str">
        <f>HYPERLINK("http://www.ensembl.org/Mus_musculus/Gene/Summary?db=core;g=ENSMUSG00000024740","ENSMUSG00000024740")</f>
        <v>ENSMUSG00000024740</v>
      </c>
      <c r="I2484" s="7" t="str">
        <f>HYPERLINK("http://www.informatics.jax.org/marker/MGI:1202384","MGI:1202384")</f>
        <v>MGI:1202384</v>
      </c>
      <c r="J2484" s="4" t="s">
        <v>12</v>
      </c>
    </row>
    <row r="2485" spans="1:10" x14ac:dyDescent="0.25">
      <c r="A2485" s="2">
        <v>382.10345598103601</v>
      </c>
      <c r="B2485" s="3">
        <v>0.28695765646302601</v>
      </c>
      <c r="C2485" s="5">
        <v>6.3439472835016502E-6</v>
      </c>
      <c r="D2485" s="6">
        <v>3.1965285939125699E-5</v>
      </c>
      <c r="E2485" s="3" t="s">
        <v>6431</v>
      </c>
      <c r="F2485" s="3" t="s">
        <v>6432</v>
      </c>
      <c r="G2485" s="3">
        <v>52686</v>
      </c>
      <c r="H2485" s="7" t="str">
        <f>HYPERLINK("http://www.ensembl.org/Mus_musculus/Gene/Summary?db=core;g=ENSMUSG00000020691","ENSMUSG00000020691")</f>
        <v>ENSMUSG00000020691</v>
      </c>
      <c r="I2485" s="7" t="str">
        <f>HYPERLINK("http://www.informatics.jax.org/marker/MGI:1289171","MGI:1289171")</f>
        <v>MGI:1289171</v>
      </c>
      <c r="J2485" s="4" t="s">
        <v>12</v>
      </c>
    </row>
    <row r="2486" spans="1:10" x14ac:dyDescent="0.25">
      <c r="A2486" s="2">
        <v>679.286384075765</v>
      </c>
      <c r="B2486" s="3">
        <v>0.286469641392189</v>
      </c>
      <c r="C2486" s="5">
        <v>4.0270061343744802E-6</v>
      </c>
      <c r="D2486" s="6">
        <v>2.0832298268230199E-5</v>
      </c>
      <c r="E2486" s="3" t="s">
        <v>4947</v>
      </c>
      <c r="F2486" s="3" t="s">
        <v>4948</v>
      </c>
      <c r="G2486" s="3">
        <v>26374</v>
      </c>
      <c r="H2486" s="7" t="str">
        <f>HYPERLINK("http://www.ensembl.org/Mus_musculus/Gene/Summary?db=core;g=ENSMUSG00000040782","ENSMUSG00000040782")</f>
        <v>ENSMUSG00000040782</v>
      </c>
      <c r="I2486" s="7" t="str">
        <f>HYPERLINK("http://www.informatics.jax.org/marker/MGI:1347046","MGI:1347046")</f>
        <v>MGI:1347046</v>
      </c>
      <c r="J2486" s="4" t="s">
        <v>12</v>
      </c>
    </row>
    <row r="2487" spans="1:10" x14ac:dyDescent="0.25">
      <c r="A2487" s="2">
        <v>274.90167952079298</v>
      </c>
      <c r="B2487" s="3">
        <v>0.28603100250915903</v>
      </c>
      <c r="C2487" s="3">
        <v>1.3971261375433E-4</v>
      </c>
      <c r="D2487" s="4">
        <v>5.6925159527669697E-4</v>
      </c>
      <c r="E2487" s="3" t="s">
        <v>12649</v>
      </c>
      <c r="F2487" s="3" t="s">
        <v>12650</v>
      </c>
      <c r="G2487" s="3">
        <v>212090</v>
      </c>
      <c r="H2487" s="7" t="str">
        <f>HYPERLINK("http://www.ensembl.org/Mus_musculus/Gene/Summary?db=core;g=ENSMUSG00000045435","ENSMUSG00000045435")</f>
        <v>ENSMUSG00000045435</v>
      </c>
      <c r="I2487" s="7" t="str">
        <f>HYPERLINK("http://www.informatics.jax.org/marker/MGI:2673965","MGI:2673965")</f>
        <v>MGI:2673965</v>
      </c>
      <c r="J2487" s="4" t="s">
        <v>12</v>
      </c>
    </row>
    <row r="2488" spans="1:10" x14ac:dyDescent="0.25">
      <c r="A2488" s="2">
        <v>2768.2912908675899</v>
      </c>
      <c r="B2488" s="3">
        <v>0.285804805808898</v>
      </c>
      <c r="C2488" s="5">
        <v>1.77624701353134E-7</v>
      </c>
      <c r="D2488" s="6">
        <v>1.08449252333698E-6</v>
      </c>
      <c r="E2488" s="3" t="s">
        <v>6335</v>
      </c>
      <c r="F2488" s="3" t="s">
        <v>6336</v>
      </c>
      <c r="G2488" s="3">
        <v>66390</v>
      </c>
      <c r="H2488" s="7" t="str">
        <f>HYPERLINK("http://www.ensembl.org/Mus_musculus/Gene/Summary?db=core;g=ENSMUSG00000016257","ENSMUSG00000016257")</f>
        <v>ENSMUSG00000016257</v>
      </c>
      <c r="I2488" s="7" t="str">
        <f>HYPERLINK("http://www.informatics.jax.org/marker/MGI:1913640","MGI:1913640")</f>
        <v>MGI:1913640</v>
      </c>
      <c r="J2488" s="4" t="s">
        <v>12</v>
      </c>
    </row>
    <row r="2489" spans="1:10" x14ac:dyDescent="0.25">
      <c r="A2489" s="2">
        <v>288.73541896012603</v>
      </c>
      <c r="B2489" s="3">
        <v>0.285599609036986</v>
      </c>
      <c r="C2489" s="3">
        <v>8.7604059957228694E-3</v>
      </c>
      <c r="D2489" s="4">
        <v>2.49271505498906E-2</v>
      </c>
      <c r="E2489" s="3" t="s">
        <v>5885</v>
      </c>
      <c r="F2489" s="3" t="s">
        <v>5886</v>
      </c>
      <c r="G2489" s="3">
        <v>17318</v>
      </c>
      <c r="H2489" s="7" t="str">
        <f>HYPERLINK("http://www.ensembl.org/Mus_musculus/Gene/Summary?db=core;g=ENSMUSG00000035299","ENSMUSG00000035299")</f>
        <v>ENSMUSG00000035299</v>
      </c>
      <c r="I2489" s="7" t="str">
        <f>HYPERLINK("http://www.informatics.jax.org/marker/MGI:1100537","MGI:1100537")</f>
        <v>MGI:1100537</v>
      </c>
      <c r="J2489" s="4" t="s">
        <v>12</v>
      </c>
    </row>
    <row r="2490" spans="1:10" x14ac:dyDescent="0.25">
      <c r="A2490" s="2">
        <v>769.05734259913504</v>
      </c>
      <c r="B2490" s="3">
        <v>0.28551161617433801</v>
      </c>
      <c r="C2490" s="3">
        <v>6.21293918981255E-4</v>
      </c>
      <c r="D2490" s="4">
        <v>2.27143062656638E-3</v>
      </c>
      <c r="E2490" s="3" t="s">
        <v>7730</v>
      </c>
      <c r="F2490" s="3" t="s">
        <v>7731</v>
      </c>
      <c r="G2490" s="3">
        <v>50771</v>
      </c>
      <c r="H2490" s="7" t="str">
        <f>HYPERLINK("http://www.ensembl.org/Mus_musculus/Gene/Summary?db=core;g=ENSMUSG00000024566","ENSMUSG00000024566")</f>
        <v>ENSMUSG00000024566</v>
      </c>
      <c r="I2490" s="7" t="str">
        <f>HYPERLINK("http://www.informatics.jax.org/marker/MGI:1354757","MGI:1354757")</f>
        <v>MGI:1354757</v>
      </c>
      <c r="J2490" s="4" t="s">
        <v>12</v>
      </c>
    </row>
    <row r="2491" spans="1:10" x14ac:dyDescent="0.25">
      <c r="A2491" s="2">
        <v>449.46719431299999</v>
      </c>
      <c r="B2491" s="3">
        <v>0.28517815984641898</v>
      </c>
      <c r="C2491" s="3">
        <v>1.21134832481404E-2</v>
      </c>
      <c r="D2491" s="4">
        <v>3.32532357579996E-2</v>
      </c>
      <c r="E2491" s="3" t="s">
        <v>12911</v>
      </c>
      <c r="F2491" s="3" t="s">
        <v>12912</v>
      </c>
      <c r="G2491" s="3">
        <v>77809</v>
      </c>
      <c r="H2491" s="7" t="str">
        <f>HYPERLINK("http://www.ensembl.org/Mus_musculus/Gene/Summary?db=core;g=ENSMUSG00000028617","ENSMUSG00000028617")</f>
        <v>ENSMUSG00000028617</v>
      </c>
      <c r="I2491" s="7" t="str">
        <f>HYPERLINK("http://www.informatics.jax.org/marker/MGI:1925059","MGI:1925059")</f>
        <v>MGI:1925059</v>
      </c>
      <c r="J2491" s="4" t="s">
        <v>12</v>
      </c>
    </row>
    <row r="2492" spans="1:10" x14ac:dyDescent="0.25">
      <c r="A2492" s="2">
        <v>808.72933333110495</v>
      </c>
      <c r="B2492" s="3">
        <v>0.28512520906287703</v>
      </c>
      <c r="C2492" s="3">
        <v>1.7880743539763099E-4</v>
      </c>
      <c r="D2492" s="4">
        <v>7.1574028335642901E-4</v>
      </c>
      <c r="E2492" s="3" t="s">
        <v>12955</v>
      </c>
      <c r="F2492" s="3" t="s">
        <v>12956</v>
      </c>
      <c r="G2492" s="3">
        <v>68480</v>
      </c>
      <c r="H2492" s="7" t="str">
        <f>HYPERLINK("http://www.ensembl.org/Mus_musculus/Gene/Summary?db=core;g=ENSMUSG00000037960","ENSMUSG00000037960")</f>
        <v>ENSMUSG00000037960</v>
      </c>
      <c r="I2492" s="7" t="str">
        <f>HYPERLINK("http://www.informatics.jax.org/marker/MGI:1915730","MGI:1915730")</f>
        <v>MGI:1915730</v>
      </c>
      <c r="J2492" s="4" t="s">
        <v>12</v>
      </c>
    </row>
    <row r="2493" spans="1:10" x14ac:dyDescent="0.25">
      <c r="A2493" s="2">
        <v>699.06653926586296</v>
      </c>
      <c r="B2493" s="3">
        <v>0.28505751733123202</v>
      </c>
      <c r="C2493" s="5">
        <v>5.7072368905204898E-5</v>
      </c>
      <c r="D2493" s="4">
        <v>2.4830363411252303E-4</v>
      </c>
      <c r="E2493" s="3" t="s">
        <v>8653</v>
      </c>
      <c r="F2493" s="3" t="s">
        <v>8654</v>
      </c>
      <c r="G2493" s="3">
        <v>12662</v>
      </c>
      <c r="H2493" s="7" t="str">
        <f>HYPERLINK("http://www.ensembl.org/Mus_musculus/Gene/Summary?db=core;g=ENSMUSG00000025531","ENSMUSG00000025531")</f>
        <v>ENSMUSG00000025531</v>
      </c>
      <c r="I2493" s="7" t="str">
        <f>HYPERLINK("http://www.informatics.jax.org/marker/MGI:892979","MGI:892979")</f>
        <v>MGI:892979</v>
      </c>
      <c r="J2493" s="4" t="s">
        <v>12</v>
      </c>
    </row>
    <row r="2494" spans="1:10" x14ac:dyDescent="0.25">
      <c r="A2494" s="2">
        <v>136.63689822462001</v>
      </c>
      <c r="B2494" s="3">
        <v>0.28505552952889002</v>
      </c>
      <c r="C2494" s="3">
        <v>3.7938349917471401E-2</v>
      </c>
      <c r="D2494" s="4">
        <v>9.0264546637847998E-2</v>
      </c>
      <c r="E2494" s="3" t="s">
        <v>14045</v>
      </c>
      <c r="F2494" s="3" t="s">
        <v>14046</v>
      </c>
      <c r="G2494" s="3">
        <v>209815</v>
      </c>
      <c r="H2494" s="7" t="str">
        <f>HYPERLINK("http://www.ensembl.org/Mus_musculus/Gene/Summary?db=core;g=ENSMUSG00000039201","ENSMUSG00000039201")</f>
        <v>ENSMUSG00000039201</v>
      </c>
      <c r="I2494" s="7" t="str">
        <f>HYPERLINK("http://www.informatics.jax.org/marker/MGI:2444862","MGI:2444862")</f>
        <v>MGI:2444862</v>
      </c>
      <c r="J2494" s="4" t="s">
        <v>12</v>
      </c>
    </row>
    <row r="2495" spans="1:10" x14ac:dyDescent="0.25">
      <c r="A2495" s="2">
        <v>1701.23830401904</v>
      </c>
      <c r="B2495" s="3">
        <v>0.284954211334912</v>
      </c>
      <c r="C2495" s="5">
        <v>8.6324157090479698E-13</v>
      </c>
      <c r="D2495" s="6">
        <v>8.7744437421862408E-12</v>
      </c>
      <c r="E2495" s="3" t="s">
        <v>2161</v>
      </c>
      <c r="F2495" s="3" t="s">
        <v>2162</v>
      </c>
      <c r="G2495" s="3">
        <v>71955</v>
      </c>
      <c r="H2495" s="7" t="str">
        <f>HYPERLINK("http://www.ensembl.org/Mus_musculus/Gene/Summary?db=core;g=ENSMUSG00000031729","ENSMUSG00000031729")</f>
        <v>ENSMUSG00000031729</v>
      </c>
      <c r="I2495" s="7" t="str">
        <f>HYPERLINK("http://www.informatics.jax.org/marker/MGI:1919205","MGI:1919205")</f>
        <v>MGI:1919205</v>
      </c>
      <c r="J2495" s="4" t="s">
        <v>12</v>
      </c>
    </row>
    <row r="2496" spans="1:10" x14ac:dyDescent="0.25">
      <c r="A2496" s="2">
        <v>305.63241991407602</v>
      </c>
      <c r="B2496" s="3">
        <v>0.28491539559833801</v>
      </c>
      <c r="C2496" s="3">
        <v>3.2296990903398302E-3</v>
      </c>
      <c r="D2496" s="4">
        <v>1.0166021748090399E-2</v>
      </c>
      <c r="E2496" s="3" t="s">
        <v>12117</v>
      </c>
      <c r="F2496" s="3" t="s">
        <v>12118</v>
      </c>
      <c r="G2496" s="3">
        <v>269701</v>
      </c>
      <c r="H2496" s="7" t="str">
        <f>HYPERLINK("http://www.ensembl.org/Mus_musculus/Gene/Summary?db=core;g=ENSMUSG00000029442","ENSMUSG00000029442")</f>
        <v>ENSMUSG00000029442</v>
      </c>
      <c r="I2496" s="7" t="str">
        <f>HYPERLINK("http://www.informatics.jax.org/marker/MGI:1918495","MGI:1918495")</f>
        <v>MGI:1918495</v>
      </c>
      <c r="J2496" s="4" t="s">
        <v>12</v>
      </c>
    </row>
    <row r="2497" spans="1:10" x14ac:dyDescent="0.25">
      <c r="A2497" s="2">
        <v>378.69885322582599</v>
      </c>
      <c r="B2497" s="3">
        <v>0.28473513455067501</v>
      </c>
      <c r="C2497" s="5">
        <v>7.9624828019793907E-5</v>
      </c>
      <c r="D2497" s="4">
        <v>3.3763668931148001E-4</v>
      </c>
      <c r="E2497" s="3" t="s">
        <v>11995</v>
      </c>
      <c r="F2497" s="3" t="s">
        <v>11996</v>
      </c>
      <c r="G2497" s="3">
        <v>225280</v>
      </c>
      <c r="H2497" s="7" t="str">
        <f>HYPERLINK("http://www.ensembl.org/Mus_musculus/Gene/Summary?db=core;g=ENSMUSG00000047989","ENSMUSG00000047989")</f>
        <v>ENSMUSG00000047989</v>
      </c>
      <c r="I2497" s="7" t="str">
        <f>HYPERLINK("http://www.informatics.jax.org/marker/MGI:2443014","MGI:2443014")</f>
        <v>MGI:2443014</v>
      </c>
      <c r="J2497" s="4" t="s">
        <v>12</v>
      </c>
    </row>
    <row r="2498" spans="1:10" x14ac:dyDescent="0.25">
      <c r="A2498" s="2">
        <v>717.62098184969705</v>
      </c>
      <c r="B2498" s="3">
        <v>0.28446492068933299</v>
      </c>
      <c r="C2498" s="5">
        <v>1.1046523428231601E-5</v>
      </c>
      <c r="D2498" s="6">
        <v>5.36717913835033E-5</v>
      </c>
      <c r="E2498" s="3" t="s">
        <v>5811</v>
      </c>
      <c r="F2498" s="3" t="s">
        <v>5812</v>
      </c>
      <c r="G2498" s="3">
        <v>67149</v>
      </c>
      <c r="H2498" s="7" t="str">
        <f>HYPERLINK("http://www.ensembl.org/Mus_musculus/Gene/Summary?db=core;g=ENSMUSG00000078532","ENSMUSG00000078532")</f>
        <v>ENSMUSG00000078532</v>
      </c>
      <c r="I2498" s="7" t="str">
        <f>HYPERLINK("http://www.informatics.jax.org/marker/MGI:1914399","MGI:1914399")</f>
        <v>MGI:1914399</v>
      </c>
      <c r="J2498" s="4" t="s">
        <v>12</v>
      </c>
    </row>
    <row r="2499" spans="1:10" x14ac:dyDescent="0.25">
      <c r="A2499" s="2">
        <v>60.310927079922202</v>
      </c>
      <c r="B2499" s="3">
        <v>0.28407558967285801</v>
      </c>
      <c r="C2499" s="3">
        <v>0.108643940209303</v>
      </c>
      <c r="D2499" s="4">
        <v>0.217490752451071</v>
      </c>
      <c r="E2499" s="3" t="s">
        <v>9013</v>
      </c>
      <c r="F2499" s="3" t="s">
        <v>9014</v>
      </c>
      <c r="G2499" s="3">
        <v>54447</v>
      </c>
      <c r="H2499" s="7" t="str">
        <f>HYPERLINK("http://www.ensembl.org/Mus_musculus/Gene/Summary?db=core;g=ENSMUSG00000024887","ENSMUSG00000024887")</f>
        <v>ENSMUSG00000024887</v>
      </c>
      <c r="I2499" s="7" t="str">
        <f>HYPERLINK("http://www.informatics.jax.org/marker/MGI:1859310","MGI:1859310")</f>
        <v>MGI:1859310</v>
      </c>
      <c r="J2499" s="4" t="s">
        <v>12</v>
      </c>
    </row>
    <row r="2500" spans="1:10" x14ac:dyDescent="0.25">
      <c r="A2500" s="2">
        <v>1883.3777183826201</v>
      </c>
      <c r="B2500" s="3">
        <v>0.283959921614793</v>
      </c>
      <c r="C2500" s="5">
        <v>2.8103211736783499E-7</v>
      </c>
      <c r="D2500" s="6">
        <v>1.67543681355211E-6</v>
      </c>
      <c r="E2500" s="3" t="s">
        <v>6918</v>
      </c>
      <c r="F2500" s="3" t="s">
        <v>6919</v>
      </c>
      <c r="G2500" s="3">
        <v>74440</v>
      </c>
      <c r="H2500" s="7" t="str">
        <f>HYPERLINK("http://www.ensembl.org/Mus_musculus/Gene/Summary?db=core;g=ENSMUSG00000034390","ENSMUSG00000034390")</f>
        <v>ENSMUSG00000034390</v>
      </c>
      <c r="I2500" s="7" t="str">
        <f>HYPERLINK("http://www.informatics.jax.org/marker/MGI:1921690","MGI:1921690")</f>
        <v>MGI:1921690</v>
      </c>
      <c r="J2500" s="4" t="s">
        <v>12</v>
      </c>
    </row>
    <row r="2501" spans="1:10" x14ac:dyDescent="0.25">
      <c r="A2501" s="2">
        <v>881.11400888933497</v>
      </c>
      <c r="B2501" s="3">
        <v>0.28391926761886399</v>
      </c>
      <c r="C2501" s="5">
        <v>8.0595610896530195E-7</v>
      </c>
      <c r="D2501" s="6">
        <v>4.5251232550500997E-6</v>
      </c>
      <c r="E2501" s="3" t="s">
        <v>3786</v>
      </c>
      <c r="F2501" s="3" t="s">
        <v>3787</v>
      </c>
      <c r="G2501" s="3">
        <v>73736</v>
      </c>
      <c r="H2501" s="7" t="str">
        <f>HYPERLINK("http://www.ensembl.org/Mus_musculus/Gene/Summary?db=core;g=ENSMUSG00000021243","ENSMUSG00000021243")</f>
        <v>ENSMUSG00000021243</v>
      </c>
      <c r="I2501" s="7" t="str">
        <f>HYPERLINK("http://www.informatics.jax.org/marker/MGI:1920986","MGI:1920986")</f>
        <v>MGI:1920986</v>
      </c>
      <c r="J2501" s="4" t="s">
        <v>12</v>
      </c>
    </row>
    <row r="2502" spans="1:10" x14ac:dyDescent="0.25">
      <c r="A2502" s="2">
        <v>507.28669957566399</v>
      </c>
      <c r="B2502" s="3">
        <v>0.28391528232567298</v>
      </c>
      <c r="C2502" s="3">
        <v>2.16703215785706E-2</v>
      </c>
      <c r="D2502" s="4">
        <v>5.5290719693329E-2</v>
      </c>
      <c r="E2502" s="3" t="s">
        <v>11707</v>
      </c>
      <c r="F2502" s="3" t="s">
        <v>11708</v>
      </c>
      <c r="G2502" s="3">
        <v>233979</v>
      </c>
      <c r="H2502" s="7" t="str">
        <f>HYPERLINK("http://www.ensembl.org/Mus_musculus/Gene/Summary?db=core;g=ENSMUSG00000048677","ENSMUSG00000048677")</f>
        <v>ENSMUSG00000048677</v>
      </c>
      <c r="I2502" s="7" t="str">
        <f>HYPERLINK("http://www.informatics.jax.org/marker/MGI:2385297","MGI:2385297")</f>
        <v>MGI:2385297</v>
      </c>
      <c r="J2502" s="4" t="s">
        <v>12</v>
      </c>
    </row>
    <row r="2503" spans="1:10" x14ac:dyDescent="0.25">
      <c r="A2503" s="2">
        <v>73.5399430060003</v>
      </c>
      <c r="B2503" s="3">
        <v>0.283577494144436</v>
      </c>
      <c r="C2503" s="3">
        <v>7.3968134015045206E-2</v>
      </c>
      <c r="D2503" s="4">
        <v>0.15842863349679101</v>
      </c>
      <c r="E2503" s="3" t="s">
        <v>12503</v>
      </c>
      <c r="F2503" s="3" t="s">
        <v>12504</v>
      </c>
      <c r="G2503" s="3">
        <v>68255</v>
      </c>
      <c r="H2503" s="7" t="str">
        <f>HYPERLINK("http://www.ensembl.org/Mus_musculus/Gene/Summary?db=core;g=ENSMUSG00000045282","ENSMUSG00000045282")</f>
        <v>ENSMUSG00000045282</v>
      </c>
      <c r="I2503" s="7" t="str">
        <f>HYPERLINK("http://www.informatics.jax.org/marker/MGI:1915505","MGI:1915505")</f>
        <v>MGI:1915505</v>
      </c>
      <c r="J2503" s="4" t="s">
        <v>12</v>
      </c>
    </row>
    <row r="2504" spans="1:10" x14ac:dyDescent="0.25">
      <c r="A2504" s="2">
        <v>383.97256731063499</v>
      </c>
      <c r="B2504" s="3">
        <v>0.28349553040324599</v>
      </c>
      <c r="C2504" s="3">
        <v>1.40089968165488E-3</v>
      </c>
      <c r="D2504" s="4">
        <v>4.79462848791741E-3</v>
      </c>
      <c r="E2504" s="3" t="s">
        <v>6523</v>
      </c>
      <c r="F2504" s="3" t="s">
        <v>6524</v>
      </c>
      <c r="G2504" s="3">
        <v>66254</v>
      </c>
      <c r="H2504" s="7" t="str">
        <f>HYPERLINK("http://www.ensembl.org/Mus_musculus/Gene/Summary?db=core;g=ENSMUSG00000021692","ENSMUSG00000021692")</f>
        <v>ENSMUSG00000021692</v>
      </c>
      <c r="I2504" s="7" t="str">
        <f>HYPERLINK("http://www.informatics.jax.org/marker/MGI:1913504","MGI:1913504")</f>
        <v>MGI:1913504</v>
      </c>
      <c r="J2504" s="4" t="s">
        <v>12</v>
      </c>
    </row>
    <row r="2505" spans="1:10" x14ac:dyDescent="0.25">
      <c r="A2505" s="2">
        <v>1726.28820580102</v>
      </c>
      <c r="B2505" s="3">
        <v>0.28307675492180401</v>
      </c>
      <c r="C2505" s="5">
        <v>8.0229695154931699E-8</v>
      </c>
      <c r="D2505" s="6">
        <v>5.07175232118845E-7</v>
      </c>
      <c r="E2505" s="3" t="s">
        <v>5255</v>
      </c>
      <c r="F2505" s="3" t="s">
        <v>5256</v>
      </c>
      <c r="G2505" s="3">
        <v>66413</v>
      </c>
      <c r="H2505" s="7" t="str">
        <f>HYPERLINK("http://www.ensembl.org/Mus_musculus/Gene/Summary?db=core;g=ENSMUSG00000021737","ENSMUSG00000021737")</f>
        <v>ENSMUSG00000021737</v>
      </c>
      <c r="I2505" s="7" t="str">
        <f>HYPERLINK("http://www.informatics.jax.org/marker/MGI:1913663","MGI:1913663")</f>
        <v>MGI:1913663</v>
      </c>
      <c r="J2505" s="4" t="s">
        <v>12</v>
      </c>
    </row>
    <row r="2506" spans="1:10" x14ac:dyDescent="0.25">
      <c r="A2506" s="2">
        <v>134.01304608755899</v>
      </c>
      <c r="B2506" s="3">
        <v>0.28272042276346798</v>
      </c>
      <c r="C2506" s="3">
        <v>1.7096698119470798E-2</v>
      </c>
      <c r="D2506" s="4">
        <v>4.5053112091867499E-2</v>
      </c>
      <c r="E2506" s="3" t="s">
        <v>8583</v>
      </c>
      <c r="F2506" s="3" t="s">
        <v>8584</v>
      </c>
      <c r="G2506" s="3">
        <v>54399</v>
      </c>
      <c r="H2506" s="7" t="str">
        <f>HYPERLINK("http://www.ensembl.org/Mus_musculus/Gene/Summary?db=core;g=ENSMUSG00000025484","ENSMUSG00000025484")</f>
        <v>ENSMUSG00000025484</v>
      </c>
      <c r="I2506" s="7" t="str">
        <f>HYPERLINK("http://www.informatics.jax.org/marker/MGI:1913128","MGI:1913128")</f>
        <v>MGI:1913128</v>
      </c>
      <c r="J2506" s="4" t="s">
        <v>12</v>
      </c>
    </row>
    <row r="2507" spans="1:10" x14ac:dyDescent="0.25">
      <c r="A2507" s="2">
        <v>1614.89715811359</v>
      </c>
      <c r="B2507" s="3">
        <v>0.28249945665292098</v>
      </c>
      <c r="C2507" s="5">
        <v>3.1871624869213102E-5</v>
      </c>
      <c r="D2507" s="4">
        <v>1.4438487776321401E-4</v>
      </c>
      <c r="E2507" s="3" t="s">
        <v>8949</v>
      </c>
      <c r="F2507" s="3" t="s">
        <v>8950</v>
      </c>
      <c r="G2507" s="3" t="s">
        <v>83</v>
      </c>
      <c r="H2507" s="7" t="str">
        <f>HYPERLINK("http://www.ensembl.org/Mus_musculus/Gene/Summary?db=core;g=ENSMUSG00000116925","ENSMUSG00000116925")</f>
        <v>ENSMUSG00000116925</v>
      </c>
      <c r="I2507" s="7" t="str">
        <f>HYPERLINK("http://www.informatics.jax.org/marker/MGI:6215291","MGI:6215291")</f>
        <v>MGI:6215291</v>
      </c>
      <c r="J2507" s="4" t="s">
        <v>12</v>
      </c>
    </row>
    <row r="2508" spans="1:10" x14ac:dyDescent="0.25">
      <c r="A2508" s="2">
        <v>3926.6683482042899</v>
      </c>
      <c r="B2508" s="3">
        <v>0.28204431968978699</v>
      </c>
      <c r="C2508" s="5">
        <v>2.21928027141862E-6</v>
      </c>
      <c r="D2508" s="6">
        <v>1.1850683547203199E-5</v>
      </c>
      <c r="E2508" s="3" t="s">
        <v>9545</v>
      </c>
      <c r="F2508" s="3" t="s">
        <v>9546</v>
      </c>
      <c r="G2508" s="3">
        <v>11972</v>
      </c>
      <c r="H2508" s="7" t="str">
        <f>HYPERLINK("http://www.ensembl.org/Mus_musculus/Gene/Summary?db=core;g=ENSMUSG00000013160","ENSMUSG00000013160")</f>
        <v>ENSMUSG00000013160</v>
      </c>
      <c r="I2508" s="7" t="str">
        <f>HYPERLINK("http://www.informatics.jax.org/marker/MGI:1201778","MGI:1201778")</f>
        <v>MGI:1201778</v>
      </c>
      <c r="J2508" s="4" t="s">
        <v>12</v>
      </c>
    </row>
    <row r="2509" spans="1:10" x14ac:dyDescent="0.25">
      <c r="A2509" s="2">
        <v>414.442126610054</v>
      </c>
      <c r="B2509" s="3">
        <v>0.28114285155276802</v>
      </c>
      <c r="C2509" s="3">
        <v>1.08959195381495E-4</v>
      </c>
      <c r="D2509" s="4">
        <v>4.5275452253254602E-4</v>
      </c>
      <c r="E2509" s="3" t="s">
        <v>9201</v>
      </c>
      <c r="F2509" s="3" t="s">
        <v>9202</v>
      </c>
      <c r="G2509" s="3">
        <v>66618</v>
      </c>
      <c r="H2509" s="7" t="str">
        <f>HYPERLINK("http://www.ensembl.org/Mus_musculus/Gene/Summary?db=core;g=ENSMUSG00000001158","ENSMUSG00000001158")</f>
        <v>ENSMUSG00000001158</v>
      </c>
      <c r="I2509" s="7" t="str">
        <f>HYPERLINK("http://www.informatics.jax.org/marker/MGI:1913868","MGI:1913868")</f>
        <v>MGI:1913868</v>
      </c>
      <c r="J2509" s="4" t="s">
        <v>12</v>
      </c>
    </row>
    <row r="2510" spans="1:10" x14ac:dyDescent="0.25">
      <c r="A2510" s="2">
        <v>6151.1457814743899</v>
      </c>
      <c r="B2510" s="3">
        <v>0.28059082230063898</v>
      </c>
      <c r="C2510" s="5">
        <v>1.6488871321828601E-9</v>
      </c>
      <c r="D2510" s="6">
        <v>1.2516021650992401E-8</v>
      </c>
      <c r="E2510" s="3" t="s">
        <v>3040</v>
      </c>
      <c r="F2510" s="3" t="s">
        <v>3041</v>
      </c>
      <c r="G2510" s="3">
        <v>14897</v>
      </c>
      <c r="H2510" s="7" t="str">
        <f>HYPERLINK("http://www.ensembl.org/Mus_musculus/Gene/Summary?db=core;g=ENSMUSG00000026219","ENSMUSG00000026219")</f>
        <v>ENSMUSG00000026219</v>
      </c>
      <c r="I2510" s="7" t="str">
        <f>HYPERLINK("http://www.informatics.jax.org/marker/MGI:1309481","MGI:1309481")</f>
        <v>MGI:1309481</v>
      </c>
      <c r="J2510" s="4" t="s">
        <v>12</v>
      </c>
    </row>
    <row r="2511" spans="1:10" x14ac:dyDescent="0.25">
      <c r="A2511" s="2">
        <v>490.68268041465802</v>
      </c>
      <c r="B2511" s="3">
        <v>0.28042496937133798</v>
      </c>
      <c r="C2511" s="5">
        <v>4.4887251391036703E-5</v>
      </c>
      <c r="D2511" s="4">
        <v>1.9848959717149199E-4</v>
      </c>
      <c r="E2511" s="3" t="s">
        <v>9847</v>
      </c>
      <c r="F2511" s="3" t="s">
        <v>9848</v>
      </c>
      <c r="G2511" s="3">
        <v>17714</v>
      </c>
      <c r="H2511" s="7" t="str">
        <f>HYPERLINK("http://www.ensembl.org/Mus_musculus/Gene/Summary?db=core;g=ENSMUSG00000024580","ENSMUSG00000024580")</f>
        <v>ENSMUSG00000024580</v>
      </c>
      <c r="I2511" s="7" t="str">
        <f>HYPERLINK("http://www.informatics.jax.org/marker/MGI:1334416","MGI:1334416")</f>
        <v>MGI:1334416</v>
      </c>
      <c r="J2511" s="4" t="s">
        <v>12</v>
      </c>
    </row>
    <row r="2512" spans="1:10" x14ac:dyDescent="0.25">
      <c r="A2512" s="2">
        <v>1940.0377227167101</v>
      </c>
      <c r="B2512" s="3">
        <v>0.28030394118320401</v>
      </c>
      <c r="C2512" s="5">
        <v>2.7202485904010799E-8</v>
      </c>
      <c r="D2512" s="6">
        <v>1.8073835421093601E-7</v>
      </c>
      <c r="E2512" s="3" t="s">
        <v>5085</v>
      </c>
      <c r="F2512" s="3" t="s">
        <v>5086</v>
      </c>
      <c r="G2512" s="3">
        <v>319277</v>
      </c>
      <c r="H2512" s="7" t="str">
        <f>HYPERLINK("http://www.ensembl.org/Mus_musculus/Gene/Summary?db=core;g=ENSMUSG00000034560","ENSMUSG00000034560")</f>
        <v>ENSMUSG00000034560</v>
      </c>
      <c r="I2512" s="7" t="str">
        <f>HYPERLINK("http://www.informatics.jax.org/marker/MGI:2441787","MGI:2441787")</f>
        <v>MGI:2441787</v>
      </c>
      <c r="J2512" s="4" t="s">
        <v>12</v>
      </c>
    </row>
    <row r="2513" spans="1:10" x14ac:dyDescent="0.25">
      <c r="A2513" s="2">
        <v>1744.5275746884699</v>
      </c>
      <c r="B2513" s="3">
        <v>0.28019654280002998</v>
      </c>
      <c r="C2513" s="5">
        <v>4.5225059761327002E-8</v>
      </c>
      <c r="D2513" s="6">
        <v>2.92278976649002E-7</v>
      </c>
      <c r="E2513" s="3" t="s">
        <v>7590</v>
      </c>
      <c r="F2513" s="3" t="s">
        <v>7591</v>
      </c>
      <c r="G2513" s="3">
        <v>18139</v>
      </c>
      <c r="H2513" s="7" t="str">
        <f>HYPERLINK("http://www.ensembl.org/Mus_musculus/Gene/Summary?db=core;g=ENSMUSG00000030016","ENSMUSG00000030016")</f>
        <v>ENSMUSG00000030016</v>
      </c>
      <c r="I2513" s="7" t="str">
        <f>HYPERLINK("http://www.informatics.jax.org/marker/MGI:1203484","MGI:1203484")</f>
        <v>MGI:1203484</v>
      </c>
      <c r="J2513" s="4" t="s">
        <v>12</v>
      </c>
    </row>
    <row r="2514" spans="1:10" x14ac:dyDescent="0.25">
      <c r="A2514" s="2">
        <v>529.73092726301695</v>
      </c>
      <c r="B2514" s="3">
        <v>0.27993664021064801</v>
      </c>
      <c r="C2514" s="5">
        <v>3.8594108087808001E-7</v>
      </c>
      <c r="D2514" s="6">
        <v>2.26311975514897E-6</v>
      </c>
      <c r="E2514" s="3" t="s">
        <v>3070</v>
      </c>
      <c r="F2514" s="3" t="s">
        <v>3071</v>
      </c>
      <c r="G2514" s="3">
        <v>22642</v>
      </c>
      <c r="H2514" s="7" t="str">
        <f>HYPERLINK("http://www.ensembl.org/Mus_musculus/Gene/Summary?db=core;g=ENSMUSG00000006215","ENSMUSG00000006215")</f>
        <v>ENSMUSG00000006215</v>
      </c>
      <c r="I2514" s="7" t="str">
        <f>HYPERLINK("http://www.informatics.jax.org/marker/MGI:107410","MGI:107410")</f>
        <v>MGI:107410</v>
      </c>
      <c r="J2514" s="4" t="s">
        <v>12</v>
      </c>
    </row>
    <row r="2515" spans="1:10" x14ac:dyDescent="0.25">
      <c r="A2515" s="2">
        <v>1127.6258182532699</v>
      </c>
      <c r="B2515" s="3">
        <v>0.279554312457934</v>
      </c>
      <c r="C2515" s="3">
        <v>2.00528673189359E-4</v>
      </c>
      <c r="D2515" s="4">
        <v>7.9621679060480903E-4</v>
      </c>
      <c r="E2515" s="3" t="s">
        <v>11525</v>
      </c>
      <c r="F2515" s="3" t="s">
        <v>11526</v>
      </c>
      <c r="G2515" s="3">
        <v>54214</v>
      </c>
      <c r="H2515" s="7" t="str">
        <f>HYPERLINK("http://www.ensembl.org/Mus_musculus/Gene/Summary?db=core;g=ENSMUSG00000038708","ENSMUSG00000038708")</f>
        <v>ENSMUSG00000038708</v>
      </c>
      <c r="I2515" s="7" t="str">
        <f>HYPERLINK("http://www.informatics.jax.org/marker/MGI:1859646","MGI:1859646")</f>
        <v>MGI:1859646</v>
      </c>
      <c r="J2515" s="4" t="s">
        <v>12</v>
      </c>
    </row>
    <row r="2516" spans="1:10" x14ac:dyDescent="0.25">
      <c r="A2516" s="2">
        <v>268.53255573505299</v>
      </c>
      <c r="B2516" s="3">
        <v>0.27952421761278901</v>
      </c>
      <c r="C2516" s="3">
        <v>2.2233521852314002E-3</v>
      </c>
      <c r="D2516" s="4">
        <v>7.2852559467533702E-3</v>
      </c>
      <c r="E2516" s="3" t="s">
        <v>7953</v>
      </c>
      <c r="F2516" s="3" t="s">
        <v>7954</v>
      </c>
      <c r="G2516" s="3">
        <v>66875</v>
      </c>
      <c r="H2516" s="7" t="str">
        <f>HYPERLINK("http://www.ensembl.org/Mus_musculus/Gene/Summary?db=core;g=ENSMUSG00000052748","ENSMUSG00000052748")</f>
        <v>ENSMUSG00000052748</v>
      </c>
      <c r="I2516" s="7" t="str">
        <f>HYPERLINK("http://www.informatics.jax.org/marker/MGI:1914125","MGI:1914125")</f>
        <v>MGI:1914125</v>
      </c>
      <c r="J2516" s="4" t="s">
        <v>12</v>
      </c>
    </row>
    <row r="2517" spans="1:10" x14ac:dyDescent="0.25">
      <c r="A2517" s="2">
        <v>457.92052724194099</v>
      </c>
      <c r="B2517" s="3">
        <v>0.27895514988050701</v>
      </c>
      <c r="C2517" s="3">
        <v>1.11488201355878E-2</v>
      </c>
      <c r="D2517" s="4">
        <v>3.09256645758017E-2</v>
      </c>
      <c r="E2517" s="3" t="s">
        <v>13367</v>
      </c>
      <c r="F2517" s="3" t="s">
        <v>13368</v>
      </c>
      <c r="G2517" s="3">
        <v>66172</v>
      </c>
      <c r="H2517" s="7" t="str">
        <f>HYPERLINK("http://www.ensembl.org/Mus_musculus/Gene/Summary?db=core;g=ENSMUSG00000018923","ENSMUSG00000018923")</f>
        <v>ENSMUSG00000018923</v>
      </c>
      <c r="I2517" s="7" t="str">
        <f>HYPERLINK("http://www.informatics.jax.org/marker/MGI:1913422","MGI:1913422")</f>
        <v>MGI:1913422</v>
      </c>
      <c r="J2517" s="4" t="s">
        <v>12</v>
      </c>
    </row>
    <row r="2518" spans="1:10" x14ac:dyDescent="0.25">
      <c r="A2518" s="2">
        <v>3538.5989473355398</v>
      </c>
      <c r="B2518" s="3">
        <v>0.27853444580515901</v>
      </c>
      <c r="C2518" s="5">
        <v>1.00333112057673E-7</v>
      </c>
      <c r="D2518" s="6">
        <v>6.2880707264480505E-7</v>
      </c>
      <c r="E2518" s="3" t="s">
        <v>6609</v>
      </c>
      <c r="F2518" s="3" t="s">
        <v>6610</v>
      </c>
      <c r="G2518" s="3">
        <v>232157</v>
      </c>
      <c r="H2518" s="7" t="str">
        <f>HYPERLINK("http://www.ensembl.org/Mus_musculus/Gene/Summary?db=core;g=ENSMUSG00000043131","ENSMUSG00000043131")</f>
        <v>ENSMUSG00000043131</v>
      </c>
      <c r="I2518" s="7" t="str">
        <f>HYPERLINK("http://www.informatics.jax.org/marker/MGI:2442631","MGI:2442631")</f>
        <v>MGI:2442631</v>
      </c>
      <c r="J2518" s="4" t="s">
        <v>12</v>
      </c>
    </row>
    <row r="2519" spans="1:10" x14ac:dyDescent="0.25">
      <c r="A2519" s="2">
        <v>287.316640409603</v>
      </c>
      <c r="B2519" s="3">
        <v>0.27842731081814298</v>
      </c>
      <c r="C2519" s="3">
        <v>1.2264731374681901E-3</v>
      </c>
      <c r="D2519" s="4">
        <v>4.2462904502959297E-3</v>
      </c>
      <c r="E2519" s="3" t="s">
        <v>6701</v>
      </c>
      <c r="F2519" s="3" t="s">
        <v>6702</v>
      </c>
      <c r="G2519" s="3">
        <v>67225</v>
      </c>
      <c r="H2519" s="7" t="str">
        <f>HYPERLINK("http://www.ensembl.org/Mus_musculus/Gene/Summary?db=core;g=ENSMUSG00000027981","ENSMUSG00000027981")</f>
        <v>ENSMUSG00000027981</v>
      </c>
      <c r="I2519" s="7" t="str">
        <f>HYPERLINK("http://www.informatics.jax.org/marker/MGI:1914475","MGI:1914475")</f>
        <v>MGI:1914475</v>
      </c>
      <c r="J2519" s="4" t="s">
        <v>12</v>
      </c>
    </row>
    <row r="2520" spans="1:10" x14ac:dyDescent="0.25">
      <c r="A2520" s="2">
        <v>5184.7900981619096</v>
      </c>
      <c r="B2520" s="3">
        <v>0.27839434657119899</v>
      </c>
      <c r="C2520" s="5">
        <v>2.5329616055360799E-7</v>
      </c>
      <c r="D2520" s="6">
        <v>1.5170300775844599E-6</v>
      </c>
      <c r="E2520" s="3" t="s">
        <v>7060</v>
      </c>
      <c r="F2520" s="3" t="s">
        <v>7061</v>
      </c>
      <c r="G2520" s="3">
        <v>66335</v>
      </c>
      <c r="H2520" s="7" t="str">
        <f>HYPERLINK("http://www.ensembl.org/Mus_musculus/Gene/Summary?db=core;g=ENSMUSG00000022295","ENSMUSG00000022295")</f>
        <v>ENSMUSG00000022295</v>
      </c>
      <c r="I2520" s="7" t="str">
        <f>HYPERLINK("http://www.informatics.jax.org/marker/MGI:1913585","MGI:1913585")</f>
        <v>MGI:1913585</v>
      </c>
      <c r="J2520" s="4" t="s">
        <v>12</v>
      </c>
    </row>
    <row r="2521" spans="1:10" x14ac:dyDescent="0.25">
      <c r="A2521" s="2">
        <v>1329.4300471552599</v>
      </c>
      <c r="B2521" s="3">
        <v>0.27826651860521401</v>
      </c>
      <c r="C2521" s="3">
        <v>7.3854501521192597E-4</v>
      </c>
      <c r="D2521" s="4">
        <v>2.6558766579000302E-3</v>
      </c>
      <c r="E2521" s="3" t="s">
        <v>4567</v>
      </c>
      <c r="F2521" s="3" t="s">
        <v>4568</v>
      </c>
      <c r="G2521" s="3">
        <v>18550</v>
      </c>
      <c r="H2521" s="7" t="str">
        <f>HYPERLINK("http://www.ensembl.org/Mus_musculus/Gene/Summary?db=core;g=ENSMUSG00000030530","ENSMUSG00000030530")</f>
        <v>ENSMUSG00000030530</v>
      </c>
      <c r="I2521" s="7" t="str">
        <f>HYPERLINK("http://www.informatics.jax.org/marker/MGI:97513","MGI:97513")</f>
        <v>MGI:97513</v>
      </c>
      <c r="J2521" s="4" t="s">
        <v>12</v>
      </c>
    </row>
    <row r="2522" spans="1:10" x14ac:dyDescent="0.25">
      <c r="A2522" s="2">
        <v>7303.3808035584998</v>
      </c>
      <c r="B2522" s="3">
        <v>0.27816742067374001</v>
      </c>
      <c r="C2522" s="5">
        <v>6.4258912342595107E-8</v>
      </c>
      <c r="D2522" s="6">
        <v>4.0962528067289099E-7</v>
      </c>
      <c r="E2522" s="3" t="s">
        <v>6850</v>
      </c>
      <c r="F2522" s="3" t="s">
        <v>6851</v>
      </c>
      <c r="G2522" s="3">
        <v>20810</v>
      </c>
      <c r="H2522" s="7" t="str">
        <f>HYPERLINK("http://www.ensembl.org/Mus_musculus/Gene/Summary?db=core;g=ENSMUSG00000006442","ENSMUSG00000006442")</f>
        <v>ENSMUSG00000006442</v>
      </c>
      <c r="I2522" s="7" t="str">
        <f>HYPERLINK("http://www.informatics.jax.org/marker/MGI:102690","MGI:102690")</f>
        <v>MGI:102690</v>
      </c>
      <c r="J2522" s="4" t="s">
        <v>12</v>
      </c>
    </row>
    <row r="2523" spans="1:10" x14ac:dyDescent="0.25">
      <c r="A2523" s="2">
        <v>313.39013499691799</v>
      </c>
      <c r="B2523" s="3">
        <v>0.27787136429377002</v>
      </c>
      <c r="C2523" s="3">
        <v>2.34544477360471E-4</v>
      </c>
      <c r="D2523" s="4">
        <v>9.1985648803412498E-4</v>
      </c>
      <c r="E2523" s="3" t="s">
        <v>8681</v>
      </c>
      <c r="F2523" s="3" t="s">
        <v>8682</v>
      </c>
      <c r="G2523" s="3">
        <v>69185</v>
      </c>
      <c r="H2523" s="7" t="str">
        <f>HYPERLINK("http://www.ensembl.org/Mus_musculus/Gene/Summary?db=core;g=ENSMUSG00000023330","ENSMUSG00000023330")</f>
        <v>ENSMUSG00000023330</v>
      </c>
      <c r="I2523" s="7" t="str">
        <f>HYPERLINK("http://www.informatics.jax.org/marker/MGI:1916435","MGI:1916435")</f>
        <v>MGI:1916435</v>
      </c>
      <c r="J2523" s="4" t="s">
        <v>12</v>
      </c>
    </row>
    <row r="2524" spans="1:10" x14ac:dyDescent="0.25">
      <c r="A2524" s="2">
        <v>4065.7183232074399</v>
      </c>
      <c r="B2524" s="3">
        <v>0.27784756977636199</v>
      </c>
      <c r="C2524" s="5">
        <v>2.2639905768258501E-17</v>
      </c>
      <c r="D2524" s="6">
        <v>3.0768999450149999E-16</v>
      </c>
      <c r="E2524" s="3" t="s">
        <v>1833</v>
      </c>
      <c r="F2524" s="3" t="s">
        <v>1834</v>
      </c>
      <c r="G2524" s="3">
        <v>22631</v>
      </c>
      <c r="H2524" s="7" t="str">
        <f>HYPERLINK("http://www.ensembl.org/Mus_musculus/Gene/Summary?db=core;g=ENSMUSG00000022285","ENSMUSG00000022285")</f>
        <v>ENSMUSG00000022285</v>
      </c>
      <c r="I2524" s="7" t="str">
        <f>HYPERLINK("http://www.informatics.jax.org/marker/MGI:109484","MGI:109484")</f>
        <v>MGI:109484</v>
      </c>
      <c r="J2524" s="4" t="s">
        <v>12</v>
      </c>
    </row>
    <row r="2525" spans="1:10" x14ac:dyDescent="0.25">
      <c r="A2525" s="2">
        <v>6681.8991641695002</v>
      </c>
      <c r="B2525" s="3">
        <v>0.27756577831446799</v>
      </c>
      <c r="C2525" s="5">
        <v>5.82756419743202E-5</v>
      </c>
      <c r="D2525" s="4">
        <v>2.5300761285491501E-4</v>
      </c>
      <c r="E2525" s="3" t="s">
        <v>8839</v>
      </c>
      <c r="F2525" s="3" t="s">
        <v>8840</v>
      </c>
      <c r="G2525" s="3">
        <v>12332</v>
      </c>
      <c r="H2525" s="7" t="str">
        <f>HYPERLINK("http://www.ensembl.org/Mus_musculus/Gene/Summary?db=core;g=ENSMUSG00000056737","ENSMUSG00000056737")</f>
        <v>ENSMUSG00000056737</v>
      </c>
      <c r="I2525" s="7" t="str">
        <f>HYPERLINK("http://www.informatics.jax.org/marker/MGI:1098259","MGI:1098259")</f>
        <v>MGI:1098259</v>
      </c>
      <c r="J2525" s="4" t="s">
        <v>12</v>
      </c>
    </row>
    <row r="2526" spans="1:10" x14ac:dyDescent="0.25">
      <c r="A2526" s="2">
        <v>228.35100361344001</v>
      </c>
      <c r="B2526" s="3">
        <v>0.27694485382790102</v>
      </c>
      <c r="C2526" s="3">
        <v>5.3046810032687398E-3</v>
      </c>
      <c r="D2526" s="4">
        <v>1.58670295888024E-2</v>
      </c>
      <c r="E2526" s="3" t="s">
        <v>11347</v>
      </c>
      <c r="F2526" s="3" t="s">
        <v>11348</v>
      </c>
      <c r="G2526" s="3">
        <v>100073351</v>
      </c>
      <c r="H2526" s="7" t="str">
        <f>HYPERLINK("http://www.ensembl.org/Mus_musculus/Gene/Summary?db=core;g=ENSMUSG00000091736","ENSMUSG00000091736")</f>
        <v>ENSMUSG00000091736</v>
      </c>
      <c r="I2526" s="7" t="str">
        <f>HYPERLINK("http://www.informatics.jax.org/marker/MGI:3837947","MGI:3837947")</f>
        <v>MGI:3837947</v>
      </c>
      <c r="J2526" s="4" t="s">
        <v>12</v>
      </c>
    </row>
    <row r="2527" spans="1:10" x14ac:dyDescent="0.25">
      <c r="A2527" s="2">
        <v>1270.3642265372</v>
      </c>
      <c r="B2527" s="3">
        <v>0.27677196591124398</v>
      </c>
      <c r="C2527" s="5">
        <v>1.69962650282248E-7</v>
      </c>
      <c r="D2527" s="6">
        <v>1.03945278570267E-6</v>
      </c>
      <c r="E2527" s="3" t="s">
        <v>8561</v>
      </c>
      <c r="F2527" s="3" t="s">
        <v>8562</v>
      </c>
      <c r="G2527" s="3">
        <v>71667</v>
      </c>
      <c r="H2527" s="7" t="str">
        <f>HYPERLINK("http://www.ensembl.org/Mus_musculus/Gene/Summary?db=core;g=ENSMUSG00000053094","ENSMUSG00000053094")</f>
        <v>ENSMUSG00000053094</v>
      </c>
      <c r="I2527" s="7" t="str">
        <f>HYPERLINK("http://www.informatics.jax.org/marker/MGI:1918917","MGI:1918917")</f>
        <v>MGI:1918917</v>
      </c>
      <c r="J2527" s="4" t="s">
        <v>12</v>
      </c>
    </row>
    <row r="2528" spans="1:10" x14ac:dyDescent="0.25">
      <c r="A2528" s="2">
        <v>1184.55543789645</v>
      </c>
      <c r="B2528" s="3">
        <v>0.27654524679736803</v>
      </c>
      <c r="C2528" s="5">
        <v>1.1253272489092901E-6</v>
      </c>
      <c r="D2528" s="6">
        <v>6.2299784663948403E-6</v>
      </c>
      <c r="E2528" s="3" t="s">
        <v>7768</v>
      </c>
      <c r="F2528" s="3" t="s">
        <v>7769</v>
      </c>
      <c r="G2528" s="3">
        <v>55988</v>
      </c>
      <c r="H2528" s="7" t="str">
        <f>HYPERLINK("http://www.ensembl.org/Mus_musculus/Gene/Summary?db=core;g=ENSMUSG00000046032","ENSMUSG00000046032")</f>
        <v>ENSMUSG00000046032</v>
      </c>
      <c r="I2528" s="7" t="str">
        <f>HYPERLINK("http://www.informatics.jax.org/marker/MGI:1919331","MGI:1919331")</f>
        <v>MGI:1919331</v>
      </c>
      <c r="J2528" s="4" t="s">
        <v>12</v>
      </c>
    </row>
    <row r="2529" spans="1:10" x14ac:dyDescent="0.25">
      <c r="A2529" s="2">
        <v>222.97473042624</v>
      </c>
      <c r="B2529" s="3">
        <v>0.27623141589483902</v>
      </c>
      <c r="C2529" s="3">
        <v>6.8886527419321206E-2</v>
      </c>
      <c r="D2529" s="4">
        <v>0.149352481824546</v>
      </c>
      <c r="E2529" s="3" t="s">
        <v>12645</v>
      </c>
      <c r="F2529" s="3" t="s">
        <v>12646</v>
      </c>
      <c r="G2529" s="3">
        <v>70785</v>
      </c>
      <c r="H2529" s="7" t="str">
        <f>HYPERLINK("http://www.ensembl.org/Mus_musculus/Gene/Summary?db=core;g=ENSMUSG00000002668","ENSMUSG00000002668")</f>
        <v>ENSMUSG00000002668</v>
      </c>
      <c r="I2529" s="7" t="str">
        <f>HYPERLINK("http://www.informatics.jax.org/marker/MGI:1918035","MGI:1918035")</f>
        <v>MGI:1918035</v>
      </c>
      <c r="J2529" s="4" t="s">
        <v>12</v>
      </c>
    </row>
    <row r="2530" spans="1:10" x14ac:dyDescent="0.25">
      <c r="A2530" s="2">
        <v>1292.22497398828</v>
      </c>
      <c r="B2530" s="3">
        <v>0.275873498697564</v>
      </c>
      <c r="C2530" s="5">
        <v>1.1423484137166001E-6</v>
      </c>
      <c r="D2530" s="6">
        <v>6.3203703217926398E-6</v>
      </c>
      <c r="E2530" s="3" t="s">
        <v>9177</v>
      </c>
      <c r="F2530" s="3" t="s">
        <v>9178</v>
      </c>
      <c r="G2530" s="3">
        <v>12675</v>
      </c>
      <c r="H2530" s="7" t="str">
        <f>HYPERLINK("http://www.ensembl.org/Mus_musculus/Gene/Summary?db=core;g=ENSMUSG00000025199","ENSMUSG00000025199")</f>
        <v>ENSMUSG00000025199</v>
      </c>
      <c r="I2530" s="7" t="str">
        <f>HYPERLINK("http://www.informatics.jax.org/marker/MGI:99484","MGI:99484")</f>
        <v>MGI:99484</v>
      </c>
      <c r="J2530" s="4" t="s">
        <v>12</v>
      </c>
    </row>
    <row r="2531" spans="1:10" x14ac:dyDescent="0.25">
      <c r="A2531" s="2">
        <v>923.39162790325997</v>
      </c>
      <c r="B2531" s="3">
        <v>0.27571196898608502</v>
      </c>
      <c r="C2531" s="5">
        <v>6.3890248745263297E-6</v>
      </c>
      <c r="D2531" s="6">
        <v>3.2174627891197099E-5</v>
      </c>
      <c r="E2531" s="3" t="s">
        <v>8577</v>
      </c>
      <c r="F2531" s="3" t="s">
        <v>8578</v>
      </c>
      <c r="G2531" s="3">
        <v>30934</v>
      </c>
      <c r="H2531" s="7" t="str">
        <f>HYPERLINK("http://www.ensembl.org/Mus_musculus/Gene/Summary?db=core;g=ENSMUSG00000026848","ENSMUSG00000026848")</f>
        <v>ENSMUSG00000026848</v>
      </c>
      <c r="I2531" s="7" t="str">
        <f>HYPERLINK("http://www.informatics.jax.org/marker/MGI:1353605","MGI:1353605")</f>
        <v>MGI:1353605</v>
      </c>
      <c r="J2531" s="4" t="s">
        <v>12</v>
      </c>
    </row>
    <row r="2532" spans="1:10" x14ac:dyDescent="0.25">
      <c r="A2532" s="2">
        <v>537.47371904231204</v>
      </c>
      <c r="B2532" s="3">
        <v>0.27570772198467902</v>
      </c>
      <c r="C2532" s="5">
        <v>8.9862569247600806E-6</v>
      </c>
      <c r="D2532" s="6">
        <v>4.4215586515591902E-5</v>
      </c>
      <c r="E2532" s="3" t="s">
        <v>6391</v>
      </c>
      <c r="F2532" s="3" t="s">
        <v>6392</v>
      </c>
      <c r="G2532" s="3">
        <v>74498</v>
      </c>
      <c r="H2532" s="7" t="str">
        <f>HYPERLINK("http://www.ensembl.org/Mus_musculus/Gene/Summary?db=core;g=ENSMUSG00000032513","ENSMUSG00000032513")</f>
        <v>ENSMUSG00000032513</v>
      </c>
      <c r="I2532" s="7" t="str">
        <f>HYPERLINK("http://www.informatics.jax.org/marker/MGI:1921748","MGI:1921748")</f>
        <v>MGI:1921748</v>
      </c>
      <c r="J2532" s="4" t="s">
        <v>12</v>
      </c>
    </row>
    <row r="2533" spans="1:10" x14ac:dyDescent="0.25">
      <c r="A2533" s="2">
        <v>537.08111860638701</v>
      </c>
      <c r="B2533" s="3">
        <v>0.27561616667038902</v>
      </c>
      <c r="C2533" s="5">
        <v>8.4889567521865704E-5</v>
      </c>
      <c r="D2533" s="4">
        <v>3.5862595458646299E-4</v>
      </c>
      <c r="E2533" s="3" t="s">
        <v>8099</v>
      </c>
      <c r="F2533" s="3" t="s">
        <v>8100</v>
      </c>
      <c r="G2533" s="3">
        <v>59030</v>
      </c>
      <c r="H2533" s="7" t="str">
        <f>HYPERLINK("http://www.ensembl.org/Mus_musculus/Gene/Summary?db=core;g=ENSMUSG00000027274","ENSMUSG00000027274")</f>
        <v>ENSMUSG00000027274</v>
      </c>
      <c r="I2533" s="7" t="str">
        <f>HYPERLINK("http://www.informatics.jax.org/marker/MGI:1891836","MGI:1891836")</f>
        <v>MGI:1891836</v>
      </c>
      <c r="J2533" s="4" t="s">
        <v>12</v>
      </c>
    </row>
    <row r="2534" spans="1:10" x14ac:dyDescent="0.25">
      <c r="A2534" s="2">
        <v>3071.4331439484999</v>
      </c>
      <c r="B2534" s="3">
        <v>0.27543947124005203</v>
      </c>
      <c r="C2534" s="5">
        <v>1.5755815074740399E-5</v>
      </c>
      <c r="D2534" s="6">
        <v>7.4787539916772099E-5</v>
      </c>
      <c r="E2534" s="3" t="s">
        <v>5205</v>
      </c>
      <c r="F2534" s="3" t="s">
        <v>5206</v>
      </c>
      <c r="G2534" s="3">
        <v>14127</v>
      </c>
      <c r="H2534" s="7" t="str">
        <f>HYPERLINK("http://www.ensembl.org/Mus_musculus/Gene/Summary?db=core;g=ENSMUSG00000058715","ENSMUSG00000058715")</f>
        <v>ENSMUSG00000058715</v>
      </c>
      <c r="I2534" s="7" t="str">
        <f>HYPERLINK("http://www.informatics.jax.org/marker/MGI:95496","MGI:95496")</f>
        <v>MGI:95496</v>
      </c>
      <c r="J2534" s="4" t="s">
        <v>12</v>
      </c>
    </row>
    <row r="2535" spans="1:10" x14ac:dyDescent="0.25">
      <c r="A2535" s="2">
        <v>3983.26828019186</v>
      </c>
      <c r="B2535" s="3">
        <v>0.27488701755668399</v>
      </c>
      <c r="C2535" s="3">
        <v>2.64968401865897E-3</v>
      </c>
      <c r="D2535" s="4">
        <v>8.5168414885466899E-3</v>
      </c>
      <c r="E2535" s="3" t="s">
        <v>11066</v>
      </c>
      <c r="F2535" s="3" t="s">
        <v>11067</v>
      </c>
      <c r="G2535" s="3">
        <v>54445</v>
      </c>
      <c r="H2535" s="7" t="str">
        <f>HYPERLINK("http://www.ensembl.org/Mus_musculus/Gene/Summary?db=core;g=ENSMUSG00000036908","ENSMUSG00000036908")</f>
        <v>ENSMUSG00000036908</v>
      </c>
      <c r="I2535" s="7" t="str">
        <f>HYPERLINK("http://www.informatics.jax.org/marker/MGI:1859307","MGI:1859307")</f>
        <v>MGI:1859307</v>
      </c>
      <c r="J2535" s="4" t="s">
        <v>12</v>
      </c>
    </row>
    <row r="2536" spans="1:10" x14ac:dyDescent="0.25">
      <c r="A2536" s="2">
        <v>727.46334757363297</v>
      </c>
      <c r="B2536" s="3">
        <v>0.27478583980972598</v>
      </c>
      <c r="C2536" s="3">
        <v>2.8866654982935201E-2</v>
      </c>
      <c r="D2536" s="4">
        <v>7.11900929721236E-2</v>
      </c>
      <c r="E2536" s="3" t="s">
        <v>8525</v>
      </c>
      <c r="F2536" s="3" t="s">
        <v>8526</v>
      </c>
      <c r="G2536" s="3">
        <v>18670</v>
      </c>
      <c r="H2536" s="7" t="str">
        <f>HYPERLINK("http://www.ensembl.org/Mus_musculus/Gene/Summary?db=core;g=ENSMUSG00000042476","ENSMUSG00000042476")</f>
        <v>ENSMUSG00000042476</v>
      </c>
      <c r="I2536" s="7" t="str">
        <f>HYPERLINK("http://www.informatics.jax.org/marker/MGI:97569","MGI:97569")</f>
        <v>MGI:97569</v>
      </c>
      <c r="J2536" s="4" t="s">
        <v>12</v>
      </c>
    </row>
    <row r="2537" spans="1:10" x14ac:dyDescent="0.25">
      <c r="A2537" s="2">
        <v>465.42313976695101</v>
      </c>
      <c r="B2537" s="3">
        <v>0.27438976051312802</v>
      </c>
      <c r="C2537" s="5">
        <v>8.9279653365183595E-5</v>
      </c>
      <c r="D2537" s="4">
        <v>3.7612614021739998E-4</v>
      </c>
      <c r="E2537" s="3" t="s">
        <v>9831</v>
      </c>
      <c r="F2537" s="3" t="s">
        <v>9832</v>
      </c>
      <c r="G2537" s="3">
        <v>102580</v>
      </c>
      <c r="H2537" s="7" t="str">
        <f>HYPERLINK("http://www.ensembl.org/Mus_musculus/Gene/Summary?db=core;g=ENSMUSG00000032059","ENSMUSG00000032059")</f>
        <v>ENSMUSG00000032059</v>
      </c>
      <c r="I2537" s="7" t="str">
        <f>HYPERLINK("http://www.informatics.jax.org/marker/MGI:1924753","MGI:1924753")</f>
        <v>MGI:1924753</v>
      </c>
      <c r="J2537" s="4" t="s">
        <v>12</v>
      </c>
    </row>
    <row r="2538" spans="1:10" x14ac:dyDescent="0.25">
      <c r="A2538" s="2">
        <v>1956.49193690883</v>
      </c>
      <c r="B2538" s="3">
        <v>0.27438228973500101</v>
      </c>
      <c r="C2538" s="5">
        <v>2.4521672448376201E-7</v>
      </c>
      <c r="D2538" s="6">
        <v>1.47154257613321E-6</v>
      </c>
      <c r="E2538" s="3" t="s">
        <v>4855</v>
      </c>
      <c r="F2538" s="3" t="s">
        <v>4856</v>
      </c>
      <c r="G2538" s="3">
        <v>68083</v>
      </c>
      <c r="H2538" s="7" t="str">
        <f>HYPERLINK("http://www.ensembl.org/Mus_musculus/Gene/Summary?db=core;g=ENSMUSG00000038683","ENSMUSG00000038683")</f>
        <v>ENSMUSG00000038683</v>
      </c>
      <c r="I2538" s="7" t="str">
        <f>HYPERLINK("http://www.informatics.jax.org/marker/MGI:1915333","MGI:1915333")</f>
        <v>MGI:1915333</v>
      </c>
      <c r="J2538" s="4" t="s">
        <v>12</v>
      </c>
    </row>
    <row r="2539" spans="1:10" x14ac:dyDescent="0.25">
      <c r="A2539" s="2">
        <v>3155.4594076410099</v>
      </c>
      <c r="B2539" s="3">
        <v>0.27432467067655403</v>
      </c>
      <c r="C2539" s="5">
        <v>1.5916572522178501E-7</v>
      </c>
      <c r="D2539" s="6">
        <v>9.7735692121530906E-7</v>
      </c>
      <c r="E2539" s="3" t="s">
        <v>7250</v>
      </c>
      <c r="F2539" s="3" t="s">
        <v>7251</v>
      </c>
      <c r="G2539" s="3">
        <v>22019</v>
      </c>
      <c r="H2539" s="7" t="str">
        <f>HYPERLINK("http://www.ensembl.org/Mus_musculus/Gene/Summary?db=core;g=ENSMUSG00000041763","ENSMUSG00000041763")</f>
        <v>ENSMUSG00000041763</v>
      </c>
      <c r="I2539" s="7" t="str">
        <f>HYPERLINK("http://www.informatics.jax.org/marker/MGI:102724","MGI:102724")</f>
        <v>MGI:102724</v>
      </c>
      <c r="J2539" s="4" t="s">
        <v>12</v>
      </c>
    </row>
    <row r="2540" spans="1:10" x14ac:dyDescent="0.25">
      <c r="A2540" s="2">
        <v>240.40272776768501</v>
      </c>
      <c r="B2540" s="3">
        <v>0.27431149205163602</v>
      </c>
      <c r="C2540" s="3">
        <v>1.3734116632499399E-3</v>
      </c>
      <c r="D2540" s="4">
        <v>4.7093937088862102E-3</v>
      </c>
      <c r="E2540" s="3" t="s">
        <v>12023</v>
      </c>
      <c r="F2540" s="3" t="s">
        <v>12024</v>
      </c>
      <c r="G2540" s="3">
        <v>28135</v>
      </c>
      <c r="H2540" s="7" t="str">
        <f>HYPERLINK("http://www.ensembl.org/Mus_musculus/Gene/Summary?db=core;g=ENSMUSG00000032534","ENSMUSG00000032534")</f>
        <v>ENSMUSG00000032534</v>
      </c>
      <c r="I2540" s="7" t="str">
        <f>HYPERLINK("http://www.informatics.jax.org/marker/MGI:2158560","MGI:2158560")</f>
        <v>MGI:2158560</v>
      </c>
      <c r="J2540" s="4" t="s">
        <v>12</v>
      </c>
    </row>
    <row r="2541" spans="1:10" x14ac:dyDescent="0.25">
      <c r="A2541" s="2">
        <v>639.62560046392105</v>
      </c>
      <c r="B2541" s="3">
        <v>0.27423106274518799</v>
      </c>
      <c r="C2541" s="3">
        <v>1.1427764628087E-4</v>
      </c>
      <c r="D2541" s="4">
        <v>4.7269861631158702E-4</v>
      </c>
      <c r="E2541" s="3" t="s">
        <v>6537</v>
      </c>
      <c r="F2541" s="3" t="s">
        <v>6538</v>
      </c>
      <c r="G2541" s="3">
        <v>407819</v>
      </c>
      <c r="H2541" s="7" t="str">
        <f>HYPERLINK("http://www.ensembl.org/Mus_musculus/Gene/Summary?db=core;g=ENSMUSG00000036299","ENSMUSG00000036299")</f>
        <v>ENSMUSG00000036299</v>
      </c>
      <c r="I2541" s="7" t="str">
        <f>HYPERLINK("http://www.informatics.jax.org/marker/MGI:3039614","MGI:3039614")</f>
        <v>MGI:3039614</v>
      </c>
      <c r="J2541" s="4" t="s">
        <v>12</v>
      </c>
    </row>
    <row r="2542" spans="1:10" x14ac:dyDescent="0.25">
      <c r="A2542" s="2">
        <v>2692.2609286317502</v>
      </c>
      <c r="B2542" s="3">
        <v>0.27398575624786597</v>
      </c>
      <c r="C2542" s="5">
        <v>2.9348599469939201E-8</v>
      </c>
      <c r="D2542" s="6">
        <v>1.94430470861375E-7</v>
      </c>
      <c r="E2542" s="3" t="s">
        <v>5837</v>
      </c>
      <c r="F2542" s="3" t="s">
        <v>5838</v>
      </c>
      <c r="G2542" s="3">
        <v>54673</v>
      </c>
      <c r="H2542" s="7" t="str">
        <f>HYPERLINK("http://www.ensembl.org/Mus_musculus/Gene/Summary?db=core;g=ENSMUSG00000037062","ENSMUSG00000037062")</f>
        <v>ENSMUSG00000037062</v>
      </c>
      <c r="I2542" s="7" t="str">
        <f>HYPERLINK("http://www.informatics.jax.org/marker/MGI:1859730","MGI:1859730")</f>
        <v>MGI:1859730</v>
      </c>
      <c r="J2542" s="4" t="s">
        <v>12</v>
      </c>
    </row>
    <row r="2543" spans="1:10" x14ac:dyDescent="0.25">
      <c r="A2543" s="2">
        <v>650.32919014599304</v>
      </c>
      <c r="B2543" s="3">
        <v>0.27345472053721298</v>
      </c>
      <c r="C2543" s="3">
        <v>2.29632757865276E-4</v>
      </c>
      <c r="D2543" s="4">
        <v>9.0273015791515504E-4</v>
      </c>
      <c r="E2543" s="3" t="s">
        <v>7184</v>
      </c>
      <c r="F2543" s="3" t="s">
        <v>7185</v>
      </c>
      <c r="G2543" s="3">
        <v>54644</v>
      </c>
      <c r="H2543" s="7" t="str">
        <f>HYPERLINK("http://www.ensembl.org/Mus_musculus/Gene/Summary?db=core;g=ENSMUSG00000031154","ENSMUSG00000031154")</f>
        <v>ENSMUSG00000031154</v>
      </c>
      <c r="I2543" s="7" t="str">
        <f>HYPERLINK("http://www.informatics.jax.org/marker/MGI:1859615","MGI:1859615")</f>
        <v>MGI:1859615</v>
      </c>
      <c r="J2543" s="4" t="s">
        <v>12</v>
      </c>
    </row>
    <row r="2544" spans="1:10" x14ac:dyDescent="0.25">
      <c r="A2544" s="2">
        <v>62.581024716258099</v>
      </c>
      <c r="B2544" s="3">
        <v>0.273194673997048</v>
      </c>
      <c r="C2544" s="3">
        <v>7.7078467169700696E-2</v>
      </c>
      <c r="D2544" s="4">
        <v>0.164126073626334</v>
      </c>
      <c r="E2544" s="3" t="s">
        <v>12697</v>
      </c>
      <c r="F2544" s="3" t="s">
        <v>12698</v>
      </c>
      <c r="G2544" s="3" t="s">
        <v>83</v>
      </c>
      <c r="H2544" s="7" t="str">
        <f>HYPERLINK("http://www.ensembl.org/Mus_musculus/Gene/Summary?db=core;g=ENSMUSG00000097656","ENSMUSG00000097656")</f>
        <v>ENSMUSG00000097656</v>
      </c>
      <c r="I2544" s="7" t="str">
        <f>HYPERLINK("http://www.informatics.jax.org/marker/MGI:5477206","MGI:5477206")</f>
        <v>MGI:5477206</v>
      </c>
      <c r="J2544" s="4" t="s">
        <v>320</v>
      </c>
    </row>
    <row r="2545" spans="1:10" x14ac:dyDescent="0.25">
      <c r="A2545" s="2">
        <v>10367.220868739099</v>
      </c>
      <c r="B2545" s="3">
        <v>0.27308345415386898</v>
      </c>
      <c r="C2545" s="5">
        <v>7.8013265938295101E-10</v>
      </c>
      <c r="D2545" s="6">
        <v>6.1496183898158603E-9</v>
      </c>
      <c r="E2545" s="3" t="s">
        <v>4537</v>
      </c>
      <c r="F2545" s="3" t="s">
        <v>4538</v>
      </c>
      <c r="G2545" s="3">
        <v>18813</v>
      </c>
      <c r="H2545" s="7" t="str">
        <f>HYPERLINK("http://www.ensembl.org/Mus_musculus/Gene/Summary?db=core;g=ENSMUSG00000025364","ENSMUSG00000025364")</f>
        <v>ENSMUSG00000025364</v>
      </c>
      <c r="I2545" s="7" t="str">
        <f>HYPERLINK("http://www.informatics.jax.org/marker/MGI:894684","MGI:894684")</f>
        <v>MGI:894684</v>
      </c>
      <c r="J2545" s="4" t="s">
        <v>12</v>
      </c>
    </row>
    <row r="2546" spans="1:10" x14ac:dyDescent="0.25">
      <c r="A2546" s="2">
        <v>33.897214836766601</v>
      </c>
      <c r="B2546" s="3">
        <v>0.27304286442148501</v>
      </c>
      <c r="C2546" s="3">
        <v>0.297646660824534</v>
      </c>
      <c r="D2546" s="4">
        <v>0.47141830134067397</v>
      </c>
      <c r="E2546" s="3" t="s">
        <v>12621</v>
      </c>
      <c r="F2546" s="3" t="s">
        <v>12622</v>
      </c>
      <c r="G2546" s="3">
        <v>68521</v>
      </c>
      <c r="H2546" s="7" t="str">
        <f>HYPERLINK("http://www.ensembl.org/Mus_musculus/Gene/Summary?db=core;g=ENSMUSG00000032657","ENSMUSG00000032657")</f>
        <v>ENSMUSG00000032657</v>
      </c>
      <c r="I2546" s="7" t="str">
        <f>HYPERLINK("http://www.informatics.jax.org/marker/MGI:1915771","MGI:1915771")</f>
        <v>MGI:1915771</v>
      </c>
      <c r="J2546" s="4" t="s">
        <v>12</v>
      </c>
    </row>
    <row r="2547" spans="1:10" x14ac:dyDescent="0.25">
      <c r="A2547" s="2">
        <v>1858.83819482288</v>
      </c>
      <c r="B2547" s="3">
        <v>0.272917596481209</v>
      </c>
      <c r="C2547" s="5">
        <v>1.02931913511016E-8</v>
      </c>
      <c r="D2547" s="6">
        <v>7.1655237728734594E-8</v>
      </c>
      <c r="E2547" s="3" t="s">
        <v>5453</v>
      </c>
      <c r="F2547" s="3" t="s">
        <v>5454</v>
      </c>
      <c r="G2547" s="3">
        <v>53382</v>
      </c>
      <c r="H2547" s="7" t="str">
        <f>HYPERLINK("http://www.ensembl.org/Mus_musculus/Gene/Summary?db=core;g=ENSMUSG00000024583","ENSMUSG00000024583")</f>
        <v>ENSMUSG00000024583</v>
      </c>
      <c r="I2547" s="7" t="str">
        <f>HYPERLINK("http://www.informatics.jax.org/marker/MGI:1860078","MGI:1860078")</f>
        <v>MGI:1860078</v>
      </c>
      <c r="J2547" s="4" t="s">
        <v>12</v>
      </c>
    </row>
    <row r="2548" spans="1:10" x14ac:dyDescent="0.25">
      <c r="A2548" s="2">
        <v>491.70421373437898</v>
      </c>
      <c r="B2548" s="3">
        <v>0.272897224918632</v>
      </c>
      <c r="C2548" s="5">
        <v>7.7262551467505802E-6</v>
      </c>
      <c r="D2548" s="6">
        <v>3.8409983646898401E-5</v>
      </c>
      <c r="E2548" s="3" t="s">
        <v>6722</v>
      </c>
      <c r="F2548" s="3" t="s">
        <v>6723</v>
      </c>
      <c r="G2548" s="3">
        <v>97863</v>
      </c>
      <c r="H2548" s="7" t="str">
        <f>HYPERLINK("http://www.ensembl.org/Mus_musculus/Gene/Summary?db=core;g=ENSMUSG00000069237","ENSMUSG00000069237")</f>
        <v>ENSMUSG00000069237</v>
      </c>
      <c r="I2548" s="7" t="str">
        <f>HYPERLINK("http://www.informatics.jax.org/marker/MGI:2145496","MGI:2145496")</f>
        <v>MGI:2145496</v>
      </c>
      <c r="J2548" s="4" t="s">
        <v>12</v>
      </c>
    </row>
    <row r="2549" spans="1:10" x14ac:dyDescent="0.25">
      <c r="A2549" s="2">
        <v>2098.4317152384001</v>
      </c>
      <c r="B2549" s="3">
        <v>0.27262933997935102</v>
      </c>
      <c r="C2549" s="3">
        <v>3.22887482968298E-4</v>
      </c>
      <c r="D2549" s="4">
        <v>1.2347092692188901E-3</v>
      </c>
      <c r="E2549" s="3" t="s">
        <v>9257</v>
      </c>
      <c r="F2549" s="3" t="s">
        <v>9258</v>
      </c>
      <c r="G2549" s="3">
        <v>56442</v>
      </c>
      <c r="H2549" s="7" t="str">
        <f>HYPERLINK("http://www.ensembl.org/Mus_musculus/Gene/Summary?db=core;g=ENSMUSG00000019877","ENSMUSG00000019877")</f>
        <v>ENSMUSG00000019877</v>
      </c>
      <c r="I2549" s="7" t="str">
        <f>HYPERLINK("http://www.informatics.jax.org/marker/MGI:1926228","MGI:1926228")</f>
        <v>MGI:1926228</v>
      </c>
      <c r="J2549" s="4" t="s">
        <v>12</v>
      </c>
    </row>
    <row r="2550" spans="1:10" x14ac:dyDescent="0.25">
      <c r="A2550" s="2">
        <v>759.89937258720499</v>
      </c>
      <c r="B2550" s="3">
        <v>0.27221107628314101</v>
      </c>
      <c r="C2550" s="3">
        <v>2.93147744695414E-3</v>
      </c>
      <c r="D2550" s="4">
        <v>9.3190609577427398E-3</v>
      </c>
      <c r="E2550" s="3" t="s">
        <v>10362</v>
      </c>
      <c r="F2550" s="3" t="s">
        <v>10363</v>
      </c>
      <c r="G2550" s="3">
        <v>380753</v>
      </c>
      <c r="H2550" s="7" t="str">
        <f>HYPERLINK("http://www.ensembl.org/Mus_musculus/Gene/Summary?db=core;g=ENSMUSG00000020564","ENSMUSG00000020564")</f>
        <v>ENSMUSG00000020564</v>
      </c>
      <c r="I2550" s="7" t="str">
        <f>HYPERLINK("http://www.informatics.jax.org/marker/MGI:3584458","MGI:3584458")</f>
        <v>MGI:3584458</v>
      </c>
      <c r="J2550" s="4" t="s">
        <v>12</v>
      </c>
    </row>
    <row r="2551" spans="1:10" x14ac:dyDescent="0.25">
      <c r="A2551" s="2">
        <v>1106.43570634649</v>
      </c>
      <c r="B2551" s="3">
        <v>0.27185781651372098</v>
      </c>
      <c r="C2551" s="5">
        <v>4.4124586623892798E-7</v>
      </c>
      <c r="D2551" s="6">
        <v>2.5577945013373001E-6</v>
      </c>
      <c r="E2551" s="3" t="s">
        <v>11159</v>
      </c>
      <c r="F2551" s="3" t="s">
        <v>11160</v>
      </c>
      <c r="G2551" s="3">
        <v>26919</v>
      </c>
      <c r="H2551" s="7" t="str">
        <f>HYPERLINK("http://www.ensembl.org/Mus_musculus/Gene/Summary?db=core;g=ENSMUSG00000021481","ENSMUSG00000021481")</f>
        <v>ENSMUSG00000021481</v>
      </c>
      <c r="I2551" s="7" t="str">
        <f>HYPERLINK("http://www.informatics.jax.org/marker/MGI:1349417","MGI:1349417")</f>
        <v>MGI:1349417</v>
      </c>
      <c r="J2551" s="4" t="s">
        <v>12</v>
      </c>
    </row>
    <row r="2552" spans="1:10" x14ac:dyDescent="0.25">
      <c r="A2552" s="2">
        <v>168.79654661837901</v>
      </c>
      <c r="B2552" s="3">
        <v>0.27183210305463801</v>
      </c>
      <c r="C2552" s="3">
        <v>1.17446138197082E-2</v>
      </c>
      <c r="D2552" s="4">
        <v>3.23625017937983E-2</v>
      </c>
      <c r="E2552" s="3" t="s">
        <v>12983</v>
      </c>
      <c r="F2552" s="3" t="s">
        <v>12984</v>
      </c>
      <c r="G2552" s="3">
        <v>66714</v>
      </c>
      <c r="H2552" s="7" t="str">
        <f>HYPERLINK("http://www.ensembl.org/Mus_musculus/Gene/Summary?db=core;g=ENSMUSG00000036934","ENSMUSG00000036934")</f>
        <v>ENSMUSG00000036934</v>
      </c>
      <c r="I2552" s="7" t="str">
        <f>HYPERLINK("http://www.informatics.jax.org/marker/MGI:1913964","MGI:1913964")</f>
        <v>MGI:1913964</v>
      </c>
      <c r="J2552" s="4" t="s">
        <v>12</v>
      </c>
    </row>
    <row r="2553" spans="1:10" x14ac:dyDescent="0.25">
      <c r="A2553" s="2">
        <v>5067.6671329839301</v>
      </c>
      <c r="B2553" s="3">
        <v>0.27179788831607199</v>
      </c>
      <c r="C2553" s="5">
        <v>5.1468856581340896E-6</v>
      </c>
      <c r="D2553" s="6">
        <v>2.62750675404745E-5</v>
      </c>
      <c r="E2553" s="3" t="s">
        <v>11473</v>
      </c>
      <c r="F2553" s="3" t="s">
        <v>11474</v>
      </c>
      <c r="G2553" s="3">
        <v>232341</v>
      </c>
      <c r="H2553" s="7" t="str">
        <f>HYPERLINK("http://www.ensembl.org/Mus_musculus/Gene/Summary?db=core;g=ENSMUSG00000045962","ENSMUSG00000045962")</f>
        <v>ENSMUSG00000045962</v>
      </c>
      <c r="I2553" s="7" t="str">
        <f>HYPERLINK("http://www.informatics.jax.org/marker/MGI:2442092","MGI:2442092")</f>
        <v>MGI:2442092</v>
      </c>
      <c r="J2553" s="4" t="s">
        <v>12</v>
      </c>
    </row>
    <row r="2554" spans="1:10" x14ac:dyDescent="0.25">
      <c r="A2554" s="2">
        <v>3939.4387425239402</v>
      </c>
      <c r="B2554" s="3">
        <v>0.271651850286801</v>
      </c>
      <c r="C2554" s="5">
        <v>6.8933840072733901E-6</v>
      </c>
      <c r="D2554" s="6">
        <v>3.4533239013897097E-5</v>
      </c>
      <c r="E2554" s="3" t="s">
        <v>9679</v>
      </c>
      <c r="F2554" s="3" t="s">
        <v>9680</v>
      </c>
      <c r="G2554" s="3">
        <v>14387</v>
      </c>
      <c r="H2554" s="7" t="str">
        <f>HYPERLINK("http://www.ensembl.org/Mus_musculus/Gene/Summary?db=core;g=ENSMUSG00000025579","ENSMUSG00000025579")</f>
        <v>ENSMUSG00000025579</v>
      </c>
      <c r="I2554" s="7" t="str">
        <f>HYPERLINK("http://www.informatics.jax.org/marker/MGI:95609","MGI:95609")</f>
        <v>MGI:95609</v>
      </c>
      <c r="J2554" s="4" t="s">
        <v>12</v>
      </c>
    </row>
    <row r="2555" spans="1:10" x14ac:dyDescent="0.25">
      <c r="A2555" s="2">
        <v>530.21956280604002</v>
      </c>
      <c r="B2555" s="3">
        <v>0.27160293364590299</v>
      </c>
      <c r="C2555" s="3">
        <v>1.39991163083716E-4</v>
      </c>
      <c r="D2555" s="4">
        <v>5.7025904050083201E-4</v>
      </c>
      <c r="E2555" s="3" t="s">
        <v>6047</v>
      </c>
      <c r="F2555" s="3" t="s">
        <v>6048</v>
      </c>
      <c r="G2555" s="3">
        <v>13144</v>
      </c>
      <c r="H2555" s="7" t="str">
        <f>HYPERLINK("http://www.ensembl.org/Mus_musculus/Gene/Summary?db=core;g=ENSMUSG00000034974","ENSMUSG00000034974")</f>
        <v>ENSMUSG00000034974</v>
      </c>
      <c r="I2555" s="7" t="str">
        <f>HYPERLINK("http://www.informatics.jax.org/marker/MGI:1203520","MGI:1203520")</f>
        <v>MGI:1203520</v>
      </c>
      <c r="J2555" s="4" t="s">
        <v>12</v>
      </c>
    </row>
    <row r="2556" spans="1:10" x14ac:dyDescent="0.25">
      <c r="A2556" s="2">
        <v>382.93760967885203</v>
      </c>
      <c r="B2556" s="3">
        <v>0.27122510890200802</v>
      </c>
      <c r="C2556" s="3">
        <v>5.8447513537258798E-3</v>
      </c>
      <c r="D2556" s="4">
        <v>1.72894973903026E-2</v>
      </c>
      <c r="E2556" s="3" t="s">
        <v>10424</v>
      </c>
      <c r="F2556" s="3" t="s">
        <v>10425</v>
      </c>
      <c r="G2556" s="3">
        <v>70430</v>
      </c>
      <c r="H2556" s="7" t="str">
        <f>HYPERLINK("http://www.ensembl.org/Mus_musculus/Gene/Summary?db=core;g=ENSMUSG00000039233","ENSMUSG00000039233")</f>
        <v>ENSMUSG00000039233</v>
      </c>
      <c r="I2556" s="7" t="str">
        <f>HYPERLINK("http://www.informatics.jax.org/marker/MGI:1917680","MGI:1917680")</f>
        <v>MGI:1917680</v>
      </c>
      <c r="J2556" s="4" t="s">
        <v>12</v>
      </c>
    </row>
    <row r="2557" spans="1:10" x14ac:dyDescent="0.25">
      <c r="A2557" s="2">
        <v>3900.7143368985899</v>
      </c>
      <c r="B2557" s="3">
        <v>0.27116138698889602</v>
      </c>
      <c r="C2557" s="5">
        <v>4.3759362658607202E-9</v>
      </c>
      <c r="D2557" s="6">
        <v>3.1811503169250799E-8</v>
      </c>
      <c r="E2557" s="3" t="s">
        <v>6147</v>
      </c>
      <c r="F2557" s="3" t="s">
        <v>6148</v>
      </c>
      <c r="G2557" s="3">
        <v>11845</v>
      </c>
      <c r="H2557" s="7" t="str">
        <f>HYPERLINK("http://www.ensembl.org/Mus_musculus/Gene/Summary?db=core;g=ENSMUSG00000044147","ENSMUSG00000044147")</f>
        <v>ENSMUSG00000044147</v>
      </c>
      <c r="I2557" s="7" t="str">
        <f>HYPERLINK("http://www.informatics.jax.org/marker/MGI:99435","MGI:99435")</f>
        <v>MGI:99435</v>
      </c>
      <c r="J2557" s="4" t="s">
        <v>12</v>
      </c>
    </row>
    <row r="2558" spans="1:10" x14ac:dyDescent="0.25">
      <c r="A2558" s="2">
        <v>696.13044877326297</v>
      </c>
      <c r="B2558" s="3">
        <v>0.27086881236892701</v>
      </c>
      <c r="C2558" s="3">
        <v>4.1276438077336399E-4</v>
      </c>
      <c r="D2558" s="4">
        <v>1.55362057818971E-3</v>
      </c>
      <c r="E2558" s="3" t="s">
        <v>13349</v>
      </c>
      <c r="F2558" s="3" t="s">
        <v>13350</v>
      </c>
      <c r="G2558" s="3">
        <v>30931</v>
      </c>
      <c r="H2558" s="7" t="str">
        <f>HYPERLINK("http://www.ensembl.org/Mus_musculus/Gene/Summary?db=core;g=ENSMUSG00000026849","ENSMUSG00000026849")</f>
        <v>ENSMUSG00000026849</v>
      </c>
      <c r="I2558" s="7" t="str">
        <f>HYPERLINK("http://www.informatics.jax.org/marker/MGI:1353568","MGI:1353568")</f>
        <v>MGI:1353568</v>
      </c>
      <c r="J2558" s="4" t="s">
        <v>12</v>
      </c>
    </row>
    <row r="2559" spans="1:10" x14ac:dyDescent="0.25">
      <c r="A2559" s="2">
        <v>2937.8609491295201</v>
      </c>
      <c r="B2559" s="3">
        <v>0.27042265445332703</v>
      </c>
      <c r="C2559" s="5">
        <v>7.6714564948588703E-9</v>
      </c>
      <c r="D2559" s="6">
        <v>5.4106925162075402E-8</v>
      </c>
      <c r="E2559" s="3" t="s">
        <v>4177</v>
      </c>
      <c r="F2559" s="3" t="s">
        <v>4178</v>
      </c>
      <c r="G2559" s="3">
        <v>75416</v>
      </c>
      <c r="H2559" s="7" t="str">
        <f>HYPERLINK("http://www.ensembl.org/Mus_musculus/Gene/Summary?db=core;g=ENSMUSG00000036693","ENSMUSG00000036693")</f>
        <v>ENSMUSG00000036693</v>
      </c>
      <c r="I2559" s="7" t="str">
        <f>HYPERLINK("http://www.informatics.jax.org/marker/MGI:1922666","MGI:1922666")</f>
        <v>MGI:1922666</v>
      </c>
      <c r="J2559" s="4" t="s">
        <v>12</v>
      </c>
    </row>
    <row r="2560" spans="1:10" x14ac:dyDescent="0.25">
      <c r="A2560" s="2">
        <v>22971.970831086899</v>
      </c>
      <c r="B2560" s="3">
        <v>0.27040029075593802</v>
      </c>
      <c r="C2560" s="5">
        <v>1.0306696256647E-6</v>
      </c>
      <c r="D2560" s="6">
        <v>5.7250697737699504E-6</v>
      </c>
      <c r="E2560" s="3" t="s">
        <v>6808</v>
      </c>
      <c r="F2560" s="3" t="s">
        <v>6809</v>
      </c>
      <c r="G2560" s="3">
        <v>12631</v>
      </c>
      <c r="H2560" s="7" t="str">
        <f>HYPERLINK("http://www.ensembl.org/Mus_musculus/Gene/Summary?db=core;g=ENSMUSG00000056201","ENSMUSG00000056201")</f>
        <v>ENSMUSG00000056201</v>
      </c>
      <c r="I2560" s="7" t="str">
        <f>HYPERLINK("http://www.informatics.jax.org/marker/MGI:101757","MGI:101757")</f>
        <v>MGI:101757</v>
      </c>
      <c r="J2560" s="4" t="s">
        <v>12</v>
      </c>
    </row>
    <row r="2561" spans="1:10" x14ac:dyDescent="0.25">
      <c r="A2561" s="2">
        <v>2478.6585944580102</v>
      </c>
      <c r="B2561" s="3">
        <v>0.27038858825939899</v>
      </c>
      <c r="C2561" s="3">
        <v>1.6735806371478599E-3</v>
      </c>
      <c r="D2561" s="4">
        <v>5.6337286871111503E-3</v>
      </c>
      <c r="E2561" s="3" t="s">
        <v>9143</v>
      </c>
      <c r="F2561" s="3" t="s">
        <v>9144</v>
      </c>
      <c r="G2561" s="3">
        <v>19345</v>
      </c>
      <c r="H2561" s="7" t="str">
        <f>HYPERLINK("http://www.ensembl.org/Mus_musculus/Gene/Summary?db=core;g=ENSMUSG00000019173","ENSMUSG00000019173")</f>
        <v>ENSMUSG00000019173</v>
      </c>
      <c r="I2561" s="7" t="str">
        <f>HYPERLINK("http://www.informatics.jax.org/marker/MGI:105306","MGI:105306")</f>
        <v>MGI:105306</v>
      </c>
      <c r="J2561" s="4" t="s">
        <v>12</v>
      </c>
    </row>
    <row r="2562" spans="1:10" x14ac:dyDescent="0.25">
      <c r="A2562" s="2">
        <v>516.87697893099403</v>
      </c>
      <c r="B2562" s="3">
        <v>0.27033682905787998</v>
      </c>
      <c r="C2562" s="5">
        <v>3.3828788258047198E-6</v>
      </c>
      <c r="D2562" s="6">
        <v>1.76403337912134E-5</v>
      </c>
      <c r="E2562" s="3" t="s">
        <v>5389</v>
      </c>
      <c r="F2562" s="3" t="s">
        <v>5390</v>
      </c>
      <c r="G2562" s="3">
        <v>52713</v>
      </c>
      <c r="H2562" s="7" t="str">
        <f>HYPERLINK("http://www.ensembl.org/Mus_musculus/Gene/Summary?db=core;g=ENSMUSG00000019897","ENSMUSG00000019897")</f>
        <v>ENSMUSG00000019897</v>
      </c>
      <c r="I2562" s="7" t="str">
        <f>HYPERLINK("http://www.informatics.jax.org/marker/MGI:1289302","MGI:1289302")</f>
        <v>MGI:1289302</v>
      </c>
      <c r="J2562" s="4" t="s">
        <v>12</v>
      </c>
    </row>
    <row r="2563" spans="1:10" x14ac:dyDescent="0.25">
      <c r="A2563" s="2">
        <v>1313.68679511344</v>
      </c>
      <c r="B2563" s="3">
        <v>0.27028206693039702</v>
      </c>
      <c r="C2563" s="3">
        <v>2.0171814665563299E-3</v>
      </c>
      <c r="D2563" s="4">
        <v>6.6720748145170901E-3</v>
      </c>
      <c r="E2563" s="3" t="s">
        <v>4327</v>
      </c>
      <c r="F2563" s="3" t="s">
        <v>4328</v>
      </c>
      <c r="G2563" s="3">
        <v>68267</v>
      </c>
      <c r="H2563" s="7" t="str">
        <f>HYPERLINK("http://www.ensembl.org/Mus_musculus/Gene/Summary?db=core;g=ENSMUSG00000019082","ENSMUSG00000019082")</f>
        <v>ENSMUSG00000019082</v>
      </c>
      <c r="I2563" s="7" t="str">
        <f>HYPERLINK("http://www.informatics.jax.org/marker/MGI:1915517","MGI:1915517")</f>
        <v>MGI:1915517</v>
      </c>
      <c r="J2563" s="4" t="s">
        <v>12</v>
      </c>
    </row>
    <row r="2564" spans="1:10" x14ac:dyDescent="0.25">
      <c r="A2564" s="2">
        <v>335.06887304561701</v>
      </c>
      <c r="B2564" s="3">
        <v>0.27025723513640099</v>
      </c>
      <c r="C2564" s="5">
        <v>9.6891002769801903E-5</v>
      </c>
      <c r="D2564" s="4">
        <v>4.0622004266842402E-4</v>
      </c>
      <c r="E2564" s="3" t="s">
        <v>10970</v>
      </c>
      <c r="F2564" s="3" t="s">
        <v>10971</v>
      </c>
      <c r="G2564" s="3">
        <v>210135</v>
      </c>
      <c r="H2564" s="7" t="str">
        <f>HYPERLINK("http://www.ensembl.org/Mus_musculus/Gene/Summary?db=core;g=ENSMUSG00000057101","ENSMUSG00000057101")</f>
        <v>ENSMUSG00000057101</v>
      </c>
      <c r="I2564" s="7" t="str">
        <f>HYPERLINK("http://www.informatics.jax.org/marker/MGI:1923701","MGI:1923701")</f>
        <v>MGI:1923701</v>
      </c>
      <c r="J2564" s="4" t="s">
        <v>12</v>
      </c>
    </row>
    <row r="2565" spans="1:10" x14ac:dyDescent="0.25">
      <c r="A2565" s="2">
        <v>707.08106657090798</v>
      </c>
      <c r="B2565" s="3">
        <v>0.26986123217021701</v>
      </c>
      <c r="C2565" s="3">
        <v>1.5053853920078901E-3</v>
      </c>
      <c r="D2565" s="4">
        <v>5.1233704517915403E-3</v>
      </c>
      <c r="E2565" s="3" t="s">
        <v>9974</v>
      </c>
      <c r="F2565" s="3" t="s">
        <v>9975</v>
      </c>
      <c r="G2565" s="3">
        <v>22209</v>
      </c>
      <c r="H2565" s="7" t="str">
        <f>HYPERLINK("http://www.ensembl.org/Mus_musculus/Gene/Summary?db=core;g=ENSMUSG00000016308","ENSMUSG00000016308")</f>
        <v>ENSMUSG00000016308</v>
      </c>
      <c r="I2565" s="7" t="str">
        <f>HYPERLINK("http://www.informatics.jax.org/marker/MGI:102959","MGI:102959")</f>
        <v>MGI:102959</v>
      </c>
      <c r="J2565" s="4" t="s">
        <v>12</v>
      </c>
    </row>
    <row r="2566" spans="1:10" x14ac:dyDescent="0.25">
      <c r="A2566" s="2">
        <v>1169.18104758963</v>
      </c>
      <c r="B2566" s="3">
        <v>0.26985968684372102</v>
      </c>
      <c r="C2566" s="3">
        <v>1.42914786890368E-2</v>
      </c>
      <c r="D2566" s="4">
        <v>3.8478682095981001E-2</v>
      </c>
      <c r="E2566" s="3" t="s">
        <v>13521</v>
      </c>
      <c r="F2566" s="3" t="s">
        <v>13522</v>
      </c>
      <c r="G2566" s="3">
        <v>108687</v>
      </c>
      <c r="H2566" s="7" t="str">
        <f>HYPERLINK("http://www.ensembl.org/Mus_musculus/Gene/Summary?db=core;g=ENSMUSG00000038312","ENSMUSG00000038312")</f>
        <v>ENSMUSG00000038312</v>
      </c>
      <c r="I2566" s="7" t="str">
        <f>HYPERLINK("http://www.informatics.jax.org/marker/MGI:1915540","MGI:1915540")</f>
        <v>MGI:1915540</v>
      </c>
      <c r="J2566" s="4" t="s">
        <v>12</v>
      </c>
    </row>
    <row r="2567" spans="1:10" x14ac:dyDescent="0.25">
      <c r="A2567" s="2">
        <v>2554.0329780612701</v>
      </c>
      <c r="B2567" s="3">
        <v>0.26985581330851999</v>
      </c>
      <c r="C2567" s="3">
        <v>2.3858802895478001E-4</v>
      </c>
      <c r="D2567" s="4">
        <v>9.3430744041703205E-4</v>
      </c>
      <c r="E2567" s="3" t="s">
        <v>6393</v>
      </c>
      <c r="F2567" s="3" t="s">
        <v>6394</v>
      </c>
      <c r="G2567" s="3">
        <v>19166</v>
      </c>
      <c r="H2567" s="7" t="str">
        <f>HYPERLINK("http://www.ensembl.org/Mus_musculus/Gene/Summary?db=core;g=ENSMUSG00000015671","ENSMUSG00000015671")</f>
        <v>ENSMUSG00000015671</v>
      </c>
      <c r="I2567" s="7" t="str">
        <f>HYPERLINK("http://www.informatics.jax.org/marker/MGI:104885","MGI:104885")</f>
        <v>MGI:104885</v>
      </c>
      <c r="J2567" s="4" t="s">
        <v>12</v>
      </c>
    </row>
    <row r="2568" spans="1:10" x14ac:dyDescent="0.25">
      <c r="A2568" s="2">
        <v>225.34993295599901</v>
      </c>
      <c r="B2568" s="3">
        <v>0.26975423673387899</v>
      </c>
      <c r="C2568" s="3">
        <v>2.0809972213294099E-3</v>
      </c>
      <c r="D2568" s="4">
        <v>6.8520640214505E-3</v>
      </c>
      <c r="E2568" s="3" t="s">
        <v>12257</v>
      </c>
      <c r="F2568" s="3" t="s">
        <v>12258</v>
      </c>
      <c r="G2568" s="3">
        <v>100503572</v>
      </c>
      <c r="H2568" s="7" t="str">
        <f>HYPERLINK("http://www.ensembl.org/Mus_musculus/Gene/Summary?db=core;g=ENSMUSG00000084957","ENSMUSG00000084957")</f>
        <v>ENSMUSG00000084957</v>
      </c>
      <c r="I2568" s="7" t="str">
        <f>HYPERLINK("http://www.informatics.jax.org/marker/MGI:1913610","MGI:1913610")</f>
        <v>MGI:1913610</v>
      </c>
      <c r="J2568" s="4" t="s">
        <v>12</v>
      </c>
    </row>
    <row r="2569" spans="1:10" x14ac:dyDescent="0.25">
      <c r="A2569" s="2">
        <v>1338.1599504834001</v>
      </c>
      <c r="B2569" s="3">
        <v>0.26969122116056399</v>
      </c>
      <c r="C2569" s="5">
        <v>4.1902227783271001E-11</v>
      </c>
      <c r="D2569" s="6">
        <v>3.6999423515024901E-10</v>
      </c>
      <c r="E2569" s="3" t="s">
        <v>9167</v>
      </c>
      <c r="F2569" s="3" t="s">
        <v>9168</v>
      </c>
      <c r="G2569" s="3">
        <v>105504</v>
      </c>
      <c r="H2569" s="7" t="str">
        <f>HYPERLINK("http://www.ensembl.org/Mus_musculus/Gene/Summary?db=core;g=ENSMUSG00000061244","ENSMUSG00000061244")</f>
        <v>ENSMUSG00000061244</v>
      </c>
      <c r="I2569" s="7" t="str">
        <f>HYPERLINK("http://www.informatics.jax.org/marker/MGI:2145645","MGI:2145645")</f>
        <v>MGI:2145645</v>
      </c>
      <c r="J2569" s="4" t="s">
        <v>12</v>
      </c>
    </row>
    <row r="2570" spans="1:10" x14ac:dyDescent="0.25">
      <c r="A2570" s="2">
        <v>1193.9257242876699</v>
      </c>
      <c r="B2570" s="3">
        <v>0.26932324116086198</v>
      </c>
      <c r="C2570" s="5">
        <v>5.5091566529264597E-6</v>
      </c>
      <c r="D2570" s="6">
        <v>2.7960005569363601E-5</v>
      </c>
      <c r="E2570" s="3" t="s">
        <v>6507</v>
      </c>
      <c r="F2570" s="3" t="s">
        <v>6508</v>
      </c>
      <c r="G2570" s="3">
        <v>52858</v>
      </c>
      <c r="H2570" s="7" t="str">
        <f>HYPERLINK("http://www.ensembl.org/Mus_musculus/Gene/Summary?db=core;g=ENSMUSG00000030682","ENSMUSG00000030682")</f>
        <v>ENSMUSG00000030682</v>
      </c>
      <c r="I2570" s="7" t="str">
        <f>HYPERLINK("http://www.informatics.jax.org/marker/MGI:105491","MGI:105491")</f>
        <v>MGI:105491</v>
      </c>
      <c r="J2570" s="4" t="s">
        <v>12</v>
      </c>
    </row>
    <row r="2571" spans="1:10" x14ac:dyDescent="0.25">
      <c r="A2571" s="2">
        <v>1177.2164931273001</v>
      </c>
      <c r="B2571" s="3">
        <v>0.26925606690330101</v>
      </c>
      <c r="C2571" s="3">
        <v>3.3577102400957201E-3</v>
      </c>
      <c r="D2571" s="4">
        <v>1.05307639176983E-2</v>
      </c>
      <c r="E2571" s="3" t="s">
        <v>13109</v>
      </c>
      <c r="F2571" s="3" t="s">
        <v>13110</v>
      </c>
      <c r="G2571" s="3">
        <v>113868</v>
      </c>
      <c r="H2571" s="7" t="str">
        <f>HYPERLINK("http://www.ensembl.org/Mus_musculus/Gene/Summary?db=core;g=ENSMUSG00000036138","ENSMUSG00000036138")</f>
        <v>ENSMUSG00000036138</v>
      </c>
      <c r="I2571" s="7" t="str">
        <f>HYPERLINK("http://www.informatics.jax.org/marker/MGI:2148491","MGI:2148491")</f>
        <v>MGI:2148491</v>
      </c>
      <c r="J2571" s="4" t="s">
        <v>12</v>
      </c>
    </row>
    <row r="2572" spans="1:10" x14ac:dyDescent="0.25">
      <c r="A2572" s="2">
        <v>5824.6531037263203</v>
      </c>
      <c r="B2572" s="3">
        <v>0.26914156543061402</v>
      </c>
      <c r="C2572" s="5">
        <v>7.7985573941529795E-10</v>
      </c>
      <c r="D2572" s="6">
        <v>6.1496183898158603E-9</v>
      </c>
      <c r="E2572" s="3" t="s">
        <v>2535</v>
      </c>
      <c r="F2572" s="3" t="s">
        <v>2536</v>
      </c>
      <c r="G2572" s="3">
        <v>67134</v>
      </c>
      <c r="H2572" s="7" t="str">
        <f>HYPERLINK("http://www.ensembl.org/Mus_musculus/Gene/Summary?db=core;g=ENSMUSG00000027405","ENSMUSG00000027405")</f>
        <v>ENSMUSG00000027405</v>
      </c>
      <c r="I2572" s="7" t="str">
        <f>HYPERLINK("http://www.informatics.jax.org/marker/MGI:1914384","MGI:1914384")</f>
        <v>MGI:1914384</v>
      </c>
      <c r="J2572" s="4" t="s">
        <v>12</v>
      </c>
    </row>
    <row r="2573" spans="1:10" x14ac:dyDescent="0.25">
      <c r="A2573" s="2">
        <v>51119.8532245928</v>
      </c>
      <c r="B2573" s="3">
        <v>0.268717588706815</v>
      </c>
      <c r="C2573" s="5">
        <v>3.3465720356290003E-8</v>
      </c>
      <c r="D2573" s="6">
        <v>2.1986761120886201E-7</v>
      </c>
      <c r="E2573" s="3" t="s">
        <v>4637</v>
      </c>
      <c r="F2573" s="3" t="s">
        <v>4638</v>
      </c>
      <c r="G2573" s="3">
        <v>17975</v>
      </c>
      <c r="H2573" s="7" t="str">
        <f>HYPERLINK("http://www.ensembl.org/Mus_musculus/Gene/Summary?db=core;g=ENSMUSG00000026234","ENSMUSG00000026234")</f>
        <v>ENSMUSG00000026234</v>
      </c>
      <c r="I2573" s="7" t="str">
        <f>HYPERLINK("http://www.informatics.jax.org/marker/MGI:97286","MGI:97286")</f>
        <v>MGI:97286</v>
      </c>
      <c r="J2573" s="4" t="s">
        <v>12</v>
      </c>
    </row>
    <row r="2574" spans="1:10" x14ac:dyDescent="0.25">
      <c r="A2574" s="2">
        <v>368.19466007533202</v>
      </c>
      <c r="B2574" s="3">
        <v>0.26839938995770501</v>
      </c>
      <c r="C2574" s="3">
        <v>4.2023845570661299E-4</v>
      </c>
      <c r="D2574" s="4">
        <v>1.5788179458365299E-3</v>
      </c>
      <c r="E2574" s="3" t="s">
        <v>10432</v>
      </c>
      <c r="F2574" s="3" t="s">
        <v>10433</v>
      </c>
      <c r="G2574" s="3">
        <v>194952</v>
      </c>
      <c r="H2574" s="7" t="str">
        <f>HYPERLINK("http://www.ensembl.org/Mus_musculus/Gene/Summary?db=core;g=ENSMUSG00000036819","ENSMUSG00000036819")</f>
        <v>ENSMUSG00000036819</v>
      </c>
      <c r="I2574" s="7" t="str">
        <f>HYPERLINK("http://www.informatics.jax.org/marker/MGI:2144404","MGI:2144404")</f>
        <v>MGI:2144404</v>
      </c>
      <c r="J2574" s="4" t="s">
        <v>12</v>
      </c>
    </row>
    <row r="2575" spans="1:10" x14ac:dyDescent="0.25">
      <c r="A2575" s="2">
        <v>353.55303974282702</v>
      </c>
      <c r="B2575" s="3">
        <v>0.26774321069547102</v>
      </c>
      <c r="C2575" s="3">
        <v>5.7364476660001504E-3</v>
      </c>
      <c r="D2575" s="4">
        <v>1.6991184578718101E-2</v>
      </c>
      <c r="E2575" s="3" t="s">
        <v>9803</v>
      </c>
      <c r="F2575" s="3" t="s">
        <v>9804</v>
      </c>
      <c r="G2575" s="3">
        <v>210148</v>
      </c>
      <c r="H2575" s="7" t="str">
        <f>HYPERLINK("http://www.ensembl.org/Mus_musculus/Gene/Summary?db=core;g=ENSMUSG00000024069","ENSMUSG00000024069")</f>
        <v>ENSMUSG00000024069</v>
      </c>
      <c r="I2575" s="7" t="str">
        <f>HYPERLINK("http://www.informatics.jax.org/marker/MGI:2386741","MGI:2386741")</f>
        <v>MGI:2386741</v>
      </c>
      <c r="J2575" s="4" t="s">
        <v>12</v>
      </c>
    </row>
    <row r="2576" spans="1:10" x14ac:dyDescent="0.25">
      <c r="A2576" s="2">
        <v>6086.2715302243496</v>
      </c>
      <c r="B2576" s="3">
        <v>0.26746838420673003</v>
      </c>
      <c r="C2576" s="5">
        <v>6.62357570391177E-6</v>
      </c>
      <c r="D2576" s="6">
        <v>3.3291414010974101E-5</v>
      </c>
      <c r="E2576" s="3" t="s">
        <v>6385</v>
      </c>
      <c r="F2576" s="3" t="s">
        <v>6386</v>
      </c>
      <c r="G2576" s="3">
        <v>12464</v>
      </c>
      <c r="H2576" s="7" t="str">
        <f>HYPERLINK("http://www.ensembl.org/Mus_musculus/Gene/Summary?db=core;g=ENSMUSG00000007739","ENSMUSG00000007739")</f>
        <v>ENSMUSG00000007739</v>
      </c>
      <c r="I2576" s="7" t="str">
        <f>HYPERLINK("http://www.informatics.jax.org/marker/MGI:104689","MGI:104689")</f>
        <v>MGI:104689</v>
      </c>
      <c r="J2576" s="4" t="s">
        <v>12</v>
      </c>
    </row>
    <row r="2577" spans="1:10" x14ac:dyDescent="0.25">
      <c r="A2577" s="2">
        <v>2302.17769260246</v>
      </c>
      <c r="B2577" s="3">
        <v>0.26718965508833598</v>
      </c>
      <c r="C2577" s="5">
        <v>8.7389958099896005E-9</v>
      </c>
      <c r="D2577" s="6">
        <v>6.1233448149581095E-8</v>
      </c>
      <c r="E2577" s="3" t="s">
        <v>7582</v>
      </c>
      <c r="F2577" s="3" t="s">
        <v>7583</v>
      </c>
      <c r="G2577" s="3">
        <v>16589</v>
      </c>
      <c r="H2577" s="7" t="str">
        <f>HYPERLINK("http://www.ensembl.org/Mus_musculus/Gene/Summary?db=core;g=ENSMUSG00000026667","ENSMUSG00000026667")</f>
        <v>ENSMUSG00000026667</v>
      </c>
      <c r="I2577" s="7" t="str">
        <f>HYPERLINK("http://www.informatics.jax.org/marker/MGI:1341908","MGI:1341908")</f>
        <v>MGI:1341908</v>
      </c>
      <c r="J2577" s="4" t="s">
        <v>12</v>
      </c>
    </row>
    <row r="2578" spans="1:10" x14ac:dyDescent="0.25">
      <c r="A2578" s="2">
        <v>1030.24830347754</v>
      </c>
      <c r="B2578" s="3">
        <v>0.26716498876785399</v>
      </c>
      <c r="C2578" s="5">
        <v>2.57381986833031E-5</v>
      </c>
      <c r="D2578" s="4">
        <v>1.18275005295814E-4</v>
      </c>
      <c r="E2578" s="3" t="s">
        <v>10300</v>
      </c>
      <c r="F2578" s="3" t="s">
        <v>10301</v>
      </c>
      <c r="G2578" s="3">
        <v>76199</v>
      </c>
      <c r="H2578" s="7" t="str">
        <f>HYPERLINK("http://www.ensembl.org/Mus_musculus/Gene/Summary?db=core;g=ENSMUSG00000018076","ENSMUSG00000018076")</f>
        <v>ENSMUSG00000018076</v>
      </c>
      <c r="I2578" s="7" t="str">
        <f>HYPERLINK("http://www.informatics.jax.org/marker/MGI:2670178","MGI:2670178")</f>
        <v>MGI:2670178</v>
      </c>
      <c r="J2578" s="4" t="s">
        <v>12</v>
      </c>
    </row>
    <row r="2579" spans="1:10" x14ac:dyDescent="0.25">
      <c r="A2579" s="2">
        <v>869.14558819695503</v>
      </c>
      <c r="B2579" s="3">
        <v>0.26701551902949999</v>
      </c>
      <c r="C2579" s="5">
        <v>2.8309094750232799E-7</v>
      </c>
      <c r="D2579" s="6">
        <v>1.68660755744685E-6</v>
      </c>
      <c r="E2579" s="3" t="s">
        <v>7728</v>
      </c>
      <c r="F2579" s="3" t="s">
        <v>7729</v>
      </c>
      <c r="G2579" s="3">
        <v>93836</v>
      </c>
      <c r="H2579" s="7" t="str">
        <f>HYPERLINK("http://www.ensembl.org/Mus_musculus/Gene/Summary?db=core;g=ENSMUSG00000032217","ENSMUSG00000032217")</f>
        <v>ENSMUSG00000032217</v>
      </c>
      <c r="I2579" s="7" t="str">
        <f>HYPERLINK("http://www.informatics.jax.org/marker/MGI:1934919","MGI:1934919")</f>
        <v>MGI:1934919</v>
      </c>
      <c r="J2579" s="4" t="s">
        <v>12</v>
      </c>
    </row>
    <row r="2580" spans="1:10" x14ac:dyDescent="0.25">
      <c r="A2580" s="2">
        <v>3625.1456502190499</v>
      </c>
      <c r="B2580" s="3">
        <v>0.266986814655014</v>
      </c>
      <c r="C2580" s="5">
        <v>3.4208574839200899E-8</v>
      </c>
      <c r="D2580" s="6">
        <v>2.2450532100987999E-7</v>
      </c>
      <c r="E2580" s="3" t="s">
        <v>3594</v>
      </c>
      <c r="F2580" s="3" t="s">
        <v>3595</v>
      </c>
      <c r="G2580" s="3">
        <v>17463</v>
      </c>
      <c r="H2580" s="7" t="str">
        <f>HYPERLINK("http://www.ensembl.org/Mus_musculus/Gene/Summary?db=core;g=ENSMUSG00000039067","ENSMUSG00000039067")</f>
        <v>ENSMUSG00000039067</v>
      </c>
      <c r="I2580" s="7" t="str">
        <f>HYPERLINK("http://www.informatics.jax.org/marker/MGI:1351511","MGI:1351511")</f>
        <v>MGI:1351511</v>
      </c>
      <c r="J2580" s="4" t="s">
        <v>12</v>
      </c>
    </row>
    <row r="2581" spans="1:10" x14ac:dyDescent="0.25">
      <c r="A2581" s="2">
        <v>296.32915711158398</v>
      </c>
      <c r="B2581" s="3">
        <v>0.26692783676659498</v>
      </c>
      <c r="C2581" s="3">
        <v>8.4937548975175803E-3</v>
      </c>
      <c r="D2581" s="4">
        <v>2.42504888008548E-2</v>
      </c>
      <c r="E2581" s="3" t="s">
        <v>10126</v>
      </c>
      <c r="F2581" s="3" t="s">
        <v>10127</v>
      </c>
      <c r="G2581" s="3">
        <v>109241</v>
      </c>
      <c r="H2581" s="7" t="str">
        <f>HYPERLINK("http://www.ensembl.org/Mus_musculus/Gene/Summary?db=core;g=ENSMUSG00000036792","ENSMUSG00000036792")</f>
        <v>ENSMUSG00000036792</v>
      </c>
      <c r="I2581" s="7" t="str">
        <f>HYPERLINK("http://www.informatics.jax.org/marker/MGI:2138934","MGI:2138934")</f>
        <v>MGI:2138934</v>
      </c>
      <c r="J2581" s="4" t="s">
        <v>12</v>
      </c>
    </row>
    <row r="2582" spans="1:10" x14ac:dyDescent="0.25">
      <c r="A2582" s="2">
        <v>287.52804913004201</v>
      </c>
      <c r="B2582" s="3">
        <v>0.26613912130887601</v>
      </c>
      <c r="C2582" s="3">
        <v>4.65398305001208E-4</v>
      </c>
      <c r="D2582" s="4">
        <v>1.7380910058702899E-3</v>
      </c>
      <c r="E2582" s="3" t="s">
        <v>11299</v>
      </c>
      <c r="F2582" s="3" t="s">
        <v>11300</v>
      </c>
      <c r="G2582" s="3">
        <v>66983</v>
      </c>
      <c r="H2582" s="7" t="str">
        <f>HYPERLINK("http://www.ensembl.org/Mus_musculus/Gene/Summary?db=core;g=ENSMUSG00000046010","ENSMUSG00000046010")</f>
        <v>ENSMUSG00000046010</v>
      </c>
      <c r="I2582" s="7" t="str">
        <f>HYPERLINK("http://www.informatics.jax.org/marker/MGI:1914233","MGI:1914233")</f>
        <v>MGI:1914233</v>
      </c>
      <c r="J2582" s="4" t="s">
        <v>12</v>
      </c>
    </row>
    <row r="2583" spans="1:10" x14ac:dyDescent="0.25">
      <c r="A2583" s="2">
        <v>277.27044269386602</v>
      </c>
      <c r="B2583" s="3">
        <v>0.26612849606905697</v>
      </c>
      <c r="C2583" s="3">
        <v>3.9857031341641799E-3</v>
      </c>
      <c r="D2583" s="4">
        <v>1.22763967585165E-2</v>
      </c>
      <c r="E2583" s="3" t="s">
        <v>10934</v>
      </c>
      <c r="F2583" s="3" t="s">
        <v>10935</v>
      </c>
      <c r="G2583" s="3">
        <v>16439</v>
      </c>
      <c r="H2583" s="7" t="str">
        <f>HYPERLINK("http://www.ensembl.org/Mus_musculus/Gene/Summary?db=core;g=ENSMUSG00000030287","ENSMUSG00000030287")</f>
        <v>ENSMUSG00000030287</v>
      </c>
      <c r="I2583" s="7" t="str">
        <f>HYPERLINK("http://www.informatics.jax.org/marker/MGI:99418","MGI:99418")</f>
        <v>MGI:99418</v>
      </c>
      <c r="J2583" s="4" t="s">
        <v>12</v>
      </c>
    </row>
    <row r="2584" spans="1:10" x14ac:dyDescent="0.25">
      <c r="A2584" s="2">
        <v>607.61469968632196</v>
      </c>
      <c r="B2584" s="3">
        <v>0.26610335420692399</v>
      </c>
      <c r="C2584" s="5">
        <v>1.3647421812813301E-5</v>
      </c>
      <c r="D2584" s="6">
        <v>6.5384927060599805E-5</v>
      </c>
      <c r="E2584" s="3" t="s">
        <v>7946</v>
      </c>
      <c r="F2584" s="3" t="s">
        <v>7947</v>
      </c>
      <c r="G2584" s="3">
        <v>67045</v>
      </c>
      <c r="H2584" s="7" t="str">
        <f>HYPERLINK("http://www.ensembl.org/Mus_musculus/Gene/Summary?db=core;g=ENSMUSG00000116564","ENSMUSG00000116564")</f>
        <v>ENSMUSG00000116564</v>
      </c>
      <c r="I2584" s="7" t="str">
        <f>HYPERLINK("http://www.informatics.jax.org/marker/MGI:1914295","MGI:1914295")</f>
        <v>MGI:1914295</v>
      </c>
      <c r="J2584" s="4" t="s">
        <v>12</v>
      </c>
    </row>
    <row r="2585" spans="1:10" x14ac:dyDescent="0.25">
      <c r="A2585" s="2">
        <v>4108.87175672802</v>
      </c>
      <c r="B2585" s="3">
        <v>0.26608358752414502</v>
      </c>
      <c r="C2585" s="5">
        <v>1.6470629736629101E-5</v>
      </c>
      <c r="D2585" s="6">
        <v>7.7907403828202904E-5</v>
      </c>
      <c r="E2585" s="3" t="s">
        <v>8851</v>
      </c>
      <c r="F2585" s="3" t="s">
        <v>8852</v>
      </c>
      <c r="G2585" s="3">
        <v>27407</v>
      </c>
      <c r="H2585" s="7" t="str">
        <f>HYPERLINK("http://www.ensembl.org/Mus_musculus/Gene/Summary?db=core;g=ENSMUSG00000028953","ENSMUSG00000028953")</f>
        <v>ENSMUSG00000028953</v>
      </c>
      <c r="I2585" s="7" t="str">
        <f>HYPERLINK("http://www.informatics.jax.org/marker/MGI:1351657","MGI:1351657")</f>
        <v>MGI:1351657</v>
      </c>
      <c r="J2585" s="4" t="s">
        <v>12</v>
      </c>
    </row>
    <row r="2586" spans="1:10" x14ac:dyDescent="0.25">
      <c r="A2586" s="2">
        <v>2303.6498964861198</v>
      </c>
      <c r="B2586" s="3">
        <v>0.26594105811007501</v>
      </c>
      <c r="C2586" s="5">
        <v>2.5238678964256499E-5</v>
      </c>
      <c r="D2586" s="4">
        <v>1.16184623420958E-4</v>
      </c>
      <c r="E2586" s="3" t="s">
        <v>7678</v>
      </c>
      <c r="F2586" s="3" t="s">
        <v>7679</v>
      </c>
      <c r="G2586" s="3">
        <v>28126</v>
      </c>
      <c r="H2586" s="7" t="str">
        <f>HYPERLINK("http://www.ensembl.org/Mus_musculus/Gene/Summary?db=core;g=ENSMUSG00000025869","ENSMUSG00000025869")</f>
        <v>ENSMUSG00000025869</v>
      </c>
      <c r="I2586" s="7" t="str">
        <f>HYPERLINK("http://www.informatics.jax.org/marker/MGI:107862","MGI:107862")</f>
        <v>MGI:107862</v>
      </c>
      <c r="J2586" s="4" t="s">
        <v>12</v>
      </c>
    </row>
    <row r="2587" spans="1:10" x14ac:dyDescent="0.25">
      <c r="A2587" s="2">
        <v>558.75690925059996</v>
      </c>
      <c r="B2587" s="3">
        <v>0.26586703893857899</v>
      </c>
      <c r="C2587" s="5">
        <v>2.48482477253416E-5</v>
      </c>
      <c r="D2587" s="4">
        <v>1.14502987305778E-4</v>
      </c>
      <c r="E2587" s="3" t="s">
        <v>7518</v>
      </c>
      <c r="F2587" s="3" t="s">
        <v>7519</v>
      </c>
      <c r="G2587" s="3">
        <v>102414</v>
      </c>
      <c r="H2587" s="7" t="str">
        <f>HYPERLINK("http://www.ensembl.org/Mus_musculus/Gene/Summary?db=core;g=ENSMUSG00000032316","ENSMUSG00000032316")</f>
        <v>ENSMUSG00000032316</v>
      </c>
      <c r="I2587" s="7" t="str">
        <f>HYPERLINK("http://www.informatics.jax.org/marker/MGI:1098670","MGI:1098670")</f>
        <v>MGI:1098670</v>
      </c>
      <c r="J2587" s="4" t="s">
        <v>12</v>
      </c>
    </row>
    <row r="2588" spans="1:10" x14ac:dyDescent="0.25">
      <c r="A2588" s="2">
        <v>1177.22117456608</v>
      </c>
      <c r="B2588" s="3">
        <v>0.26577337857803401</v>
      </c>
      <c r="C2588" s="5">
        <v>1.1249007744072101E-5</v>
      </c>
      <c r="D2588" s="6">
        <v>5.46119249162799E-5</v>
      </c>
      <c r="E2588" s="3" t="s">
        <v>11435</v>
      </c>
      <c r="F2588" s="3" t="s">
        <v>11436</v>
      </c>
      <c r="G2588" s="3">
        <v>245945</v>
      </c>
      <c r="H2588" s="7" t="str">
        <f>HYPERLINK("http://www.ensembl.org/Mus_musculus/Gene/Summary?db=core;g=ENSMUSG00000070780","ENSMUSG00000070780")</f>
        <v>ENSMUSG00000070780</v>
      </c>
      <c r="I2588" s="7" t="str">
        <f>HYPERLINK("http://www.informatics.jax.org/marker/MGI:2384294","MGI:2384294")</f>
        <v>MGI:2384294</v>
      </c>
      <c r="J2588" s="4" t="s">
        <v>12</v>
      </c>
    </row>
    <row r="2589" spans="1:10" x14ac:dyDescent="0.25">
      <c r="A2589" s="2">
        <v>1794.5463908077199</v>
      </c>
      <c r="B2589" s="3">
        <v>0.26539916396138702</v>
      </c>
      <c r="C2589" s="3">
        <v>3.5976200308068698E-3</v>
      </c>
      <c r="D2589" s="4">
        <v>1.12041396208912E-2</v>
      </c>
      <c r="E2589" s="3" t="s">
        <v>10599</v>
      </c>
      <c r="F2589" s="3" t="s">
        <v>10600</v>
      </c>
      <c r="G2589" s="3">
        <v>209446</v>
      </c>
      <c r="H2589" s="7" t="str">
        <f>HYPERLINK("http://www.ensembl.org/Mus_musculus/Gene/Summary?db=core;g=ENSMUSG00000000134","ENSMUSG00000000134")</f>
        <v>ENSMUSG00000000134</v>
      </c>
      <c r="I2589" s="7" t="str">
        <f>HYPERLINK("http://www.informatics.jax.org/marker/MGI:98511","MGI:98511")</f>
        <v>MGI:98511</v>
      </c>
      <c r="J2589" s="4" t="s">
        <v>12</v>
      </c>
    </row>
    <row r="2590" spans="1:10" x14ac:dyDescent="0.25">
      <c r="A2590" s="2">
        <v>3580.81114885744</v>
      </c>
      <c r="B2590" s="3">
        <v>0.26537771319972903</v>
      </c>
      <c r="C2590" s="5">
        <v>4.22217823219257E-21</v>
      </c>
      <c r="D2590" s="6">
        <v>6.9826858694836296E-20</v>
      </c>
      <c r="E2590" s="3" t="s">
        <v>1780</v>
      </c>
      <c r="F2590" s="3" t="s">
        <v>1781</v>
      </c>
      <c r="G2590" s="3">
        <v>18472</v>
      </c>
      <c r="H2590" s="7" t="str">
        <f>HYPERLINK("http://www.ensembl.org/Mus_musculus/Gene/Summary?db=core;g=ENSMUSG00000020745","ENSMUSG00000020745")</f>
        <v>ENSMUSG00000020745</v>
      </c>
      <c r="I2590" s="7" t="str">
        <f>HYPERLINK("http://www.informatics.jax.org/marker/MGI:109520","MGI:109520")</f>
        <v>MGI:109520</v>
      </c>
      <c r="J2590" s="4" t="s">
        <v>12</v>
      </c>
    </row>
    <row r="2591" spans="1:10" x14ac:dyDescent="0.25">
      <c r="A2591" s="2">
        <v>981.41175357015698</v>
      </c>
      <c r="B2591" s="3">
        <v>0.26526005247341899</v>
      </c>
      <c r="C2591" s="5">
        <v>4.8094716914967198E-6</v>
      </c>
      <c r="D2591" s="6">
        <v>2.46630899205199E-5</v>
      </c>
      <c r="E2591" s="3" t="s">
        <v>10528</v>
      </c>
      <c r="F2591" s="3" t="s">
        <v>10529</v>
      </c>
      <c r="G2591" s="3">
        <v>107321</v>
      </c>
      <c r="H2591" s="7" t="str">
        <f>HYPERLINK("http://www.ensembl.org/Mus_musculus/Gene/Summary?db=core;g=ENSMUSG00000024696","ENSMUSG00000024696")</f>
        <v>ENSMUSG00000024696</v>
      </c>
      <c r="I2591" s="7" t="str">
        <f>HYPERLINK("http://www.informatics.jax.org/marker/MGI:2147677","MGI:2147677")</f>
        <v>MGI:2147677</v>
      </c>
      <c r="J2591" s="4" t="s">
        <v>12</v>
      </c>
    </row>
    <row r="2592" spans="1:10" x14ac:dyDescent="0.25">
      <c r="A2592" s="2">
        <v>26.6405567517915</v>
      </c>
      <c r="B2592" s="3">
        <v>0.26465941583938402</v>
      </c>
      <c r="C2592" s="3">
        <v>0.18823492370303699</v>
      </c>
      <c r="D2592" s="4">
        <v>0.33568894250406101</v>
      </c>
      <c r="E2592" s="3" t="s">
        <v>13251</v>
      </c>
      <c r="F2592" s="3" t="s">
        <v>13252</v>
      </c>
      <c r="G2592" s="3" t="s">
        <v>83</v>
      </c>
      <c r="H2592" s="7" t="str">
        <f>HYPERLINK("http://www.ensembl.org/Mus_musculus/Gene/Summary?db=core;g=ENSMUSG00000118653","ENSMUSG00000118653")</f>
        <v>ENSMUSG00000118653</v>
      </c>
      <c r="I2592" s="3" t="s">
        <v>83</v>
      </c>
      <c r="J2592" s="4" t="s">
        <v>12</v>
      </c>
    </row>
    <row r="2593" spans="1:10" x14ac:dyDescent="0.25">
      <c r="A2593" s="2">
        <v>380.381944172565</v>
      </c>
      <c r="B2593" s="3">
        <v>0.26459344083227199</v>
      </c>
      <c r="C2593" s="3">
        <v>2.5869013108093999E-3</v>
      </c>
      <c r="D2593" s="4">
        <v>8.3368447249634308E-3</v>
      </c>
      <c r="E2593" s="3" t="s">
        <v>13999</v>
      </c>
      <c r="F2593" s="3" t="s">
        <v>14000</v>
      </c>
      <c r="G2593" s="3">
        <v>209224</v>
      </c>
      <c r="H2593" s="7" t="str">
        <f>HYPERLINK("http://www.ensembl.org/Mus_musculus/Gene/Summary?db=core;g=ENSMUSG00000031109","ENSMUSG00000031109")</f>
        <v>ENSMUSG00000031109</v>
      </c>
      <c r="I2593" s="7" t="str">
        <f>HYPERLINK("http://www.informatics.jax.org/marker/MGI:2384799","MGI:2384799")</f>
        <v>MGI:2384799</v>
      </c>
      <c r="J2593" s="4" t="s">
        <v>12</v>
      </c>
    </row>
    <row r="2594" spans="1:10" x14ac:dyDescent="0.25">
      <c r="A2594" s="2">
        <v>2531.6519422014799</v>
      </c>
      <c r="B2594" s="3">
        <v>0.26444630364989002</v>
      </c>
      <c r="C2594" s="3">
        <v>4.9931034113235302E-2</v>
      </c>
      <c r="D2594" s="4">
        <v>0.11409306329202699</v>
      </c>
      <c r="E2594" s="3" t="s">
        <v>12813</v>
      </c>
      <c r="F2594" s="3" t="s">
        <v>12814</v>
      </c>
      <c r="G2594" s="3">
        <v>26433</v>
      </c>
      <c r="H2594" s="7" t="str">
        <f>HYPERLINK("http://www.ensembl.org/Mus_musculus/Gene/Summary?db=core;g=ENSMUSG00000004846","ENSMUSG00000004846")</f>
        <v>ENSMUSG00000004846</v>
      </c>
      <c r="I2594" s="7" t="str">
        <f>HYPERLINK("http://www.informatics.jax.org/marker/MGI:1347008","MGI:1347008")</f>
        <v>MGI:1347008</v>
      </c>
      <c r="J2594" s="4" t="s">
        <v>12</v>
      </c>
    </row>
    <row r="2595" spans="1:10" x14ac:dyDescent="0.25">
      <c r="A2595" s="2">
        <v>2245.01988926581</v>
      </c>
      <c r="B2595" s="3">
        <v>0.26438573081601002</v>
      </c>
      <c r="C2595" s="5">
        <v>2.0216365099044101E-6</v>
      </c>
      <c r="D2595" s="6">
        <v>1.08397544551362E-5</v>
      </c>
      <c r="E2595" s="3" t="s">
        <v>5157</v>
      </c>
      <c r="F2595" s="3" t="s">
        <v>5158</v>
      </c>
      <c r="G2595" s="3">
        <v>17089</v>
      </c>
      <c r="H2595" s="7" t="str">
        <f>HYPERLINK("http://www.ensembl.org/Mus_musculus/Gene/Summary?db=core;g=ENSMUSG00000067367","ENSMUSG00000067367")</f>
        <v>ENSMUSG00000067367</v>
      </c>
      <c r="I2595" s="7" t="str">
        <f>HYPERLINK("http://www.informatics.jax.org/marker/MGI:107470","MGI:107470")</f>
        <v>MGI:107470</v>
      </c>
      <c r="J2595" s="4" t="s">
        <v>12</v>
      </c>
    </row>
    <row r="2596" spans="1:10" x14ac:dyDescent="0.25">
      <c r="A2596" s="2">
        <v>1273.0992325173199</v>
      </c>
      <c r="B2596" s="3">
        <v>0.26423245102047099</v>
      </c>
      <c r="C2596" s="5">
        <v>1.7579048277167598E-5</v>
      </c>
      <c r="D2596" s="6">
        <v>8.2913601152013203E-5</v>
      </c>
      <c r="E2596" s="3" t="s">
        <v>9213</v>
      </c>
      <c r="F2596" s="3" t="s">
        <v>9214</v>
      </c>
      <c r="G2596" s="3">
        <v>104303</v>
      </c>
      <c r="H2596" s="7" t="str">
        <f>HYPERLINK("http://www.ensembl.org/Mus_musculus/Gene/Summary?db=core;g=ENSMUSG00000060904","ENSMUSG00000060904")</f>
        <v>ENSMUSG00000060904</v>
      </c>
      <c r="I2596" s="7" t="str">
        <f>HYPERLINK("http://www.informatics.jax.org/marker/MGI:99436","MGI:99436")</f>
        <v>MGI:99436</v>
      </c>
      <c r="J2596" s="4" t="s">
        <v>12</v>
      </c>
    </row>
    <row r="2597" spans="1:10" x14ac:dyDescent="0.25">
      <c r="A2597" s="2">
        <v>1758.4427600900101</v>
      </c>
      <c r="B2597" s="3">
        <v>0.26387640839079402</v>
      </c>
      <c r="C2597" s="5">
        <v>2.2284319382646798E-8</v>
      </c>
      <c r="D2597" s="6">
        <v>1.4942300248297899E-7</v>
      </c>
      <c r="E2597" s="3" t="s">
        <v>4889</v>
      </c>
      <c r="F2597" s="3" t="s">
        <v>4890</v>
      </c>
      <c r="G2597" s="3">
        <v>12928</v>
      </c>
      <c r="H2597" s="7" t="str">
        <f>HYPERLINK("http://www.ensembl.org/Mus_musculus/Gene/Summary?db=core;g=ENSMUSG00000017776","ENSMUSG00000017776")</f>
        <v>ENSMUSG00000017776</v>
      </c>
      <c r="I2597" s="7" t="str">
        <f>HYPERLINK("http://www.informatics.jax.org/marker/MGI:88508","MGI:88508")</f>
        <v>MGI:88508</v>
      </c>
      <c r="J2597" s="4" t="s">
        <v>12</v>
      </c>
    </row>
    <row r="2598" spans="1:10" x14ac:dyDescent="0.25">
      <c r="A2598" s="2">
        <v>1115.21679987326</v>
      </c>
      <c r="B2598" s="3">
        <v>0.26340264435617</v>
      </c>
      <c r="C2598" s="5">
        <v>3.71660122144561E-7</v>
      </c>
      <c r="D2598" s="6">
        <v>2.1850018471240699E-6</v>
      </c>
      <c r="E2598" s="3" t="s">
        <v>5441</v>
      </c>
      <c r="F2598" s="3" t="s">
        <v>5442</v>
      </c>
      <c r="G2598" s="3">
        <v>94186</v>
      </c>
      <c r="H2598" s="7" t="str">
        <f>HYPERLINK("http://www.ensembl.org/Mus_musculus/Gene/Summary?db=core;g=ENSMUSG00000020954","ENSMUSG00000020954")</f>
        <v>ENSMUSG00000020954</v>
      </c>
      <c r="I2598" s="7" t="str">
        <f>HYPERLINK("http://www.informatics.jax.org/marker/MGI:2151064","MGI:2151064")</f>
        <v>MGI:2151064</v>
      </c>
      <c r="J2598" s="4" t="s">
        <v>12</v>
      </c>
    </row>
    <row r="2599" spans="1:10" x14ac:dyDescent="0.25">
      <c r="A2599" s="2">
        <v>3499.4599042796399</v>
      </c>
      <c r="B2599" s="3">
        <v>0.263271239099023</v>
      </c>
      <c r="C2599" s="3">
        <v>4.2954367388077399E-4</v>
      </c>
      <c r="D2599" s="4">
        <v>1.6117837052660299E-3</v>
      </c>
      <c r="E2599" s="3" t="s">
        <v>13601</v>
      </c>
      <c r="F2599" s="3" t="s">
        <v>13602</v>
      </c>
      <c r="G2599" s="3">
        <v>223593</v>
      </c>
      <c r="H2599" s="7" t="str">
        <f>HYPERLINK("http://www.ensembl.org/Mus_musculus/Gene/Summary?db=core;g=ENSMUSG00000022350","ENSMUSG00000022350")</f>
        <v>ENSMUSG00000022350</v>
      </c>
      <c r="I2599" s="7" t="str">
        <f>HYPERLINK("http://www.informatics.jax.org/marker/MGI:2146110","MGI:2146110")</f>
        <v>MGI:2146110</v>
      </c>
      <c r="J2599" s="4" t="s">
        <v>12</v>
      </c>
    </row>
    <row r="2600" spans="1:10" x14ac:dyDescent="0.25">
      <c r="A2600" s="2">
        <v>11537.761539446199</v>
      </c>
      <c r="B2600" s="3">
        <v>0.263065611791304</v>
      </c>
      <c r="C2600" s="5">
        <v>3.2606971363285697E-8</v>
      </c>
      <c r="D2600" s="6">
        <v>2.14767637548204E-7</v>
      </c>
      <c r="E2600" s="3" t="s">
        <v>8253</v>
      </c>
      <c r="F2600" s="3" t="s">
        <v>8254</v>
      </c>
      <c r="G2600" s="3">
        <v>70572</v>
      </c>
      <c r="H2600" s="7" t="str">
        <f>HYPERLINK("http://www.ensembl.org/Mus_musculus/Gene/Summary?db=core;g=ENSMUSG00000030662","ENSMUSG00000030662")</f>
        <v>ENSMUSG00000030662</v>
      </c>
      <c r="I2600" s="7" t="str">
        <f>HYPERLINK("http://www.informatics.jax.org/marker/MGI:1917822","MGI:1917822")</f>
        <v>MGI:1917822</v>
      </c>
      <c r="J2600" s="4" t="s">
        <v>12</v>
      </c>
    </row>
    <row r="2601" spans="1:10" x14ac:dyDescent="0.25">
      <c r="A2601" s="2">
        <v>495.62618838698103</v>
      </c>
      <c r="B2601" s="3">
        <v>0.26298950200938198</v>
      </c>
      <c r="C2601" s="3">
        <v>2.2567284710851501E-4</v>
      </c>
      <c r="D2601" s="4">
        <v>8.8888861866278203E-4</v>
      </c>
      <c r="E2601" s="3" t="s">
        <v>9561</v>
      </c>
      <c r="F2601" s="3" t="s">
        <v>9562</v>
      </c>
      <c r="G2601" s="3">
        <v>234069</v>
      </c>
      <c r="H2601" s="7" t="str">
        <f>HYPERLINK("http://www.ensembl.org/Mus_musculus/Gene/Summary?db=core;g=ENSMUSG00000038542","ENSMUSG00000038542")</f>
        <v>ENSMUSG00000038542</v>
      </c>
      <c r="I2601" s="7" t="str">
        <f>HYPERLINK("http://www.informatics.jax.org/marker/MGI:2443003","MGI:2443003")</f>
        <v>MGI:2443003</v>
      </c>
      <c r="J2601" s="4" t="s">
        <v>12</v>
      </c>
    </row>
    <row r="2602" spans="1:10" x14ac:dyDescent="0.25">
      <c r="A2602" s="2">
        <v>319.45538595977803</v>
      </c>
      <c r="B2602" s="3">
        <v>0.26290891168105601</v>
      </c>
      <c r="C2602" s="3">
        <v>3.8800436150766E-3</v>
      </c>
      <c r="D2602" s="4">
        <v>1.19975899024043E-2</v>
      </c>
      <c r="E2602" s="3" t="s">
        <v>13749</v>
      </c>
      <c r="F2602" s="3" t="s">
        <v>13750</v>
      </c>
      <c r="G2602" s="3">
        <v>76205</v>
      </c>
      <c r="H2602" s="7" t="str">
        <f>HYPERLINK("http://www.ensembl.org/Mus_musculus/Gene/Summary?db=core;g=ENSMUSG00000003062","ENSMUSG00000003062")</f>
        <v>ENSMUSG00000003062</v>
      </c>
      <c r="I2602" s="7" t="str">
        <f>HYPERLINK("http://www.informatics.jax.org/marker/MGI:1923455","MGI:1923455")</f>
        <v>MGI:1923455</v>
      </c>
      <c r="J2602" s="4" t="s">
        <v>12</v>
      </c>
    </row>
    <row r="2603" spans="1:10" x14ac:dyDescent="0.25">
      <c r="A2603" s="2">
        <v>5508.1919306699701</v>
      </c>
      <c r="B2603" s="3">
        <v>0.26275542844592198</v>
      </c>
      <c r="C2603" s="5">
        <v>1.19292311278766E-10</v>
      </c>
      <c r="D2603" s="6">
        <v>1.0121519427632701E-9</v>
      </c>
      <c r="E2603" s="3" t="s">
        <v>4467</v>
      </c>
      <c r="F2603" s="3" t="s">
        <v>4468</v>
      </c>
      <c r="G2603" s="3">
        <v>12539</v>
      </c>
      <c r="H2603" s="7" t="str">
        <f>HYPERLINK("http://www.ensembl.org/Mus_musculus/Gene/Summary?db=core;g=ENSMUSG00000019471","ENSMUSG00000019471")</f>
        <v>ENSMUSG00000019471</v>
      </c>
      <c r="I2603" s="7" t="str">
        <f>HYPERLINK("http://www.informatics.jax.org/marker/MGI:109531","MGI:109531")</f>
        <v>MGI:109531</v>
      </c>
      <c r="J2603" s="4" t="s">
        <v>12</v>
      </c>
    </row>
    <row r="2604" spans="1:10" x14ac:dyDescent="0.25">
      <c r="A2604" s="2">
        <v>2190.05489608571</v>
      </c>
      <c r="B2604" s="3">
        <v>0.26273650692541001</v>
      </c>
      <c r="C2604" s="5">
        <v>7.3603155590283504E-9</v>
      </c>
      <c r="D2604" s="6">
        <v>5.1972782279462098E-8</v>
      </c>
      <c r="E2604" s="3" t="s">
        <v>7580</v>
      </c>
      <c r="F2604" s="3" t="s">
        <v>7581</v>
      </c>
      <c r="G2604" s="3">
        <v>67683</v>
      </c>
      <c r="H2604" s="7" t="str">
        <f>HYPERLINK("http://www.ensembl.org/Mus_musculus/Gene/Summary?db=core;g=ENSMUSG00000031226","ENSMUSG00000031226")</f>
        <v>ENSMUSG00000031226</v>
      </c>
      <c r="I2604" s="7" t="str">
        <f>HYPERLINK("http://www.informatics.jax.org/marker/MGI:1914933","MGI:1914933")</f>
        <v>MGI:1914933</v>
      </c>
      <c r="J2604" s="4" t="s">
        <v>12</v>
      </c>
    </row>
    <row r="2605" spans="1:10" x14ac:dyDescent="0.25">
      <c r="A2605" s="2">
        <v>100.134016230821</v>
      </c>
      <c r="B2605" s="3">
        <v>0.26245328867204398</v>
      </c>
      <c r="C2605" s="3">
        <v>1.7864564445663599E-2</v>
      </c>
      <c r="D2605" s="4">
        <v>4.6799150067876702E-2</v>
      </c>
      <c r="E2605" s="3" t="s">
        <v>13493</v>
      </c>
      <c r="F2605" s="3" t="s">
        <v>13494</v>
      </c>
      <c r="G2605" s="3" t="s">
        <v>83</v>
      </c>
      <c r="H2605" s="7" t="str">
        <f>HYPERLINK("http://www.ensembl.org/Mus_musculus/Gene/Summary?db=core;g=ENSMUSG00000097039","ENSMUSG00000097039")</f>
        <v>ENSMUSG00000097039</v>
      </c>
      <c r="I2605" s="7" t="str">
        <f>HYPERLINK("http://www.informatics.jax.org/marker/MGI:97824","MGI:97824")</f>
        <v>MGI:97824</v>
      </c>
      <c r="J2605" s="4" t="s">
        <v>939</v>
      </c>
    </row>
    <row r="2606" spans="1:10" x14ac:dyDescent="0.25">
      <c r="A2606" s="2">
        <v>6952.3121107205698</v>
      </c>
      <c r="B2606" s="3">
        <v>0.26235490518209698</v>
      </c>
      <c r="C2606" s="5">
        <v>1.6897478201220201E-7</v>
      </c>
      <c r="D2606" s="6">
        <v>1.0341052391445199E-6</v>
      </c>
      <c r="E2606" s="3" t="s">
        <v>12511</v>
      </c>
      <c r="F2606" s="3" t="s">
        <v>12512</v>
      </c>
      <c r="G2606" s="3" t="s">
        <v>83</v>
      </c>
      <c r="H2606" s="7" t="str">
        <f>HYPERLINK("http://www.ensembl.org/Mus_musculus/Gene/Summary?db=core;g=ENSMUSG00000105987","ENSMUSG00000105987")</f>
        <v>ENSMUSG00000105987</v>
      </c>
      <c r="I2606" s="7" t="str">
        <f>HYPERLINK("http://www.informatics.jax.org/marker/MGI:2140929","MGI:2140929")</f>
        <v>MGI:2140929</v>
      </c>
      <c r="J2606" s="4" t="s">
        <v>331</v>
      </c>
    </row>
    <row r="2607" spans="1:10" x14ac:dyDescent="0.25">
      <c r="A2607" s="2">
        <v>393.13870829526502</v>
      </c>
      <c r="B2607" s="3">
        <v>0.26232064326251098</v>
      </c>
      <c r="C2607" s="3">
        <v>1.30219366923876E-3</v>
      </c>
      <c r="D2607" s="4">
        <v>4.4879878256196097E-3</v>
      </c>
      <c r="E2607" s="3" t="s">
        <v>7774</v>
      </c>
      <c r="F2607" s="3" t="s">
        <v>7775</v>
      </c>
      <c r="G2607" s="3">
        <v>74125</v>
      </c>
      <c r="H2607" s="7" t="str">
        <f>HYPERLINK("http://www.ensembl.org/Mus_musculus/Gene/Summary?db=core;g=ENSMUSG00000032468","ENSMUSG00000032468")</f>
        <v>ENSMUSG00000032468</v>
      </c>
      <c r="I2607" s="7" t="str">
        <f>HYPERLINK("http://www.informatics.jax.org/marker/MGI:1921375","MGI:1921375")</f>
        <v>MGI:1921375</v>
      </c>
      <c r="J2607" s="4" t="s">
        <v>12</v>
      </c>
    </row>
    <row r="2608" spans="1:10" x14ac:dyDescent="0.25">
      <c r="A2608" s="2">
        <v>2946.6404052974999</v>
      </c>
      <c r="B2608" s="3">
        <v>0.26221937221710201</v>
      </c>
      <c r="C2608" s="5">
        <v>9.7897700192806199E-6</v>
      </c>
      <c r="D2608" s="6">
        <v>4.7923330271659802E-5</v>
      </c>
      <c r="E2608" s="3" t="s">
        <v>7040</v>
      </c>
      <c r="F2608" s="3" t="s">
        <v>7041</v>
      </c>
      <c r="G2608" s="3">
        <v>66988</v>
      </c>
      <c r="H2608" s="7" t="str">
        <f>HYPERLINK("http://www.ensembl.org/Mus_musculus/Gene/Summary?db=core;g=ENSMUSG00000039682","ENSMUSG00000039682")</f>
        <v>ENSMUSG00000039682</v>
      </c>
      <c r="I2608" s="7" t="str">
        <f>HYPERLINK("http://www.informatics.jax.org/marker/MGI:1914238","MGI:1914238")</f>
        <v>MGI:1914238</v>
      </c>
      <c r="J2608" s="4" t="s">
        <v>12</v>
      </c>
    </row>
    <row r="2609" spans="1:10" x14ac:dyDescent="0.25">
      <c r="A2609" s="2">
        <v>574.153516237811</v>
      </c>
      <c r="B2609" s="3">
        <v>0.26189981920433397</v>
      </c>
      <c r="C2609" s="3">
        <v>2.3958975484272201E-4</v>
      </c>
      <c r="D2609" s="4">
        <v>9.37625785271336E-4</v>
      </c>
      <c r="E2609" s="3" t="s">
        <v>9155</v>
      </c>
      <c r="F2609" s="3" t="s">
        <v>9156</v>
      </c>
      <c r="G2609" s="3">
        <v>100317</v>
      </c>
      <c r="H2609" s="7" t="str">
        <f>HYPERLINK("http://www.ensembl.org/Mus_musculus/Gene/Summary?db=core;g=ENSMUSG00000028830","ENSMUSG00000028830")</f>
        <v>ENSMUSG00000028830</v>
      </c>
      <c r="I2609" s="7" t="str">
        <f>HYPERLINK("http://www.informatics.jax.org/marker/MGI:2140475","MGI:2140475")</f>
        <v>MGI:2140475</v>
      </c>
      <c r="J2609" s="4" t="s">
        <v>12</v>
      </c>
    </row>
    <row r="2610" spans="1:10" x14ac:dyDescent="0.25">
      <c r="A2610" s="2">
        <v>3576.2366240633801</v>
      </c>
      <c r="B2610" s="3">
        <v>0.26161178803887902</v>
      </c>
      <c r="C2610" s="5">
        <v>1.7808125209708599E-6</v>
      </c>
      <c r="D2610" s="6">
        <v>9.6106923881237296E-6</v>
      </c>
      <c r="E2610" s="3" t="s">
        <v>5901</v>
      </c>
      <c r="F2610" s="3" t="s">
        <v>5902</v>
      </c>
      <c r="G2610" s="3">
        <v>104662</v>
      </c>
      <c r="H2610" s="7" t="str">
        <f>HYPERLINK("http://www.ensembl.org/Mus_musculus/Gene/Summary?db=core;g=ENSMUSG00000038335","ENSMUSG00000038335")</f>
        <v>ENSMUSG00000038335</v>
      </c>
      <c r="I2610" s="7" t="str">
        <f>HYPERLINK("http://www.informatics.jax.org/marker/MGI:2144566","MGI:2144566")</f>
        <v>MGI:2144566</v>
      </c>
      <c r="J2610" s="4" t="s">
        <v>12</v>
      </c>
    </row>
    <row r="2611" spans="1:10" x14ac:dyDescent="0.25">
      <c r="A2611" s="2">
        <v>24.5661555375193</v>
      </c>
      <c r="B2611" s="3">
        <v>0.26139782421789898</v>
      </c>
      <c r="C2611" s="3">
        <v>0.54292659693169798</v>
      </c>
      <c r="D2611" s="4">
        <v>0.70890079016192897</v>
      </c>
      <c r="E2611" s="3" t="s">
        <v>8801</v>
      </c>
      <c r="F2611" s="3" t="s">
        <v>8802</v>
      </c>
      <c r="G2611" s="3">
        <v>19672</v>
      </c>
      <c r="H2611" s="7" t="str">
        <f>HYPERLINK("http://www.ensembl.org/Mus_musculus/Gene/Summary?db=core;g=ENSMUSG00000005973","ENSMUSG00000005973")</f>
        <v>ENSMUSG00000005973</v>
      </c>
      <c r="I2611" s="7" t="str">
        <f>HYPERLINK("http://www.informatics.jax.org/marker/MGI:104559","MGI:104559")</f>
        <v>MGI:104559</v>
      </c>
      <c r="J2611" s="4" t="s">
        <v>12</v>
      </c>
    </row>
    <row r="2612" spans="1:10" x14ac:dyDescent="0.25">
      <c r="A2612" s="2">
        <v>118.55223931670101</v>
      </c>
      <c r="B2612" s="3">
        <v>0.261242995369598</v>
      </c>
      <c r="C2612" s="3">
        <v>2.3726773771884601E-2</v>
      </c>
      <c r="D2612" s="4">
        <v>5.99003258058729E-2</v>
      </c>
      <c r="E2612" s="3" t="s">
        <v>10662</v>
      </c>
      <c r="F2612" s="3" t="s">
        <v>10663</v>
      </c>
      <c r="G2612" s="3">
        <v>195046</v>
      </c>
      <c r="H2612" s="7" t="str">
        <f>HYPERLINK("http://www.ensembl.org/Mus_musculus/Gene/Summary?db=core;g=ENSMUSG00000069830","ENSMUSG00000069830")</f>
        <v>ENSMUSG00000069830</v>
      </c>
      <c r="I2612" s="7" t="str">
        <f>HYPERLINK("http://www.informatics.jax.org/marker/MGI:2684861","MGI:2684861")</f>
        <v>MGI:2684861</v>
      </c>
      <c r="J2612" s="4" t="s">
        <v>12</v>
      </c>
    </row>
    <row r="2613" spans="1:10" x14ac:dyDescent="0.25">
      <c r="A2613" s="2">
        <v>3670.0435252183502</v>
      </c>
      <c r="B2613" s="3">
        <v>0.26114734414033303</v>
      </c>
      <c r="C2613" s="3">
        <v>2.0841152467113099E-3</v>
      </c>
      <c r="D2613" s="4">
        <v>6.8610911075349702E-3</v>
      </c>
      <c r="E2613" s="3" t="s">
        <v>9407</v>
      </c>
      <c r="F2613" s="3" t="s">
        <v>9408</v>
      </c>
      <c r="G2613" s="3">
        <v>12721</v>
      </c>
      <c r="H2613" s="7" t="str">
        <f>HYPERLINK("http://www.ensembl.org/Mus_musculus/Gene/Summary?db=core;g=ENSMUSG00000030707","ENSMUSG00000030707")</f>
        <v>ENSMUSG00000030707</v>
      </c>
      <c r="I2613" s="7" t="str">
        <f>HYPERLINK("http://www.informatics.jax.org/marker/MGI:1345961","MGI:1345961")</f>
        <v>MGI:1345961</v>
      </c>
      <c r="J2613" s="4" t="s">
        <v>12</v>
      </c>
    </row>
    <row r="2614" spans="1:10" x14ac:dyDescent="0.25">
      <c r="A2614" s="2">
        <v>2786.0583324453801</v>
      </c>
      <c r="B2614" s="3">
        <v>0.261068060454623</v>
      </c>
      <c r="C2614" s="5">
        <v>4.0029039286136701E-7</v>
      </c>
      <c r="D2614" s="6">
        <v>2.3382347467623101E-6</v>
      </c>
      <c r="E2614" s="3" t="s">
        <v>13147</v>
      </c>
      <c r="F2614" s="3" t="s">
        <v>13148</v>
      </c>
      <c r="G2614" s="3">
        <v>268420</v>
      </c>
      <c r="H2614" s="7" t="str">
        <f>HYPERLINK("http://www.ensembl.org/Mus_musculus/Gene/Summary?db=core;g=ENSMUSG00000042650","ENSMUSG00000042650")</f>
        <v>ENSMUSG00000042650</v>
      </c>
      <c r="I2614" s="7" t="str">
        <f>HYPERLINK("http://www.informatics.jax.org/marker/MGI:2144489","MGI:2144489")</f>
        <v>MGI:2144489</v>
      </c>
      <c r="J2614" s="4" t="s">
        <v>12</v>
      </c>
    </row>
    <row r="2615" spans="1:10" x14ac:dyDescent="0.25">
      <c r="A2615" s="2">
        <v>2944.4771706843899</v>
      </c>
      <c r="B2615" s="3">
        <v>0.26092098128297597</v>
      </c>
      <c r="C2615" s="5">
        <v>2.83392714397389E-7</v>
      </c>
      <c r="D2615" s="6">
        <v>1.6873022606639699E-6</v>
      </c>
      <c r="E2615" s="3" t="s">
        <v>8319</v>
      </c>
      <c r="F2615" s="3" t="s">
        <v>8320</v>
      </c>
      <c r="G2615" s="3">
        <v>75007</v>
      </c>
      <c r="H2615" s="7" t="str">
        <f>HYPERLINK("http://www.ensembl.org/Mus_musculus/Gene/Summary?db=core;g=ENSMUSG00000038712","ENSMUSG00000038712")</f>
        <v>ENSMUSG00000038712</v>
      </c>
      <c r="I2615" s="7" t="str">
        <f>HYPERLINK("http://www.informatics.jax.org/marker/MGI:1922257","MGI:1922257")</f>
        <v>MGI:1922257</v>
      </c>
      <c r="J2615" s="4" t="s">
        <v>12</v>
      </c>
    </row>
    <row r="2616" spans="1:10" x14ac:dyDescent="0.25">
      <c r="A2616" s="2">
        <v>2102.9189670005298</v>
      </c>
      <c r="B2616" s="3">
        <v>0.26080521691684</v>
      </c>
      <c r="C2616" s="3">
        <v>1.4786765719564701E-4</v>
      </c>
      <c r="D2616" s="4">
        <v>6.0003879896290105E-4</v>
      </c>
      <c r="E2616" s="3" t="s">
        <v>6191</v>
      </c>
      <c r="F2616" s="3" t="s">
        <v>6192</v>
      </c>
      <c r="G2616" s="3">
        <v>26441</v>
      </c>
      <c r="H2616" s="7" t="str">
        <f>HYPERLINK("http://www.ensembl.org/Mus_musculus/Gene/Summary?db=core;g=ENSMUSG00000032301","ENSMUSG00000032301")</f>
        <v>ENSMUSG00000032301</v>
      </c>
      <c r="I2616" s="7" t="str">
        <f>HYPERLINK("http://www.informatics.jax.org/marker/MGI:1347060","MGI:1347060")</f>
        <v>MGI:1347060</v>
      </c>
      <c r="J2616" s="4" t="s">
        <v>12</v>
      </c>
    </row>
    <row r="2617" spans="1:10" x14ac:dyDescent="0.25">
      <c r="A2617" s="2">
        <v>6228.4548915492596</v>
      </c>
      <c r="B2617" s="3">
        <v>0.26066402261168398</v>
      </c>
      <c r="C2617" s="5">
        <v>7.6091133796989204E-8</v>
      </c>
      <c r="D2617" s="6">
        <v>4.8151420605907296E-7</v>
      </c>
      <c r="E2617" s="3" t="s">
        <v>3224</v>
      </c>
      <c r="F2617" s="3" t="s">
        <v>3225</v>
      </c>
      <c r="G2617" s="3">
        <v>67154</v>
      </c>
      <c r="H2617" s="7" t="str">
        <f>HYPERLINK("http://www.ensembl.org/Mus_musculus/Gene/Summary?db=core;g=ENSMUSG00000022255","ENSMUSG00000022255")</f>
        <v>ENSMUSG00000022255</v>
      </c>
      <c r="I2617" s="7" t="str">
        <f>HYPERLINK("http://www.informatics.jax.org/marker/MGI:1914404","MGI:1914404")</f>
        <v>MGI:1914404</v>
      </c>
      <c r="J2617" s="4" t="s">
        <v>12</v>
      </c>
    </row>
    <row r="2618" spans="1:10" x14ac:dyDescent="0.25">
      <c r="A2618" s="2">
        <v>2432.6732653752301</v>
      </c>
      <c r="B2618" s="3">
        <v>0.26043468608624998</v>
      </c>
      <c r="C2618" s="5">
        <v>3.8108282372611799E-5</v>
      </c>
      <c r="D2618" s="4">
        <v>1.69851662078956E-4</v>
      </c>
      <c r="E2618" s="3" t="s">
        <v>9451</v>
      </c>
      <c r="F2618" s="3" t="s">
        <v>9452</v>
      </c>
      <c r="G2618" s="3">
        <v>19089</v>
      </c>
      <c r="H2618" s="7" t="str">
        <f>HYPERLINK("http://www.ensembl.org/Mus_musculus/Gene/Summary?db=core;g=ENSMUSG00000003402","ENSMUSG00000003402")</f>
        <v>ENSMUSG00000003402</v>
      </c>
      <c r="I2618" s="7" t="str">
        <f>HYPERLINK("http://www.informatics.jax.org/marker/MGI:107877","MGI:107877")</f>
        <v>MGI:107877</v>
      </c>
      <c r="J2618" s="4" t="s">
        <v>12</v>
      </c>
    </row>
    <row r="2619" spans="1:10" x14ac:dyDescent="0.25">
      <c r="A2619" s="2">
        <v>1103.2505519162</v>
      </c>
      <c r="B2619" s="3">
        <v>0.26038972840049301</v>
      </c>
      <c r="C2619" s="3">
        <v>1.4555133338482599E-4</v>
      </c>
      <c r="D2619" s="4">
        <v>5.9158631822891496E-4</v>
      </c>
      <c r="E2619" s="3" t="s">
        <v>7700</v>
      </c>
      <c r="F2619" s="3" t="s">
        <v>7701</v>
      </c>
      <c r="G2619" s="3">
        <v>107817</v>
      </c>
      <c r="H2619" s="7" t="str">
        <f>HYPERLINK("http://www.ensembl.org/Mus_musculus/Gene/Summary?db=core;g=ENSMUSG00000056962","ENSMUSG00000056962")</f>
        <v>ENSMUSG00000056962</v>
      </c>
      <c r="I2619" s="7" t="str">
        <f>HYPERLINK("http://www.informatics.jax.org/marker/MGI:1858910","MGI:1858910")</f>
        <v>MGI:1858910</v>
      </c>
      <c r="J2619" s="4" t="s">
        <v>12</v>
      </c>
    </row>
    <row r="2620" spans="1:10" x14ac:dyDescent="0.25">
      <c r="A2620" s="2">
        <v>16960.6829307671</v>
      </c>
      <c r="B2620" s="3">
        <v>0.25994390715211502</v>
      </c>
      <c r="C2620" s="5">
        <v>7.6392170998247204E-11</v>
      </c>
      <c r="D2620" s="6">
        <v>6.59832851394813E-10</v>
      </c>
      <c r="E2620" s="3" t="s">
        <v>4129</v>
      </c>
      <c r="F2620" s="3" t="s">
        <v>4130</v>
      </c>
      <c r="G2620" s="3">
        <v>18643</v>
      </c>
      <c r="H2620" s="7" t="str">
        <f>HYPERLINK("http://www.ensembl.org/Mus_musculus/Gene/Summary?db=core;g=ENSMUSG00000018293","ENSMUSG00000018293")</f>
        <v>ENSMUSG00000018293</v>
      </c>
      <c r="I2620" s="7" t="str">
        <f>HYPERLINK("http://www.informatics.jax.org/marker/MGI:97549","MGI:97549")</f>
        <v>MGI:97549</v>
      </c>
      <c r="J2620" s="4" t="s">
        <v>12</v>
      </c>
    </row>
    <row r="2621" spans="1:10" x14ac:dyDescent="0.25">
      <c r="A2621" s="2">
        <v>636.93588372592603</v>
      </c>
      <c r="B2621" s="3">
        <v>0.25965264905497698</v>
      </c>
      <c r="C2621" s="3">
        <v>1.8134526779998002E-2</v>
      </c>
      <c r="D2621" s="4">
        <v>4.7410952598689299E-2</v>
      </c>
      <c r="E2621" s="3" t="s">
        <v>10202</v>
      </c>
      <c r="F2621" s="3" t="s">
        <v>10203</v>
      </c>
      <c r="G2621" s="3">
        <v>20345</v>
      </c>
      <c r="H2621" s="7" t="str">
        <f>HYPERLINK("http://www.ensembl.org/Mus_musculus/Gene/Summary?db=core;g=ENSMUSG00000048163","ENSMUSG00000048163")</f>
        <v>ENSMUSG00000048163</v>
      </c>
      <c r="I2621" s="7" t="str">
        <f>HYPERLINK("http://www.informatics.jax.org/marker/MGI:106689","MGI:106689")</f>
        <v>MGI:106689</v>
      </c>
      <c r="J2621" s="4" t="s">
        <v>12</v>
      </c>
    </row>
    <row r="2622" spans="1:10" x14ac:dyDescent="0.25">
      <c r="A2622" s="2">
        <v>505.13003765693901</v>
      </c>
      <c r="B2622" s="3">
        <v>0.25909690659125001</v>
      </c>
      <c r="C2622" s="3">
        <v>2.8263627407646799E-3</v>
      </c>
      <c r="D2622" s="4">
        <v>9.0319166859614795E-3</v>
      </c>
      <c r="E2622" s="3" t="s">
        <v>12821</v>
      </c>
      <c r="F2622" s="3" t="s">
        <v>12822</v>
      </c>
      <c r="G2622" s="3">
        <v>15932</v>
      </c>
      <c r="H2622" s="7" t="str">
        <f>HYPERLINK("http://www.ensembl.org/Mus_musculus/Gene/Summary?db=core;g=ENSMUSG00000033540","ENSMUSG00000033540")</f>
        <v>ENSMUSG00000033540</v>
      </c>
      <c r="I2622" s="7" t="str">
        <f>HYPERLINK("http://www.informatics.jax.org/marker/MGI:96418","MGI:96418")</f>
        <v>MGI:96418</v>
      </c>
      <c r="J2622" s="4" t="s">
        <v>12</v>
      </c>
    </row>
    <row r="2623" spans="1:10" x14ac:dyDescent="0.25">
      <c r="A2623" s="2">
        <v>293.24900701603599</v>
      </c>
      <c r="B2623" s="3">
        <v>0.25883302839089101</v>
      </c>
      <c r="C2623" s="3">
        <v>1.81733595561785E-3</v>
      </c>
      <c r="D2623" s="4">
        <v>6.0683304857338397E-3</v>
      </c>
      <c r="E2623" s="3" t="s">
        <v>11119</v>
      </c>
      <c r="F2623" s="3" t="s">
        <v>11120</v>
      </c>
      <c r="G2623" s="3">
        <v>268822</v>
      </c>
      <c r="H2623" s="7" t="str">
        <f>HYPERLINK("http://www.ensembl.org/Mus_musculus/Gene/Summary?db=core;g=ENSMUSG00000022550","ENSMUSG00000022550")</f>
        <v>ENSMUSG00000022550</v>
      </c>
      <c r="I2623" s="7" t="str">
        <f>HYPERLINK("http://www.informatics.jax.org/marker/MGI:2679274","MGI:2679274")</f>
        <v>MGI:2679274</v>
      </c>
      <c r="J2623" s="4" t="s">
        <v>12</v>
      </c>
    </row>
    <row r="2624" spans="1:10" x14ac:dyDescent="0.25">
      <c r="A2624" s="2">
        <v>4377.1592540357797</v>
      </c>
      <c r="B2624" s="3">
        <v>0.25880710514949701</v>
      </c>
      <c r="C2624" s="5">
        <v>3.19692867984365E-9</v>
      </c>
      <c r="D2624" s="6">
        <v>2.35886741660529E-8</v>
      </c>
      <c r="E2624" s="3" t="s">
        <v>4571</v>
      </c>
      <c r="F2624" s="3" t="s">
        <v>4572</v>
      </c>
      <c r="G2624" s="3">
        <v>53817</v>
      </c>
      <c r="H2624" s="7" t="str">
        <f>HYPERLINK("http://www.ensembl.org/Mus_musculus/Gene/Summary?db=core;g=ENSMUSG00000019432","ENSMUSG00000019432")</f>
        <v>ENSMUSG00000019432</v>
      </c>
      <c r="I2624" s="7" t="str">
        <f>HYPERLINK("http://www.informatics.jax.org/marker/MGI:99240","MGI:99240")</f>
        <v>MGI:99240</v>
      </c>
      <c r="J2624" s="4" t="s">
        <v>12</v>
      </c>
    </row>
    <row r="2625" spans="1:10" x14ac:dyDescent="0.25">
      <c r="A2625" s="2">
        <v>1935.8115960070299</v>
      </c>
      <c r="B2625" s="3">
        <v>0.25874730989040101</v>
      </c>
      <c r="C2625" s="3">
        <v>1.769988693198E-4</v>
      </c>
      <c r="D2625" s="4">
        <v>7.0912384993479104E-4</v>
      </c>
      <c r="E2625" s="3" t="s">
        <v>12423</v>
      </c>
      <c r="F2625" s="3" t="s">
        <v>12424</v>
      </c>
      <c r="G2625" s="3">
        <v>51797</v>
      </c>
      <c r="H2625" s="7" t="str">
        <f>HYPERLINK("http://www.ensembl.org/Mus_musculus/Gene/Summary?db=core;g=ENSMUSG00000028633","ENSMUSG00000028633")</f>
        <v>ENSMUSG00000028633</v>
      </c>
      <c r="I2625" s="7" t="str">
        <f>HYPERLINK("http://www.informatics.jax.org/marker/MGI:1858304","MGI:1858304")</f>
        <v>MGI:1858304</v>
      </c>
      <c r="J2625" s="4" t="s">
        <v>12</v>
      </c>
    </row>
    <row r="2626" spans="1:10" x14ac:dyDescent="0.25">
      <c r="A2626" s="2">
        <v>106.944164408047</v>
      </c>
      <c r="B2626" s="3">
        <v>0.25837761707532603</v>
      </c>
      <c r="C2626" s="3">
        <v>2.0090972571521599E-2</v>
      </c>
      <c r="D2626" s="4">
        <v>5.1797704783700799E-2</v>
      </c>
      <c r="E2626" s="3" t="s">
        <v>14003</v>
      </c>
      <c r="F2626" s="3" t="s">
        <v>14004</v>
      </c>
      <c r="G2626" s="3" t="s">
        <v>83</v>
      </c>
      <c r="H2626" s="7" t="str">
        <f>HYPERLINK("http://www.ensembl.org/Mus_musculus/Gene/Summary?db=core;g=ENSMUSG00000106990","ENSMUSG00000106990")</f>
        <v>ENSMUSG00000106990</v>
      </c>
      <c r="I2626" s="7" t="str">
        <f>HYPERLINK("http://www.informatics.jax.org/marker/MGI:5662684","MGI:5662684")</f>
        <v>MGI:5662684</v>
      </c>
      <c r="J2626" s="4" t="s">
        <v>1828</v>
      </c>
    </row>
    <row r="2627" spans="1:10" x14ac:dyDescent="0.25">
      <c r="A2627" s="2">
        <v>352.46294716249099</v>
      </c>
      <c r="B2627" s="3">
        <v>0.25829484311355899</v>
      </c>
      <c r="C2627" s="3">
        <v>2.5872600237522498E-3</v>
      </c>
      <c r="D2627" s="4">
        <v>8.3368447249634308E-3</v>
      </c>
      <c r="E2627" s="3" t="s">
        <v>10838</v>
      </c>
      <c r="F2627" s="3" t="s">
        <v>10839</v>
      </c>
      <c r="G2627" s="3">
        <v>209357</v>
      </c>
      <c r="H2627" s="7" t="str">
        <f>HYPERLINK("http://www.ensembl.org/Mus_musculus/Gene/Summary?db=core;g=ENSMUSG00000029387","ENSMUSG00000029387")</f>
        <v>ENSMUSG00000029387</v>
      </c>
      <c r="I2627" s="7" t="str">
        <f>HYPERLINK("http://www.informatics.jax.org/marker/MGI:1277143","MGI:1277143")</f>
        <v>MGI:1277143</v>
      </c>
      <c r="J2627" s="4" t="s">
        <v>12</v>
      </c>
    </row>
    <row r="2628" spans="1:10" x14ac:dyDescent="0.25">
      <c r="A2628" s="2">
        <v>851.71408157448104</v>
      </c>
      <c r="B2628" s="3">
        <v>0.25807827292820401</v>
      </c>
      <c r="C2628" s="3">
        <v>9.8544395527270096E-3</v>
      </c>
      <c r="D2628" s="4">
        <v>2.7649678465904201E-2</v>
      </c>
      <c r="E2628" s="3" t="s">
        <v>13441</v>
      </c>
      <c r="F2628" s="3" t="s">
        <v>13442</v>
      </c>
      <c r="G2628" s="3">
        <v>319955</v>
      </c>
      <c r="H2628" s="7" t="str">
        <f>HYPERLINK("http://www.ensembl.org/Mus_musculus/Gene/Summary?db=core;g=ENSMUSG00000054051","ENSMUSG00000054051")</f>
        <v>ENSMUSG00000054051</v>
      </c>
      <c r="I2628" s="7" t="str">
        <f>HYPERLINK("http://www.informatics.jax.org/marker/MGI:1100494","MGI:1100494")</f>
        <v>MGI:1100494</v>
      </c>
      <c r="J2628" s="4" t="s">
        <v>12</v>
      </c>
    </row>
    <row r="2629" spans="1:10" x14ac:dyDescent="0.25">
      <c r="A2629" s="2">
        <v>866.53949697519795</v>
      </c>
      <c r="B2629" s="3">
        <v>0.257278035298875</v>
      </c>
      <c r="C2629" s="5">
        <v>3.19297357422623E-5</v>
      </c>
      <c r="D2629" s="4">
        <v>1.44557596410078E-4</v>
      </c>
      <c r="E2629" s="3" t="s">
        <v>11853</v>
      </c>
      <c r="F2629" s="3" t="s">
        <v>11854</v>
      </c>
      <c r="G2629" s="3">
        <v>77371</v>
      </c>
      <c r="H2629" s="7" t="str">
        <f>HYPERLINK("http://www.ensembl.org/Mus_musculus/Gene/Summary?db=core;g=ENSMUSG00000036391","ENSMUSG00000036391")</f>
        <v>ENSMUSG00000036391</v>
      </c>
      <c r="I2629" s="7" t="str">
        <f>HYPERLINK("http://www.informatics.jax.org/marker/MGI:1924621","MGI:1924621")</f>
        <v>MGI:1924621</v>
      </c>
      <c r="J2629" s="4" t="s">
        <v>12</v>
      </c>
    </row>
    <row r="2630" spans="1:10" x14ac:dyDescent="0.25">
      <c r="A2630" s="2">
        <v>1950.34190705785</v>
      </c>
      <c r="B2630" s="3">
        <v>0.25648898295154599</v>
      </c>
      <c r="C2630" s="5">
        <v>3.51040782470911E-6</v>
      </c>
      <c r="D2630" s="6">
        <v>1.8284419149849499E-5</v>
      </c>
      <c r="E2630" s="3" t="s">
        <v>7752</v>
      </c>
      <c r="F2630" s="3" t="s">
        <v>7753</v>
      </c>
      <c r="G2630" s="3">
        <v>216965</v>
      </c>
      <c r="H2630" s="7" t="str">
        <f>HYPERLINK("http://www.ensembl.org/Mus_musculus/Gene/Summary?db=core;g=ENSMUSG00000017291","ENSMUSG00000017291")</f>
        <v>ENSMUSG00000017291</v>
      </c>
      <c r="I2630" s="7" t="str">
        <f>HYPERLINK("http://www.informatics.jax.org/marker/MGI:1914490","MGI:1914490")</f>
        <v>MGI:1914490</v>
      </c>
      <c r="J2630" s="4" t="s">
        <v>12</v>
      </c>
    </row>
    <row r="2631" spans="1:10" x14ac:dyDescent="0.25">
      <c r="A2631" s="2">
        <v>2615.3836793820801</v>
      </c>
      <c r="B2631" s="3">
        <v>0.256435525897943</v>
      </c>
      <c r="C2631" s="5">
        <v>1.7848922541043799E-7</v>
      </c>
      <c r="D2631" s="6">
        <v>1.0894059387492401E-6</v>
      </c>
      <c r="E2631" s="3" t="s">
        <v>8309</v>
      </c>
      <c r="F2631" s="3" t="s">
        <v>8310</v>
      </c>
      <c r="G2631" s="3">
        <v>114896</v>
      </c>
      <c r="H2631" s="7" t="str">
        <f>HYPERLINK("http://www.ensembl.org/Mus_musculus/Gene/Summary?db=core;g=ENSMUSG00000031967","ENSMUSG00000031967")</f>
        <v>ENSMUSG00000031967</v>
      </c>
      <c r="I2631" s="7" t="str">
        <f>HYPERLINK("http://www.informatics.jax.org/marker/MGI:1928277","MGI:1928277")</f>
        <v>MGI:1928277</v>
      </c>
      <c r="J2631" s="4" t="s">
        <v>12</v>
      </c>
    </row>
    <row r="2632" spans="1:10" x14ac:dyDescent="0.25">
      <c r="A2632" s="2">
        <v>1848.8793247886599</v>
      </c>
      <c r="B2632" s="3">
        <v>0.25619010459064001</v>
      </c>
      <c r="C2632" s="5">
        <v>1.30923181431942E-7</v>
      </c>
      <c r="D2632" s="6">
        <v>8.0911325249140004E-7</v>
      </c>
      <c r="E2632" s="3" t="s">
        <v>7238</v>
      </c>
      <c r="F2632" s="3" t="s">
        <v>7239</v>
      </c>
      <c r="G2632" s="3">
        <v>29806</v>
      </c>
      <c r="H2632" s="7" t="str">
        <f>HYPERLINK("http://www.ensembl.org/Mus_musculus/Gene/Summary?db=core;g=ENSMUSG00000025239","ENSMUSG00000025239")</f>
        <v>ENSMUSG00000025239</v>
      </c>
      <c r="I2632" s="7" t="str">
        <f>HYPERLINK("http://www.informatics.jax.org/marker/MGI:1352502","MGI:1352502")</f>
        <v>MGI:1352502</v>
      </c>
      <c r="J2632" s="4" t="s">
        <v>12</v>
      </c>
    </row>
    <row r="2633" spans="1:10" x14ac:dyDescent="0.25">
      <c r="A2633" s="2">
        <v>431.96903122253002</v>
      </c>
      <c r="B2633" s="3">
        <v>0.25618805735779199</v>
      </c>
      <c r="C2633" s="3">
        <v>9.1794105743261706E-3</v>
      </c>
      <c r="D2633" s="4">
        <v>2.59774468504805E-2</v>
      </c>
      <c r="E2633" s="3" t="s">
        <v>7412</v>
      </c>
      <c r="F2633" s="3" t="s">
        <v>7413</v>
      </c>
      <c r="G2633" s="3">
        <v>19300</v>
      </c>
      <c r="H2633" s="7" t="str">
        <f>HYPERLINK("http://www.ensembl.org/Mus_musculus/Gene/Summary?db=core;g=ENSMUSG00000021240","ENSMUSG00000021240")</f>
        <v>ENSMUSG00000021240</v>
      </c>
      <c r="I2633" s="7" t="str">
        <f>HYPERLINK("http://www.informatics.jax.org/marker/MGI:1349217","MGI:1349217")</f>
        <v>MGI:1349217</v>
      </c>
      <c r="J2633" s="4" t="s">
        <v>12</v>
      </c>
    </row>
    <row r="2634" spans="1:10" x14ac:dyDescent="0.25">
      <c r="A2634" s="2">
        <v>5.2320196876539402</v>
      </c>
      <c r="B2634" s="3">
        <v>0.25534995573590602</v>
      </c>
      <c r="C2634" s="3">
        <v>0.54971029774037505</v>
      </c>
      <c r="D2634" s="4">
        <v>0.71482339843777598</v>
      </c>
      <c r="E2634" s="3" t="s">
        <v>13549</v>
      </c>
      <c r="F2634" s="3" t="s">
        <v>13550</v>
      </c>
      <c r="G2634" s="3">
        <v>12765</v>
      </c>
      <c r="H2634" s="7" t="str">
        <f>HYPERLINK("http://www.ensembl.org/Mus_musculus/Gene/Summary?db=core;g=ENSMUSG00000026180","ENSMUSG00000026180")</f>
        <v>ENSMUSG00000026180</v>
      </c>
      <c r="I2634" s="7" t="str">
        <f>HYPERLINK("http://www.informatics.jax.org/marker/MGI:105303","MGI:105303")</f>
        <v>MGI:105303</v>
      </c>
      <c r="J2634" s="4" t="s">
        <v>12</v>
      </c>
    </row>
    <row r="2635" spans="1:10" x14ac:dyDescent="0.25">
      <c r="A2635" s="2">
        <v>716.34476324130605</v>
      </c>
      <c r="B2635" s="3">
        <v>0.255304889853392</v>
      </c>
      <c r="C2635" s="3">
        <v>2.6669378929796502E-3</v>
      </c>
      <c r="D2635" s="4">
        <v>8.56625715536731E-3</v>
      </c>
      <c r="E2635" s="3" t="s">
        <v>6419</v>
      </c>
      <c r="F2635" s="3" t="s">
        <v>6420</v>
      </c>
      <c r="G2635" s="3">
        <v>22320</v>
      </c>
      <c r="H2635" s="7" t="str">
        <f>HYPERLINK("http://www.ensembl.org/Mus_musculus/Gene/Summary?db=core;g=ENSMUSG00000050732","ENSMUSG00000050732")</f>
        <v>ENSMUSG00000050732</v>
      </c>
      <c r="I2635" s="7" t="str">
        <f>HYPERLINK("http://www.informatics.jax.org/marker/MGI:1336882","MGI:1336882")</f>
        <v>MGI:1336882</v>
      </c>
      <c r="J2635" s="4" t="s">
        <v>12</v>
      </c>
    </row>
    <row r="2636" spans="1:10" x14ac:dyDescent="0.25">
      <c r="A2636" s="2">
        <v>151.139942951195</v>
      </c>
      <c r="B2636" s="3">
        <v>0.25482196079506497</v>
      </c>
      <c r="C2636" s="3">
        <v>2.5725151445285799E-2</v>
      </c>
      <c r="D2636" s="4">
        <v>6.43393557143314E-2</v>
      </c>
      <c r="E2636" s="3" t="s">
        <v>13599</v>
      </c>
      <c r="F2636" s="3" t="s">
        <v>13600</v>
      </c>
      <c r="G2636" s="3" t="s">
        <v>83</v>
      </c>
      <c r="H2636" s="7" t="str">
        <f>HYPERLINK("http://www.ensembl.org/Mus_musculus/Gene/Summary?db=core;g=ENSMUSG00000089764","ENSMUSG00000089764")</f>
        <v>ENSMUSG00000089764</v>
      </c>
      <c r="I2636" s="7" t="str">
        <f>HYPERLINK("http://www.informatics.jax.org/marker/MGI:4415000","MGI:4415000")</f>
        <v>MGI:4415000</v>
      </c>
      <c r="J2636" s="4" t="s">
        <v>1043</v>
      </c>
    </row>
    <row r="2637" spans="1:10" x14ac:dyDescent="0.25">
      <c r="A2637" s="2">
        <v>322.73592412445498</v>
      </c>
      <c r="B2637" s="3">
        <v>0.254352675371674</v>
      </c>
      <c r="C2637" s="3">
        <v>2.9485363645050402E-3</v>
      </c>
      <c r="D2637" s="4">
        <v>9.3634910686712595E-3</v>
      </c>
      <c r="E2637" s="3" t="s">
        <v>7136</v>
      </c>
      <c r="F2637" s="3" t="s">
        <v>7137</v>
      </c>
      <c r="G2637" s="3">
        <v>328417</v>
      </c>
      <c r="H2637" s="7" t="str">
        <f>HYPERLINK("http://www.ensembl.org/Mus_musculus/Gene/Summary?db=core;g=ENSMUSG00000054509","ENSMUSG00000054509")</f>
        <v>ENSMUSG00000054509</v>
      </c>
      <c r="I2637" s="7" t="str">
        <f>HYPERLINK("http://www.informatics.jax.org/marker/MGI:2685589","MGI:2685589")</f>
        <v>MGI:2685589</v>
      </c>
      <c r="J2637" s="4" t="s">
        <v>12</v>
      </c>
    </row>
    <row r="2638" spans="1:10" x14ac:dyDescent="0.25">
      <c r="A2638" s="2">
        <v>1263.58946672102</v>
      </c>
      <c r="B2638" s="3">
        <v>0.25367741896535201</v>
      </c>
      <c r="C2638" s="5">
        <v>9.0751595327004498E-8</v>
      </c>
      <c r="D2638" s="6">
        <v>5.7131185659228203E-7</v>
      </c>
      <c r="E2638" s="3" t="s">
        <v>6291</v>
      </c>
      <c r="F2638" s="3" t="s">
        <v>6292</v>
      </c>
      <c r="G2638" s="3">
        <v>30948</v>
      </c>
      <c r="H2638" s="7" t="str">
        <f>HYPERLINK("http://www.ensembl.org/Mus_musculus/Gene/Summary?db=core;g=ENSMUSG00000024381","ENSMUSG00000024381")</f>
        <v>ENSMUSG00000024381</v>
      </c>
      <c r="I2638" s="7" t="str">
        <f>HYPERLINK("http://www.informatics.jax.org/marker/MGI:108092","MGI:108092")</f>
        <v>MGI:108092</v>
      </c>
      <c r="J2638" s="4" t="s">
        <v>12</v>
      </c>
    </row>
    <row r="2639" spans="1:10" x14ac:dyDescent="0.25">
      <c r="A2639" s="2">
        <v>711.35730015077797</v>
      </c>
      <c r="B2639" s="3">
        <v>0.25355039020551401</v>
      </c>
      <c r="C2639" s="3">
        <v>2.0158865203955201E-4</v>
      </c>
      <c r="D2639" s="4">
        <v>8.0007691276586196E-4</v>
      </c>
      <c r="E2639" s="3" t="s">
        <v>12533</v>
      </c>
      <c r="F2639" s="3" t="s">
        <v>12534</v>
      </c>
      <c r="G2639" s="3">
        <v>68421</v>
      </c>
      <c r="H2639" s="7" t="str">
        <f>HYPERLINK("http://www.ensembl.org/Mus_musculus/Gene/Summary?db=core;g=ENSMUSG00000073725","ENSMUSG00000073725")</f>
        <v>ENSMUSG00000073725</v>
      </c>
      <c r="I2639" s="7" t="str">
        <f>HYPERLINK("http://www.informatics.jax.org/marker/MGI:1915671","MGI:1915671")</f>
        <v>MGI:1915671</v>
      </c>
      <c r="J2639" s="4" t="s">
        <v>12</v>
      </c>
    </row>
    <row r="2640" spans="1:10" x14ac:dyDescent="0.25">
      <c r="A2640" s="2">
        <v>668.78007045689799</v>
      </c>
      <c r="B2640" s="3">
        <v>0.25346410024969301</v>
      </c>
      <c r="C2640" s="5">
        <v>7.5678358232254302E-5</v>
      </c>
      <c r="D2640" s="4">
        <v>3.2195099878217398E-4</v>
      </c>
      <c r="E2640" s="3" t="s">
        <v>6802</v>
      </c>
      <c r="F2640" s="3" t="s">
        <v>6803</v>
      </c>
      <c r="G2640" s="3">
        <v>22230</v>
      </c>
      <c r="H2640" s="7" t="str">
        <f>HYPERLINK("http://www.ensembl.org/Mus_musculus/Gene/Summary?db=core;g=ENSMUSG00000005262","ENSMUSG00000005262")</f>
        <v>ENSMUSG00000005262</v>
      </c>
      <c r="I2640" s="7" t="str">
        <f>HYPERLINK("http://www.informatics.jax.org/marker/MGI:109353","MGI:109353")</f>
        <v>MGI:109353</v>
      </c>
      <c r="J2640" s="4" t="s">
        <v>12</v>
      </c>
    </row>
    <row r="2641" spans="1:10" x14ac:dyDescent="0.25">
      <c r="A2641" s="2">
        <v>60.693429459601397</v>
      </c>
      <c r="B2641" s="3">
        <v>0.25329625137478301</v>
      </c>
      <c r="C2641" s="3">
        <v>0.13643470663548901</v>
      </c>
      <c r="D2641" s="4">
        <v>0.26176676791575698</v>
      </c>
      <c r="E2641" s="3" t="s">
        <v>9960</v>
      </c>
      <c r="F2641" s="3" t="s">
        <v>9961</v>
      </c>
      <c r="G2641" s="3">
        <v>100044193</v>
      </c>
      <c r="H2641" s="7" t="str">
        <f>HYPERLINK("http://www.ensembl.org/Mus_musculus/Gene/Summary?db=core;g=ENSMUSG00000095193","ENSMUSG00000095193")</f>
        <v>ENSMUSG00000095193</v>
      </c>
      <c r="I2641" s="7" t="str">
        <f>HYPERLINK("http://www.informatics.jax.org/marker/MGI:5434295","MGI:5434295")</f>
        <v>MGI:5434295</v>
      </c>
      <c r="J2641" s="4" t="s">
        <v>939</v>
      </c>
    </row>
    <row r="2642" spans="1:10" x14ac:dyDescent="0.25">
      <c r="A2642" s="2">
        <v>1029.2135773013299</v>
      </c>
      <c r="B2642" s="3">
        <v>0.25328469008930399</v>
      </c>
      <c r="C2642" s="5">
        <v>3.3007498983767801E-6</v>
      </c>
      <c r="D2642" s="6">
        <v>1.7236724039517702E-5</v>
      </c>
      <c r="E2642" s="3" t="s">
        <v>6892</v>
      </c>
      <c r="F2642" s="3" t="s">
        <v>6893</v>
      </c>
      <c r="G2642" s="3">
        <v>277463</v>
      </c>
      <c r="H2642" s="7" t="str">
        <f>HYPERLINK("http://www.ensembl.org/Mus_musculus/Gene/Summary?db=core;g=ENSMUSG00000000194","ENSMUSG00000000194")</f>
        <v>ENSMUSG00000000194</v>
      </c>
      <c r="I2642" s="7" t="str">
        <f>HYPERLINK("http://www.informatics.jax.org/marker/MGI:2139054","MGI:2139054")</f>
        <v>MGI:2139054</v>
      </c>
      <c r="J2642" s="4" t="s">
        <v>12</v>
      </c>
    </row>
    <row r="2643" spans="1:10" x14ac:dyDescent="0.25">
      <c r="A2643" s="2">
        <v>373.452150562398</v>
      </c>
      <c r="B2643" s="3">
        <v>0.25319137350871301</v>
      </c>
      <c r="C2643" s="3">
        <v>2.7962080199755699E-3</v>
      </c>
      <c r="D2643" s="4">
        <v>8.94521522977966E-3</v>
      </c>
      <c r="E2643" s="3" t="s">
        <v>9313</v>
      </c>
      <c r="F2643" s="3" t="s">
        <v>9314</v>
      </c>
      <c r="G2643" s="3">
        <v>76813</v>
      </c>
      <c r="H2643" s="7" t="str">
        <f>HYPERLINK("http://www.ensembl.org/Mus_musculus/Gene/Summary?db=core;g=ENSMUSG00000002343","ENSMUSG00000002343")</f>
        <v>ENSMUSG00000002343</v>
      </c>
      <c r="I2643" s="7" t="str">
        <f>HYPERLINK("http://www.informatics.jax.org/marker/MGI:1924063","MGI:1924063")</f>
        <v>MGI:1924063</v>
      </c>
      <c r="J2643" s="4" t="s">
        <v>12</v>
      </c>
    </row>
    <row r="2644" spans="1:10" x14ac:dyDescent="0.25">
      <c r="A2644" s="2">
        <v>577.606112356023</v>
      </c>
      <c r="B2644" s="3">
        <v>0.25300045923446002</v>
      </c>
      <c r="C2644" s="3">
        <v>1.0180950238755501E-3</v>
      </c>
      <c r="D2644" s="4">
        <v>3.5792403183125001E-3</v>
      </c>
      <c r="E2644" s="3" t="s">
        <v>6161</v>
      </c>
      <c r="F2644" s="3" t="s">
        <v>6162</v>
      </c>
      <c r="G2644" s="3">
        <v>99712</v>
      </c>
      <c r="H2644" s="7" t="str">
        <f>HYPERLINK("http://www.ensembl.org/Mus_musculus/Gene/Summary?db=core;g=ENSMUSG00000040774","ENSMUSG00000040774")</f>
        <v>ENSMUSG00000040774</v>
      </c>
      <c r="I2644" s="7" t="str">
        <f>HYPERLINK("http://www.informatics.jax.org/marker/MGI:2139793","MGI:2139793")</f>
        <v>MGI:2139793</v>
      </c>
      <c r="J2644" s="4" t="s">
        <v>12</v>
      </c>
    </row>
    <row r="2645" spans="1:10" x14ac:dyDescent="0.25">
      <c r="A2645" s="2">
        <v>5591.7437245087203</v>
      </c>
      <c r="B2645" s="3">
        <v>0.25297755231118002</v>
      </c>
      <c r="C2645" s="5">
        <v>3.7398133474469702E-8</v>
      </c>
      <c r="D2645" s="6">
        <v>2.4368286827751499E-7</v>
      </c>
      <c r="E2645" s="3" t="s">
        <v>5513</v>
      </c>
      <c r="F2645" s="3" t="s">
        <v>5514</v>
      </c>
      <c r="G2645" s="3">
        <v>19385</v>
      </c>
      <c r="H2645" s="7" t="str">
        <f>HYPERLINK("http://www.ensembl.org/Mus_musculus/Gene/Summary?db=core;g=ENSMUSG00000005732","ENSMUSG00000005732")</f>
        <v>ENSMUSG00000005732</v>
      </c>
      <c r="I2645" s="7" t="str">
        <f>HYPERLINK("http://www.informatics.jax.org/marker/MGI:96269","MGI:96269")</f>
        <v>MGI:96269</v>
      </c>
      <c r="J2645" s="4" t="s">
        <v>12</v>
      </c>
    </row>
    <row r="2646" spans="1:10" x14ac:dyDescent="0.25">
      <c r="A2646" s="2">
        <v>671.80022275595798</v>
      </c>
      <c r="B2646" s="3">
        <v>0.252429314489512</v>
      </c>
      <c r="C2646" s="3">
        <v>1.48490815204145E-2</v>
      </c>
      <c r="D2646" s="4">
        <v>3.9873951776860803E-2</v>
      </c>
      <c r="E2646" s="3" t="s">
        <v>12859</v>
      </c>
      <c r="F2646" s="3" t="s">
        <v>12860</v>
      </c>
      <c r="G2646" s="3">
        <v>209131</v>
      </c>
      <c r="H2646" s="7" t="str">
        <f>HYPERLINK("http://www.ensembl.org/Mus_musculus/Gene/Summary?db=core;g=ENSMUSG00000028385","ENSMUSG00000028385")</f>
        <v>ENSMUSG00000028385</v>
      </c>
      <c r="I2646" s="7" t="str">
        <f>HYPERLINK("http://www.informatics.jax.org/marker/MGI:2443882","MGI:2443882")</f>
        <v>MGI:2443882</v>
      </c>
      <c r="J2646" s="4" t="s">
        <v>12</v>
      </c>
    </row>
    <row r="2647" spans="1:10" x14ac:dyDescent="0.25">
      <c r="A2647" s="2">
        <v>902.73111980262104</v>
      </c>
      <c r="B2647" s="3">
        <v>0.25163005500746199</v>
      </c>
      <c r="C2647" s="5">
        <v>4.8595801997315202E-5</v>
      </c>
      <c r="D2647" s="4">
        <v>2.1361758113870401E-4</v>
      </c>
      <c r="E2647" s="3" t="s">
        <v>4623</v>
      </c>
      <c r="F2647" s="3" t="s">
        <v>4624</v>
      </c>
      <c r="G2647" s="3">
        <v>214290</v>
      </c>
      <c r="H2647" s="7" t="str">
        <f>HYPERLINK("http://www.ensembl.org/Mus_musculus/Gene/Summary?db=core;g=ENSMUSG00000035248","ENSMUSG00000035248")</f>
        <v>ENSMUSG00000035248</v>
      </c>
      <c r="I2647" s="7" t="str">
        <f>HYPERLINK("http://www.informatics.jax.org/marker/MGI:2387179","MGI:2387179")</f>
        <v>MGI:2387179</v>
      </c>
      <c r="J2647" s="4" t="s">
        <v>12</v>
      </c>
    </row>
    <row r="2648" spans="1:10" x14ac:dyDescent="0.25">
      <c r="A2648" s="2">
        <v>2423.5103992211598</v>
      </c>
      <c r="B2648" s="3">
        <v>0.25160046099042899</v>
      </c>
      <c r="C2648" s="5">
        <v>7.6103702147904802E-13</v>
      </c>
      <c r="D2648" s="6">
        <v>7.79207849239081E-12</v>
      </c>
      <c r="E2648" s="3" t="s">
        <v>2351</v>
      </c>
      <c r="F2648" s="3" t="s">
        <v>2352</v>
      </c>
      <c r="G2648" s="3">
        <v>53861</v>
      </c>
      <c r="H2648" s="7" t="str">
        <f>HYPERLINK("http://www.ensembl.org/Mus_musculus/Gene/Summary?db=core;g=ENSMUSG00000028180","ENSMUSG00000028180")</f>
        <v>ENSMUSG00000028180</v>
      </c>
      <c r="I2648" s="7" t="str">
        <f>HYPERLINK("http://www.informatics.jax.org/marker/MGI:1858211","MGI:1858211")</f>
        <v>MGI:1858211</v>
      </c>
      <c r="J2648" s="4" t="s">
        <v>12</v>
      </c>
    </row>
    <row r="2649" spans="1:10" x14ac:dyDescent="0.25">
      <c r="A2649" s="2">
        <v>1162.1114195140699</v>
      </c>
      <c r="B2649" s="3">
        <v>0.251482582540352</v>
      </c>
      <c r="C2649" s="5">
        <v>7.6500589203099399E-5</v>
      </c>
      <c r="D2649" s="4">
        <v>3.25145344735655E-4</v>
      </c>
      <c r="E2649" s="3" t="s">
        <v>11171</v>
      </c>
      <c r="F2649" s="3" t="s">
        <v>11172</v>
      </c>
      <c r="G2649" s="3">
        <v>27397</v>
      </c>
      <c r="H2649" s="7" t="str">
        <f>HYPERLINK("http://www.ensembl.org/Mus_musculus/Gene/Summary?db=core;g=ENSMUSG00000030879","ENSMUSG00000030879")</f>
        <v>ENSMUSG00000030879</v>
      </c>
      <c r="I2649" s="7" t="str">
        <f>HYPERLINK("http://www.informatics.jax.org/marker/MGI:1351608","MGI:1351608")</f>
        <v>MGI:1351608</v>
      </c>
      <c r="J2649" s="4" t="s">
        <v>12</v>
      </c>
    </row>
    <row r="2650" spans="1:10" x14ac:dyDescent="0.25">
      <c r="A2650" s="2">
        <v>2713.55460520105</v>
      </c>
      <c r="B2650" s="3">
        <v>0.25142070099736702</v>
      </c>
      <c r="C2650" s="5">
        <v>2.05391684091834E-11</v>
      </c>
      <c r="D2650" s="6">
        <v>1.8632471092950099E-10</v>
      </c>
      <c r="E2650" s="3" t="s">
        <v>2722</v>
      </c>
      <c r="F2650" s="3" t="s">
        <v>2723</v>
      </c>
      <c r="G2650" s="3">
        <v>216705</v>
      </c>
      <c r="H2650" s="7" t="str">
        <f>HYPERLINK("http://www.ensembl.org/Mus_musculus/Gene/Summary?db=core;g=ENSMUSG00000006169","ENSMUSG00000006169")</f>
        <v>ENSMUSG00000006169</v>
      </c>
      <c r="I2650" s="7" t="str">
        <f>HYPERLINK("http://www.informatics.jax.org/marker/MGI:2144243","MGI:2144243")</f>
        <v>MGI:2144243</v>
      </c>
      <c r="J2650" s="4" t="s">
        <v>12</v>
      </c>
    </row>
    <row r="2651" spans="1:10" x14ac:dyDescent="0.25">
      <c r="A2651" s="2">
        <v>1650.75741526654</v>
      </c>
      <c r="B2651" s="3">
        <v>0.25131803426281302</v>
      </c>
      <c r="C2651" s="5">
        <v>1.5732800981654499E-11</v>
      </c>
      <c r="D2651" s="6">
        <v>1.4408557682947399E-10</v>
      </c>
      <c r="E2651" s="3" t="s">
        <v>5423</v>
      </c>
      <c r="F2651" s="3" t="s">
        <v>5424</v>
      </c>
      <c r="G2651" s="3">
        <v>66629</v>
      </c>
      <c r="H2651" s="7" t="str">
        <f>HYPERLINK("http://www.ensembl.org/Mus_musculus/Gene/Summary?db=core;g=ENSMUSG00000022200","ENSMUSG00000022200")</f>
        <v>ENSMUSG00000022200</v>
      </c>
      <c r="I2651" s="7" t="str">
        <f>HYPERLINK("http://www.informatics.jax.org/marker/MGI:1913879","MGI:1913879")</f>
        <v>MGI:1913879</v>
      </c>
      <c r="J2651" s="4" t="s">
        <v>12</v>
      </c>
    </row>
    <row r="2652" spans="1:10" x14ac:dyDescent="0.25">
      <c r="A2652" s="2">
        <v>3603.48903704035</v>
      </c>
      <c r="B2652" s="3">
        <v>0.25115489397872398</v>
      </c>
      <c r="C2652" s="5">
        <v>1.07809546429832E-5</v>
      </c>
      <c r="D2652" s="6">
        <v>5.2465393422795298E-5</v>
      </c>
      <c r="E2652" s="3" t="s">
        <v>8955</v>
      </c>
      <c r="F2652" s="3" t="s">
        <v>8956</v>
      </c>
      <c r="G2652" s="3">
        <v>56486</v>
      </c>
      <c r="H2652" s="7" t="str">
        <f>HYPERLINK("http://www.ensembl.org/Mus_musculus/Gene/Summary?db=core;g=ENSMUSG00000018567","ENSMUSG00000018567")</f>
        <v>ENSMUSG00000018567</v>
      </c>
      <c r="I2652" s="7" t="str">
        <f>HYPERLINK("http://www.informatics.jax.org/marker/MGI:1861742","MGI:1861742")</f>
        <v>MGI:1861742</v>
      </c>
      <c r="J2652" s="4" t="s">
        <v>12</v>
      </c>
    </row>
    <row r="2653" spans="1:10" x14ac:dyDescent="0.25">
      <c r="A2653" s="2">
        <v>14814.795832211101</v>
      </c>
      <c r="B2653" s="3">
        <v>0.25114216961791802</v>
      </c>
      <c r="C2653" s="5">
        <v>2.20333123886924E-13</v>
      </c>
      <c r="D2653" s="6">
        <v>2.3428069911547199E-12</v>
      </c>
      <c r="E2653" s="3" t="s">
        <v>4659</v>
      </c>
      <c r="F2653" s="3" t="s">
        <v>4660</v>
      </c>
      <c r="G2653" s="3">
        <v>15526</v>
      </c>
      <c r="H2653" s="7" t="str">
        <f>HYPERLINK("http://www.ensembl.org/Mus_musculus/Gene/Summary?db=core;g=ENSMUSG00000024359","ENSMUSG00000024359")</f>
        <v>ENSMUSG00000024359</v>
      </c>
      <c r="I2653" s="7" t="str">
        <f>HYPERLINK("http://www.informatics.jax.org/marker/MGI:96245","MGI:96245")</f>
        <v>MGI:96245</v>
      </c>
      <c r="J2653" s="4" t="s">
        <v>12</v>
      </c>
    </row>
    <row r="2654" spans="1:10" x14ac:dyDescent="0.25">
      <c r="A2654" s="2">
        <v>1043.74890551255</v>
      </c>
      <c r="B2654" s="3">
        <v>0.25111333326199697</v>
      </c>
      <c r="C2654" s="5">
        <v>1.2912028656699E-5</v>
      </c>
      <c r="D2654" s="6">
        <v>6.2172185539851699E-5</v>
      </c>
      <c r="E2654" s="3" t="s">
        <v>8299</v>
      </c>
      <c r="F2654" s="3" t="s">
        <v>8300</v>
      </c>
      <c r="G2654" s="3">
        <v>78783</v>
      </c>
      <c r="H2654" s="7" t="str">
        <f>HYPERLINK("http://www.ensembl.org/Mus_musculus/Gene/Summary?db=core;g=ENSMUSG00000001632","ENSMUSG00000001632")</f>
        <v>ENSMUSG00000001632</v>
      </c>
      <c r="I2654" s="7" t="str">
        <f>HYPERLINK("http://www.informatics.jax.org/marker/MGI:1926033","MGI:1926033")</f>
        <v>MGI:1926033</v>
      </c>
      <c r="J2654" s="4" t="s">
        <v>12</v>
      </c>
    </row>
    <row r="2655" spans="1:10" x14ac:dyDescent="0.25">
      <c r="A2655" s="2">
        <v>523.48459531938204</v>
      </c>
      <c r="B2655" s="3">
        <v>0.25065529504155398</v>
      </c>
      <c r="C2655" s="3">
        <v>6.2872384885351697E-4</v>
      </c>
      <c r="D2655" s="4">
        <v>2.2953710227073998E-3</v>
      </c>
      <c r="E2655" s="3" t="s">
        <v>7134</v>
      </c>
      <c r="F2655" s="3" t="s">
        <v>7135</v>
      </c>
      <c r="G2655" s="3">
        <v>227738</v>
      </c>
      <c r="H2655" s="7" t="str">
        <f>HYPERLINK("http://www.ensembl.org/Mus_musculus/Gene/Summary?db=core;g=ENSMUSG00000026792","ENSMUSG00000026792")</f>
        <v>ENSMUSG00000026792</v>
      </c>
      <c r="I2655" s="7" t="str">
        <f>HYPERLINK("http://www.informatics.jax.org/marker/MGI:2684789","MGI:2684789")</f>
        <v>MGI:2684789</v>
      </c>
      <c r="J2655" s="4" t="s">
        <v>12</v>
      </c>
    </row>
    <row r="2656" spans="1:10" x14ac:dyDescent="0.25">
      <c r="A2656" s="2">
        <v>1976.18580313909</v>
      </c>
      <c r="B2656" s="3">
        <v>0.25062554159354</v>
      </c>
      <c r="C2656" s="5">
        <v>1.0943598032937101E-5</v>
      </c>
      <c r="D2656" s="6">
        <v>5.3185886440074501E-5</v>
      </c>
      <c r="E2656" s="3" t="s">
        <v>6685</v>
      </c>
      <c r="F2656" s="3" t="s">
        <v>6686</v>
      </c>
      <c r="G2656" s="3">
        <v>223828</v>
      </c>
      <c r="H2656" s="7" t="str">
        <f>HYPERLINK("http://www.ensembl.org/Mus_musculus/Gene/Summary?db=core;g=ENSMUSG00000036167","ENSMUSG00000036167")</f>
        <v>ENSMUSG00000036167</v>
      </c>
      <c r="I2656" s="7" t="str">
        <f>HYPERLINK("http://www.informatics.jax.org/marker/MGI:1917029","MGI:1917029")</f>
        <v>MGI:1917029</v>
      </c>
      <c r="J2656" s="4" t="s">
        <v>12</v>
      </c>
    </row>
    <row r="2657" spans="1:10" x14ac:dyDescent="0.25">
      <c r="A2657" s="2">
        <v>660.76224457196497</v>
      </c>
      <c r="B2657" s="3">
        <v>0.25056358561715703</v>
      </c>
      <c r="C2657" s="3">
        <v>2.9735672343123801E-4</v>
      </c>
      <c r="D2657" s="4">
        <v>1.1447668535138E-3</v>
      </c>
      <c r="E2657" s="3" t="s">
        <v>9637</v>
      </c>
      <c r="F2657" s="3" t="s">
        <v>9638</v>
      </c>
      <c r="G2657" s="3">
        <v>68938</v>
      </c>
      <c r="H2657" s="7" t="str">
        <f>HYPERLINK("http://www.ensembl.org/Mus_musculus/Gene/Summary?db=core;g=ENSMUSG00000025142","ENSMUSG00000025142")</f>
        <v>ENSMUSG00000025142</v>
      </c>
      <c r="I2657" s="7" t="str">
        <f>HYPERLINK("http://www.informatics.jax.org/marker/MGI:1916188","MGI:1916188")</f>
        <v>MGI:1916188</v>
      </c>
      <c r="J2657" s="4" t="s">
        <v>12</v>
      </c>
    </row>
    <row r="2658" spans="1:10" x14ac:dyDescent="0.25">
      <c r="A2658" s="2">
        <v>3496.8988273741202</v>
      </c>
      <c r="B2658" s="3">
        <v>0.25035290506353902</v>
      </c>
      <c r="C2658" s="5">
        <v>2.5052653193795501E-12</v>
      </c>
      <c r="D2658" s="6">
        <v>2.4442430645445599E-11</v>
      </c>
      <c r="E2658" s="3" t="s">
        <v>2185</v>
      </c>
      <c r="F2658" s="3" t="s">
        <v>2186</v>
      </c>
      <c r="G2658" s="3">
        <v>234366</v>
      </c>
      <c r="H2658" s="7" t="str">
        <f>HYPERLINK("http://www.ensembl.org/Mus_musculus/Gene/Summary?db=core;g=ENSMUSG00000036180","ENSMUSG00000036180")</f>
        <v>ENSMUSG00000036180</v>
      </c>
      <c r="I2658" s="7" t="str">
        <f>HYPERLINK("http://www.informatics.jax.org/marker/MGI:2384585","MGI:2384585")</f>
        <v>MGI:2384585</v>
      </c>
      <c r="J2658" s="4" t="s">
        <v>12</v>
      </c>
    </row>
    <row r="2659" spans="1:10" x14ac:dyDescent="0.25">
      <c r="A2659" s="2">
        <v>2453.6433980791098</v>
      </c>
      <c r="B2659" s="3">
        <v>0.24979911680206701</v>
      </c>
      <c r="C2659" s="5">
        <v>6.6712460880776598E-5</v>
      </c>
      <c r="D2659" s="4">
        <v>2.8628080987806801E-4</v>
      </c>
      <c r="E2659" s="3" t="s">
        <v>7082</v>
      </c>
      <c r="F2659" s="3" t="s">
        <v>7083</v>
      </c>
      <c r="G2659" s="3">
        <v>19181</v>
      </c>
      <c r="H2659" s="7" t="str">
        <f>HYPERLINK("http://www.ensembl.org/Mus_musculus/Gene/Summary?db=core;g=ENSMUSG00000028932","ENSMUSG00000028932")</f>
        <v>ENSMUSG00000028932</v>
      </c>
      <c r="I2659" s="7" t="str">
        <f>HYPERLINK("http://www.informatics.jax.org/marker/MGI:109555","MGI:109555")</f>
        <v>MGI:109555</v>
      </c>
      <c r="J2659" s="4" t="s">
        <v>12</v>
      </c>
    </row>
    <row r="2660" spans="1:10" x14ac:dyDescent="0.25">
      <c r="A2660" s="2">
        <v>1557.3953124637501</v>
      </c>
      <c r="B2660" s="3">
        <v>0.249594054425162</v>
      </c>
      <c r="C2660" s="3">
        <v>2.6976392141968601E-4</v>
      </c>
      <c r="D2660" s="4">
        <v>1.04471896894895E-3</v>
      </c>
      <c r="E2660" s="3" t="s">
        <v>11665</v>
      </c>
      <c r="F2660" s="3" t="s">
        <v>11666</v>
      </c>
      <c r="G2660" s="3">
        <v>12793</v>
      </c>
      <c r="H2660" s="7" t="str">
        <f>HYPERLINK("http://www.ensembl.org/Mus_musculus/Gene/Summary?db=core;g=ENSMUSG00000015759","ENSMUSG00000015759")</f>
        <v>ENSMUSG00000015759</v>
      </c>
      <c r="I2660" s="7" t="str">
        <f>HYPERLINK("http://www.informatics.jax.org/marker/MGI:1277202","MGI:1277202")</f>
        <v>MGI:1277202</v>
      </c>
      <c r="J2660" s="4" t="s">
        <v>12</v>
      </c>
    </row>
    <row r="2661" spans="1:10" x14ac:dyDescent="0.25">
      <c r="A2661" s="2">
        <v>689.04238211816005</v>
      </c>
      <c r="B2661" s="3">
        <v>0.24957059146287799</v>
      </c>
      <c r="C2661" s="5">
        <v>6.9719558370641798E-6</v>
      </c>
      <c r="D2661" s="6">
        <v>3.4888493995193501E-5</v>
      </c>
      <c r="E2661" s="3" t="s">
        <v>8051</v>
      </c>
      <c r="F2661" s="3" t="s">
        <v>8052</v>
      </c>
      <c r="G2661" s="3">
        <v>75398</v>
      </c>
      <c r="H2661" s="7" t="str">
        <f>HYPERLINK("http://www.ensembl.org/Mus_musculus/Gene/Summary?db=core;g=ENSMUSG00000015672","ENSMUSG00000015672")</f>
        <v>ENSMUSG00000015672</v>
      </c>
      <c r="I2661" s="7" t="str">
        <f>HYPERLINK("http://www.informatics.jax.org/marker/MGI:2137226","MGI:2137226")</f>
        <v>MGI:2137226</v>
      </c>
      <c r="J2661" s="4" t="s">
        <v>12</v>
      </c>
    </row>
    <row r="2662" spans="1:10" x14ac:dyDescent="0.25">
      <c r="A2662" s="2">
        <v>1449.33818681352</v>
      </c>
      <c r="B2662" s="3">
        <v>0.24955563333467801</v>
      </c>
      <c r="C2662" s="3">
        <v>5.9804650212410399E-4</v>
      </c>
      <c r="D2662" s="4">
        <v>2.1956884571337201E-3</v>
      </c>
      <c r="E2662" s="3" t="s">
        <v>10754</v>
      </c>
      <c r="F2662" s="3" t="s">
        <v>10755</v>
      </c>
      <c r="G2662" s="3">
        <v>20409</v>
      </c>
      <c r="H2662" s="7" t="str">
        <f>HYPERLINK("http://www.ensembl.org/Mus_musculus/Gene/Summary?db=core;g=ENSMUSG00000024725","ENSMUSG00000024725")</f>
        <v>ENSMUSG00000024725</v>
      </c>
      <c r="I2662" s="7" t="str">
        <f>HYPERLINK("http://www.informatics.jax.org/marker/MGI:700012","MGI:700012")</f>
        <v>MGI:700012</v>
      </c>
      <c r="J2662" s="4" t="s">
        <v>12</v>
      </c>
    </row>
    <row r="2663" spans="1:10" x14ac:dyDescent="0.25">
      <c r="A2663" s="2">
        <v>914.15647281472002</v>
      </c>
      <c r="B2663" s="3">
        <v>0.24952452932885</v>
      </c>
      <c r="C2663" s="5">
        <v>6.3740905085657703E-8</v>
      </c>
      <c r="D2663" s="6">
        <v>4.0660762869657399E-7</v>
      </c>
      <c r="E2663" s="3" t="s">
        <v>6269</v>
      </c>
      <c r="F2663" s="3" t="s">
        <v>6270</v>
      </c>
      <c r="G2663" s="3">
        <v>56709</v>
      </c>
      <c r="H2663" s="7" t="str">
        <f>HYPERLINK("http://www.ensembl.org/Mus_musculus/Gene/Summary?db=core;g=ENSMUSG00000020109","ENSMUSG00000020109")</f>
        <v>ENSMUSG00000020109</v>
      </c>
      <c r="I2663" s="7" t="str">
        <f>HYPERLINK("http://www.informatics.jax.org/marker/MGI:1931881","MGI:1931881")</f>
        <v>MGI:1931881</v>
      </c>
      <c r="J2663" s="4" t="s">
        <v>12</v>
      </c>
    </row>
    <row r="2664" spans="1:10" x14ac:dyDescent="0.25">
      <c r="A2664" s="2">
        <v>1101.58999630778</v>
      </c>
      <c r="B2664" s="3">
        <v>0.24921235892428401</v>
      </c>
      <c r="C2664" s="5">
        <v>4.4785119071460502E-5</v>
      </c>
      <c r="D2664" s="4">
        <v>1.9815702720984901E-4</v>
      </c>
      <c r="E2664" s="3" t="s">
        <v>6487</v>
      </c>
      <c r="F2664" s="3" t="s">
        <v>6488</v>
      </c>
      <c r="G2664" s="3">
        <v>104015</v>
      </c>
      <c r="H2664" s="7" t="str">
        <f>HYPERLINK("http://www.ensembl.org/Mus_musculus/Gene/Summary?db=core;g=ENSMUSG00000022973","ENSMUSG00000022973")</f>
        <v>ENSMUSG00000022973</v>
      </c>
      <c r="I2664" s="7" t="str">
        <f>HYPERLINK("http://www.informatics.jax.org/marker/MGI:1354961","MGI:1354961")</f>
        <v>MGI:1354961</v>
      </c>
      <c r="J2664" s="4" t="s">
        <v>12</v>
      </c>
    </row>
    <row r="2665" spans="1:10" x14ac:dyDescent="0.25">
      <c r="A2665" s="2">
        <v>2170.7088900632398</v>
      </c>
      <c r="B2665" s="3">
        <v>0.24919628973361499</v>
      </c>
      <c r="C2665" s="5">
        <v>3.2288283829932899E-8</v>
      </c>
      <c r="D2665" s="6">
        <v>2.1289941128817899E-7</v>
      </c>
      <c r="E2665" s="3" t="s">
        <v>3132</v>
      </c>
      <c r="F2665" s="3" t="s">
        <v>3133</v>
      </c>
      <c r="G2665" s="3">
        <v>27224</v>
      </c>
      <c r="H2665" s="7" t="str">
        <f>HYPERLINK("http://www.ensembl.org/Mus_musculus/Gene/Summary?db=core;g=ENSMUSG00000028668","ENSMUSG00000028668")</f>
        <v>ENSMUSG00000028668</v>
      </c>
      <c r="I2665" s="7" t="str">
        <f>HYPERLINK("http://www.informatics.jax.org/marker/MGI:1351315","MGI:1351315")</f>
        <v>MGI:1351315</v>
      </c>
      <c r="J2665" s="4" t="s">
        <v>12</v>
      </c>
    </row>
    <row r="2666" spans="1:10" x14ac:dyDescent="0.25">
      <c r="A2666" s="2">
        <v>2651.9719241222601</v>
      </c>
      <c r="B2666" s="3">
        <v>0.249163529048747</v>
      </c>
      <c r="C2666" s="5">
        <v>8.1109550920171E-5</v>
      </c>
      <c r="D2666" s="4">
        <v>3.43692528602678E-4</v>
      </c>
      <c r="E2666" s="3" t="s">
        <v>9966</v>
      </c>
      <c r="F2666" s="3" t="s">
        <v>9967</v>
      </c>
      <c r="G2666" s="3">
        <v>108954</v>
      </c>
      <c r="H2666" s="7" t="str">
        <f>HYPERLINK("http://www.ensembl.org/Mus_musculus/Gene/Summary?db=core;g=ENSMUSG00000046062","ENSMUSG00000046062")</f>
        <v>ENSMUSG00000046062</v>
      </c>
      <c r="I2666" s="7" t="str">
        <f>HYPERLINK("http://www.informatics.jax.org/marker/MGI:2444211","MGI:2444211")</f>
        <v>MGI:2444211</v>
      </c>
      <c r="J2666" s="4" t="s">
        <v>12</v>
      </c>
    </row>
    <row r="2667" spans="1:10" x14ac:dyDescent="0.25">
      <c r="A2667" s="2">
        <v>2602.6454722456601</v>
      </c>
      <c r="B2667" s="3">
        <v>0.248973051046157</v>
      </c>
      <c r="C2667" s="3">
        <v>4.92594808878502E-4</v>
      </c>
      <c r="D2667" s="4">
        <v>1.83177726827396E-3</v>
      </c>
      <c r="E2667" s="3" t="s">
        <v>7358</v>
      </c>
      <c r="F2667" s="3" t="s">
        <v>7359</v>
      </c>
      <c r="G2667" s="3">
        <v>59029</v>
      </c>
      <c r="H2667" s="7" t="str">
        <f>HYPERLINK("http://www.ensembl.org/Mus_musculus/Gene/Summary?db=core;g=ENSMUSG00000026914","ENSMUSG00000026914")</f>
        <v>ENSMUSG00000026914</v>
      </c>
      <c r="I2667" s="7" t="str">
        <f>HYPERLINK("http://www.informatics.jax.org/marker/MGI:1913284","MGI:1913284")</f>
        <v>MGI:1913284</v>
      </c>
      <c r="J2667" s="4" t="s">
        <v>12</v>
      </c>
    </row>
    <row r="2668" spans="1:10" x14ac:dyDescent="0.25">
      <c r="A2668" s="2">
        <v>1775.3381467547899</v>
      </c>
      <c r="B2668" s="3">
        <v>0.248824628337902</v>
      </c>
      <c r="C2668" s="5">
        <v>1.6359457833019801E-5</v>
      </c>
      <c r="D2668" s="6">
        <v>7.7421739549931605E-5</v>
      </c>
      <c r="E2668" s="3" t="s">
        <v>10040</v>
      </c>
      <c r="F2668" s="3" t="s">
        <v>10041</v>
      </c>
      <c r="G2668" s="3">
        <v>108946</v>
      </c>
      <c r="H2668" s="7" t="str">
        <f>HYPERLINK("http://www.ensembl.org/Mus_musculus/Gene/Summary?db=core;g=ENSMUSG00000039068","ENSMUSG00000039068")</f>
        <v>ENSMUSG00000039068</v>
      </c>
      <c r="I2668" s="7" t="str">
        <f>HYPERLINK("http://www.informatics.jax.org/marker/MGI:1920453","MGI:1920453")</f>
        <v>MGI:1920453</v>
      </c>
      <c r="J2668" s="4" t="s">
        <v>12</v>
      </c>
    </row>
    <row r="2669" spans="1:10" x14ac:dyDescent="0.25">
      <c r="A2669" s="2">
        <v>801.81300408036498</v>
      </c>
      <c r="B2669" s="3">
        <v>0.248692399825511</v>
      </c>
      <c r="C2669" s="5">
        <v>7.2782315415044903E-6</v>
      </c>
      <c r="D2669" s="6">
        <v>3.6291592296558E-5</v>
      </c>
      <c r="E2669" s="3" t="s">
        <v>9097</v>
      </c>
      <c r="F2669" s="3" t="s">
        <v>9098</v>
      </c>
      <c r="G2669" s="3">
        <v>68966</v>
      </c>
      <c r="H2669" s="7" t="str">
        <f>HYPERLINK("http://www.ensembl.org/Mus_musculus/Gene/Summary?db=core;g=ENSMUSG00000022204","ENSMUSG00000022204")</f>
        <v>ENSMUSG00000022204</v>
      </c>
      <c r="I2669" s="7" t="str">
        <f>HYPERLINK("http://www.informatics.jax.org/marker/MGI:1916216","MGI:1916216")</f>
        <v>MGI:1916216</v>
      </c>
      <c r="J2669" s="4" t="s">
        <v>12</v>
      </c>
    </row>
    <row r="2670" spans="1:10" x14ac:dyDescent="0.25">
      <c r="A2670" s="2">
        <v>36.166027451387798</v>
      </c>
      <c r="B2670" s="3">
        <v>0.24857299755277201</v>
      </c>
      <c r="C2670" s="3">
        <v>0.214209699623472</v>
      </c>
      <c r="D2670" s="4">
        <v>0.37000964606556602</v>
      </c>
      <c r="E2670" s="3" t="s">
        <v>12015</v>
      </c>
      <c r="F2670" s="3" t="s">
        <v>12016</v>
      </c>
      <c r="G2670" s="3" t="s">
        <v>83</v>
      </c>
      <c r="H2670" s="7" t="str">
        <f>HYPERLINK("http://www.ensembl.org/Mus_musculus/Gene/Summary?db=core;g=ENSMUSG00000104068","ENSMUSG00000104068")</f>
        <v>ENSMUSG00000104068</v>
      </c>
      <c r="I2670" s="7" t="str">
        <f>HYPERLINK("http://www.informatics.jax.org/marker/MGI:5610427","MGI:5610427")</f>
        <v>MGI:5610427</v>
      </c>
      <c r="J2670" s="4" t="s">
        <v>1828</v>
      </c>
    </row>
    <row r="2671" spans="1:10" x14ac:dyDescent="0.25">
      <c r="A2671" s="2">
        <v>1004.79520225291</v>
      </c>
      <c r="B2671" s="3">
        <v>0.247818252599175</v>
      </c>
      <c r="C2671" s="5">
        <v>9.5554302037739607E-6</v>
      </c>
      <c r="D2671" s="6">
        <v>4.68642937200701E-5</v>
      </c>
      <c r="E2671" s="3" t="s">
        <v>12731</v>
      </c>
      <c r="F2671" s="3" t="s">
        <v>12732</v>
      </c>
      <c r="G2671" s="3">
        <v>271377</v>
      </c>
      <c r="H2671" s="7" t="str">
        <f>HYPERLINK("http://www.ensembl.org/Mus_musculus/Gene/Summary?db=core;g=ENSMUSG00000022601","ENSMUSG00000022601")</f>
        <v>ENSMUSG00000022601</v>
      </c>
      <c r="I2671" s="7" t="str">
        <f>HYPERLINK("http://www.informatics.jax.org/marker/MGI:2443876","MGI:2443876")</f>
        <v>MGI:2443876</v>
      </c>
      <c r="J2671" s="4" t="s">
        <v>12</v>
      </c>
    </row>
    <row r="2672" spans="1:10" x14ac:dyDescent="0.25">
      <c r="A2672" s="2">
        <v>2279.5054060207999</v>
      </c>
      <c r="B2672" s="3">
        <v>0.24746733016010999</v>
      </c>
      <c r="C2672" s="3">
        <v>2.0557027376545399E-4</v>
      </c>
      <c r="D2672" s="4">
        <v>8.15346733269944E-4</v>
      </c>
      <c r="E2672" s="3" t="s">
        <v>7900</v>
      </c>
      <c r="F2672" s="3" t="s">
        <v>7901</v>
      </c>
      <c r="G2672" s="3">
        <v>18393</v>
      </c>
      <c r="H2672" s="7" t="str">
        <f>HYPERLINK("http://www.ensembl.org/Mus_musculus/Gene/Summary?db=core;g=ENSMUSG00000026037","ENSMUSG00000026037")</f>
        <v>ENSMUSG00000026037</v>
      </c>
      <c r="I2672" s="7" t="str">
        <f>HYPERLINK("http://www.informatics.jax.org/marker/MGI:1328306","MGI:1328306")</f>
        <v>MGI:1328306</v>
      </c>
      <c r="J2672" s="4" t="s">
        <v>12</v>
      </c>
    </row>
    <row r="2673" spans="1:10" x14ac:dyDescent="0.25">
      <c r="A2673" s="2">
        <v>1204.4961756841201</v>
      </c>
      <c r="B2673" s="3">
        <v>0.24741671483741201</v>
      </c>
      <c r="C2673" s="5">
        <v>4.8998301630580797E-5</v>
      </c>
      <c r="D2673" s="4">
        <v>2.1528303934844099E-4</v>
      </c>
      <c r="E2673" s="3" t="s">
        <v>9641</v>
      </c>
      <c r="F2673" s="3" t="s">
        <v>9642</v>
      </c>
      <c r="G2673" s="3">
        <v>23988</v>
      </c>
      <c r="H2673" s="7" t="str">
        <f>HYPERLINK("http://www.ensembl.org/Mus_musculus/Gene/Summary?db=core;g=ENSMUSG00000032171","ENSMUSG00000032171")</f>
        <v>ENSMUSG00000032171</v>
      </c>
      <c r="I2673" s="7" t="str">
        <f>HYPERLINK("http://www.informatics.jax.org/marker/MGI:1346036","MGI:1346036")</f>
        <v>MGI:1346036</v>
      </c>
      <c r="J2673" s="4" t="s">
        <v>12</v>
      </c>
    </row>
    <row r="2674" spans="1:10" x14ac:dyDescent="0.25">
      <c r="A2674" s="2">
        <v>965.06494352092602</v>
      </c>
      <c r="B2674" s="3">
        <v>0.247406913870343</v>
      </c>
      <c r="C2674" s="5">
        <v>5.1312789968003697E-5</v>
      </c>
      <c r="D2674" s="4">
        <v>2.24801826242035E-4</v>
      </c>
      <c r="E2674" s="3" t="s">
        <v>6982</v>
      </c>
      <c r="F2674" s="3" t="s">
        <v>6983</v>
      </c>
      <c r="G2674" s="3">
        <v>60532</v>
      </c>
      <c r="H2674" s="7" t="str">
        <f>HYPERLINK("http://www.ensembl.org/Mus_musculus/Gene/Summary?db=core;g=ENSMUSG00000060475","ENSMUSG00000060475")</f>
        <v>ENSMUSG00000060475</v>
      </c>
      <c r="I2674" s="7" t="str">
        <f>HYPERLINK("http://www.informatics.jax.org/marker/MGI:1926395","MGI:1926395")</f>
        <v>MGI:1926395</v>
      </c>
      <c r="J2674" s="4" t="s">
        <v>12</v>
      </c>
    </row>
    <row r="2675" spans="1:10" x14ac:dyDescent="0.25">
      <c r="A2675" s="2">
        <v>659.26067887709303</v>
      </c>
      <c r="B2675" s="3">
        <v>0.246798766999071</v>
      </c>
      <c r="C2675" s="3">
        <v>2.8107585724082302E-4</v>
      </c>
      <c r="D2675" s="4">
        <v>1.0857582658359501E-3</v>
      </c>
      <c r="E2675" s="3" t="s">
        <v>8037</v>
      </c>
      <c r="F2675" s="3" t="s">
        <v>8038</v>
      </c>
      <c r="G2675" s="3">
        <v>234135</v>
      </c>
      <c r="H2675" s="7" t="str">
        <f>HYPERLINK("http://www.ensembl.org/Mus_musculus/Gene/Summary?db=core;g=ENSMUSG00000054823","ENSMUSG00000054823")</f>
        <v>ENSMUSG00000054823</v>
      </c>
      <c r="I2675" s="7" t="str">
        <f>HYPERLINK("http://www.informatics.jax.org/marker/MGI:2142581","MGI:2142581")</f>
        <v>MGI:2142581</v>
      </c>
      <c r="J2675" s="4" t="s">
        <v>12</v>
      </c>
    </row>
    <row r="2676" spans="1:10" x14ac:dyDescent="0.25">
      <c r="A2676" s="2">
        <v>10.156350073916</v>
      </c>
      <c r="B2676" s="3">
        <v>0.246354262784932</v>
      </c>
      <c r="C2676" s="3">
        <v>0.43640280735713</v>
      </c>
      <c r="D2676" s="4">
        <v>0.61449750166759698</v>
      </c>
      <c r="E2676" s="3" t="s">
        <v>13286</v>
      </c>
      <c r="F2676" s="3" t="s">
        <v>13287</v>
      </c>
      <c r="G2676" s="3">
        <v>270210</v>
      </c>
      <c r="H2676" s="7" t="str">
        <f>HYPERLINK("http://www.ensembl.org/Mus_musculus/Gene/Summary?db=core;g=ENSMUSG00000013419","ENSMUSG00000013419")</f>
        <v>ENSMUSG00000013419</v>
      </c>
      <c r="I2676" s="7" t="str">
        <f>HYPERLINK("http://www.informatics.jax.org/marker/MGI:2670992","MGI:2670992")</f>
        <v>MGI:2670992</v>
      </c>
      <c r="J2676" s="4" t="s">
        <v>12</v>
      </c>
    </row>
    <row r="2677" spans="1:10" x14ac:dyDescent="0.25">
      <c r="A2677" s="2">
        <v>1478.5346230488799</v>
      </c>
      <c r="B2677" s="3">
        <v>0.246345379846825</v>
      </c>
      <c r="C2677" s="3">
        <v>2.0574028272596999E-4</v>
      </c>
      <c r="D2677" s="4">
        <v>8.1584348404717399E-4</v>
      </c>
      <c r="E2677" s="3" t="s">
        <v>11991</v>
      </c>
      <c r="F2677" s="3" t="s">
        <v>11992</v>
      </c>
      <c r="G2677" s="3">
        <v>70495</v>
      </c>
      <c r="H2677" s="7" t="str">
        <f>HYPERLINK("http://www.ensembl.org/Mus_musculus/Gene/Summary?db=core;g=ENSMUSG00000031007","ENSMUSG00000031007")</f>
        <v>ENSMUSG00000031007</v>
      </c>
      <c r="I2677" s="7" t="str">
        <f>HYPERLINK("http://www.informatics.jax.org/marker/MGI:1917745","MGI:1917745")</f>
        <v>MGI:1917745</v>
      </c>
      <c r="J2677" s="4" t="s">
        <v>12</v>
      </c>
    </row>
    <row r="2678" spans="1:10" x14ac:dyDescent="0.25">
      <c r="A2678" s="2">
        <v>1750.8860983731799</v>
      </c>
      <c r="B2678" s="3">
        <v>0.246285596584674</v>
      </c>
      <c r="C2678" s="5">
        <v>1.30462557691124E-8</v>
      </c>
      <c r="D2678" s="6">
        <v>8.9927387062055205E-8</v>
      </c>
      <c r="E2678" s="3" t="s">
        <v>6157</v>
      </c>
      <c r="F2678" s="3" t="s">
        <v>6158</v>
      </c>
      <c r="G2678" s="3">
        <v>64602</v>
      </c>
      <c r="H2678" s="7" t="str">
        <f>HYPERLINK("http://www.ensembl.org/Mus_musculus/Gene/Summary?db=core;g=ENSMUSG00000032293","ENSMUSG00000032293")</f>
        <v>ENSMUSG00000032293</v>
      </c>
      <c r="I2678" s="7" t="str">
        <f>HYPERLINK("http://www.informatics.jax.org/marker/MGI:1928268","MGI:1928268")</f>
        <v>MGI:1928268</v>
      </c>
      <c r="J2678" s="4" t="s">
        <v>12</v>
      </c>
    </row>
    <row r="2679" spans="1:10" x14ac:dyDescent="0.25">
      <c r="A2679" s="2">
        <v>997.20376258104795</v>
      </c>
      <c r="B2679" s="3">
        <v>0.24605862790583299</v>
      </c>
      <c r="C2679" s="3">
        <v>6.97093254960534E-4</v>
      </c>
      <c r="D2679" s="4">
        <v>2.5217396926668799E-3</v>
      </c>
      <c r="E2679" s="3" t="s">
        <v>7164</v>
      </c>
      <c r="F2679" s="3" t="s">
        <v>7165</v>
      </c>
      <c r="G2679" s="3">
        <v>20909</v>
      </c>
      <c r="H2679" s="7" t="str">
        <f>HYPERLINK("http://www.ensembl.org/Mus_musculus/Gene/Summary?db=core;g=ENSMUSG00000030805","ENSMUSG00000030805")</f>
        <v>ENSMUSG00000030805</v>
      </c>
      <c r="I2679" s="7" t="str">
        <f>HYPERLINK("http://www.informatics.jax.org/marker/MGI:893577","MGI:893577")</f>
        <v>MGI:893577</v>
      </c>
      <c r="J2679" s="4" t="s">
        <v>12</v>
      </c>
    </row>
    <row r="2680" spans="1:10" x14ac:dyDescent="0.25">
      <c r="A2680" s="2">
        <v>6.21215359610121</v>
      </c>
      <c r="B2680" s="3">
        <v>0.245791484301116</v>
      </c>
      <c r="C2680" s="3">
        <v>0.54689331006727204</v>
      </c>
      <c r="D2680" s="4">
        <v>0.71265054883283496</v>
      </c>
      <c r="E2680" s="3" t="s">
        <v>13901</v>
      </c>
      <c r="F2680" s="3" t="s">
        <v>13902</v>
      </c>
      <c r="G2680" s="3">
        <v>209176</v>
      </c>
      <c r="H2680" s="7" t="str">
        <f>HYPERLINK("http://www.ensembl.org/Mus_musculus/Gene/Summary?db=core;g=ENSMUSG00000031549","ENSMUSG00000031549")</f>
        <v>ENSMUSG00000031549</v>
      </c>
      <c r="I2680" s="7" t="str">
        <f>HYPERLINK("http://www.informatics.jax.org/marker/MGI:2142489","MGI:2142489")</f>
        <v>MGI:2142489</v>
      </c>
      <c r="J2680" s="4" t="s">
        <v>12</v>
      </c>
    </row>
    <row r="2681" spans="1:10" x14ac:dyDescent="0.25">
      <c r="A2681" s="2">
        <v>9786.2865755889798</v>
      </c>
      <c r="B2681" s="3">
        <v>0.24577738633736099</v>
      </c>
      <c r="C2681" s="5">
        <v>1.5923151461691099E-8</v>
      </c>
      <c r="D2681" s="6">
        <v>1.08526340833702E-7</v>
      </c>
      <c r="E2681" s="3" t="s">
        <v>6365</v>
      </c>
      <c r="F2681" s="3" t="s">
        <v>6366</v>
      </c>
      <c r="G2681" s="3">
        <v>107508</v>
      </c>
      <c r="H2681" s="7" t="str">
        <f>HYPERLINK("http://www.ensembl.org/Mus_musculus/Gene/Summary?db=core;g=ENSMUSG00000026615","ENSMUSG00000026615")</f>
        <v>ENSMUSG00000026615</v>
      </c>
      <c r="I2681" s="7" t="str">
        <f>HYPERLINK("http://www.informatics.jax.org/marker/MGI:97838","MGI:97838")</f>
        <v>MGI:97838</v>
      </c>
      <c r="J2681" s="4" t="s">
        <v>12</v>
      </c>
    </row>
    <row r="2682" spans="1:10" x14ac:dyDescent="0.25">
      <c r="A2682" s="2">
        <v>2275.3160693790001</v>
      </c>
      <c r="B2682" s="3">
        <v>0.24568818683350699</v>
      </c>
      <c r="C2682" s="5">
        <v>2.2696178017206399E-6</v>
      </c>
      <c r="D2682" s="6">
        <v>1.2094673811800801E-5</v>
      </c>
      <c r="E2682" s="3" t="s">
        <v>5663</v>
      </c>
      <c r="F2682" s="3" t="s">
        <v>5664</v>
      </c>
      <c r="G2682" s="3">
        <v>74778</v>
      </c>
      <c r="H2682" s="7" t="str">
        <f>HYPERLINK("http://www.ensembl.org/Mus_musculus/Gene/Summary?db=core;g=ENSMUSG00000018040","ENSMUSG00000018040")</f>
        <v>ENSMUSG00000018040</v>
      </c>
      <c r="I2682" s="7" t="str">
        <f>HYPERLINK("http://www.informatics.jax.org/marker/MGI:1922028","MGI:1922028")</f>
        <v>MGI:1922028</v>
      </c>
      <c r="J2682" s="4" t="s">
        <v>12</v>
      </c>
    </row>
    <row r="2683" spans="1:10" x14ac:dyDescent="0.25">
      <c r="A2683" s="2">
        <v>1300.4143593783101</v>
      </c>
      <c r="B2683" s="3">
        <v>0.24565475864486699</v>
      </c>
      <c r="C2683" s="3">
        <v>1.35313515926938E-4</v>
      </c>
      <c r="D2683" s="4">
        <v>5.5268687309915898E-4</v>
      </c>
      <c r="E2683" s="3" t="s">
        <v>9913</v>
      </c>
      <c r="F2683" s="3" t="s">
        <v>9914</v>
      </c>
      <c r="G2683" s="3">
        <v>56431</v>
      </c>
      <c r="H2683" s="7" t="str">
        <f>HYPERLINK("http://www.ensembl.org/Mus_musculus/Gene/Summary?db=core;g=ENSMUSG00000015932","ENSMUSG00000015932")</f>
        <v>ENSMUSG00000015932</v>
      </c>
      <c r="I2683" s="7" t="str">
        <f>HYPERLINK("http://www.informatics.jax.org/marker/MGI:1929270","MGI:1929270")</f>
        <v>MGI:1929270</v>
      </c>
      <c r="J2683" s="4" t="s">
        <v>12</v>
      </c>
    </row>
    <row r="2684" spans="1:10" x14ac:dyDescent="0.25">
      <c r="A2684" s="2">
        <v>4943.4406457338901</v>
      </c>
      <c r="B2684" s="3">
        <v>0.245392008312871</v>
      </c>
      <c r="C2684" s="5">
        <v>8.5637520277905797E-6</v>
      </c>
      <c r="D2684" s="6">
        <v>4.2319517545141901E-5</v>
      </c>
      <c r="E2684" s="3" t="s">
        <v>10772</v>
      </c>
      <c r="F2684" s="3" t="s">
        <v>10773</v>
      </c>
      <c r="G2684" s="3">
        <v>105148</v>
      </c>
      <c r="H2684" s="7" t="str">
        <f>HYPERLINK("http://www.ensembl.org/Mus_musculus/Gene/Summary?db=core;g=ENSMUSG00000037851","ENSMUSG00000037851")</f>
        <v>ENSMUSG00000037851</v>
      </c>
      <c r="I2684" s="7" t="str">
        <f>HYPERLINK("http://www.informatics.jax.org/marker/MGI:2145219","MGI:2145219")</f>
        <v>MGI:2145219</v>
      </c>
      <c r="J2684" s="4" t="s">
        <v>12</v>
      </c>
    </row>
    <row r="2685" spans="1:10" x14ac:dyDescent="0.25">
      <c r="A2685" s="2">
        <v>999.10140093671203</v>
      </c>
      <c r="B2685" s="3">
        <v>0.24533021937131699</v>
      </c>
      <c r="C2685" s="5">
        <v>3.5777581257723099E-5</v>
      </c>
      <c r="D2685" s="4">
        <v>1.60483981890722E-4</v>
      </c>
      <c r="E2685" s="3" t="s">
        <v>6683</v>
      </c>
      <c r="F2685" s="3" t="s">
        <v>6684</v>
      </c>
      <c r="G2685" s="3">
        <v>70797</v>
      </c>
      <c r="H2685" s="7" t="str">
        <f>HYPERLINK("http://www.ensembl.org/Mus_musculus/Gene/Summary?db=core;g=ENSMUSG00000040351","ENSMUSG00000040351")</f>
        <v>ENSMUSG00000040351</v>
      </c>
      <c r="I2685" s="7" t="str">
        <f>HYPERLINK("http://www.informatics.jax.org/marker/MGI:1918047","MGI:1918047")</f>
        <v>MGI:1918047</v>
      </c>
      <c r="J2685" s="4" t="s">
        <v>12</v>
      </c>
    </row>
    <row r="2686" spans="1:10" x14ac:dyDescent="0.25">
      <c r="A2686" s="2">
        <v>1707.45375474351</v>
      </c>
      <c r="B2686" s="3">
        <v>0.245268594727475</v>
      </c>
      <c r="C2686" s="5">
        <v>3.4338374275172699E-7</v>
      </c>
      <c r="D2686" s="6">
        <v>2.02529731768616E-6</v>
      </c>
      <c r="E2686" s="3" t="s">
        <v>5189</v>
      </c>
      <c r="F2686" s="3" t="s">
        <v>5190</v>
      </c>
      <c r="G2686" s="3">
        <v>73274</v>
      </c>
      <c r="H2686" s="7" t="str">
        <f>HYPERLINK("http://www.ensembl.org/Mus_musculus/Gene/Summary?db=core;g=ENSMUSG00000032745","ENSMUSG00000032745")</f>
        <v>ENSMUSG00000032745</v>
      </c>
      <c r="I2686" s="7" t="str">
        <f>HYPERLINK("http://www.informatics.jax.org/marker/MGI:1920524","MGI:1920524")</f>
        <v>MGI:1920524</v>
      </c>
      <c r="J2686" s="4" t="s">
        <v>12</v>
      </c>
    </row>
    <row r="2687" spans="1:10" x14ac:dyDescent="0.25">
      <c r="A2687" s="2">
        <v>1281.6087440091801</v>
      </c>
      <c r="B2687" s="3">
        <v>0.24514464901090599</v>
      </c>
      <c r="C2687" s="5">
        <v>2.7170343781148199E-6</v>
      </c>
      <c r="D2687" s="6">
        <v>1.43239663121616E-5</v>
      </c>
      <c r="E2687" s="3" t="s">
        <v>7172</v>
      </c>
      <c r="F2687" s="3" t="s">
        <v>7173</v>
      </c>
      <c r="G2687" s="3">
        <v>228361</v>
      </c>
      <c r="H2687" s="7" t="str">
        <f>HYPERLINK("http://www.ensembl.org/Mus_musculus/Gene/Summary?db=core;g=ENSMUSG00000040506","ENSMUSG00000040506")</f>
        <v>ENSMUSG00000040506</v>
      </c>
      <c r="I2687" s="7" t="str">
        <f>HYPERLINK("http://www.informatics.jax.org/marker/MGI:2443564","MGI:2443564")</f>
        <v>MGI:2443564</v>
      </c>
      <c r="J2687" s="4" t="s">
        <v>12</v>
      </c>
    </row>
    <row r="2688" spans="1:10" x14ac:dyDescent="0.25">
      <c r="A2688" s="2">
        <v>4234.99762296266</v>
      </c>
      <c r="B2688" s="3">
        <v>0.24511841698903999</v>
      </c>
      <c r="C2688" s="5">
        <v>1.06778805477422E-5</v>
      </c>
      <c r="D2688" s="6">
        <v>5.2005444410102103E-5</v>
      </c>
      <c r="E2688" s="3" t="s">
        <v>5851</v>
      </c>
      <c r="F2688" s="3" t="s">
        <v>5852</v>
      </c>
      <c r="G2688" s="3">
        <v>19177</v>
      </c>
      <c r="H2688" s="7" t="str">
        <f>HYPERLINK("http://www.ensembl.org/Mus_musculus/Gene/Summary?db=core;g=ENSMUSG00000026750","ENSMUSG00000026750")</f>
        <v>ENSMUSG00000026750</v>
      </c>
      <c r="I2688" s="7" t="str">
        <f>HYPERLINK("http://www.informatics.jax.org/marker/MGI:107637","MGI:107637")</f>
        <v>MGI:107637</v>
      </c>
      <c r="J2688" s="4" t="s">
        <v>12</v>
      </c>
    </row>
    <row r="2689" spans="1:10" x14ac:dyDescent="0.25">
      <c r="A2689" s="2">
        <v>943.11550724945596</v>
      </c>
      <c r="B2689" s="3">
        <v>0.244845558738742</v>
      </c>
      <c r="C2689" s="3">
        <v>1.59433152093553E-2</v>
      </c>
      <c r="D2689" s="4">
        <v>4.2406147065163401E-2</v>
      </c>
      <c r="E2689" s="3" t="s">
        <v>12809</v>
      </c>
      <c r="F2689" s="3" t="s">
        <v>12810</v>
      </c>
      <c r="G2689" s="3">
        <v>328110</v>
      </c>
      <c r="H2689" s="7" t="str">
        <f>HYPERLINK("http://www.ensembl.org/Mus_musculus/Gene/Summary?db=core;g=ENSMUSG00000035597","ENSMUSG00000035597")</f>
        <v>ENSMUSG00000035597</v>
      </c>
      <c r="I2689" s="7" t="str">
        <f>HYPERLINK("http://www.informatics.jax.org/marker/MGI:104602","MGI:104602")</f>
        <v>MGI:104602</v>
      </c>
      <c r="J2689" s="4" t="s">
        <v>12</v>
      </c>
    </row>
    <row r="2690" spans="1:10" x14ac:dyDescent="0.25">
      <c r="A2690" s="2">
        <v>1510.7927493700099</v>
      </c>
      <c r="B2690" s="3">
        <v>0.24464514610638599</v>
      </c>
      <c r="C2690" s="3">
        <v>9.3125637553502603E-4</v>
      </c>
      <c r="D2690" s="4">
        <v>3.2954474142368202E-3</v>
      </c>
      <c r="E2690" s="3" t="s">
        <v>13288</v>
      </c>
      <c r="F2690" s="3" t="s">
        <v>13289</v>
      </c>
      <c r="G2690" s="3">
        <v>22378</v>
      </c>
      <c r="H2690" s="7" t="str">
        <f>HYPERLINK("http://www.ensembl.org/Mus_musculus/Gene/Summary?db=core;g=ENSMUSG00000034341","ENSMUSG00000034341")</f>
        <v>ENSMUSG00000034341</v>
      </c>
      <c r="I2690" s="7" t="str">
        <f>HYPERLINK("http://www.informatics.jax.org/marker/MGI:104709","MGI:104709")</f>
        <v>MGI:104709</v>
      </c>
      <c r="J2690" s="4" t="s">
        <v>12</v>
      </c>
    </row>
    <row r="2691" spans="1:10" x14ac:dyDescent="0.25">
      <c r="A2691" s="2">
        <v>4109.8942712520802</v>
      </c>
      <c r="B2691" s="3">
        <v>0.24464245592598799</v>
      </c>
      <c r="C2691" s="3">
        <v>3.9402742280893302E-4</v>
      </c>
      <c r="D2691" s="4">
        <v>1.48739639202419E-3</v>
      </c>
      <c r="E2691" s="3" t="s">
        <v>9475</v>
      </c>
      <c r="F2691" s="3" t="s">
        <v>9476</v>
      </c>
      <c r="G2691" s="3">
        <v>67956</v>
      </c>
      <c r="H2691" s="7" t="str">
        <f>HYPERLINK("http://www.ensembl.org/Mus_musculus/Gene/Summary?db=core;g=ENSMUSG00000049327","ENSMUSG00000049327")</f>
        <v>ENSMUSG00000049327</v>
      </c>
      <c r="I2691" s="7" t="str">
        <f>HYPERLINK("http://www.informatics.jax.org/marker/MGI:1915206","MGI:1915206")</f>
        <v>MGI:1915206</v>
      </c>
      <c r="J2691" s="4" t="s">
        <v>12</v>
      </c>
    </row>
    <row r="2692" spans="1:10" x14ac:dyDescent="0.25">
      <c r="A2692" s="2">
        <v>1903.7368641252799</v>
      </c>
      <c r="B2692" s="3">
        <v>0.24464015164442299</v>
      </c>
      <c r="C2692" s="5">
        <v>1.5622635730335901E-5</v>
      </c>
      <c r="D2692" s="6">
        <v>7.4262528999835894E-5</v>
      </c>
      <c r="E2692" s="3" t="s">
        <v>8111</v>
      </c>
      <c r="F2692" s="3" t="s">
        <v>8112</v>
      </c>
      <c r="G2692" s="3">
        <v>100608</v>
      </c>
      <c r="H2692" s="7" t="str">
        <f>HYPERLINK("http://www.ensembl.org/Mus_musculus/Gene/Summary?db=core;g=ENSMUSG00000033294","ENSMUSG00000033294")</f>
        <v>ENSMUSG00000033294</v>
      </c>
      <c r="I2692" s="7" t="str">
        <f>HYPERLINK("http://www.informatics.jax.org/marker/MGI:2140843","MGI:2140843")</f>
        <v>MGI:2140843</v>
      </c>
      <c r="J2692" s="4" t="s">
        <v>12</v>
      </c>
    </row>
    <row r="2693" spans="1:10" x14ac:dyDescent="0.25">
      <c r="A2693" s="2">
        <v>1201.6918981177801</v>
      </c>
      <c r="B2693" s="3">
        <v>0.24451809153799101</v>
      </c>
      <c r="C2693" s="5">
        <v>1.23318634786816E-5</v>
      </c>
      <c r="D2693" s="6">
        <v>5.9520183235956403E-5</v>
      </c>
      <c r="E2693" s="3" t="s">
        <v>4407</v>
      </c>
      <c r="F2693" s="3" t="s">
        <v>4408</v>
      </c>
      <c r="G2693" s="3">
        <v>13486</v>
      </c>
      <c r="H2693" s="7" t="str">
        <f>HYPERLINK("http://www.ensembl.org/Mus_musculus/Gene/Summary?db=core;g=ENSMUSG00000029265","ENSMUSG00000029265")</f>
        <v>ENSMUSG00000029265</v>
      </c>
      <c r="I2693" s="7" t="str">
        <f>HYPERLINK("http://www.informatics.jax.org/marker/MGI:1100515","MGI:1100515")</f>
        <v>MGI:1100515</v>
      </c>
      <c r="J2693" s="4" t="s">
        <v>12</v>
      </c>
    </row>
    <row r="2694" spans="1:10" x14ac:dyDescent="0.25">
      <c r="A2694" s="2">
        <v>1204.52670565734</v>
      </c>
      <c r="B2694" s="3">
        <v>0.24439041598655001</v>
      </c>
      <c r="C2694" s="5">
        <v>8.3390304423633596E-7</v>
      </c>
      <c r="D2694" s="6">
        <v>4.67483327628644E-6</v>
      </c>
      <c r="E2694" s="3" t="s">
        <v>8083</v>
      </c>
      <c r="F2694" s="3" t="s">
        <v>8084</v>
      </c>
      <c r="G2694" s="3">
        <v>67619</v>
      </c>
      <c r="H2694" s="7" t="str">
        <f>HYPERLINK("http://www.ensembl.org/Mus_musculus/Gene/Summary?db=core;g=ENSMUSG00000003848","ENSMUSG00000003848")</f>
        <v>ENSMUSG00000003848</v>
      </c>
      <c r="I2694" s="7" t="str">
        <f>HYPERLINK("http://www.informatics.jax.org/marker/MGI:1914869","MGI:1914869")</f>
        <v>MGI:1914869</v>
      </c>
      <c r="J2694" s="4" t="s">
        <v>12</v>
      </c>
    </row>
    <row r="2695" spans="1:10" x14ac:dyDescent="0.25">
      <c r="A2695" s="2">
        <v>1523.27922629465</v>
      </c>
      <c r="B2695" s="3">
        <v>0.244056062722213</v>
      </c>
      <c r="C2695" s="5">
        <v>5.2274444493857297E-5</v>
      </c>
      <c r="D2695" s="4">
        <v>2.28630129805747E-4</v>
      </c>
      <c r="E2695" s="3" t="s">
        <v>5631</v>
      </c>
      <c r="F2695" s="3" t="s">
        <v>5632</v>
      </c>
      <c r="G2695" s="3">
        <v>117160</v>
      </c>
      <c r="H2695" s="7" t="str">
        <f>HYPERLINK("http://www.ensembl.org/Mus_musculus/Gene/Summary?db=core;g=ENSMUSG00000034714","ENSMUSG00000034714")</f>
        <v>ENSMUSG00000034714</v>
      </c>
      <c r="I2695" s="7" t="str">
        <f>HYPERLINK("http://www.informatics.jax.org/marker/MGI:2157091","MGI:2157091")</f>
        <v>MGI:2157091</v>
      </c>
      <c r="J2695" s="4" t="s">
        <v>12</v>
      </c>
    </row>
    <row r="2696" spans="1:10" x14ac:dyDescent="0.25">
      <c r="A2696" s="2">
        <v>4755.08994109383</v>
      </c>
      <c r="B2696" s="3">
        <v>0.24398660370716299</v>
      </c>
      <c r="C2696" s="5">
        <v>6.1344686041714404E-10</v>
      </c>
      <c r="D2696" s="6">
        <v>4.8799952121791598E-9</v>
      </c>
      <c r="E2696" s="3" t="s">
        <v>3358</v>
      </c>
      <c r="F2696" s="3" t="s">
        <v>3359</v>
      </c>
      <c r="G2696" s="3">
        <v>15505</v>
      </c>
      <c r="H2696" s="7" t="str">
        <f>HYPERLINK("http://www.ensembl.org/Mus_musculus/Gene/Summary?db=core;g=ENSMUSG00000029657","ENSMUSG00000029657")</f>
        <v>ENSMUSG00000029657</v>
      </c>
      <c r="I2696" s="7" t="str">
        <f>HYPERLINK("http://www.informatics.jax.org/marker/MGI:105053","MGI:105053")</f>
        <v>MGI:105053</v>
      </c>
      <c r="J2696" s="4" t="s">
        <v>12</v>
      </c>
    </row>
    <row r="2697" spans="1:10" x14ac:dyDescent="0.25">
      <c r="A2697" s="2">
        <v>8053.6299405582204</v>
      </c>
      <c r="B2697" s="3">
        <v>0.24376392516847101</v>
      </c>
      <c r="C2697" s="5">
        <v>5.0547412374790099E-9</v>
      </c>
      <c r="D2697" s="6">
        <v>3.6412118202788502E-8</v>
      </c>
      <c r="E2697" s="3" t="s">
        <v>6273</v>
      </c>
      <c r="F2697" s="3" t="s">
        <v>6274</v>
      </c>
      <c r="G2697" s="3">
        <v>110611</v>
      </c>
      <c r="H2697" s="7" t="str">
        <f>HYPERLINK("http://www.ensembl.org/Mus_musculus/Gene/Summary?db=core;g=ENSMUSG00000034088","ENSMUSG00000034088")</f>
        <v>ENSMUSG00000034088</v>
      </c>
      <c r="I2697" s="7" t="str">
        <f>HYPERLINK("http://www.informatics.jax.org/marker/MGI:99256","MGI:99256")</f>
        <v>MGI:99256</v>
      </c>
      <c r="J2697" s="4" t="s">
        <v>12</v>
      </c>
    </row>
    <row r="2698" spans="1:10" x14ac:dyDescent="0.25">
      <c r="A2698" s="2">
        <v>770.55268271709497</v>
      </c>
      <c r="B2698" s="3">
        <v>0.24375471276938401</v>
      </c>
      <c r="C2698" s="5">
        <v>6.8091942777563194E-5</v>
      </c>
      <c r="D2698" s="4">
        <v>2.9186134568899802E-4</v>
      </c>
      <c r="E2698" s="3" t="s">
        <v>12755</v>
      </c>
      <c r="F2698" s="3" t="s">
        <v>12756</v>
      </c>
      <c r="G2698" s="3">
        <v>109108</v>
      </c>
      <c r="H2698" s="7" t="str">
        <f>HYPERLINK("http://www.ensembl.org/Mus_musculus/Gene/Summary?db=core;g=ENSMUSG00000029221","ENSMUSG00000029221")</f>
        <v>ENSMUSG00000029221</v>
      </c>
      <c r="I2698" s="7" t="str">
        <f>HYPERLINK("http://www.informatics.jax.org/marker/MGI:1923690","MGI:1923690")</f>
        <v>MGI:1923690</v>
      </c>
      <c r="J2698" s="4" t="s">
        <v>12</v>
      </c>
    </row>
    <row r="2699" spans="1:10" x14ac:dyDescent="0.25">
      <c r="A2699" s="2">
        <v>482.92123811587697</v>
      </c>
      <c r="B2699" s="3">
        <v>0.24358346855558999</v>
      </c>
      <c r="C2699" s="3">
        <v>1.54740492398566E-3</v>
      </c>
      <c r="D2699" s="4">
        <v>5.2506897672013799E-3</v>
      </c>
      <c r="E2699" s="3" t="s">
        <v>11040</v>
      </c>
      <c r="F2699" s="3" t="s">
        <v>11041</v>
      </c>
      <c r="G2699" s="3">
        <v>11777</v>
      </c>
      <c r="H2699" s="7" t="str">
        <f>HYPERLINK("http://www.ensembl.org/Mus_musculus/Gene/Summary?db=core;g=ENSMUSG00000024480","ENSMUSG00000024480")</f>
        <v>ENSMUSG00000024480</v>
      </c>
      <c r="I2699" s="7" t="str">
        <f>HYPERLINK("http://www.informatics.jax.org/marker/MGI:1337062","MGI:1337062")</f>
        <v>MGI:1337062</v>
      </c>
      <c r="J2699" s="4" t="s">
        <v>12</v>
      </c>
    </row>
    <row r="2700" spans="1:10" x14ac:dyDescent="0.25">
      <c r="A2700" s="2">
        <v>774.45253984287399</v>
      </c>
      <c r="B2700" s="3">
        <v>0.24324465369662401</v>
      </c>
      <c r="C2700" s="5">
        <v>3.7508870400297499E-5</v>
      </c>
      <c r="D2700" s="4">
        <v>1.6750775864871899E-4</v>
      </c>
      <c r="E2700" s="3" t="s">
        <v>8865</v>
      </c>
      <c r="F2700" s="3" t="s">
        <v>8866</v>
      </c>
      <c r="G2700" s="3">
        <v>27049</v>
      </c>
      <c r="H2700" s="7" t="str">
        <f>HYPERLINK("http://www.ensembl.org/Mus_musculus/Gene/Summary?db=core;g=ENSMUSG00000003382","ENSMUSG00000003382")</f>
        <v>ENSMUSG00000003382</v>
      </c>
      <c r="I2700" s="7" t="str">
        <f>HYPERLINK("http://www.informatics.jax.org/marker/MGI:1350926","MGI:1350926")</f>
        <v>MGI:1350926</v>
      </c>
      <c r="J2700" s="4" t="s">
        <v>12</v>
      </c>
    </row>
    <row r="2701" spans="1:10" x14ac:dyDescent="0.25">
      <c r="A2701" s="2">
        <v>2287.6408949237498</v>
      </c>
      <c r="B2701" s="3">
        <v>0.24320647747111701</v>
      </c>
      <c r="C2701" s="5">
        <v>1.53808155468796E-5</v>
      </c>
      <c r="D2701" s="6">
        <v>7.3151190851221496E-5</v>
      </c>
      <c r="E2701" s="3" t="s">
        <v>8103</v>
      </c>
      <c r="F2701" s="3" t="s">
        <v>8104</v>
      </c>
      <c r="G2701" s="3">
        <v>12028</v>
      </c>
      <c r="H2701" s="7" t="str">
        <f>HYPERLINK("http://www.ensembl.org/Mus_musculus/Gene/Summary?db=core;g=ENSMUSG00000003873","ENSMUSG00000003873")</f>
        <v>ENSMUSG00000003873</v>
      </c>
      <c r="I2701" s="7" t="str">
        <f>HYPERLINK("http://www.informatics.jax.org/marker/MGI:99702","MGI:99702")</f>
        <v>MGI:99702</v>
      </c>
      <c r="J2701" s="4" t="s">
        <v>12</v>
      </c>
    </row>
    <row r="2702" spans="1:10" x14ac:dyDescent="0.25">
      <c r="A2702" s="2">
        <v>1829.7163752169399</v>
      </c>
      <c r="B2702" s="3">
        <v>0.24303143025783699</v>
      </c>
      <c r="C2702" s="5">
        <v>6.6208973999199599E-7</v>
      </c>
      <c r="D2702" s="6">
        <v>3.7532147780261699E-6</v>
      </c>
      <c r="E2702" s="3" t="s">
        <v>7080</v>
      </c>
      <c r="F2702" s="3" t="s">
        <v>7081</v>
      </c>
      <c r="G2702" s="3">
        <v>226139</v>
      </c>
      <c r="H2702" s="7" t="str">
        <f>HYPERLINK("http://www.ensembl.org/Mus_musculus/Gene/Summary?db=core;g=ENSMUSG00000040018","ENSMUSG00000040018")</f>
        <v>ENSMUSG00000040018</v>
      </c>
      <c r="I2702" s="7" t="str">
        <f>HYPERLINK("http://www.informatics.jax.org/marker/MGI:1920112","MGI:1920112")</f>
        <v>MGI:1920112</v>
      </c>
      <c r="J2702" s="4" t="s">
        <v>12</v>
      </c>
    </row>
    <row r="2703" spans="1:10" x14ac:dyDescent="0.25">
      <c r="A2703" s="2">
        <v>4970.1377192027603</v>
      </c>
      <c r="B2703" s="3">
        <v>0.242947056001175</v>
      </c>
      <c r="C2703" s="3">
        <v>7.2706692472317602E-4</v>
      </c>
      <c r="D2703" s="4">
        <v>2.6182166969136301E-3</v>
      </c>
      <c r="E2703" s="3" t="s">
        <v>6890</v>
      </c>
      <c r="F2703" s="3" t="s">
        <v>6891</v>
      </c>
      <c r="G2703" s="3">
        <v>21969</v>
      </c>
      <c r="H2703" s="7" t="str">
        <f>HYPERLINK("http://www.ensembl.org/Mus_musculus/Gene/Summary?db=core;g=ENSMUSG00000070544","ENSMUSG00000070544")</f>
        <v>ENSMUSG00000070544</v>
      </c>
      <c r="I2703" s="7" t="str">
        <f>HYPERLINK("http://www.informatics.jax.org/marker/MGI:98788","MGI:98788")</f>
        <v>MGI:98788</v>
      </c>
      <c r="J2703" s="4" t="s">
        <v>12</v>
      </c>
    </row>
    <row r="2704" spans="1:10" x14ac:dyDescent="0.25">
      <c r="A2704" s="2">
        <v>1834.51186485721</v>
      </c>
      <c r="B2704" s="3">
        <v>0.24268075400915401</v>
      </c>
      <c r="C2704" s="5">
        <v>1.7944162487322801E-8</v>
      </c>
      <c r="D2704" s="6">
        <v>1.2166382490009601E-7</v>
      </c>
      <c r="E2704" s="3" t="s">
        <v>5151</v>
      </c>
      <c r="F2704" s="3" t="s">
        <v>5152</v>
      </c>
      <c r="G2704" s="3">
        <v>230673</v>
      </c>
      <c r="H2704" s="7" t="str">
        <f>HYPERLINK("http://www.ensembl.org/Mus_musculus/Gene/Summary?db=core;g=ENSMUSG00000033365","ENSMUSG00000033365")</f>
        <v>ENSMUSG00000033365</v>
      </c>
      <c r="I2704" s="7" t="str">
        <f>HYPERLINK("http://www.informatics.jax.org/marker/MGI:2385205","MGI:2385205")</f>
        <v>MGI:2385205</v>
      </c>
      <c r="J2704" s="4" t="s">
        <v>12</v>
      </c>
    </row>
    <row r="2705" spans="1:10" x14ac:dyDescent="0.25">
      <c r="A2705" s="2">
        <v>221.31423446975199</v>
      </c>
      <c r="B2705" s="3">
        <v>0.24250490808441899</v>
      </c>
      <c r="C2705" s="3">
        <v>0.134769372807576</v>
      </c>
      <c r="D2705" s="4">
        <v>0.259363444500324</v>
      </c>
      <c r="E2705" s="3" t="s">
        <v>13727</v>
      </c>
      <c r="F2705" s="3" t="s">
        <v>13728</v>
      </c>
      <c r="G2705" s="3">
        <v>652925</v>
      </c>
      <c r="H2705" s="7" t="str">
        <f>HYPERLINK("http://www.ensembl.org/Mus_musculus/Gene/Summary?db=core;g=ENSMUSG00000079659","ENSMUSG00000079659")</f>
        <v>ENSMUSG00000079659</v>
      </c>
      <c r="I2705" s="7" t="str">
        <f>HYPERLINK("http://www.informatics.jax.org/marker/MGI:3606159","MGI:3606159")</f>
        <v>MGI:3606159</v>
      </c>
      <c r="J2705" s="4" t="s">
        <v>12</v>
      </c>
    </row>
    <row r="2706" spans="1:10" x14ac:dyDescent="0.25">
      <c r="A2706" s="2">
        <v>187.43946516837099</v>
      </c>
      <c r="B2706" s="3">
        <v>0.241661861663021</v>
      </c>
      <c r="C2706" s="3">
        <v>1.08415668057613E-2</v>
      </c>
      <c r="D2706" s="4">
        <v>3.01384312133922E-2</v>
      </c>
      <c r="E2706" s="3" t="s">
        <v>7212</v>
      </c>
      <c r="F2706" s="3" t="s">
        <v>7213</v>
      </c>
      <c r="G2706" s="3">
        <v>327942</v>
      </c>
      <c r="H2706" s="7" t="str">
        <f>HYPERLINK("http://www.ensembl.org/Mus_musculus/Gene/Summary?db=core;g=ENSMUSG00000014245","ENSMUSG00000014245")</f>
        <v>ENSMUSG00000014245</v>
      </c>
      <c r="I2706" s="7" t="str">
        <f>HYPERLINK("http://www.informatics.jax.org/marker/MGI:2681271","MGI:2681271")</f>
        <v>MGI:2681271</v>
      </c>
      <c r="J2706" s="4" t="s">
        <v>12</v>
      </c>
    </row>
    <row r="2707" spans="1:10" x14ac:dyDescent="0.25">
      <c r="A2707" s="2">
        <v>743.635990063397</v>
      </c>
      <c r="B2707" s="3">
        <v>0.24133939906568699</v>
      </c>
      <c r="C2707" s="3">
        <v>4.7292841766394603E-4</v>
      </c>
      <c r="D2707" s="4">
        <v>1.7640442922483501E-3</v>
      </c>
      <c r="E2707" s="3" t="s">
        <v>9635</v>
      </c>
      <c r="F2707" s="3" t="s">
        <v>9636</v>
      </c>
      <c r="G2707" s="3">
        <v>68953</v>
      </c>
      <c r="H2707" s="7" t="str">
        <f>HYPERLINK("http://www.ensembl.org/Mus_musculus/Gene/Summary?db=core;g=ENSMUSG00000033916","ENSMUSG00000033916")</f>
        <v>ENSMUSG00000033916</v>
      </c>
      <c r="I2707" s="7" t="str">
        <f>HYPERLINK("http://www.informatics.jax.org/marker/MGI:1916203","MGI:1916203")</f>
        <v>MGI:1916203</v>
      </c>
      <c r="J2707" s="4" t="s">
        <v>12</v>
      </c>
    </row>
    <row r="2708" spans="1:10" x14ac:dyDescent="0.25">
      <c r="A2708" s="2">
        <v>828.74187338548404</v>
      </c>
      <c r="B2708" s="3">
        <v>0.24120195441016701</v>
      </c>
      <c r="C2708" s="5">
        <v>3.34692262513393E-5</v>
      </c>
      <c r="D2708" s="4">
        <v>1.5090961119016799E-4</v>
      </c>
      <c r="E2708" s="3" t="s">
        <v>7364</v>
      </c>
      <c r="F2708" s="3" t="s">
        <v>7365</v>
      </c>
      <c r="G2708" s="3">
        <v>13481</v>
      </c>
      <c r="H2708" s="7" t="str">
        <f>HYPERLINK("http://www.ensembl.org/Mus_musculus/Gene/Summary?db=core;g=ENSMUSG00000026810","ENSMUSG00000026810")</f>
        <v>ENSMUSG00000026810</v>
      </c>
      <c r="I2708" s="7" t="str">
        <f>HYPERLINK("http://www.informatics.jax.org/marker/MGI:1330238","MGI:1330238")</f>
        <v>MGI:1330238</v>
      </c>
      <c r="J2708" s="4" t="s">
        <v>12</v>
      </c>
    </row>
    <row r="2709" spans="1:10" x14ac:dyDescent="0.25">
      <c r="A2709" s="2">
        <v>3176.1089399390298</v>
      </c>
      <c r="B2709" s="3">
        <v>0.241180974734091</v>
      </c>
      <c r="C2709" s="3">
        <v>3.4624171845208801E-3</v>
      </c>
      <c r="D2709" s="4">
        <v>1.0819448517186201E-2</v>
      </c>
      <c r="E2709" s="3" t="s">
        <v>11489</v>
      </c>
      <c r="F2709" s="3" t="s">
        <v>11490</v>
      </c>
      <c r="G2709" s="3">
        <v>11991</v>
      </c>
      <c r="H2709" s="7" t="str">
        <f>HYPERLINK("http://www.ensembl.org/Mus_musculus/Gene/Summary?db=core;g=ENSMUSG00000000568","ENSMUSG00000000568")</f>
        <v>ENSMUSG00000000568</v>
      </c>
      <c r="I2709" s="7" t="str">
        <f>HYPERLINK("http://www.informatics.jax.org/marker/MGI:101947","MGI:101947")</f>
        <v>MGI:101947</v>
      </c>
      <c r="J2709" s="4" t="s">
        <v>12</v>
      </c>
    </row>
    <row r="2710" spans="1:10" x14ac:dyDescent="0.25">
      <c r="A2710" s="2">
        <v>7562.2982257329604</v>
      </c>
      <c r="B2710" s="3">
        <v>0.24107933905849199</v>
      </c>
      <c r="C2710" s="5">
        <v>1.7373197932540199E-15</v>
      </c>
      <c r="D2710" s="6">
        <v>2.1010387015298301E-14</v>
      </c>
      <c r="E2710" s="3" t="s">
        <v>2854</v>
      </c>
      <c r="F2710" s="3" t="s">
        <v>2855</v>
      </c>
      <c r="G2710" s="3">
        <v>12974</v>
      </c>
      <c r="H2710" s="7" t="str">
        <f>HYPERLINK("http://www.ensembl.org/Mus_musculus/Gene/Summary?db=core;g=ENSMUSG00000005683","ENSMUSG00000005683")</f>
        <v>ENSMUSG00000005683</v>
      </c>
      <c r="I2710" s="7" t="str">
        <f>HYPERLINK("http://www.informatics.jax.org/marker/MGI:88529","MGI:88529")</f>
        <v>MGI:88529</v>
      </c>
      <c r="J2710" s="4" t="s">
        <v>12</v>
      </c>
    </row>
    <row r="2711" spans="1:10" x14ac:dyDescent="0.25">
      <c r="A2711" s="2">
        <v>8992.7593195936297</v>
      </c>
      <c r="B2711" s="3">
        <v>0.240447129983136</v>
      </c>
      <c r="C2711" s="5">
        <v>1.17571929435668E-11</v>
      </c>
      <c r="D2711" s="6">
        <v>1.08658641681798E-10</v>
      </c>
      <c r="E2711" s="3" t="s">
        <v>3086</v>
      </c>
      <c r="F2711" s="3" t="s">
        <v>3087</v>
      </c>
      <c r="G2711" s="3">
        <v>76709</v>
      </c>
      <c r="H2711" s="7" t="str">
        <f>HYPERLINK("http://www.ensembl.org/Mus_musculus/Gene/Summary?db=core;g=ENSMUSG00000006304","ENSMUSG00000006304")</f>
        <v>ENSMUSG00000006304</v>
      </c>
      <c r="I2711" s="7" t="str">
        <f>HYPERLINK("http://www.informatics.jax.org/marker/MGI:1923959","MGI:1923959")</f>
        <v>MGI:1923959</v>
      </c>
      <c r="J2711" s="4" t="s">
        <v>12</v>
      </c>
    </row>
    <row r="2712" spans="1:10" x14ac:dyDescent="0.25">
      <c r="A2712" s="2">
        <v>1029.1724887287</v>
      </c>
      <c r="B2712" s="3">
        <v>0.24007354580759299</v>
      </c>
      <c r="C2712" s="5">
        <v>5.0233270253457598E-5</v>
      </c>
      <c r="D2712" s="4">
        <v>2.2028425177316301E-4</v>
      </c>
      <c r="E2712" s="3" t="s">
        <v>7668</v>
      </c>
      <c r="F2712" s="3" t="s">
        <v>7669</v>
      </c>
      <c r="G2712" s="3">
        <v>403187</v>
      </c>
      <c r="H2712" s="7" t="str">
        <f>HYPERLINK("http://www.ensembl.org/Mus_musculus/Gene/Summary?db=core;g=ENSMUSG00000052214","ENSMUSG00000052214")</f>
        <v>ENSMUSG00000052214</v>
      </c>
      <c r="I2712" s="7" t="str">
        <f>HYPERLINK("http://www.informatics.jax.org/marker/MGI:2686271","MGI:2686271")</f>
        <v>MGI:2686271</v>
      </c>
      <c r="J2712" s="4" t="s">
        <v>12</v>
      </c>
    </row>
    <row r="2713" spans="1:10" x14ac:dyDescent="0.25">
      <c r="A2713" s="2">
        <v>2196.4061774531301</v>
      </c>
      <c r="B2713" s="3">
        <v>0.239660735431864</v>
      </c>
      <c r="C2713" s="3">
        <v>1.72980297185786E-4</v>
      </c>
      <c r="D2713" s="4">
        <v>6.9424486153070897E-4</v>
      </c>
      <c r="E2713" s="3" t="s">
        <v>9171</v>
      </c>
      <c r="F2713" s="3" t="s">
        <v>9172</v>
      </c>
      <c r="G2713" s="3">
        <v>26445</v>
      </c>
      <c r="H2713" s="7" t="str">
        <f>HYPERLINK("http://www.ensembl.org/Mus_musculus/Gene/Summary?db=core;g=ENSMUSG00000028837","ENSMUSG00000028837")</f>
        <v>ENSMUSG00000028837</v>
      </c>
      <c r="I2713" s="7" t="str">
        <f>HYPERLINK("http://www.informatics.jax.org/marker/MGI:1347045","MGI:1347045")</f>
        <v>MGI:1347045</v>
      </c>
      <c r="J2713" s="4" t="s">
        <v>12</v>
      </c>
    </row>
    <row r="2714" spans="1:10" x14ac:dyDescent="0.25">
      <c r="A2714" s="2">
        <v>3519.92216866219</v>
      </c>
      <c r="B2714" s="3">
        <v>0.23961992430454099</v>
      </c>
      <c r="C2714" s="5">
        <v>3.10375358664673E-7</v>
      </c>
      <c r="D2714" s="6">
        <v>1.8389437294095099E-6</v>
      </c>
      <c r="E2714" s="3" t="s">
        <v>6013</v>
      </c>
      <c r="F2714" s="3" t="s">
        <v>6014</v>
      </c>
      <c r="G2714" s="3">
        <v>216766</v>
      </c>
      <c r="H2714" s="7" t="str">
        <f>HYPERLINK("http://www.ensembl.org/Mus_musculus/Gene/Summary?db=core;g=ENSMUSG00000037275","ENSMUSG00000037275")</f>
        <v>ENSMUSG00000037275</v>
      </c>
      <c r="I2714" s="7" t="str">
        <f>HYPERLINK("http://www.informatics.jax.org/marker/MGI:2449311","MGI:2449311")</f>
        <v>MGI:2449311</v>
      </c>
      <c r="J2714" s="4" t="s">
        <v>12</v>
      </c>
    </row>
    <row r="2715" spans="1:10" x14ac:dyDescent="0.25">
      <c r="A2715" s="2">
        <v>1543.4906308979901</v>
      </c>
      <c r="B2715" s="3">
        <v>0.239228856154547</v>
      </c>
      <c r="C2715" s="5">
        <v>5.8614870471020702E-5</v>
      </c>
      <c r="D2715" s="4">
        <v>2.5434667007960798E-4</v>
      </c>
      <c r="E2715" s="3" t="s">
        <v>8173</v>
      </c>
      <c r="F2715" s="3" t="s">
        <v>8174</v>
      </c>
      <c r="G2715" s="3">
        <v>23802</v>
      </c>
      <c r="H2715" s="7" t="str">
        <f>HYPERLINK("http://www.ensembl.org/Mus_musculus/Gene/Summary?db=core;g=ENSMUSG00000031751","ENSMUSG00000031751")</f>
        <v>ENSMUSG00000031751</v>
      </c>
      <c r="I2715" s="7" t="str">
        <f>HYPERLINK("http://www.informatics.jax.org/marker/MGI:1345634","MGI:1345634")</f>
        <v>MGI:1345634</v>
      </c>
      <c r="J2715" s="4" t="s">
        <v>12</v>
      </c>
    </row>
    <row r="2716" spans="1:10" x14ac:dyDescent="0.25">
      <c r="A2716" s="2">
        <v>916.55472410335904</v>
      </c>
      <c r="B2716" s="3">
        <v>0.23910192829940599</v>
      </c>
      <c r="C2716" s="5">
        <v>2.6158264686401898E-5</v>
      </c>
      <c r="D2716" s="4">
        <v>1.2008422516616499E-4</v>
      </c>
      <c r="E2716" s="3" t="s">
        <v>7510</v>
      </c>
      <c r="F2716" s="3" t="s">
        <v>7511</v>
      </c>
      <c r="G2716" s="3">
        <v>56422</v>
      </c>
      <c r="H2716" s="7" t="str">
        <f>HYPERLINK("http://www.ensembl.org/Mus_musculus/Gene/Summary?db=core;g=ENSMUSG00000019977","ENSMUSG00000019977")</f>
        <v>ENSMUSG00000019977</v>
      </c>
      <c r="I2716" s="7" t="str">
        <f>HYPERLINK("http://www.informatics.jax.org/marker/MGI:1891704","MGI:1891704")</f>
        <v>MGI:1891704</v>
      </c>
      <c r="J2716" s="4" t="s">
        <v>12</v>
      </c>
    </row>
    <row r="2717" spans="1:10" x14ac:dyDescent="0.25">
      <c r="A2717" s="2">
        <v>2872.96168690691</v>
      </c>
      <c r="B2717" s="3">
        <v>0.23893840998815299</v>
      </c>
      <c r="C2717" s="3">
        <v>3.80319542966265E-4</v>
      </c>
      <c r="D2717" s="4">
        <v>1.4386308988294299E-3</v>
      </c>
      <c r="E2717" s="3" t="s">
        <v>7880</v>
      </c>
      <c r="F2717" s="3" t="s">
        <v>7881</v>
      </c>
      <c r="G2717" s="3">
        <v>16650</v>
      </c>
      <c r="H2717" s="7" t="str">
        <f>HYPERLINK("http://www.ensembl.org/Mus_musculus/Gene/Summary?db=core;g=ENSMUSG00000003731","ENSMUSG00000003731")</f>
        <v>ENSMUSG00000003731</v>
      </c>
      <c r="I2717" s="7" t="str">
        <f>HYPERLINK("http://www.informatics.jax.org/marker/MGI:1100836","MGI:1100836")</f>
        <v>MGI:1100836</v>
      </c>
      <c r="J2717" s="4" t="s">
        <v>12</v>
      </c>
    </row>
    <row r="2718" spans="1:10" x14ac:dyDescent="0.25">
      <c r="A2718" s="2">
        <v>1034.0832043820701</v>
      </c>
      <c r="B2718" s="3">
        <v>0.23881950408885899</v>
      </c>
      <c r="C2718" s="3">
        <v>1.43523719139684E-2</v>
      </c>
      <c r="D2718" s="4">
        <v>3.8619810738531601E-2</v>
      </c>
      <c r="E2718" s="3" t="s">
        <v>13495</v>
      </c>
      <c r="F2718" s="3" t="s">
        <v>13496</v>
      </c>
      <c r="G2718" s="3">
        <v>241490</v>
      </c>
      <c r="H2718" s="7" t="str">
        <f>HYPERLINK("http://www.ensembl.org/Mus_musculus/Gene/Summary?db=core;g=ENSMUSG00000042369","ENSMUSG00000042369")</f>
        <v>ENSMUSG00000042369</v>
      </c>
      <c r="I2718" s="7" t="str">
        <f>HYPERLINK("http://www.informatics.jax.org/marker/MGI:2387367","MGI:2387367")</f>
        <v>MGI:2387367</v>
      </c>
      <c r="J2718" s="4" t="s">
        <v>12</v>
      </c>
    </row>
    <row r="2719" spans="1:10" x14ac:dyDescent="0.25">
      <c r="A2719" s="2">
        <v>128.520367989503</v>
      </c>
      <c r="B2719" s="3">
        <v>0.23836217778841301</v>
      </c>
      <c r="C2719" s="3">
        <v>3.1707436121848398E-2</v>
      </c>
      <c r="D2719" s="4">
        <v>7.7275745295625503E-2</v>
      </c>
      <c r="E2719" s="3" t="s">
        <v>9507</v>
      </c>
      <c r="F2719" s="3" t="s">
        <v>9508</v>
      </c>
      <c r="G2719" s="3">
        <v>69757</v>
      </c>
      <c r="H2719" s="7" t="str">
        <f>HYPERLINK("http://www.ensembl.org/Mus_musculus/Gene/Summary?db=core;g=ENSMUSG00000078813","ENSMUSG00000078813")</f>
        <v>ENSMUSG00000078813</v>
      </c>
      <c r="I2719" s="7" t="str">
        <f>HYPERLINK("http://www.informatics.jax.org/marker/MGI:1917007","MGI:1917007")</f>
        <v>MGI:1917007</v>
      </c>
      <c r="J2719" s="4" t="s">
        <v>12</v>
      </c>
    </row>
    <row r="2720" spans="1:10" x14ac:dyDescent="0.25">
      <c r="A2720" s="2">
        <v>1843.87428227584</v>
      </c>
      <c r="B2720" s="3">
        <v>0.237500757816059</v>
      </c>
      <c r="C2720" s="5">
        <v>9.7477605176687596E-8</v>
      </c>
      <c r="D2720" s="6">
        <v>6.1154194641828996E-7</v>
      </c>
      <c r="E2720" s="3" t="s">
        <v>8837</v>
      </c>
      <c r="F2720" s="3" t="s">
        <v>8838</v>
      </c>
      <c r="G2720" s="3">
        <v>18107</v>
      </c>
      <c r="H2720" s="7" t="str">
        <f>HYPERLINK("http://www.ensembl.org/Mus_musculus/Gene/Summary?db=core;g=ENSMUSG00000020936","ENSMUSG00000020936")</f>
        <v>ENSMUSG00000020936</v>
      </c>
      <c r="I2720" s="7" t="str">
        <f>HYPERLINK("http://www.informatics.jax.org/marker/MGI:102579","MGI:102579")</f>
        <v>MGI:102579</v>
      </c>
      <c r="J2720" s="4" t="s">
        <v>12</v>
      </c>
    </row>
    <row r="2721" spans="1:10" x14ac:dyDescent="0.25">
      <c r="A2721" s="2">
        <v>1269.6241976926799</v>
      </c>
      <c r="B2721" s="3">
        <v>0.23718192147297101</v>
      </c>
      <c r="C2721" s="5">
        <v>8.3441680936391802E-6</v>
      </c>
      <c r="D2721" s="6">
        <v>4.1290378361817598E-5</v>
      </c>
      <c r="E2721" s="3" t="s">
        <v>8831</v>
      </c>
      <c r="F2721" s="3" t="s">
        <v>8832</v>
      </c>
      <c r="G2721" s="3">
        <v>110593</v>
      </c>
      <c r="H2721" s="7" t="str">
        <f>HYPERLINK("http://www.ensembl.org/Mus_musculus/Gene/Summary?db=core;g=ENSMUSG00000057637","ENSMUSG00000057637")</f>
        <v>ENSMUSG00000057637</v>
      </c>
      <c r="I2721" s="7" t="str">
        <f>HYPERLINK("http://www.informatics.jax.org/marker/MGI:107628","MGI:107628")</f>
        <v>MGI:107628</v>
      </c>
      <c r="J2721" s="4" t="s">
        <v>12</v>
      </c>
    </row>
    <row r="2722" spans="1:10" x14ac:dyDescent="0.25">
      <c r="A2722" s="2">
        <v>171.40648755589601</v>
      </c>
      <c r="B2722" s="3">
        <v>0.23702081885610199</v>
      </c>
      <c r="C2722" s="3">
        <v>0.12091803832617901</v>
      </c>
      <c r="D2722" s="4">
        <v>0.23744545291397601</v>
      </c>
      <c r="E2722" s="3" t="s">
        <v>10942</v>
      </c>
      <c r="F2722" s="3" t="s">
        <v>10943</v>
      </c>
      <c r="G2722" s="3" t="s">
        <v>83</v>
      </c>
      <c r="H2722" s="7" t="str">
        <f>HYPERLINK("http://www.ensembl.org/Mus_musculus/Gene/Summary?db=core;g=ENSMUSG00000055897","ENSMUSG00000055897")</f>
        <v>ENSMUSG00000055897</v>
      </c>
      <c r="I2722" s="7" t="str">
        <f>HYPERLINK("http://www.informatics.jax.org/marker/MGI:1924560","MGI:1924560")</f>
        <v>MGI:1924560</v>
      </c>
      <c r="J2722" s="4" t="s">
        <v>320</v>
      </c>
    </row>
    <row r="2723" spans="1:10" x14ac:dyDescent="0.25">
      <c r="A2723" s="2">
        <v>120.12332404464</v>
      </c>
      <c r="B2723" s="3">
        <v>0.23689621504016201</v>
      </c>
      <c r="C2723" s="3">
        <v>2.7278749326057099E-2</v>
      </c>
      <c r="D2723" s="4">
        <v>6.7658574641724395E-2</v>
      </c>
      <c r="E2723" s="3" t="s">
        <v>13379</v>
      </c>
      <c r="F2723" s="3" t="s">
        <v>13380</v>
      </c>
      <c r="G2723" s="3">
        <v>22709</v>
      </c>
      <c r="H2723" s="7" t="str">
        <f>HYPERLINK("http://www.ensembl.org/Mus_musculus/Gene/Summary?db=core;g=ENSMUSG00000023892","ENSMUSG00000023892")</f>
        <v>ENSMUSG00000023892</v>
      </c>
      <c r="I2723" s="7" t="str">
        <f>HYPERLINK("http://www.informatics.jax.org/marker/MGI:99198","MGI:99198")</f>
        <v>MGI:99198</v>
      </c>
      <c r="J2723" s="4" t="s">
        <v>12</v>
      </c>
    </row>
    <row r="2724" spans="1:10" x14ac:dyDescent="0.25">
      <c r="A2724" s="2">
        <v>7945.7700446076597</v>
      </c>
      <c r="B2724" s="3">
        <v>0.23689070572881099</v>
      </c>
      <c r="C2724" s="5">
        <v>1.5658709184937698E-5</v>
      </c>
      <c r="D2724" s="6">
        <v>7.4375807895618804E-5</v>
      </c>
      <c r="E2724" s="3" t="s">
        <v>7008</v>
      </c>
      <c r="F2724" s="3" t="s">
        <v>7009</v>
      </c>
      <c r="G2724" s="3">
        <v>12785</v>
      </c>
      <c r="H2724" s="7" t="str">
        <f>HYPERLINK("http://www.ensembl.org/Mus_musculus/Gene/Summary?db=core;g=ENSMUSG00000030057","ENSMUSG00000030057")</f>
        <v>ENSMUSG00000030057</v>
      </c>
      <c r="I2724" s="7" t="str">
        <f>HYPERLINK("http://www.informatics.jax.org/marker/MGI:88431","MGI:88431")</f>
        <v>MGI:88431</v>
      </c>
      <c r="J2724" s="4" t="s">
        <v>12</v>
      </c>
    </row>
    <row r="2725" spans="1:10" x14ac:dyDescent="0.25">
      <c r="A2725" s="2">
        <v>615.58344766983203</v>
      </c>
      <c r="B2725" s="3">
        <v>0.23673447022469099</v>
      </c>
      <c r="C2725" s="3">
        <v>1.54263493564603E-3</v>
      </c>
      <c r="D2725" s="4">
        <v>5.2364540328084996E-3</v>
      </c>
      <c r="E2725" s="3" t="s">
        <v>12209</v>
      </c>
      <c r="F2725" s="3" t="s">
        <v>12210</v>
      </c>
      <c r="G2725" s="3">
        <v>193670</v>
      </c>
      <c r="H2725" s="7" t="str">
        <f>HYPERLINK("http://www.ensembl.org/Mus_musculus/Gene/Summary?db=core;g=ENSMUSG00000020448","ENSMUSG00000020448")</f>
        <v>ENSMUSG00000020448</v>
      </c>
      <c r="I2725" s="7" t="str">
        <f>HYPERLINK("http://www.informatics.jax.org/marker/MGI:1922078","MGI:1922078")</f>
        <v>MGI:1922078</v>
      </c>
      <c r="J2725" s="4" t="s">
        <v>12</v>
      </c>
    </row>
    <row r="2726" spans="1:10" x14ac:dyDescent="0.25">
      <c r="A2726" s="2">
        <v>3716.4416543463099</v>
      </c>
      <c r="B2726" s="3">
        <v>0.23650723397107901</v>
      </c>
      <c r="C2726" s="5">
        <v>4.4042944456309599E-9</v>
      </c>
      <c r="D2726" s="6">
        <v>3.1992134823285898E-8</v>
      </c>
      <c r="E2726" s="3" t="s">
        <v>4429</v>
      </c>
      <c r="F2726" s="3" t="s">
        <v>4430</v>
      </c>
      <c r="G2726" s="3">
        <v>63985</v>
      </c>
      <c r="H2726" s="7" t="str">
        <f>HYPERLINK("http://www.ensembl.org/Mus_musculus/Gene/Summary?db=core;g=ENSMUSG00000062014","ENSMUSG00000062014")</f>
        <v>ENSMUSG00000062014</v>
      </c>
      <c r="I2726" s="7" t="str">
        <f>HYPERLINK("http://www.informatics.jax.org/marker/MGI:1927133","MGI:1927133")</f>
        <v>MGI:1927133</v>
      </c>
      <c r="J2726" s="4" t="s">
        <v>12</v>
      </c>
    </row>
    <row r="2727" spans="1:10" x14ac:dyDescent="0.25">
      <c r="A2727" s="2">
        <v>1411.8793364129299</v>
      </c>
      <c r="B2727" s="3">
        <v>0.236497195636796</v>
      </c>
      <c r="C2727" s="3">
        <v>1.0503995745891901E-3</v>
      </c>
      <c r="D2727" s="4">
        <v>3.6820020379064798E-3</v>
      </c>
      <c r="E2727" s="3" t="s">
        <v>10216</v>
      </c>
      <c r="F2727" s="3" t="s">
        <v>10217</v>
      </c>
      <c r="G2727" s="3">
        <v>17237</v>
      </c>
      <c r="H2727" s="7" t="str">
        <f>HYPERLINK("http://www.ensembl.org/Mus_musculus/Gene/Summary?db=core;g=ENSMUSG00000022517","ENSMUSG00000022517")</f>
        <v>ENSMUSG00000022517</v>
      </c>
      <c r="I2727" s="7" t="str">
        <f>HYPERLINK("http://www.informatics.jax.org/marker/MGI:2447670","MGI:2447670")</f>
        <v>MGI:2447670</v>
      </c>
      <c r="J2727" s="4" t="s">
        <v>12</v>
      </c>
    </row>
    <row r="2728" spans="1:10" x14ac:dyDescent="0.25">
      <c r="A2728" s="2">
        <v>125.935267823955</v>
      </c>
      <c r="B2728" s="3">
        <v>0.23636577387184701</v>
      </c>
      <c r="C2728" s="3">
        <v>3.74859650647913E-2</v>
      </c>
      <c r="D2728" s="4">
        <v>8.9316474481085401E-2</v>
      </c>
      <c r="E2728" s="3" t="s">
        <v>11913</v>
      </c>
      <c r="F2728" s="3" t="s">
        <v>11914</v>
      </c>
      <c r="G2728" s="3">
        <v>100101806</v>
      </c>
      <c r="H2728" s="7" t="str">
        <f>HYPERLINK("http://www.ensembl.org/Mus_musculus/Gene/Summary?db=core;g=ENSMUSG00000079108","ENSMUSG00000079108")</f>
        <v>ENSMUSG00000079108</v>
      </c>
      <c r="I2728" s="7" t="str">
        <f>HYPERLINK("http://www.informatics.jax.org/marker/MGI:3714359","MGI:3714359")</f>
        <v>MGI:3714359</v>
      </c>
      <c r="J2728" s="4" t="s">
        <v>12</v>
      </c>
    </row>
    <row r="2729" spans="1:10" x14ac:dyDescent="0.25">
      <c r="A2729" s="2">
        <v>1027.8313446447601</v>
      </c>
      <c r="B2729" s="3">
        <v>0.23627163091731099</v>
      </c>
      <c r="C2729" s="3">
        <v>3.7984684248069402E-4</v>
      </c>
      <c r="D2729" s="4">
        <v>1.43714110529596E-3</v>
      </c>
      <c r="E2729" s="3" t="s">
        <v>8367</v>
      </c>
      <c r="F2729" s="3" t="s">
        <v>8368</v>
      </c>
      <c r="G2729" s="3">
        <v>237898</v>
      </c>
      <c r="H2729" s="7" t="str">
        <f>HYPERLINK("http://www.ensembl.org/Mus_musculus/Gene/Summary?db=core;g=ENSMUSG00000000804","ENSMUSG00000000804")</f>
        <v>ENSMUSG00000000804</v>
      </c>
      <c r="I2729" s="7" t="str">
        <f>HYPERLINK("http://www.informatics.jax.org/marker/MGI:2144475","MGI:2144475")</f>
        <v>MGI:2144475</v>
      </c>
      <c r="J2729" s="4" t="s">
        <v>12</v>
      </c>
    </row>
    <row r="2730" spans="1:10" x14ac:dyDescent="0.25">
      <c r="A2730" s="2">
        <v>2226.2174732016101</v>
      </c>
      <c r="B2730" s="3">
        <v>0.23614358849839701</v>
      </c>
      <c r="C2730" s="3">
        <v>1.76076216082927E-4</v>
      </c>
      <c r="D2730" s="4">
        <v>7.0558246220566204E-4</v>
      </c>
      <c r="E2730" s="3" t="s">
        <v>10648</v>
      </c>
      <c r="F2730" s="3" t="s">
        <v>10649</v>
      </c>
      <c r="G2730" s="3">
        <v>19703</v>
      </c>
      <c r="H2730" s="7" t="str">
        <f>HYPERLINK("http://www.ensembl.org/Mus_musculus/Gene/Summary?db=core;g=ENSMUSG00000031387","ENSMUSG00000031387")</f>
        <v>ENSMUSG00000031387</v>
      </c>
      <c r="I2730" s="7" t="str">
        <f>HYPERLINK("http://www.informatics.jax.org/marker/MGI:105940","MGI:105940")</f>
        <v>MGI:105940</v>
      </c>
      <c r="J2730" s="4" t="s">
        <v>12</v>
      </c>
    </row>
    <row r="2731" spans="1:10" x14ac:dyDescent="0.25">
      <c r="A2731" s="2">
        <v>1631.16701005345</v>
      </c>
      <c r="B2731" s="3">
        <v>0.23570174639316999</v>
      </c>
      <c r="C2731" s="5">
        <v>2.23146158593561E-5</v>
      </c>
      <c r="D2731" s="4">
        <v>1.0350823976502E-4</v>
      </c>
      <c r="E2731" s="3" t="s">
        <v>4597</v>
      </c>
      <c r="F2731" s="3" t="s">
        <v>4598</v>
      </c>
      <c r="G2731" s="3">
        <v>98053</v>
      </c>
      <c r="H2731" s="7" t="str">
        <f>HYPERLINK("http://www.ensembl.org/Mus_musculus/Gene/Summary?db=core;g=ENSMUSG00000002658","ENSMUSG00000002658")</f>
        <v>ENSMUSG00000002658</v>
      </c>
      <c r="I2731" s="7" t="str">
        <f>HYPERLINK("http://www.informatics.jax.org/marker/MGI:1923848","MGI:1923848")</f>
        <v>MGI:1923848</v>
      </c>
      <c r="J2731" s="4" t="s">
        <v>12</v>
      </c>
    </row>
    <row r="2732" spans="1:10" x14ac:dyDescent="0.25">
      <c r="A2732" s="2">
        <v>83.6110444243903</v>
      </c>
      <c r="B2732" s="3">
        <v>0.23567113604823001</v>
      </c>
      <c r="C2732" s="3">
        <v>0.10557775472582601</v>
      </c>
      <c r="D2732" s="4">
        <v>0.21261376573239599</v>
      </c>
      <c r="E2732" s="3" t="s">
        <v>11957</v>
      </c>
      <c r="F2732" s="3" t="s">
        <v>11958</v>
      </c>
      <c r="G2732" s="3" t="s">
        <v>83</v>
      </c>
      <c r="H2732" s="7" t="str">
        <f>HYPERLINK("http://www.ensembl.org/Mus_musculus/Gene/Summary?db=core;g=ENSMUSG00000083327","ENSMUSG00000083327")</f>
        <v>ENSMUSG00000083327</v>
      </c>
      <c r="I2732" s="7" t="str">
        <f>HYPERLINK("http://www.informatics.jax.org/marker/MGI:894298","MGI:894298")</f>
        <v>MGI:894298</v>
      </c>
      <c r="J2732" s="4" t="s">
        <v>1043</v>
      </c>
    </row>
    <row r="2733" spans="1:10" x14ac:dyDescent="0.25">
      <c r="A2733" s="2">
        <v>214.74541615032999</v>
      </c>
      <c r="B2733" s="3">
        <v>0.23560661835831401</v>
      </c>
      <c r="C2733" s="3">
        <v>2.4440249887994099E-2</v>
      </c>
      <c r="D2733" s="4">
        <v>6.1488618747748899E-2</v>
      </c>
      <c r="E2733" s="3" t="s">
        <v>10672</v>
      </c>
      <c r="F2733" s="3" t="s">
        <v>10673</v>
      </c>
      <c r="G2733" s="3">
        <v>330401</v>
      </c>
      <c r="H2733" s="7" t="str">
        <f>HYPERLINK("http://www.ensembl.org/Mus_musculus/Gene/Summary?db=core;g=ENSMUSG00000030126","ENSMUSG00000030126")</f>
        <v>ENSMUSG00000030126</v>
      </c>
      <c r="I2733" s="7" t="str">
        <f>HYPERLINK("http://www.informatics.jax.org/marker/MGI:2442368","MGI:2442368")</f>
        <v>MGI:2442368</v>
      </c>
      <c r="J2733" s="4" t="s">
        <v>12</v>
      </c>
    </row>
    <row r="2734" spans="1:10" x14ac:dyDescent="0.25">
      <c r="A2734" s="2">
        <v>20741.3167382641</v>
      </c>
      <c r="B2734" s="3">
        <v>0.235470365177256</v>
      </c>
      <c r="C2734" s="5">
        <v>1.09238462030613E-7</v>
      </c>
      <c r="D2734" s="6">
        <v>6.8110536110431697E-7</v>
      </c>
      <c r="E2734" s="3" t="s">
        <v>7010</v>
      </c>
      <c r="F2734" s="3" t="s">
        <v>7011</v>
      </c>
      <c r="G2734" s="3">
        <v>15384</v>
      </c>
      <c r="H2734" s="7" t="str">
        <f>HYPERLINK("http://www.ensembl.org/Mus_musculus/Gene/Summary?db=core;g=ENSMUSG00000020358","ENSMUSG00000020358")</f>
        <v>ENSMUSG00000020358</v>
      </c>
      <c r="I2734" s="7" t="str">
        <f>HYPERLINK("http://www.informatics.jax.org/marker/MGI:1330294","MGI:1330294")</f>
        <v>MGI:1330294</v>
      </c>
      <c r="J2734" s="4" t="s">
        <v>12</v>
      </c>
    </row>
    <row r="2735" spans="1:10" x14ac:dyDescent="0.25">
      <c r="A2735" s="2">
        <v>665.73755386873802</v>
      </c>
      <c r="B2735" s="3">
        <v>0.235427970776134</v>
      </c>
      <c r="C2735" s="3">
        <v>1.9802853732482E-4</v>
      </c>
      <c r="D2735" s="4">
        <v>7.8714723942090203E-4</v>
      </c>
      <c r="E2735" s="3" t="s">
        <v>13945</v>
      </c>
      <c r="F2735" s="3" t="s">
        <v>13946</v>
      </c>
      <c r="G2735" s="3">
        <v>237500</v>
      </c>
      <c r="H2735" s="7" t="str">
        <f>HYPERLINK("http://www.ensembl.org/Mus_musculus/Gene/Summary?db=core;g=ENSMUSG00000036676","ENSMUSG00000036676")</f>
        <v>ENSMUSG00000036676</v>
      </c>
      <c r="I2735" s="7" t="str">
        <f>HYPERLINK("http://www.informatics.jax.org/marker/MGI:3036255","MGI:3036255")</f>
        <v>MGI:3036255</v>
      </c>
      <c r="J2735" s="4" t="s">
        <v>12</v>
      </c>
    </row>
    <row r="2736" spans="1:10" x14ac:dyDescent="0.25">
      <c r="A2736" s="2">
        <v>1103.0826907400201</v>
      </c>
      <c r="B2736" s="3">
        <v>0.23520136675667899</v>
      </c>
      <c r="C2736" s="5">
        <v>7.0362035012844002E-6</v>
      </c>
      <c r="D2736" s="6">
        <v>3.5190672011775003E-5</v>
      </c>
      <c r="E2736" s="3" t="s">
        <v>8887</v>
      </c>
      <c r="F2736" s="3" t="s">
        <v>8888</v>
      </c>
      <c r="G2736" s="3">
        <v>104444</v>
      </c>
      <c r="H2736" s="7" t="str">
        <f>HYPERLINK("http://www.ensembl.org/Mus_musculus/Gene/Summary?db=core;g=ENSMUSG00000032026","ENSMUSG00000032026")</f>
        <v>ENSMUSG00000032026</v>
      </c>
      <c r="I2736" s="7" t="str">
        <f>HYPERLINK("http://www.informatics.jax.org/marker/MGI:1888981","MGI:1888981")</f>
        <v>MGI:1888981</v>
      </c>
      <c r="J2736" s="4" t="s">
        <v>12</v>
      </c>
    </row>
    <row r="2737" spans="1:10" x14ac:dyDescent="0.25">
      <c r="A2737" s="2">
        <v>3997.4033196073501</v>
      </c>
      <c r="B2737" s="3">
        <v>0.23488296006692899</v>
      </c>
      <c r="C2737" s="5">
        <v>1.5912063566163099E-6</v>
      </c>
      <c r="D2737" s="6">
        <v>8.6514725087506803E-6</v>
      </c>
      <c r="E2737" s="3" t="s">
        <v>4145</v>
      </c>
      <c r="F2737" s="3" t="s">
        <v>4146</v>
      </c>
      <c r="G2737" s="3">
        <v>12181</v>
      </c>
      <c r="H2737" s="7" t="str">
        <f>HYPERLINK("http://www.ensembl.org/Mus_musculus/Gene/Summary?db=core;g=ENSMUSG00000022557","ENSMUSG00000022557")</f>
        <v>ENSMUSG00000022557</v>
      </c>
      <c r="I2737" s="7" t="str">
        <f>HYPERLINK("http://www.informatics.jax.org/marker/MGI:1334460","MGI:1334460")</f>
        <v>MGI:1334460</v>
      </c>
      <c r="J2737" s="4" t="s">
        <v>12</v>
      </c>
    </row>
    <row r="2738" spans="1:10" x14ac:dyDescent="0.25">
      <c r="A2738" s="2">
        <v>655.79284388881501</v>
      </c>
      <c r="B2738" s="3">
        <v>0.23446020740687401</v>
      </c>
      <c r="C2738" s="5">
        <v>3.47851222048892E-5</v>
      </c>
      <c r="D2738" s="4">
        <v>1.56378601920105E-4</v>
      </c>
      <c r="E2738" s="3" t="s">
        <v>9241</v>
      </c>
      <c r="F2738" s="3" t="s">
        <v>9242</v>
      </c>
      <c r="G2738" s="3">
        <v>66818</v>
      </c>
      <c r="H2738" s="7" t="str">
        <f>HYPERLINK("http://www.ensembl.org/Mus_musculus/Gene/Summary?db=core;g=ENSMUSG00000044600","ENSMUSG00000044600")</f>
        <v>ENSMUSG00000044600</v>
      </c>
      <c r="I2738" s="7" t="str">
        <f>HYPERLINK("http://www.informatics.jax.org/marker/MGI:1914068","MGI:1914068")</f>
        <v>MGI:1914068</v>
      </c>
      <c r="J2738" s="4" t="s">
        <v>12</v>
      </c>
    </row>
    <row r="2739" spans="1:10" x14ac:dyDescent="0.25">
      <c r="A2739" s="2">
        <v>2850.0246613839499</v>
      </c>
      <c r="B2739" s="3">
        <v>0.23418251679320401</v>
      </c>
      <c r="C2739" s="5">
        <v>9.4821960135551706E-9</v>
      </c>
      <c r="D2739" s="6">
        <v>6.6237264218874297E-8</v>
      </c>
      <c r="E2739" s="3" t="s">
        <v>5377</v>
      </c>
      <c r="F2739" s="3" t="s">
        <v>5378</v>
      </c>
      <c r="G2739" s="3">
        <v>26554</v>
      </c>
      <c r="H2739" s="7" t="str">
        <f>HYPERLINK("http://www.ensembl.org/Mus_musculus/Gene/Summary?db=core;g=ENSMUSG00000004364","ENSMUSG00000004364")</f>
        <v>ENSMUSG00000004364</v>
      </c>
      <c r="I2739" s="7" t="str">
        <f>HYPERLINK("http://www.informatics.jax.org/marker/MGI:1347360","MGI:1347360")</f>
        <v>MGI:1347360</v>
      </c>
      <c r="J2739" s="4" t="s">
        <v>12</v>
      </c>
    </row>
    <row r="2740" spans="1:10" x14ac:dyDescent="0.25">
      <c r="A2740" s="2">
        <v>18.576993117179601</v>
      </c>
      <c r="B2740" s="3">
        <v>0.23414167493372201</v>
      </c>
      <c r="C2740" s="3">
        <v>0.38511619023416399</v>
      </c>
      <c r="D2740" s="4">
        <v>0.56352810654497298</v>
      </c>
      <c r="E2740" s="3" t="s">
        <v>10238</v>
      </c>
      <c r="F2740" s="3" t="s">
        <v>10239</v>
      </c>
      <c r="G2740" s="3">
        <v>319149</v>
      </c>
      <c r="H2740" s="7" t="str">
        <f>HYPERLINK("http://www.ensembl.org/Mus_musculus/Gene/Summary?db=core;g=ENSMUSG00000099583","ENSMUSG00000099583")</f>
        <v>ENSMUSG00000099583</v>
      </c>
      <c r="I2740" s="7" t="str">
        <f>HYPERLINK("http://www.informatics.jax.org/marker/MGI:2448322","MGI:2448322")</f>
        <v>MGI:2448322</v>
      </c>
      <c r="J2740" s="4" t="s">
        <v>12</v>
      </c>
    </row>
    <row r="2741" spans="1:10" x14ac:dyDescent="0.25">
      <c r="A2741" s="2">
        <v>8389.0280847908707</v>
      </c>
      <c r="B2741" s="3">
        <v>0.23360113831978099</v>
      </c>
      <c r="C2741" s="3">
        <v>7.29830385301675E-4</v>
      </c>
      <c r="D2741" s="4">
        <v>2.6266111319358299E-3</v>
      </c>
      <c r="E2741" s="3" t="s">
        <v>12771</v>
      </c>
      <c r="F2741" s="3" t="s">
        <v>12772</v>
      </c>
      <c r="G2741" s="3">
        <v>11964</v>
      </c>
      <c r="H2741" s="7" t="str">
        <f>HYPERLINK("http://www.ensembl.org/Mus_musculus/Gene/Summary?db=core;g=ENSMUSG00000052459","ENSMUSG00000052459")</f>
        <v>ENSMUSG00000052459</v>
      </c>
      <c r="I2741" s="7" t="str">
        <f>HYPERLINK("http://www.informatics.jax.org/marker/MGI:1201780","MGI:1201780")</f>
        <v>MGI:1201780</v>
      </c>
      <c r="J2741" s="4" t="s">
        <v>12</v>
      </c>
    </row>
    <row r="2742" spans="1:10" x14ac:dyDescent="0.25">
      <c r="A2742" s="2">
        <v>2326.1294327411701</v>
      </c>
      <c r="B2742" s="3">
        <v>0.23350555884368299</v>
      </c>
      <c r="C2742" s="3">
        <v>3.5891666160372197E-2</v>
      </c>
      <c r="D2742" s="4">
        <v>8.60918157110796E-2</v>
      </c>
      <c r="E2742" s="3" t="s">
        <v>11411</v>
      </c>
      <c r="F2742" s="3" t="s">
        <v>11412</v>
      </c>
      <c r="G2742" s="3">
        <v>67724</v>
      </c>
      <c r="H2742" s="7" t="str">
        <f>HYPERLINK("http://www.ensembl.org/Mus_musculus/Gene/Summary?db=core;g=ENSMUSG00000022325","ENSMUSG00000022325")</f>
        <v>ENSMUSG00000022325</v>
      </c>
      <c r="I2742" s="7" t="str">
        <f>HYPERLINK("http://www.informatics.jax.org/marker/MGI:1914974","MGI:1914974")</f>
        <v>MGI:1914974</v>
      </c>
      <c r="J2742" s="4" t="s">
        <v>12</v>
      </c>
    </row>
    <row r="2743" spans="1:10" x14ac:dyDescent="0.25">
      <c r="A2743" s="2">
        <v>3019.2345165668198</v>
      </c>
      <c r="B2743" s="3">
        <v>0.23347116889247299</v>
      </c>
      <c r="C2743" s="3">
        <v>1.9887641710223899E-3</v>
      </c>
      <c r="D2743" s="4">
        <v>6.5888433042870596E-3</v>
      </c>
      <c r="E2743" s="3" t="s">
        <v>11036</v>
      </c>
      <c r="F2743" s="3" t="s">
        <v>11037</v>
      </c>
      <c r="G2743" s="3">
        <v>18103</v>
      </c>
      <c r="H2743" s="7" t="str">
        <f>HYPERLINK("http://www.ensembl.org/Mus_musculus/Gene/Summary?db=core;g=ENSMUSG00000020857","ENSMUSG00000020857")</f>
        <v>ENSMUSG00000020857</v>
      </c>
      <c r="I2743" s="7" t="str">
        <f>HYPERLINK("http://www.informatics.jax.org/marker/MGI:97356","MGI:97356")</f>
        <v>MGI:97356</v>
      </c>
      <c r="J2743" s="4" t="s">
        <v>12</v>
      </c>
    </row>
    <row r="2744" spans="1:10" x14ac:dyDescent="0.25">
      <c r="A2744" s="2">
        <v>389.64753610463498</v>
      </c>
      <c r="B2744" s="3">
        <v>0.23347005621156899</v>
      </c>
      <c r="C2744" s="3">
        <v>2.3023172724584498E-3</v>
      </c>
      <c r="D2744" s="4">
        <v>7.5129332659901998E-3</v>
      </c>
      <c r="E2744" s="3" t="s">
        <v>12999</v>
      </c>
      <c r="F2744" s="3" t="s">
        <v>13000</v>
      </c>
      <c r="G2744" s="3">
        <v>66628</v>
      </c>
      <c r="H2744" s="7" t="str">
        <f>HYPERLINK("http://www.ensembl.org/Mus_musculus/Gene/Summary?db=core;g=ENSMUSG00000011254","ENSMUSG00000011254")</f>
        <v>ENSMUSG00000011254</v>
      </c>
      <c r="I2744" s="7" t="str">
        <f>HYPERLINK("http://www.informatics.jax.org/marker/MGI:1913878","MGI:1913878")</f>
        <v>MGI:1913878</v>
      </c>
      <c r="J2744" s="4" t="s">
        <v>12</v>
      </c>
    </row>
    <row r="2745" spans="1:10" x14ac:dyDescent="0.25">
      <c r="A2745" s="2">
        <v>5505.3327982669698</v>
      </c>
      <c r="B2745" s="3">
        <v>0.233369586336305</v>
      </c>
      <c r="C2745" s="3">
        <v>1.39373415904556E-4</v>
      </c>
      <c r="D2745" s="4">
        <v>5.6799653507614905E-4</v>
      </c>
      <c r="E2745" s="3" t="s">
        <v>10442</v>
      </c>
      <c r="F2745" s="3" t="s">
        <v>10443</v>
      </c>
      <c r="G2745" s="3">
        <v>19291</v>
      </c>
      <c r="H2745" s="7" t="str">
        <f>HYPERLINK("http://www.ensembl.org/Mus_musculus/Gene/Summary?db=core;g=ENSMUSG00000094483","ENSMUSG00000094483")</f>
        <v>ENSMUSG00000094483</v>
      </c>
      <c r="I2745" s="7" t="str">
        <f>HYPERLINK("http://www.informatics.jax.org/marker/MGI:1338779","MGI:1338779")</f>
        <v>MGI:1338779</v>
      </c>
      <c r="J2745" s="4" t="s">
        <v>12</v>
      </c>
    </row>
    <row r="2746" spans="1:10" x14ac:dyDescent="0.25">
      <c r="A2746" s="2">
        <v>796.002690108509</v>
      </c>
      <c r="B2746" s="3">
        <v>0.233342494269179</v>
      </c>
      <c r="C2746" s="3">
        <v>4.0118265197823296E-3</v>
      </c>
      <c r="D2746" s="4">
        <v>1.23464265996341E-2</v>
      </c>
      <c r="E2746" s="3" t="s">
        <v>12767</v>
      </c>
      <c r="F2746" s="3" t="s">
        <v>12768</v>
      </c>
      <c r="G2746" s="3">
        <v>67125</v>
      </c>
      <c r="H2746" s="7" t="str">
        <f>HYPERLINK("http://www.ensembl.org/Mus_musculus/Gene/Summary?db=core;g=ENSMUSG00000006736","ENSMUSG00000006736")</f>
        <v>ENSMUSG00000006736</v>
      </c>
      <c r="I2746" s="7" t="str">
        <f>HYPERLINK("http://www.informatics.jax.org/marker/MGI:1914375","MGI:1914375")</f>
        <v>MGI:1914375</v>
      </c>
      <c r="J2746" s="4" t="s">
        <v>12</v>
      </c>
    </row>
    <row r="2747" spans="1:10" x14ac:dyDescent="0.25">
      <c r="A2747" s="2">
        <v>2056.8878467713398</v>
      </c>
      <c r="B2747" s="3">
        <v>0.23319645213314899</v>
      </c>
      <c r="C2747" s="5">
        <v>4.7035814989662998E-8</v>
      </c>
      <c r="D2747" s="6">
        <v>3.0344344360587898E-7</v>
      </c>
      <c r="E2747" s="3" t="s">
        <v>3248</v>
      </c>
      <c r="F2747" s="3" t="s">
        <v>3249</v>
      </c>
      <c r="G2747" s="3">
        <v>66997</v>
      </c>
      <c r="H2747" s="7" t="str">
        <f>HYPERLINK("http://www.ensembl.org/Mus_musculus/Gene/Summary?db=core;g=ENSMUSG00000020720","ENSMUSG00000020720")</f>
        <v>ENSMUSG00000020720</v>
      </c>
      <c r="I2747" s="7" t="str">
        <f>HYPERLINK("http://www.informatics.jax.org/marker/MGI:1914247","MGI:1914247")</f>
        <v>MGI:1914247</v>
      </c>
      <c r="J2747" s="4" t="s">
        <v>12</v>
      </c>
    </row>
    <row r="2748" spans="1:10" x14ac:dyDescent="0.25">
      <c r="A2748" s="2">
        <v>15089.9962264266</v>
      </c>
      <c r="B2748" s="3">
        <v>0.233107410789373</v>
      </c>
      <c r="C2748" s="5">
        <v>5.2546648664575503E-9</v>
      </c>
      <c r="D2748" s="6">
        <v>3.7747838861327902E-8</v>
      </c>
      <c r="E2748" s="3" t="s">
        <v>6679</v>
      </c>
      <c r="F2748" s="3" t="s">
        <v>6680</v>
      </c>
      <c r="G2748" s="3">
        <v>192662</v>
      </c>
      <c r="H2748" s="7" t="str">
        <f>HYPERLINK("http://www.ensembl.org/Mus_musculus/Gene/Summary?db=core;g=ENSMUSG00000025132","ENSMUSG00000025132")</f>
        <v>ENSMUSG00000025132</v>
      </c>
      <c r="I2748" s="7" t="str">
        <f>HYPERLINK("http://www.informatics.jax.org/marker/MGI:2178103","MGI:2178103")</f>
        <v>MGI:2178103</v>
      </c>
      <c r="J2748" s="4" t="s">
        <v>12</v>
      </c>
    </row>
    <row r="2749" spans="1:10" x14ac:dyDescent="0.25">
      <c r="A2749" s="2">
        <v>1370.7339879500701</v>
      </c>
      <c r="B2749" s="3">
        <v>0.23287704916636601</v>
      </c>
      <c r="C2749" s="3">
        <v>6.4792464087804695E-4</v>
      </c>
      <c r="D2749" s="4">
        <v>2.3583835789898898E-3</v>
      </c>
      <c r="E2749" s="3" t="s">
        <v>4625</v>
      </c>
      <c r="F2749" s="3" t="s">
        <v>4626</v>
      </c>
      <c r="G2749" s="3">
        <v>21937</v>
      </c>
      <c r="H2749" s="7" t="str">
        <f>HYPERLINK("http://www.ensembl.org/Mus_musculus/Gene/Summary?db=core;g=ENSMUSG00000030341","ENSMUSG00000030341")</f>
        <v>ENSMUSG00000030341</v>
      </c>
      <c r="I2749" s="7" t="str">
        <f>HYPERLINK("http://www.informatics.jax.org/marker/MGI:1314884","MGI:1314884")</f>
        <v>MGI:1314884</v>
      </c>
      <c r="J2749" s="4" t="s">
        <v>12</v>
      </c>
    </row>
    <row r="2750" spans="1:10" x14ac:dyDescent="0.25">
      <c r="A2750" s="2">
        <v>699.80349445977004</v>
      </c>
      <c r="B2750" s="3">
        <v>0.232530100191257</v>
      </c>
      <c r="C2750" s="3">
        <v>3.65832674984663E-3</v>
      </c>
      <c r="D2750" s="4">
        <v>1.13664395109322E-2</v>
      </c>
      <c r="E2750" s="3" t="s">
        <v>13715</v>
      </c>
      <c r="F2750" s="3" t="s">
        <v>13716</v>
      </c>
      <c r="G2750" s="3">
        <v>69577</v>
      </c>
      <c r="H2750" s="7" t="str">
        <f>HYPERLINK("http://www.ensembl.org/Mus_musculus/Gene/Summary?db=core;g=ENSMUSG00000021532","ENSMUSG00000021532")</f>
        <v>ENSMUSG00000021532</v>
      </c>
      <c r="I2750" s="7" t="str">
        <f>HYPERLINK("http://www.informatics.jax.org/marker/MGI:1916827","MGI:1916827")</f>
        <v>MGI:1916827</v>
      </c>
      <c r="J2750" s="4" t="s">
        <v>12</v>
      </c>
    </row>
    <row r="2751" spans="1:10" x14ac:dyDescent="0.25">
      <c r="A2751" s="2">
        <v>3131.72597111912</v>
      </c>
      <c r="B2751" s="3">
        <v>0.23249937755964301</v>
      </c>
      <c r="C2751" s="3">
        <v>2.4535223127322599E-3</v>
      </c>
      <c r="D2751" s="4">
        <v>7.9536542421816698E-3</v>
      </c>
      <c r="E2751" s="3" t="s">
        <v>10324</v>
      </c>
      <c r="F2751" s="3" t="s">
        <v>10325</v>
      </c>
      <c r="G2751" s="3">
        <v>17079</v>
      </c>
      <c r="H2751" s="7" t="str">
        <f>HYPERLINK("http://www.ensembl.org/Mus_musculus/Gene/Summary?db=core;g=ENSMUSG00000021624","ENSMUSG00000021624")</f>
        <v>ENSMUSG00000021624</v>
      </c>
      <c r="I2751" s="7" t="str">
        <f>HYPERLINK("http://www.informatics.jax.org/marker/MGI:1194924","MGI:1194924")</f>
        <v>MGI:1194924</v>
      </c>
      <c r="J2751" s="4" t="s">
        <v>12</v>
      </c>
    </row>
    <row r="2752" spans="1:10" x14ac:dyDescent="0.25">
      <c r="A2752" s="2">
        <v>1202.81532093278</v>
      </c>
      <c r="B2752" s="3">
        <v>0.232286840763056</v>
      </c>
      <c r="C2752" s="5">
        <v>6.80182012399467E-6</v>
      </c>
      <c r="D2752" s="6">
        <v>3.4102660731720198E-5</v>
      </c>
      <c r="E2752" s="3" t="s">
        <v>5207</v>
      </c>
      <c r="F2752" s="3" t="s">
        <v>5208</v>
      </c>
      <c r="G2752" s="3">
        <v>67973</v>
      </c>
      <c r="H2752" s="7" t="str">
        <f>HYPERLINK("http://www.ensembl.org/Mus_musculus/Gene/Summary?db=core;g=ENSMUSG00000030521","ENSMUSG00000030521")</f>
        <v>ENSMUSG00000030521</v>
      </c>
      <c r="I2752" s="7" t="str">
        <f>HYPERLINK("http://www.informatics.jax.org/marker/MGI:1915223","MGI:1915223")</f>
        <v>MGI:1915223</v>
      </c>
      <c r="J2752" s="4" t="s">
        <v>12</v>
      </c>
    </row>
    <row r="2753" spans="1:10" x14ac:dyDescent="0.25">
      <c r="A2753" s="2">
        <v>944.727091780004</v>
      </c>
      <c r="B2753" s="3">
        <v>0.23208893842379699</v>
      </c>
      <c r="C2753" s="3">
        <v>3.1688605612656401E-4</v>
      </c>
      <c r="D2753" s="4">
        <v>1.2140526325218901E-3</v>
      </c>
      <c r="E2753" s="3" t="s">
        <v>7924</v>
      </c>
      <c r="F2753" s="3" t="s">
        <v>7925</v>
      </c>
      <c r="G2753" s="3">
        <v>67602</v>
      </c>
      <c r="H2753" s="7" t="str">
        <f>HYPERLINK("http://www.ensembl.org/Mus_musculus/Gene/Summary?db=core;g=ENSMUSG00000030327","ENSMUSG00000030327")</f>
        <v>ENSMUSG00000030327</v>
      </c>
      <c r="I2753" s="7" t="str">
        <f>HYPERLINK("http://www.informatics.jax.org/marker/MGI:1914852","MGI:1914852")</f>
        <v>MGI:1914852</v>
      </c>
      <c r="J2753" s="4" t="s">
        <v>12</v>
      </c>
    </row>
    <row r="2754" spans="1:10" x14ac:dyDescent="0.25">
      <c r="A2754" s="2">
        <v>1672.3125442253199</v>
      </c>
      <c r="B2754" s="3">
        <v>0.232084180978336</v>
      </c>
      <c r="C2754" s="5">
        <v>4.0649726764976003E-5</v>
      </c>
      <c r="D2754" s="4">
        <v>1.8060489280635999E-4</v>
      </c>
      <c r="E2754" s="3" t="s">
        <v>5819</v>
      </c>
      <c r="F2754" s="3" t="s">
        <v>5820</v>
      </c>
      <c r="G2754" s="3">
        <v>268470</v>
      </c>
      <c r="H2754" s="7" t="str">
        <f>HYPERLINK("http://www.ensembl.org/Mus_musculus/Gene/Summary?db=core;g=ENSMUSG00000014349","ENSMUSG00000014349")</f>
        <v>ENSMUSG00000014349</v>
      </c>
      <c r="I2754" s="7" t="str">
        <f>HYPERLINK("http://www.informatics.jax.org/marker/MGI:1343160","MGI:1343160")</f>
        <v>MGI:1343160</v>
      </c>
      <c r="J2754" s="4" t="s">
        <v>12</v>
      </c>
    </row>
    <row r="2755" spans="1:10" x14ac:dyDescent="0.25">
      <c r="A2755" s="2">
        <v>1639.3646220878099</v>
      </c>
      <c r="B2755" s="3">
        <v>0.23198932832531899</v>
      </c>
      <c r="C2755" s="5">
        <v>3.6286981248842899E-5</v>
      </c>
      <c r="D2755" s="4">
        <v>1.62528934200089E-4</v>
      </c>
      <c r="E2755" s="3" t="s">
        <v>5769</v>
      </c>
      <c r="F2755" s="3" t="s">
        <v>5770</v>
      </c>
      <c r="G2755" s="3">
        <v>108679</v>
      </c>
      <c r="H2755" s="7" t="str">
        <f>HYPERLINK("http://www.ensembl.org/Mus_musculus/Gene/Summary?db=core;g=ENSMUSG00000034432","ENSMUSG00000034432")</f>
        <v>ENSMUSG00000034432</v>
      </c>
      <c r="I2755" s="7" t="str">
        <f>HYPERLINK("http://www.informatics.jax.org/marker/MGI:1915363","MGI:1915363")</f>
        <v>MGI:1915363</v>
      </c>
      <c r="J2755" s="4" t="s">
        <v>12</v>
      </c>
    </row>
    <row r="2756" spans="1:10" x14ac:dyDescent="0.25">
      <c r="A2756" s="2">
        <v>1030.01778818722</v>
      </c>
      <c r="B2756" s="3">
        <v>0.23175910171223099</v>
      </c>
      <c r="C2756" s="3">
        <v>2.3794147907506001E-4</v>
      </c>
      <c r="D2756" s="4">
        <v>9.3237657625090697E-4</v>
      </c>
      <c r="E2756" s="3" t="s">
        <v>9091</v>
      </c>
      <c r="F2756" s="3" t="s">
        <v>9092</v>
      </c>
      <c r="G2756" s="3">
        <v>97820</v>
      </c>
      <c r="H2756" s="7" t="str">
        <f>HYPERLINK("http://www.ensembl.org/Mus_musculus/Gene/Summary?db=core;g=ENSMUSG00000025871","ENSMUSG00000025871")</f>
        <v>ENSMUSG00000025871</v>
      </c>
      <c r="I2756" s="7" t="str">
        <f>HYPERLINK("http://www.informatics.jax.org/marker/MGI:1921162","MGI:1921162")</f>
        <v>MGI:1921162</v>
      </c>
      <c r="J2756" s="4" t="s">
        <v>12</v>
      </c>
    </row>
    <row r="2757" spans="1:10" x14ac:dyDescent="0.25">
      <c r="A2757" s="2">
        <v>214.264223645849</v>
      </c>
      <c r="B2757" s="3">
        <v>0.23166792907849801</v>
      </c>
      <c r="C2757" s="3">
        <v>2.5386147869333301E-2</v>
      </c>
      <c r="D2757" s="4">
        <v>6.3596226105649495E-2</v>
      </c>
      <c r="E2757" s="3" t="s">
        <v>11937</v>
      </c>
      <c r="F2757" s="3" t="s">
        <v>11938</v>
      </c>
      <c r="G2757" s="3" t="s">
        <v>83</v>
      </c>
      <c r="H2757" s="7" t="str">
        <f>HYPERLINK("http://www.ensembl.org/Mus_musculus/Gene/Summary?db=core;g=ENSMUSG00000085436","ENSMUSG00000085436")</f>
        <v>ENSMUSG00000085436</v>
      </c>
      <c r="I2757" s="7" t="str">
        <f>HYPERLINK("http://www.informatics.jax.org/marker/MGI:3649775","MGI:3649775")</f>
        <v>MGI:3649775</v>
      </c>
      <c r="J2757" s="4" t="s">
        <v>932</v>
      </c>
    </row>
    <row r="2758" spans="1:10" x14ac:dyDescent="0.25">
      <c r="A2758" s="2">
        <v>7209.4561703466698</v>
      </c>
      <c r="B2758" s="3">
        <v>0.231635021965476</v>
      </c>
      <c r="C2758" s="5">
        <v>3.3249307715454401E-9</v>
      </c>
      <c r="D2758" s="6">
        <v>2.4493477490467099E-8</v>
      </c>
      <c r="E2758" s="3" t="s">
        <v>4379</v>
      </c>
      <c r="F2758" s="3" t="s">
        <v>4380</v>
      </c>
      <c r="G2758" s="3">
        <v>13204</v>
      </c>
      <c r="H2758" s="7" t="str">
        <f>HYPERLINK("http://www.ensembl.org/Mus_musculus/Gene/Summary?db=core;g=ENSMUSG00000029169","ENSMUSG00000029169")</f>
        <v>ENSMUSG00000029169</v>
      </c>
      <c r="I2758" s="7" t="str">
        <f>HYPERLINK("http://www.informatics.jax.org/marker/MGI:1099786","MGI:1099786")</f>
        <v>MGI:1099786</v>
      </c>
      <c r="J2758" s="4" t="s">
        <v>12</v>
      </c>
    </row>
    <row r="2759" spans="1:10" x14ac:dyDescent="0.25">
      <c r="A2759" s="2">
        <v>3344.2510383144199</v>
      </c>
      <c r="B2759" s="3">
        <v>0.23150031063412299</v>
      </c>
      <c r="C2759" s="5">
        <v>2.1307430770460899E-8</v>
      </c>
      <c r="D2759" s="6">
        <v>1.4340026801759599E-7</v>
      </c>
      <c r="E2759" s="3" t="s">
        <v>5347</v>
      </c>
      <c r="F2759" s="3" t="s">
        <v>5348</v>
      </c>
      <c r="G2759" s="3">
        <v>218914</v>
      </c>
      <c r="H2759" s="7" t="str">
        <f>HYPERLINK("http://www.ensembl.org/Mus_musculus/Gene/Summary?db=core;g=ENSMUSG00000041408","ENSMUSG00000041408")</f>
        <v>ENSMUSG00000041408</v>
      </c>
      <c r="I2759" s="7" t="str">
        <f>HYPERLINK("http://www.informatics.jax.org/marker/MGI:2675859","MGI:2675859")</f>
        <v>MGI:2675859</v>
      </c>
      <c r="J2759" s="4" t="s">
        <v>12</v>
      </c>
    </row>
    <row r="2760" spans="1:10" x14ac:dyDescent="0.25">
      <c r="A2760" s="2">
        <v>1349.6840622080599</v>
      </c>
      <c r="B2760" s="3">
        <v>0.23120273231095501</v>
      </c>
      <c r="C2760" s="5">
        <v>5.0170592616828801E-5</v>
      </c>
      <c r="D2760" s="4">
        <v>2.2006234667670401E-4</v>
      </c>
      <c r="E2760" s="3" t="s">
        <v>8289</v>
      </c>
      <c r="F2760" s="3" t="s">
        <v>8290</v>
      </c>
      <c r="G2760" s="3">
        <v>231915</v>
      </c>
      <c r="H2760" s="7" t="str">
        <f>HYPERLINK("http://www.ensembl.org/Mus_musculus/Gene/Summary?db=core;g=ENSMUSG00000041264","ENSMUSG00000041264")</f>
        <v>ENSMUSG00000041264</v>
      </c>
      <c r="I2760" s="7" t="str">
        <f>HYPERLINK("http://www.informatics.jax.org/marker/MGI:2442342","MGI:2442342")</f>
        <v>MGI:2442342</v>
      </c>
      <c r="J2760" s="4" t="s">
        <v>12</v>
      </c>
    </row>
    <row r="2761" spans="1:10" x14ac:dyDescent="0.25">
      <c r="A2761" s="2">
        <v>930.08515781172196</v>
      </c>
      <c r="B2761" s="3">
        <v>0.23101552224616301</v>
      </c>
      <c r="C2761" s="5">
        <v>2.78072572311231E-5</v>
      </c>
      <c r="D2761" s="4">
        <v>1.2710992300908399E-4</v>
      </c>
      <c r="E2761" s="3" t="s">
        <v>6077</v>
      </c>
      <c r="F2761" s="3" t="s">
        <v>6078</v>
      </c>
      <c r="G2761" s="3">
        <v>13542</v>
      </c>
      <c r="H2761" s="7" t="str">
        <f>HYPERLINK("http://www.ensembl.org/Mus_musculus/Gene/Summary?db=core;g=ENSMUSG00000029071","ENSMUSG00000029071")</f>
        <v>ENSMUSG00000029071</v>
      </c>
      <c r="I2761" s="7" t="str">
        <f>HYPERLINK("http://www.informatics.jax.org/marker/MGI:94941","MGI:94941")</f>
        <v>MGI:94941</v>
      </c>
      <c r="J2761" s="4" t="s">
        <v>12</v>
      </c>
    </row>
    <row r="2762" spans="1:10" x14ac:dyDescent="0.25">
      <c r="A2762" s="2">
        <v>375.41958467591502</v>
      </c>
      <c r="B2762" s="3">
        <v>0.230971311914873</v>
      </c>
      <c r="C2762" s="3">
        <v>2.0650750396584501E-3</v>
      </c>
      <c r="D2762" s="4">
        <v>6.8057852798870198E-3</v>
      </c>
      <c r="E2762" s="3" t="s">
        <v>12509</v>
      </c>
      <c r="F2762" s="3" t="s">
        <v>12510</v>
      </c>
      <c r="G2762" s="3">
        <v>381045</v>
      </c>
      <c r="H2762" s="7" t="str">
        <f>HYPERLINK("http://www.ensembl.org/Mus_musculus/Gene/Summary?db=core;g=ENSMUSG00000075229","ENSMUSG00000075229")</f>
        <v>ENSMUSG00000075229</v>
      </c>
      <c r="I2762" s="7" t="str">
        <f>HYPERLINK("http://www.informatics.jax.org/marker/MGI:2146423","MGI:2146423")</f>
        <v>MGI:2146423</v>
      </c>
      <c r="J2762" s="4" t="s">
        <v>12</v>
      </c>
    </row>
    <row r="2763" spans="1:10" x14ac:dyDescent="0.25">
      <c r="A2763" s="2">
        <v>10780.0721442023</v>
      </c>
      <c r="B2763" s="3">
        <v>0.23084286953368399</v>
      </c>
      <c r="C2763" s="5">
        <v>5.1417451812550998E-6</v>
      </c>
      <c r="D2763" s="6">
        <v>2.6256179862251101E-5</v>
      </c>
      <c r="E2763" s="3" t="s">
        <v>7434</v>
      </c>
      <c r="F2763" s="3" t="s">
        <v>7435</v>
      </c>
      <c r="G2763" s="3">
        <v>56449</v>
      </c>
      <c r="H2763" s="7" t="str">
        <f>HYPERLINK("http://www.ensembl.org/Mus_musculus/Gene/Summary?db=core;g=ENSMUSG00000030189","ENSMUSG00000030189")</f>
        <v>ENSMUSG00000030189</v>
      </c>
      <c r="I2763" s="7" t="str">
        <f>HYPERLINK("http://www.informatics.jax.org/marker/MGI:2137670","MGI:2137670")</f>
        <v>MGI:2137670</v>
      </c>
      <c r="J2763" s="4" t="s">
        <v>12</v>
      </c>
    </row>
    <row r="2764" spans="1:10" x14ac:dyDescent="0.25">
      <c r="A2764" s="2">
        <v>1724.6087791590101</v>
      </c>
      <c r="B2764" s="3">
        <v>0.23075967310620099</v>
      </c>
      <c r="C2764" s="5">
        <v>2.0648795810803799E-7</v>
      </c>
      <c r="D2764" s="6">
        <v>1.25024685598638E-6</v>
      </c>
      <c r="E2764" s="3" t="s">
        <v>4589</v>
      </c>
      <c r="F2764" s="3" t="s">
        <v>4590</v>
      </c>
      <c r="G2764" s="3">
        <v>78246</v>
      </c>
      <c r="H2764" s="7" t="str">
        <f>HYPERLINK("http://www.ensembl.org/Mus_musculus/Gene/Summary?db=core;g=ENSMUSG00000018572","ENSMUSG00000018572")</f>
        <v>ENSMUSG00000018572</v>
      </c>
      <c r="I2764" s="7" t="str">
        <f>HYPERLINK("http://www.informatics.jax.org/marker/MGI:1925496","MGI:1925496")</f>
        <v>MGI:1925496</v>
      </c>
      <c r="J2764" s="4" t="s">
        <v>12</v>
      </c>
    </row>
    <row r="2765" spans="1:10" x14ac:dyDescent="0.25">
      <c r="A2765" s="2">
        <v>377.30249561637498</v>
      </c>
      <c r="B2765" s="3">
        <v>0.23049168088910399</v>
      </c>
      <c r="C2765" s="3">
        <v>5.0866048091992798E-4</v>
      </c>
      <c r="D2765" s="4">
        <v>1.8876679423265499E-3</v>
      </c>
      <c r="E2765" s="3" t="s">
        <v>10478</v>
      </c>
      <c r="F2765" s="3" t="s">
        <v>10479</v>
      </c>
      <c r="G2765" s="3">
        <v>67031</v>
      </c>
      <c r="H2765" s="7" t="str">
        <f>HYPERLINK("http://www.ensembl.org/Mus_musculus/Gene/Summary?db=core;g=ENSMUSG00000038398","ENSMUSG00000038398")</f>
        <v>ENSMUSG00000038398</v>
      </c>
      <c r="I2765" s="7" t="str">
        <f>HYPERLINK("http://www.informatics.jax.org/marker/MGI:1914281","MGI:1914281")</f>
        <v>MGI:1914281</v>
      </c>
      <c r="J2765" s="4" t="s">
        <v>12</v>
      </c>
    </row>
    <row r="2766" spans="1:10" x14ac:dyDescent="0.25">
      <c r="A2766" s="2">
        <v>526.03009779448996</v>
      </c>
      <c r="B2766" s="3">
        <v>0.23039188546858599</v>
      </c>
      <c r="C2766" s="3">
        <v>1.4326000203844799E-3</v>
      </c>
      <c r="D2766" s="4">
        <v>4.8966870539210797E-3</v>
      </c>
      <c r="E2766" s="3" t="s">
        <v>10272</v>
      </c>
      <c r="F2766" s="3" t="s">
        <v>10273</v>
      </c>
      <c r="G2766" s="3">
        <v>12054</v>
      </c>
      <c r="H2766" s="7" t="str">
        <f>HYPERLINK("http://www.ensembl.org/Mus_musculus/Gene/Summary?db=core;g=ENSMUSG00000029681","ENSMUSG00000029681")</f>
        <v>ENSMUSG00000029681</v>
      </c>
      <c r="I2766" s="7" t="str">
        <f>HYPERLINK("http://www.informatics.jax.org/marker/MGI:1332238","MGI:1332238")</f>
        <v>MGI:1332238</v>
      </c>
      <c r="J2766" s="4" t="s">
        <v>12</v>
      </c>
    </row>
    <row r="2767" spans="1:10" x14ac:dyDescent="0.25">
      <c r="A2767" s="2">
        <v>8805.0181445210892</v>
      </c>
      <c r="B2767" s="3">
        <v>0.230366215167886</v>
      </c>
      <c r="C2767" s="5">
        <v>2.26481974335177E-12</v>
      </c>
      <c r="D2767" s="6">
        <v>2.2203517925005899E-11</v>
      </c>
      <c r="E2767" s="3" t="s">
        <v>5865</v>
      </c>
      <c r="F2767" s="3" t="s">
        <v>5866</v>
      </c>
      <c r="G2767" s="3">
        <v>21762</v>
      </c>
      <c r="H2767" s="7" t="str">
        <f>HYPERLINK("http://www.ensembl.org/Mus_musculus/Gene/Summary?db=core;g=ENSMUSG00000006998","ENSMUSG00000006998")</f>
        <v>ENSMUSG00000006998</v>
      </c>
      <c r="I2767" s="7" t="str">
        <f>HYPERLINK("http://www.informatics.jax.org/marker/MGI:1096584","MGI:1096584")</f>
        <v>MGI:1096584</v>
      </c>
      <c r="J2767" s="4" t="s">
        <v>12</v>
      </c>
    </row>
    <row r="2768" spans="1:10" x14ac:dyDescent="0.25">
      <c r="A2768" s="2">
        <v>245.05135497719999</v>
      </c>
      <c r="B2768" s="3">
        <v>0.230315352880198</v>
      </c>
      <c r="C2768" s="3">
        <v>9.5402830355697191E-3</v>
      </c>
      <c r="D2768" s="4">
        <v>2.68776717148335E-2</v>
      </c>
      <c r="E2768" s="3" t="s">
        <v>8857</v>
      </c>
      <c r="F2768" s="3" t="s">
        <v>8858</v>
      </c>
      <c r="G2768" s="3">
        <v>67049</v>
      </c>
      <c r="H2768" s="7" t="str">
        <f>HYPERLINK("http://www.ensembl.org/Mus_musculus/Gene/Summary?db=core;g=ENSMUSG00000032103","ENSMUSG00000032103")</f>
        <v>ENSMUSG00000032103</v>
      </c>
      <c r="I2768" s="7" t="str">
        <f>HYPERLINK("http://www.informatics.jax.org/marker/MGI:1914299","MGI:1914299")</f>
        <v>MGI:1914299</v>
      </c>
      <c r="J2768" s="4" t="s">
        <v>12</v>
      </c>
    </row>
    <row r="2769" spans="1:10" x14ac:dyDescent="0.25">
      <c r="A2769" s="2">
        <v>363.18108694304198</v>
      </c>
      <c r="B2769" s="3">
        <v>0.23011875801103701</v>
      </c>
      <c r="C2769" s="3">
        <v>1.2505404871131099E-3</v>
      </c>
      <c r="D2769" s="4">
        <v>4.32304635387642E-3</v>
      </c>
      <c r="E2769" s="3" t="s">
        <v>13377</v>
      </c>
      <c r="F2769" s="3" t="s">
        <v>13378</v>
      </c>
      <c r="G2769" s="3">
        <v>66410</v>
      </c>
      <c r="H2769" s="7" t="str">
        <f>HYPERLINK("http://www.ensembl.org/Mus_musculus/Gene/Summary?db=core;g=ENSMUSG00000021519","ENSMUSG00000021519")</f>
        <v>ENSMUSG00000021519</v>
      </c>
      <c r="I2769" s="7" t="str">
        <f>HYPERLINK("http://www.informatics.jax.org/marker/MGI:1913660","MGI:1913660")</f>
        <v>MGI:1913660</v>
      </c>
      <c r="J2769" s="4" t="s">
        <v>12</v>
      </c>
    </row>
    <row r="2770" spans="1:10" x14ac:dyDescent="0.25">
      <c r="A2770" s="2">
        <v>5307.00626022298</v>
      </c>
      <c r="B2770" s="3">
        <v>0.229754346578913</v>
      </c>
      <c r="C2770" s="5">
        <v>5.5659611401834597E-7</v>
      </c>
      <c r="D2770" s="6">
        <v>3.1829194157465802E-6</v>
      </c>
      <c r="E2770" s="3" t="s">
        <v>4275</v>
      </c>
      <c r="F2770" s="3" t="s">
        <v>4276</v>
      </c>
      <c r="G2770" s="3">
        <v>66409</v>
      </c>
      <c r="H2770" s="7" t="str">
        <f>HYPERLINK("http://www.ensembl.org/Mus_musculus/Gene/Summary?db=core;g=ENSMUSG00000005846","ENSMUSG00000005846")</f>
        <v>ENSMUSG00000005846</v>
      </c>
      <c r="I2770" s="7" t="str">
        <f>HYPERLINK("http://www.informatics.jax.org/marker/MGI:1913659","MGI:1913659")</f>
        <v>MGI:1913659</v>
      </c>
      <c r="J2770" s="4" t="s">
        <v>12</v>
      </c>
    </row>
    <row r="2771" spans="1:10" x14ac:dyDescent="0.25">
      <c r="A2771" s="2">
        <v>1253.6579421178899</v>
      </c>
      <c r="B2771" s="3">
        <v>0.22939833380414701</v>
      </c>
      <c r="C2771" s="5">
        <v>5.1049771371477501E-5</v>
      </c>
      <c r="D2771" s="4">
        <v>2.2370331407674401E-4</v>
      </c>
      <c r="E2771" s="3" t="s">
        <v>9307</v>
      </c>
      <c r="F2771" s="3" t="s">
        <v>9308</v>
      </c>
      <c r="G2771" s="3">
        <v>17931</v>
      </c>
      <c r="H2771" s="7" t="str">
        <f>HYPERLINK("http://www.ensembl.org/Mus_musculus/Gene/Summary?db=core;g=ENSMUSG00000019907","ENSMUSG00000019907")</f>
        <v>ENSMUSG00000019907</v>
      </c>
      <c r="I2771" s="7" t="str">
        <f>HYPERLINK("http://www.informatics.jax.org/marker/MGI:1309528","MGI:1309528")</f>
        <v>MGI:1309528</v>
      </c>
      <c r="J2771" s="4" t="s">
        <v>12</v>
      </c>
    </row>
    <row r="2772" spans="1:10" x14ac:dyDescent="0.25">
      <c r="A2772" s="2">
        <v>1375.62159560329</v>
      </c>
      <c r="B2772" s="3">
        <v>0.22937632516383799</v>
      </c>
      <c r="C2772" s="3">
        <v>2.6821592718894501E-4</v>
      </c>
      <c r="D2772" s="4">
        <v>1.0389447976660001E-3</v>
      </c>
      <c r="E2772" s="3" t="s">
        <v>5387</v>
      </c>
      <c r="F2772" s="3" t="s">
        <v>5388</v>
      </c>
      <c r="G2772" s="3">
        <v>70675</v>
      </c>
      <c r="H2772" s="7" t="str">
        <f>HYPERLINK("http://www.ensembl.org/Mus_musculus/Gene/Summary?db=core;g=ENSMUSG00000045210","ENSMUSG00000045210")</f>
        <v>ENSMUSG00000045210</v>
      </c>
      <c r="I2772" s="7" t="str">
        <f>HYPERLINK("http://www.informatics.jax.org/marker/MGI:1917925","MGI:1917925")</f>
        <v>MGI:1917925</v>
      </c>
      <c r="J2772" s="4" t="s">
        <v>12</v>
      </c>
    </row>
    <row r="2773" spans="1:10" x14ac:dyDescent="0.25">
      <c r="A2773" s="2">
        <v>1735.1981730610501</v>
      </c>
      <c r="B2773" s="3">
        <v>0.229287751944628</v>
      </c>
      <c r="C2773" s="5">
        <v>5.4096429955858402E-6</v>
      </c>
      <c r="D2773" s="6">
        <v>2.75162555385297E-5</v>
      </c>
      <c r="E2773" s="3" t="s">
        <v>5279</v>
      </c>
      <c r="F2773" s="3" t="s">
        <v>5280</v>
      </c>
      <c r="G2773" s="3">
        <v>110816</v>
      </c>
      <c r="H2773" s="7" t="str">
        <f>HYPERLINK("http://www.ensembl.org/Mus_musculus/Gene/Summary?db=core;g=ENSMUSG00000032834","ENSMUSG00000032834")</f>
        <v>ENSMUSG00000032834</v>
      </c>
      <c r="I2773" s="7" t="str">
        <f>HYPERLINK("http://www.informatics.jax.org/marker/MGI:1341200","MGI:1341200")</f>
        <v>MGI:1341200</v>
      </c>
      <c r="J2773" s="4" t="s">
        <v>12</v>
      </c>
    </row>
    <row r="2774" spans="1:10" x14ac:dyDescent="0.25">
      <c r="A2774" s="2">
        <v>1406.13528209073</v>
      </c>
      <c r="B2774" s="3">
        <v>0.22877098555934999</v>
      </c>
      <c r="C2774" s="3">
        <v>0.24629269224838499</v>
      </c>
      <c r="D2774" s="4">
        <v>0.41052536274252999</v>
      </c>
      <c r="E2774" s="3" t="s">
        <v>8535</v>
      </c>
      <c r="F2774" s="3" t="s">
        <v>8536</v>
      </c>
      <c r="G2774" s="3">
        <v>11988</v>
      </c>
      <c r="H2774" s="7" t="str">
        <f>HYPERLINK("http://www.ensembl.org/Mus_musculus/Gene/Summary?db=core;g=ENSMUSG00000031596","ENSMUSG00000031596")</f>
        <v>ENSMUSG00000031596</v>
      </c>
      <c r="I2774" s="7" t="str">
        <f>HYPERLINK("http://www.informatics.jax.org/marker/MGI:99828","MGI:99828")</f>
        <v>MGI:99828</v>
      </c>
      <c r="J2774" s="4" t="s">
        <v>12</v>
      </c>
    </row>
    <row r="2775" spans="1:10" x14ac:dyDescent="0.25">
      <c r="A2775" s="2">
        <v>188.62858791776</v>
      </c>
      <c r="B2775" s="3">
        <v>0.22868241886392701</v>
      </c>
      <c r="C2775" s="3">
        <v>0.18708879972436401</v>
      </c>
      <c r="D2775" s="4">
        <v>0.33434684863864</v>
      </c>
      <c r="E2775" s="3" t="s">
        <v>13181</v>
      </c>
      <c r="F2775" s="3" t="s">
        <v>13182</v>
      </c>
      <c r="G2775" s="3">
        <v>383295</v>
      </c>
      <c r="H2775" s="7" t="str">
        <f>HYPERLINK("http://www.ensembl.org/Mus_musculus/Gene/Summary?db=core;g=ENSMUSG00000039770","ENSMUSG00000039770")</f>
        <v>ENSMUSG00000039770</v>
      </c>
      <c r="I2775" s="7" t="str">
        <f>HYPERLINK("http://www.informatics.jax.org/marker/MGI:1916937","MGI:1916937")</f>
        <v>MGI:1916937</v>
      </c>
      <c r="J2775" s="4" t="s">
        <v>12</v>
      </c>
    </row>
    <row r="2776" spans="1:10" x14ac:dyDescent="0.25">
      <c r="A2776" s="2">
        <v>8333.2839806051106</v>
      </c>
      <c r="B2776" s="3">
        <v>0.228674270975285</v>
      </c>
      <c r="C2776" s="3">
        <v>2.05866823752023E-4</v>
      </c>
      <c r="D2776" s="4">
        <v>8.16167688248992E-4</v>
      </c>
      <c r="E2776" s="3" t="s">
        <v>7784</v>
      </c>
      <c r="F2776" s="3" t="s">
        <v>7785</v>
      </c>
      <c r="G2776" s="3">
        <v>217869</v>
      </c>
      <c r="H2776" s="7" t="str">
        <f>HYPERLINK("http://www.ensembl.org/Mus_musculus/Gene/Summary?db=core;g=ENSMUSG00000021282","ENSMUSG00000021282")</f>
        <v>ENSMUSG00000021282</v>
      </c>
      <c r="I2776" s="7" t="str">
        <f>HYPERLINK("http://www.informatics.jax.org/marker/MGI:95309","MGI:95309")</f>
        <v>MGI:95309</v>
      </c>
      <c r="J2776" s="4" t="s">
        <v>12</v>
      </c>
    </row>
    <row r="2777" spans="1:10" x14ac:dyDescent="0.25">
      <c r="A2777" s="2">
        <v>7162.81467125782</v>
      </c>
      <c r="B2777" s="3">
        <v>0.22856744412296201</v>
      </c>
      <c r="C2777" s="3">
        <v>1.4890589879481701E-4</v>
      </c>
      <c r="D2777" s="4">
        <v>6.0387405552637897E-4</v>
      </c>
      <c r="E2777" s="3" t="s">
        <v>9683</v>
      </c>
      <c r="F2777" s="3" t="s">
        <v>9684</v>
      </c>
      <c r="G2777" s="3">
        <v>110954</v>
      </c>
      <c r="H2777" s="7" t="str">
        <f>HYPERLINK("http://www.ensembl.org/Mus_musculus/Gene/Summary?db=core;g=ENSMUSG00000008682","ENSMUSG00000008682")</f>
        <v>ENSMUSG00000008682</v>
      </c>
      <c r="I2777" s="7" t="str">
        <f>HYPERLINK("http://www.informatics.jax.org/marker/MGI:105943","MGI:105943")</f>
        <v>MGI:105943</v>
      </c>
      <c r="J2777" s="4" t="s">
        <v>12</v>
      </c>
    </row>
    <row r="2778" spans="1:10" x14ac:dyDescent="0.25">
      <c r="A2778" s="2">
        <v>328.14304738079801</v>
      </c>
      <c r="B2778" s="3">
        <v>0.22851218521863001</v>
      </c>
      <c r="C2778" s="3">
        <v>3.8134120856926697E-2</v>
      </c>
      <c r="D2778" s="4">
        <v>9.0659320717126304E-2</v>
      </c>
      <c r="E2778" s="3" t="s">
        <v>12181</v>
      </c>
      <c r="F2778" s="3" t="s">
        <v>12182</v>
      </c>
      <c r="G2778" s="3">
        <v>72205</v>
      </c>
      <c r="H2778" s="7" t="str">
        <f>HYPERLINK("http://www.ensembl.org/Mus_musculus/Gene/Summary?db=core;g=ENSMUSG00000040811","ENSMUSG00000040811")</f>
        <v>ENSMUSG00000040811</v>
      </c>
      <c r="I2778" s="7" t="str">
        <f>HYPERLINK("http://www.informatics.jax.org/marker/MGI:1919455","MGI:1919455")</f>
        <v>MGI:1919455</v>
      </c>
      <c r="J2778" s="4" t="s">
        <v>12</v>
      </c>
    </row>
    <row r="2779" spans="1:10" x14ac:dyDescent="0.25">
      <c r="A2779" s="2">
        <v>3051.6132359787998</v>
      </c>
      <c r="B2779" s="3">
        <v>0.22842655738432899</v>
      </c>
      <c r="C2779" s="3">
        <v>3.1936358372389598E-3</v>
      </c>
      <c r="D2779" s="4">
        <v>1.0057717838894101E-2</v>
      </c>
      <c r="E2779" s="3" t="s">
        <v>13899</v>
      </c>
      <c r="F2779" s="3" t="s">
        <v>13900</v>
      </c>
      <c r="G2779" s="3">
        <v>59015</v>
      </c>
      <c r="H2779" s="7" t="str">
        <f>HYPERLINK("http://www.ensembl.org/Mus_musculus/Gene/Summary?db=core;g=ENSMUSG00000051329","ENSMUSG00000051329")</f>
        <v>ENSMUSG00000051329</v>
      </c>
      <c r="I2779" s="7" t="str">
        <f>HYPERLINK("http://www.informatics.jax.org/marker/MGI:1926227","MGI:1926227")</f>
        <v>MGI:1926227</v>
      </c>
      <c r="J2779" s="4" t="s">
        <v>12</v>
      </c>
    </row>
    <row r="2780" spans="1:10" x14ac:dyDescent="0.25">
      <c r="A2780" s="2">
        <v>738.47312017699005</v>
      </c>
      <c r="B2780" s="3">
        <v>0.228045892687016</v>
      </c>
      <c r="C2780" s="5">
        <v>5.5585491163332801E-5</v>
      </c>
      <c r="D2780" s="4">
        <v>2.4229743517142799E-4</v>
      </c>
      <c r="E2780" s="3" t="s">
        <v>7658</v>
      </c>
      <c r="F2780" s="3" t="s">
        <v>7659</v>
      </c>
      <c r="G2780" s="3">
        <v>225339</v>
      </c>
      <c r="H2780" s="7" t="str">
        <f>HYPERLINK("http://www.ensembl.org/Mus_musculus/Gene/Summary?db=core;g=ENSMUSG00000041915","ENSMUSG00000041915")</f>
        <v>ENSMUSG00000041915</v>
      </c>
      <c r="I2780" s="7" t="str">
        <f>HYPERLINK("http://www.informatics.jax.org/marker/MGI:2442711","MGI:2442711")</f>
        <v>MGI:2442711</v>
      </c>
      <c r="J2780" s="4" t="s">
        <v>12</v>
      </c>
    </row>
    <row r="2781" spans="1:10" x14ac:dyDescent="0.25">
      <c r="A2781" s="2">
        <v>1558.26281313355</v>
      </c>
      <c r="B2781" s="3">
        <v>0.22761755568164399</v>
      </c>
      <c r="C2781" s="3">
        <v>2.82727488029686E-3</v>
      </c>
      <c r="D2781" s="4">
        <v>9.0319166859614795E-3</v>
      </c>
      <c r="E2781" s="3" t="s">
        <v>6944</v>
      </c>
      <c r="F2781" s="3" t="s">
        <v>6945</v>
      </c>
      <c r="G2781" s="3" t="s">
        <v>83</v>
      </c>
      <c r="H2781" s="7" t="str">
        <f>HYPERLINK("http://www.ensembl.org/Mus_musculus/Gene/Summary?db=core;g=ENSMUSG00000083161","ENSMUSG00000083161")</f>
        <v>ENSMUSG00000083161</v>
      </c>
      <c r="I2781" s="7" t="str">
        <f>HYPERLINK("http://www.informatics.jax.org/marker/MGI:3651774","MGI:3651774")</f>
        <v>MGI:3651774</v>
      </c>
      <c r="J2781" s="4" t="s">
        <v>320</v>
      </c>
    </row>
    <row r="2782" spans="1:10" x14ac:dyDescent="0.25">
      <c r="A2782" s="2">
        <v>1912.65663840056</v>
      </c>
      <c r="B2782" s="3">
        <v>0.227572045263051</v>
      </c>
      <c r="C2782" s="5">
        <v>7.3811530876894002E-7</v>
      </c>
      <c r="D2782" s="6">
        <v>4.1570307485518897E-6</v>
      </c>
      <c r="E2782" s="3" t="s">
        <v>6818</v>
      </c>
      <c r="F2782" s="3" t="s">
        <v>6819</v>
      </c>
      <c r="G2782" s="3">
        <v>216877</v>
      </c>
      <c r="H2782" s="7" t="str">
        <f>HYPERLINK("http://www.ensembl.org/Mus_musculus/Gene/Summary?db=core;g=ENSMUSG00000040620","ENSMUSG00000040620")</f>
        <v>ENSMUSG00000040620</v>
      </c>
      <c r="I2782" s="7" t="str">
        <f>HYPERLINK("http://www.informatics.jax.org/marker/MGI:2445102","MGI:2445102")</f>
        <v>MGI:2445102</v>
      </c>
      <c r="J2782" s="4" t="s">
        <v>12</v>
      </c>
    </row>
    <row r="2783" spans="1:10" x14ac:dyDescent="0.25">
      <c r="A2783" s="2">
        <v>876.41538866571</v>
      </c>
      <c r="B2783" s="3">
        <v>0.227533929529805</v>
      </c>
      <c r="C2783" s="5">
        <v>1.93046373847405E-6</v>
      </c>
      <c r="D2783" s="6">
        <v>1.03692017782757E-5</v>
      </c>
      <c r="E2783" s="3" t="s">
        <v>4531</v>
      </c>
      <c r="F2783" s="3" t="s">
        <v>4532</v>
      </c>
      <c r="G2783" s="3">
        <v>74112</v>
      </c>
      <c r="H2783" s="7" t="str">
        <f>HYPERLINK("http://www.ensembl.org/Mus_musculus/Gene/Summary?db=core;g=ENSMUSG00000025616","ENSMUSG00000025616")</f>
        <v>ENSMUSG00000025616</v>
      </c>
      <c r="I2783" s="7" t="str">
        <f>HYPERLINK("http://www.informatics.jax.org/marker/MGI:1921362","MGI:1921362")</f>
        <v>MGI:1921362</v>
      </c>
      <c r="J2783" s="4" t="s">
        <v>12</v>
      </c>
    </row>
    <row r="2784" spans="1:10" x14ac:dyDescent="0.25">
      <c r="A2784" s="2">
        <v>409.18524508350498</v>
      </c>
      <c r="B2784" s="3">
        <v>0.227450179171653</v>
      </c>
      <c r="C2784" s="3">
        <v>1.2762745221575901E-2</v>
      </c>
      <c r="D2784" s="4">
        <v>3.4815301850504403E-2</v>
      </c>
      <c r="E2784" s="3" t="s">
        <v>11983</v>
      </c>
      <c r="F2784" s="3" t="s">
        <v>11984</v>
      </c>
      <c r="G2784" s="3">
        <v>74245</v>
      </c>
      <c r="H2784" s="7" t="str">
        <f>HYPERLINK("http://www.ensembl.org/Mus_musculus/Gene/Summary?db=core;g=ENSMUSG00000028189","ENSMUSG00000028189")</f>
        <v>ENSMUSG00000028189</v>
      </c>
      <c r="I2784" s="7" t="str">
        <f>HYPERLINK("http://www.informatics.jax.org/marker/MGI:1921495","MGI:1921495")</f>
        <v>MGI:1921495</v>
      </c>
      <c r="J2784" s="4" t="s">
        <v>12</v>
      </c>
    </row>
    <row r="2785" spans="1:10" x14ac:dyDescent="0.25">
      <c r="A2785" s="2">
        <v>660.88478034217803</v>
      </c>
      <c r="B2785" s="3">
        <v>0.22742707305686899</v>
      </c>
      <c r="C2785" s="3">
        <v>3.3399513342990701E-3</v>
      </c>
      <c r="D2785" s="4">
        <v>1.0482282257206901E-2</v>
      </c>
      <c r="E2785" s="3" t="s">
        <v>13559</v>
      </c>
      <c r="F2785" s="3" t="s">
        <v>13560</v>
      </c>
      <c r="G2785" s="3">
        <v>17299</v>
      </c>
      <c r="H2785" s="7" t="str">
        <f>HYPERLINK("http://www.ensembl.org/Mus_musculus/Gene/Summary?db=core;g=ENSMUSG00000006732","ENSMUSG00000006732")</f>
        <v>ENSMUSG00000006732</v>
      </c>
      <c r="I2785" s="7" t="str">
        <f>HYPERLINK("http://www.informatics.jax.org/marker/MGI:1339986","MGI:1339986")</f>
        <v>MGI:1339986</v>
      </c>
      <c r="J2785" s="4" t="s">
        <v>12</v>
      </c>
    </row>
    <row r="2786" spans="1:10" x14ac:dyDescent="0.25">
      <c r="A2786" s="2">
        <v>3127.4829509903702</v>
      </c>
      <c r="B2786" s="3">
        <v>0.227196046750688</v>
      </c>
      <c r="C2786" s="3">
        <v>5.7238012928804299E-4</v>
      </c>
      <c r="D2786" s="4">
        <v>2.1061231286643601E-3</v>
      </c>
      <c r="E2786" s="3" t="s">
        <v>5463</v>
      </c>
      <c r="F2786" s="3" t="s">
        <v>5464</v>
      </c>
      <c r="G2786" s="3">
        <v>212999</v>
      </c>
      <c r="H2786" s="7" t="str">
        <f>HYPERLINK("http://www.ensembl.org/Mus_musculus/Gene/Summary?db=core;g=ENSMUSG00000031691","ENSMUSG00000031691")</f>
        <v>ENSMUSG00000031691</v>
      </c>
      <c r="I2786" s="7" t="str">
        <f>HYPERLINK("http://www.informatics.jax.org/marker/MGI:2384849","MGI:2384849")</f>
        <v>MGI:2384849</v>
      </c>
      <c r="J2786" s="4" t="s">
        <v>12</v>
      </c>
    </row>
    <row r="2787" spans="1:10" x14ac:dyDescent="0.25">
      <c r="A2787" s="2">
        <v>1084.9907783426199</v>
      </c>
      <c r="B2787" s="3">
        <v>0.22683478364416801</v>
      </c>
      <c r="C2787" s="5">
        <v>2.7596548299402E-5</v>
      </c>
      <c r="D2787" s="4">
        <v>1.2630514634771501E-4</v>
      </c>
      <c r="E2787" s="3" t="s">
        <v>5963</v>
      </c>
      <c r="F2787" s="3" t="s">
        <v>5964</v>
      </c>
      <c r="G2787" s="3">
        <v>59028</v>
      </c>
      <c r="H2787" s="7" t="str">
        <f>HYPERLINK("http://www.ensembl.org/Mus_musculus/Gene/Summary?db=core;g=ENSMUSG00000024785","ENSMUSG00000024785")</f>
        <v>ENSMUSG00000024785</v>
      </c>
      <c r="I2787" s="7" t="str">
        <f>HYPERLINK("http://www.informatics.jax.org/marker/MGI:1913275","MGI:1913275")</f>
        <v>MGI:1913275</v>
      </c>
      <c r="J2787" s="4" t="s">
        <v>12</v>
      </c>
    </row>
    <row r="2788" spans="1:10" x14ac:dyDescent="0.25">
      <c r="A2788" s="2">
        <v>309.032148658366</v>
      </c>
      <c r="B2788" s="3">
        <v>0.22681962779994799</v>
      </c>
      <c r="C2788" s="3">
        <v>8.3830012502312604E-3</v>
      </c>
      <c r="D2788" s="4">
        <v>2.3976804423330899E-2</v>
      </c>
      <c r="E2788" s="3" t="s">
        <v>9601</v>
      </c>
      <c r="F2788" s="3" t="s">
        <v>9602</v>
      </c>
      <c r="G2788" s="3">
        <v>66309</v>
      </c>
      <c r="H2788" s="7" t="str">
        <f>HYPERLINK("http://www.ensembl.org/Mus_musculus/Gene/Summary?db=core;g=ENSMUSG00000067365","ENSMUSG00000067365")</f>
        <v>ENSMUSG00000067365</v>
      </c>
      <c r="I2788" s="7" t="str">
        <f>HYPERLINK("http://www.informatics.jax.org/marker/MGI:1913559","MGI:1913559")</f>
        <v>MGI:1913559</v>
      </c>
      <c r="J2788" s="4" t="s">
        <v>12</v>
      </c>
    </row>
    <row r="2789" spans="1:10" x14ac:dyDescent="0.25">
      <c r="A2789" s="2">
        <v>2538.6032516669502</v>
      </c>
      <c r="B2789" s="3">
        <v>0.22636753429704001</v>
      </c>
      <c r="C2789" s="5">
        <v>3.4297527285485299E-6</v>
      </c>
      <c r="D2789" s="6">
        <v>1.78745334508999E-5</v>
      </c>
      <c r="E2789" s="3" t="s">
        <v>5511</v>
      </c>
      <c r="F2789" s="3" t="s">
        <v>5512</v>
      </c>
      <c r="G2789" s="3">
        <v>26905</v>
      </c>
      <c r="H2789" s="7" t="str">
        <f>HYPERLINK("http://www.ensembl.org/Mus_musculus/Gene/Summary?db=core;g=ENSMUSG00000035150","ENSMUSG00000035150")</f>
        <v>ENSMUSG00000035150</v>
      </c>
      <c r="I2789" s="7" t="str">
        <f>HYPERLINK("http://www.informatics.jax.org/marker/MGI:1349431","MGI:1349431")</f>
        <v>MGI:1349431</v>
      </c>
      <c r="J2789" s="4" t="s">
        <v>12</v>
      </c>
    </row>
    <row r="2790" spans="1:10" x14ac:dyDescent="0.25">
      <c r="A2790" s="2">
        <v>12860.562471941101</v>
      </c>
      <c r="B2790" s="3">
        <v>0.226084746217112</v>
      </c>
      <c r="C2790" s="5">
        <v>3.0324572060922002E-8</v>
      </c>
      <c r="D2790" s="6">
        <v>2.0067731510904299E-7</v>
      </c>
      <c r="E2790" s="3" t="s">
        <v>10654</v>
      </c>
      <c r="F2790" s="3" t="s">
        <v>10655</v>
      </c>
      <c r="G2790" s="3">
        <v>12387</v>
      </c>
      <c r="H2790" s="7" t="str">
        <f>HYPERLINK("http://www.ensembl.org/Mus_musculus/Gene/Summary?db=core;g=ENSMUSG00000006932","ENSMUSG00000006932")</f>
        <v>ENSMUSG00000006932</v>
      </c>
      <c r="I2790" s="7" t="str">
        <f>HYPERLINK("http://www.informatics.jax.org/marker/MGI:88276","MGI:88276")</f>
        <v>MGI:88276</v>
      </c>
      <c r="J2790" s="4" t="s">
        <v>12</v>
      </c>
    </row>
    <row r="2791" spans="1:10" x14ac:dyDescent="0.25">
      <c r="A2791" s="2">
        <v>6382.4890038886597</v>
      </c>
      <c r="B2791" s="3">
        <v>0.22607802610323599</v>
      </c>
      <c r="C2791" s="5">
        <v>3.2342133921008101E-7</v>
      </c>
      <c r="D2791" s="6">
        <v>1.9131301223965399E-6</v>
      </c>
      <c r="E2791" s="3" t="s">
        <v>4787</v>
      </c>
      <c r="F2791" s="3" t="s">
        <v>4788</v>
      </c>
      <c r="G2791" s="3">
        <v>233726</v>
      </c>
      <c r="H2791" s="7" t="str">
        <f>HYPERLINK("http://www.ensembl.org/Mus_musculus/Gene/Summary?db=core;g=ENSMUSG00000066232","ENSMUSG00000066232")</f>
        <v>ENSMUSG00000066232</v>
      </c>
      <c r="I2791" s="7" t="str">
        <f>HYPERLINK("http://www.informatics.jax.org/marker/MGI:2152414","MGI:2152414")</f>
        <v>MGI:2152414</v>
      </c>
      <c r="J2791" s="4" t="s">
        <v>12</v>
      </c>
    </row>
    <row r="2792" spans="1:10" x14ac:dyDescent="0.25">
      <c r="A2792" s="2">
        <v>2326.8966182229701</v>
      </c>
      <c r="B2792" s="3">
        <v>0.22589309788453801</v>
      </c>
      <c r="C2792" s="3">
        <v>2.1646725431591499E-3</v>
      </c>
      <c r="D2792" s="4">
        <v>7.1108790733733704E-3</v>
      </c>
      <c r="E2792" s="3" t="s">
        <v>7126</v>
      </c>
      <c r="F2792" s="3" t="s">
        <v>7127</v>
      </c>
      <c r="G2792" s="3">
        <v>226652</v>
      </c>
      <c r="H2792" s="7" t="str">
        <f>HYPERLINK("http://www.ensembl.org/Mus_musculus/Gene/Summary?db=core;g=ENSMUSG00000048865","ENSMUSG00000048865")</f>
        <v>ENSMUSG00000048865</v>
      </c>
      <c r="I2792" s="7" t="str">
        <f>HYPERLINK("http://www.informatics.jax.org/marker/MGI:2684948","MGI:2684948")</f>
        <v>MGI:2684948</v>
      </c>
      <c r="J2792" s="4" t="s">
        <v>12</v>
      </c>
    </row>
    <row r="2793" spans="1:10" x14ac:dyDescent="0.25">
      <c r="A2793" s="2">
        <v>601.37427554406395</v>
      </c>
      <c r="B2793" s="3">
        <v>0.22588293602384801</v>
      </c>
      <c r="C2793" s="5">
        <v>2.87771080538408E-5</v>
      </c>
      <c r="D2793" s="4">
        <v>1.3127979831821E-4</v>
      </c>
      <c r="E2793" s="3" t="s">
        <v>10212</v>
      </c>
      <c r="F2793" s="3" t="s">
        <v>10213</v>
      </c>
      <c r="G2793" s="3">
        <v>67889</v>
      </c>
      <c r="H2793" s="7" t="str">
        <f>HYPERLINK("http://www.ensembl.org/Mus_musculus/Gene/Summary?db=core;g=ENSMUSG00000026889","ENSMUSG00000026889")</f>
        <v>ENSMUSG00000026889</v>
      </c>
      <c r="I2793" s="7" t="str">
        <f>HYPERLINK("http://www.informatics.jax.org/marker/MGI:1915139","MGI:1915139")</f>
        <v>MGI:1915139</v>
      </c>
      <c r="J2793" s="4" t="s">
        <v>12</v>
      </c>
    </row>
    <row r="2794" spans="1:10" x14ac:dyDescent="0.25">
      <c r="A2794" s="2">
        <v>965.09192871394396</v>
      </c>
      <c r="B2794" s="3">
        <v>0.22586959534103401</v>
      </c>
      <c r="C2794" s="3">
        <v>2.8463380726093598E-3</v>
      </c>
      <c r="D2794" s="4">
        <v>9.0848531301761203E-3</v>
      </c>
      <c r="E2794" s="3" t="s">
        <v>12199</v>
      </c>
      <c r="F2794" s="3" t="s">
        <v>12200</v>
      </c>
      <c r="G2794" s="3">
        <v>76479</v>
      </c>
      <c r="H2794" s="7" t="str">
        <f>HYPERLINK("http://www.ensembl.org/Mus_musculus/Gene/Summary?db=core;g=ENSMUSG00000025024","ENSMUSG00000025024")</f>
        <v>ENSMUSG00000025024</v>
      </c>
      <c r="I2794" s="7" t="str">
        <f>HYPERLINK("http://www.informatics.jax.org/marker/MGI:1923729","MGI:1923729")</f>
        <v>MGI:1923729</v>
      </c>
      <c r="J2794" s="4" t="s">
        <v>12</v>
      </c>
    </row>
    <row r="2795" spans="1:10" x14ac:dyDescent="0.25">
      <c r="A2795" s="2">
        <v>953.56552164828804</v>
      </c>
      <c r="B2795" s="3">
        <v>0.225633171762777</v>
      </c>
      <c r="C2795" s="5">
        <v>1.35266896252473E-6</v>
      </c>
      <c r="D2795" s="6">
        <v>7.4187155708736799E-6</v>
      </c>
      <c r="E2795" s="3" t="s">
        <v>8861</v>
      </c>
      <c r="F2795" s="3" t="s">
        <v>8862</v>
      </c>
      <c r="G2795" s="3">
        <v>72612</v>
      </c>
      <c r="H2795" s="7" t="str">
        <f>HYPERLINK("http://www.ensembl.org/Mus_musculus/Gene/Summary?db=core;g=ENSMUSG00000038005","ENSMUSG00000038005")</f>
        <v>ENSMUSG00000038005</v>
      </c>
      <c r="I2795" s="7" t="str">
        <f>HYPERLINK("http://www.informatics.jax.org/marker/MGI:1919862","MGI:1919862")</f>
        <v>MGI:1919862</v>
      </c>
      <c r="J2795" s="4" t="s">
        <v>12</v>
      </c>
    </row>
    <row r="2796" spans="1:10" x14ac:dyDescent="0.25">
      <c r="A2796" s="2">
        <v>142.91194524468801</v>
      </c>
      <c r="B2796" s="3">
        <v>0.22550553482004301</v>
      </c>
      <c r="C2796" s="3">
        <v>2.9280216880302499E-2</v>
      </c>
      <c r="D2796" s="4">
        <v>7.2036075907323305E-2</v>
      </c>
      <c r="E2796" s="3" t="s">
        <v>11981</v>
      </c>
      <c r="F2796" s="3" t="s">
        <v>11982</v>
      </c>
      <c r="G2796" s="3">
        <v>234362</v>
      </c>
      <c r="H2796" s="7" t="str">
        <f>HYPERLINK("http://www.ensembl.org/Mus_musculus/Gene/Summary?db=core;g=ENSMUSG00000060427","ENSMUSG00000060427")</f>
        <v>ENSMUSG00000060427</v>
      </c>
      <c r="I2796" s="7" t="str">
        <f>HYPERLINK("http://www.informatics.jax.org/marker/MGI:2142546","MGI:2142546")</f>
        <v>MGI:2142546</v>
      </c>
      <c r="J2796" s="4" t="s">
        <v>12</v>
      </c>
    </row>
    <row r="2797" spans="1:10" x14ac:dyDescent="0.25">
      <c r="A2797" s="2">
        <v>1054.4181271243201</v>
      </c>
      <c r="B2797" s="3">
        <v>0.22538305911941101</v>
      </c>
      <c r="C2797" s="5">
        <v>5.4277710389104898E-7</v>
      </c>
      <c r="D2797" s="6">
        <v>3.1077953875005901E-6</v>
      </c>
      <c r="E2797" s="3" t="s">
        <v>10468</v>
      </c>
      <c r="F2797" s="3" t="s">
        <v>10469</v>
      </c>
      <c r="G2797" s="3">
        <v>215015</v>
      </c>
      <c r="H2797" s="7" t="str">
        <f>HYPERLINK("http://www.ensembl.org/Mus_musculus/Gene/Summary?db=core;g=ENSMUSG00000033557","ENSMUSG00000033557")</f>
        <v>ENSMUSG00000033557</v>
      </c>
      <c r="I2797" s="7" t="str">
        <f>HYPERLINK("http://www.informatics.jax.org/marker/MGI:2443990","MGI:2443990")</f>
        <v>MGI:2443990</v>
      </c>
      <c r="J2797" s="4" t="s">
        <v>12</v>
      </c>
    </row>
    <row r="2798" spans="1:10" x14ac:dyDescent="0.25">
      <c r="A2798" s="2">
        <v>1519.6487280409401</v>
      </c>
      <c r="B2798" s="3">
        <v>0.225301168258986</v>
      </c>
      <c r="C2798" s="5">
        <v>1.6821697733042401E-5</v>
      </c>
      <c r="D2798" s="6">
        <v>7.9506079145409201E-5</v>
      </c>
      <c r="E2798" s="3" t="s">
        <v>4853</v>
      </c>
      <c r="F2798" s="3" t="s">
        <v>4854</v>
      </c>
      <c r="G2798" s="3">
        <v>386649</v>
      </c>
      <c r="H2798" s="7" t="str">
        <f>HYPERLINK("http://www.ensembl.org/Mus_musculus/Gene/Summary?db=core;g=ENSMUSG00000027455","ENSMUSG00000027455")</f>
        <v>ENSMUSG00000027455</v>
      </c>
      <c r="I2798" s="7" t="str">
        <f>HYPERLINK("http://www.informatics.jax.org/marker/MGI:3042273","MGI:3042273")</f>
        <v>MGI:3042273</v>
      </c>
      <c r="J2798" s="4" t="s">
        <v>12</v>
      </c>
    </row>
    <row r="2799" spans="1:10" x14ac:dyDescent="0.25">
      <c r="A2799" s="2">
        <v>7149.8156919384401</v>
      </c>
      <c r="B2799" s="3">
        <v>0.22509292385281801</v>
      </c>
      <c r="C2799" s="5">
        <v>5.7435402722410898E-11</v>
      </c>
      <c r="D2799" s="6">
        <v>5.0180259569316303E-10</v>
      </c>
      <c r="E2799" s="3" t="s">
        <v>5893</v>
      </c>
      <c r="F2799" s="3" t="s">
        <v>5894</v>
      </c>
      <c r="G2799" s="3">
        <v>22201</v>
      </c>
      <c r="H2799" s="7" t="str">
        <f>HYPERLINK("http://www.ensembl.org/Mus_musculus/Gene/Summary?db=core;g=ENSMUSG00000001924","ENSMUSG00000001924")</f>
        <v>ENSMUSG00000001924</v>
      </c>
      <c r="I2799" s="7" t="str">
        <f>HYPERLINK("http://www.informatics.jax.org/marker/MGI:98890","MGI:98890")</f>
        <v>MGI:98890</v>
      </c>
      <c r="J2799" s="4" t="s">
        <v>12</v>
      </c>
    </row>
    <row r="2800" spans="1:10" x14ac:dyDescent="0.25">
      <c r="A2800" s="2">
        <v>1033.16569909746</v>
      </c>
      <c r="B2800" s="3">
        <v>0.224948779284384</v>
      </c>
      <c r="C2800" s="5">
        <v>2.5726099672907701E-5</v>
      </c>
      <c r="D2800" s="4">
        <v>1.18249222330074E-4</v>
      </c>
      <c r="E2800" s="3" t="s">
        <v>9169</v>
      </c>
      <c r="F2800" s="3" t="s">
        <v>9170</v>
      </c>
      <c r="G2800" s="3">
        <v>71974</v>
      </c>
      <c r="H2800" s="7" t="str">
        <f>HYPERLINK("http://www.ensembl.org/Mus_musculus/Gene/Summary?db=core;g=ENSMUSG00000030505","ENSMUSG00000030505")</f>
        <v>ENSMUSG00000030505</v>
      </c>
      <c r="I2800" s="7" t="str">
        <f>HYPERLINK("http://www.informatics.jax.org/marker/MGI:1919224","MGI:1919224")</f>
        <v>MGI:1919224</v>
      </c>
      <c r="J2800" s="4" t="s">
        <v>12</v>
      </c>
    </row>
    <row r="2801" spans="1:10" x14ac:dyDescent="0.25">
      <c r="A2801" s="2">
        <v>682.67971835054402</v>
      </c>
      <c r="B2801" s="3">
        <v>0.22486292441754399</v>
      </c>
      <c r="C2801" s="3">
        <v>8.3263931453515003E-2</v>
      </c>
      <c r="D2801" s="4">
        <v>0.17516855024129199</v>
      </c>
      <c r="E2801" s="3" t="s">
        <v>10978</v>
      </c>
      <c r="F2801" s="3" t="s">
        <v>10979</v>
      </c>
      <c r="G2801" s="3">
        <v>209630</v>
      </c>
      <c r="H2801" s="7" t="str">
        <f>HYPERLINK("http://www.ensembl.org/Mus_musculus/Gene/Summary?db=core;g=ENSMUSG00000026657","ENSMUSG00000026657")</f>
        <v>ENSMUSG00000026657</v>
      </c>
      <c r="I2801" s="7" t="str">
        <f>HYPERLINK("http://www.informatics.jax.org/marker/MGI:1919850","MGI:1919850")</f>
        <v>MGI:1919850</v>
      </c>
      <c r="J2801" s="4" t="s">
        <v>12</v>
      </c>
    </row>
    <row r="2802" spans="1:10" x14ac:dyDescent="0.25">
      <c r="A2802" s="2">
        <v>593.09760721283806</v>
      </c>
      <c r="B2802" s="3">
        <v>0.22474182895381101</v>
      </c>
      <c r="C2802" s="3">
        <v>8.9958028190800701E-3</v>
      </c>
      <c r="D2802" s="4">
        <v>2.55291975050972E-2</v>
      </c>
      <c r="E2802" s="3" t="s">
        <v>11855</v>
      </c>
      <c r="F2802" s="3" t="s">
        <v>11856</v>
      </c>
      <c r="G2802" s="3">
        <v>381201</v>
      </c>
      <c r="H2802" s="7" t="str">
        <f>HYPERLINK("http://www.ensembl.org/Mus_musculus/Gene/Summary?db=core;g=ENSMUSG00000049562","ENSMUSG00000049562")</f>
        <v>ENSMUSG00000049562</v>
      </c>
      <c r="I2802" s="7" t="str">
        <f>HYPERLINK("http://www.informatics.jax.org/marker/MGI:2685808","MGI:2685808")</f>
        <v>MGI:2685808</v>
      </c>
      <c r="J2802" s="4" t="s">
        <v>12</v>
      </c>
    </row>
    <row r="2803" spans="1:10" x14ac:dyDescent="0.25">
      <c r="A2803" s="2">
        <v>1380.5306603927299</v>
      </c>
      <c r="B2803" s="3">
        <v>0.224321065318378</v>
      </c>
      <c r="C2803" s="3">
        <v>2.31389022037442E-4</v>
      </c>
      <c r="D2803" s="4">
        <v>9.0901691432321405E-4</v>
      </c>
      <c r="E2803" s="3" t="s">
        <v>7288</v>
      </c>
      <c r="F2803" s="3" t="s">
        <v>7289</v>
      </c>
      <c r="G2803" s="3">
        <v>72554</v>
      </c>
      <c r="H2803" s="7" t="str">
        <f>HYPERLINK("http://www.ensembl.org/Mus_musculus/Gene/Summary?db=core;g=ENSMUSG00000063785","ENSMUSG00000063785")</f>
        <v>ENSMUSG00000063785</v>
      </c>
      <c r="I2803" s="7" t="str">
        <f>HYPERLINK("http://www.informatics.jax.org/marker/MGI:1919804","MGI:1919804")</f>
        <v>MGI:1919804</v>
      </c>
      <c r="J2803" s="4" t="s">
        <v>12</v>
      </c>
    </row>
    <row r="2804" spans="1:10" x14ac:dyDescent="0.25">
      <c r="A2804" s="2">
        <v>5041.7487610155604</v>
      </c>
      <c r="B2804" s="3">
        <v>0.22421989273121101</v>
      </c>
      <c r="C2804" s="5">
        <v>7.3122733581885296E-10</v>
      </c>
      <c r="D2804" s="6">
        <v>5.79166370938661E-9</v>
      </c>
      <c r="E2804" s="3" t="s">
        <v>5897</v>
      </c>
      <c r="F2804" s="3" t="s">
        <v>5898</v>
      </c>
      <c r="G2804" s="3">
        <v>51792</v>
      </c>
      <c r="H2804" s="7" t="str">
        <f>HYPERLINK("http://www.ensembl.org/Mus_musculus/Gene/Summary?db=core;g=ENSMUSG00000007564","ENSMUSG00000007564")</f>
        <v>ENSMUSG00000007564</v>
      </c>
      <c r="I2804" s="7" t="str">
        <f>HYPERLINK("http://www.informatics.jax.org/marker/MGI:1926334","MGI:1926334")</f>
        <v>MGI:1926334</v>
      </c>
      <c r="J2804" s="4" t="s">
        <v>12</v>
      </c>
    </row>
    <row r="2805" spans="1:10" x14ac:dyDescent="0.25">
      <c r="A2805" s="2">
        <v>1839.60529040301</v>
      </c>
      <c r="B2805" s="3">
        <v>0.22413263608222</v>
      </c>
      <c r="C2805" s="5">
        <v>6.5010189284068606E-5</v>
      </c>
      <c r="D2805" s="4">
        <v>2.7956835764562297E-4</v>
      </c>
      <c r="E2805" s="3" t="s">
        <v>8015</v>
      </c>
      <c r="F2805" s="3" t="s">
        <v>8016</v>
      </c>
      <c r="G2805" s="3">
        <v>69072</v>
      </c>
      <c r="H2805" s="7" t="str">
        <f>HYPERLINK("http://www.ensembl.org/Mus_musculus/Gene/Summary?db=core;g=ENSMUSG00000028729","ENSMUSG00000028729")</f>
        <v>ENSMUSG00000028729</v>
      </c>
      <c r="I2805" s="7" t="str">
        <f>HYPERLINK("http://www.informatics.jax.org/marker/MGI:1916322","MGI:1916322")</f>
        <v>MGI:1916322</v>
      </c>
      <c r="J2805" s="4" t="s">
        <v>12</v>
      </c>
    </row>
    <row r="2806" spans="1:10" x14ac:dyDescent="0.25">
      <c r="A2806" s="2">
        <v>157.239110781938</v>
      </c>
      <c r="B2806" s="3">
        <v>0.22401448645299901</v>
      </c>
      <c r="C2806" s="3">
        <v>0.19830720696582099</v>
      </c>
      <c r="D2806" s="4">
        <v>0.34909193924003501</v>
      </c>
      <c r="E2806" s="3" t="s">
        <v>12087</v>
      </c>
      <c r="F2806" s="3" t="s">
        <v>12088</v>
      </c>
      <c r="G2806" s="3">
        <v>19200</v>
      </c>
      <c r="H2806" s="7" t="str">
        <f>HYPERLINK("http://www.ensembl.org/Mus_musculus/Gene/Summary?db=core;g=ENSMUSG00000032322","ENSMUSG00000032322")</f>
        <v>ENSMUSG00000032322</v>
      </c>
      <c r="I2806" s="7" t="str">
        <f>HYPERLINK("http://www.informatics.jax.org/marker/MGI:1321396","MGI:1321396")</f>
        <v>MGI:1321396</v>
      </c>
      <c r="J2806" s="4" t="s">
        <v>12</v>
      </c>
    </row>
    <row r="2807" spans="1:10" x14ac:dyDescent="0.25">
      <c r="A2807" s="2">
        <v>5645.7023208307901</v>
      </c>
      <c r="B2807" s="3">
        <v>0.22398122804512199</v>
      </c>
      <c r="C2807" s="5">
        <v>2.6486638618276201E-5</v>
      </c>
      <c r="D2807" s="4">
        <v>1.21499871336039E-4</v>
      </c>
      <c r="E2807" s="3" t="s">
        <v>9990</v>
      </c>
      <c r="F2807" s="3" t="s">
        <v>9991</v>
      </c>
      <c r="G2807" s="3">
        <v>16796</v>
      </c>
      <c r="H2807" s="7" t="str">
        <f>HYPERLINK("http://www.ensembl.org/Mus_musculus/Gene/Summary?db=core;g=ENSMUSG00000038366","ENSMUSG00000038366")</f>
        <v>ENSMUSG00000038366</v>
      </c>
      <c r="I2807" s="7" t="str">
        <f>HYPERLINK("http://www.informatics.jax.org/marker/MGI:109656","MGI:109656")</f>
        <v>MGI:109656</v>
      </c>
      <c r="J2807" s="4" t="s">
        <v>12</v>
      </c>
    </row>
    <row r="2808" spans="1:10" x14ac:dyDescent="0.25">
      <c r="A2808" s="2">
        <v>446.182401798196</v>
      </c>
      <c r="B2808" s="3">
        <v>0.22389866635542399</v>
      </c>
      <c r="C2808" s="3">
        <v>1.4075549390727799E-3</v>
      </c>
      <c r="D2808" s="4">
        <v>4.8146938371999596E-3</v>
      </c>
      <c r="E2808" s="3" t="s">
        <v>13290</v>
      </c>
      <c r="F2808" s="3" t="s">
        <v>13291</v>
      </c>
      <c r="G2808" s="3">
        <v>66118</v>
      </c>
      <c r="H2808" s="7" t="str">
        <f>HYPERLINK("http://www.ensembl.org/Mus_musculus/Gene/Summary?db=core;g=ENSMUSG00000078427","ENSMUSG00000078427")</f>
        <v>ENSMUSG00000078427</v>
      </c>
      <c r="I2808" s="7" t="str">
        <f>HYPERLINK("http://www.informatics.jax.org/marker/MGI:1913368","MGI:1913368")</f>
        <v>MGI:1913368</v>
      </c>
      <c r="J2808" s="4" t="s">
        <v>12</v>
      </c>
    </row>
    <row r="2809" spans="1:10" x14ac:dyDescent="0.25">
      <c r="A2809" s="2">
        <v>313.01976967453601</v>
      </c>
      <c r="B2809" s="3">
        <v>0.22388487084036701</v>
      </c>
      <c r="C2809" s="3">
        <v>3.1839154677625998E-2</v>
      </c>
      <c r="D2809" s="4">
        <v>7.7531480868438196E-2</v>
      </c>
      <c r="E2809" s="3" t="s">
        <v>11413</v>
      </c>
      <c r="F2809" s="3" t="s">
        <v>11414</v>
      </c>
      <c r="G2809" s="3">
        <v>54614</v>
      </c>
      <c r="H2809" s="7" t="str">
        <f>HYPERLINK("http://www.ensembl.org/Mus_musculus/Gene/Summary?db=core;g=ENSMUSG00000023007","ENSMUSG00000023007")</f>
        <v>ENSMUSG00000023007</v>
      </c>
      <c r="I2809" s="7" t="str">
        <f>HYPERLINK("http://www.informatics.jax.org/marker/MGI:1925583","MGI:1925583")</f>
        <v>MGI:1925583</v>
      </c>
      <c r="J2809" s="4" t="s">
        <v>12</v>
      </c>
    </row>
    <row r="2810" spans="1:10" x14ac:dyDescent="0.25">
      <c r="A2810" s="2">
        <v>1880.61953077256</v>
      </c>
      <c r="B2810" s="3">
        <v>0.22356463047057601</v>
      </c>
      <c r="C2810" s="5">
        <v>6.4786971264124194E-5</v>
      </c>
      <c r="D2810" s="4">
        <v>2.78739979057758E-4</v>
      </c>
      <c r="E2810" s="3" t="s">
        <v>8511</v>
      </c>
      <c r="F2810" s="3" t="s">
        <v>8512</v>
      </c>
      <c r="G2810" s="3">
        <v>84505</v>
      </c>
      <c r="H2810" s="7" t="str">
        <f>HYPERLINK("http://www.ensembl.org/Mus_musculus/Gene/Summary?db=core;g=ENSMUSG00000015697","ENSMUSG00000015697")</f>
        <v>ENSMUSG00000015697</v>
      </c>
      <c r="I2810" s="7" t="str">
        <f>HYPERLINK("http://www.informatics.jax.org/marker/MGI:1934229","MGI:1934229")</f>
        <v>MGI:1934229</v>
      </c>
      <c r="J2810" s="4" t="s">
        <v>12</v>
      </c>
    </row>
    <row r="2811" spans="1:10" x14ac:dyDescent="0.25">
      <c r="A2811" s="2">
        <v>621.68063624384899</v>
      </c>
      <c r="B2811" s="3">
        <v>0.22350204619573899</v>
      </c>
      <c r="C2811" s="3">
        <v>5.3618657525268004E-4</v>
      </c>
      <c r="D2811" s="4">
        <v>1.9829546132264799E-3</v>
      </c>
      <c r="E2811" s="3" t="s">
        <v>6505</v>
      </c>
      <c r="F2811" s="3" t="s">
        <v>6506</v>
      </c>
      <c r="G2811" s="3">
        <v>14593</v>
      </c>
      <c r="H2811" s="7" t="str">
        <f>HYPERLINK("http://www.ensembl.org/Mus_musculus/Gene/Summary?db=core;g=ENSMUSG00000021302","ENSMUSG00000021302")</f>
        <v>ENSMUSG00000021302</v>
      </c>
      <c r="I2811" s="7" t="str">
        <f>HYPERLINK("http://www.informatics.jax.org/marker/MGI:1341724","MGI:1341724")</f>
        <v>MGI:1341724</v>
      </c>
      <c r="J2811" s="4" t="s">
        <v>12</v>
      </c>
    </row>
    <row r="2812" spans="1:10" x14ac:dyDescent="0.25">
      <c r="A2812" s="2">
        <v>1080.89155031419</v>
      </c>
      <c r="B2812" s="3">
        <v>0.22346309862366701</v>
      </c>
      <c r="C2812" s="3">
        <v>9.3343492284385398E-4</v>
      </c>
      <c r="D2812" s="4">
        <v>3.3019898037323801E-3</v>
      </c>
      <c r="E2812" s="3" t="s">
        <v>13179</v>
      </c>
      <c r="F2812" s="3" t="s">
        <v>13180</v>
      </c>
      <c r="G2812" s="3">
        <v>215351</v>
      </c>
      <c r="H2812" s="7" t="str">
        <f>HYPERLINK("http://www.ensembl.org/Mus_musculus/Gene/Summary?db=core;g=ENSMUSG00000034252","ENSMUSG00000034252")</f>
        <v>ENSMUSG00000034252</v>
      </c>
      <c r="I2812" s="7" t="str">
        <f>HYPERLINK("http://www.informatics.jax.org/marker/MGI:1922075","MGI:1922075")</f>
        <v>MGI:1922075</v>
      </c>
      <c r="J2812" s="4" t="s">
        <v>12</v>
      </c>
    </row>
    <row r="2813" spans="1:10" x14ac:dyDescent="0.25">
      <c r="A2813" s="2">
        <v>1806.4786753006099</v>
      </c>
      <c r="B2813" s="3">
        <v>0.22323988406320699</v>
      </c>
      <c r="C2813" s="5">
        <v>3.4391641582978403E-8</v>
      </c>
      <c r="D2813" s="6">
        <v>2.2554432092471399E-7</v>
      </c>
      <c r="E2813" s="3" t="s">
        <v>4117</v>
      </c>
      <c r="F2813" s="3" t="s">
        <v>4118</v>
      </c>
      <c r="G2813" s="3">
        <v>68626</v>
      </c>
      <c r="H2813" s="7" t="str">
        <f>HYPERLINK("http://www.ensembl.org/Mus_musculus/Gene/Summary?db=core;g=ENSMUSG00000020549","ENSMUSG00000020549")</f>
        <v>ENSMUSG00000020549</v>
      </c>
      <c r="I2813" s="7" t="str">
        <f>HYPERLINK("http://www.informatics.jax.org/marker/MGI:1890496","MGI:1890496")</f>
        <v>MGI:1890496</v>
      </c>
      <c r="J2813" s="4" t="s">
        <v>12</v>
      </c>
    </row>
    <row r="2814" spans="1:10" x14ac:dyDescent="0.25">
      <c r="A2814" s="2">
        <v>3289.36808300546</v>
      </c>
      <c r="B2814" s="3">
        <v>0.22319324646479</v>
      </c>
      <c r="C2814" s="5">
        <v>5.44784892107399E-5</v>
      </c>
      <c r="D2814" s="4">
        <v>2.3776233531804601E-4</v>
      </c>
      <c r="E2814" s="3" t="s">
        <v>11135</v>
      </c>
      <c r="F2814" s="3" t="s">
        <v>11136</v>
      </c>
      <c r="G2814" s="3">
        <v>70683</v>
      </c>
      <c r="H2814" s="7" t="str">
        <f>HYPERLINK("http://www.ensembl.org/Mus_musculus/Gene/Summary?db=core;g=ENSMUSG00000004356","ENSMUSG00000004356")</f>
        <v>ENSMUSG00000004356</v>
      </c>
      <c r="I2814" s="7" t="str">
        <f>HYPERLINK("http://www.informatics.jax.org/marker/MGI:1917933","MGI:1917933")</f>
        <v>MGI:1917933</v>
      </c>
      <c r="J2814" s="4" t="s">
        <v>12</v>
      </c>
    </row>
    <row r="2815" spans="1:10" x14ac:dyDescent="0.25">
      <c r="A2815" s="2">
        <v>4465.5568207553197</v>
      </c>
      <c r="B2815" s="3">
        <v>0.22304015962337501</v>
      </c>
      <c r="C2815" s="5">
        <v>1.6184680449333699E-5</v>
      </c>
      <c r="D2815" s="6">
        <v>7.6667683302654601E-5</v>
      </c>
      <c r="E2815" s="3" t="s">
        <v>5431</v>
      </c>
      <c r="F2815" s="3" t="s">
        <v>5432</v>
      </c>
      <c r="G2815" s="3">
        <v>13665</v>
      </c>
      <c r="H2815" s="7" t="str">
        <f>HYPERLINK("http://www.ensembl.org/Mus_musculus/Gene/Summary?db=core;g=ENSMUSG00000021116","ENSMUSG00000021116")</f>
        <v>ENSMUSG00000021116</v>
      </c>
      <c r="I2815" s="7" t="str">
        <f>HYPERLINK("http://www.informatics.jax.org/marker/MGI:95299","MGI:95299")</f>
        <v>MGI:95299</v>
      </c>
      <c r="J2815" s="4" t="s">
        <v>12</v>
      </c>
    </row>
    <row r="2816" spans="1:10" x14ac:dyDescent="0.25">
      <c r="A2816" s="2">
        <v>580.66993939456495</v>
      </c>
      <c r="B2816" s="3">
        <v>0.22282646804512601</v>
      </c>
      <c r="C2816" s="3">
        <v>1.64253341658134E-4</v>
      </c>
      <c r="D2816" s="4">
        <v>6.6198963992027604E-4</v>
      </c>
      <c r="E2816" s="3" t="s">
        <v>9887</v>
      </c>
      <c r="F2816" s="3" t="s">
        <v>9888</v>
      </c>
      <c r="G2816" s="3">
        <v>56217</v>
      </c>
      <c r="H2816" s="7" t="str">
        <f>HYPERLINK("http://www.ensembl.org/Mus_musculus/Gene/Summary?db=core;g=ENSMUSG00000021112","ENSMUSG00000021112")</f>
        <v>ENSMUSG00000021112</v>
      </c>
      <c r="I2816" s="7" t="str">
        <f>HYPERLINK("http://www.informatics.jax.org/marker/MGI:1927339","MGI:1927339")</f>
        <v>MGI:1927339</v>
      </c>
      <c r="J2816" s="4" t="s">
        <v>12</v>
      </c>
    </row>
    <row r="2817" spans="1:10" x14ac:dyDescent="0.25">
      <c r="A2817" s="2">
        <v>24338.5503611727</v>
      </c>
      <c r="B2817" s="3">
        <v>0.222050848095734</v>
      </c>
      <c r="C2817" s="5">
        <v>1.58821476837509E-13</v>
      </c>
      <c r="D2817" s="6">
        <v>1.69966025564509E-12</v>
      </c>
      <c r="E2817" s="3" t="s">
        <v>3814</v>
      </c>
      <c r="F2817" s="3" t="s">
        <v>3815</v>
      </c>
      <c r="G2817" s="3">
        <v>208643</v>
      </c>
      <c r="H2817" s="7" t="str">
        <f>HYPERLINK("http://www.ensembl.org/Mus_musculus/Gene/Summary?db=core;g=ENSMUSG00000045983","ENSMUSG00000045983")</f>
        <v>ENSMUSG00000045983</v>
      </c>
      <c r="I2817" s="7" t="str">
        <f>HYPERLINK("http://www.informatics.jax.org/marker/MGI:2384784","MGI:2384784")</f>
        <v>MGI:2384784</v>
      </c>
      <c r="J2817" s="4" t="s">
        <v>12</v>
      </c>
    </row>
    <row r="2818" spans="1:10" x14ac:dyDescent="0.25">
      <c r="A2818" s="2">
        <v>536.31696525198004</v>
      </c>
      <c r="B2818" s="3">
        <v>0.22204936264658301</v>
      </c>
      <c r="C2818" s="3">
        <v>6.5638359307784396E-4</v>
      </c>
      <c r="D2818" s="4">
        <v>2.3863137809382999E-3</v>
      </c>
      <c r="E2818" s="3" t="s">
        <v>13951</v>
      </c>
      <c r="F2818" s="3" t="s">
        <v>13952</v>
      </c>
      <c r="G2818" s="3">
        <v>229937</v>
      </c>
      <c r="H2818" s="7" t="str">
        <f>HYPERLINK("http://www.ensembl.org/Mus_musculus/Gene/Summary?db=core;g=ENSMUSG00000074182","ENSMUSG00000074182")</f>
        <v>ENSMUSG00000074182</v>
      </c>
      <c r="I2818" s="7" t="str">
        <f>HYPERLINK("http://www.informatics.jax.org/marker/MGI:1916996","MGI:1916996")</f>
        <v>MGI:1916996</v>
      </c>
      <c r="J2818" s="4" t="s">
        <v>12</v>
      </c>
    </row>
    <row r="2819" spans="1:10" x14ac:dyDescent="0.25">
      <c r="A2819" s="2">
        <v>5096.8602980577598</v>
      </c>
      <c r="B2819" s="3">
        <v>0.22170059614596499</v>
      </c>
      <c r="C2819" s="5">
        <v>4.1680441195534402E-10</v>
      </c>
      <c r="D2819" s="6">
        <v>3.3761157368382901E-9</v>
      </c>
      <c r="E2819" s="3" t="s">
        <v>3328</v>
      </c>
      <c r="F2819" s="3" t="s">
        <v>3329</v>
      </c>
      <c r="G2819" s="3">
        <v>224742</v>
      </c>
      <c r="H2819" s="7" t="str">
        <f>HYPERLINK("http://www.ensembl.org/Mus_musculus/Gene/Summary?db=core;g=ENSMUSG00000038762","ENSMUSG00000038762")</f>
        <v>ENSMUSG00000038762</v>
      </c>
      <c r="I2819" s="7" t="str">
        <f>HYPERLINK("http://www.informatics.jax.org/marker/MGI:1351658","MGI:1351658")</f>
        <v>MGI:1351658</v>
      </c>
      <c r="J2819" s="4" t="s">
        <v>12</v>
      </c>
    </row>
    <row r="2820" spans="1:10" x14ac:dyDescent="0.25">
      <c r="A2820" s="2">
        <v>9682.8239455860403</v>
      </c>
      <c r="B2820" s="3">
        <v>0.221212549796171</v>
      </c>
      <c r="C2820" s="5">
        <v>7.8442453027456504E-8</v>
      </c>
      <c r="D2820" s="6">
        <v>4.9604916947445995E-7</v>
      </c>
      <c r="E2820" s="3" t="s">
        <v>4085</v>
      </c>
      <c r="F2820" s="3" t="s">
        <v>4086</v>
      </c>
      <c r="G2820" s="3">
        <v>12469</v>
      </c>
      <c r="H2820" s="7" t="str">
        <f>HYPERLINK("http://www.ensembl.org/Mus_musculus/Gene/Summary?db=core;g=ENSMUSG00000025613","ENSMUSG00000025613")</f>
        <v>ENSMUSG00000025613</v>
      </c>
      <c r="I2820" s="7" t="str">
        <f>HYPERLINK("http://www.informatics.jax.org/marker/MGI:107183","MGI:107183")</f>
        <v>MGI:107183</v>
      </c>
      <c r="J2820" s="4" t="s">
        <v>12</v>
      </c>
    </row>
    <row r="2821" spans="1:10" x14ac:dyDescent="0.25">
      <c r="A2821" s="2">
        <v>12744.5660638838</v>
      </c>
      <c r="B2821" s="3">
        <v>0.221112668612686</v>
      </c>
      <c r="C2821" s="3">
        <v>6.5748019602749903E-4</v>
      </c>
      <c r="D2821" s="4">
        <v>2.3898238078582301E-3</v>
      </c>
      <c r="E2821" s="3" t="s">
        <v>10398</v>
      </c>
      <c r="F2821" s="3" t="s">
        <v>10399</v>
      </c>
      <c r="G2821" s="3">
        <v>53761</v>
      </c>
      <c r="H2821" s="7" t="str">
        <f>HYPERLINK("http://www.ensembl.org/Mus_musculus/Gene/Summary?db=core;g=ENSMUSG00000024393","ENSMUSG00000024393")</f>
        <v>ENSMUSG00000024393</v>
      </c>
      <c r="I2821" s="7" t="str">
        <f>HYPERLINK("http://www.informatics.jax.org/marker/MGI:1915467","MGI:1915467")</f>
        <v>MGI:1915467</v>
      </c>
      <c r="J2821" s="4" t="s">
        <v>12</v>
      </c>
    </row>
    <row r="2822" spans="1:10" x14ac:dyDescent="0.25">
      <c r="A2822" s="2">
        <v>174.57354687656499</v>
      </c>
      <c r="B2822" s="3">
        <v>0.220482273303272</v>
      </c>
      <c r="C2822" s="3">
        <v>4.64033549976441E-2</v>
      </c>
      <c r="D2822" s="4">
        <v>0.107349726432097</v>
      </c>
      <c r="E2822" s="3" t="s">
        <v>11735</v>
      </c>
      <c r="F2822" s="3" t="s">
        <v>11736</v>
      </c>
      <c r="G2822" s="3">
        <v>78506</v>
      </c>
      <c r="H2822" s="7" t="str">
        <f>HYPERLINK("http://www.ensembl.org/Mus_musculus/Gene/Summary?db=core;g=ENSMUSG00000039478","ENSMUSG00000039478")</f>
        <v>ENSMUSG00000039478</v>
      </c>
      <c r="I2822" s="7" t="str">
        <f>HYPERLINK("http://www.informatics.jax.org/marker/MGI:1925756","MGI:1925756")</f>
        <v>MGI:1925756</v>
      </c>
      <c r="J2822" s="4" t="s">
        <v>12</v>
      </c>
    </row>
    <row r="2823" spans="1:10" x14ac:dyDescent="0.25">
      <c r="A2823" s="2">
        <v>4683.4722631719796</v>
      </c>
      <c r="B2823" s="3">
        <v>0.22045620897898299</v>
      </c>
      <c r="C2823" s="5">
        <v>8.0597203528073597E-8</v>
      </c>
      <c r="D2823" s="6">
        <v>5.0896882685347899E-7</v>
      </c>
      <c r="E2823" s="3" t="s">
        <v>4217</v>
      </c>
      <c r="F2823" s="3" t="s">
        <v>4218</v>
      </c>
      <c r="G2823" s="3">
        <v>81702</v>
      </c>
      <c r="H2823" s="7" t="str">
        <f>HYPERLINK("http://www.ensembl.org/Mus_musculus/Gene/Summary?db=core;g=ENSMUSG00000055204","ENSMUSG00000055204")</f>
        <v>ENSMUSG00000055204</v>
      </c>
      <c r="I2823" s="7" t="str">
        <f>HYPERLINK("http://www.informatics.jax.org/marker/MGI:1932101","MGI:1932101")</f>
        <v>MGI:1932101</v>
      </c>
      <c r="J2823" s="4" t="s">
        <v>12</v>
      </c>
    </row>
    <row r="2824" spans="1:10" x14ac:dyDescent="0.25">
      <c r="A2824" s="2">
        <v>89.752201358081294</v>
      </c>
      <c r="B2824" s="3">
        <v>0.22015200571248</v>
      </c>
      <c r="C2824" s="3">
        <v>0.139056688880767</v>
      </c>
      <c r="D2824" s="4">
        <v>0.26595740947129598</v>
      </c>
      <c r="E2824" s="3" t="s">
        <v>13336</v>
      </c>
      <c r="F2824" s="3" t="s">
        <v>13337</v>
      </c>
      <c r="G2824" s="3" t="s">
        <v>83</v>
      </c>
      <c r="H2824" s="7" t="str">
        <f>HYPERLINK("http://www.ensembl.org/Mus_musculus/Gene/Summary?db=core;g=ENSMUSG00000040078","ENSMUSG00000040078")</f>
        <v>ENSMUSG00000040078</v>
      </c>
      <c r="I2824" s="7" t="str">
        <f>HYPERLINK("http://www.informatics.jax.org/marker/MGI:3704271","MGI:3704271")</f>
        <v>MGI:3704271</v>
      </c>
      <c r="J2824" s="4" t="s">
        <v>1043</v>
      </c>
    </row>
    <row r="2825" spans="1:10" x14ac:dyDescent="0.25">
      <c r="A2825" s="2">
        <v>2207.1649355755098</v>
      </c>
      <c r="B2825" s="3">
        <v>0.22000069374196499</v>
      </c>
      <c r="C2825" s="3">
        <v>2.1759977899943402E-3</v>
      </c>
      <c r="D2825" s="4">
        <v>7.1442190096643703E-3</v>
      </c>
      <c r="E2825" s="3" t="s">
        <v>13067</v>
      </c>
      <c r="F2825" s="3" t="s">
        <v>13068</v>
      </c>
      <c r="G2825" s="3">
        <v>71592</v>
      </c>
      <c r="H2825" s="7" t="str">
        <f>HYPERLINK("http://www.ensembl.org/Mus_musculus/Gene/Summary?db=core;g=ENSMUSG00000040596","ENSMUSG00000040596")</f>
        <v>ENSMUSG00000040596</v>
      </c>
      <c r="I2825" s="7" t="str">
        <f>HYPERLINK("http://www.informatics.jax.org/marker/MGI:1918842","MGI:1918842")</f>
        <v>MGI:1918842</v>
      </c>
      <c r="J2825" s="4" t="s">
        <v>12</v>
      </c>
    </row>
    <row r="2826" spans="1:10" x14ac:dyDescent="0.25">
      <c r="A2826" s="2">
        <v>1340.69245663379</v>
      </c>
      <c r="B2826" s="3">
        <v>0.21988622918112199</v>
      </c>
      <c r="C2826" s="3">
        <v>1.19618906989108E-3</v>
      </c>
      <c r="D2826" s="4">
        <v>4.1509036174342999E-3</v>
      </c>
      <c r="E2826" s="3" t="s">
        <v>7632</v>
      </c>
      <c r="F2826" s="3" t="s">
        <v>7633</v>
      </c>
      <c r="G2826" s="3">
        <v>56444</v>
      </c>
      <c r="H2826" s="7" t="str">
        <f>HYPERLINK("http://www.ensembl.org/Mus_musculus/Gene/Summary?db=core;g=ENSMUSG00000021076","ENSMUSG00000021076")</f>
        <v>ENSMUSG00000021076</v>
      </c>
      <c r="I2826" s="7" t="str">
        <f>HYPERLINK("http://www.informatics.jax.org/marker/MGI:1891654","MGI:1891654")</f>
        <v>MGI:1891654</v>
      </c>
      <c r="J2826" s="4" t="s">
        <v>12</v>
      </c>
    </row>
    <row r="2827" spans="1:10" x14ac:dyDescent="0.25">
      <c r="A2827" s="2">
        <v>644.06195919340598</v>
      </c>
      <c r="B2827" s="3">
        <v>0.21969174349810699</v>
      </c>
      <c r="C2827" s="3">
        <v>4.4921251626534199E-4</v>
      </c>
      <c r="D2827" s="4">
        <v>1.6807427856571299E-3</v>
      </c>
      <c r="E2827" s="3" t="s">
        <v>12785</v>
      </c>
      <c r="F2827" s="3" t="s">
        <v>12786</v>
      </c>
      <c r="G2827" s="3">
        <v>19356</v>
      </c>
      <c r="H2827" s="7" t="str">
        <f>HYPERLINK("http://www.ensembl.org/Mus_musculus/Gene/Summary?db=core;g=ENSMUSG00000021635","ENSMUSG00000021635")</f>
        <v>ENSMUSG00000021635</v>
      </c>
      <c r="I2827" s="7" t="str">
        <f>HYPERLINK("http://www.informatics.jax.org/marker/MGI:1333807","MGI:1333807")</f>
        <v>MGI:1333807</v>
      </c>
      <c r="J2827" s="4" t="s">
        <v>12</v>
      </c>
    </row>
    <row r="2828" spans="1:10" x14ac:dyDescent="0.25">
      <c r="A2828" s="2">
        <v>903.01844352457601</v>
      </c>
      <c r="B2828" s="3">
        <v>0.21960334692670999</v>
      </c>
      <c r="C2828" s="3">
        <v>6.8065561012108197E-4</v>
      </c>
      <c r="D2828" s="4">
        <v>2.4696201827607801E-3</v>
      </c>
      <c r="E2828" s="3" t="s">
        <v>7086</v>
      </c>
      <c r="F2828" s="3" t="s">
        <v>7087</v>
      </c>
      <c r="G2828" s="3">
        <v>27096</v>
      </c>
      <c r="H2828" s="7" t="str">
        <f>HYPERLINK("http://www.ensembl.org/Mus_musculus/Gene/Summary?db=core;g=ENSMUSG00000028847","ENSMUSG00000028847")</f>
        <v>ENSMUSG00000028847</v>
      </c>
      <c r="I2828" s="7" t="str">
        <f>HYPERLINK("http://www.informatics.jax.org/marker/MGI:1351486","MGI:1351486")</f>
        <v>MGI:1351486</v>
      </c>
      <c r="J2828" s="4" t="s">
        <v>12</v>
      </c>
    </row>
    <row r="2829" spans="1:10" x14ac:dyDescent="0.25">
      <c r="A2829" s="2">
        <v>817.07615571466897</v>
      </c>
      <c r="B2829" s="3">
        <v>0.219279714998529</v>
      </c>
      <c r="C2829" s="5">
        <v>1.48037344452784E-5</v>
      </c>
      <c r="D2829" s="6">
        <v>7.0553886052614594E-5</v>
      </c>
      <c r="E2829" s="3" t="s">
        <v>5261</v>
      </c>
      <c r="F2829" s="3" t="s">
        <v>5262</v>
      </c>
      <c r="G2829" s="3">
        <v>67665</v>
      </c>
      <c r="H2829" s="7" t="str">
        <f>HYPERLINK("http://www.ensembl.org/Mus_musculus/Gene/Summary?db=core;g=ENSMUSG00000024603","ENSMUSG00000024603")</f>
        <v>ENSMUSG00000024603</v>
      </c>
      <c r="I2829" s="7" t="str">
        <f>HYPERLINK("http://www.informatics.jax.org/marker/MGI:1914915","MGI:1914915")</f>
        <v>MGI:1914915</v>
      </c>
      <c r="J2829" s="4" t="s">
        <v>12</v>
      </c>
    </row>
    <row r="2830" spans="1:10" x14ac:dyDescent="0.25">
      <c r="A2830" s="2">
        <v>1338.0770582212699</v>
      </c>
      <c r="B2830" s="3">
        <v>0.21924263874210201</v>
      </c>
      <c r="C2830" s="3">
        <v>1.3411267814806499E-3</v>
      </c>
      <c r="D2830" s="4">
        <v>4.6108348599292401E-3</v>
      </c>
      <c r="E2830" s="3" t="s">
        <v>8803</v>
      </c>
      <c r="F2830" s="3" t="s">
        <v>8804</v>
      </c>
      <c r="G2830" s="3">
        <v>21787</v>
      </c>
      <c r="H2830" s="7" t="str">
        <f>HYPERLINK("http://www.ensembl.org/Mus_musculus/Gene/Summary?db=core;g=ENSMUSG00000022757","ENSMUSG00000022757")</f>
        <v>ENSMUSG00000022757</v>
      </c>
      <c r="I2830" s="7" t="str">
        <f>HYPERLINK("http://www.informatics.jax.org/marker/MGI:1338041","MGI:1338041")</f>
        <v>MGI:1338041</v>
      </c>
      <c r="J2830" s="4" t="s">
        <v>12</v>
      </c>
    </row>
    <row r="2831" spans="1:10" x14ac:dyDescent="0.25">
      <c r="A2831" s="2">
        <v>879.54039612121403</v>
      </c>
      <c r="B2831" s="3">
        <v>0.219241390476825</v>
      </c>
      <c r="C2831" s="3">
        <v>2.1144893254576401E-4</v>
      </c>
      <c r="D2831" s="4">
        <v>8.3684186658991501E-4</v>
      </c>
      <c r="E2831" s="3" t="s">
        <v>12935</v>
      </c>
      <c r="F2831" s="3" t="s">
        <v>12936</v>
      </c>
      <c r="G2831" s="3">
        <v>68449</v>
      </c>
      <c r="H2831" s="7" t="str">
        <f>HYPERLINK("http://www.ensembl.org/Mus_musculus/Gene/Summary?db=core;g=ENSMUSG00000042492","ENSMUSG00000042492")</f>
        <v>ENSMUSG00000042492</v>
      </c>
      <c r="I2831" s="7" t="str">
        <f>HYPERLINK("http://www.informatics.jax.org/marker/MGI:1915699","MGI:1915699")</f>
        <v>MGI:1915699</v>
      </c>
      <c r="J2831" s="4" t="s">
        <v>12</v>
      </c>
    </row>
    <row r="2832" spans="1:10" x14ac:dyDescent="0.25">
      <c r="A2832" s="2">
        <v>1179.47401147455</v>
      </c>
      <c r="B2832" s="3">
        <v>0.219034130766424</v>
      </c>
      <c r="C2832" s="5">
        <v>3.0429142580413898E-6</v>
      </c>
      <c r="D2832" s="6">
        <v>1.59588812526056E-5</v>
      </c>
      <c r="E2832" s="3" t="s">
        <v>7670</v>
      </c>
      <c r="F2832" s="3" t="s">
        <v>7671</v>
      </c>
      <c r="G2832" s="3">
        <v>244666</v>
      </c>
      <c r="H2832" s="7" t="str">
        <f>HYPERLINK("http://www.ensembl.org/Mus_musculus/Gene/Summary?db=core;g=ENSMUSG00000031986","ENSMUSG00000031986")</f>
        <v>ENSMUSG00000031986</v>
      </c>
      <c r="I2832" s="7" t="str">
        <f>HYPERLINK("http://www.informatics.jax.org/marker/MGI:2685351","MGI:2685351")</f>
        <v>MGI:2685351</v>
      </c>
      <c r="J2832" s="4" t="s">
        <v>12</v>
      </c>
    </row>
    <row r="2833" spans="1:10" x14ac:dyDescent="0.25">
      <c r="A2833" s="2">
        <v>107.302022258129</v>
      </c>
      <c r="B2833" s="3">
        <v>0.218662137868012</v>
      </c>
      <c r="C2833" s="3">
        <v>0.105683748343132</v>
      </c>
      <c r="D2833" s="4">
        <v>0.21280370274594801</v>
      </c>
      <c r="E2833" s="3" t="s">
        <v>13117</v>
      </c>
      <c r="F2833" s="3" t="s">
        <v>13118</v>
      </c>
      <c r="G2833" s="3" t="s">
        <v>83</v>
      </c>
      <c r="H2833" s="7" t="str">
        <f>HYPERLINK("http://www.ensembl.org/Mus_musculus/Gene/Summary?db=core;g=ENSMUSG00000081603","ENSMUSG00000081603")</f>
        <v>ENSMUSG00000081603</v>
      </c>
      <c r="I2833" s="7" t="str">
        <f>HYPERLINK("http://www.informatics.jax.org/marker/MGI:3705734","MGI:3705734")</f>
        <v>MGI:3705734</v>
      </c>
      <c r="J2833" s="4" t="s">
        <v>1043</v>
      </c>
    </row>
    <row r="2834" spans="1:10" x14ac:dyDescent="0.25">
      <c r="A2834" s="2">
        <v>706.61184635370705</v>
      </c>
      <c r="B2834" s="3">
        <v>0.21863694074885701</v>
      </c>
      <c r="C2834" s="3">
        <v>3.8565433584861401E-3</v>
      </c>
      <c r="D2834" s="4">
        <v>1.19350488552233E-2</v>
      </c>
      <c r="E2834" s="3" t="s">
        <v>13435</v>
      </c>
      <c r="F2834" s="3" t="s">
        <v>13436</v>
      </c>
      <c r="G2834" s="3">
        <v>14707</v>
      </c>
      <c r="H2834" s="7" t="str">
        <f>HYPERLINK("http://www.ensembl.org/Mus_musculus/Gene/Summary?db=core;g=ENSMUSG00000068523","ENSMUSG00000068523")</f>
        <v>ENSMUSG00000068523</v>
      </c>
      <c r="I2834" s="7" t="str">
        <f>HYPERLINK("http://www.informatics.jax.org/marker/MGI:109164","MGI:109164")</f>
        <v>MGI:109164</v>
      </c>
      <c r="J2834" s="4" t="s">
        <v>12</v>
      </c>
    </row>
    <row r="2835" spans="1:10" x14ac:dyDescent="0.25">
      <c r="A2835" s="2">
        <v>78.584732937008994</v>
      </c>
      <c r="B2835" s="3">
        <v>0.21848722510544799</v>
      </c>
      <c r="C2835" s="3">
        <v>0.117680182110045</v>
      </c>
      <c r="D2835" s="4">
        <v>0.23231924548947</v>
      </c>
      <c r="E2835" s="3" t="s">
        <v>12897</v>
      </c>
      <c r="F2835" s="3" t="s">
        <v>12898</v>
      </c>
      <c r="G2835" s="3" t="s">
        <v>83</v>
      </c>
      <c r="H2835" s="7" t="str">
        <f>HYPERLINK("http://www.ensembl.org/Mus_musculus/Gene/Summary?db=core;g=ENSMUSG00000083097","ENSMUSG00000083097")</f>
        <v>ENSMUSG00000083097</v>
      </c>
      <c r="I2835" s="7" t="str">
        <f>HYPERLINK("http://www.informatics.jax.org/marker/MGI:3704210","MGI:3704210")</f>
        <v>MGI:3704210</v>
      </c>
      <c r="J2835" s="4" t="s">
        <v>1043</v>
      </c>
    </row>
    <row r="2836" spans="1:10" x14ac:dyDescent="0.25">
      <c r="A2836" s="2">
        <v>86.774594401040204</v>
      </c>
      <c r="B2836" s="3">
        <v>0.218366162976841</v>
      </c>
      <c r="C2836" s="3">
        <v>0.111449825855755</v>
      </c>
      <c r="D2836" s="4">
        <v>0.222034660715034</v>
      </c>
      <c r="E2836" s="3" t="s">
        <v>11215</v>
      </c>
      <c r="F2836" s="3" t="s">
        <v>11216</v>
      </c>
      <c r="G2836" s="3">
        <v>67118</v>
      </c>
      <c r="H2836" s="7" t="str">
        <f>HYPERLINK("http://www.ensembl.org/Mus_musculus/Gene/Summary?db=core;g=ENSMUSG00000079737","ENSMUSG00000079737")</f>
        <v>ENSMUSG00000079737</v>
      </c>
      <c r="I2836" s="7" t="str">
        <f>HYPERLINK("http://www.informatics.jax.org/marker/MGI:1913848","MGI:1913848")</f>
        <v>MGI:1913848</v>
      </c>
      <c r="J2836" s="4" t="s">
        <v>12</v>
      </c>
    </row>
    <row r="2837" spans="1:10" x14ac:dyDescent="0.25">
      <c r="A2837" s="2">
        <v>8768.0146405125397</v>
      </c>
      <c r="B2837" s="3">
        <v>0.21763391938495399</v>
      </c>
      <c r="C2837" s="3">
        <v>4.19964049455531E-3</v>
      </c>
      <c r="D2837" s="4">
        <v>1.28578760681192E-2</v>
      </c>
      <c r="E2837" s="3" t="s">
        <v>10808</v>
      </c>
      <c r="F2837" s="3" t="s">
        <v>10809</v>
      </c>
      <c r="G2837" s="3">
        <v>15382</v>
      </c>
      <c r="H2837" s="7" t="str">
        <f>HYPERLINK("http://www.ensembl.org/Mus_musculus/Gene/Summary?db=core;g=ENSMUSG00000046434","ENSMUSG00000046434")</f>
        <v>ENSMUSG00000046434</v>
      </c>
      <c r="I2837" s="7" t="str">
        <f>HYPERLINK("http://www.informatics.jax.org/marker/MGI:104820","MGI:104820")</f>
        <v>MGI:104820</v>
      </c>
      <c r="J2837" s="4" t="s">
        <v>12</v>
      </c>
    </row>
    <row r="2838" spans="1:10" x14ac:dyDescent="0.25">
      <c r="A2838" s="2">
        <v>4353.7664990932599</v>
      </c>
      <c r="B2838" s="3">
        <v>0.21693679261342799</v>
      </c>
      <c r="C2838" s="5">
        <v>7.4049015512347597E-6</v>
      </c>
      <c r="D2838" s="6">
        <v>3.69105248189611E-5</v>
      </c>
      <c r="E2838" s="3" t="s">
        <v>7322</v>
      </c>
      <c r="F2838" s="3" t="s">
        <v>7323</v>
      </c>
      <c r="G2838" s="3">
        <v>20591</v>
      </c>
      <c r="H2838" s="7" t="str">
        <f>HYPERLINK("http://www.ensembl.org/Mus_musculus/Gene/Summary?db=core;g=ENSMUSG00000025332","ENSMUSG00000025332")</f>
        <v>ENSMUSG00000025332</v>
      </c>
      <c r="I2838" s="7" t="str">
        <f>HYPERLINK("http://www.informatics.jax.org/marker/MGI:99781","MGI:99781")</f>
        <v>MGI:99781</v>
      </c>
      <c r="J2838" s="4" t="s">
        <v>12</v>
      </c>
    </row>
    <row r="2839" spans="1:10" x14ac:dyDescent="0.25">
      <c r="A2839" s="2">
        <v>1015.25006954733</v>
      </c>
      <c r="B2839" s="3">
        <v>0.216670907587246</v>
      </c>
      <c r="C2839" s="3">
        <v>9.5674785360409693E-3</v>
      </c>
      <c r="D2839" s="4">
        <v>2.69376326771739E-2</v>
      </c>
      <c r="E2839" s="3" t="s">
        <v>12585</v>
      </c>
      <c r="F2839" s="3" t="s">
        <v>12586</v>
      </c>
      <c r="G2839" s="3">
        <v>98417</v>
      </c>
      <c r="H2839" s="7" t="str">
        <f>HYPERLINK("http://www.ensembl.org/Mus_musculus/Gene/Summary?db=core;g=ENSMUSG00000062169","ENSMUSG00000062169")</f>
        <v>ENSMUSG00000062169</v>
      </c>
      <c r="I2839" s="7" t="str">
        <f>HYPERLINK("http://www.informatics.jax.org/marker/MGI:1925828","MGI:1925828")</f>
        <v>MGI:1925828</v>
      </c>
      <c r="J2839" s="4" t="s">
        <v>12</v>
      </c>
    </row>
    <row r="2840" spans="1:10" x14ac:dyDescent="0.25">
      <c r="A2840" s="2">
        <v>259.17988006626598</v>
      </c>
      <c r="B2840" s="3">
        <v>0.21662900333251001</v>
      </c>
      <c r="C2840" s="3">
        <v>6.9204404073423499E-3</v>
      </c>
      <c r="D2840" s="4">
        <v>2.01800042278103E-2</v>
      </c>
      <c r="E2840" s="3" t="s">
        <v>9465</v>
      </c>
      <c r="F2840" s="3" t="s">
        <v>9466</v>
      </c>
      <c r="G2840" s="3">
        <v>231430</v>
      </c>
      <c r="H2840" s="7" t="str">
        <f>HYPERLINK("http://www.ensembl.org/Mus_musculus/Gene/Summary?db=core;g=ENSMUSG00000035505","ENSMUSG00000035505")</f>
        <v>ENSMUSG00000035505</v>
      </c>
      <c r="I2840" s="7" t="str">
        <f>HYPERLINK("http://www.informatics.jax.org/marker/MGI:2448532","MGI:2448532")</f>
        <v>MGI:2448532</v>
      </c>
      <c r="J2840" s="4" t="s">
        <v>12</v>
      </c>
    </row>
    <row r="2841" spans="1:10" x14ac:dyDescent="0.25">
      <c r="A2841" s="2">
        <v>1875.5810766331999</v>
      </c>
      <c r="B2841" s="3">
        <v>0.21657596961776299</v>
      </c>
      <c r="C2841" s="5">
        <v>9.4122156700042906E-5</v>
      </c>
      <c r="D2841" s="4">
        <v>3.9543022265059501E-4</v>
      </c>
      <c r="E2841" s="3" t="s">
        <v>8733</v>
      </c>
      <c r="F2841" s="3" t="s">
        <v>8734</v>
      </c>
      <c r="G2841" s="3">
        <v>14784</v>
      </c>
      <c r="H2841" s="7" t="str">
        <f>HYPERLINK("http://www.ensembl.org/Mus_musculus/Gene/Summary?db=core;g=ENSMUSG00000059923","ENSMUSG00000059923")</f>
        <v>ENSMUSG00000059923</v>
      </c>
      <c r="I2841" s="7" t="str">
        <f>HYPERLINK("http://www.informatics.jax.org/marker/MGI:95805","MGI:95805")</f>
        <v>MGI:95805</v>
      </c>
      <c r="J2841" s="4" t="s">
        <v>12</v>
      </c>
    </row>
    <row r="2842" spans="1:10" x14ac:dyDescent="0.25">
      <c r="A2842" s="2">
        <v>538.59475253699702</v>
      </c>
      <c r="B2842" s="3">
        <v>0.21654977570023701</v>
      </c>
      <c r="C2842" s="3">
        <v>2.7429343789707098E-4</v>
      </c>
      <c r="D2842" s="4">
        <v>1.0613583663851599E-3</v>
      </c>
      <c r="E2842" s="3" t="s">
        <v>10668</v>
      </c>
      <c r="F2842" s="3" t="s">
        <v>10669</v>
      </c>
      <c r="G2842" s="3">
        <v>56468</v>
      </c>
      <c r="H2842" s="7" t="str">
        <f>HYPERLINK("http://www.ensembl.org/Mus_musculus/Gene/Summary?db=core;g=ENSMUSG00000037104","ENSMUSG00000037104")</f>
        <v>ENSMUSG00000037104</v>
      </c>
      <c r="I2842" s="7" t="str">
        <f>HYPERLINK("http://www.informatics.jax.org/marker/MGI:2385459","MGI:2385459")</f>
        <v>MGI:2385459</v>
      </c>
      <c r="J2842" s="4" t="s">
        <v>12</v>
      </c>
    </row>
    <row r="2843" spans="1:10" x14ac:dyDescent="0.25">
      <c r="A2843" s="2">
        <v>7255.6108973098599</v>
      </c>
      <c r="B2843" s="3">
        <v>0.21632228561598901</v>
      </c>
      <c r="C2843" s="5">
        <v>6.8166457790462297E-8</v>
      </c>
      <c r="D2843" s="6">
        <v>4.32868882658946E-7</v>
      </c>
      <c r="E2843" s="3" t="s">
        <v>3950</v>
      </c>
      <c r="F2843" s="3" t="s">
        <v>3951</v>
      </c>
      <c r="G2843" s="3">
        <v>12466</v>
      </c>
      <c r="H2843" s="7" t="str">
        <f>HYPERLINK("http://www.ensembl.org/Mus_musculus/Gene/Summary?db=core;g=ENSMUSG00000029447","ENSMUSG00000029447")</f>
        <v>ENSMUSG00000029447</v>
      </c>
      <c r="I2843" s="7" t="str">
        <f>HYPERLINK("http://www.informatics.jax.org/marker/MGI:107943","MGI:107943")</f>
        <v>MGI:107943</v>
      </c>
      <c r="J2843" s="4" t="s">
        <v>12</v>
      </c>
    </row>
    <row r="2844" spans="1:10" x14ac:dyDescent="0.25">
      <c r="A2844" s="2">
        <v>946.69993439039501</v>
      </c>
      <c r="B2844" s="3">
        <v>0.21632045227240401</v>
      </c>
      <c r="C2844" s="3">
        <v>2.2966825556751799E-3</v>
      </c>
      <c r="D2844" s="4">
        <v>7.4972308037220504E-3</v>
      </c>
      <c r="E2844" s="3" t="s">
        <v>6581</v>
      </c>
      <c r="F2844" s="3" t="s">
        <v>6582</v>
      </c>
      <c r="G2844" s="3">
        <v>268566</v>
      </c>
      <c r="H2844" s="7" t="str">
        <f>HYPERLINK("http://www.ensembl.org/Mus_musculus/Gene/Summary?db=core;g=ENSMUSG00000047454","ENSMUSG00000047454")</f>
        <v>ENSMUSG00000047454</v>
      </c>
      <c r="I2844" s="7" t="str">
        <f>HYPERLINK("http://www.informatics.jax.org/marker/MGI:109602","MGI:109602")</f>
        <v>MGI:109602</v>
      </c>
      <c r="J2844" s="4" t="s">
        <v>12</v>
      </c>
    </row>
    <row r="2845" spans="1:10" x14ac:dyDescent="0.25">
      <c r="A2845" s="2">
        <v>947.62305809050804</v>
      </c>
      <c r="B2845" s="3">
        <v>0.21629997524307601</v>
      </c>
      <c r="C2845" s="5">
        <v>5.2251082858225E-6</v>
      </c>
      <c r="D2845" s="6">
        <v>2.6644543511224099E-5</v>
      </c>
      <c r="E2845" s="3" t="s">
        <v>11345</v>
      </c>
      <c r="F2845" s="3" t="s">
        <v>11346</v>
      </c>
      <c r="G2845" s="3">
        <v>19230</v>
      </c>
      <c r="H2845" s="7" t="str">
        <f>HYPERLINK("http://www.ensembl.org/Mus_musculus/Gene/Summary?db=core;g=ENSMUSG00000022451","ENSMUSG00000022451")</f>
        <v>ENSMUSG00000022451</v>
      </c>
      <c r="I2845" s="7" t="str">
        <f>HYPERLINK("http://www.informatics.jax.org/marker/MGI:1100520","MGI:1100520")</f>
        <v>MGI:1100520</v>
      </c>
      <c r="J2845" s="4" t="s">
        <v>12</v>
      </c>
    </row>
    <row r="2846" spans="1:10" x14ac:dyDescent="0.25">
      <c r="A2846" s="2">
        <v>170.26449086894499</v>
      </c>
      <c r="B2846" s="3">
        <v>0.215703110769213</v>
      </c>
      <c r="C2846" s="3">
        <v>1.9271996674942699E-2</v>
      </c>
      <c r="D2846" s="4">
        <v>4.9990341503107098E-2</v>
      </c>
      <c r="E2846" s="3" t="s">
        <v>9387</v>
      </c>
      <c r="F2846" s="3" t="s">
        <v>9388</v>
      </c>
      <c r="G2846" s="3">
        <v>68736</v>
      </c>
      <c r="H2846" s="7" t="str">
        <f>HYPERLINK("http://www.ensembl.org/Mus_musculus/Gene/Summary?db=core;g=ENSMUSG00000048495","ENSMUSG00000048495")</f>
        <v>ENSMUSG00000048495</v>
      </c>
      <c r="I2846" s="7" t="str">
        <f>HYPERLINK("http://www.informatics.jax.org/marker/MGI:1915986","MGI:1915986")</f>
        <v>MGI:1915986</v>
      </c>
      <c r="J2846" s="4" t="s">
        <v>12</v>
      </c>
    </row>
    <row r="2847" spans="1:10" x14ac:dyDescent="0.25">
      <c r="A2847" s="2">
        <v>6060.2051458408696</v>
      </c>
      <c r="B2847" s="3">
        <v>0.21560351571172601</v>
      </c>
      <c r="C2847" s="3">
        <v>3.0139812634639301E-4</v>
      </c>
      <c r="D2847" s="4">
        <v>1.15926188932685E-3</v>
      </c>
      <c r="E2847" s="3" t="s">
        <v>7586</v>
      </c>
      <c r="F2847" s="3" t="s">
        <v>7587</v>
      </c>
      <c r="G2847" s="3">
        <v>11933</v>
      </c>
      <c r="H2847" s="7" t="str">
        <f>HYPERLINK("http://www.ensembl.org/Mus_musculus/Gene/Summary?db=core;g=ENSMUSG00000032412","ENSMUSG00000032412")</f>
        <v>ENSMUSG00000032412</v>
      </c>
      <c r="I2847" s="7" t="str">
        <f>HYPERLINK("http://www.informatics.jax.org/marker/MGI:107788","MGI:107788")</f>
        <v>MGI:107788</v>
      </c>
      <c r="J2847" s="4" t="s">
        <v>12</v>
      </c>
    </row>
    <row r="2848" spans="1:10" x14ac:dyDescent="0.25">
      <c r="A2848" s="2">
        <v>45.194764489052098</v>
      </c>
      <c r="B2848" s="3">
        <v>0.21555670907274499</v>
      </c>
      <c r="C2848" s="3">
        <v>0.22281299064364901</v>
      </c>
      <c r="D2848" s="4">
        <v>0.38096271860038999</v>
      </c>
      <c r="E2848" s="3" t="s">
        <v>12370</v>
      </c>
      <c r="F2848" s="3" t="s">
        <v>12371</v>
      </c>
      <c r="G2848" s="3" t="s">
        <v>83</v>
      </c>
      <c r="H2848" s="7" t="str">
        <f>HYPERLINK("http://www.ensembl.org/Mus_musculus/Gene/Summary?db=core;g=ENSMUSG00000099081","ENSMUSG00000099081")</f>
        <v>ENSMUSG00000099081</v>
      </c>
      <c r="I2848" s="7" t="str">
        <f>HYPERLINK("http://www.informatics.jax.org/marker/MGI:5531006","MGI:5531006")</f>
        <v>MGI:5531006</v>
      </c>
      <c r="J2848" s="4" t="s">
        <v>9951</v>
      </c>
    </row>
    <row r="2849" spans="1:10" x14ac:dyDescent="0.25">
      <c r="A2849" s="2">
        <v>3634.6454237087601</v>
      </c>
      <c r="B2849" s="3">
        <v>0.21552872514472299</v>
      </c>
      <c r="C2849" s="5">
        <v>2.3327144265252299E-7</v>
      </c>
      <c r="D2849" s="6">
        <v>1.4044836611635999E-6</v>
      </c>
      <c r="E2849" s="3" t="s">
        <v>5515</v>
      </c>
      <c r="F2849" s="3" t="s">
        <v>5516</v>
      </c>
      <c r="G2849" s="3">
        <v>24128</v>
      </c>
      <c r="H2849" s="7" t="str">
        <f>HYPERLINK("http://www.ensembl.org/Mus_musculus/Gene/Summary?db=core;g=ENSMUSG00000027433","ENSMUSG00000027433")</f>
        <v>ENSMUSG00000027433</v>
      </c>
      <c r="I2849" s="7" t="str">
        <f>HYPERLINK("http://www.informatics.jax.org/marker/MGI:894687","MGI:894687")</f>
        <v>MGI:894687</v>
      </c>
      <c r="J2849" s="4" t="s">
        <v>12</v>
      </c>
    </row>
    <row r="2850" spans="1:10" x14ac:dyDescent="0.25">
      <c r="A2850" s="2">
        <v>8455.0763175147695</v>
      </c>
      <c r="B2850" s="3">
        <v>0.21550041896615599</v>
      </c>
      <c r="C2850" s="3">
        <v>2.29348487849626E-4</v>
      </c>
      <c r="D2850" s="4">
        <v>9.0180716096212104E-4</v>
      </c>
      <c r="E2850" s="3" t="s">
        <v>8793</v>
      </c>
      <c r="F2850" s="3" t="s">
        <v>8794</v>
      </c>
      <c r="G2850" s="3">
        <v>76846</v>
      </c>
      <c r="H2850" s="7" t="str">
        <f>HYPERLINK("http://www.ensembl.org/Mus_musculus/Gene/Summary?db=core;g=ENSMUSG00000006333","ENSMUSG00000006333")</f>
        <v>ENSMUSG00000006333</v>
      </c>
      <c r="I2850" s="7" t="str">
        <f>HYPERLINK("http://www.informatics.jax.org/marker/MGI:1924096","MGI:1924096")</f>
        <v>MGI:1924096</v>
      </c>
      <c r="J2850" s="4" t="s">
        <v>12</v>
      </c>
    </row>
    <row r="2851" spans="1:10" x14ac:dyDescent="0.25">
      <c r="A2851" s="2">
        <v>1796.28099866569</v>
      </c>
      <c r="B2851" s="3">
        <v>0.21537500664911299</v>
      </c>
      <c r="C2851" s="3">
        <v>4.4712995554341397E-4</v>
      </c>
      <c r="D2851" s="4">
        <v>1.6739818076784601E-3</v>
      </c>
      <c r="E2851" s="3" t="s">
        <v>8885</v>
      </c>
      <c r="F2851" s="3" t="s">
        <v>8886</v>
      </c>
      <c r="G2851" s="3">
        <v>19155</v>
      </c>
      <c r="H2851" s="7" t="str">
        <f>HYPERLINK("http://www.ensembl.org/Mus_musculus/Gene/Summary?db=core;g=ENSMUSG00000001441","ENSMUSG00000001441")</f>
        <v>ENSMUSG00000001441</v>
      </c>
      <c r="I2851" s="7" t="str">
        <f>HYPERLINK("http://www.informatics.jax.org/marker/MGI:1101358","MGI:1101358")</f>
        <v>MGI:1101358</v>
      </c>
      <c r="J2851" s="4" t="s">
        <v>12</v>
      </c>
    </row>
    <row r="2852" spans="1:10" x14ac:dyDescent="0.25">
      <c r="A2852" s="2">
        <v>537.163039311131</v>
      </c>
      <c r="B2852" s="3">
        <v>0.21509328062257399</v>
      </c>
      <c r="C2852" s="3">
        <v>7.2300649818826798E-4</v>
      </c>
      <c r="D2852" s="4">
        <v>2.6051390726534599E-3</v>
      </c>
      <c r="E2852" s="3" t="s">
        <v>11349</v>
      </c>
      <c r="F2852" s="3" t="s">
        <v>11350</v>
      </c>
      <c r="G2852" s="3">
        <v>52397</v>
      </c>
      <c r="H2852" s="7" t="str">
        <f>HYPERLINK("http://www.ensembl.org/Mus_musculus/Gene/Summary?db=core;g=ENSMUSG00000049606","ENSMUSG00000049606")</f>
        <v>ENSMUSG00000049606</v>
      </c>
      <c r="I2852" s="7" t="str">
        <f>HYPERLINK("http://www.informatics.jax.org/marker/MGI:1277212","MGI:1277212")</f>
        <v>MGI:1277212</v>
      </c>
      <c r="J2852" s="4" t="s">
        <v>12</v>
      </c>
    </row>
    <row r="2853" spans="1:10" x14ac:dyDescent="0.25">
      <c r="A2853" s="2">
        <v>1943.7079111611399</v>
      </c>
      <c r="B2853" s="3">
        <v>0.215010262333166</v>
      </c>
      <c r="C2853" s="3">
        <v>5.1637758143483301E-2</v>
      </c>
      <c r="D2853" s="4">
        <v>0.117285411536015</v>
      </c>
      <c r="E2853" s="3" t="s">
        <v>6553</v>
      </c>
      <c r="F2853" s="3" t="s">
        <v>6554</v>
      </c>
      <c r="G2853" s="3">
        <v>20910</v>
      </c>
      <c r="H2853" s="7" t="str">
        <f>HYPERLINK("http://www.ensembl.org/Mus_musculus/Gene/Summary?db=core;g=ENSMUSG00000026797","ENSMUSG00000026797")</f>
        <v>ENSMUSG00000026797</v>
      </c>
      <c r="I2853" s="7" t="str">
        <f>HYPERLINK("http://www.informatics.jax.org/marker/MGI:107363","MGI:107363")</f>
        <v>MGI:107363</v>
      </c>
      <c r="J2853" s="4" t="s">
        <v>12</v>
      </c>
    </row>
    <row r="2854" spans="1:10" x14ac:dyDescent="0.25">
      <c r="A2854" s="2">
        <v>7536.2309881588199</v>
      </c>
      <c r="B2854" s="3">
        <v>0.21490070387216301</v>
      </c>
      <c r="C2854" s="3">
        <v>5.2372871784011005E-4</v>
      </c>
      <c r="D2854" s="4">
        <v>1.93884945818322E-3</v>
      </c>
      <c r="E2854" s="3" t="s">
        <v>7534</v>
      </c>
      <c r="F2854" s="3" t="s">
        <v>7535</v>
      </c>
      <c r="G2854" s="3">
        <v>59069</v>
      </c>
      <c r="H2854" s="7" t="str">
        <f>HYPERLINK("http://www.ensembl.org/Mus_musculus/Gene/Summary?db=core;g=ENSMUSG00000027940","ENSMUSG00000027940")</f>
        <v>ENSMUSG00000027940</v>
      </c>
      <c r="I2854" s="7" t="str">
        <f>HYPERLINK("http://www.informatics.jax.org/marker/MGI:1890149","MGI:1890149")</f>
        <v>MGI:1890149</v>
      </c>
      <c r="J2854" s="4" t="s">
        <v>12</v>
      </c>
    </row>
    <row r="2855" spans="1:10" x14ac:dyDescent="0.25">
      <c r="A2855" s="2">
        <v>274.24838188393699</v>
      </c>
      <c r="B2855" s="3">
        <v>0.21489904438495</v>
      </c>
      <c r="C2855" s="3">
        <v>7.47989020390738E-3</v>
      </c>
      <c r="D2855" s="4">
        <v>2.1652001106450401E-2</v>
      </c>
      <c r="E2855" s="3" t="s">
        <v>3380</v>
      </c>
      <c r="F2855" s="3" t="s">
        <v>3381</v>
      </c>
      <c r="G2855" s="3">
        <v>73373</v>
      </c>
      <c r="H2855" s="7" t="str">
        <f>HYPERLINK("http://www.ensembl.org/Mus_musculus/Gene/Summary?db=core;g=ENSMUSG00000027088","ENSMUSG00000027088")</f>
        <v>ENSMUSG00000027088</v>
      </c>
      <c r="I2855" s="7" t="str">
        <f>HYPERLINK("http://www.informatics.jax.org/marker/MGI:1920623","MGI:1920623")</f>
        <v>MGI:1920623</v>
      </c>
      <c r="J2855" s="4" t="s">
        <v>12</v>
      </c>
    </row>
    <row r="2856" spans="1:10" x14ac:dyDescent="0.25">
      <c r="A2856" s="2">
        <v>359.077446510313</v>
      </c>
      <c r="B2856" s="3">
        <v>0.21487451920675901</v>
      </c>
      <c r="C2856" s="3">
        <v>1.91689154908634E-2</v>
      </c>
      <c r="D2856" s="4">
        <v>4.9751279524492403E-2</v>
      </c>
      <c r="E2856" s="3" t="s">
        <v>11233</v>
      </c>
      <c r="F2856" s="3" t="s">
        <v>11234</v>
      </c>
      <c r="G2856" s="3">
        <v>70012</v>
      </c>
      <c r="H2856" s="7" t="str">
        <f>HYPERLINK("http://www.ensembl.org/Mus_musculus/Gene/Summary?db=core;g=ENSMUSG00000037443","ENSMUSG00000037443")</f>
        <v>ENSMUSG00000037443</v>
      </c>
      <c r="I2856" s="7" t="str">
        <f>HYPERLINK("http://www.informatics.jax.org/marker/MGI:1917262","MGI:1917262")</f>
        <v>MGI:1917262</v>
      </c>
      <c r="J2856" s="4" t="s">
        <v>12</v>
      </c>
    </row>
    <row r="2857" spans="1:10" x14ac:dyDescent="0.25">
      <c r="A2857" s="2">
        <v>4087.9129972771402</v>
      </c>
      <c r="B2857" s="3">
        <v>0.21472236418766399</v>
      </c>
      <c r="C2857" s="3">
        <v>4.3224472569414699E-3</v>
      </c>
      <c r="D2857" s="4">
        <v>1.31998326504287E-2</v>
      </c>
      <c r="E2857" s="3" t="s">
        <v>12435</v>
      </c>
      <c r="F2857" s="3" t="s">
        <v>12436</v>
      </c>
      <c r="G2857" s="3">
        <v>14109</v>
      </c>
      <c r="H2857" s="7" t="str">
        <f>HYPERLINK("http://www.ensembl.org/Mus_musculus/Gene/Summary?db=core;g=ENSMUSG00000038274","ENSMUSG00000038274")</f>
        <v>ENSMUSG00000038274</v>
      </c>
      <c r="I2857" s="7" t="str">
        <f>HYPERLINK("http://www.informatics.jax.org/marker/MGI:102547","MGI:102547")</f>
        <v>MGI:102547</v>
      </c>
      <c r="J2857" s="4" t="s">
        <v>12</v>
      </c>
    </row>
    <row r="2858" spans="1:10" x14ac:dyDescent="0.25">
      <c r="A2858" s="2">
        <v>805.56874664452403</v>
      </c>
      <c r="B2858" s="3">
        <v>0.21471114753809201</v>
      </c>
      <c r="C2858" s="3">
        <v>6.4490175941234002E-3</v>
      </c>
      <c r="D2858" s="4">
        <v>1.8917689117721698E-2</v>
      </c>
      <c r="E2858" s="3" t="s">
        <v>10728</v>
      </c>
      <c r="F2858" s="3" t="s">
        <v>10729</v>
      </c>
      <c r="G2858" s="3">
        <v>11783</v>
      </c>
      <c r="H2858" s="7" t="str">
        <f>HYPERLINK("http://www.ensembl.org/Mus_musculus/Gene/Summary?db=core;g=ENSMUSG00000019979","ENSMUSG00000019979")</f>
        <v>ENSMUSG00000019979</v>
      </c>
      <c r="I2858" s="7" t="str">
        <f>HYPERLINK("http://www.informatics.jax.org/marker/MGI:1306796","MGI:1306796")</f>
        <v>MGI:1306796</v>
      </c>
      <c r="J2858" s="4" t="s">
        <v>12</v>
      </c>
    </row>
    <row r="2859" spans="1:10" x14ac:dyDescent="0.25">
      <c r="A2859" s="2">
        <v>2033.92112045558</v>
      </c>
      <c r="B2859" s="3">
        <v>0.214616633968015</v>
      </c>
      <c r="C2859" s="3">
        <v>6.5573159662270994E-2</v>
      </c>
      <c r="D2859" s="4">
        <v>0.14334542819298199</v>
      </c>
      <c r="E2859" s="3" t="s">
        <v>11513</v>
      </c>
      <c r="F2859" s="3" t="s">
        <v>11514</v>
      </c>
      <c r="G2859" s="3">
        <v>66168</v>
      </c>
      <c r="H2859" s="7" t="str">
        <f>HYPERLINK("http://www.ensembl.org/Mus_musculus/Gene/Summary?db=core;g=ENSMUSG00000022564","ENSMUSG00000022564")</f>
        <v>ENSMUSG00000022564</v>
      </c>
      <c r="I2859" s="7" t="str">
        <f>HYPERLINK("http://www.informatics.jax.org/marker/MGI:1913418","MGI:1913418")</f>
        <v>MGI:1913418</v>
      </c>
      <c r="J2859" s="4" t="s">
        <v>12</v>
      </c>
    </row>
    <row r="2860" spans="1:10" x14ac:dyDescent="0.25">
      <c r="A2860" s="2">
        <v>5474.8525882431404</v>
      </c>
      <c r="B2860" s="3">
        <v>0.214277279020435</v>
      </c>
      <c r="C2860" s="3">
        <v>2.0222278241045898E-3</v>
      </c>
      <c r="D2860" s="4">
        <v>6.6863392769060497E-3</v>
      </c>
      <c r="E2860" s="3" t="s">
        <v>11739</v>
      </c>
      <c r="F2860" s="3" t="s">
        <v>11740</v>
      </c>
      <c r="G2860" s="3">
        <v>20005</v>
      </c>
      <c r="H2860" s="7" t="str">
        <f>HYPERLINK("http://www.ensembl.org/Mus_musculus/Gene/Summary?db=core;g=ENSMUSG00000047215","ENSMUSG00000047215")</f>
        <v>ENSMUSG00000047215</v>
      </c>
      <c r="I2860" s="7" t="str">
        <f>HYPERLINK("http://www.informatics.jax.org/marker/MGI:1298373","MGI:1298373")</f>
        <v>MGI:1298373</v>
      </c>
      <c r="J2860" s="4" t="s">
        <v>12</v>
      </c>
    </row>
    <row r="2861" spans="1:10" x14ac:dyDescent="0.25">
      <c r="A2861" s="2">
        <v>20.418793745684599</v>
      </c>
      <c r="B2861" s="3">
        <v>0.213923444489412</v>
      </c>
      <c r="C2861" s="3">
        <v>0.344727103312504</v>
      </c>
      <c r="D2861" s="4">
        <v>0.52279828096542003</v>
      </c>
      <c r="E2861" s="3" t="s">
        <v>12793</v>
      </c>
      <c r="F2861" s="3" t="s">
        <v>12794</v>
      </c>
      <c r="G2861" s="3" t="s">
        <v>83</v>
      </c>
      <c r="H2861" s="7" t="str">
        <f>HYPERLINK("http://www.ensembl.org/Mus_musculus/Gene/Summary?db=core;g=ENSMUSG00000081302","ENSMUSG00000081302")</f>
        <v>ENSMUSG00000081302</v>
      </c>
      <c r="I2861" s="7" t="str">
        <f>HYPERLINK("http://www.informatics.jax.org/marker/MGI:3650978","MGI:3650978")</f>
        <v>MGI:3650978</v>
      </c>
      <c r="J2861" s="4" t="s">
        <v>1043</v>
      </c>
    </row>
    <row r="2862" spans="1:10" x14ac:dyDescent="0.25">
      <c r="A2862" s="2">
        <v>1661.2379804785101</v>
      </c>
      <c r="B2862" s="3">
        <v>0.21362918443505299</v>
      </c>
      <c r="C2862" s="3">
        <v>1.5086495513075699E-4</v>
      </c>
      <c r="D2862" s="4">
        <v>6.1141067539649497E-4</v>
      </c>
      <c r="E2862" s="3" t="s">
        <v>9585</v>
      </c>
      <c r="F2862" s="3" t="s">
        <v>9586</v>
      </c>
      <c r="G2862" s="3">
        <v>59022</v>
      </c>
      <c r="H2862" s="7" t="str">
        <f>HYPERLINK("http://www.ensembl.org/Mus_musculus/Gene/Summary?db=core;g=ENSMUSG00000015092","ENSMUSG00000015092")</f>
        <v>ENSMUSG00000015092</v>
      </c>
      <c r="I2862" s="7" t="str">
        <f>HYPERLINK("http://www.informatics.jax.org/marker/MGI:1891227","MGI:1891227")</f>
        <v>MGI:1891227</v>
      </c>
      <c r="J2862" s="4" t="s">
        <v>12</v>
      </c>
    </row>
    <row r="2863" spans="1:10" x14ac:dyDescent="0.25">
      <c r="A2863" s="2">
        <v>2125.2210830393401</v>
      </c>
      <c r="B2863" s="3">
        <v>0.21360452100539801</v>
      </c>
      <c r="C2863" s="3">
        <v>7.4018204522294695E-4</v>
      </c>
      <c r="D2863" s="4">
        <v>2.6612384640339699E-3</v>
      </c>
      <c r="E2863" s="3" t="s">
        <v>13863</v>
      </c>
      <c r="F2863" s="3" t="s">
        <v>13864</v>
      </c>
      <c r="G2863" s="3">
        <v>64144</v>
      </c>
      <c r="H2863" s="7" t="str">
        <f>HYPERLINK("http://www.ensembl.org/Mus_musculus/Gene/Summary?db=core;g=ENSMUSG00000024212","ENSMUSG00000024212")</f>
        <v>ENSMUSG00000024212</v>
      </c>
      <c r="I2863" s="7" t="str">
        <f>HYPERLINK("http://www.informatics.jax.org/marker/MGI:1927238","MGI:1927238")</f>
        <v>MGI:1927238</v>
      </c>
      <c r="J2863" s="4" t="s">
        <v>12</v>
      </c>
    </row>
    <row r="2864" spans="1:10" x14ac:dyDescent="0.25">
      <c r="A2864" s="2">
        <v>4427.0681130249804</v>
      </c>
      <c r="B2864" s="3">
        <v>0.21345796395070499</v>
      </c>
      <c r="C2864" s="3">
        <v>6.8673822801702802E-3</v>
      </c>
      <c r="D2864" s="4">
        <v>2.0038111120093401E-2</v>
      </c>
      <c r="E2864" s="3" t="s">
        <v>9375</v>
      </c>
      <c r="F2864" s="3" t="s">
        <v>9376</v>
      </c>
      <c r="G2864" s="3">
        <v>18263</v>
      </c>
      <c r="H2864" s="7" t="str">
        <f>HYPERLINK("http://www.ensembl.org/Mus_musculus/Gene/Summary?db=core;g=ENSMUSG00000011179","ENSMUSG00000011179")</f>
        <v>ENSMUSG00000011179</v>
      </c>
      <c r="I2864" s="7" t="str">
        <f>HYPERLINK("http://www.informatics.jax.org/marker/MGI:97402","MGI:97402")</f>
        <v>MGI:97402</v>
      </c>
      <c r="J2864" s="4" t="s">
        <v>12</v>
      </c>
    </row>
    <row r="2865" spans="1:10" x14ac:dyDescent="0.25">
      <c r="A2865" s="2">
        <v>5627.2702790045996</v>
      </c>
      <c r="B2865" s="3">
        <v>0.213035212398372</v>
      </c>
      <c r="C2865" s="3">
        <v>3.2253834507993499E-4</v>
      </c>
      <c r="D2865" s="4">
        <v>1.2337051367857801E-3</v>
      </c>
      <c r="E2865" s="3" t="s">
        <v>11253</v>
      </c>
      <c r="F2865" s="3" t="s">
        <v>11254</v>
      </c>
      <c r="G2865" s="3">
        <v>19899</v>
      </c>
      <c r="H2865" s="7" t="str">
        <f>HYPERLINK("http://www.ensembl.org/Mus_musculus/Gene/Summary?db=core;g=ENSMUSG00000059070","ENSMUSG00000059070")</f>
        <v>ENSMUSG00000059070</v>
      </c>
      <c r="I2865" s="7" t="str">
        <f>HYPERLINK("http://www.informatics.jax.org/marker/MGI:98003","MGI:98003")</f>
        <v>MGI:98003</v>
      </c>
      <c r="J2865" s="4" t="s">
        <v>12</v>
      </c>
    </row>
    <row r="2866" spans="1:10" x14ac:dyDescent="0.25">
      <c r="A2866" s="2">
        <v>71.080854208408894</v>
      </c>
      <c r="B2866" s="3">
        <v>0.21245482896602799</v>
      </c>
      <c r="C2866" s="3">
        <v>0.17873788318338801</v>
      </c>
      <c r="D2866" s="4">
        <v>0.32239686470875401</v>
      </c>
      <c r="E2866" s="3" t="s">
        <v>13447</v>
      </c>
      <c r="F2866" s="3" t="s">
        <v>13448</v>
      </c>
      <c r="G2866" s="3">
        <v>66226</v>
      </c>
      <c r="H2866" s="7" t="str">
        <f>HYPERLINK("http://www.ensembl.org/Mus_musculus/Gene/Summary?db=core;g=ENSMUSG00000079317","ENSMUSG00000079317")</f>
        <v>ENSMUSG00000079317</v>
      </c>
      <c r="I2866" s="7" t="str">
        <f>HYPERLINK("http://www.informatics.jax.org/marker/MGI:1913476","MGI:1913476")</f>
        <v>MGI:1913476</v>
      </c>
      <c r="J2866" s="4" t="s">
        <v>12</v>
      </c>
    </row>
    <row r="2867" spans="1:10" x14ac:dyDescent="0.25">
      <c r="A2867" s="2">
        <v>2944.43174895826</v>
      </c>
      <c r="B2867" s="3">
        <v>0.21240879042098801</v>
      </c>
      <c r="C2867" s="3">
        <v>4.65823451098126E-4</v>
      </c>
      <c r="D2867" s="4">
        <v>1.7393223512114999E-3</v>
      </c>
      <c r="E2867" s="3" t="s">
        <v>10624</v>
      </c>
      <c r="F2867" s="3" t="s">
        <v>10625</v>
      </c>
      <c r="G2867" s="3">
        <v>114584</v>
      </c>
      <c r="H2867" s="7" t="str">
        <f>HYPERLINK("http://www.ensembl.org/Mus_musculus/Gene/Summary?db=core;g=ENSMUSG00000007041","ENSMUSG00000007041")</f>
        <v>ENSMUSG00000007041</v>
      </c>
      <c r="I2867" s="7" t="str">
        <f>HYPERLINK("http://www.informatics.jax.org/marker/MGI:2148924","MGI:2148924")</f>
        <v>MGI:2148924</v>
      </c>
      <c r="J2867" s="4" t="s">
        <v>12</v>
      </c>
    </row>
    <row r="2868" spans="1:10" x14ac:dyDescent="0.25">
      <c r="A2868" s="2">
        <v>418.77158862326797</v>
      </c>
      <c r="B2868" s="3">
        <v>0.21174199865718399</v>
      </c>
      <c r="C2868" s="3">
        <v>3.7666780585182799E-3</v>
      </c>
      <c r="D2868" s="4">
        <v>1.1674780206887E-2</v>
      </c>
      <c r="E2868" s="3" t="s">
        <v>8335</v>
      </c>
      <c r="F2868" s="3" t="s">
        <v>8336</v>
      </c>
      <c r="G2868" s="3">
        <v>68152</v>
      </c>
      <c r="H2868" s="7" t="str">
        <f>HYPERLINK("http://www.ensembl.org/Mus_musculus/Gene/Summary?db=core;g=ENSMUSG00000058503","ENSMUSG00000058503")</f>
        <v>ENSMUSG00000058503</v>
      </c>
      <c r="I2868" s="7" t="str">
        <f>HYPERLINK("http://www.informatics.jax.org/marker/MGI:1915402","MGI:1915402")</f>
        <v>MGI:1915402</v>
      </c>
      <c r="J2868" s="4" t="s">
        <v>12</v>
      </c>
    </row>
    <row r="2869" spans="1:10" x14ac:dyDescent="0.25">
      <c r="A2869" s="2">
        <v>4768.6641731920399</v>
      </c>
      <c r="B2869" s="3">
        <v>0.21145145386797401</v>
      </c>
      <c r="C2869" s="3">
        <v>8.43737011626545E-3</v>
      </c>
      <c r="D2869" s="4">
        <v>2.41058269899573E-2</v>
      </c>
      <c r="E2869" s="3" t="s">
        <v>11705</v>
      </c>
      <c r="F2869" s="3" t="s">
        <v>11706</v>
      </c>
      <c r="G2869" s="3">
        <v>15381</v>
      </c>
      <c r="H2869" s="7" t="str">
        <f>HYPERLINK("http://www.ensembl.org/Mus_musculus/Gene/Summary?db=core;g=ENSMUSG00000060373","ENSMUSG00000060373")</f>
        <v>ENSMUSG00000060373</v>
      </c>
      <c r="I2869" s="7" t="str">
        <f>HYPERLINK("http://www.informatics.jax.org/marker/MGI:107795","MGI:107795")</f>
        <v>MGI:107795</v>
      </c>
      <c r="J2869" s="4" t="s">
        <v>12</v>
      </c>
    </row>
    <row r="2870" spans="1:10" x14ac:dyDescent="0.25">
      <c r="A2870" s="2">
        <v>963.96451695885605</v>
      </c>
      <c r="B2870" s="3">
        <v>0.211276462833316</v>
      </c>
      <c r="C2870" s="3">
        <v>5.7068090073101696E-4</v>
      </c>
      <c r="D2870" s="4">
        <v>2.1007189286654801E-3</v>
      </c>
      <c r="E2870" s="3" t="s">
        <v>11655</v>
      </c>
      <c r="F2870" s="3" t="s">
        <v>11656</v>
      </c>
      <c r="G2870" s="3">
        <v>229603</v>
      </c>
      <c r="H2870" s="7" t="str">
        <f>HYPERLINK("http://www.ensembl.org/Mus_musculus/Gene/Summary?db=core;g=ENSMUSG00000038495","ENSMUSG00000038495")</f>
        <v>ENSMUSG00000038495</v>
      </c>
      <c r="I2870" s="7" t="str">
        <f>HYPERLINK("http://www.informatics.jax.org/marker/MGI:2654703","MGI:2654703")</f>
        <v>MGI:2654703</v>
      </c>
      <c r="J2870" s="4" t="s">
        <v>12</v>
      </c>
    </row>
    <row r="2871" spans="1:10" x14ac:dyDescent="0.25">
      <c r="A2871" s="2">
        <v>3078.9799005858699</v>
      </c>
      <c r="B2871" s="3">
        <v>0.211071574755644</v>
      </c>
      <c r="C2871" s="3">
        <v>6.4709006057234305E-4</v>
      </c>
      <c r="D2871" s="4">
        <v>2.3558162912366998E-3</v>
      </c>
      <c r="E2871" s="3" t="s">
        <v>13385</v>
      </c>
      <c r="F2871" s="3" t="s">
        <v>13386</v>
      </c>
      <c r="G2871" s="3">
        <v>18648</v>
      </c>
      <c r="H2871" s="7" t="str">
        <f>HYPERLINK("http://www.ensembl.org/Mus_musculus/Gene/Summary?db=core;g=ENSMUSG00000011752","ENSMUSG00000011752")</f>
        <v>ENSMUSG00000011752</v>
      </c>
      <c r="I2871" s="7" t="str">
        <f>HYPERLINK("http://www.informatics.jax.org/marker/MGI:97552","MGI:97552")</f>
        <v>MGI:97552</v>
      </c>
      <c r="J2871" s="4" t="s">
        <v>12</v>
      </c>
    </row>
    <row r="2872" spans="1:10" x14ac:dyDescent="0.25">
      <c r="A2872" s="2">
        <v>1722.46219936431</v>
      </c>
      <c r="B2872" s="3">
        <v>0.211002619870612</v>
      </c>
      <c r="C2872" s="3">
        <v>1.3591147187763501E-4</v>
      </c>
      <c r="D2872" s="4">
        <v>5.5488050514558595E-4</v>
      </c>
      <c r="E2872" s="3" t="s">
        <v>6585</v>
      </c>
      <c r="F2872" s="3" t="s">
        <v>6586</v>
      </c>
      <c r="G2872" s="3">
        <v>68842</v>
      </c>
      <c r="H2872" s="7" t="str">
        <f>HYPERLINK("http://www.ensembl.org/Mus_musculus/Gene/Summary?db=core;g=ENSMUSG00000034377","ENSMUSG00000034377")</f>
        <v>ENSMUSG00000034377</v>
      </c>
      <c r="I2872" s="7" t="str">
        <f>HYPERLINK("http://www.informatics.jax.org/marker/MGI:1916092","MGI:1916092")</f>
        <v>MGI:1916092</v>
      </c>
      <c r="J2872" s="4" t="s">
        <v>12</v>
      </c>
    </row>
    <row r="2873" spans="1:10" x14ac:dyDescent="0.25">
      <c r="A2873" s="2">
        <v>485.973234780327</v>
      </c>
      <c r="B2873" s="3">
        <v>0.21093086551505999</v>
      </c>
      <c r="C2873" s="3">
        <v>5.4467719730847797E-2</v>
      </c>
      <c r="D2873" s="4">
        <v>0.122706578131419</v>
      </c>
      <c r="E2873" s="3" t="s">
        <v>13887</v>
      </c>
      <c r="F2873" s="3" t="s">
        <v>13888</v>
      </c>
      <c r="G2873" s="3">
        <v>263803</v>
      </c>
      <c r="H2873" s="7" t="str">
        <f>HYPERLINK("http://www.ensembl.org/Mus_musculus/Gene/Summary?db=core;g=ENSMUSG00000026785","ENSMUSG00000026785")</f>
        <v>ENSMUSG00000026785</v>
      </c>
      <c r="I2873" s="7" t="str">
        <f>HYPERLINK("http://www.informatics.jax.org/marker/MGI:2388285","MGI:2388285")</f>
        <v>MGI:2388285</v>
      </c>
      <c r="J2873" s="4" t="s">
        <v>12</v>
      </c>
    </row>
    <row r="2874" spans="1:10" x14ac:dyDescent="0.25">
      <c r="A2874" s="2">
        <v>3382.1599675474299</v>
      </c>
      <c r="B2874" s="3">
        <v>0.21055730747691201</v>
      </c>
      <c r="C2874" s="5">
        <v>9.3825503044877602E-9</v>
      </c>
      <c r="D2874" s="6">
        <v>6.5591476524468495E-8</v>
      </c>
      <c r="E2874" s="3" t="s">
        <v>7592</v>
      </c>
      <c r="F2874" s="3" t="s">
        <v>7593</v>
      </c>
      <c r="G2874" s="3">
        <v>19072</v>
      </c>
      <c r="H2874" s="7" t="str">
        <f>HYPERLINK("http://www.ensembl.org/Mus_musculus/Gene/Summary?db=core;g=ENSMUSG00000019849","ENSMUSG00000019849")</f>
        <v>ENSMUSG00000019849</v>
      </c>
      <c r="I2874" s="7" t="str">
        <f>HYPERLINK("http://www.informatics.jax.org/marker/MGI:1270863","MGI:1270863")</f>
        <v>MGI:1270863</v>
      </c>
      <c r="J2874" s="4" t="s">
        <v>12</v>
      </c>
    </row>
    <row r="2875" spans="1:10" x14ac:dyDescent="0.25">
      <c r="A2875" s="2">
        <v>429.82775465831401</v>
      </c>
      <c r="B2875" s="3">
        <v>0.21042632455726501</v>
      </c>
      <c r="C2875" s="3">
        <v>6.7329318660986296E-3</v>
      </c>
      <c r="D2875" s="4">
        <v>1.96678447282654E-2</v>
      </c>
      <c r="E2875" s="3" t="s">
        <v>12139</v>
      </c>
      <c r="F2875" s="3" t="s">
        <v>12140</v>
      </c>
      <c r="G2875" s="3">
        <v>386612</v>
      </c>
      <c r="H2875" s="7" t="str">
        <f>HYPERLINK("http://www.ensembl.org/Mus_musculus/Gene/Summary?db=core;g=ENSMUSG00000041319","ENSMUSG00000041319")</f>
        <v>ENSMUSG00000041319</v>
      </c>
      <c r="I2875" s="7" t="str">
        <f>HYPERLINK("http://www.informatics.jax.org/marker/MGI:2677480","MGI:2677480")</f>
        <v>MGI:2677480</v>
      </c>
      <c r="J2875" s="4" t="s">
        <v>12</v>
      </c>
    </row>
    <row r="2876" spans="1:10" x14ac:dyDescent="0.25">
      <c r="A2876" s="2">
        <v>2172.9586346952801</v>
      </c>
      <c r="B2876" s="3">
        <v>0.210330696403427</v>
      </c>
      <c r="C2876" s="3">
        <v>1.54515100202141E-4</v>
      </c>
      <c r="D2876" s="4">
        <v>6.2536924299001295E-4</v>
      </c>
      <c r="E2876" s="3" t="s">
        <v>11835</v>
      </c>
      <c r="F2876" s="3" t="s">
        <v>11836</v>
      </c>
      <c r="G2876" s="3">
        <v>229877</v>
      </c>
      <c r="H2876" s="7" t="str">
        <f>HYPERLINK("http://www.ensembl.org/Mus_musculus/Gene/Summary?db=core;g=ENSMUSG00000028149","ENSMUSG00000028149")</f>
        <v>ENSMUSG00000028149</v>
      </c>
      <c r="I2876" s="7" t="str">
        <f>HYPERLINK("http://www.informatics.jax.org/marker/MGI:2385189","MGI:2385189")</f>
        <v>MGI:2385189</v>
      </c>
      <c r="J2876" s="4" t="s">
        <v>12</v>
      </c>
    </row>
    <row r="2877" spans="1:10" x14ac:dyDescent="0.25">
      <c r="A2877" s="2">
        <v>760.629096980383</v>
      </c>
      <c r="B2877" s="3">
        <v>0.210069204525904</v>
      </c>
      <c r="C2877" s="3">
        <v>5.6814757964865504E-3</v>
      </c>
      <c r="D2877" s="4">
        <v>1.68530104803007E-2</v>
      </c>
      <c r="E2877" s="3" t="s">
        <v>11359</v>
      </c>
      <c r="F2877" s="3" t="s">
        <v>11360</v>
      </c>
      <c r="G2877" s="3">
        <v>77951</v>
      </c>
      <c r="H2877" s="7" t="str">
        <f>HYPERLINK("http://www.ensembl.org/Mus_musculus/Gene/Summary?db=core;g=ENSMUSG00000049439","ENSMUSG00000049439")</f>
        <v>ENSMUSG00000049439</v>
      </c>
      <c r="I2877" s="7" t="str">
        <f>HYPERLINK("http://www.informatics.jax.org/marker/MGI:1925201","MGI:1925201")</f>
        <v>MGI:1925201</v>
      </c>
      <c r="J2877" s="4" t="s">
        <v>12</v>
      </c>
    </row>
    <row r="2878" spans="1:10" x14ac:dyDescent="0.25">
      <c r="A2878" s="2">
        <v>63.695935743570203</v>
      </c>
      <c r="B2878" s="3">
        <v>0.20999380288967501</v>
      </c>
      <c r="C2878" s="3">
        <v>0.185893689733588</v>
      </c>
      <c r="D2878" s="4">
        <v>0.33263745659250299</v>
      </c>
      <c r="E2878" s="3" t="s">
        <v>11831</v>
      </c>
      <c r="F2878" s="3" t="s">
        <v>11832</v>
      </c>
      <c r="G2878" s="3" t="s">
        <v>83</v>
      </c>
      <c r="H2878" s="7" t="str">
        <f>HYPERLINK("http://www.ensembl.org/Mus_musculus/Gene/Summary?db=core;g=ENSMUSG00000098265","ENSMUSG00000098265")</f>
        <v>ENSMUSG00000098265</v>
      </c>
      <c r="I2878" s="7" t="str">
        <f>HYPERLINK("http://www.informatics.jax.org/marker/MGI:5530899","MGI:5530899")</f>
        <v>MGI:5530899</v>
      </c>
      <c r="J2878" s="4" t="s">
        <v>9951</v>
      </c>
    </row>
    <row r="2879" spans="1:10" x14ac:dyDescent="0.25">
      <c r="A2879" s="2">
        <v>485.24047861234499</v>
      </c>
      <c r="B2879" s="3">
        <v>0.209966839307861</v>
      </c>
      <c r="C2879" s="3">
        <v>3.13522697090852E-4</v>
      </c>
      <c r="D2879" s="4">
        <v>1.2021778149549299E-3</v>
      </c>
      <c r="E2879" s="3" t="s">
        <v>7906</v>
      </c>
      <c r="F2879" s="3" t="s">
        <v>7907</v>
      </c>
      <c r="G2879" s="3">
        <v>66960</v>
      </c>
      <c r="H2879" s="7" t="str">
        <f>HYPERLINK("http://www.ensembl.org/Mus_musculus/Gene/Summary?db=core;g=ENSMUSG00000026767","ENSMUSG00000026767")</f>
        <v>ENSMUSG00000026767</v>
      </c>
      <c r="I2879" s="7" t="str">
        <f>HYPERLINK("http://www.informatics.jax.org/marker/MGI:1914210","MGI:1914210")</f>
        <v>MGI:1914210</v>
      </c>
      <c r="J2879" s="4" t="s">
        <v>12</v>
      </c>
    </row>
    <row r="2880" spans="1:10" x14ac:dyDescent="0.25">
      <c r="A2880" s="2">
        <v>718.562735165802</v>
      </c>
      <c r="B2880" s="3">
        <v>0.20994753615961101</v>
      </c>
      <c r="C2880" s="3">
        <v>1.62380038525983E-3</v>
      </c>
      <c r="D2880" s="4">
        <v>5.4915127150418396E-3</v>
      </c>
      <c r="E2880" s="3" t="s">
        <v>13723</v>
      </c>
      <c r="F2880" s="3" t="s">
        <v>13724</v>
      </c>
      <c r="G2880" s="3">
        <v>75758</v>
      </c>
      <c r="H2880" s="7" t="str">
        <f>HYPERLINK("http://www.ensembl.org/Mus_musculus/Gene/Summary?db=core;g=ENSMUSG00000101892","ENSMUSG00000101892")</f>
        <v>ENSMUSG00000101892</v>
      </c>
      <c r="I2880" s="7" t="str">
        <f>HYPERLINK("http://www.informatics.jax.org/marker/MGI:1923008","MGI:1923008")</f>
        <v>MGI:1923008</v>
      </c>
      <c r="J2880" s="4" t="s">
        <v>12</v>
      </c>
    </row>
    <row r="2881" spans="1:10" x14ac:dyDescent="0.25">
      <c r="A2881" s="2">
        <v>1289.5812085579701</v>
      </c>
      <c r="B2881" s="3">
        <v>0.209715831690127</v>
      </c>
      <c r="C2881" s="3">
        <v>2.33462700932737E-2</v>
      </c>
      <c r="D2881" s="4">
        <v>5.9054236287288397E-2</v>
      </c>
      <c r="E2881" s="3" t="s">
        <v>11263</v>
      </c>
      <c r="F2881" s="3" t="s">
        <v>11264</v>
      </c>
      <c r="G2881" s="3">
        <v>227644</v>
      </c>
      <c r="H2881" s="7" t="str">
        <f>HYPERLINK("http://www.ensembl.org/Mus_musculus/Gene/Summary?db=core;g=ENSMUSG00000036281","ENSMUSG00000036281")</f>
        <v>ENSMUSG00000036281</v>
      </c>
      <c r="I2881" s="7" t="str">
        <f>HYPERLINK("http://www.informatics.jax.org/marker/MGI:2443935","MGI:2443935")</f>
        <v>MGI:2443935</v>
      </c>
      <c r="J2881" s="4" t="s">
        <v>12</v>
      </c>
    </row>
    <row r="2882" spans="1:10" x14ac:dyDescent="0.25">
      <c r="A2882" s="2">
        <v>290.16514461752098</v>
      </c>
      <c r="B2882" s="3">
        <v>0.209649255462458</v>
      </c>
      <c r="C2882" s="3">
        <v>6.4960464090436897E-3</v>
      </c>
      <c r="D2882" s="4">
        <v>1.9039955902994701E-2</v>
      </c>
      <c r="E2882" s="3" t="s">
        <v>6862</v>
      </c>
      <c r="F2882" s="3" t="s">
        <v>6863</v>
      </c>
      <c r="G2882" s="3">
        <v>270802</v>
      </c>
      <c r="H2882" s="7" t="str">
        <f>HYPERLINK("http://www.ensembl.org/Mus_musculus/Gene/Summary?db=core;g=ENSMUSG00000053684","ENSMUSG00000053684")</f>
        <v>ENSMUSG00000053684</v>
      </c>
      <c r="I2882" s="7" t="str">
        <f>HYPERLINK("http://www.informatics.jax.org/marker/MGI:2670984","MGI:2670984")</f>
        <v>MGI:2670984</v>
      </c>
      <c r="J2882" s="4" t="s">
        <v>12</v>
      </c>
    </row>
    <row r="2883" spans="1:10" x14ac:dyDescent="0.25">
      <c r="A2883" s="2">
        <v>77.213192131009507</v>
      </c>
      <c r="B2883" s="3">
        <v>0.20961012446548399</v>
      </c>
      <c r="C2883" s="3">
        <v>0.14802614292442301</v>
      </c>
      <c r="D2883" s="4">
        <v>0.27895527399416797</v>
      </c>
      <c r="E2883" s="3" t="s">
        <v>12725</v>
      </c>
      <c r="F2883" s="3" t="s">
        <v>12726</v>
      </c>
      <c r="G2883" s="3">
        <v>73242</v>
      </c>
      <c r="H2883" s="7" t="str">
        <f>HYPERLINK("http://www.ensembl.org/Mus_musculus/Gene/Summary?db=core;g=ENSMUSG00000024426","ENSMUSG00000024426")</f>
        <v>ENSMUSG00000024426</v>
      </c>
      <c r="I2883" s="7" t="str">
        <f>HYPERLINK("http://www.informatics.jax.org/marker/MGI:1913869","MGI:1913869")</f>
        <v>MGI:1913869</v>
      </c>
      <c r="J2883" s="4" t="s">
        <v>12</v>
      </c>
    </row>
    <row r="2884" spans="1:10" x14ac:dyDescent="0.25">
      <c r="A2884" s="2">
        <v>249.07036723084701</v>
      </c>
      <c r="B2884" s="3">
        <v>0.20936946167515599</v>
      </c>
      <c r="C2884" s="3">
        <v>3.9883239137547301E-2</v>
      </c>
      <c r="D2884" s="4">
        <v>9.4191011180743703E-2</v>
      </c>
      <c r="E2884" s="3" t="s">
        <v>10788</v>
      </c>
      <c r="F2884" s="3" t="s">
        <v>10789</v>
      </c>
      <c r="G2884" s="3">
        <v>68865</v>
      </c>
      <c r="H2884" s="7" t="str">
        <f>HYPERLINK("http://www.ensembl.org/Mus_musculus/Gene/Summary?db=core;g=ENSMUSG00000031982","ENSMUSG00000031982")</f>
        <v>ENSMUSG00000031982</v>
      </c>
      <c r="I2884" s="7" t="str">
        <f>HYPERLINK("http://www.informatics.jax.org/marker/MGI:1916115","MGI:1916115")</f>
        <v>MGI:1916115</v>
      </c>
      <c r="J2884" s="4" t="s">
        <v>12</v>
      </c>
    </row>
    <row r="2885" spans="1:10" x14ac:dyDescent="0.25">
      <c r="A2885" s="2">
        <v>808.481124661021</v>
      </c>
      <c r="B2885" s="3">
        <v>0.209222095063584</v>
      </c>
      <c r="C2885" s="5">
        <v>3.7202120562655603E-5</v>
      </c>
      <c r="D2885" s="4">
        <v>1.6630087006485101E-4</v>
      </c>
      <c r="E2885" s="3" t="s">
        <v>4617</v>
      </c>
      <c r="F2885" s="3" t="s">
        <v>4618</v>
      </c>
      <c r="G2885" s="3">
        <v>76983</v>
      </c>
      <c r="H2885" s="7" t="str">
        <f>HYPERLINK("http://www.ensembl.org/Mus_musculus/Gene/Summary?db=core;g=ENSMUSG00000020952","ENSMUSG00000020952")</f>
        <v>ENSMUSG00000020952</v>
      </c>
      <c r="I2885" s="7" t="str">
        <f>HYPERLINK("http://www.informatics.jax.org/marker/MGI:1924233","MGI:1924233")</f>
        <v>MGI:1924233</v>
      </c>
      <c r="J2885" s="4" t="s">
        <v>12</v>
      </c>
    </row>
    <row r="2886" spans="1:10" x14ac:dyDescent="0.25">
      <c r="A2886" s="2">
        <v>2278.1072803193201</v>
      </c>
      <c r="B2886" s="3">
        <v>0.20920419434743601</v>
      </c>
      <c r="C2886" s="5">
        <v>4.7862003192499899E-6</v>
      </c>
      <c r="D2886" s="6">
        <v>2.4564489106823701E-5</v>
      </c>
      <c r="E2886" s="3" t="s">
        <v>6091</v>
      </c>
      <c r="F2886" s="3" t="s">
        <v>6092</v>
      </c>
      <c r="G2886" s="3">
        <v>15568</v>
      </c>
      <c r="H2886" s="7" t="str">
        <f>HYPERLINK("http://www.ensembl.org/Mus_musculus/Gene/Summary?db=core;g=ENSMUSG00000040028","ENSMUSG00000040028")</f>
        <v>ENSMUSG00000040028</v>
      </c>
      <c r="I2886" s="7" t="str">
        <f>HYPERLINK("http://www.informatics.jax.org/marker/MGI:1100851","MGI:1100851")</f>
        <v>MGI:1100851</v>
      </c>
      <c r="J2886" s="4" t="s">
        <v>12</v>
      </c>
    </row>
    <row r="2887" spans="1:10" x14ac:dyDescent="0.25">
      <c r="A2887" s="2">
        <v>1058.62457240036</v>
      </c>
      <c r="B2887" s="3">
        <v>0.20907182459524301</v>
      </c>
      <c r="C2887" s="5">
        <v>5.1914920122807202E-5</v>
      </c>
      <c r="D2887" s="4">
        <v>2.27221282237791E-4</v>
      </c>
      <c r="E2887" s="3" t="s">
        <v>7902</v>
      </c>
      <c r="F2887" s="3" t="s">
        <v>7903</v>
      </c>
      <c r="G2887" s="3">
        <v>76863</v>
      </c>
      <c r="H2887" s="7" t="str">
        <f>HYPERLINK("http://www.ensembl.org/Mus_musculus/Gene/Summary?db=core;g=ENSMUSG00000032002","ENSMUSG00000032002")</f>
        <v>ENSMUSG00000032002</v>
      </c>
      <c r="I2887" s="7" t="str">
        <f>HYPERLINK("http://www.informatics.jax.org/marker/MGI:1924113","MGI:1924113")</f>
        <v>MGI:1924113</v>
      </c>
      <c r="J2887" s="4" t="s">
        <v>12</v>
      </c>
    </row>
    <row r="2888" spans="1:10" x14ac:dyDescent="0.25">
      <c r="A2888" s="2">
        <v>1411.8702394024999</v>
      </c>
      <c r="B2888" s="3">
        <v>0.208950078810207</v>
      </c>
      <c r="C2888" s="3">
        <v>3.9682478982477698E-3</v>
      </c>
      <c r="D2888" s="4">
        <v>1.22267655022089E-2</v>
      </c>
      <c r="E2888" s="3" t="s">
        <v>9671</v>
      </c>
      <c r="F2888" s="3" t="s">
        <v>9672</v>
      </c>
      <c r="G2888" s="3">
        <v>329559</v>
      </c>
      <c r="H2888" s="7" t="str">
        <f>HYPERLINK("http://www.ensembl.org/Mus_musculus/Gene/Summary?db=core;g=ENSMUSG00000039834","ENSMUSG00000039834")</f>
        <v>ENSMUSG00000039834</v>
      </c>
      <c r="I2888" s="7" t="str">
        <f>HYPERLINK("http://www.informatics.jax.org/marker/MGI:2682313","MGI:2682313")</f>
        <v>MGI:2682313</v>
      </c>
      <c r="J2888" s="4" t="s">
        <v>12</v>
      </c>
    </row>
    <row r="2889" spans="1:10" x14ac:dyDescent="0.25">
      <c r="A2889" s="2">
        <v>901.61475642738503</v>
      </c>
      <c r="B2889" s="3">
        <v>0.208902101298233</v>
      </c>
      <c r="C2889" s="3">
        <v>2.2679247895470801E-2</v>
      </c>
      <c r="D2889" s="4">
        <v>5.7542710969644403E-2</v>
      </c>
      <c r="E2889" s="3" t="s">
        <v>5779</v>
      </c>
      <c r="F2889" s="3" t="s">
        <v>5780</v>
      </c>
      <c r="G2889" s="3">
        <v>108909</v>
      </c>
      <c r="H2889" s="7" t="str">
        <f>HYPERLINK("http://www.ensembl.org/Mus_musculus/Gene/Summary?db=core;g=ENSMUSG00000042901","ENSMUSG00000042901")</f>
        <v>ENSMUSG00000042901</v>
      </c>
      <c r="I2889" s="7" t="str">
        <f>HYPERLINK("http://www.informatics.jax.org/marker/MGI:1919737","MGI:1919737")</f>
        <v>MGI:1919737</v>
      </c>
      <c r="J2889" s="4" t="s">
        <v>12</v>
      </c>
    </row>
    <row r="2890" spans="1:10" x14ac:dyDescent="0.25">
      <c r="A2890" s="2">
        <v>2101.89513186981</v>
      </c>
      <c r="B2890" s="3">
        <v>0.20884125348181301</v>
      </c>
      <c r="C2890" s="5">
        <v>5.31374291226796E-6</v>
      </c>
      <c r="D2890" s="6">
        <v>2.7073794961164001E-5</v>
      </c>
      <c r="E2890" s="3" t="s">
        <v>6599</v>
      </c>
      <c r="F2890" s="3" t="s">
        <v>6600</v>
      </c>
      <c r="G2890" s="3" t="s">
        <v>83</v>
      </c>
      <c r="H2890" s="7" t="str">
        <f>HYPERLINK("http://www.ensembl.org/Mus_musculus/Gene/Summary?db=core;g=ENSMUSG00000105852","ENSMUSG00000105852")</f>
        <v>ENSMUSG00000105852</v>
      </c>
      <c r="I2890" s="7" t="str">
        <f>HYPERLINK("http://www.informatics.jax.org/marker/MGI:5663027","MGI:5663027")</f>
        <v>MGI:5663027</v>
      </c>
      <c r="J2890" s="4" t="s">
        <v>331</v>
      </c>
    </row>
    <row r="2891" spans="1:10" x14ac:dyDescent="0.25">
      <c r="A2891" s="2">
        <v>3022.0442030571899</v>
      </c>
      <c r="B2891" s="3">
        <v>0.20877883094483801</v>
      </c>
      <c r="C2891" s="3">
        <v>1.8114701874692399E-3</v>
      </c>
      <c r="D2891" s="4">
        <v>6.0531800818897797E-3</v>
      </c>
      <c r="E2891" s="3" t="s">
        <v>8093</v>
      </c>
      <c r="F2891" s="3" t="s">
        <v>8094</v>
      </c>
      <c r="G2891" s="3">
        <v>68193</v>
      </c>
      <c r="H2891" s="7" t="str">
        <f>HYPERLINK("http://www.ensembl.org/Mus_musculus/Gene/Summary?db=core;g=ENSMUSG00000098274","ENSMUSG00000098274")</f>
        <v>ENSMUSG00000098274</v>
      </c>
      <c r="I2891" s="7" t="str">
        <f>HYPERLINK("http://www.informatics.jax.org/marker/MGI:1915443","MGI:1915443")</f>
        <v>MGI:1915443</v>
      </c>
      <c r="J2891" s="4" t="s">
        <v>12</v>
      </c>
    </row>
    <row r="2892" spans="1:10" x14ac:dyDescent="0.25">
      <c r="A2892" s="2">
        <v>2840.4994373797699</v>
      </c>
      <c r="B2892" s="3">
        <v>0.208501144517661</v>
      </c>
      <c r="C2892" s="3">
        <v>3.0103942217035501E-3</v>
      </c>
      <c r="D2892" s="4">
        <v>9.5377445101023795E-3</v>
      </c>
      <c r="E2892" s="3" t="s">
        <v>8523</v>
      </c>
      <c r="F2892" s="3" t="s">
        <v>8524</v>
      </c>
      <c r="G2892" s="3" t="s">
        <v>83</v>
      </c>
      <c r="H2892" s="7" t="str">
        <f>HYPERLINK("http://www.ensembl.org/Mus_musculus/Gene/Summary?db=core;g=ENSMUSG00000098371","ENSMUSG00000098371")</f>
        <v>ENSMUSG00000098371</v>
      </c>
      <c r="I2892" s="7" t="str">
        <f>HYPERLINK("http://www.informatics.jax.org/marker/MGI:5547773","MGI:5547773")</f>
        <v>MGI:5547773</v>
      </c>
      <c r="J2892" s="4" t="s">
        <v>331</v>
      </c>
    </row>
    <row r="2893" spans="1:10" x14ac:dyDescent="0.25">
      <c r="A2893" s="2">
        <v>3840.9872876617201</v>
      </c>
      <c r="B2893" s="3">
        <v>0.20844336188026599</v>
      </c>
      <c r="C2893" s="5">
        <v>7.7717175844185206E-6</v>
      </c>
      <c r="D2893" s="6">
        <v>3.8625457588226801E-5</v>
      </c>
      <c r="E2893" s="3" t="s">
        <v>3173</v>
      </c>
      <c r="F2893" s="3" t="s">
        <v>3174</v>
      </c>
      <c r="G2893" s="3">
        <v>51886</v>
      </c>
      <c r="H2893" s="7" t="str">
        <f>HYPERLINK("http://www.ensembl.org/Mus_musculus/Gene/Summary?db=core;g=ENSMUSG00000028034","ENSMUSG00000028034")</f>
        <v>ENSMUSG00000028034</v>
      </c>
      <c r="I2893" s="7" t="str">
        <f>HYPERLINK("http://www.informatics.jax.org/marker/MGI:1196294","MGI:1196294")</f>
        <v>MGI:1196294</v>
      </c>
      <c r="J2893" s="4" t="s">
        <v>12</v>
      </c>
    </row>
    <row r="2894" spans="1:10" x14ac:dyDescent="0.25">
      <c r="A2894" s="2">
        <v>167.60449230351401</v>
      </c>
      <c r="B2894" s="3">
        <v>0.208074559079163</v>
      </c>
      <c r="C2894" s="3">
        <v>0.172284807640462</v>
      </c>
      <c r="D2894" s="4">
        <v>0.31358140609681701</v>
      </c>
      <c r="E2894" s="3" t="s">
        <v>10240</v>
      </c>
      <c r="F2894" s="3" t="s">
        <v>10241</v>
      </c>
      <c r="G2894" s="3">
        <v>71704</v>
      </c>
      <c r="H2894" s="7" t="str">
        <f>HYPERLINK("http://www.ensembl.org/Mus_musculus/Gene/Summary?db=core;g=ENSMUSG00000021895","ENSMUSG00000021895")</f>
        <v>ENSMUSG00000021895</v>
      </c>
      <c r="I2894" s="7" t="str">
        <f>HYPERLINK("http://www.informatics.jax.org/marker/MGI:1918954","MGI:1918954")</f>
        <v>MGI:1918954</v>
      </c>
      <c r="J2894" s="4" t="s">
        <v>12</v>
      </c>
    </row>
    <row r="2895" spans="1:10" x14ac:dyDescent="0.25">
      <c r="A2895" s="2">
        <v>1262.9929260684701</v>
      </c>
      <c r="B2895" s="3">
        <v>0.20770057155021099</v>
      </c>
      <c r="C2895" s="5">
        <v>5.1874092354824002E-5</v>
      </c>
      <c r="D2895" s="4">
        <v>2.27097125430379E-4</v>
      </c>
      <c r="E2895" s="3" t="s">
        <v>8429</v>
      </c>
      <c r="F2895" s="3" t="s">
        <v>8430</v>
      </c>
      <c r="G2895" s="3">
        <v>108143</v>
      </c>
      <c r="H2895" s="7" t="str">
        <f>HYPERLINK("http://www.ensembl.org/Mus_musculus/Gene/Summary?db=core;g=ENSMUSG00000052293","ENSMUSG00000052293")</f>
        <v>ENSMUSG00000052293</v>
      </c>
      <c r="I2895" s="7" t="str">
        <f>HYPERLINK("http://www.informatics.jax.org/marker/MGI:1888697","MGI:1888697")</f>
        <v>MGI:1888697</v>
      </c>
      <c r="J2895" s="4" t="s">
        <v>12</v>
      </c>
    </row>
    <row r="2896" spans="1:10" x14ac:dyDescent="0.25">
      <c r="A2896" s="2">
        <v>12.4461474123875</v>
      </c>
      <c r="B2896" s="3">
        <v>0.207544344016241</v>
      </c>
      <c r="C2896" s="3">
        <v>0.52038915757242798</v>
      </c>
      <c r="D2896" s="4">
        <v>0.69020394416399899</v>
      </c>
      <c r="E2896" s="3" t="s">
        <v>11885</v>
      </c>
      <c r="F2896" s="3" t="s">
        <v>11886</v>
      </c>
      <c r="G2896" s="3" t="s">
        <v>83</v>
      </c>
      <c r="H2896" s="7" t="str">
        <f>HYPERLINK("http://www.ensembl.org/Mus_musculus/Gene/Summary?db=core;g=ENSMUSG00000084846","ENSMUSG00000084846")</f>
        <v>ENSMUSG00000084846</v>
      </c>
      <c r="I2896" s="7" t="str">
        <f>HYPERLINK("http://www.informatics.jax.org/marker/MGI:2442973","MGI:2442973")</f>
        <v>MGI:2442973</v>
      </c>
      <c r="J2896" s="4" t="s">
        <v>932</v>
      </c>
    </row>
    <row r="2897" spans="1:10" x14ac:dyDescent="0.25">
      <c r="A2897" s="2">
        <v>1575.52661930254</v>
      </c>
      <c r="B2897" s="3">
        <v>0.207536259778448</v>
      </c>
      <c r="C2897" s="3">
        <v>2.8193150123537799E-4</v>
      </c>
      <c r="D2897" s="4">
        <v>1.0886020360200801E-3</v>
      </c>
      <c r="E2897" s="3" t="s">
        <v>7624</v>
      </c>
      <c r="F2897" s="3" t="s">
        <v>7625</v>
      </c>
      <c r="G2897" s="3">
        <v>56501</v>
      </c>
      <c r="H2897" s="7" t="str">
        <f>HYPERLINK("http://www.ensembl.org/Mus_musculus/Gene/Summary?db=core;g=ENSMUSG00000031103","ENSMUSG00000031103")</f>
        <v>ENSMUSG00000031103</v>
      </c>
      <c r="I2897" s="7" t="str">
        <f>HYPERLINK("http://www.informatics.jax.org/marker/MGI:1928377","MGI:1928377")</f>
        <v>MGI:1928377</v>
      </c>
      <c r="J2897" s="4" t="s">
        <v>12</v>
      </c>
    </row>
    <row r="2898" spans="1:10" x14ac:dyDescent="0.25">
      <c r="A2898" s="2">
        <v>18011.455380860301</v>
      </c>
      <c r="B2898" s="3">
        <v>0.20741493917325399</v>
      </c>
      <c r="C2898" s="3">
        <v>6.5987724505248702E-3</v>
      </c>
      <c r="D2898" s="4">
        <v>1.9311176494606799E-2</v>
      </c>
      <c r="E2898" s="3" t="s">
        <v>13785</v>
      </c>
      <c r="F2898" s="3" t="s">
        <v>13786</v>
      </c>
      <c r="G2898" s="3">
        <v>11837</v>
      </c>
      <c r="H2898" s="7" t="str">
        <f>HYPERLINK("http://www.ensembl.org/Mus_musculus/Gene/Summary?db=core;g=ENSMUSG00000067274","ENSMUSG00000067274")</f>
        <v>ENSMUSG00000067274</v>
      </c>
      <c r="I2898" s="7" t="str">
        <f>HYPERLINK("http://www.informatics.jax.org/marker/MGI:1927636","MGI:1927636")</f>
        <v>MGI:1927636</v>
      </c>
      <c r="J2898" s="4" t="s">
        <v>12</v>
      </c>
    </row>
    <row r="2899" spans="1:10" x14ac:dyDescent="0.25">
      <c r="A2899" s="2">
        <v>1629.6364877229601</v>
      </c>
      <c r="B2899" s="3">
        <v>0.207397140718238</v>
      </c>
      <c r="C2899" s="3">
        <v>6.5580342206551095E-4</v>
      </c>
      <c r="D2899" s="4">
        <v>2.3846802408507501E-3</v>
      </c>
      <c r="E2899" s="3" t="s">
        <v>11847</v>
      </c>
      <c r="F2899" s="3" t="s">
        <v>11848</v>
      </c>
      <c r="G2899" s="3">
        <v>68077</v>
      </c>
      <c r="H2899" s="7" t="str">
        <f>HYPERLINK("http://www.ensembl.org/Mus_musculus/Gene/Summary?db=core;g=ENSMUSG00000041560","ENSMUSG00000041560")</f>
        <v>ENSMUSG00000041560</v>
      </c>
      <c r="I2899" s="7" t="str">
        <f>HYPERLINK("http://www.informatics.jax.org/marker/MGI:2154441","MGI:2154441")</f>
        <v>MGI:2154441</v>
      </c>
      <c r="J2899" s="4" t="s">
        <v>12</v>
      </c>
    </row>
    <row r="2900" spans="1:10" x14ac:dyDescent="0.25">
      <c r="A2900" s="2">
        <v>891.64766226190795</v>
      </c>
      <c r="B2900" s="3">
        <v>0.207272494115153</v>
      </c>
      <c r="C2900" s="3">
        <v>1.43673723165152E-3</v>
      </c>
      <c r="D2900" s="4">
        <v>4.9079085746763802E-3</v>
      </c>
      <c r="E2900" s="3" t="s">
        <v>11331</v>
      </c>
      <c r="F2900" s="3" t="s">
        <v>11332</v>
      </c>
      <c r="G2900" s="3">
        <v>101314</v>
      </c>
      <c r="H2900" s="7" t="str">
        <f>HYPERLINK("http://www.ensembl.org/Mus_musculus/Gene/Summary?db=core;g=ENSMUSG00000033940","ENSMUSG00000033940")</f>
        <v>ENSMUSG00000033940</v>
      </c>
      <c r="I2900" s="7" t="str">
        <f>HYPERLINK("http://www.informatics.jax.org/marker/MGI:1915406","MGI:1915406")</f>
        <v>MGI:1915406</v>
      </c>
      <c r="J2900" s="4" t="s">
        <v>12</v>
      </c>
    </row>
    <row r="2901" spans="1:10" x14ac:dyDescent="0.25">
      <c r="A2901" s="2">
        <v>1401.2619166698501</v>
      </c>
      <c r="B2901" s="3">
        <v>0.20707673190692899</v>
      </c>
      <c r="C2901" s="3">
        <v>6.3660291099688297E-4</v>
      </c>
      <c r="D2901" s="4">
        <v>2.32088178694103E-3</v>
      </c>
      <c r="E2901" s="3" t="s">
        <v>11022</v>
      </c>
      <c r="F2901" s="3" t="s">
        <v>11023</v>
      </c>
      <c r="G2901" s="3" t="s">
        <v>83</v>
      </c>
      <c r="H2901" s="7" t="str">
        <f>HYPERLINK("http://www.ensembl.org/Mus_musculus/Gene/Summary?db=core;g=ENSMUSG00000118491","ENSMUSG00000118491")</f>
        <v>ENSMUSG00000118491</v>
      </c>
      <c r="I2901" s="7" t="str">
        <f>HYPERLINK("http://www.informatics.jax.org/marker/MGI:104854","MGI:104854")</f>
        <v>MGI:104854</v>
      </c>
      <c r="J2901" s="4" t="s">
        <v>12</v>
      </c>
    </row>
    <row r="2902" spans="1:10" x14ac:dyDescent="0.25">
      <c r="A2902" s="2">
        <v>2199.7799179799699</v>
      </c>
      <c r="B2902" s="3">
        <v>0.207042248678488</v>
      </c>
      <c r="C2902" s="5">
        <v>2.2979534866165802E-6</v>
      </c>
      <c r="D2902" s="6">
        <v>1.2231323365024101E-5</v>
      </c>
      <c r="E2902" s="3" t="s">
        <v>4041</v>
      </c>
      <c r="F2902" s="3" t="s">
        <v>4042</v>
      </c>
      <c r="G2902" s="3">
        <v>14359</v>
      </c>
      <c r="H2902" s="7" t="str">
        <f>HYPERLINK("http://www.ensembl.org/Mus_musculus/Gene/Summary?db=core;g=ENSMUSG00000027680","ENSMUSG00000027680")</f>
        <v>ENSMUSG00000027680</v>
      </c>
      <c r="I2902" s="7" t="str">
        <f>HYPERLINK("http://www.informatics.jax.org/marker/MGI:104860","MGI:104860")</f>
        <v>MGI:104860</v>
      </c>
      <c r="J2902" s="4" t="s">
        <v>12</v>
      </c>
    </row>
    <row r="2903" spans="1:10" x14ac:dyDescent="0.25">
      <c r="A2903" s="2">
        <v>550.53520787334901</v>
      </c>
      <c r="B2903" s="3">
        <v>0.206991283254572</v>
      </c>
      <c r="C2903" s="3">
        <v>4.2251834451448603E-2</v>
      </c>
      <c r="D2903" s="4">
        <v>9.8989546584091898E-2</v>
      </c>
      <c r="E2903" s="3" t="s">
        <v>9577</v>
      </c>
      <c r="F2903" s="3" t="s">
        <v>9578</v>
      </c>
      <c r="G2903" s="3">
        <v>100978</v>
      </c>
      <c r="H2903" s="7" t="str">
        <f>HYPERLINK("http://www.ensembl.org/Mus_musculus/Gene/Summary?db=core;g=ENSMUSG00000072889","ENSMUSG00000072889")</f>
        <v>ENSMUSG00000072889</v>
      </c>
      <c r="I2903" s="7" t="str">
        <f>HYPERLINK("http://www.informatics.jax.org/marker/MGI:1923646","MGI:1923646")</f>
        <v>MGI:1923646</v>
      </c>
      <c r="J2903" s="4" t="s">
        <v>12</v>
      </c>
    </row>
    <row r="2904" spans="1:10" x14ac:dyDescent="0.25">
      <c r="A2904" s="2">
        <v>579.32500933805102</v>
      </c>
      <c r="B2904" s="3">
        <v>0.20694721941924199</v>
      </c>
      <c r="C2904" s="3">
        <v>1.9157221880907301E-4</v>
      </c>
      <c r="D2904" s="4">
        <v>7.6281487607501798E-4</v>
      </c>
      <c r="E2904" s="3" t="s">
        <v>9669</v>
      </c>
      <c r="F2904" s="3" t="s">
        <v>9670</v>
      </c>
      <c r="G2904" s="3">
        <v>52715</v>
      </c>
      <c r="H2904" s="7" t="str">
        <f>HYPERLINK("http://www.ensembl.org/Mus_musculus/Gene/Summary?db=core;g=ENSMUSG00000020925","ENSMUSG00000020925")</f>
        <v>ENSMUSG00000020925</v>
      </c>
      <c r="I2904" s="7" t="str">
        <f>HYPERLINK("http://www.informatics.jax.org/marker/MGI:1289318","MGI:1289318")</f>
        <v>MGI:1289318</v>
      </c>
      <c r="J2904" s="4" t="s">
        <v>12</v>
      </c>
    </row>
    <row r="2905" spans="1:10" x14ac:dyDescent="0.25">
      <c r="A2905" s="2">
        <v>712.35023025514795</v>
      </c>
      <c r="B2905" s="3">
        <v>0.206825498707605</v>
      </c>
      <c r="C2905" s="3">
        <v>1.2274341718885901E-4</v>
      </c>
      <c r="D2905" s="4">
        <v>5.0496586416861505E-4</v>
      </c>
      <c r="E2905" s="3" t="s">
        <v>4099</v>
      </c>
      <c r="F2905" s="3" t="s">
        <v>4100</v>
      </c>
      <c r="G2905" s="3">
        <v>23950</v>
      </c>
      <c r="H2905" s="7" t="str">
        <f>HYPERLINK("http://www.ensembl.org/Mus_musculus/Gene/Summary?db=core;g=ENSMUSG00000029131","ENSMUSG00000029131")</f>
        <v>ENSMUSG00000029131</v>
      </c>
      <c r="I2905" s="7" t="str">
        <f>HYPERLINK("http://www.informatics.jax.org/marker/MGI:1344381","MGI:1344381")</f>
        <v>MGI:1344381</v>
      </c>
      <c r="J2905" s="4" t="s">
        <v>12</v>
      </c>
    </row>
    <row r="2906" spans="1:10" x14ac:dyDescent="0.25">
      <c r="A2906" s="2">
        <v>374.74220605985897</v>
      </c>
      <c r="B2906" s="3">
        <v>0.206625731069327</v>
      </c>
      <c r="C2906" s="3">
        <v>2.41736013042232E-3</v>
      </c>
      <c r="D2906" s="4">
        <v>7.8447985001685906E-3</v>
      </c>
      <c r="E2906" s="3" t="s">
        <v>9021</v>
      </c>
      <c r="F2906" s="3" t="s">
        <v>9022</v>
      </c>
      <c r="G2906" s="3">
        <v>72144</v>
      </c>
      <c r="H2906" s="7" t="str">
        <f>HYPERLINK("http://www.ensembl.org/Mus_musculus/Gene/Summary?db=core;g=ENSMUSG00000029924","ENSMUSG00000029924")</f>
        <v>ENSMUSG00000029924</v>
      </c>
      <c r="I2906" s="7" t="str">
        <f>HYPERLINK("http://www.informatics.jax.org/marker/MGI:1919394","MGI:1919394")</f>
        <v>MGI:1919394</v>
      </c>
      <c r="J2906" s="4" t="s">
        <v>12</v>
      </c>
    </row>
    <row r="2907" spans="1:10" x14ac:dyDescent="0.25">
      <c r="A2907" s="2">
        <v>3297.5123233422701</v>
      </c>
      <c r="B2907" s="3">
        <v>0.206370407780783</v>
      </c>
      <c r="C2907" s="5">
        <v>6.6941102911392104E-5</v>
      </c>
      <c r="D2907" s="4">
        <v>2.8719435041434099E-4</v>
      </c>
      <c r="E2907" s="3" t="s">
        <v>5591</v>
      </c>
      <c r="F2907" s="3" t="s">
        <v>5592</v>
      </c>
      <c r="G2907" s="3">
        <v>228136</v>
      </c>
      <c r="H2907" s="7" t="str">
        <f>HYPERLINK("http://www.ensembl.org/Mus_musculus/Gene/Summary?db=core;g=ENSMUSG00000034075","ENSMUSG00000034075")</f>
        <v>ENSMUSG00000034075</v>
      </c>
      <c r="I2907" s="7" t="str">
        <f>HYPERLINK("http://www.informatics.jax.org/marker/MGI:1923573","MGI:1923573")</f>
        <v>MGI:1923573</v>
      </c>
      <c r="J2907" s="4" t="s">
        <v>12</v>
      </c>
    </row>
    <row r="2908" spans="1:10" x14ac:dyDescent="0.25">
      <c r="A2908" s="2">
        <v>797.07584048433296</v>
      </c>
      <c r="B2908" s="3">
        <v>0.206353341426568</v>
      </c>
      <c r="C2908" s="5">
        <v>6.1584086263088495E-5</v>
      </c>
      <c r="D2908" s="4">
        <v>2.6621678656185699E-4</v>
      </c>
      <c r="E2908" s="3" t="s">
        <v>7460</v>
      </c>
      <c r="F2908" s="3" t="s">
        <v>7461</v>
      </c>
      <c r="G2908" s="3">
        <v>74132</v>
      </c>
      <c r="H2908" s="7" t="str">
        <f>HYPERLINK("http://www.ensembl.org/Mus_musculus/Gene/Summary?db=core;g=ENSMUSG00000029634","ENSMUSG00000029634")</f>
        <v>ENSMUSG00000029634</v>
      </c>
      <c r="I2908" s="7" t="str">
        <f>HYPERLINK("http://www.informatics.jax.org/marker/MGI:1921382","MGI:1921382")</f>
        <v>MGI:1921382</v>
      </c>
      <c r="J2908" s="4" t="s">
        <v>12</v>
      </c>
    </row>
    <row r="2909" spans="1:10" x14ac:dyDescent="0.25">
      <c r="A2909" s="2">
        <v>2794.56319483467</v>
      </c>
      <c r="B2909" s="3">
        <v>0.206301485957473</v>
      </c>
      <c r="C2909" s="5">
        <v>6.6918264448912304E-8</v>
      </c>
      <c r="D2909" s="6">
        <v>4.2538729319198701E-7</v>
      </c>
      <c r="E2909" s="3" t="s">
        <v>6237</v>
      </c>
      <c r="F2909" s="3" t="s">
        <v>6238</v>
      </c>
      <c r="G2909" s="3">
        <v>104721</v>
      </c>
      <c r="H2909" s="7" t="str">
        <f>HYPERLINK("http://www.ensembl.org/Mus_musculus/Gene/Summary?db=core;g=ENSMUSG00000037149","ENSMUSG00000037149")</f>
        <v>ENSMUSG00000037149</v>
      </c>
      <c r="I2909" s="7" t="str">
        <f>HYPERLINK("http://www.informatics.jax.org/marker/MGI:2144727","MGI:2144727")</f>
        <v>MGI:2144727</v>
      </c>
      <c r="J2909" s="4" t="s">
        <v>12</v>
      </c>
    </row>
    <row r="2910" spans="1:10" x14ac:dyDescent="0.25">
      <c r="A2910" s="2">
        <v>332.16205088200098</v>
      </c>
      <c r="B2910" s="3">
        <v>0.206094450829888</v>
      </c>
      <c r="C2910" s="3">
        <v>6.0536919742220996E-3</v>
      </c>
      <c r="D2910" s="4">
        <v>1.7861184430985499E-2</v>
      </c>
      <c r="E2910" s="3" t="s">
        <v>6309</v>
      </c>
      <c r="F2910" s="3" t="s">
        <v>6310</v>
      </c>
      <c r="G2910" s="3">
        <v>66869</v>
      </c>
      <c r="H2910" s="7" t="str">
        <f>HYPERLINK("http://www.ensembl.org/Mus_musculus/Gene/Summary?db=core;g=ENSMUSG00000054648","ENSMUSG00000054648")</f>
        <v>ENSMUSG00000054648</v>
      </c>
      <c r="I2910" s="7" t="str">
        <f>HYPERLINK("http://www.informatics.jax.org/marker/MGI:1914119","MGI:1914119")</f>
        <v>MGI:1914119</v>
      </c>
      <c r="J2910" s="4" t="s">
        <v>12</v>
      </c>
    </row>
    <row r="2911" spans="1:10" x14ac:dyDescent="0.25">
      <c r="A2911" s="2">
        <v>2260.8172211923902</v>
      </c>
      <c r="B2911" s="3">
        <v>0.20602467774212299</v>
      </c>
      <c r="C2911" s="3">
        <v>1.0536203310174601E-4</v>
      </c>
      <c r="D2911" s="4">
        <v>4.3900847125727502E-4</v>
      </c>
      <c r="E2911" s="3" t="s">
        <v>8283</v>
      </c>
      <c r="F2911" s="3" t="s">
        <v>8284</v>
      </c>
      <c r="G2911" s="3">
        <v>98221</v>
      </c>
      <c r="H2911" s="7" t="str">
        <f>HYPERLINK("http://www.ensembl.org/Mus_musculus/Gene/Summary?db=core;g=ENSMUSG00000027170","ENSMUSG00000027170")</f>
        <v>ENSMUSG00000027170</v>
      </c>
      <c r="I2911" s="7" t="str">
        <f>HYPERLINK("http://www.informatics.jax.org/marker/MGI:1351744","MGI:1351744")</f>
        <v>MGI:1351744</v>
      </c>
      <c r="J2911" s="4" t="s">
        <v>12</v>
      </c>
    </row>
    <row r="2912" spans="1:10" x14ac:dyDescent="0.25">
      <c r="A2912" s="2">
        <v>1841.8151015922599</v>
      </c>
      <c r="B2912" s="3">
        <v>0.20553896446298101</v>
      </c>
      <c r="C2912" s="5">
        <v>1.5597278797765602E-5</v>
      </c>
      <c r="D2912" s="6">
        <v>7.4161337356973002E-5</v>
      </c>
      <c r="E2912" s="3" t="s">
        <v>8967</v>
      </c>
      <c r="F2912" s="3" t="s">
        <v>8968</v>
      </c>
      <c r="G2912" s="3">
        <v>105372</v>
      </c>
      <c r="H2912" s="7" t="str">
        <f>HYPERLINK("http://www.ensembl.org/Mus_musculus/Gene/Summary?db=core;g=ENSMUSG00000041747","ENSMUSG00000041747")</f>
        <v>ENSMUSG00000041747</v>
      </c>
      <c r="I2912" s="7" t="str">
        <f>HYPERLINK("http://www.informatics.jax.org/marker/MGI:2145443","MGI:2145443")</f>
        <v>MGI:2145443</v>
      </c>
      <c r="J2912" s="4" t="s">
        <v>12</v>
      </c>
    </row>
    <row r="2913" spans="1:10" x14ac:dyDescent="0.25">
      <c r="A2913" s="2">
        <v>28482.6616211361</v>
      </c>
      <c r="B2913" s="3">
        <v>0.20553886880948999</v>
      </c>
      <c r="C2913" s="5">
        <v>5.4310239823402702E-6</v>
      </c>
      <c r="D2913" s="6">
        <v>2.7609598906039399E-5</v>
      </c>
      <c r="E2913" s="3" t="s">
        <v>7758</v>
      </c>
      <c r="F2913" s="3" t="s">
        <v>7759</v>
      </c>
      <c r="G2913" s="3">
        <v>276770</v>
      </c>
      <c r="H2913" s="7" t="str">
        <f>HYPERLINK("http://www.ensembl.org/Mus_musculus/Gene/Summary?db=core;g=ENSMUSG00000078812","ENSMUSG00000078812")</f>
        <v>ENSMUSG00000078812</v>
      </c>
      <c r="I2913" s="7" t="str">
        <f>HYPERLINK("http://www.informatics.jax.org/marker/MGI:106248","MGI:106248")</f>
        <v>MGI:106248</v>
      </c>
      <c r="J2913" s="4" t="s">
        <v>12</v>
      </c>
    </row>
    <row r="2914" spans="1:10" x14ac:dyDescent="0.25">
      <c r="A2914" s="2">
        <v>290.93695339670001</v>
      </c>
      <c r="B2914" s="3">
        <v>0.20549508777898801</v>
      </c>
      <c r="C2914" s="3">
        <v>3.9946510511403598E-2</v>
      </c>
      <c r="D2914" s="4">
        <v>9.4328213795067395E-2</v>
      </c>
      <c r="E2914" s="3" t="s">
        <v>8601</v>
      </c>
      <c r="F2914" s="3" t="s">
        <v>8602</v>
      </c>
      <c r="G2914" s="3">
        <v>66922</v>
      </c>
      <c r="H2914" s="7" t="str">
        <f>HYPERLINK("http://www.ensembl.org/Mus_musculus/Gene/Summary?db=core;g=ENSMUSG00000055723","ENSMUSG00000055723")</f>
        <v>ENSMUSG00000055723</v>
      </c>
      <c r="I2914" s="7" t="str">
        <f>HYPERLINK("http://www.informatics.jax.org/marker/MGI:1914172","MGI:1914172")</f>
        <v>MGI:1914172</v>
      </c>
      <c r="J2914" s="4" t="s">
        <v>12</v>
      </c>
    </row>
    <row r="2915" spans="1:10" x14ac:dyDescent="0.25">
      <c r="A2915" s="2">
        <v>1.0596704228446501</v>
      </c>
      <c r="B2915" s="3">
        <v>0.205339486117144</v>
      </c>
      <c r="C2915" s="3">
        <v>0.61863521860541903</v>
      </c>
      <c r="D2915" s="4">
        <v>0.77080924721978195</v>
      </c>
      <c r="E2915" s="3" t="s">
        <v>11431</v>
      </c>
      <c r="F2915" s="3" t="s">
        <v>11432</v>
      </c>
      <c r="G2915" s="3">
        <v>319236</v>
      </c>
      <c r="H2915" s="7" t="str">
        <f>HYPERLINK("http://www.ensembl.org/Mus_musculus/Gene/Summary?db=core;g=ENSMUSG00000057143","ENSMUSG00000057143")</f>
        <v>ENSMUSG00000057143</v>
      </c>
      <c r="I2915" s="7" t="str">
        <f>HYPERLINK("http://www.informatics.jax.org/marker/MGI:4821183","MGI:4821183")</f>
        <v>MGI:4821183</v>
      </c>
      <c r="J2915" s="4" t="s">
        <v>12</v>
      </c>
    </row>
    <row r="2916" spans="1:10" x14ac:dyDescent="0.25">
      <c r="A2916" s="2">
        <v>3318.1757910705401</v>
      </c>
      <c r="B2916" s="3">
        <v>0.20524619652272399</v>
      </c>
      <c r="C2916" s="3">
        <v>1.17078154374789E-2</v>
      </c>
      <c r="D2916" s="4">
        <v>3.2285510114700003E-2</v>
      </c>
      <c r="E2916" s="3" t="s">
        <v>10892</v>
      </c>
      <c r="F2916" s="3" t="s">
        <v>10893</v>
      </c>
      <c r="G2916" s="3">
        <v>68052</v>
      </c>
      <c r="H2916" s="7" t="str">
        <f>HYPERLINK("http://www.ensembl.org/Mus_musculus/Gene/Summary?db=core;g=ENSMUSG00000090862","ENSMUSG00000090862")</f>
        <v>ENSMUSG00000090862</v>
      </c>
      <c r="I2916" s="7" t="str">
        <f>HYPERLINK("http://www.informatics.jax.org/marker/MGI:1915302","MGI:1915302")</f>
        <v>MGI:1915302</v>
      </c>
      <c r="J2916" s="4" t="s">
        <v>12</v>
      </c>
    </row>
    <row r="2917" spans="1:10" x14ac:dyDescent="0.25">
      <c r="A2917" s="2">
        <v>373.03881264245098</v>
      </c>
      <c r="B2917" s="3">
        <v>0.20515334555098</v>
      </c>
      <c r="C2917" s="3">
        <v>4.1405854476881301E-3</v>
      </c>
      <c r="D2917" s="4">
        <v>1.2699792962658401E-2</v>
      </c>
      <c r="E2917" s="3" t="s">
        <v>11941</v>
      </c>
      <c r="F2917" s="3" t="s">
        <v>11942</v>
      </c>
      <c r="G2917" s="3">
        <v>280668</v>
      </c>
      <c r="H2917" s="7" t="str">
        <f>HYPERLINK("http://www.ensembl.org/Mus_musculus/Gene/Summary?db=core;g=ENSMUSG00000072647","ENSMUSG00000072647")</f>
        <v>ENSMUSG00000072647</v>
      </c>
      <c r="I2917" s="7" t="str">
        <f>HYPERLINK("http://www.informatics.jax.org/marker/MGI:2429504","MGI:2429504")</f>
        <v>MGI:2429504</v>
      </c>
      <c r="J2917" s="4" t="s">
        <v>12</v>
      </c>
    </row>
    <row r="2918" spans="1:10" x14ac:dyDescent="0.25">
      <c r="A2918" s="2">
        <v>10368.2649583538</v>
      </c>
      <c r="B2918" s="3">
        <v>0.20496048322357299</v>
      </c>
      <c r="C2918" s="5">
        <v>4.7247081634621701E-5</v>
      </c>
      <c r="D2918" s="4">
        <v>2.0824136947786699E-4</v>
      </c>
      <c r="E2918" s="3" t="s">
        <v>8419</v>
      </c>
      <c r="F2918" s="3" t="s">
        <v>8420</v>
      </c>
      <c r="G2918" s="3">
        <v>19989</v>
      </c>
      <c r="H2918" s="7" t="str">
        <f>HYPERLINK("http://www.ensembl.org/Mus_musculus/Gene/Summary?db=core;g=ENSMUSG00000043716","ENSMUSG00000043716")</f>
        <v>ENSMUSG00000043716</v>
      </c>
      <c r="I2918" s="7" t="str">
        <f>HYPERLINK("http://www.informatics.jax.org/marker/MGI:98073","MGI:98073")</f>
        <v>MGI:98073</v>
      </c>
      <c r="J2918" s="4" t="s">
        <v>12</v>
      </c>
    </row>
    <row r="2919" spans="1:10" x14ac:dyDescent="0.25">
      <c r="A2919" s="2">
        <v>1887.8620921603101</v>
      </c>
      <c r="B2919" s="3">
        <v>0.204656759525258</v>
      </c>
      <c r="C2919" s="3">
        <v>6.4076200577670096E-4</v>
      </c>
      <c r="D2919" s="4">
        <v>2.3346436535946402E-3</v>
      </c>
      <c r="E2919" s="3" t="s">
        <v>7012</v>
      </c>
      <c r="F2919" s="3" t="s">
        <v>7013</v>
      </c>
      <c r="G2919" s="3">
        <v>16969</v>
      </c>
      <c r="H2919" s="7" t="str">
        <f>HYPERLINK("http://www.ensembl.org/Mus_musculus/Gene/Summary?db=core;g=ENSMUSG00000035011","ENSMUSG00000035011")</f>
        <v>ENSMUSG00000035011</v>
      </c>
      <c r="I2919" s="7" t="str">
        <f>HYPERLINK("http://www.informatics.jax.org/marker/MGI:1335091","MGI:1335091")</f>
        <v>MGI:1335091</v>
      </c>
      <c r="J2919" s="4" t="s">
        <v>12</v>
      </c>
    </row>
    <row r="2920" spans="1:10" x14ac:dyDescent="0.25">
      <c r="A2920" s="2">
        <v>4711.3216247499804</v>
      </c>
      <c r="B2920" s="3">
        <v>0.20464804712787801</v>
      </c>
      <c r="C2920" s="5">
        <v>9.1712167210328794E-8</v>
      </c>
      <c r="D2920" s="6">
        <v>5.7676130000284395E-7</v>
      </c>
      <c r="E2920" s="3" t="s">
        <v>5459</v>
      </c>
      <c r="F2920" s="3" t="s">
        <v>5460</v>
      </c>
      <c r="G2920" s="3">
        <v>53421</v>
      </c>
      <c r="H2920" s="7" t="str">
        <f>HYPERLINK("http://www.ensembl.org/Mus_musculus/Gene/Summary?db=core;g=ENSMUSG00000030082","ENSMUSG00000030082")</f>
        <v>ENSMUSG00000030082</v>
      </c>
      <c r="I2920" s="7" t="str">
        <f>HYPERLINK("http://www.informatics.jax.org/marker/MGI:1858417","MGI:1858417")</f>
        <v>MGI:1858417</v>
      </c>
      <c r="J2920" s="4" t="s">
        <v>12</v>
      </c>
    </row>
    <row r="2921" spans="1:10" x14ac:dyDescent="0.25">
      <c r="A2921" s="2">
        <v>1484.14409790164</v>
      </c>
      <c r="B2921" s="3">
        <v>0.20446480683156401</v>
      </c>
      <c r="C2921" s="3">
        <v>2.3970204515222999E-4</v>
      </c>
      <c r="D2921" s="4">
        <v>9.3786384132661898E-4</v>
      </c>
      <c r="E2921" s="3" t="s">
        <v>8867</v>
      </c>
      <c r="F2921" s="3" t="s">
        <v>8868</v>
      </c>
      <c r="G2921" s="3">
        <v>106143</v>
      </c>
      <c r="H2921" s="7" t="str">
        <f>HYPERLINK("http://www.ensembl.org/Mus_musculus/Gene/Summary?db=core;g=ENSMUSG00000054604","ENSMUSG00000054604")</f>
        <v>ENSMUSG00000054604</v>
      </c>
      <c r="I2921" s="7" t="str">
        <f>HYPERLINK("http://www.informatics.jax.org/marker/MGI:2146370","MGI:2146370")</f>
        <v>MGI:2146370</v>
      </c>
      <c r="J2921" s="4" t="s">
        <v>12</v>
      </c>
    </row>
    <row r="2922" spans="1:10" x14ac:dyDescent="0.25">
      <c r="A2922" s="2">
        <v>1015.97624376408</v>
      </c>
      <c r="B2922" s="3">
        <v>0.20393687193402599</v>
      </c>
      <c r="C2922" s="5">
        <v>9.1103384588914194E-5</v>
      </c>
      <c r="D2922" s="4">
        <v>3.8336623969821299E-4</v>
      </c>
      <c r="E2922" s="3" t="s">
        <v>5209</v>
      </c>
      <c r="F2922" s="3" t="s">
        <v>5210</v>
      </c>
      <c r="G2922" s="3">
        <v>66614</v>
      </c>
      <c r="H2922" s="7" t="str">
        <f>HYPERLINK("http://www.ensembl.org/Mus_musculus/Gene/Summary?db=core;g=ENSMUSG00000028069","ENSMUSG00000028069")</f>
        <v>ENSMUSG00000028069</v>
      </c>
      <c r="I2922" s="7" t="str">
        <f>HYPERLINK("http://www.informatics.jax.org/marker/MGI:1913864","MGI:1913864")</f>
        <v>MGI:1913864</v>
      </c>
      <c r="J2922" s="4" t="s">
        <v>12</v>
      </c>
    </row>
    <row r="2923" spans="1:10" x14ac:dyDescent="0.25">
      <c r="A2923" s="2">
        <v>579.31769568611901</v>
      </c>
      <c r="B2923" s="3">
        <v>0.203799157588504</v>
      </c>
      <c r="C2923" s="3">
        <v>1.7902143787667298E-2</v>
      </c>
      <c r="D2923" s="4">
        <v>4.6890855206989997E-2</v>
      </c>
      <c r="E2923" s="3" t="s">
        <v>9927</v>
      </c>
      <c r="F2923" s="3" t="s">
        <v>9928</v>
      </c>
      <c r="G2923" s="3">
        <v>245860</v>
      </c>
      <c r="H2923" s="7" t="str">
        <f>HYPERLINK("http://www.ensembl.org/Mus_musculus/Gene/Summary?db=core;g=ENSMUSG00000033124","ENSMUSG00000033124")</f>
        <v>ENSMUSG00000033124</v>
      </c>
      <c r="I2923" s="7" t="str">
        <f>HYPERLINK("http://www.informatics.jax.org/marker/MGI:2138446","MGI:2138446")</f>
        <v>MGI:2138446</v>
      </c>
      <c r="J2923" s="4" t="s">
        <v>12</v>
      </c>
    </row>
    <row r="2924" spans="1:10" x14ac:dyDescent="0.25">
      <c r="A2924" s="2">
        <v>681.18399283202405</v>
      </c>
      <c r="B2924" s="3">
        <v>0.20376353333603101</v>
      </c>
      <c r="C2924" s="3">
        <v>1.6802088745740699E-3</v>
      </c>
      <c r="D2924" s="4">
        <v>5.6518654003529798E-3</v>
      </c>
      <c r="E2924" s="3" t="s">
        <v>10332</v>
      </c>
      <c r="F2924" s="3" t="s">
        <v>10333</v>
      </c>
      <c r="G2924" s="3">
        <v>28077</v>
      </c>
      <c r="H2924" s="7" t="str">
        <f>HYPERLINK("http://www.ensembl.org/Mus_musculus/Gene/Summary?db=core;g=ENSMUSG00000021598","ENSMUSG00000021598")</f>
        <v>ENSMUSG00000021598</v>
      </c>
      <c r="I2924" s="7" t="str">
        <f>HYPERLINK("http://www.informatics.jax.org/marker/MGI:106331","MGI:106331")</f>
        <v>MGI:106331</v>
      </c>
      <c r="J2924" s="4" t="s">
        <v>12</v>
      </c>
    </row>
    <row r="2925" spans="1:10" x14ac:dyDescent="0.25">
      <c r="A2925" s="2">
        <v>4341.5094646403204</v>
      </c>
      <c r="B2925" s="3">
        <v>0.20364221929475601</v>
      </c>
      <c r="C2925" s="5">
        <v>6.6535062905521205E-5</v>
      </c>
      <c r="D2925" s="4">
        <v>2.8558679261731602E-4</v>
      </c>
      <c r="E2925" s="3" t="s">
        <v>6305</v>
      </c>
      <c r="F2925" s="3" t="s">
        <v>6306</v>
      </c>
      <c r="G2925" s="3">
        <v>17938</v>
      </c>
      <c r="H2925" s="7" t="str">
        <f>HYPERLINK("http://www.ensembl.org/Mus_musculus/Gene/Summary?db=core;g=ENSMUSG00000061315","ENSMUSG00000061315")</f>
        <v>ENSMUSG00000061315</v>
      </c>
      <c r="I2925" s="7" t="str">
        <f>HYPERLINK("http://www.informatics.jax.org/marker/MGI:106095","MGI:106095")</f>
        <v>MGI:106095</v>
      </c>
      <c r="J2925" s="4" t="s">
        <v>12</v>
      </c>
    </row>
    <row r="2926" spans="1:10" x14ac:dyDescent="0.25">
      <c r="A2926" s="2">
        <v>253.420345215195</v>
      </c>
      <c r="B2926" s="3">
        <v>0.20356265199964299</v>
      </c>
      <c r="C2926" s="3">
        <v>1.0424832117895201E-2</v>
      </c>
      <c r="D2926" s="4">
        <v>2.91131727472633E-2</v>
      </c>
      <c r="E2926" s="3" t="s">
        <v>13051</v>
      </c>
      <c r="F2926" s="3" t="s">
        <v>13052</v>
      </c>
      <c r="G2926" s="3">
        <v>240756</v>
      </c>
      <c r="H2926" s="7" t="str">
        <f>HYPERLINK("http://www.ensembl.org/Mus_musculus/Gene/Summary?db=core;g=ENSMUSG00000026455","ENSMUSG00000026455")</f>
        <v>ENSMUSG00000026455</v>
      </c>
      <c r="I2926" s="7" t="str">
        <f>HYPERLINK("http://www.informatics.jax.org/marker/MGI:2385619","MGI:2385619")</f>
        <v>MGI:2385619</v>
      </c>
      <c r="J2926" s="4" t="s">
        <v>12</v>
      </c>
    </row>
    <row r="2927" spans="1:10" x14ac:dyDescent="0.25">
      <c r="A2927" s="2">
        <v>3296.5404418307298</v>
      </c>
      <c r="B2927" s="3">
        <v>0.20355453814138599</v>
      </c>
      <c r="C2927" s="3">
        <v>4.1904542828249602E-3</v>
      </c>
      <c r="D2927" s="4">
        <v>1.28354671099975E-2</v>
      </c>
      <c r="E2927" s="3" t="s">
        <v>9527</v>
      </c>
      <c r="F2927" s="3" t="s">
        <v>9528</v>
      </c>
      <c r="G2927" s="3">
        <v>218490</v>
      </c>
      <c r="H2927" s="7" t="str">
        <f>HYPERLINK("http://www.ensembl.org/Mus_musculus/Gene/Summary?db=core;g=ENSMUSG00000021660","ENSMUSG00000021660")</f>
        <v>ENSMUSG00000021660</v>
      </c>
      <c r="I2927" s="7" t="str">
        <f>HYPERLINK("http://www.informatics.jax.org/marker/MGI:1202875","MGI:1202875")</f>
        <v>MGI:1202875</v>
      </c>
      <c r="J2927" s="4" t="s">
        <v>12</v>
      </c>
    </row>
    <row r="2928" spans="1:10" x14ac:dyDescent="0.25">
      <c r="A2928" s="2">
        <v>1.92736019882162</v>
      </c>
      <c r="B2928" s="3">
        <v>0.203361320815274</v>
      </c>
      <c r="C2928" s="3">
        <v>0.65062568186344705</v>
      </c>
      <c r="D2928" s="4">
        <v>0.791316352649159</v>
      </c>
      <c r="E2928" s="3" t="s">
        <v>10352</v>
      </c>
      <c r="F2928" s="3" t="s">
        <v>10353</v>
      </c>
      <c r="G2928" s="3">
        <v>381411</v>
      </c>
      <c r="H2928" s="7" t="str">
        <f>HYPERLINK("http://www.ensembl.org/Mus_musculus/Gene/Summary?db=core;g=ENSMUSG00000075023","ENSMUSG00000075023")</f>
        <v>ENSMUSG00000075023</v>
      </c>
      <c r="I2928" s="7" t="str">
        <f>HYPERLINK("http://www.informatics.jax.org/marker/MGI:3584519","MGI:3584519")</f>
        <v>MGI:3584519</v>
      </c>
      <c r="J2928" s="4" t="s">
        <v>12</v>
      </c>
    </row>
    <row r="2929" spans="1:10" x14ac:dyDescent="0.25">
      <c r="A2929" s="2">
        <v>2770.62462649381</v>
      </c>
      <c r="B2929" s="3">
        <v>0.20311793200535599</v>
      </c>
      <c r="C2929" s="5">
        <v>9.5643171610127496E-8</v>
      </c>
      <c r="D2929" s="6">
        <v>6.0086066962929104E-7</v>
      </c>
      <c r="E2929" s="3" t="s">
        <v>4551</v>
      </c>
      <c r="F2929" s="3" t="s">
        <v>4552</v>
      </c>
      <c r="G2929" s="3">
        <v>14679</v>
      </c>
      <c r="H2929" s="7" t="str">
        <f>HYPERLINK("http://www.ensembl.org/Mus_musculus/Gene/Summary?db=core;g=ENSMUSG00000000001","ENSMUSG00000000001")</f>
        <v>ENSMUSG00000000001</v>
      </c>
      <c r="I2929" s="7" t="str">
        <f>HYPERLINK("http://www.informatics.jax.org/marker/MGI:95773","MGI:95773")</f>
        <v>MGI:95773</v>
      </c>
      <c r="J2929" s="4" t="s">
        <v>12</v>
      </c>
    </row>
    <row r="2930" spans="1:10" x14ac:dyDescent="0.25">
      <c r="A2930" s="2">
        <v>2474.4995577690702</v>
      </c>
      <c r="B2930" s="3">
        <v>0.20302775936468201</v>
      </c>
      <c r="C2930" s="3">
        <v>5.0743596632896605E-4</v>
      </c>
      <c r="D2930" s="4">
        <v>1.88350722736159E-3</v>
      </c>
      <c r="E2930" s="3" t="s">
        <v>6515</v>
      </c>
      <c r="F2930" s="3" t="s">
        <v>6516</v>
      </c>
      <c r="G2930" s="3">
        <v>66902</v>
      </c>
      <c r="H2930" s="7" t="str">
        <f>HYPERLINK("http://www.ensembl.org/Mus_musculus/Gene/Summary?db=core;g=ENSMUSG00000062937","ENSMUSG00000062937")</f>
        <v>ENSMUSG00000062937</v>
      </c>
      <c r="I2930" s="7" t="str">
        <f>HYPERLINK("http://www.informatics.jax.org/marker/MGI:1914152","MGI:1914152")</f>
        <v>MGI:1914152</v>
      </c>
      <c r="J2930" s="4" t="s">
        <v>12</v>
      </c>
    </row>
    <row r="2931" spans="1:10" x14ac:dyDescent="0.25">
      <c r="A2931" s="2">
        <v>283.09089372427502</v>
      </c>
      <c r="B2931" s="3">
        <v>0.20278859122635901</v>
      </c>
      <c r="C2931" s="3">
        <v>5.5623846215178602E-2</v>
      </c>
      <c r="D2931" s="4">
        <v>0.12486077069486801</v>
      </c>
      <c r="E2931" s="3" t="s">
        <v>11385</v>
      </c>
      <c r="F2931" s="3" t="s">
        <v>11386</v>
      </c>
      <c r="G2931" s="3">
        <v>17281</v>
      </c>
      <c r="H2931" s="7" t="str">
        <f>HYPERLINK("http://www.ensembl.org/Mus_musculus/Gene/Summary?db=core;g=ENSMUSG00000025241","ENSMUSG00000025241")</f>
        <v>ENSMUSG00000025241</v>
      </c>
      <c r="I2931" s="7" t="str">
        <f>HYPERLINK("http://www.informatics.jax.org/marker/MGI:107277","MGI:107277")</f>
        <v>MGI:107277</v>
      </c>
      <c r="J2931" s="4" t="s">
        <v>12</v>
      </c>
    </row>
    <row r="2932" spans="1:10" x14ac:dyDescent="0.25">
      <c r="A2932" s="2">
        <v>10013.760368048201</v>
      </c>
      <c r="B2932" s="3">
        <v>0.20256674603731101</v>
      </c>
      <c r="C2932" s="3">
        <v>1.6908149645449699E-4</v>
      </c>
      <c r="D2932" s="4">
        <v>6.8009496201350999E-4</v>
      </c>
      <c r="E2932" s="3" t="s">
        <v>8993</v>
      </c>
      <c r="F2932" s="3" t="s">
        <v>8994</v>
      </c>
      <c r="G2932" s="3">
        <v>27041</v>
      </c>
      <c r="H2932" s="7" t="str">
        <f>HYPERLINK("http://www.ensembl.org/Mus_musculus/Gene/Summary?db=core;g=ENSMUSG00000018583","ENSMUSG00000018583")</f>
        <v>ENSMUSG00000018583</v>
      </c>
      <c r="I2932" s="7" t="str">
        <f>HYPERLINK("http://www.informatics.jax.org/marker/MGI:1351465","MGI:1351465")</f>
        <v>MGI:1351465</v>
      </c>
      <c r="J2932" s="4" t="s">
        <v>12</v>
      </c>
    </row>
    <row r="2933" spans="1:10" x14ac:dyDescent="0.25">
      <c r="A2933" s="2">
        <v>4102.5638653299302</v>
      </c>
      <c r="B2933" s="3">
        <v>0.20243330086356201</v>
      </c>
      <c r="C2933" s="5">
        <v>1.8483487808313501E-9</v>
      </c>
      <c r="D2933" s="6">
        <v>1.3937176884837101E-8</v>
      </c>
      <c r="E2933" s="3" t="s">
        <v>5531</v>
      </c>
      <c r="F2933" s="3" t="s">
        <v>5532</v>
      </c>
      <c r="G2933" s="3">
        <v>19192</v>
      </c>
      <c r="H2933" s="7" t="str">
        <f>HYPERLINK("http://www.ensembl.org/Mus_musculus/Gene/Summary?db=core;g=ENSMUSG00000078652","ENSMUSG00000078652")</f>
        <v>ENSMUSG00000078652</v>
      </c>
      <c r="I2933" s="7" t="str">
        <f>HYPERLINK("http://www.informatics.jax.org/marker/MGI:1096366","MGI:1096366")</f>
        <v>MGI:1096366</v>
      </c>
      <c r="J2933" s="4" t="s">
        <v>12</v>
      </c>
    </row>
    <row r="2934" spans="1:10" x14ac:dyDescent="0.25">
      <c r="A2934" s="2">
        <v>1824.4531833978001</v>
      </c>
      <c r="B2934" s="3">
        <v>0.202400905407087</v>
      </c>
      <c r="C2934" s="3">
        <v>1.2827672160485601E-3</v>
      </c>
      <c r="D2934" s="4">
        <v>4.42773343039488E-3</v>
      </c>
      <c r="E2934" s="3" t="s">
        <v>13965</v>
      </c>
      <c r="F2934" s="3" t="s">
        <v>13966</v>
      </c>
      <c r="G2934" s="3">
        <v>22031</v>
      </c>
      <c r="H2934" s="7" t="str">
        <f>HYPERLINK("http://www.ensembl.org/Mus_musculus/Gene/Summary?db=core;g=ENSMUSG00000021277","ENSMUSG00000021277")</f>
        <v>ENSMUSG00000021277</v>
      </c>
      <c r="I2934" s="7" t="str">
        <f>HYPERLINK("http://www.informatics.jax.org/marker/MGI:108041","MGI:108041")</f>
        <v>MGI:108041</v>
      </c>
      <c r="J2934" s="4" t="s">
        <v>12</v>
      </c>
    </row>
    <row r="2935" spans="1:10" x14ac:dyDescent="0.25">
      <c r="A2935" s="2">
        <v>3948.8083474815598</v>
      </c>
      <c r="B2935" s="3">
        <v>0.202373693481079</v>
      </c>
      <c r="C2935" s="3">
        <v>3.6065903075364601E-3</v>
      </c>
      <c r="D2935" s="4">
        <v>1.12244037491209E-2</v>
      </c>
      <c r="E2935" s="3" t="s">
        <v>10646</v>
      </c>
      <c r="F2935" s="3" t="s">
        <v>10647</v>
      </c>
      <c r="G2935" s="3" t="s">
        <v>83</v>
      </c>
      <c r="H2935" s="7" t="str">
        <f>HYPERLINK("http://www.ensembl.org/Mus_musculus/Gene/Summary?db=core;g=ENSMUSG00000091228","ENSMUSG00000091228")</f>
        <v>ENSMUSG00000091228</v>
      </c>
      <c r="I2935" s="7" t="str">
        <f>HYPERLINK("http://www.informatics.jax.org/marker/MGI:5141855","MGI:5141855")</f>
        <v>MGI:5141855</v>
      </c>
      <c r="J2935" s="4" t="s">
        <v>12</v>
      </c>
    </row>
    <row r="2936" spans="1:10" x14ac:dyDescent="0.25">
      <c r="A2936" s="2">
        <v>1110.42810420453</v>
      </c>
      <c r="B2936" s="3">
        <v>0.20228696870830901</v>
      </c>
      <c r="C2936" s="3">
        <v>1.3358319174481301E-3</v>
      </c>
      <c r="D2936" s="4">
        <v>4.5943643509137799E-3</v>
      </c>
      <c r="E2936" s="3" t="s">
        <v>10266</v>
      </c>
      <c r="F2936" s="3" t="s">
        <v>10267</v>
      </c>
      <c r="G2936" s="3">
        <v>20467</v>
      </c>
      <c r="H2936" s="7" t="str">
        <f>HYPERLINK("http://www.ensembl.org/Mus_musculus/Gene/Summary?db=core;g=ENSMUSG00000031622","ENSMUSG00000031622")</f>
        <v>ENSMUSG00000031622</v>
      </c>
      <c r="I2936" s="7" t="str">
        <f>HYPERLINK("http://www.informatics.jax.org/marker/MGI:107158","MGI:107158")</f>
        <v>MGI:107158</v>
      </c>
      <c r="J2936" s="4" t="s">
        <v>12</v>
      </c>
    </row>
    <row r="2937" spans="1:10" x14ac:dyDescent="0.25">
      <c r="A2937" s="2">
        <v>10056.6715782384</v>
      </c>
      <c r="B2937" s="3">
        <v>0.20220231173029299</v>
      </c>
      <c r="C2937" s="5">
        <v>1.20759230307641E-6</v>
      </c>
      <c r="D2937" s="6">
        <v>6.6570991299357604E-6</v>
      </c>
      <c r="E2937" s="3" t="s">
        <v>6549</v>
      </c>
      <c r="F2937" s="3" t="s">
        <v>6550</v>
      </c>
      <c r="G2937" s="3">
        <v>18521</v>
      </c>
      <c r="H2937" s="7" t="str">
        <f>HYPERLINK("http://www.ensembl.org/Mus_musculus/Gene/Summary?db=core;g=ENSMUSG00000056851","ENSMUSG00000056851")</f>
        <v>ENSMUSG00000056851</v>
      </c>
      <c r="I2937" s="7" t="str">
        <f>HYPERLINK("http://www.informatics.jax.org/marker/MGI:108202","MGI:108202")</f>
        <v>MGI:108202</v>
      </c>
      <c r="J2937" s="4" t="s">
        <v>12</v>
      </c>
    </row>
    <row r="2938" spans="1:10" x14ac:dyDescent="0.25">
      <c r="A2938" s="2">
        <v>278.98303943766399</v>
      </c>
      <c r="B2938" s="3">
        <v>0.20194296538189799</v>
      </c>
      <c r="C2938" s="3">
        <v>1.08103388474856E-2</v>
      </c>
      <c r="D2938" s="4">
        <v>3.0062199610748901E-2</v>
      </c>
      <c r="E2938" s="3" t="s">
        <v>8965</v>
      </c>
      <c r="F2938" s="3" t="s">
        <v>8966</v>
      </c>
      <c r="G2938" s="3">
        <v>68499</v>
      </c>
      <c r="H2938" s="7" t="str">
        <f>HYPERLINK("http://www.ensembl.org/Mus_musculus/Gene/Summary?db=core;g=ENSMUSG00000030037","ENSMUSG00000030037")</f>
        <v>ENSMUSG00000030037</v>
      </c>
      <c r="I2938" s="7" t="str">
        <f>HYPERLINK("http://www.informatics.jax.org/marker/MGI:1915749","MGI:1915749")</f>
        <v>MGI:1915749</v>
      </c>
      <c r="J2938" s="4" t="s">
        <v>12</v>
      </c>
    </row>
    <row r="2939" spans="1:10" x14ac:dyDescent="0.25">
      <c r="A2939" s="2">
        <v>1214.2397338084199</v>
      </c>
      <c r="B2939" s="3">
        <v>0.20188673222133899</v>
      </c>
      <c r="C2939" s="5">
        <v>2.0218691153905499E-5</v>
      </c>
      <c r="D2939" s="6">
        <v>9.4459278718258798E-5</v>
      </c>
      <c r="E2939" s="3" t="s">
        <v>7342</v>
      </c>
      <c r="F2939" s="3" t="s">
        <v>7343</v>
      </c>
      <c r="G2939" s="3">
        <v>66917</v>
      </c>
      <c r="H2939" s="7" t="str">
        <f>HYPERLINK("http://www.ensembl.org/Mus_musculus/Gene/Summary?db=core;g=ENSMUSG00000001774","ENSMUSG00000001774")</f>
        <v>ENSMUSG00000001774</v>
      </c>
      <c r="I2939" s="7" t="str">
        <f>HYPERLINK("http://www.informatics.jax.org/marker/MGI:1914167","MGI:1914167")</f>
        <v>MGI:1914167</v>
      </c>
      <c r="J2939" s="4" t="s">
        <v>12</v>
      </c>
    </row>
    <row r="2940" spans="1:10" x14ac:dyDescent="0.25">
      <c r="A2940" s="2">
        <v>7487.1042697540997</v>
      </c>
      <c r="B2940" s="3">
        <v>0.20178160589802399</v>
      </c>
      <c r="C2940" s="5">
        <v>2.6405338219126599E-6</v>
      </c>
      <c r="D2940" s="6">
        <v>1.39529512624988E-5</v>
      </c>
      <c r="E2940" s="3" t="s">
        <v>6059</v>
      </c>
      <c r="F2940" s="3" t="s">
        <v>6060</v>
      </c>
      <c r="G2940" s="3">
        <v>14225</v>
      </c>
      <c r="H2940" s="7" t="str">
        <f>HYPERLINK("http://www.ensembl.org/Mus_musculus/Gene/Summary?db=core;g=ENSMUSG00000032966","ENSMUSG00000032966")</f>
        <v>ENSMUSG00000032966</v>
      </c>
      <c r="I2940" s="7" t="str">
        <f>HYPERLINK("http://www.informatics.jax.org/marker/MGI:95541","MGI:95541")</f>
        <v>MGI:95541</v>
      </c>
      <c r="J2940" s="4" t="s">
        <v>12</v>
      </c>
    </row>
    <row r="2941" spans="1:10" x14ac:dyDescent="0.25">
      <c r="A2941" s="2">
        <v>21447.637960173</v>
      </c>
      <c r="B2941" s="3">
        <v>0.201761426955369</v>
      </c>
      <c r="C2941" s="3">
        <v>1.3576665855401799E-3</v>
      </c>
      <c r="D2941" s="4">
        <v>4.6606655719476E-3</v>
      </c>
      <c r="E2941" s="3" t="s">
        <v>12069</v>
      </c>
      <c r="F2941" s="3" t="s">
        <v>12070</v>
      </c>
      <c r="G2941" s="3">
        <v>14694</v>
      </c>
      <c r="H2941" s="7" t="str">
        <f>HYPERLINK("http://www.ensembl.org/Mus_musculus/Gene/Summary?db=core;g=ENSMUSG00000020372","ENSMUSG00000020372")</f>
        <v>ENSMUSG00000020372</v>
      </c>
      <c r="I2941" s="7" t="str">
        <f>HYPERLINK("http://www.informatics.jax.org/marker/MGI:101849","MGI:101849")</f>
        <v>MGI:101849</v>
      </c>
      <c r="J2941" s="4" t="s">
        <v>12</v>
      </c>
    </row>
    <row r="2942" spans="1:10" x14ac:dyDescent="0.25">
      <c r="A2942" s="2">
        <v>68380.890500836205</v>
      </c>
      <c r="B2942" s="3">
        <v>0.20172297868552999</v>
      </c>
      <c r="C2942" s="3">
        <v>3.02891866316849E-3</v>
      </c>
      <c r="D2942" s="4">
        <v>9.5870167829534107E-3</v>
      </c>
      <c r="E2942" s="3" t="s">
        <v>12283</v>
      </c>
      <c r="F2942" s="3" t="s">
        <v>12284</v>
      </c>
      <c r="G2942" s="3">
        <v>13627</v>
      </c>
      <c r="H2942" s="7" t="str">
        <f>HYPERLINK("http://www.ensembl.org/Mus_musculus/Gene/Summary?db=core;g=ENSMUSG00000037742","ENSMUSG00000037742")</f>
        <v>ENSMUSG00000037742</v>
      </c>
      <c r="I2942" s="7" t="str">
        <f>HYPERLINK("http://www.informatics.jax.org/marker/MGI:1096881","MGI:1096881")</f>
        <v>MGI:1096881</v>
      </c>
      <c r="J2942" s="4" t="s">
        <v>12</v>
      </c>
    </row>
    <row r="2943" spans="1:10" x14ac:dyDescent="0.25">
      <c r="A2943" s="2">
        <v>1834.5924779264701</v>
      </c>
      <c r="B2943" s="3">
        <v>0.201405402873958</v>
      </c>
      <c r="C2943" s="3">
        <v>2.92208627425061E-3</v>
      </c>
      <c r="D2943" s="4">
        <v>9.2908273461649298E-3</v>
      </c>
      <c r="E2943" s="3" t="s">
        <v>12085</v>
      </c>
      <c r="F2943" s="3" t="s">
        <v>12086</v>
      </c>
      <c r="G2943" s="3">
        <v>544971</v>
      </c>
      <c r="H2943" s="7" t="str">
        <f>HYPERLINK("http://www.ensembl.org/Mus_musculus/Gene/Summary?db=core;g=ENSMUSG00000049658","ENSMUSG00000049658")</f>
        <v>ENSMUSG00000049658</v>
      </c>
      <c r="I2943" s="7" t="str">
        <f>HYPERLINK("http://www.informatics.jax.org/marker/MGI:1347077","MGI:1347077")</f>
        <v>MGI:1347077</v>
      </c>
      <c r="J2943" s="4" t="s">
        <v>12</v>
      </c>
    </row>
    <row r="2944" spans="1:10" x14ac:dyDescent="0.25">
      <c r="A2944" s="2">
        <v>1395.5187730371899</v>
      </c>
      <c r="B2944" s="3">
        <v>0.20135826287766401</v>
      </c>
      <c r="C2944" s="3">
        <v>1.21176056406853E-4</v>
      </c>
      <c r="D2944" s="4">
        <v>4.9964561719794103E-4</v>
      </c>
      <c r="E2944" s="3" t="s">
        <v>10924</v>
      </c>
      <c r="F2944" s="3" t="s">
        <v>10925</v>
      </c>
      <c r="G2944" s="3">
        <v>217109</v>
      </c>
      <c r="H2944" s="7" t="str">
        <f>HYPERLINK("http://www.ensembl.org/Mus_musculus/Gene/Summary?db=core;g=ENSMUSG00000054079","ENSMUSG00000054079")</f>
        <v>ENSMUSG00000054079</v>
      </c>
      <c r="I2944" s="7" t="str">
        <f>HYPERLINK("http://www.informatics.jax.org/marker/MGI:1923402","MGI:1923402")</f>
        <v>MGI:1923402</v>
      </c>
      <c r="J2944" s="4" t="s">
        <v>12</v>
      </c>
    </row>
    <row r="2945" spans="1:10" x14ac:dyDescent="0.25">
      <c r="A2945" s="2">
        <v>24.388659582235</v>
      </c>
      <c r="B2945" s="3">
        <v>0.201274220335591</v>
      </c>
      <c r="C2945" s="3">
        <v>0.43812958501096799</v>
      </c>
      <c r="D2945" s="4">
        <v>0.61650028465294104</v>
      </c>
      <c r="E2945" s="3" t="s">
        <v>8895</v>
      </c>
      <c r="F2945" s="3" t="s">
        <v>8896</v>
      </c>
      <c r="G2945" s="3">
        <v>72230</v>
      </c>
      <c r="H2945" s="7" t="str">
        <f>HYPERLINK("http://www.ensembl.org/Mus_musculus/Gene/Summary?db=core;g=ENSMUSG00000074500","ENSMUSG00000074500")</f>
        <v>ENSMUSG00000074500</v>
      </c>
      <c r="I2945" s="7" t="str">
        <f>HYPERLINK("http://www.informatics.jax.org/marker/MGI:1921681","MGI:1921681")</f>
        <v>MGI:1921681</v>
      </c>
      <c r="J2945" s="4" t="s">
        <v>12</v>
      </c>
    </row>
    <row r="2946" spans="1:10" x14ac:dyDescent="0.25">
      <c r="A2946" s="2">
        <v>1368.65746610377</v>
      </c>
      <c r="B2946" s="3">
        <v>0.20123473770004099</v>
      </c>
      <c r="C2946" s="3">
        <v>9.0423101209402004E-4</v>
      </c>
      <c r="D2946" s="4">
        <v>3.2061498434656599E-3</v>
      </c>
      <c r="E2946" s="3" t="s">
        <v>11207</v>
      </c>
      <c r="F2946" s="3" t="s">
        <v>11208</v>
      </c>
      <c r="G2946" s="3">
        <v>110379</v>
      </c>
      <c r="H2946" s="7" t="str">
        <f>HYPERLINK("http://www.ensembl.org/Mus_musculus/Gene/Summary?db=core;g=ENSMUSG00000030298","ENSMUSG00000030298")</f>
        <v>ENSMUSG00000030298</v>
      </c>
      <c r="I2946" s="7" t="str">
        <f>HYPERLINK("http://www.informatics.jax.org/marker/MGI:99832","MGI:99832")</f>
        <v>MGI:99832</v>
      </c>
      <c r="J2946" s="4" t="s">
        <v>12</v>
      </c>
    </row>
    <row r="2947" spans="1:10" x14ac:dyDescent="0.25">
      <c r="A2947" s="2">
        <v>679.55419185787605</v>
      </c>
      <c r="B2947" s="3">
        <v>0.20120192440392301</v>
      </c>
      <c r="C2947" s="3">
        <v>4.8651363025986399E-4</v>
      </c>
      <c r="D2947" s="4">
        <v>1.81138118722902E-3</v>
      </c>
      <c r="E2947" s="3" t="s">
        <v>13334</v>
      </c>
      <c r="F2947" s="3" t="s">
        <v>13335</v>
      </c>
      <c r="G2947" s="3">
        <v>74330</v>
      </c>
      <c r="H2947" s="7" t="str">
        <f>HYPERLINK("http://www.ensembl.org/Mus_musculus/Gene/Summary?db=core;g=ENSMUSG00000025354","ENSMUSG00000025354")</f>
        <v>ENSMUSG00000025354</v>
      </c>
      <c r="I2947" s="7" t="str">
        <f>HYPERLINK("http://www.informatics.jax.org/marker/MGI:1921580","MGI:1921580")</f>
        <v>MGI:1921580</v>
      </c>
      <c r="J2947" s="4" t="s">
        <v>12</v>
      </c>
    </row>
    <row r="2948" spans="1:10" x14ac:dyDescent="0.25">
      <c r="A2948" s="2">
        <v>1347.36169967104</v>
      </c>
      <c r="B2948" s="3">
        <v>0.2010516604349</v>
      </c>
      <c r="C2948" s="3">
        <v>1.46030415520571E-3</v>
      </c>
      <c r="D2948" s="4">
        <v>4.9792410156452903E-3</v>
      </c>
      <c r="E2948" s="3" t="s">
        <v>8823</v>
      </c>
      <c r="F2948" s="3" t="s">
        <v>8824</v>
      </c>
      <c r="G2948" s="3">
        <v>216150</v>
      </c>
      <c r="H2948" s="7" t="str">
        <f>HYPERLINK("http://www.ensembl.org/Mus_musculus/Gene/Summary?db=core;g=ENSMUSG00000020307","ENSMUSG00000020307")</f>
        <v>ENSMUSG00000020307</v>
      </c>
      <c r="I2948" s="7" t="str">
        <f>HYPERLINK("http://www.informatics.jax.org/marker/MGI:102657","MGI:102657")</f>
        <v>MGI:102657</v>
      </c>
      <c r="J2948" s="4" t="s">
        <v>12</v>
      </c>
    </row>
    <row r="2949" spans="1:10" x14ac:dyDescent="0.25">
      <c r="A2949" s="2">
        <v>1636.6651430269501</v>
      </c>
      <c r="B2949" s="3">
        <v>0.201026790027205</v>
      </c>
      <c r="C2949" s="3">
        <v>2.22846450444141E-3</v>
      </c>
      <c r="D2949" s="4">
        <v>7.2993827450475697E-3</v>
      </c>
      <c r="E2949" s="3" t="s">
        <v>10406</v>
      </c>
      <c r="F2949" s="3" t="s">
        <v>10407</v>
      </c>
      <c r="G2949" s="3">
        <v>19056</v>
      </c>
      <c r="H2949" s="7" t="str">
        <f>HYPERLINK("http://www.ensembl.org/Mus_musculus/Gene/Summary?db=core;g=ENSMUSG00000021816","ENSMUSG00000021816")</f>
        <v>ENSMUSG00000021816</v>
      </c>
      <c r="I2949" s="7" t="str">
        <f>HYPERLINK("http://www.informatics.jax.org/marker/MGI:107163","MGI:107163")</f>
        <v>MGI:107163</v>
      </c>
      <c r="J2949" s="4" t="s">
        <v>12</v>
      </c>
    </row>
    <row r="2950" spans="1:10" x14ac:dyDescent="0.25">
      <c r="A2950" s="2">
        <v>745.358424104547</v>
      </c>
      <c r="B2950" s="3">
        <v>0.200891451088682</v>
      </c>
      <c r="C2950" s="3">
        <v>2.4269958731751E-4</v>
      </c>
      <c r="D2950" s="4">
        <v>9.4837049289485701E-4</v>
      </c>
      <c r="E2950" s="3" t="s">
        <v>10404</v>
      </c>
      <c r="F2950" s="3" t="s">
        <v>10405</v>
      </c>
      <c r="G2950" s="3">
        <v>66840</v>
      </c>
      <c r="H2950" s="7" t="str">
        <f>HYPERLINK("http://www.ensembl.org/Mus_musculus/Gene/Summary?db=core;g=ENSMUSG00000025173","ENSMUSG00000025173")</f>
        <v>ENSMUSG00000025173</v>
      </c>
      <c r="I2950" s="7" t="str">
        <f>HYPERLINK("http://www.informatics.jax.org/marker/MGI:1914090","MGI:1914090")</f>
        <v>MGI:1914090</v>
      </c>
      <c r="J2950" s="4" t="s">
        <v>12</v>
      </c>
    </row>
    <row r="2951" spans="1:10" x14ac:dyDescent="0.25">
      <c r="A2951" s="2">
        <v>1066.2451085426201</v>
      </c>
      <c r="B2951" s="3">
        <v>0.200741113579124</v>
      </c>
      <c r="C2951" s="3">
        <v>3.62758894330327E-4</v>
      </c>
      <c r="D2951" s="4">
        <v>1.3756306386122001E-3</v>
      </c>
      <c r="E2951" s="3" t="s">
        <v>7502</v>
      </c>
      <c r="F2951" s="3" t="s">
        <v>7503</v>
      </c>
      <c r="G2951" s="3">
        <v>68215</v>
      </c>
      <c r="H2951" s="7" t="str">
        <f>HYPERLINK("http://www.ensembl.org/Mus_musculus/Gene/Summary?db=core;g=ENSMUSG00000027349","ENSMUSG00000027349")</f>
        <v>ENSMUSG00000027349</v>
      </c>
      <c r="I2951" s="7" t="str">
        <f>HYPERLINK("http://www.informatics.jax.org/marker/MGI:1915465","MGI:1915465")</f>
        <v>MGI:1915465</v>
      </c>
      <c r="J2951" s="4" t="s">
        <v>12</v>
      </c>
    </row>
    <row r="2952" spans="1:10" x14ac:dyDescent="0.25">
      <c r="A2952" s="2">
        <v>4604.63269103332</v>
      </c>
      <c r="B2952" s="3">
        <v>0.200639715081607</v>
      </c>
      <c r="C2952" s="5">
        <v>2.2896857955550299E-6</v>
      </c>
      <c r="D2952" s="6">
        <v>1.2194483817647701E-5</v>
      </c>
      <c r="E2952" s="3" t="s">
        <v>5439</v>
      </c>
      <c r="F2952" s="3" t="s">
        <v>5440</v>
      </c>
      <c r="G2952" s="3">
        <v>68278</v>
      </c>
      <c r="H2952" s="7" t="str">
        <f>HYPERLINK("http://www.ensembl.org/Mus_musculus/Gene/Summary?db=core;g=ENSMUSG00000005481","ENSMUSG00000005481")</f>
        <v>ENSMUSG00000005481</v>
      </c>
      <c r="I2952" s="7" t="str">
        <f>HYPERLINK("http://www.informatics.jax.org/marker/MGI:1915528","MGI:1915528")</f>
        <v>MGI:1915528</v>
      </c>
      <c r="J2952" s="4" t="s">
        <v>12</v>
      </c>
    </row>
    <row r="2953" spans="1:10" x14ac:dyDescent="0.25">
      <c r="A2953" s="2">
        <v>10445.202714336399</v>
      </c>
      <c r="B2953" s="3">
        <v>0.200395822223672</v>
      </c>
      <c r="C2953" s="5">
        <v>9.4575404118880608E-13</v>
      </c>
      <c r="D2953" s="6">
        <v>9.5970865259832902E-12</v>
      </c>
      <c r="E2953" s="3" t="s">
        <v>4127</v>
      </c>
      <c r="F2953" s="3" t="s">
        <v>4128</v>
      </c>
      <c r="G2953" s="3">
        <v>15191</v>
      </c>
      <c r="H2953" s="7" t="str">
        <f>HYPERLINK("http://www.ensembl.org/Mus_musculus/Gene/Summary?db=core;g=ENSMUSG00000004897","ENSMUSG00000004897")</f>
        <v>ENSMUSG00000004897</v>
      </c>
      <c r="I2953" s="7" t="str">
        <f>HYPERLINK("http://www.informatics.jax.org/marker/MGI:1194494","MGI:1194494")</f>
        <v>MGI:1194494</v>
      </c>
      <c r="J2953" s="4" t="s">
        <v>12</v>
      </c>
    </row>
    <row r="2954" spans="1:10" x14ac:dyDescent="0.25">
      <c r="A2954" s="2">
        <v>1104.7434276210099</v>
      </c>
      <c r="B2954" s="3">
        <v>0.20036396875992901</v>
      </c>
      <c r="C2954" s="3">
        <v>3.7131844764443799E-4</v>
      </c>
      <c r="D2954" s="4">
        <v>1.40604170129231E-3</v>
      </c>
      <c r="E2954" s="3" t="s">
        <v>7600</v>
      </c>
      <c r="F2954" s="3" t="s">
        <v>7601</v>
      </c>
      <c r="G2954" s="3">
        <v>22200</v>
      </c>
      <c r="H2954" s="7" t="str">
        <f>HYPERLINK("http://www.ensembl.org/Mus_musculus/Gene/Summary?db=core;g=ENSMUSG00000030061","ENSMUSG00000030061")</f>
        <v>ENSMUSG00000030061</v>
      </c>
      <c r="I2954" s="7" t="str">
        <f>HYPERLINK("http://www.informatics.jax.org/marker/MGI:1341217","MGI:1341217")</f>
        <v>MGI:1341217</v>
      </c>
      <c r="J2954" s="4" t="s">
        <v>12</v>
      </c>
    </row>
    <row r="2955" spans="1:10" x14ac:dyDescent="0.25">
      <c r="A2955" s="2">
        <v>1701.85517535691</v>
      </c>
      <c r="B2955" s="3">
        <v>0.20026038886304601</v>
      </c>
      <c r="C2955" s="3">
        <v>7.0232777787918401E-4</v>
      </c>
      <c r="D2955" s="4">
        <v>2.53823051311602E-3</v>
      </c>
      <c r="E2955" s="3" t="s">
        <v>10874</v>
      </c>
      <c r="F2955" s="3" t="s">
        <v>10875</v>
      </c>
      <c r="G2955" s="3">
        <v>12321</v>
      </c>
      <c r="H2955" s="7" t="str">
        <f>HYPERLINK("http://www.ensembl.org/Mus_musculus/Gene/Summary?db=core;g=ENSMUSG00000029767","ENSMUSG00000029767")</f>
        <v>ENSMUSG00000029767</v>
      </c>
      <c r="I2955" s="7" t="str">
        <f>HYPERLINK("http://www.informatics.jax.org/marker/MGI:1097158","MGI:1097158")</f>
        <v>MGI:1097158</v>
      </c>
      <c r="J2955" s="4" t="s">
        <v>12</v>
      </c>
    </row>
    <row r="2956" spans="1:10" x14ac:dyDescent="0.25">
      <c r="A2956" s="2">
        <v>1009.09954663835</v>
      </c>
      <c r="B2956" s="3">
        <v>0.20015714469076301</v>
      </c>
      <c r="C2956" s="3">
        <v>1.1503453137489601E-3</v>
      </c>
      <c r="D2956" s="4">
        <v>4.0024901380440502E-3</v>
      </c>
      <c r="E2956" s="3" t="s">
        <v>4963</v>
      </c>
      <c r="F2956" s="3" t="s">
        <v>4964</v>
      </c>
      <c r="G2956" s="3">
        <v>74167</v>
      </c>
      <c r="H2956" s="7" t="str">
        <f>HYPERLINK("http://www.ensembl.org/Mus_musculus/Gene/Summary?db=core;g=ENSMUSG00000029310","ENSMUSG00000029310")</f>
        <v>ENSMUSG00000029310</v>
      </c>
      <c r="I2956" s="7" t="str">
        <f>HYPERLINK("http://www.informatics.jax.org/marker/MGI:1921417","MGI:1921417")</f>
        <v>MGI:1921417</v>
      </c>
      <c r="J2956" s="4" t="s">
        <v>12</v>
      </c>
    </row>
    <row r="2957" spans="1:10" x14ac:dyDescent="0.25">
      <c r="A2957" s="2">
        <v>4303.81845932136</v>
      </c>
      <c r="B2957" s="3">
        <v>0.19997830038275499</v>
      </c>
      <c r="C2957" s="3">
        <v>1.22309057176906E-4</v>
      </c>
      <c r="D2957" s="4">
        <v>5.0340618045372702E-4</v>
      </c>
      <c r="E2957" s="3" t="s">
        <v>4423</v>
      </c>
      <c r="F2957" s="3" t="s">
        <v>4424</v>
      </c>
      <c r="G2957" s="3">
        <v>72515</v>
      </c>
      <c r="H2957" s="7" t="str">
        <f>HYPERLINK("http://www.ensembl.org/Mus_musculus/Gene/Summary?db=core;g=ENSMUSG00000041057","ENSMUSG00000041057")</f>
        <v>ENSMUSG00000041057</v>
      </c>
      <c r="I2957" s="7" t="str">
        <f>HYPERLINK("http://www.informatics.jax.org/marker/MGI:1919765","MGI:1919765")</f>
        <v>MGI:1919765</v>
      </c>
      <c r="J2957" s="4" t="s">
        <v>12</v>
      </c>
    </row>
    <row r="2958" spans="1:10" x14ac:dyDescent="0.25">
      <c r="A2958" s="2">
        <v>5469.3398326405804</v>
      </c>
      <c r="B2958" s="3">
        <v>0.199919613182622</v>
      </c>
      <c r="C2958" s="3">
        <v>3.0905236608759598E-4</v>
      </c>
      <c r="D2958" s="4">
        <v>1.1857851309360901E-3</v>
      </c>
      <c r="E2958" s="3" t="s">
        <v>10708</v>
      </c>
      <c r="F2958" s="3" t="s">
        <v>10709</v>
      </c>
      <c r="G2958" s="3">
        <v>27370</v>
      </c>
      <c r="H2958" s="7" t="str">
        <f>HYPERLINK("http://www.ensembl.org/Mus_musculus/Gene/Summary?db=core;g=ENSMUSG00000025362","ENSMUSG00000025362")</f>
        <v>ENSMUSG00000025362</v>
      </c>
      <c r="I2958" s="7" t="str">
        <f>HYPERLINK("http://www.informatics.jax.org/marker/MGI:1351628","MGI:1351628")</f>
        <v>MGI:1351628</v>
      </c>
      <c r="J2958" s="4" t="s">
        <v>12</v>
      </c>
    </row>
    <row r="2959" spans="1:10" x14ac:dyDescent="0.25">
      <c r="A2959" s="2">
        <v>1179.03897031676</v>
      </c>
      <c r="B2959" s="3">
        <v>0.19986387276227999</v>
      </c>
      <c r="C2959" s="5">
        <v>3.0488806839932001E-5</v>
      </c>
      <c r="D2959" s="4">
        <v>1.3849912877810601E-4</v>
      </c>
      <c r="E2959" s="3" t="s">
        <v>6381</v>
      </c>
      <c r="F2959" s="3" t="s">
        <v>6382</v>
      </c>
      <c r="G2959" s="3">
        <v>59050</v>
      </c>
      <c r="H2959" s="7" t="str">
        <f>HYPERLINK("http://www.ensembl.org/Mus_musculus/Gene/Summary?db=core;g=ENSMUSG00000060739","ENSMUSG00000060739")</f>
        <v>ENSMUSG00000060739</v>
      </c>
      <c r="I2959" s="7" t="str">
        <f>HYPERLINK("http://www.informatics.jax.org/marker/MGI:1913883","MGI:1913883")</f>
        <v>MGI:1913883</v>
      </c>
      <c r="J2959" s="4" t="s">
        <v>12</v>
      </c>
    </row>
    <row r="2960" spans="1:10" x14ac:dyDescent="0.25">
      <c r="A2960" s="2">
        <v>1773.42227752552</v>
      </c>
      <c r="B2960" s="3">
        <v>0.19974894189207501</v>
      </c>
      <c r="C2960" s="5">
        <v>5.9246678082410102E-5</v>
      </c>
      <c r="D2960" s="4">
        <v>2.5684974965935902E-4</v>
      </c>
      <c r="E2960" s="3" t="s">
        <v>11683</v>
      </c>
      <c r="F2960" s="3" t="s">
        <v>11684</v>
      </c>
      <c r="G2960" s="3">
        <v>231868</v>
      </c>
      <c r="H2960" s="7" t="str">
        <f>HYPERLINK("http://www.ensembl.org/Mus_musculus/Gene/Summary?db=core;g=ENSMUSG00000039244","ENSMUSG00000039244")</f>
        <v>ENSMUSG00000039244</v>
      </c>
      <c r="I2960" s="7" t="str">
        <f>HYPERLINK("http://www.informatics.jax.org/marker/MGI:2442621","MGI:2442621")</f>
        <v>MGI:2442621</v>
      </c>
      <c r="J2960" s="4" t="s">
        <v>12</v>
      </c>
    </row>
    <row r="2961" spans="1:10" x14ac:dyDescent="0.25">
      <c r="A2961" s="2">
        <v>1681.9438883150401</v>
      </c>
      <c r="B2961" s="3">
        <v>0.19969164876204801</v>
      </c>
      <c r="C2961" s="5">
        <v>3.0552815254158901E-5</v>
      </c>
      <c r="D2961" s="4">
        <v>1.38720741905094E-4</v>
      </c>
      <c r="E2961" s="3" t="s">
        <v>9165</v>
      </c>
      <c r="F2961" s="3" t="s">
        <v>9166</v>
      </c>
      <c r="G2961" s="3">
        <v>26754</v>
      </c>
      <c r="H2961" s="7" t="str">
        <f>HYPERLINK("http://www.ensembl.org/Mus_musculus/Gene/Summary?db=core;g=ENSMUSG00000025917","ENSMUSG00000025917")</f>
        <v>ENSMUSG00000025917</v>
      </c>
      <c r="I2961" s="7" t="str">
        <f>HYPERLINK("http://www.informatics.jax.org/marker/MGI:1349415","MGI:1349415")</f>
        <v>MGI:1349415</v>
      </c>
      <c r="J2961" s="4" t="s">
        <v>12</v>
      </c>
    </row>
    <row r="2962" spans="1:10" x14ac:dyDescent="0.25">
      <c r="A2962" s="2">
        <v>1672.9107280020901</v>
      </c>
      <c r="B2962" s="3">
        <v>0.19968703113310601</v>
      </c>
      <c r="C2962" s="3">
        <v>1.0427154982414399E-3</v>
      </c>
      <c r="D2962" s="4">
        <v>3.6573306303791901E-3</v>
      </c>
      <c r="E2962" s="3" t="s">
        <v>12979</v>
      </c>
      <c r="F2962" s="3" t="s">
        <v>12980</v>
      </c>
      <c r="G2962" s="3">
        <v>226144</v>
      </c>
      <c r="H2962" s="7" t="str">
        <f>HYPERLINK("http://www.ensembl.org/Mus_musculus/Gene/Summary?db=core;g=ENSMUSG00000025198","ENSMUSG00000025198")</f>
        <v>ENSMUSG00000025198</v>
      </c>
      <c r="I2962" s="7" t="str">
        <f>HYPERLINK("http://www.informatics.jax.org/marker/MGI:2387613","MGI:2387613")</f>
        <v>MGI:2387613</v>
      </c>
      <c r="J2962" s="4" t="s">
        <v>12</v>
      </c>
    </row>
    <row r="2963" spans="1:10" x14ac:dyDescent="0.25">
      <c r="A2963" s="2">
        <v>830.89587417346297</v>
      </c>
      <c r="B2963" s="3">
        <v>0.19957647368898901</v>
      </c>
      <c r="C2963" s="3">
        <v>4.8816003792713997E-3</v>
      </c>
      <c r="D2963" s="4">
        <v>1.47053168449952E-2</v>
      </c>
      <c r="E2963" s="3" t="s">
        <v>9691</v>
      </c>
      <c r="F2963" s="3" t="s">
        <v>9692</v>
      </c>
      <c r="G2963" s="3">
        <v>67456</v>
      </c>
      <c r="H2963" s="7" t="str">
        <f>HYPERLINK("http://www.ensembl.org/Mus_musculus/Gene/Summary?db=core;g=ENSMUSG00000030304","ENSMUSG00000030304")</f>
        <v>ENSMUSG00000030304</v>
      </c>
      <c r="I2963" s="7" t="str">
        <f>HYPERLINK("http://www.informatics.jax.org/marker/MGI:1914706","MGI:1914706")</f>
        <v>MGI:1914706</v>
      </c>
      <c r="J2963" s="4" t="s">
        <v>12</v>
      </c>
    </row>
    <row r="2964" spans="1:10" x14ac:dyDescent="0.25">
      <c r="A2964" s="2">
        <v>2141.2201717432299</v>
      </c>
      <c r="B2964" s="3">
        <v>0.19934792093708201</v>
      </c>
      <c r="C2964" s="5">
        <v>3.2091524511973203E-5</v>
      </c>
      <c r="D2964" s="4">
        <v>1.45188410310598E-4</v>
      </c>
      <c r="E2964" s="3" t="s">
        <v>7056</v>
      </c>
      <c r="F2964" s="3" t="s">
        <v>7057</v>
      </c>
      <c r="G2964" s="3">
        <v>18786</v>
      </c>
      <c r="H2964" s="7" t="str">
        <f>HYPERLINK("http://www.ensembl.org/Mus_musculus/Gene/Summary?db=core;g=ENSMUSG00000028577","ENSMUSG00000028577")</f>
        <v>ENSMUSG00000028577</v>
      </c>
      <c r="I2964" s="7" t="str">
        <f>HYPERLINK("http://www.informatics.jax.org/marker/MGI:104810","MGI:104810")</f>
        <v>MGI:104810</v>
      </c>
      <c r="J2964" s="4" t="s">
        <v>12</v>
      </c>
    </row>
    <row r="2965" spans="1:10" x14ac:dyDescent="0.25">
      <c r="A2965" s="2">
        <v>163.621168253071</v>
      </c>
      <c r="B2965" s="3">
        <v>0.199307611825599</v>
      </c>
      <c r="C2965" s="3">
        <v>4.0661214586474197E-2</v>
      </c>
      <c r="D2965" s="4">
        <v>9.5767722388019103E-2</v>
      </c>
      <c r="E2965" s="3" t="s">
        <v>9982</v>
      </c>
      <c r="F2965" s="3" t="s">
        <v>9983</v>
      </c>
      <c r="G2965" s="3">
        <v>67736</v>
      </c>
      <c r="H2965" s="7" t="str">
        <f>HYPERLINK("http://www.ensembl.org/Mus_musculus/Gene/Summary?db=core;g=ENSMUSG00000004994","ENSMUSG00000004994")</f>
        <v>ENSMUSG00000004994</v>
      </c>
      <c r="I2965" s="7" t="str">
        <f>HYPERLINK("http://www.informatics.jax.org/marker/MGI:1914986","MGI:1914986")</f>
        <v>MGI:1914986</v>
      </c>
      <c r="J2965" s="4" t="s">
        <v>12</v>
      </c>
    </row>
    <row r="2966" spans="1:10" x14ac:dyDescent="0.25">
      <c r="A2966" s="2">
        <v>658.02313058685695</v>
      </c>
      <c r="B2966" s="3">
        <v>0.199028196064128</v>
      </c>
      <c r="C2966" s="3">
        <v>1.3231383695905599E-4</v>
      </c>
      <c r="D2966" s="4">
        <v>5.4164862501769899E-4</v>
      </c>
      <c r="E2966" s="3" t="s">
        <v>5549</v>
      </c>
      <c r="F2966" s="3" t="s">
        <v>5550</v>
      </c>
      <c r="G2966" s="3">
        <v>19043</v>
      </c>
      <c r="H2966" s="7" t="str">
        <f>HYPERLINK("http://www.ensembl.org/Mus_musculus/Gene/Summary?db=core;g=ENSMUSG00000061130","ENSMUSG00000061130")</f>
        <v>ENSMUSG00000061130</v>
      </c>
      <c r="I2966" s="7" t="str">
        <f>HYPERLINK("http://www.informatics.jax.org/marker/MGI:101841","MGI:101841")</f>
        <v>MGI:101841</v>
      </c>
      <c r="J2966" s="4" t="s">
        <v>12</v>
      </c>
    </row>
    <row r="2967" spans="1:10" x14ac:dyDescent="0.25">
      <c r="A2967" s="2">
        <v>369.53397239935299</v>
      </c>
      <c r="B2967" s="3">
        <v>0.198921503582458</v>
      </c>
      <c r="C2967" s="3">
        <v>2.5644216499046599E-3</v>
      </c>
      <c r="D2967" s="4">
        <v>8.2763563962302902E-3</v>
      </c>
      <c r="E2967" s="3" t="s">
        <v>9235</v>
      </c>
      <c r="F2967" s="3" t="s">
        <v>9236</v>
      </c>
      <c r="G2967" s="3">
        <v>77622</v>
      </c>
      <c r="H2967" s="7" t="str">
        <f>HYPERLINK("http://www.ensembl.org/Mus_musculus/Gene/Summary?db=core;g=ENSMUSG00000025269","ENSMUSG00000025269")</f>
        <v>ENSMUSG00000025269</v>
      </c>
      <c r="I2967" s="7" t="str">
        <f>HYPERLINK("http://www.informatics.jax.org/marker/MGI:1924872","MGI:1924872")</f>
        <v>MGI:1924872</v>
      </c>
      <c r="J2967" s="4" t="s">
        <v>12</v>
      </c>
    </row>
    <row r="2968" spans="1:10" x14ac:dyDescent="0.25">
      <c r="A2968" s="2">
        <v>4696.4393224670002</v>
      </c>
      <c r="B2968" s="3">
        <v>0.19824840079421199</v>
      </c>
      <c r="C2968" s="5">
        <v>9.9729266453401396E-5</v>
      </c>
      <c r="D2968" s="4">
        <v>4.1715994517173299E-4</v>
      </c>
      <c r="E2968" s="3" t="s">
        <v>9423</v>
      </c>
      <c r="F2968" s="3" t="s">
        <v>9424</v>
      </c>
      <c r="G2968" s="3">
        <v>17319</v>
      </c>
      <c r="H2968" s="7" t="str">
        <f>HYPERLINK("http://www.ensembl.org/Mus_musculus/Gene/Summary?db=core;g=ENSMUSG00000033307","ENSMUSG00000033307")</f>
        <v>ENSMUSG00000033307</v>
      </c>
      <c r="I2968" s="7" t="str">
        <f>HYPERLINK("http://www.informatics.jax.org/marker/MGI:96982","MGI:96982")</f>
        <v>MGI:96982</v>
      </c>
      <c r="J2968" s="4" t="s">
        <v>12</v>
      </c>
    </row>
    <row r="2969" spans="1:10" x14ac:dyDescent="0.25">
      <c r="A2969" s="2">
        <v>1331.78721026259</v>
      </c>
      <c r="B2969" s="3">
        <v>0.198193876085279</v>
      </c>
      <c r="C2969" s="3">
        <v>7.1504081579463997E-4</v>
      </c>
      <c r="D2969" s="4">
        <v>2.5800076950816299E-3</v>
      </c>
      <c r="E2969" s="3" t="s">
        <v>10520</v>
      </c>
      <c r="F2969" s="3" t="s">
        <v>10521</v>
      </c>
      <c r="G2969" s="3">
        <v>76295</v>
      </c>
      <c r="H2969" s="7" t="str">
        <f>HYPERLINK("http://www.ensembl.org/Mus_musculus/Gene/Summary?db=core;g=ENSMUSG00000037400","ENSMUSG00000037400")</f>
        <v>ENSMUSG00000037400</v>
      </c>
      <c r="I2969" s="7" t="str">
        <f>HYPERLINK("http://www.informatics.jax.org/marker/MGI:1923545","MGI:1923545")</f>
        <v>MGI:1923545</v>
      </c>
      <c r="J2969" s="4" t="s">
        <v>12</v>
      </c>
    </row>
    <row r="2970" spans="1:10" x14ac:dyDescent="0.25">
      <c r="A2970" s="2">
        <v>595.31254709726102</v>
      </c>
      <c r="B2970" s="3">
        <v>0.19815157091359401</v>
      </c>
      <c r="C2970" s="3">
        <v>4.0209603494221402E-3</v>
      </c>
      <c r="D2970" s="4">
        <v>1.2372446795241999E-2</v>
      </c>
      <c r="E2970" s="3" t="s">
        <v>12388</v>
      </c>
      <c r="F2970" s="3" t="s">
        <v>12389</v>
      </c>
      <c r="G2970" s="3">
        <v>104836</v>
      </c>
      <c r="H2970" s="7" t="str">
        <f>HYPERLINK("http://www.ensembl.org/Mus_musculus/Gene/Summary?db=core;g=ENSMUSG00000020659","ENSMUSG00000020659")</f>
        <v>ENSMUSG00000020659</v>
      </c>
      <c r="I2970" s="7" t="str">
        <f>HYPERLINK("http://www.informatics.jax.org/marker/MGI:2144842","MGI:2144842")</f>
        <v>MGI:2144842</v>
      </c>
      <c r="J2970" s="4" t="s">
        <v>12</v>
      </c>
    </row>
    <row r="2971" spans="1:10" x14ac:dyDescent="0.25">
      <c r="A2971" s="2">
        <v>1650.6070605421301</v>
      </c>
      <c r="B2971" s="3">
        <v>0.197779604930056</v>
      </c>
      <c r="C2971" s="5">
        <v>8.9271307023646395E-5</v>
      </c>
      <c r="D2971" s="4">
        <v>3.7612614021739998E-4</v>
      </c>
      <c r="E2971" s="3" t="s">
        <v>6794</v>
      </c>
      <c r="F2971" s="3" t="s">
        <v>6795</v>
      </c>
      <c r="G2971" s="3">
        <v>66884</v>
      </c>
      <c r="H2971" s="7" t="str">
        <f>HYPERLINK("http://www.ensembl.org/Mus_musculus/Gene/Summary?db=core;g=ENSMUSG00000018481","ENSMUSG00000018481")</f>
        <v>ENSMUSG00000018481</v>
      </c>
      <c r="I2971" s="7" t="str">
        <f>HYPERLINK("http://www.informatics.jax.org/marker/MGI:1914134","MGI:1914134")</f>
        <v>MGI:1914134</v>
      </c>
      <c r="J2971" s="4" t="s">
        <v>12</v>
      </c>
    </row>
    <row r="2972" spans="1:10" x14ac:dyDescent="0.25">
      <c r="A2972" s="2">
        <v>6745.4920832274402</v>
      </c>
      <c r="B2972" s="3">
        <v>0.19761781448114901</v>
      </c>
      <c r="C2972" s="3">
        <v>5.0419650684879204E-4</v>
      </c>
      <c r="D2972" s="4">
        <v>1.8726271321213E-3</v>
      </c>
      <c r="E2972" s="3" t="s">
        <v>8117</v>
      </c>
      <c r="F2972" s="3" t="s">
        <v>8118</v>
      </c>
      <c r="G2972" s="3">
        <v>66882</v>
      </c>
      <c r="H2972" s="7" t="str">
        <f>HYPERLINK("http://www.ensembl.org/Mus_musculus/Gene/Summary?db=core;g=ENSMUSG00000051223","ENSMUSG00000051223")</f>
        <v>ENSMUSG00000051223</v>
      </c>
      <c r="I2972" s="7" t="str">
        <f>HYPERLINK("http://www.informatics.jax.org/marker/MGI:1914132","MGI:1914132")</f>
        <v>MGI:1914132</v>
      </c>
      <c r="J2972" s="4" t="s">
        <v>12</v>
      </c>
    </row>
    <row r="2973" spans="1:10" x14ac:dyDescent="0.25">
      <c r="A2973" s="2">
        <v>29702.4706405738</v>
      </c>
      <c r="B2973" s="3">
        <v>0.19760838964965599</v>
      </c>
      <c r="C2973" s="5">
        <v>4.5026862602146002E-5</v>
      </c>
      <c r="D2973" s="4">
        <v>1.99031441866001E-4</v>
      </c>
      <c r="E2973" s="3" t="s">
        <v>9045</v>
      </c>
      <c r="F2973" s="3" t="s">
        <v>9046</v>
      </c>
      <c r="G2973" s="3">
        <v>18746</v>
      </c>
      <c r="H2973" s="7" t="str">
        <f>HYPERLINK("http://www.ensembl.org/Mus_musculus/Gene/Summary?db=core;g=ENSMUSG00000032294","ENSMUSG00000032294")</f>
        <v>ENSMUSG00000032294</v>
      </c>
      <c r="I2973" s="7" t="str">
        <f>HYPERLINK("http://www.informatics.jax.org/marker/MGI:97591","MGI:97591")</f>
        <v>MGI:97591</v>
      </c>
      <c r="J2973" s="4" t="s">
        <v>12</v>
      </c>
    </row>
    <row r="2974" spans="1:10" x14ac:dyDescent="0.25">
      <c r="A2974" s="2">
        <v>1376.7441173556999</v>
      </c>
      <c r="B2974" s="3">
        <v>0.19759020934326599</v>
      </c>
      <c r="C2974" s="5">
        <v>6.6353026966199205E-5</v>
      </c>
      <c r="D2974" s="4">
        <v>2.8500681509756797E-4</v>
      </c>
      <c r="E2974" s="3" t="s">
        <v>3902</v>
      </c>
      <c r="F2974" s="3" t="s">
        <v>3903</v>
      </c>
      <c r="G2974" s="3">
        <v>224092</v>
      </c>
      <c r="H2974" s="7" t="str">
        <f>HYPERLINK("http://www.ensembl.org/Mus_musculus/Gene/Summary?db=core;g=ENSMUSG00000022538","ENSMUSG00000022538")</f>
        <v>ENSMUSG00000022538</v>
      </c>
      <c r="I2974" s="7" t="str">
        <f>HYPERLINK("http://www.informatics.jax.org/marker/MGI:107236","MGI:107236")</f>
        <v>MGI:107236</v>
      </c>
      <c r="J2974" s="4" t="s">
        <v>12</v>
      </c>
    </row>
    <row r="2975" spans="1:10" x14ac:dyDescent="0.25">
      <c r="A2975" s="2">
        <v>1500.46100698697</v>
      </c>
      <c r="B2975" s="3">
        <v>0.19751700303976599</v>
      </c>
      <c r="C2975" s="5">
        <v>6.3977326937127003E-5</v>
      </c>
      <c r="D2975" s="4">
        <v>2.7564699371847301E-4</v>
      </c>
      <c r="E2975" s="3" t="s">
        <v>8263</v>
      </c>
      <c r="F2975" s="3" t="s">
        <v>8264</v>
      </c>
      <c r="G2975" s="3">
        <v>75964</v>
      </c>
      <c r="H2975" s="7" t="str">
        <f>HYPERLINK("http://www.ensembl.org/Mus_musculus/Gene/Summary?db=core;g=ENSMUSG00000033382","ENSMUSG00000033382")</f>
        <v>ENSMUSG00000033382</v>
      </c>
      <c r="I2975" s="7" t="str">
        <f>HYPERLINK("http://www.informatics.jax.org/marker/MGI:2443008","MGI:2443008")</f>
        <v>MGI:2443008</v>
      </c>
      <c r="J2975" s="4" t="s">
        <v>12</v>
      </c>
    </row>
    <row r="2976" spans="1:10" x14ac:dyDescent="0.25">
      <c r="A2976" s="2">
        <v>821.73987587512204</v>
      </c>
      <c r="B2976" s="3">
        <v>0.19748462046742901</v>
      </c>
      <c r="C2976" s="3">
        <v>1.67592737255342E-2</v>
      </c>
      <c r="D2976" s="4">
        <v>4.4285597165124202E-2</v>
      </c>
      <c r="E2976" s="3" t="s">
        <v>13137</v>
      </c>
      <c r="F2976" s="3" t="s">
        <v>13138</v>
      </c>
      <c r="G2976" s="3">
        <v>17311</v>
      </c>
      <c r="H2976" s="7" t="str">
        <f>HYPERLINK("http://www.ensembl.org/Mus_musculus/Gene/Summary?db=core;g=ENSMUSG00000019966","ENSMUSG00000019966")</f>
        <v>ENSMUSG00000019966</v>
      </c>
      <c r="I2976" s="7" t="str">
        <f>HYPERLINK("http://www.informatics.jax.org/marker/MGI:96974","MGI:96974")</f>
        <v>MGI:96974</v>
      </c>
      <c r="J2976" s="4" t="s">
        <v>12</v>
      </c>
    </row>
    <row r="2977" spans="1:10" x14ac:dyDescent="0.25">
      <c r="A2977" s="2">
        <v>357.87508375217999</v>
      </c>
      <c r="B2977" s="3">
        <v>0.19743189227640401</v>
      </c>
      <c r="C2977" s="3">
        <v>6.7901348591934297E-3</v>
      </c>
      <c r="D2977" s="4">
        <v>1.9828586413843999E-2</v>
      </c>
      <c r="E2977" s="3" t="s">
        <v>12827</v>
      </c>
      <c r="F2977" s="3" t="s">
        <v>12828</v>
      </c>
      <c r="G2977" s="3" t="s">
        <v>83</v>
      </c>
      <c r="H2977" s="7" t="str">
        <f>HYPERLINK("http://www.ensembl.org/Mus_musculus/Gene/Summary?db=core;g=ENSMUSG00000105340","ENSMUSG00000105340")</f>
        <v>ENSMUSG00000105340</v>
      </c>
      <c r="I2977" s="7" t="str">
        <f>HYPERLINK("http://www.informatics.jax.org/marker/MGI:5663015","MGI:5663015")</f>
        <v>MGI:5663015</v>
      </c>
      <c r="J2977" s="4" t="s">
        <v>12</v>
      </c>
    </row>
    <row r="2978" spans="1:10" x14ac:dyDescent="0.25">
      <c r="A2978" s="2">
        <v>1043.4965290678199</v>
      </c>
      <c r="B2978" s="3">
        <v>0.19736562468907601</v>
      </c>
      <c r="C2978" s="3">
        <v>1.74017043106151E-2</v>
      </c>
      <c r="D2978" s="4">
        <v>4.5757619544215998E-2</v>
      </c>
      <c r="E2978" s="3" t="s">
        <v>6283</v>
      </c>
      <c r="F2978" s="3" t="s">
        <v>6284</v>
      </c>
      <c r="G2978" s="3">
        <v>245944</v>
      </c>
      <c r="H2978" s="7" t="str">
        <f>HYPERLINK("http://www.ensembl.org/Mus_musculus/Gene/Summary?db=core;g=ENSMUSG00000020128","ENSMUSG00000020128")</f>
        <v>ENSMUSG00000020128</v>
      </c>
      <c r="I2978" s="7" t="str">
        <f>HYPERLINK("http://www.informatics.jax.org/marker/MGI:2178798","MGI:2178798")</f>
        <v>MGI:2178798</v>
      </c>
      <c r="J2978" s="4" t="s">
        <v>12</v>
      </c>
    </row>
    <row r="2979" spans="1:10" x14ac:dyDescent="0.25">
      <c r="A2979" s="2">
        <v>2605.72789625737</v>
      </c>
      <c r="B2979" s="3">
        <v>0.19727565529209101</v>
      </c>
      <c r="C2979" s="3">
        <v>5.5168029479925797E-3</v>
      </c>
      <c r="D2979" s="4">
        <v>1.6423347554257599E-2</v>
      </c>
      <c r="E2979" s="3" t="s">
        <v>7630</v>
      </c>
      <c r="F2979" s="3" t="s">
        <v>7631</v>
      </c>
      <c r="G2979" s="3">
        <v>231452</v>
      </c>
      <c r="H2979" s="7" t="str">
        <f>HYPERLINK("http://www.ensembl.org/Mus_musculus/Gene/Summary?db=core;g=ENSMUSG00000029415","ENSMUSG00000029415")</f>
        <v>ENSMUSG00000029415</v>
      </c>
      <c r="I2979" s="7" t="str">
        <f>HYPERLINK("http://www.informatics.jax.org/marker/MGI:2140779","MGI:2140779")</f>
        <v>MGI:2140779</v>
      </c>
      <c r="J2979" s="4" t="s">
        <v>12</v>
      </c>
    </row>
    <row r="2980" spans="1:10" x14ac:dyDescent="0.25">
      <c r="A2980" s="2">
        <v>2226.2468619515598</v>
      </c>
      <c r="B2980" s="3">
        <v>0.19719406230064601</v>
      </c>
      <c r="C2980" s="5">
        <v>1.8373121892993201E-6</v>
      </c>
      <c r="D2980" s="6">
        <v>9.9009505174394294E-6</v>
      </c>
      <c r="E2980" s="3" t="s">
        <v>9621</v>
      </c>
      <c r="F2980" s="3" t="s">
        <v>9622</v>
      </c>
      <c r="G2980" s="3">
        <v>53860</v>
      </c>
      <c r="H2980" s="7" t="str">
        <f>HYPERLINK("http://www.ensembl.org/Mus_musculus/Gene/Summary?db=core;g=ENSMUSG00000059248","ENSMUSG00000059248")</f>
        <v>ENSMUSG00000059248</v>
      </c>
      <c r="I2980" s="7" t="str">
        <f>HYPERLINK("http://www.informatics.jax.org/marker/MGI:1858222","MGI:1858222")</f>
        <v>MGI:1858222</v>
      </c>
      <c r="J2980" s="4" t="s">
        <v>12</v>
      </c>
    </row>
    <row r="2981" spans="1:10" x14ac:dyDescent="0.25">
      <c r="A2981" s="2">
        <v>1537.64418123583</v>
      </c>
      <c r="B2981" s="3">
        <v>0.19701801979543601</v>
      </c>
      <c r="C2981" s="5">
        <v>2.0385927599201001E-6</v>
      </c>
      <c r="D2981" s="6">
        <v>1.09210326424291E-5</v>
      </c>
      <c r="E2981" s="3" t="s">
        <v>6259</v>
      </c>
      <c r="F2981" s="3" t="s">
        <v>6260</v>
      </c>
      <c r="G2981" s="3">
        <v>140740</v>
      </c>
      <c r="H2981" s="7" t="str">
        <f>HYPERLINK("http://www.ensembl.org/Mus_musculus/Gene/Summary?db=core;g=ENSMUSG00000019802","ENSMUSG00000019802")</f>
        <v>ENSMUSG00000019802</v>
      </c>
      <c r="I2981" s="7" t="str">
        <f>HYPERLINK("http://www.informatics.jax.org/marker/MGI:2155302","MGI:2155302")</f>
        <v>MGI:2155302</v>
      </c>
      <c r="J2981" s="4" t="s">
        <v>12</v>
      </c>
    </row>
    <row r="2982" spans="1:10" x14ac:dyDescent="0.25">
      <c r="A2982" s="2">
        <v>4764.2680471183703</v>
      </c>
      <c r="B2982" s="3">
        <v>0.19693688983594601</v>
      </c>
      <c r="C2982" s="3">
        <v>1.3025013107424E-2</v>
      </c>
      <c r="D2982" s="4">
        <v>3.5456145462150999E-2</v>
      </c>
      <c r="E2982" s="3" t="s">
        <v>11771</v>
      </c>
      <c r="F2982" s="3" t="s">
        <v>11772</v>
      </c>
      <c r="G2982" s="3">
        <v>78294</v>
      </c>
      <c r="H2982" s="7" t="str">
        <f>HYPERLINK("http://www.ensembl.org/Mus_musculus/Gene/Summary?db=core;g=ENSMUSG00000020460","ENSMUSG00000020460")</f>
        <v>ENSMUSG00000020460</v>
      </c>
      <c r="I2982" s="7" t="str">
        <f>HYPERLINK("http://www.informatics.jax.org/marker/MGI:1925544","MGI:1925544")</f>
        <v>MGI:1925544</v>
      </c>
      <c r="J2982" s="4" t="s">
        <v>12</v>
      </c>
    </row>
    <row r="2983" spans="1:10" x14ac:dyDescent="0.25">
      <c r="A2983" s="2">
        <v>1542.35231581996</v>
      </c>
      <c r="B2983" s="3">
        <v>0.19687802783271499</v>
      </c>
      <c r="C2983" s="3">
        <v>1.0749763322662699E-4</v>
      </c>
      <c r="D2983" s="4">
        <v>4.4729323414504198E-4</v>
      </c>
      <c r="E2983" s="3" t="s">
        <v>7732</v>
      </c>
      <c r="F2983" s="3" t="s">
        <v>7733</v>
      </c>
      <c r="G2983" s="3">
        <v>14670</v>
      </c>
      <c r="H2983" s="7" t="str">
        <f>HYPERLINK("http://www.ensembl.org/Mus_musculus/Gene/Summary?db=core;g=ENSMUSG00000024429","ENSMUSG00000024429")</f>
        <v>ENSMUSG00000024429</v>
      </c>
      <c r="I2983" s="7" t="str">
        <f>HYPERLINK("http://www.informatics.jax.org/marker/MGI:95764","MGI:95764")</f>
        <v>MGI:95764</v>
      </c>
      <c r="J2983" s="4" t="s">
        <v>12</v>
      </c>
    </row>
    <row r="2984" spans="1:10" x14ac:dyDescent="0.25">
      <c r="A2984" s="2">
        <v>183.488605812614</v>
      </c>
      <c r="B2984" s="3">
        <v>0.196832998189061</v>
      </c>
      <c r="C2984" s="3">
        <v>8.4108959181527401E-2</v>
      </c>
      <c r="D2984" s="4">
        <v>0.176605195495706</v>
      </c>
      <c r="E2984" s="3" t="s">
        <v>13211</v>
      </c>
      <c r="F2984" s="3" t="s">
        <v>13212</v>
      </c>
      <c r="G2984" s="3">
        <v>68117</v>
      </c>
      <c r="H2984" s="7" t="str">
        <f>HYPERLINK("http://www.ensembl.org/Mus_musculus/Gene/Summary?db=core;g=ENSMUSG00000025525","ENSMUSG00000025525")</f>
        <v>ENSMUSG00000025525</v>
      </c>
      <c r="I2984" s="7" t="str">
        <f>HYPERLINK("http://www.informatics.jax.org/marker/MGI:1915367","MGI:1915367")</f>
        <v>MGI:1915367</v>
      </c>
      <c r="J2984" s="4" t="s">
        <v>12</v>
      </c>
    </row>
    <row r="2985" spans="1:10" x14ac:dyDescent="0.25">
      <c r="A2985" s="2">
        <v>966.62293620980699</v>
      </c>
      <c r="B2985" s="3">
        <v>0.196761649144401</v>
      </c>
      <c r="C2985" s="3">
        <v>5.4674243933299997E-2</v>
      </c>
      <c r="D2985" s="4">
        <v>0.123062627600888</v>
      </c>
      <c r="E2985" s="3" t="s">
        <v>9709</v>
      </c>
      <c r="F2985" s="3" t="s">
        <v>9710</v>
      </c>
      <c r="G2985" s="3">
        <v>75316</v>
      </c>
      <c r="H2985" s="7" t="str">
        <f>HYPERLINK("http://www.ensembl.org/Mus_musculus/Gene/Summary?db=core;g=ENSMUSG00000031939","ENSMUSG00000031939")</f>
        <v>ENSMUSG00000031939</v>
      </c>
      <c r="I2985" s="7" t="str">
        <f>HYPERLINK("http://www.informatics.jax.org/marker/MGI:1922566","MGI:1922566")</f>
        <v>MGI:1922566</v>
      </c>
      <c r="J2985" s="4" t="s">
        <v>12</v>
      </c>
    </row>
    <row r="2986" spans="1:10" x14ac:dyDescent="0.25">
      <c r="A2986" s="2">
        <v>383.87415433723402</v>
      </c>
      <c r="B2986" s="3">
        <v>0.196755071512907</v>
      </c>
      <c r="C2986" s="3">
        <v>4.99371474546174E-2</v>
      </c>
      <c r="D2986" s="4">
        <v>0.11409306329202699</v>
      </c>
      <c r="E2986" s="3" t="s">
        <v>13443</v>
      </c>
      <c r="F2986" s="3" t="s">
        <v>13444</v>
      </c>
      <c r="G2986" s="3" t="s">
        <v>83</v>
      </c>
      <c r="H2986" s="7" t="str">
        <f>HYPERLINK("http://www.ensembl.org/Mus_musculus/Gene/Summary?db=core;g=ENSMUSG00000098234","ENSMUSG00000098234")</f>
        <v>ENSMUSG00000098234</v>
      </c>
      <c r="I2986" s="7" t="str">
        <f>HYPERLINK("http://www.informatics.jax.org/marker/MGI:1921074","MGI:1921074")</f>
        <v>MGI:1921074</v>
      </c>
      <c r="J2986" s="4" t="s">
        <v>939</v>
      </c>
    </row>
    <row r="2987" spans="1:10" x14ac:dyDescent="0.25">
      <c r="A2987" s="2">
        <v>8885.5745423756798</v>
      </c>
      <c r="B2987" s="3">
        <v>0.19662472554737001</v>
      </c>
      <c r="C2987" s="5">
        <v>2.3968706729707499E-7</v>
      </c>
      <c r="D2987" s="6">
        <v>1.44060562744209E-6</v>
      </c>
      <c r="E2987" s="3" t="s">
        <v>12483</v>
      </c>
      <c r="F2987" s="3" t="s">
        <v>12484</v>
      </c>
      <c r="G2987" s="3">
        <v>66868</v>
      </c>
      <c r="H2987" s="7" t="str">
        <f>HYPERLINK("http://www.ensembl.org/Mus_musculus/Gene/Summary?db=core;g=ENSMUSG00000027775","ENSMUSG00000027775")</f>
        <v>ENSMUSG00000027775</v>
      </c>
      <c r="I2987" s="7" t="str">
        <f>HYPERLINK("http://www.informatics.jax.org/marker/MGI:1914118","MGI:1914118")</f>
        <v>MGI:1914118</v>
      </c>
      <c r="J2987" s="4" t="s">
        <v>12</v>
      </c>
    </row>
    <row r="2988" spans="1:10" x14ac:dyDescent="0.25">
      <c r="A2988" s="2">
        <v>11532.0747084058</v>
      </c>
      <c r="B2988" s="3">
        <v>0.19643371311185601</v>
      </c>
      <c r="C2988" s="5">
        <v>3.6876267368332899E-7</v>
      </c>
      <c r="D2988" s="6">
        <v>2.1700677196895899E-6</v>
      </c>
      <c r="E2988" s="3" t="s">
        <v>8343</v>
      </c>
      <c r="F2988" s="3" t="s">
        <v>8344</v>
      </c>
      <c r="G2988" s="3">
        <v>67300</v>
      </c>
      <c r="H2988" s="7" t="str">
        <f>HYPERLINK("http://www.ensembl.org/Mus_musculus/Gene/Summary?db=core;g=ENSMUSG00000047126","ENSMUSG00000047126")</f>
        <v>ENSMUSG00000047126</v>
      </c>
      <c r="I2988" s="7" t="str">
        <f>HYPERLINK("http://www.informatics.jax.org/marker/MGI:2388633","MGI:2388633")</f>
        <v>MGI:2388633</v>
      </c>
      <c r="J2988" s="4" t="s">
        <v>12</v>
      </c>
    </row>
    <row r="2989" spans="1:10" x14ac:dyDescent="0.25">
      <c r="A2989" s="2">
        <v>2790.5007116915599</v>
      </c>
      <c r="B2989" s="3">
        <v>0.19614064817232099</v>
      </c>
      <c r="C2989" s="3">
        <v>2.6159078041134102E-3</v>
      </c>
      <c r="D2989" s="4">
        <v>8.4246191429522693E-3</v>
      </c>
      <c r="E2989" s="3" t="s">
        <v>13041</v>
      </c>
      <c r="F2989" s="3" t="s">
        <v>13042</v>
      </c>
      <c r="G2989" s="3">
        <v>20104</v>
      </c>
      <c r="H2989" s="7" t="str">
        <f>HYPERLINK("http://www.ensembl.org/Mus_musculus/Gene/Summary?db=core;g=ENSMUSG00000028495","ENSMUSG00000028495")</f>
        <v>ENSMUSG00000028495</v>
      </c>
      <c r="I2989" s="7" t="str">
        <f>HYPERLINK("http://www.informatics.jax.org/marker/MGI:98159","MGI:98159")</f>
        <v>MGI:98159</v>
      </c>
      <c r="J2989" s="4" t="s">
        <v>12</v>
      </c>
    </row>
    <row r="2990" spans="1:10" x14ac:dyDescent="0.25">
      <c r="A2990" s="2">
        <v>2356.48283578068</v>
      </c>
      <c r="B2990" s="3">
        <v>0.196090508980618</v>
      </c>
      <c r="C2990" s="5">
        <v>2.0791313180794999E-5</v>
      </c>
      <c r="D2990" s="6">
        <v>9.6886137233441496E-5</v>
      </c>
      <c r="E2990" s="3" t="s">
        <v>6301</v>
      </c>
      <c r="F2990" s="3" t="s">
        <v>6302</v>
      </c>
      <c r="G2990" s="3">
        <v>72692</v>
      </c>
      <c r="H2990" s="7" t="str">
        <f>HYPERLINK("http://www.ensembl.org/Mus_musculus/Gene/Summary?db=core;g=ENSMUSG00000024095","ENSMUSG00000024095")</f>
        <v>ENSMUSG00000024095</v>
      </c>
      <c r="I2990" s="7" t="str">
        <f>HYPERLINK("http://www.informatics.jax.org/marker/MGI:1919942","MGI:1919942")</f>
        <v>MGI:1919942</v>
      </c>
      <c r="J2990" s="4" t="s">
        <v>12</v>
      </c>
    </row>
    <row r="2991" spans="1:10" x14ac:dyDescent="0.25">
      <c r="A2991" s="2">
        <v>6717.4425468760101</v>
      </c>
      <c r="B2991" s="3">
        <v>0.195701910879302</v>
      </c>
      <c r="C2991" s="5">
        <v>2.0377178284236302E-12</v>
      </c>
      <c r="D2991" s="6">
        <v>2.0042588971834401E-11</v>
      </c>
      <c r="E2991" s="3" t="s">
        <v>3284</v>
      </c>
      <c r="F2991" s="3" t="s">
        <v>3285</v>
      </c>
      <c r="G2991" s="3">
        <v>66855</v>
      </c>
      <c r="H2991" s="7" t="str">
        <f>HYPERLINK("http://www.ensembl.org/Mus_musculus/Gene/Summary?db=core;g=ENSMUSG00000001472","ENSMUSG00000001472")</f>
        <v>ENSMUSG00000001472</v>
      </c>
      <c r="I2991" s="7" t="str">
        <f>HYPERLINK("http://www.informatics.jax.org/marker/MGI:1914105","MGI:1914105")</f>
        <v>MGI:1914105</v>
      </c>
      <c r="J2991" s="4" t="s">
        <v>12</v>
      </c>
    </row>
    <row r="2992" spans="1:10" x14ac:dyDescent="0.25">
      <c r="A2992" s="2">
        <v>1401.5640697461299</v>
      </c>
      <c r="B2992" s="3">
        <v>0.195078391319082</v>
      </c>
      <c r="C2992" s="3">
        <v>1.6350887800415999E-3</v>
      </c>
      <c r="D2992" s="4">
        <v>5.5193884527461601E-3</v>
      </c>
      <c r="E2992" s="3" t="s">
        <v>10832</v>
      </c>
      <c r="F2992" s="3" t="s">
        <v>10833</v>
      </c>
      <c r="G2992" s="3">
        <v>18983</v>
      </c>
      <c r="H2992" s="7" t="str">
        <f>HYPERLINK("http://www.ensembl.org/Mus_musculus/Gene/Summary?db=core;g=ENSMUSG00000031601","ENSMUSG00000031601")</f>
        <v>ENSMUSG00000031601</v>
      </c>
      <c r="I2992" s="7" t="str">
        <f>HYPERLINK("http://www.informatics.jax.org/marker/MGI:1298230","MGI:1298230")</f>
        <v>MGI:1298230</v>
      </c>
      <c r="J2992" s="4" t="s">
        <v>12</v>
      </c>
    </row>
    <row r="2993" spans="1:10" x14ac:dyDescent="0.25">
      <c r="A2993" s="2">
        <v>1285.1435961873301</v>
      </c>
      <c r="B2993" s="3">
        <v>0.19454998984945501</v>
      </c>
      <c r="C2993" s="3">
        <v>1.7967812806030201E-3</v>
      </c>
      <c r="D2993" s="4">
        <v>6.0096052191209396E-3</v>
      </c>
      <c r="E2993" s="3" t="s">
        <v>11139</v>
      </c>
      <c r="F2993" s="3" t="s">
        <v>11140</v>
      </c>
      <c r="G2993" s="3">
        <v>109333</v>
      </c>
      <c r="H2993" s="7" t="str">
        <f>HYPERLINK("http://www.ensembl.org/Mus_musculus/Gene/Summary?db=core;g=ENSMUSG00000004591","ENSMUSG00000004591")</f>
        <v>ENSMUSG00000004591</v>
      </c>
      <c r="I2993" s="7" t="str">
        <f>HYPERLINK("http://www.informatics.jax.org/marker/MGI:109211","MGI:109211")</f>
        <v>MGI:109211</v>
      </c>
      <c r="J2993" s="4" t="s">
        <v>12</v>
      </c>
    </row>
    <row r="2994" spans="1:10" x14ac:dyDescent="0.25">
      <c r="A2994" s="2">
        <v>264.89195298388199</v>
      </c>
      <c r="B2994" s="3">
        <v>0.19444252877773999</v>
      </c>
      <c r="C2994" s="3">
        <v>2.3482606044176599E-2</v>
      </c>
      <c r="D2994" s="4">
        <v>5.9341444142418001E-2</v>
      </c>
      <c r="E2994" s="3" t="s">
        <v>7973</v>
      </c>
      <c r="F2994" s="3" t="s">
        <v>7974</v>
      </c>
      <c r="G2994" s="3">
        <v>66459</v>
      </c>
      <c r="H2994" s="7" t="str">
        <f>HYPERLINK("http://www.ensembl.org/Mus_musculus/Gene/Summary?db=core;g=ENSMUSG00000043162","ENSMUSG00000043162")</f>
        <v>ENSMUSG00000043162</v>
      </c>
      <c r="I2994" s="7" t="str">
        <f>HYPERLINK("http://www.informatics.jax.org/marker/MGI:1913709","MGI:1913709")</f>
        <v>MGI:1913709</v>
      </c>
      <c r="J2994" s="4" t="s">
        <v>12</v>
      </c>
    </row>
    <row r="2995" spans="1:10" x14ac:dyDescent="0.25">
      <c r="A2995" s="2">
        <v>1892.3327831096201</v>
      </c>
      <c r="B2995" s="3">
        <v>0.193974130490807</v>
      </c>
      <c r="C2995" s="5">
        <v>2.84226402029195E-5</v>
      </c>
      <c r="D2995" s="4">
        <v>1.2972767786080801E-4</v>
      </c>
      <c r="E2995" s="3" t="s">
        <v>6860</v>
      </c>
      <c r="F2995" s="3" t="s">
        <v>6861</v>
      </c>
      <c r="G2995" s="3">
        <v>66511</v>
      </c>
      <c r="H2995" s="7" t="str">
        <f>HYPERLINK("http://www.ensembl.org/Mus_musculus/Gene/Summary?db=core;g=ENSMUSG00000001017","ENSMUSG00000001017")</f>
        <v>ENSMUSG00000001017</v>
      </c>
      <c r="I2995" s="7" t="str">
        <f>HYPERLINK("http://www.informatics.jax.org/marker/MGI:1913761","MGI:1913761")</f>
        <v>MGI:1913761</v>
      </c>
      <c r="J2995" s="4" t="s">
        <v>12</v>
      </c>
    </row>
    <row r="2996" spans="1:10" x14ac:dyDescent="0.25">
      <c r="A2996" s="2">
        <v>3142.5374072413802</v>
      </c>
      <c r="B2996" s="3">
        <v>0.19388153686697901</v>
      </c>
      <c r="C2996" s="3">
        <v>1.6048702289026399E-4</v>
      </c>
      <c r="D2996" s="4">
        <v>6.4795657779686796E-4</v>
      </c>
      <c r="E2996" s="3" t="s">
        <v>6455</v>
      </c>
      <c r="F2996" s="3" t="s">
        <v>6456</v>
      </c>
      <c r="G2996" s="3">
        <v>16341</v>
      </c>
      <c r="H2996" s="7" t="str">
        <f>HYPERLINK("http://www.ensembl.org/Mus_musculus/Gene/Summary?db=core;g=ENSMUSG00000022336","ENSMUSG00000022336")</f>
        <v>ENSMUSG00000022336</v>
      </c>
      <c r="I2996" s="7" t="str">
        <f>HYPERLINK("http://www.informatics.jax.org/marker/MGI:99257","MGI:99257")</f>
        <v>MGI:99257</v>
      </c>
      <c r="J2996" s="4" t="s">
        <v>12</v>
      </c>
    </row>
    <row r="2997" spans="1:10" x14ac:dyDescent="0.25">
      <c r="A2997" s="2">
        <v>19510.554449580999</v>
      </c>
      <c r="B2997" s="3">
        <v>0.193517988843947</v>
      </c>
      <c r="C2997" s="5">
        <v>2.0267662598337699E-5</v>
      </c>
      <c r="D2997" s="6">
        <v>9.4648172280901695E-5</v>
      </c>
      <c r="E2997" s="3" t="s">
        <v>8237</v>
      </c>
      <c r="F2997" s="3" t="s">
        <v>8238</v>
      </c>
      <c r="G2997" s="3">
        <v>15510</v>
      </c>
      <c r="H2997" s="7" t="str">
        <f>HYPERLINK("http://www.ensembl.org/Mus_musculus/Gene/Summary?db=core;g=ENSMUSG00000025980","ENSMUSG00000025980")</f>
        <v>ENSMUSG00000025980</v>
      </c>
      <c r="I2997" s="7" t="str">
        <f>HYPERLINK("http://www.informatics.jax.org/marker/MGI:96242","MGI:96242")</f>
        <v>MGI:96242</v>
      </c>
      <c r="J2997" s="4" t="s">
        <v>12</v>
      </c>
    </row>
    <row r="2998" spans="1:10" x14ac:dyDescent="0.25">
      <c r="A2998" s="2">
        <v>962.53379263071997</v>
      </c>
      <c r="B2998" s="3">
        <v>0.193470701707915</v>
      </c>
      <c r="C2998" s="3">
        <v>5.5442611609292499E-4</v>
      </c>
      <c r="D2998" s="4">
        <v>2.0454283331565902E-3</v>
      </c>
      <c r="E2998" s="3" t="s">
        <v>5427</v>
      </c>
      <c r="F2998" s="3" t="s">
        <v>5428</v>
      </c>
      <c r="G2998" s="3">
        <v>70661</v>
      </c>
      <c r="H2998" s="7" t="str">
        <f>HYPERLINK("http://www.ensembl.org/Mus_musculus/Gene/Summary?db=core;g=ENSMUSG00000034135","ENSMUSG00000034135")</f>
        <v>ENSMUSG00000034135</v>
      </c>
      <c r="I2998" s="7" t="str">
        <f>HYPERLINK("http://www.informatics.jax.org/marker/MGI:2446296","MGI:2446296")</f>
        <v>MGI:2446296</v>
      </c>
      <c r="J2998" s="4" t="s">
        <v>12</v>
      </c>
    </row>
    <row r="2999" spans="1:10" x14ac:dyDescent="0.25">
      <c r="A2999" s="2">
        <v>4193.9909193855001</v>
      </c>
      <c r="B2999" s="3">
        <v>0.19334618445092999</v>
      </c>
      <c r="C2999" s="5">
        <v>1.9057037811441099E-5</v>
      </c>
      <c r="D2999" s="6">
        <v>8.9398845331663799E-5</v>
      </c>
      <c r="E2999" s="3" t="s">
        <v>8605</v>
      </c>
      <c r="F2999" s="3" t="s">
        <v>8606</v>
      </c>
      <c r="G2999" s="3">
        <v>67437</v>
      </c>
      <c r="H2999" s="7" t="str">
        <f>HYPERLINK("http://www.ensembl.org/Mus_musculus/Gene/Summary?db=core;g=ENSMUSG00000027828","ENSMUSG00000027828")</f>
        <v>ENSMUSG00000027828</v>
      </c>
      <c r="I2999" s="7" t="str">
        <f>HYPERLINK("http://www.informatics.jax.org/marker/MGI:1914687","MGI:1914687")</f>
        <v>MGI:1914687</v>
      </c>
      <c r="J2999" s="4" t="s">
        <v>12</v>
      </c>
    </row>
    <row r="3000" spans="1:10" x14ac:dyDescent="0.25">
      <c r="A3000" s="2">
        <v>3880.5729452779301</v>
      </c>
      <c r="B3000" s="3">
        <v>0.19306802912229401</v>
      </c>
      <c r="C3000" s="3">
        <v>5.3994304933521699E-4</v>
      </c>
      <c r="D3000" s="4">
        <v>1.9960369318730901E-3</v>
      </c>
      <c r="E3000" s="3" t="s">
        <v>9141</v>
      </c>
      <c r="F3000" s="3" t="s">
        <v>9142</v>
      </c>
      <c r="G3000" s="3">
        <v>93687</v>
      </c>
      <c r="H3000" s="7" t="str">
        <f>HYPERLINK("http://www.ensembl.org/Mus_musculus/Gene/Summary?db=core;g=ENSMUSG00000024576","ENSMUSG00000024576")</f>
        <v>ENSMUSG00000024576</v>
      </c>
      <c r="I3000" s="7" t="str">
        <f>HYPERLINK("http://www.informatics.jax.org/marker/MGI:1934950","MGI:1934950")</f>
        <v>MGI:1934950</v>
      </c>
      <c r="J3000" s="4" t="s">
        <v>12</v>
      </c>
    </row>
    <row r="3001" spans="1:10" x14ac:dyDescent="0.25">
      <c r="A3001" s="2">
        <v>646.48422550305099</v>
      </c>
      <c r="B3001" s="3">
        <v>0.19304232781832201</v>
      </c>
      <c r="C3001" s="3">
        <v>1.6109496037115199E-4</v>
      </c>
      <c r="D3001" s="4">
        <v>6.5012304091325202E-4</v>
      </c>
      <c r="E3001" s="3" t="s">
        <v>6928</v>
      </c>
      <c r="F3001" s="3" t="s">
        <v>6929</v>
      </c>
      <c r="G3001" s="3">
        <v>105446</v>
      </c>
      <c r="H3001" s="7" t="str">
        <f>HYPERLINK("http://www.ensembl.org/Mus_musculus/Gene/Summary?db=core;g=ENSMUSG00000002326","ENSMUSG00000002326")</f>
        <v>ENSMUSG00000002326</v>
      </c>
      <c r="I3001" s="7" t="str">
        <f>HYPERLINK("http://www.informatics.jax.org/marker/MGI:1917903","MGI:1917903")</f>
        <v>MGI:1917903</v>
      </c>
      <c r="J3001" s="4" t="s">
        <v>12</v>
      </c>
    </row>
    <row r="3002" spans="1:10" x14ac:dyDescent="0.25">
      <c r="A3002" s="2">
        <v>1944.03330742197</v>
      </c>
      <c r="B3002" s="3">
        <v>0.19299601876564301</v>
      </c>
      <c r="C3002" s="5">
        <v>1.34627076981625E-5</v>
      </c>
      <c r="D3002" s="6">
        <v>6.4567854683950397E-5</v>
      </c>
      <c r="E3002" s="3" t="s">
        <v>5541</v>
      </c>
      <c r="F3002" s="3" t="s">
        <v>5542</v>
      </c>
      <c r="G3002" s="3">
        <v>24010</v>
      </c>
      <c r="H3002" s="7" t="str">
        <f>HYPERLINK("http://www.ensembl.org/Mus_musculus/Gene/Summary?db=core;g=ENSMUSG00000024474","ENSMUSG00000024474")</f>
        <v>ENSMUSG00000024474</v>
      </c>
      <c r="I3002" s="7" t="str">
        <f>HYPERLINK("http://www.informatics.jax.org/marker/MGI:1345142","MGI:1345142")</f>
        <v>MGI:1345142</v>
      </c>
      <c r="J3002" s="4" t="s">
        <v>12</v>
      </c>
    </row>
    <row r="3003" spans="1:10" x14ac:dyDescent="0.25">
      <c r="A3003" s="2">
        <v>793.17759060184903</v>
      </c>
      <c r="B3003" s="3">
        <v>0.19285687019230799</v>
      </c>
      <c r="C3003" s="3">
        <v>9.6704477272587202E-4</v>
      </c>
      <c r="D3003" s="4">
        <v>3.4111096537883302E-3</v>
      </c>
      <c r="E3003" s="3" t="s">
        <v>7150</v>
      </c>
      <c r="F3003" s="3" t="s">
        <v>7151</v>
      </c>
      <c r="G3003" s="3" t="s">
        <v>83</v>
      </c>
      <c r="H3003" s="7" t="str">
        <f>HYPERLINK("http://www.ensembl.org/Mus_musculus/Gene/Summary?db=core;g=ENSMUSG00000118504","ENSMUSG00000118504")</f>
        <v>ENSMUSG00000118504</v>
      </c>
      <c r="I3003" s="7" t="str">
        <f>HYPERLINK("http://www.informatics.jax.org/marker/MGI:1914027","MGI:1914027")</f>
        <v>MGI:1914027</v>
      </c>
      <c r="J3003" s="4" t="s">
        <v>12</v>
      </c>
    </row>
    <row r="3004" spans="1:10" x14ac:dyDescent="0.25">
      <c r="A3004" s="2">
        <v>688.48536375004403</v>
      </c>
      <c r="B3004" s="3">
        <v>0.192612705578522</v>
      </c>
      <c r="C3004" s="3">
        <v>8.4535388075060002E-4</v>
      </c>
      <c r="D3004" s="4">
        <v>3.0120380208562402E-3</v>
      </c>
      <c r="E3004" s="3" t="s">
        <v>9593</v>
      </c>
      <c r="F3004" s="3" t="s">
        <v>9594</v>
      </c>
      <c r="G3004" s="3">
        <v>338337</v>
      </c>
      <c r="H3004" s="7" t="str">
        <f>HYPERLINK("http://www.ensembl.org/Mus_musculus/Gene/Summary?db=core;g=ENSMUSG00000034893","ENSMUSG00000034893")</f>
        <v>ENSMUSG00000034893</v>
      </c>
      <c r="I3004" s="7" t="str">
        <f>HYPERLINK("http://www.informatics.jax.org/marker/MGI:2450151","MGI:2450151")</f>
        <v>MGI:2450151</v>
      </c>
      <c r="J3004" s="4" t="s">
        <v>12</v>
      </c>
    </row>
    <row r="3005" spans="1:10" x14ac:dyDescent="0.25">
      <c r="A3005" s="2">
        <v>238.46450458330199</v>
      </c>
      <c r="B3005" s="3">
        <v>0.19244279039491899</v>
      </c>
      <c r="C3005" s="3">
        <v>3.2462181838620902E-2</v>
      </c>
      <c r="D3005" s="4">
        <v>7.8872585523112299E-2</v>
      </c>
      <c r="E3005" s="3" t="s">
        <v>13643</v>
      </c>
      <c r="F3005" s="3" t="s">
        <v>13644</v>
      </c>
      <c r="G3005" s="3">
        <v>66536</v>
      </c>
      <c r="H3005" s="7" t="str">
        <f>HYPERLINK("http://www.ensembl.org/Mus_musculus/Gene/Summary?db=core;g=ENSMUSG00000015247","ENSMUSG00000015247")</f>
        <v>ENSMUSG00000015247</v>
      </c>
      <c r="I3005" s="7" t="str">
        <f>HYPERLINK("http://www.informatics.jax.org/marker/MGI:1913786","MGI:1913786")</f>
        <v>MGI:1913786</v>
      </c>
      <c r="J3005" s="4" t="s">
        <v>12</v>
      </c>
    </row>
    <row r="3006" spans="1:10" x14ac:dyDescent="0.25">
      <c r="A3006" s="2">
        <v>2557.3136191397298</v>
      </c>
      <c r="B3006" s="3">
        <v>0.19218392060842099</v>
      </c>
      <c r="C3006" s="5">
        <v>2.4223002785669802E-6</v>
      </c>
      <c r="D3006" s="6">
        <v>1.28631767415161E-5</v>
      </c>
      <c r="E3006" s="3" t="s">
        <v>8369</v>
      </c>
      <c r="F3006" s="3" t="s">
        <v>8370</v>
      </c>
      <c r="G3006" s="3">
        <v>22195</v>
      </c>
      <c r="H3006" s="7" t="str">
        <f>HYPERLINK("http://www.ensembl.org/Mus_musculus/Gene/Summary?db=core;g=ENSMUSG00000038965","ENSMUSG00000038965")</f>
        <v>ENSMUSG00000038965</v>
      </c>
      <c r="I3006" s="7" t="str">
        <f>HYPERLINK("http://www.informatics.jax.org/marker/MGI:109240","MGI:109240")</f>
        <v>MGI:109240</v>
      </c>
      <c r="J3006" s="4" t="s">
        <v>12</v>
      </c>
    </row>
    <row r="3007" spans="1:10" x14ac:dyDescent="0.25">
      <c r="A3007" s="2">
        <v>1845.2931944829299</v>
      </c>
      <c r="B3007" s="3">
        <v>0.19188879354690999</v>
      </c>
      <c r="C3007" s="3">
        <v>1.1914909251276799E-2</v>
      </c>
      <c r="D3007" s="4">
        <v>3.2792090169815699E-2</v>
      </c>
      <c r="E3007" s="3" t="s">
        <v>12487</v>
      </c>
      <c r="F3007" s="3" t="s">
        <v>12488</v>
      </c>
      <c r="G3007" s="3">
        <v>73834</v>
      </c>
      <c r="H3007" s="7" t="str">
        <f>HYPERLINK("http://www.ensembl.org/Mus_musculus/Gene/Summary?db=core;g=ENSMUSG00000021114","ENSMUSG00000021114")</f>
        <v>ENSMUSG00000021114</v>
      </c>
      <c r="I3007" s="7" t="str">
        <f>HYPERLINK("http://www.informatics.jax.org/marker/MGI:1921084","MGI:1921084")</f>
        <v>MGI:1921084</v>
      </c>
      <c r="J3007" s="4" t="s">
        <v>12</v>
      </c>
    </row>
    <row r="3008" spans="1:10" x14ac:dyDescent="0.25">
      <c r="A3008" s="2">
        <v>3383.3727795936202</v>
      </c>
      <c r="B3008" s="3">
        <v>0.19168683154506799</v>
      </c>
      <c r="C3008" s="3">
        <v>3.6990376566180001E-4</v>
      </c>
      <c r="D3008" s="4">
        <v>1.4012671230900699E-3</v>
      </c>
      <c r="E3008" s="3" t="s">
        <v>11022</v>
      </c>
      <c r="F3008" s="3" t="s">
        <v>11023</v>
      </c>
      <c r="G3008" s="3">
        <v>109910</v>
      </c>
      <c r="H3008" s="7" t="str">
        <f>HYPERLINK("http://www.ensembl.org/Mus_musculus/Gene/Summary?db=core;g=ENSMUSG00000024695","ENSMUSG00000024695")</f>
        <v>ENSMUSG00000024695</v>
      </c>
      <c r="I3008" s="7" t="str">
        <f>HYPERLINK("http://www.informatics.jax.org/marker/MGI:104854","MGI:104854")</f>
        <v>MGI:104854</v>
      </c>
      <c r="J3008" s="4" t="s">
        <v>12</v>
      </c>
    </row>
    <row r="3009" spans="1:10" x14ac:dyDescent="0.25">
      <c r="A3009" s="2">
        <v>540.85720106264205</v>
      </c>
      <c r="B3009" s="3">
        <v>0.19164253184215699</v>
      </c>
      <c r="C3009" s="3">
        <v>1.36669321477182E-2</v>
      </c>
      <c r="D3009" s="4">
        <v>3.70048786795667E-2</v>
      </c>
      <c r="E3009" s="3" t="s">
        <v>10110</v>
      </c>
      <c r="F3009" s="3" t="s">
        <v>10111</v>
      </c>
      <c r="G3009" s="3">
        <v>72039</v>
      </c>
      <c r="H3009" s="7" t="str">
        <f>HYPERLINK("http://www.ensembl.org/Mus_musculus/Gene/Summary?db=core;g=ENSMUSG00000027709","ENSMUSG00000027709")</f>
        <v>ENSMUSG00000027709</v>
      </c>
      <c r="I3009" s="7" t="str">
        <f>HYPERLINK("http://www.informatics.jax.org/marker/MGI:1919289","MGI:1919289")</f>
        <v>MGI:1919289</v>
      </c>
      <c r="J3009" s="4" t="s">
        <v>12</v>
      </c>
    </row>
    <row r="3010" spans="1:10" x14ac:dyDescent="0.25">
      <c r="A3010" s="2">
        <v>453.740243316136</v>
      </c>
      <c r="B3010" s="3">
        <v>0.191495022307131</v>
      </c>
      <c r="C3010" s="3">
        <v>1.6531692161419001E-3</v>
      </c>
      <c r="D3010" s="4">
        <v>5.5681036710748897E-3</v>
      </c>
      <c r="E3010" s="3" t="s">
        <v>10034</v>
      </c>
      <c r="F3010" s="3" t="s">
        <v>10035</v>
      </c>
      <c r="G3010" s="3">
        <v>101592</v>
      </c>
      <c r="H3010" s="7" t="str">
        <f>HYPERLINK("http://www.ensembl.org/Mus_musculus/Gene/Summary?db=core;g=ENSMUSG00000038563","ENSMUSG00000038563")</f>
        <v>ENSMUSG00000038563</v>
      </c>
      <c r="I3010" s="7" t="str">
        <f>HYPERLINK("http://www.informatics.jax.org/marker/MGI:2141969","MGI:2141969")</f>
        <v>MGI:2141969</v>
      </c>
      <c r="J3010" s="4" t="s">
        <v>12</v>
      </c>
    </row>
    <row r="3011" spans="1:10" x14ac:dyDescent="0.25">
      <c r="A3011" s="2">
        <v>2452.81405915408</v>
      </c>
      <c r="B3011" s="3">
        <v>0.19124002799930101</v>
      </c>
      <c r="C3011" s="3">
        <v>1.0807141419007499E-4</v>
      </c>
      <c r="D3011" s="4">
        <v>4.4931727528215701E-4</v>
      </c>
      <c r="E3011" s="3" t="s">
        <v>6325</v>
      </c>
      <c r="F3011" s="3" t="s">
        <v>6326</v>
      </c>
      <c r="G3011" s="3">
        <v>13000</v>
      </c>
      <c r="H3011" s="7" t="str">
        <f>HYPERLINK("http://www.ensembl.org/Mus_musculus/Gene/Summary?db=core;g=ENSMUSG00000046707","ENSMUSG00000046707")</f>
        <v>ENSMUSG00000046707</v>
      </c>
      <c r="I3011" s="7" t="str">
        <f>HYPERLINK("http://www.informatics.jax.org/marker/MGI:88547","MGI:88547")</f>
        <v>MGI:88547</v>
      </c>
      <c r="J3011" s="4" t="s">
        <v>12</v>
      </c>
    </row>
    <row r="3012" spans="1:10" x14ac:dyDescent="0.25">
      <c r="A3012" s="2">
        <v>427.87091249877199</v>
      </c>
      <c r="B3012" s="3">
        <v>0.19101520603643901</v>
      </c>
      <c r="C3012" s="3">
        <v>7.4906140368972297E-3</v>
      </c>
      <c r="D3012" s="4">
        <v>2.1676157640910101E-2</v>
      </c>
      <c r="E3012" s="3" t="s">
        <v>8171</v>
      </c>
      <c r="F3012" s="3" t="s">
        <v>8172</v>
      </c>
      <c r="G3012" s="3">
        <v>72656</v>
      </c>
      <c r="H3012" s="7" t="str">
        <f>HYPERLINK("http://www.ensembl.org/Mus_musculus/Gene/Summary?db=core;g=ENSMUSG00000040738","ENSMUSG00000040738")</f>
        <v>ENSMUSG00000040738</v>
      </c>
      <c r="I3012" s="7" t="str">
        <f>HYPERLINK("http://www.informatics.jax.org/marker/MGI:1919906","MGI:1919906")</f>
        <v>MGI:1919906</v>
      </c>
      <c r="J3012" s="4" t="s">
        <v>12</v>
      </c>
    </row>
    <row r="3013" spans="1:10" x14ac:dyDescent="0.25">
      <c r="A3013" s="2">
        <v>3999.0050365820798</v>
      </c>
      <c r="B3013" s="3">
        <v>0.19049025524875199</v>
      </c>
      <c r="C3013" s="5">
        <v>3.2760102333673699E-5</v>
      </c>
      <c r="D3013" s="4">
        <v>1.4804187082350699E-4</v>
      </c>
      <c r="E3013" s="3" t="s">
        <v>5281</v>
      </c>
      <c r="F3013" s="3" t="s">
        <v>5282</v>
      </c>
      <c r="G3013" s="3">
        <v>56095</v>
      </c>
      <c r="H3013" s="7" t="str">
        <f>HYPERLINK("http://www.ensembl.org/Mus_musculus/Gene/Summary?db=core;g=ENSMUSG00000020706","ENSMUSG00000020706")</f>
        <v>ENSMUSG00000020706</v>
      </c>
      <c r="I3013" s="7" t="str">
        <f>HYPERLINK("http://www.informatics.jax.org/marker/MGI:1860295","MGI:1860295")</f>
        <v>MGI:1860295</v>
      </c>
      <c r="J3013" s="4" t="s">
        <v>12</v>
      </c>
    </row>
    <row r="3014" spans="1:10" x14ac:dyDescent="0.25">
      <c r="A3014" s="2">
        <v>1754.33867281062</v>
      </c>
      <c r="B3014" s="3">
        <v>0.190254907015005</v>
      </c>
      <c r="C3014" s="3">
        <v>2.8292512061129402E-3</v>
      </c>
      <c r="D3014" s="4">
        <v>9.0366462024900791E-3</v>
      </c>
      <c r="E3014" s="3" t="s">
        <v>7096</v>
      </c>
      <c r="F3014" s="3" t="s">
        <v>7097</v>
      </c>
      <c r="G3014" s="3">
        <v>72722</v>
      </c>
      <c r="H3014" s="7" t="str">
        <f>HYPERLINK("http://www.ensembl.org/Mus_musculus/Gene/Summary?db=core;g=ENSMUSG00000002017","ENSMUSG00000002017")</f>
        <v>ENSMUSG00000002017</v>
      </c>
      <c r="I3014" s="7" t="str">
        <f>HYPERLINK("http://www.informatics.jax.org/marker/MGI:1919972","MGI:1919972")</f>
        <v>MGI:1919972</v>
      </c>
      <c r="J3014" s="4" t="s">
        <v>12</v>
      </c>
    </row>
    <row r="3015" spans="1:10" x14ac:dyDescent="0.25">
      <c r="A3015" s="2">
        <v>2791.8877546158801</v>
      </c>
      <c r="B3015" s="3">
        <v>0.18999899564005299</v>
      </c>
      <c r="C3015" s="5">
        <v>8.2781163637013505E-5</v>
      </c>
      <c r="D3015" s="4">
        <v>3.5020582806048501E-4</v>
      </c>
      <c r="E3015" s="3" t="s">
        <v>8149</v>
      </c>
      <c r="F3015" s="3" t="s">
        <v>8150</v>
      </c>
      <c r="G3015" s="3">
        <v>21379</v>
      </c>
      <c r="H3015" s="7" t="str">
        <f>HYPERLINK("http://www.ensembl.org/Mus_musculus/Gene/Summary?db=core;g=ENSMUSG00000000384","ENSMUSG00000000384")</f>
        <v>ENSMUSG00000000384</v>
      </c>
      <c r="I3015" s="7" t="str">
        <f>HYPERLINK("http://www.informatics.jax.org/marker/MGI:1100868","MGI:1100868")</f>
        <v>MGI:1100868</v>
      </c>
      <c r="J3015" s="4" t="s">
        <v>12</v>
      </c>
    </row>
    <row r="3016" spans="1:10" x14ac:dyDescent="0.25">
      <c r="A3016" s="2">
        <v>764.50957318388305</v>
      </c>
      <c r="B3016" s="3">
        <v>0.189862307251115</v>
      </c>
      <c r="C3016" s="3">
        <v>2.4223751525202101E-3</v>
      </c>
      <c r="D3016" s="4">
        <v>7.8596736967564296E-3</v>
      </c>
      <c r="E3016" s="3" t="s">
        <v>9425</v>
      </c>
      <c r="F3016" s="3" t="s">
        <v>9426</v>
      </c>
      <c r="G3016" s="3">
        <v>109006</v>
      </c>
      <c r="H3016" s="7" t="str">
        <f>HYPERLINK("http://www.ensembl.org/Mus_musculus/Gene/Summary?db=core;g=ENSMUSG00000031781","ENSMUSG00000031781")</f>
        <v>ENSMUSG00000031781</v>
      </c>
      <c r="I3016" s="7" t="str">
        <f>HYPERLINK("http://www.informatics.jax.org/marker/MGI:1922083","MGI:1922083")</f>
        <v>MGI:1922083</v>
      </c>
      <c r="J3016" s="4" t="s">
        <v>12</v>
      </c>
    </row>
    <row r="3017" spans="1:10" x14ac:dyDescent="0.25">
      <c r="A3017" s="2">
        <v>659.32248133038104</v>
      </c>
      <c r="B3017" s="3">
        <v>0.189818383598468</v>
      </c>
      <c r="C3017" s="3">
        <v>8.0464404474221501E-4</v>
      </c>
      <c r="D3017" s="4">
        <v>2.8742919865595599E-3</v>
      </c>
      <c r="E3017" s="3" t="s">
        <v>8009</v>
      </c>
      <c r="F3017" s="3" t="s">
        <v>8010</v>
      </c>
      <c r="G3017" s="3">
        <v>77040</v>
      </c>
      <c r="H3017" s="7" t="str">
        <f>HYPERLINK("http://www.ensembl.org/Mus_musculus/Gene/Summary?db=core;g=ENSMUSG00000026289","ENSMUSG00000026289")</f>
        <v>ENSMUSG00000026289</v>
      </c>
      <c r="I3017" s="7" t="str">
        <f>HYPERLINK("http://www.informatics.jax.org/marker/MGI:1924290","MGI:1924290")</f>
        <v>MGI:1924290</v>
      </c>
      <c r="J3017" s="4" t="s">
        <v>12</v>
      </c>
    </row>
    <row r="3018" spans="1:10" x14ac:dyDescent="0.25">
      <c r="A3018" s="2">
        <v>2781.5240831264</v>
      </c>
      <c r="B3018" s="3">
        <v>0.18961683628921999</v>
      </c>
      <c r="C3018" s="5">
        <v>1.4842453318695799E-5</v>
      </c>
      <c r="D3018" s="6">
        <v>7.0719924636138893E-5</v>
      </c>
      <c r="E3018" s="3" t="s">
        <v>6113</v>
      </c>
      <c r="F3018" s="3" t="s">
        <v>6114</v>
      </c>
      <c r="G3018" s="3">
        <v>53356</v>
      </c>
      <c r="H3018" s="7" t="str">
        <f>HYPERLINK("http://www.ensembl.org/Mus_musculus/Gene/Summary?db=core;g=ENSMUSG00000070319","ENSMUSG00000070319")</f>
        <v>ENSMUSG00000070319</v>
      </c>
      <c r="I3018" s="7" t="str">
        <f>HYPERLINK("http://www.informatics.jax.org/marker/MGI:1858258","MGI:1858258")</f>
        <v>MGI:1858258</v>
      </c>
      <c r="J3018" s="4" t="s">
        <v>12</v>
      </c>
    </row>
    <row r="3019" spans="1:10" x14ac:dyDescent="0.25">
      <c r="A3019" s="2">
        <v>1269.12437237667</v>
      </c>
      <c r="B3019" s="3">
        <v>0.18949036437425701</v>
      </c>
      <c r="C3019" s="3">
        <v>1.3366551396929401E-4</v>
      </c>
      <c r="D3019" s="4">
        <v>5.4656809335660304E-4</v>
      </c>
      <c r="E3019" s="3" t="s">
        <v>6535</v>
      </c>
      <c r="F3019" s="3" t="s">
        <v>6536</v>
      </c>
      <c r="G3019" s="3">
        <v>69660</v>
      </c>
      <c r="H3019" s="7" t="str">
        <f>HYPERLINK("http://www.ensembl.org/Mus_musculus/Gene/Summary?db=core;g=ENSMUSG00000006301","ENSMUSG00000006301")</f>
        <v>ENSMUSG00000006301</v>
      </c>
      <c r="I3019" s="7" t="str">
        <f>HYPERLINK("http://www.informatics.jax.org/marker/MGI:1916910","MGI:1916910")</f>
        <v>MGI:1916910</v>
      </c>
      <c r="J3019" s="4" t="s">
        <v>12</v>
      </c>
    </row>
    <row r="3020" spans="1:10" x14ac:dyDescent="0.25">
      <c r="A3020" s="2">
        <v>1720.5645396167799</v>
      </c>
      <c r="B3020" s="3">
        <v>0.189477429805748</v>
      </c>
      <c r="C3020" s="5">
        <v>1.9717053541462498E-6</v>
      </c>
      <c r="D3020" s="6">
        <v>1.05813692813061E-5</v>
      </c>
      <c r="E3020" s="3" t="s">
        <v>3942</v>
      </c>
      <c r="F3020" s="3" t="s">
        <v>3943</v>
      </c>
      <c r="G3020" s="3">
        <v>101214</v>
      </c>
      <c r="H3020" s="7" t="str">
        <f>HYPERLINK("http://www.ensembl.org/Mus_musculus/Gene/Summary?db=core;g=ENSMUSG00000029817","ENSMUSG00000029817")</f>
        <v>ENSMUSG00000029817</v>
      </c>
      <c r="I3020" s="7" t="str">
        <f>HYPERLINK("http://www.informatics.jax.org/marker/MGI:1933972","MGI:1933972")</f>
        <v>MGI:1933972</v>
      </c>
      <c r="J3020" s="4" t="s">
        <v>12</v>
      </c>
    </row>
    <row r="3021" spans="1:10" x14ac:dyDescent="0.25">
      <c r="A3021" s="2">
        <v>716.581184364411</v>
      </c>
      <c r="B3021" s="3">
        <v>0.188826310089071</v>
      </c>
      <c r="C3021" s="3">
        <v>3.00723798041632E-3</v>
      </c>
      <c r="D3021" s="4">
        <v>9.5299795154038403E-3</v>
      </c>
      <c r="E3021" s="3" t="s">
        <v>10006</v>
      </c>
      <c r="F3021" s="3" t="s">
        <v>10007</v>
      </c>
      <c r="G3021" s="3">
        <v>22218</v>
      </c>
      <c r="H3021" s="7" t="str">
        <f>HYPERLINK("http://www.ensembl.org/Mus_musculus/Gene/Summary?db=core;g=ENSMUSG00000026021","ENSMUSG00000026021")</f>
        <v>ENSMUSG00000026021</v>
      </c>
      <c r="I3021" s="7" t="str">
        <f>HYPERLINK("http://www.informatics.jax.org/marker/MGI:1197010","MGI:1197010")</f>
        <v>MGI:1197010</v>
      </c>
      <c r="J3021" s="4" t="s">
        <v>12</v>
      </c>
    </row>
    <row r="3022" spans="1:10" x14ac:dyDescent="0.25">
      <c r="A3022" s="2">
        <v>1215.0674971697299</v>
      </c>
      <c r="B3022" s="3">
        <v>0.188771729494283</v>
      </c>
      <c r="C3022" s="3">
        <v>3.87372076236956E-3</v>
      </c>
      <c r="D3022" s="4">
        <v>1.1982104700303E-2</v>
      </c>
      <c r="E3022" s="3" t="s">
        <v>9461</v>
      </c>
      <c r="F3022" s="3" t="s">
        <v>9462</v>
      </c>
      <c r="G3022" s="3">
        <v>72542</v>
      </c>
      <c r="H3022" s="7" t="str">
        <f>HYPERLINK("http://www.ensembl.org/Mus_musculus/Gene/Summary?db=core;g=ENSMUSG00000029500","ENSMUSG00000029500")</f>
        <v>ENSMUSG00000029500</v>
      </c>
      <c r="I3022" s="7" t="str">
        <f>HYPERLINK("http://www.informatics.jax.org/marker/MGI:1919792","MGI:1919792")</f>
        <v>MGI:1919792</v>
      </c>
      <c r="J3022" s="4" t="s">
        <v>12</v>
      </c>
    </row>
    <row r="3023" spans="1:10" x14ac:dyDescent="0.25">
      <c r="A3023" s="2">
        <v>1361.6553063261099</v>
      </c>
      <c r="B3023" s="3">
        <v>0.18871755909332799</v>
      </c>
      <c r="C3023" s="3">
        <v>1.16778733451114E-4</v>
      </c>
      <c r="D3023" s="4">
        <v>4.8238722056812201E-4</v>
      </c>
      <c r="E3023" s="3" t="s">
        <v>6351</v>
      </c>
      <c r="F3023" s="3" t="s">
        <v>6352</v>
      </c>
      <c r="G3023" s="3">
        <v>69654</v>
      </c>
      <c r="H3023" s="7" t="str">
        <f>HYPERLINK("http://www.ensembl.org/Mus_musculus/Gene/Summary?db=core;g=ENSMUSG00000025410","ENSMUSG00000025410")</f>
        <v>ENSMUSG00000025410</v>
      </c>
      <c r="I3023" s="7" t="str">
        <f>HYPERLINK("http://www.informatics.jax.org/marker/MGI:107733","MGI:107733")</f>
        <v>MGI:107733</v>
      </c>
      <c r="J3023" s="4" t="s">
        <v>12</v>
      </c>
    </row>
    <row r="3024" spans="1:10" x14ac:dyDescent="0.25">
      <c r="A3024" s="2">
        <v>1077.2406402500601</v>
      </c>
      <c r="B3024" s="3">
        <v>0.188057200614694</v>
      </c>
      <c r="C3024" s="3">
        <v>1.1526542615913399E-2</v>
      </c>
      <c r="D3024" s="4">
        <v>3.1833798935448097E-2</v>
      </c>
      <c r="E3024" s="3" t="s">
        <v>11014</v>
      </c>
      <c r="F3024" s="3" t="s">
        <v>11015</v>
      </c>
      <c r="G3024" s="3">
        <v>319513</v>
      </c>
      <c r="H3024" s="7" t="str">
        <f>HYPERLINK("http://www.ensembl.org/Mus_musculus/Gene/Summary?db=core;g=ENSMUSG00000037773","ENSMUSG00000037773")</f>
        <v>ENSMUSG00000037773</v>
      </c>
      <c r="I3024" s="7" t="str">
        <f>HYPERLINK("http://www.informatics.jax.org/marker/MGI:2442177","MGI:2442177")</f>
        <v>MGI:2442177</v>
      </c>
      <c r="J3024" s="4" t="s">
        <v>12</v>
      </c>
    </row>
    <row r="3025" spans="1:10" x14ac:dyDescent="0.25">
      <c r="A3025" s="2">
        <v>873.41380034685301</v>
      </c>
      <c r="B3025" s="3">
        <v>0.18805519715948299</v>
      </c>
      <c r="C3025" s="3">
        <v>1.17069634152569E-4</v>
      </c>
      <c r="D3025" s="4">
        <v>4.8336975134358E-4</v>
      </c>
      <c r="E3025" s="3" t="s">
        <v>5945</v>
      </c>
      <c r="F3025" s="3" t="s">
        <v>5946</v>
      </c>
      <c r="G3025" s="3">
        <v>228769</v>
      </c>
      <c r="H3025" s="7" t="str">
        <f>HYPERLINK("http://www.ensembl.org/Mus_musculus/Gene/Summary?db=core;g=ENSMUSG00000032869","ENSMUSG00000032869")</f>
        <v>ENSMUSG00000032869</v>
      </c>
      <c r="I3025" s="7" t="str">
        <f>HYPERLINK("http://www.informatics.jax.org/marker/MGI:1346072","MGI:1346072")</f>
        <v>MGI:1346072</v>
      </c>
      <c r="J3025" s="4" t="s">
        <v>12</v>
      </c>
    </row>
    <row r="3026" spans="1:10" x14ac:dyDescent="0.25">
      <c r="A3026" s="2">
        <v>1399.6391040690901</v>
      </c>
      <c r="B3026" s="3">
        <v>0.18805518364353599</v>
      </c>
      <c r="C3026" s="3">
        <v>1.2253475992418E-4</v>
      </c>
      <c r="D3026" s="4">
        <v>5.04221268823251E-4</v>
      </c>
      <c r="E3026" s="3" t="s">
        <v>5957</v>
      </c>
      <c r="F3026" s="3" t="s">
        <v>5958</v>
      </c>
      <c r="G3026" s="3">
        <v>54128</v>
      </c>
      <c r="H3026" s="7" t="str">
        <f>HYPERLINK("http://www.ensembl.org/Mus_musculus/Gene/Summary?db=core;g=ENSMUSG00000022711","ENSMUSG00000022711")</f>
        <v>ENSMUSG00000022711</v>
      </c>
      <c r="I3026" s="7" t="str">
        <f>HYPERLINK("http://www.informatics.jax.org/marker/MGI:1859214","MGI:1859214")</f>
        <v>MGI:1859214</v>
      </c>
      <c r="J3026" s="4" t="s">
        <v>12</v>
      </c>
    </row>
    <row r="3027" spans="1:10" x14ac:dyDescent="0.25">
      <c r="A3027" s="2">
        <v>1426.3722371121901</v>
      </c>
      <c r="B3027" s="3">
        <v>0.18791280918412601</v>
      </c>
      <c r="C3027" s="3">
        <v>5.0553834166188795E-4</v>
      </c>
      <c r="D3027" s="4">
        <v>1.8772282552542601E-3</v>
      </c>
      <c r="E3027" s="3" t="s">
        <v>12723</v>
      </c>
      <c r="F3027" s="3" t="s">
        <v>12724</v>
      </c>
      <c r="G3027" s="3">
        <v>55946</v>
      </c>
      <c r="H3027" s="7" t="str">
        <f>HYPERLINK("http://www.ensembl.org/Mus_musculus/Gene/Summary?db=core;g=ENSMUSG00000021824","ENSMUSG00000021824")</f>
        <v>ENSMUSG00000021824</v>
      </c>
      <c r="I3027" s="7" t="str">
        <f>HYPERLINK("http://www.informatics.jax.org/marker/MGI:1929212","MGI:1929212")</f>
        <v>MGI:1929212</v>
      </c>
      <c r="J3027" s="4" t="s">
        <v>12</v>
      </c>
    </row>
    <row r="3028" spans="1:10" x14ac:dyDescent="0.25">
      <c r="A3028" s="2">
        <v>816.35513428340698</v>
      </c>
      <c r="B3028" s="3">
        <v>0.187812191053019</v>
      </c>
      <c r="C3028" s="3">
        <v>1.7054965156096801E-3</v>
      </c>
      <c r="D3028" s="4">
        <v>5.7316382070784601E-3</v>
      </c>
      <c r="E3028" s="3" t="s">
        <v>13292</v>
      </c>
      <c r="F3028" s="3" t="s">
        <v>13293</v>
      </c>
      <c r="G3028" s="3">
        <v>192169</v>
      </c>
      <c r="H3028" s="7" t="str">
        <f>HYPERLINK("http://www.ensembl.org/Mus_musculus/Gene/Summary?db=core;g=ENSMUSG00000031634","ENSMUSG00000031634")</f>
        <v>ENSMUSG00000031634</v>
      </c>
      <c r="I3028" s="7" t="str">
        <f>HYPERLINK("http://www.informatics.jax.org/marker/MGI:1913679","MGI:1913679")</f>
        <v>MGI:1913679</v>
      </c>
      <c r="J3028" s="4" t="s">
        <v>12</v>
      </c>
    </row>
    <row r="3029" spans="1:10" x14ac:dyDescent="0.25">
      <c r="A3029" s="2">
        <v>8464.5901729921006</v>
      </c>
      <c r="B3029" s="3">
        <v>0.187336763904699</v>
      </c>
      <c r="C3029" s="3">
        <v>2.1391223814315799E-4</v>
      </c>
      <c r="D3029" s="4">
        <v>8.4585605123867701E-4</v>
      </c>
      <c r="E3029" s="3" t="s">
        <v>9895</v>
      </c>
      <c r="F3029" s="3" t="s">
        <v>9896</v>
      </c>
      <c r="G3029" s="3">
        <v>67160</v>
      </c>
      <c r="H3029" s="7" t="str">
        <f>HYPERLINK("http://www.ensembl.org/Mus_musculus/Gene/Summary?db=core;g=ENSMUSG00000071644","ENSMUSG00000071644")</f>
        <v>ENSMUSG00000071644</v>
      </c>
      <c r="I3029" s="7" t="str">
        <f>HYPERLINK("http://www.informatics.jax.org/marker/MGI:1914410","MGI:1914410")</f>
        <v>MGI:1914410</v>
      </c>
      <c r="J3029" s="4" t="s">
        <v>12</v>
      </c>
    </row>
    <row r="3030" spans="1:10" x14ac:dyDescent="0.25">
      <c r="A3030" s="2">
        <v>5461.2078888424103</v>
      </c>
      <c r="B3030" s="3">
        <v>0.18726713141326501</v>
      </c>
      <c r="C3030" s="3">
        <v>5.4570439361380804E-4</v>
      </c>
      <c r="D3030" s="4">
        <v>2.0161083668379601E-3</v>
      </c>
      <c r="E3030" s="3" t="s">
        <v>6615</v>
      </c>
      <c r="F3030" s="3" t="s">
        <v>6616</v>
      </c>
      <c r="G3030" s="3">
        <v>22185</v>
      </c>
      <c r="H3030" s="7" t="str">
        <f>HYPERLINK("http://www.ensembl.org/Mus_musculus/Gene/Summary?db=core;g=ENSMUSG00000030435","ENSMUSG00000030435")</f>
        <v>ENSMUSG00000030435</v>
      </c>
      <c r="I3030" s="7" t="str">
        <f>HYPERLINK("http://www.informatics.jax.org/marker/MGI:98886","MGI:98886")</f>
        <v>MGI:98886</v>
      </c>
      <c r="J3030" s="4" t="s">
        <v>12</v>
      </c>
    </row>
    <row r="3031" spans="1:10" x14ac:dyDescent="0.25">
      <c r="A3031" s="2">
        <v>3340.91663450955</v>
      </c>
      <c r="B3031" s="3">
        <v>0.18722627793798299</v>
      </c>
      <c r="C3031" s="3">
        <v>4.7578848455258002E-4</v>
      </c>
      <c r="D3031" s="4">
        <v>1.7739863197567E-3</v>
      </c>
      <c r="E3031" s="3" t="s">
        <v>7808</v>
      </c>
      <c r="F3031" s="3" t="s">
        <v>7809</v>
      </c>
      <c r="G3031" s="3">
        <v>69597</v>
      </c>
      <c r="H3031" s="7" t="str">
        <f>HYPERLINK("http://www.ensembl.org/Mus_musculus/Gene/Summary?db=core;g=ENSMUSG00000024527","ENSMUSG00000024527")</f>
        <v>ENSMUSG00000024527</v>
      </c>
      <c r="I3031" s="7" t="str">
        <f>HYPERLINK("http://www.informatics.jax.org/marker/MGI:1916847","MGI:1916847")</f>
        <v>MGI:1916847</v>
      </c>
      <c r="J3031" s="4" t="s">
        <v>12</v>
      </c>
    </row>
    <row r="3032" spans="1:10" x14ac:dyDescent="0.25">
      <c r="A3032" s="2">
        <v>600.49358984659295</v>
      </c>
      <c r="B3032" s="3">
        <v>0.18706818901960401</v>
      </c>
      <c r="C3032" s="3">
        <v>4.4448510948342703E-3</v>
      </c>
      <c r="D3032" s="4">
        <v>1.3521517476774301E-2</v>
      </c>
      <c r="E3032" s="3" t="s">
        <v>9441</v>
      </c>
      <c r="F3032" s="3" t="s">
        <v>9442</v>
      </c>
      <c r="G3032" s="3">
        <v>22184</v>
      </c>
      <c r="H3032" s="7" t="str">
        <f>HYPERLINK("http://www.ensembl.org/Mus_musculus/Gene/Summary?db=core;g=ENSMUSG00000031370","ENSMUSG00000031370")</f>
        <v>ENSMUSG00000031370</v>
      </c>
      <c r="I3032" s="7" t="str">
        <f>HYPERLINK("http://www.informatics.jax.org/marker/MGI:103287","MGI:103287")</f>
        <v>MGI:103287</v>
      </c>
      <c r="J3032" s="4" t="s">
        <v>12</v>
      </c>
    </row>
    <row r="3033" spans="1:10" x14ac:dyDescent="0.25">
      <c r="A3033" s="2">
        <v>5136.3341831512598</v>
      </c>
      <c r="B3033" s="3">
        <v>0.18663132513934</v>
      </c>
      <c r="C3033" s="3">
        <v>1.9012013384547902E-2</v>
      </c>
      <c r="D3033" s="4">
        <v>4.94003733929032E-2</v>
      </c>
      <c r="E3033" s="3" t="s">
        <v>13543</v>
      </c>
      <c r="F3033" s="3" t="s">
        <v>13544</v>
      </c>
      <c r="G3033" s="3">
        <v>19921</v>
      </c>
      <c r="H3033" s="7" t="str">
        <f>HYPERLINK("http://www.ensembl.org/Mus_musculus/Gene/Summary?db=core;g=ENSMUSG00000017404","ENSMUSG00000017404")</f>
        <v>ENSMUSG00000017404</v>
      </c>
      <c r="I3033" s="7" t="str">
        <f>HYPERLINK("http://www.informatics.jax.org/marker/MGI:98020","MGI:98020")</f>
        <v>MGI:98020</v>
      </c>
      <c r="J3033" s="4" t="s">
        <v>12</v>
      </c>
    </row>
    <row r="3034" spans="1:10" x14ac:dyDescent="0.25">
      <c r="A3034" s="2">
        <v>1251.0613056940001</v>
      </c>
      <c r="B3034" s="3">
        <v>0.186423505924458</v>
      </c>
      <c r="C3034" s="3">
        <v>4.8899196336069399E-4</v>
      </c>
      <c r="D3034" s="4">
        <v>1.8198649238816899E-3</v>
      </c>
      <c r="E3034" s="3" t="s">
        <v>5295</v>
      </c>
      <c r="F3034" s="3" t="s">
        <v>5296</v>
      </c>
      <c r="G3034" s="3">
        <v>57753</v>
      </c>
      <c r="H3034" s="7" t="str">
        <f>HYPERLINK("http://www.ensembl.org/Mus_musculus/Gene/Summary?db=core;g=ENSMUSG00000024999","ENSMUSG00000024999")</f>
        <v>ENSMUSG00000024999</v>
      </c>
      <c r="I3034" s="7" t="str">
        <f>HYPERLINK("http://www.informatics.jax.org/marker/MGI:1932610","MGI:1932610")</f>
        <v>MGI:1932610</v>
      </c>
      <c r="J3034" s="4" t="s">
        <v>12</v>
      </c>
    </row>
    <row r="3035" spans="1:10" x14ac:dyDescent="0.25">
      <c r="A3035" s="2">
        <v>741.959919149195</v>
      </c>
      <c r="B3035" s="3">
        <v>0.18629888030713301</v>
      </c>
      <c r="C3035" s="3">
        <v>4.4135766087734403E-2</v>
      </c>
      <c r="D3035" s="4">
        <v>0.10270356702617001</v>
      </c>
      <c r="E3035" s="3" t="s">
        <v>9331</v>
      </c>
      <c r="F3035" s="3" t="s">
        <v>9332</v>
      </c>
      <c r="G3035" s="3">
        <v>67797</v>
      </c>
      <c r="H3035" s="7" t="str">
        <f>HYPERLINK("http://www.ensembl.org/Mus_musculus/Gene/Summary?db=core;g=ENSMUSG00000021431","ENSMUSG00000021431")</f>
        <v>ENSMUSG00000021431</v>
      </c>
      <c r="I3035" s="7" t="str">
        <f>HYPERLINK("http://www.informatics.jax.org/marker/MGI:1915047","MGI:1915047")</f>
        <v>MGI:1915047</v>
      </c>
      <c r="J3035" s="4" t="s">
        <v>12</v>
      </c>
    </row>
    <row r="3036" spans="1:10" x14ac:dyDescent="0.25">
      <c r="A3036" s="2">
        <v>1857.1078306567599</v>
      </c>
      <c r="B3036" s="3">
        <v>0.18603372407615601</v>
      </c>
      <c r="C3036" s="5">
        <v>3.8315450430082103E-5</v>
      </c>
      <c r="D3036" s="4">
        <v>1.7064982504600399E-4</v>
      </c>
      <c r="E3036" s="3" t="s">
        <v>8055</v>
      </c>
      <c r="F3036" s="3" t="s">
        <v>8056</v>
      </c>
      <c r="G3036" s="3">
        <v>225348</v>
      </c>
      <c r="H3036" s="7" t="str">
        <f>HYPERLINK("http://www.ensembl.org/Mus_musculus/Gene/Summary?db=core;g=ENSMUSG00000038299","ENSMUSG00000038299")</f>
        <v>ENSMUSG00000038299</v>
      </c>
      <c r="I3036" s="7" t="str">
        <f>HYPERLINK("http://www.informatics.jax.org/marker/MGI:1917819","MGI:1917819")</f>
        <v>MGI:1917819</v>
      </c>
      <c r="J3036" s="4" t="s">
        <v>12</v>
      </c>
    </row>
    <row r="3037" spans="1:10" x14ac:dyDescent="0.25">
      <c r="A3037" s="2">
        <v>1749.3597630880599</v>
      </c>
      <c r="B3037" s="3">
        <v>0.18535114754427301</v>
      </c>
      <c r="C3037" s="5">
        <v>5.8278516255963401E-5</v>
      </c>
      <c r="D3037" s="4">
        <v>2.5300761285491501E-4</v>
      </c>
      <c r="E3037" s="3" t="s">
        <v>7230</v>
      </c>
      <c r="F3037" s="3" t="s">
        <v>7231</v>
      </c>
      <c r="G3037" s="3">
        <v>13728</v>
      </c>
      <c r="H3037" s="7" t="str">
        <f>HYPERLINK("http://www.ensembl.org/Mus_musculus/Gene/Summary?db=core;g=ENSMUSG00000024969","ENSMUSG00000024969")</f>
        <v>ENSMUSG00000024969</v>
      </c>
      <c r="I3037" s="7" t="str">
        <f>HYPERLINK("http://www.informatics.jax.org/marker/MGI:99638","MGI:99638")</f>
        <v>MGI:99638</v>
      </c>
      <c r="J3037" s="4" t="s">
        <v>12</v>
      </c>
    </row>
    <row r="3038" spans="1:10" x14ac:dyDescent="0.25">
      <c r="A3038" s="2">
        <v>541.37391761609695</v>
      </c>
      <c r="B3038" s="3">
        <v>0.185330887488978</v>
      </c>
      <c r="C3038" s="3">
        <v>7.7403729887264303E-3</v>
      </c>
      <c r="D3038" s="4">
        <v>2.22927145574493E-2</v>
      </c>
      <c r="E3038" s="3" t="s">
        <v>10080</v>
      </c>
      <c r="F3038" s="3" t="s">
        <v>10081</v>
      </c>
      <c r="G3038" s="3">
        <v>19255</v>
      </c>
      <c r="H3038" s="7" t="str">
        <f>HYPERLINK("http://www.ensembl.org/Mus_musculus/Gene/Summary?db=core;g=ENSMUSG00000024539","ENSMUSG00000024539")</f>
        <v>ENSMUSG00000024539</v>
      </c>
      <c r="I3038" s="7" t="str">
        <f>HYPERLINK("http://www.informatics.jax.org/marker/MGI:97806","MGI:97806")</f>
        <v>MGI:97806</v>
      </c>
      <c r="J3038" s="4" t="s">
        <v>12</v>
      </c>
    </row>
    <row r="3039" spans="1:10" x14ac:dyDescent="0.25">
      <c r="A3039" s="2">
        <v>2339.79030175875</v>
      </c>
      <c r="B3039" s="3">
        <v>0.18530751297946599</v>
      </c>
      <c r="C3039" s="5">
        <v>8.6487849143478894E-5</v>
      </c>
      <c r="D3039" s="4">
        <v>3.6503961339506797E-4</v>
      </c>
      <c r="E3039" s="3" t="s">
        <v>10900</v>
      </c>
      <c r="F3039" s="3" t="s">
        <v>10901</v>
      </c>
      <c r="G3039" s="3">
        <v>12385</v>
      </c>
      <c r="H3039" s="7" t="str">
        <f>HYPERLINK("http://www.ensembl.org/Mus_musculus/Gene/Summary?db=core;g=ENSMUSG00000037815","ENSMUSG00000037815")</f>
        <v>ENSMUSG00000037815</v>
      </c>
      <c r="I3039" s="7" t="str">
        <f>HYPERLINK("http://www.informatics.jax.org/marker/MGI:88274","MGI:88274")</f>
        <v>MGI:88274</v>
      </c>
      <c r="J3039" s="4" t="s">
        <v>12</v>
      </c>
    </row>
    <row r="3040" spans="1:10" x14ac:dyDescent="0.25">
      <c r="A3040" s="2">
        <v>10478.328519692201</v>
      </c>
      <c r="B3040" s="3">
        <v>0.18525328689206</v>
      </c>
      <c r="C3040" s="3">
        <v>7.7437468744220698E-4</v>
      </c>
      <c r="D3040" s="4">
        <v>2.7759596142081502E-3</v>
      </c>
      <c r="E3040" s="3" t="s">
        <v>7560</v>
      </c>
      <c r="F3040" s="3" t="s">
        <v>7561</v>
      </c>
      <c r="G3040" s="3">
        <v>13669</v>
      </c>
      <c r="H3040" s="7" t="str">
        <f>HYPERLINK("http://www.ensembl.org/Mus_musculus/Gene/Summary?db=core;g=ENSMUSG00000024991","ENSMUSG00000024991")</f>
        <v>ENSMUSG00000024991</v>
      </c>
      <c r="I3040" s="7" t="str">
        <f>HYPERLINK("http://www.informatics.jax.org/marker/MGI:95301","MGI:95301")</f>
        <v>MGI:95301</v>
      </c>
      <c r="J3040" s="4" t="s">
        <v>12</v>
      </c>
    </row>
    <row r="3041" spans="1:10" x14ac:dyDescent="0.25">
      <c r="A3041" s="2">
        <v>13396.9945992918</v>
      </c>
      <c r="B3041" s="3">
        <v>0.18518926529890101</v>
      </c>
      <c r="C3041" s="3">
        <v>2.4239802724977701E-4</v>
      </c>
      <c r="D3041" s="4">
        <v>9.4739524911584695E-4</v>
      </c>
      <c r="E3041" s="3" t="s">
        <v>12445</v>
      </c>
      <c r="F3041" s="3" t="s">
        <v>12446</v>
      </c>
      <c r="G3041" s="3">
        <v>26961</v>
      </c>
      <c r="H3041" s="7" t="str">
        <f>HYPERLINK("http://www.ensembl.org/Mus_musculus/Gene/Summary?db=core;g=ENSMUSG00000003970","ENSMUSG00000003970")</f>
        <v>ENSMUSG00000003970</v>
      </c>
      <c r="I3041" s="7" t="str">
        <f>HYPERLINK("http://www.informatics.jax.org/marker/MGI:1350927","MGI:1350927")</f>
        <v>MGI:1350927</v>
      </c>
      <c r="J3041" s="4" t="s">
        <v>12</v>
      </c>
    </row>
    <row r="3042" spans="1:10" x14ac:dyDescent="0.25">
      <c r="A3042" s="2">
        <v>205.26148006016999</v>
      </c>
      <c r="B3042" s="3">
        <v>0.185170848578213</v>
      </c>
      <c r="C3042" s="3">
        <v>6.1272467509253699E-2</v>
      </c>
      <c r="D3042" s="4">
        <v>0.13535645095226001</v>
      </c>
      <c r="E3042" s="3" t="s">
        <v>12561</v>
      </c>
      <c r="F3042" s="3" t="s">
        <v>12562</v>
      </c>
      <c r="G3042" s="3">
        <v>12913</v>
      </c>
      <c r="H3042" s="7" t="str">
        <f>HYPERLINK("http://www.ensembl.org/Mus_musculus/Gene/Summary?db=core;g=ENSMUSG00000028466","ENSMUSG00000028466")</f>
        <v>ENSMUSG00000028466</v>
      </c>
      <c r="I3042" s="7" t="str">
        <f>HYPERLINK("http://www.informatics.jax.org/marker/MGI:99946","MGI:99946")</f>
        <v>MGI:99946</v>
      </c>
      <c r="J3042" s="4" t="s">
        <v>12</v>
      </c>
    </row>
    <row r="3043" spans="1:10" x14ac:dyDescent="0.25">
      <c r="A3043" s="2">
        <v>454.18870727993999</v>
      </c>
      <c r="B3043" s="3">
        <v>0.185150234690208</v>
      </c>
      <c r="C3043" s="3">
        <v>5.0860987439860297E-3</v>
      </c>
      <c r="D3043" s="4">
        <v>1.52733810527509E-2</v>
      </c>
      <c r="E3043" s="3" t="s">
        <v>9839</v>
      </c>
      <c r="F3043" s="3" t="s">
        <v>9840</v>
      </c>
      <c r="G3043" s="3">
        <v>70373</v>
      </c>
      <c r="H3043" s="7" t="str">
        <f>HYPERLINK("http://www.ensembl.org/Mus_musculus/Gene/Summary?db=core;g=ENSMUSG00000021254","ENSMUSG00000021254")</f>
        <v>ENSMUSG00000021254</v>
      </c>
      <c r="I3043" s="7" t="str">
        <f>HYPERLINK("http://www.informatics.jax.org/marker/MGI:1917623","MGI:1917623")</f>
        <v>MGI:1917623</v>
      </c>
      <c r="J3043" s="4" t="s">
        <v>12</v>
      </c>
    </row>
    <row r="3044" spans="1:10" x14ac:dyDescent="0.25">
      <c r="A3044" s="2">
        <v>2172.1774360566001</v>
      </c>
      <c r="B3044" s="3">
        <v>0.18498064720128701</v>
      </c>
      <c r="C3044" s="5">
        <v>6.8424169275613594E-5</v>
      </c>
      <c r="D3044" s="4">
        <v>2.9314303832817499E-4</v>
      </c>
      <c r="E3044" s="3" t="s">
        <v>4251</v>
      </c>
      <c r="F3044" s="3" t="s">
        <v>4252</v>
      </c>
      <c r="G3044" s="3">
        <v>110829</v>
      </c>
      <c r="H3044" s="7" t="str">
        <f>HYPERLINK("http://www.ensembl.org/Mus_musculus/Gene/Summary?db=core;g=ENSMUSG00000019920","ENSMUSG00000019920")</f>
        <v>ENSMUSG00000019920</v>
      </c>
      <c r="I3044" s="7" t="str">
        <f>HYPERLINK("http://www.informatics.jax.org/marker/MGI:1195263","MGI:1195263")</f>
        <v>MGI:1195263</v>
      </c>
      <c r="J3044" s="4" t="s">
        <v>12</v>
      </c>
    </row>
    <row r="3045" spans="1:10" x14ac:dyDescent="0.25">
      <c r="A3045" s="2">
        <v>2450.3418013825799</v>
      </c>
      <c r="B3045" s="3">
        <v>0.18488194573973299</v>
      </c>
      <c r="C3045" s="3">
        <v>2.7898022448384602E-4</v>
      </c>
      <c r="D3045" s="4">
        <v>1.0783487998341701E-3</v>
      </c>
      <c r="E3045" s="3" t="s">
        <v>4683</v>
      </c>
      <c r="F3045" s="3" t="s">
        <v>4684</v>
      </c>
      <c r="G3045" s="3">
        <v>27377</v>
      </c>
      <c r="H3045" s="7" t="str">
        <f>HYPERLINK("http://www.ensembl.org/Mus_musculus/Gene/Summary?db=core;g=ENSMUSG00000026775","ENSMUSG00000026775")</f>
        <v>ENSMUSG00000026775</v>
      </c>
      <c r="I3045" s="7" t="str">
        <f>HYPERLINK("http://www.informatics.jax.org/marker/MGI:1351651","MGI:1351651")</f>
        <v>MGI:1351651</v>
      </c>
      <c r="J3045" s="4" t="s">
        <v>12</v>
      </c>
    </row>
    <row r="3046" spans="1:10" x14ac:dyDescent="0.25">
      <c r="A3046" s="2">
        <v>6574.0812728804203</v>
      </c>
      <c r="B3046" s="3">
        <v>0.18482691422786601</v>
      </c>
      <c r="C3046" s="3">
        <v>1.22696571834961E-3</v>
      </c>
      <c r="D3046" s="4">
        <v>4.2471890250563296E-3</v>
      </c>
      <c r="E3046" s="3" t="s">
        <v>12891</v>
      </c>
      <c r="F3046" s="3" t="s">
        <v>12892</v>
      </c>
      <c r="G3046" s="3">
        <v>55949</v>
      </c>
      <c r="H3046" s="7" t="str">
        <f>HYPERLINK("http://www.ensembl.org/Mus_musculus/Gene/Summary?db=core;g=ENSMUSG00000025967","ENSMUSG00000025967")</f>
        <v>ENSMUSG00000025967</v>
      </c>
      <c r="I3046" s="7" t="str">
        <f>HYPERLINK("http://www.informatics.jax.org/marker/MGI:1929520","MGI:1929520")</f>
        <v>MGI:1929520</v>
      </c>
      <c r="J3046" s="4" t="s">
        <v>12</v>
      </c>
    </row>
    <row r="3047" spans="1:10" x14ac:dyDescent="0.25">
      <c r="A3047" s="2">
        <v>531.41074837463702</v>
      </c>
      <c r="B3047" s="3">
        <v>0.18441816721538601</v>
      </c>
      <c r="C3047" s="3">
        <v>4.3933511077440403E-2</v>
      </c>
      <c r="D3047" s="4">
        <v>0.102324375640428</v>
      </c>
      <c r="E3047" s="3" t="s">
        <v>10954</v>
      </c>
      <c r="F3047" s="3" t="s">
        <v>10955</v>
      </c>
      <c r="G3047" s="3">
        <v>110172</v>
      </c>
      <c r="H3047" s="7" t="str">
        <f>HYPERLINK("http://www.ensembl.org/Mus_musculus/Gene/Summary?db=core;g=ENSMUSG00000020873","ENSMUSG00000020873")</f>
        <v>ENSMUSG00000020873</v>
      </c>
      <c r="I3047" s="7" t="str">
        <f>HYPERLINK("http://www.informatics.jax.org/marker/MGI:1343133","MGI:1343133")</f>
        <v>MGI:1343133</v>
      </c>
      <c r="J3047" s="4" t="s">
        <v>12</v>
      </c>
    </row>
    <row r="3048" spans="1:10" x14ac:dyDescent="0.25">
      <c r="A3048" s="2">
        <v>635.27055045202997</v>
      </c>
      <c r="B3048" s="3">
        <v>0.184323396048755</v>
      </c>
      <c r="C3048" s="3">
        <v>1.1627933382079699E-2</v>
      </c>
      <c r="D3048" s="4">
        <v>3.2084645857441703E-2</v>
      </c>
      <c r="E3048" s="3" t="s">
        <v>12581</v>
      </c>
      <c r="F3048" s="3" t="s">
        <v>12582</v>
      </c>
      <c r="G3048" s="3">
        <v>227867</v>
      </c>
      <c r="H3048" s="7" t="str">
        <f>HYPERLINK("http://www.ensembl.org/Mus_musculus/Gene/Summary?db=core;g=ENSMUSG00000069495","ENSMUSG00000069495")</f>
        <v>ENSMUSG00000069495</v>
      </c>
      <c r="I3048" s="7" t="str">
        <f>HYPERLINK("http://www.informatics.jax.org/marker/MGI:1278321","MGI:1278321")</f>
        <v>MGI:1278321</v>
      </c>
      <c r="J3048" s="4" t="s">
        <v>12</v>
      </c>
    </row>
    <row r="3049" spans="1:10" x14ac:dyDescent="0.25">
      <c r="A3049" s="2">
        <v>1714.3448433804899</v>
      </c>
      <c r="B3049" s="3">
        <v>0.184190829957595</v>
      </c>
      <c r="C3049" s="3">
        <v>1.2359172348650299E-2</v>
      </c>
      <c r="D3049" s="4">
        <v>3.3841033061020299E-2</v>
      </c>
      <c r="E3049" s="3" t="s">
        <v>10583</v>
      </c>
      <c r="F3049" s="3" t="s">
        <v>10584</v>
      </c>
      <c r="G3049" s="3">
        <v>56440</v>
      </c>
      <c r="H3049" s="7" t="str">
        <f>HYPERLINK("http://www.ensembl.org/Mus_musculus/Gene/Summary?db=core;g=ENSMUSG00000032382","ENSMUSG00000032382")</f>
        <v>ENSMUSG00000032382</v>
      </c>
      <c r="I3049" s="7" t="str">
        <f>HYPERLINK("http://www.informatics.jax.org/marker/MGI:1928395","MGI:1928395")</f>
        <v>MGI:1928395</v>
      </c>
      <c r="J3049" s="4" t="s">
        <v>12</v>
      </c>
    </row>
    <row r="3050" spans="1:10" x14ac:dyDescent="0.25">
      <c r="A3050" s="2">
        <v>799.55145365763201</v>
      </c>
      <c r="B3050" s="3">
        <v>0.18416910518836399</v>
      </c>
      <c r="C3050" s="3">
        <v>5.5933768053260599E-2</v>
      </c>
      <c r="D3050" s="4">
        <v>0.12549463532816399</v>
      </c>
      <c r="E3050" s="3" t="s">
        <v>9797</v>
      </c>
      <c r="F3050" s="3" t="s">
        <v>9798</v>
      </c>
      <c r="G3050" s="3" t="s">
        <v>83</v>
      </c>
      <c r="H3050" s="7" t="str">
        <f>HYPERLINK("http://www.ensembl.org/Mus_musculus/Gene/Summary?db=core;g=ENSMUSG00000113902","ENSMUSG00000113902")</f>
        <v>ENSMUSG00000113902</v>
      </c>
      <c r="I3050" s="7" t="str">
        <f>HYPERLINK("http://www.informatics.jax.org/marker/MGI:3780865","MGI:3780865")</f>
        <v>MGI:3780865</v>
      </c>
      <c r="J3050" s="4" t="s">
        <v>12</v>
      </c>
    </row>
    <row r="3051" spans="1:10" x14ac:dyDescent="0.25">
      <c r="A3051" s="2">
        <v>1445.0338265349101</v>
      </c>
      <c r="B3051" s="3">
        <v>0.184155515434825</v>
      </c>
      <c r="C3051" s="5">
        <v>9.1175319984930893E-5</v>
      </c>
      <c r="D3051" s="4">
        <v>3.83580380130509E-4</v>
      </c>
      <c r="E3051" s="3" t="s">
        <v>6293</v>
      </c>
      <c r="F3051" s="3" t="s">
        <v>6294</v>
      </c>
      <c r="G3051" s="3">
        <v>69981</v>
      </c>
      <c r="H3051" s="7" t="str">
        <f>HYPERLINK("http://www.ensembl.org/Mus_musculus/Gene/Summary?db=core;g=ENSMUSG00000032328","ENSMUSG00000032328")</f>
        <v>ENSMUSG00000032328</v>
      </c>
      <c r="I3051" s="7" t="str">
        <f>HYPERLINK("http://www.informatics.jax.org/marker/MGI:106402","MGI:106402")</f>
        <v>MGI:106402</v>
      </c>
      <c r="J3051" s="4" t="s">
        <v>12</v>
      </c>
    </row>
    <row r="3052" spans="1:10" x14ac:dyDescent="0.25">
      <c r="A3052" s="2">
        <v>204.92107517499201</v>
      </c>
      <c r="B3052" s="3">
        <v>0.18379733858904801</v>
      </c>
      <c r="C3052" s="3">
        <v>6.9570285952241601E-2</v>
      </c>
      <c r="D3052" s="4">
        <v>0.15058414031824299</v>
      </c>
      <c r="E3052" s="3" t="s">
        <v>12404</v>
      </c>
      <c r="F3052" s="3" t="s">
        <v>12405</v>
      </c>
      <c r="G3052" s="3" t="s">
        <v>83</v>
      </c>
      <c r="H3052" s="7" t="str">
        <f>HYPERLINK("http://www.ensembl.org/Mus_musculus/Gene/Summary?db=core;g=ENSMUSG00000085058","ENSMUSG00000085058")</f>
        <v>ENSMUSG00000085058</v>
      </c>
      <c r="I3052" s="7" t="str">
        <f>HYPERLINK("http://www.informatics.jax.org/marker/MGI:1924459","MGI:1924459")</f>
        <v>MGI:1924459</v>
      </c>
      <c r="J3052" s="4" t="s">
        <v>331</v>
      </c>
    </row>
    <row r="3053" spans="1:10" x14ac:dyDescent="0.25">
      <c r="A3053" s="2">
        <v>1561.7619011844399</v>
      </c>
      <c r="B3053" s="3">
        <v>0.18370372853658501</v>
      </c>
      <c r="C3053" s="3">
        <v>1.58588995096085E-3</v>
      </c>
      <c r="D3053" s="4">
        <v>5.3732746525862697E-3</v>
      </c>
      <c r="E3053" s="3" t="s">
        <v>9275</v>
      </c>
      <c r="F3053" s="3" t="s">
        <v>9276</v>
      </c>
      <c r="G3053" s="3">
        <v>70025</v>
      </c>
      <c r="H3053" s="7" t="str">
        <f>HYPERLINK("http://www.ensembl.org/Mus_musculus/Gene/Summary?db=core;g=ENSMUSG00000028937","ENSMUSG00000028937")</f>
        <v>ENSMUSG00000028937</v>
      </c>
      <c r="I3053" s="7" t="str">
        <f>HYPERLINK("http://www.informatics.jax.org/marker/MGI:1917275","MGI:1917275")</f>
        <v>MGI:1917275</v>
      </c>
      <c r="J3053" s="4" t="s">
        <v>12</v>
      </c>
    </row>
    <row r="3054" spans="1:10" x14ac:dyDescent="0.25">
      <c r="A3054" s="2">
        <v>2318.3629495137802</v>
      </c>
      <c r="B3054" s="3">
        <v>0.18361447940224801</v>
      </c>
      <c r="C3054" s="3">
        <v>4.7511772863539498E-3</v>
      </c>
      <c r="D3054" s="4">
        <v>1.4348004315459999E-2</v>
      </c>
      <c r="E3054" s="3" t="s">
        <v>10910</v>
      </c>
      <c r="F3054" s="3" t="s">
        <v>10911</v>
      </c>
      <c r="G3054" s="3">
        <v>67838</v>
      </c>
      <c r="H3054" s="7" t="str">
        <f>HYPERLINK("http://www.ensembl.org/Mus_musculus/Gene/Summary?db=core;g=ENSMUSG00000004460","ENSMUSG00000004460")</f>
        <v>ENSMUSG00000004460</v>
      </c>
      <c r="I3054" s="7" t="str">
        <f>HYPERLINK("http://www.informatics.jax.org/marker/MGI:1915088","MGI:1915088")</f>
        <v>MGI:1915088</v>
      </c>
      <c r="J3054" s="4" t="s">
        <v>12</v>
      </c>
    </row>
    <row r="3055" spans="1:10" x14ac:dyDescent="0.25">
      <c r="A3055" s="2">
        <v>4971.4557364122502</v>
      </c>
      <c r="B3055" s="3">
        <v>0.183581478800103</v>
      </c>
      <c r="C3055" s="5">
        <v>1.5272029133756299E-6</v>
      </c>
      <c r="D3055" s="6">
        <v>8.3233472177843704E-6</v>
      </c>
      <c r="E3055" s="3" t="s">
        <v>6263</v>
      </c>
      <c r="F3055" s="3" t="s">
        <v>6264</v>
      </c>
      <c r="G3055" s="3">
        <v>12847</v>
      </c>
      <c r="H3055" s="7" t="str">
        <f>HYPERLINK("http://www.ensembl.org/Mus_musculus/Gene/Summary?db=core;g=ENSMUSG00000026553","ENSMUSG00000026553")</f>
        <v>ENSMUSG00000026553</v>
      </c>
      <c r="I3055" s="7" t="str">
        <f>HYPERLINK("http://www.informatics.jax.org/marker/MGI:1334462","MGI:1334462")</f>
        <v>MGI:1334462</v>
      </c>
      <c r="J3055" s="4" t="s">
        <v>12</v>
      </c>
    </row>
    <row r="3056" spans="1:10" x14ac:dyDescent="0.25">
      <c r="A3056" s="2">
        <v>15804.248789859001</v>
      </c>
      <c r="B3056" s="3">
        <v>0.183427451484036</v>
      </c>
      <c r="C3056" s="5">
        <v>5.47192928710948E-6</v>
      </c>
      <c r="D3056" s="6">
        <v>2.77942896481523E-5</v>
      </c>
      <c r="E3056" s="3" t="s">
        <v>6962</v>
      </c>
      <c r="F3056" s="3" t="s">
        <v>6963</v>
      </c>
      <c r="G3056" s="3">
        <v>16211</v>
      </c>
      <c r="H3056" s="7" t="str">
        <f>HYPERLINK("http://www.ensembl.org/Mus_musculus/Gene/Summary?db=core;g=ENSMUSG00000001440","ENSMUSG00000001440")</f>
        <v>ENSMUSG00000001440</v>
      </c>
      <c r="I3056" s="7" t="str">
        <f>HYPERLINK("http://www.informatics.jax.org/marker/MGI:107532","MGI:107532")</f>
        <v>MGI:107532</v>
      </c>
      <c r="J3056" s="4" t="s">
        <v>12</v>
      </c>
    </row>
    <row r="3057" spans="1:10" x14ac:dyDescent="0.25">
      <c r="A3057" s="2">
        <v>2220.22317746817</v>
      </c>
      <c r="B3057" s="3">
        <v>0.18321290741924101</v>
      </c>
      <c r="C3057" s="3">
        <v>1.7811171862241101E-4</v>
      </c>
      <c r="D3057" s="4">
        <v>7.1326874794406397E-4</v>
      </c>
      <c r="E3057" s="3" t="s">
        <v>6677</v>
      </c>
      <c r="F3057" s="3" t="s">
        <v>6678</v>
      </c>
      <c r="G3057" s="3">
        <v>26992</v>
      </c>
      <c r="H3057" s="7" t="str">
        <f>HYPERLINK("http://www.ensembl.org/Mus_musculus/Gene/Summary?db=core;g=ENSMUSG00000031660","ENSMUSG00000031660")</f>
        <v>ENSMUSG00000031660</v>
      </c>
      <c r="I3057" s="7" t="str">
        <f>HYPERLINK("http://www.informatics.jax.org/marker/MGI:1349766","MGI:1349766")</f>
        <v>MGI:1349766</v>
      </c>
      <c r="J3057" s="4" t="s">
        <v>12</v>
      </c>
    </row>
    <row r="3058" spans="1:10" x14ac:dyDescent="0.25">
      <c r="A3058" s="2">
        <v>204.24446700180701</v>
      </c>
      <c r="B3058" s="3">
        <v>0.18312224714677799</v>
      </c>
      <c r="C3058" s="3">
        <v>0.18824367585138599</v>
      </c>
      <c r="D3058" s="4">
        <v>0.33568894250406101</v>
      </c>
      <c r="E3058" s="3" t="s">
        <v>13573</v>
      </c>
      <c r="F3058" s="3" t="s">
        <v>13574</v>
      </c>
      <c r="G3058" s="3">
        <v>101142</v>
      </c>
      <c r="H3058" s="7" t="str">
        <f>HYPERLINK("http://www.ensembl.org/Mus_musculus/Gene/Summary?db=core;g=ENSMUSG00000001518","ENSMUSG00000001518")</f>
        <v>ENSMUSG00000001518</v>
      </c>
      <c r="I3058" s="7" t="str">
        <f>HYPERLINK("http://www.informatics.jax.org/marker/MGI:1915450","MGI:1915450")</f>
        <v>MGI:1915450</v>
      </c>
      <c r="J3058" s="4" t="s">
        <v>12</v>
      </c>
    </row>
    <row r="3059" spans="1:10" x14ac:dyDescent="0.25">
      <c r="A3059" s="2">
        <v>1144.7157430380801</v>
      </c>
      <c r="B3059" s="3">
        <v>0.182828723518592</v>
      </c>
      <c r="C3059" s="3">
        <v>1.2472364670357301E-3</v>
      </c>
      <c r="D3059" s="4">
        <v>4.3132608371396998E-3</v>
      </c>
      <c r="E3059" s="3" t="s">
        <v>7896</v>
      </c>
      <c r="F3059" s="3" t="s">
        <v>7897</v>
      </c>
      <c r="G3059" s="3">
        <v>17191</v>
      </c>
      <c r="H3059" s="7" t="str">
        <f>HYPERLINK("http://www.ensembl.org/Mus_musculus/Gene/Summary?db=core;g=ENSMUSG00000024513","ENSMUSG00000024513")</f>
        <v>ENSMUSG00000024513</v>
      </c>
      <c r="I3059" s="7" t="str">
        <f>HYPERLINK("http://www.informatics.jax.org/marker/MGI:1333813","MGI:1333813")</f>
        <v>MGI:1333813</v>
      </c>
      <c r="J3059" s="4" t="s">
        <v>12</v>
      </c>
    </row>
    <row r="3060" spans="1:10" x14ac:dyDescent="0.25">
      <c r="A3060" s="2">
        <v>6615.6184983643898</v>
      </c>
      <c r="B3060" s="3">
        <v>0.182780400930664</v>
      </c>
      <c r="C3060" s="3">
        <v>3.54661646997814E-3</v>
      </c>
      <c r="D3060" s="4">
        <v>1.10566344791912E-2</v>
      </c>
      <c r="E3060" s="3" t="s">
        <v>13157</v>
      </c>
      <c r="F3060" s="3" t="s">
        <v>13158</v>
      </c>
      <c r="G3060" s="3">
        <v>19384</v>
      </c>
      <c r="H3060" s="7" t="str">
        <f>HYPERLINK("http://www.ensembl.org/Mus_musculus/Gene/Summary?db=core;g=ENSMUSG00000029430","ENSMUSG00000029430")</f>
        <v>ENSMUSG00000029430</v>
      </c>
      <c r="I3060" s="7" t="str">
        <f>HYPERLINK("http://www.informatics.jax.org/marker/MGI:1333112","MGI:1333112")</f>
        <v>MGI:1333112</v>
      </c>
      <c r="J3060" s="4" t="s">
        <v>12</v>
      </c>
    </row>
    <row r="3061" spans="1:10" x14ac:dyDescent="0.25">
      <c r="A3061" s="2">
        <v>4657.9494425332696</v>
      </c>
      <c r="B3061" s="3">
        <v>0.18276848832459</v>
      </c>
      <c r="C3061" s="3">
        <v>7.1788793808869999E-4</v>
      </c>
      <c r="D3061" s="4">
        <v>2.5892554268091301E-3</v>
      </c>
      <c r="E3061" s="3" t="s">
        <v>6641</v>
      </c>
      <c r="F3061" s="3" t="s">
        <v>6642</v>
      </c>
      <c r="G3061" s="3">
        <v>74838</v>
      </c>
      <c r="H3061" s="7" t="str">
        <f>HYPERLINK("http://www.ensembl.org/Mus_musculus/Gene/Summary?db=core;g=ENSMUSG00000063273","ENSMUSG00000063273")</f>
        <v>ENSMUSG00000063273</v>
      </c>
      <c r="I3061" s="7" t="str">
        <f>HYPERLINK("http://www.informatics.jax.org/marker/MGI:1922088","MGI:1922088")</f>
        <v>MGI:1922088</v>
      </c>
      <c r="J3061" s="4" t="s">
        <v>12</v>
      </c>
    </row>
    <row r="3062" spans="1:10" x14ac:dyDescent="0.25">
      <c r="A3062" s="2">
        <v>1895.4373343212701</v>
      </c>
      <c r="B3062" s="3">
        <v>0.182422522685179</v>
      </c>
      <c r="C3062" s="5">
        <v>4.6740618359123803E-5</v>
      </c>
      <c r="D3062" s="4">
        <v>2.0615870512948501E-4</v>
      </c>
      <c r="E3062" s="3" t="s">
        <v>10154</v>
      </c>
      <c r="F3062" s="3" t="s">
        <v>10155</v>
      </c>
      <c r="G3062" s="3">
        <v>16978</v>
      </c>
      <c r="H3062" s="7" t="str">
        <f>HYPERLINK("http://www.ensembl.org/Mus_musculus/Gene/Summary?db=core;g=ENSMUSG00000026305","ENSMUSG00000026305")</f>
        <v>ENSMUSG00000026305</v>
      </c>
      <c r="I3062" s="7" t="str">
        <f>HYPERLINK("http://www.informatics.jax.org/marker/MGI:1342770","MGI:1342770")</f>
        <v>MGI:1342770</v>
      </c>
      <c r="J3062" s="4" t="s">
        <v>12</v>
      </c>
    </row>
    <row r="3063" spans="1:10" x14ac:dyDescent="0.25">
      <c r="A3063" s="2">
        <v>1967.83330421865</v>
      </c>
      <c r="B3063" s="3">
        <v>0.18242181335107699</v>
      </c>
      <c r="C3063" s="5">
        <v>2.5107148275871499E-8</v>
      </c>
      <c r="D3063" s="6">
        <v>1.6736568300210599E-7</v>
      </c>
      <c r="E3063" s="3" t="s">
        <v>4547</v>
      </c>
      <c r="F3063" s="3" t="s">
        <v>4548</v>
      </c>
      <c r="G3063" s="3">
        <v>107951</v>
      </c>
      <c r="H3063" s="7" t="str">
        <f>HYPERLINK("http://www.ensembl.org/Mus_musculus/Gene/Summary?db=core;g=ENSMUSG00000009555","ENSMUSG00000009555")</f>
        <v>ENSMUSG00000009555</v>
      </c>
      <c r="I3063" s="7" t="str">
        <f>HYPERLINK("http://www.informatics.jax.org/marker/MGI:1328368","MGI:1328368")</f>
        <v>MGI:1328368</v>
      </c>
      <c r="J3063" s="4" t="s">
        <v>12</v>
      </c>
    </row>
    <row r="3064" spans="1:10" x14ac:dyDescent="0.25">
      <c r="A3064" s="2">
        <v>995.79892138019204</v>
      </c>
      <c r="B3064" s="3">
        <v>0.18238472108248799</v>
      </c>
      <c r="C3064" s="3">
        <v>1.09254368854674E-4</v>
      </c>
      <c r="D3064" s="4">
        <v>4.5356739689668402E-4</v>
      </c>
      <c r="E3064" s="3" t="s">
        <v>6481</v>
      </c>
      <c r="F3064" s="3" t="s">
        <v>6482</v>
      </c>
      <c r="G3064" s="3">
        <v>75717</v>
      </c>
      <c r="H3064" s="7" t="str">
        <f>HYPERLINK("http://www.ensembl.org/Mus_musculus/Gene/Summary?db=core;g=ENSMUSG00000032030","ENSMUSG00000032030")</f>
        <v>ENSMUSG00000032030</v>
      </c>
      <c r="I3064" s="7" t="str">
        <f>HYPERLINK("http://www.informatics.jax.org/marker/MGI:1922967","MGI:1922967")</f>
        <v>MGI:1922967</v>
      </c>
      <c r="J3064" s="4" t="s">
        <v>12</v>
      </c>
    </row>
    <row r="3065" spans="1:10" x14ac:dyDescent="0.25">
      <c r="A3065" s="2">
        <v>3077.2060390694901</v>
      </c>
      <c r="B3065" s="3">
        <v>0.181946824365503</v>
      </c>
      <c r="C3065" s="3">
        <v>3.9700111281986398E-4</v>
      </c>
      <c r="D3065" s="4">
        <v>1.4970712354939E-3</v>
      </c>
      <c r="E3065" s="3" t="s">
        <v>9775</v>
      </c>
      <c r="F3065" s="3" t="s">
        <v>9776</v>
      </c>
      <c r="G3065" s="3">
        <v>68988</v>
      </c>
      <c r="H3065" s="7" t="str">
        <f>HYPERLINK("http://www.ensembl.org/Mus_musculus/Gene/Summary?db=core;g=ENSMUSG00000008373","ENSMUSG00000008373")</f>
        <v>ENSMUSG00000008373</v>
      </c>
      <c r="I3065" s="7" t="str">
        <f>HYPERLINK("http://www.informatics.jax.org/marker/MGI:1916238","MGI:1916238")</f>
        <v>MGI:1916238</v>
      </c>
      <c r="J3065" s="4" t="s">
        <v>12</v>
      </c>
    </row>
    <row r="3066" spans="1:10" x14ac:dyDescent="0.25">
      <c r="A3066" s="2">
        <v>127.597926408769</v>
      </c>
      <c r="B3066" s="3">
        <v>0.18169590525524301</v>
      </c>
      <c r="C3066" s="3">
        <v>9.8671164889816601E-2</v>
      </c>
      <c r="D3066" s="4">
        <v>0.201262672648787</v>
      </c>
      <c r="E3066" s="3" t="s">
        <v>8507</v>
      </c>
      <c r="F3066" s="3" t="s">
        <v>8508</v>
      </c>
      <c r="G3066" s="3">
        <v>233060</v>
      </c>
      <c r="H3066" s="7" t="str">
        <f>HYPERLINK("http://www.ensembl.org/Mus_musculus/Gene/Summary?db=core;g=ENSMUSG00000074220","ENSMUSG00000074220")</f>
        <v>ENSMUSG00000074220</v>
      </c>
      <c r="I3066" s="7" t="str">
        <f>HYPERLINK("http://www.informatics.jax.org/marker/MGI:3588204","MGI:3588204")</f>
        <v>MGI:3588204</v>
      </c>
      <c r="J3066" s="4" t="s">
        <v>12</v>
      </c>
    </row>
    <row r="3067" spans="1:10" x14ac:dyDescent="0.25">
      <c r="A3067" s="2">
        <v>563.62579355432899</v>
      </c>
      <c r="B3067" s="3">
        <v>0.18156648457221899</v>
      </c>
      <c r="C3067" s="3">
        <v>5.2504700263290502E-3</v>
      </c>
      <c r="D3067" s="4">
        <v>1.5719886821338801E-2</v>
      </c>
      <c r="E3067" s="3" t="s">
        <v>10388</v>
      </c>
      <c r="F3067" s="3" t="s">
        <v>10389</v>
      </c>
      <c r="G3067" s="3">
        <v>66663</v>
      </c>
      <c r="H3067" s="7" t="str">
        <f>HYPERLINK("http://www.ensembl.org/Mus_musculus/Gene/Summary?db=core;g=ENSMUSG00000032557","ENSMUSG00000032557")</f>
        <v>ENSMUSG00000032557</v>
      </c>
      <c r="I3067" s="7" t="str">
        <f>HYPERLINK("http://www.informatics.jax.org/marker/MGI:1913913","MGI:1913913")</f>
        <v>MGI:1913913</v>
      </c>
      <c r="J3067" s="4" t="s">
        <v>12</v>
      </c>
    </row>
    <row r="3068" spans="1:10" x14ac:dyDescent="0.25">
      <c r="A3068" s="2">
        <v>3549.5766204919801</v>
      </c>
      <c r="B3068" s="3">
        <v>0.18137961406651601</v>
      </c>
      <c r="C3068" s="3">
        <v>0.11275291874307</v>
      </c>
      <c r="D3068" s="4">
        <v>0.224140700708165</v>
      </c>
      <c r="E3068" s="3" t="s">
        <v>13037</v>
      </c>
      <c r="F3068" s="3" t="s">
        <v>13038</v>
      </c>
      <c r="G3068" s="3">
        <v>226101</v>
      </c>
      <c r="H3068" s="7" t="str">
        <f>HYPERLINK("http://www.ensembl.org/Mus_musculus/Gene/Summary?db=core;g=ENSMUSG00000048612","ENSMUSG00000048612")</f>
        <v>ENSMUSG00000048612</v>
      </c>
      <c r="I3068" s="7" t="str">
        <f>HYPERLINK("http://www.informatics.jax.org/marker/MGI:1919192","MGI:1919192")</f>
        <v>MGI:1919192</v>
      </c>
      <c r="J3068" s="4" t="s">
        <v>12</v>
      </c>
    </row>
    <row r="3069" spans="1:10" x14ac:dyDescent="0.25">
      <c r="A3069" s="2">
        <v>5810.1411650672999</v>
      </c>
      <c r="B3069" s="3">
        <v>0.18134833096475</v>
      </c>
      <c r="C3069" s="5">
        <v>8.9411313989336405E-5</v>
      </c>
      <c r="D3069" s="4">
        <v>3.7658935341691198E-4</v>
      </c>
      <c r="E3069" s="3" t="s">
        <v>10232</v>
      </c>
      <c r="F3069" s="3" t="s">
        <v>10233</v>
      </c>
      <c r="G3069" s="3">
        <v>11821</v>
      </c>
      <c r="H3069" s="7" t="str">
        <f>HYPERLINK("http://www.ensembl.org/Mus_musculus/Gene/Summary?db=core;g=ENSMUSG00000006589","ENSMUSG00000006589")</f>
        <v>ENSMUSG00000006589</v>
      </c>
      <c r="I3069" s="7" t="str">
        <f>HYPERLINK("http://www.informatics.jax.org/marker/MGI:88061","MGI:88061")</f>
        <v>MGI:88061</v>
      </c>
      <c r="J3069" s="4" t="s">
        <v>12</v>
      </c>
    </row>
    <row r="3070" spans="1:10" x14ac:dyDescent="0.25">
      <c r="A3070" s="2">
        <v>3450.9134667056201</v>
      </c>
      <c r="B3070" s="3">
        <v>0.18125333298896901</v>
      </c>
      <c r="C3070" s="3">
        <v>9.6457305269495597E-4</v>
      </c>
      <c r="D3070" s="4">
        <v>3.4056610467180898E-3</v>
      </c>
      <c r="E3070" s="3" t="s">
        <v>11935</v>
      </c>
      <c r="F3070" s="3" t="s">
        <v>11936</v>
      </c>
      <c r="G3070" s="3">
        <v>26451</v>
      </c>
      <c r="H3070" s="7" t="str">
        <f>HYPERLINK("http://www.ensembl.org/Mus_musculus/Gene/Summary?db=core;g=ENSMUSG00000046364","ENSMUSG00000046364")</f>
        <v>ENSMUSG00000046364</v>
      </c>
      <c r="I3070" s="7" t="str">
        <f>HYPERLINK("http://www.informatics.jax.org/marker/MGI:1347076","MGI:1347076")</f>
        <v>MGI:1347076</v>
      </c>
      <c r="J3070" s="4" t="s">
        <v>12</v>
      </c>
    </row>
    <row r="3071" spans="1:10" x14ac:dyDescent="0.25">
      <c r="A3071" s="2">
        <v>5589.2007209089898</v>
      </c>
      <c r="B3071" s="3">
        <v>0.18122731684221599</v>
      </c>
      <c r="C3071" s="5">
        <v>2.72325183661724E-5</v>
      </c>
      <c r="D3071" s="4">
        <v>1.2479573729532099E-4</v>
      </c>
      <c r="E3071" s="3" t="s">
        <v>8787</v>
      </c>
      <c r="F3071" s="3" t="s">
        <v>8788</v>
      </c>
      <c r="G3071" s="3">
        <v>14693</v>
      </c>
      <c r="H3071" s="7" t="str">
        <f>HYPERLINK("http://www.ensembl.org/Mus_musculus/Gene/Summary?db=core;g=ENSMUSG00000029713","ENSMUSG00000029713")</f>
        <v>ENSMUSG00000029713</v>
      </c>
      <c r="I3071" s="7" t="str">
        <f>HYPERLINK("http://www.informatics.jax.org/marker/MGI:95784","MGI:95784")</f>
        <v>MGI:95784</v>
      </c>
      <c r="J3071" s="4" t="s">
        <v>12</v>
      </c>
    </row>
    <row r="3072" spans="1:10" x14ac:dyDescent="0.25">
      <c r="A3072" s="2">
        <v>7113.3181879193098</v>
      </c>
      <c r="B3072" s="3">
        <v>0.181109733910156</v>
      </c>
      <c r="C3072" s="3">
        <v>1.62918691528554E-3</v>
      </c>
      <c r="D3072" s="4">
        <v>5.5054334597502601E-3</v>
      </c>
      <c r="E3072" s="3" t="s">
        <v>10062</v>
      </c>
      <c r="F3072" s="3" t="s">
        <v>10063</v>
      </c>
      <c r="G3072" s="3">
        <v>233908</v>
      </c>
      <c r="H3072" s="7" t="str">
        <f>HYPERLINK("http://www.ensembl.org/Mus_musculus/Gene/Summary?db=core;g=ENSMUSG00000030795","ENSMUSG00000030795")</f>
        <v>ENSMUSG00000030795</v>
      </c>
      <c r="I3072" s="7" t="str">
        <f>HYPERLINK("http://www.informatics.jax.org/marker/MGI:1353633","MGI:1353633")</f>
        <v>MGI:1353633</v>
      </c>
      <c r="J3072" s="4" t="s">
        <v>12</v>
      </c>
    </row>
    <row r="3073" spans="1:10" x14ac:dyDescent="0.25">
      <c r="A3073" s="2">
        <v>2774.38198661455</v>
      </c>
      <c r="B3073" s="3">
        <v>0.181073049020893</v>
      </c>
      <c r="C3073" s="3">
        <v>2.0323024361011601E-4</v>
      </c>
      <c r="D3073" s="4">
        <v>8.0641654469722896E-4</v>
      </c>
      <c r="E3073" s="3" t="s">
        <v>5985</v>
      </c>
      <c r="F3073" s="3" t="s">
        <v>5986</v>
      </c>
      <c r="G3073" s="3">
        <v>67738</v>
      </c>
      <c r="H3073" s="7" t="str">
        <f>HYPERLINK("http://www.ensembl.org/Mus_musculus/Gene/Summary?db=core;g=ENSMUSG00000027804","ENSMUSG00000027804")</f>
        <v>ENSMUSG00000027804</v>
      </c>
      <c r="I3073" s="7" t="str">
        <f>HYPERLINK("http://www.informatics.jax.org/marker/MGI:1914988","MGI:1914988")</f>
        <v>MGI:1914988</v>
      </c>
      <c r="J3073" s="4" t="s">
        <v>12</v>
      </c>
    </row>
    <row r="3074" spans="1:10" x14ac:dyDescent="0.25">
      <c r="A3074" s="2">
        <v>1940.76657614337</v>
      </c>
      <c r="B3074" s="3">
        <v>0.18096305244841099</v>
      </c>
      <c r="C3074" s="5">
        <v>9.0317065808808906E-5</v>
      </c>
      <c r="D3074" s="4">
        <v>3.80232969361409E-4</v>
      </c>
      <c r="E3074" s="3" t="s">
        <v>7154</v>
      </c>
      <c r="F3074" s="3" t="s">
        <v>7155</v>
      </c>
      <c r="G3074" s="3">
        <v>103136</v>
      </c>
      <c r="H3074" s="7" t="str">
        <f>HYPERLINK("http://www.ensembl.org/Mus_musculus/Gene/Summary?db=core;g=ENSMUSG00000001785","ENSMUSG00000001785")</f>
        <v>ENSMUSG00000001785</v>
      </c>
      <c r="I3074" s="7" t="str">
        <f>HYPERLINK("http://www.informatics.jax.org/marker/MGI:1914735","MGI:1914735")</f>
        <v>MGI:1914735</v>
      </c>
      <c r="J3074" s="4" t="s">
        <v>12</v>
      </c>
    </row>
    <row r="3075" spans="1:10" x14ac:dyDescent="0.25">
      <c r="A3075" s="2">
        <v>813.69402926620603</v>
      </c>
      <c r="B3075" s="3">
        <v>0.18089294010899601</v>
      </c>
      <c r="C3075" s="3">
        <v>1.1179095870716999E-3</v>
      </c>
      <c r="D3075" s="4">
        <v>3.90304640313828E-3</v>
      </c>
      <c r="E3075" s="3" t="s">
        <v>5751</v>
      </c>
      <c r="F3075" s="3" t="s">
        <v>5752</v>
      </c>
      <c r="G3075" s="3">
        <v>78670</v>
      </c>
      <c r="H3075" s="7" t="str">
        <f>HYPERLINK("http://www.ensembl.org/Mus_musculus/Gene/Summary?db=core;g=ENSMUSG00000035278","ENSMUSG00000035278")</f>
        <v>ENSMUSG00000035278</v>
      </c>
      <c r="I3075" s="7" t="str">
        <f>HYPERLINK("http://www.informatics.jax.org/marker/MGI:1925920","MGI:1925920")</f>
        <v>MGI:1925920</v>
      </c>
      <c r="J3075" s="4" t="s">
        <v>12</v>
      </c>
    </row>
    <row r="3076" spans="1:10" x14ac:dyDescent="0.25">
      <c r="A3076" s="2">
        <v>3027.0075103824402</v>
      </c>
      <c r="B3076" s="3">
        <v>0.18086852479244001</v>
      </c>
      <c r="C3076" s="3">
        <v>2.8964592738694002E-4</v>
      </c>
      <c r="D3076" s="4">
        <v>1.11673302869198E-3</v>
      </c>
      <c r="E3076" s="3" t="s">
        <v>7020</v>
      </c>
      <c r="F3076" s="3" t="s">
        <v>7021</v>
      </c>
      <c r="G3076" s="3">
        <v>213895</v>
      </c>
      <c r="H3076" s="7" t="str">
        <f>HYPERLINK("http://www.ensembl.org/Mus_musculus/Gene/Summary?db=core;g=ENSMUSG00000030138","ENSMUSG00000030138")</f>
        <v>ENSMUSG00000030138</v>
      </c>
      <c r="I3076" s="7" t="str">
        <f>HYPERLINK("http://www.informatics.jax.org/marker/MGI:2446132","MGI:2446132")</f>
        <v>MGI:2446132</v>
      </c>
      <c r="J3076" s="4" t="s">
        <v>12</v>
      </c>
    </row>
    <row r="3077" spans="1:10" x14ac:dyDescent="0.25">
      <c r="A3077" s="2">
        <v>2418.9949521356998</v>
      </c>
      <c r="B3077" s="3">
        <v>0.18068470177979201</v>
      </c>
      <c r="C3077" s="5">
        <v>5.7654106656025002E-5</v>
      </c>
      <c r="D3077" s="4">
        <v>2.5071488757004402E-4</v>
      </c>
      <c r="E3077" s="3" t="s">
        <v>8765</v>
      </c>
      <c r="F3077" s="3" t="s">
        <v>8766</v>
      </c>
      <c r="G3077" s="3">
        <v>13001</v>
      </c>
      <c r="H3077" s="7" t="str">
        <f>HYPERLINK("http://www.ensembl.org/Mus_musculus/Gene/Summary?db=core;g=ENSMUSG00000024387","ENSMUSG00000024387")</f>
        <v>ENSMUSG00000024387</v>
      </c>
      <c r="I3077" s="7" t="str">
        <f>HYPERLINK("http://www.informatics.jax.org/marker/MGI:88548","MGI:88548")</f>
        <v>MGI:88548</v>
      </c>
      <c r="J3077" s="4" t="s">
        <v>12</v>
      </c>
    </row>
    <row r="3078" spans="1:10" x14ac:dyDescent="0.25">
      <c r="A3078" s="2">
        <v>269.80192787766902</v>
      </c>
      <c r="B3078" s="3">
        <v>0.180646925561781</v>
      </c>
      <c r="C3078" s="3">
        <v>3.7017697983017898E-2</v>
      </c>
      <c r="D3078" s="4">
        <v>8.8339340806665195E-2</v>
      </c>
      <c r="E3078" s="3" t="s">
        <v>8327</v>
      </c>
      <c r="F3078" s="3" t="s">
        <v>8328</v>
      </c>
      <c r="G3078" s="3">
        <v>229780</v>
      </c>
      <c r="H3078" s="7" t="str">
        <f>HYPERLINK("http://www.ensembl.org/Mus_musculus/Gene/Summary?db=core;g=ENSMUSG00000033439","ENSMUSG00000033439")</f>
        <v>ENSMUSG00000033439</v>
      </c>
      <c r="I3078" s="7" t="str">
        <f>HYPERLINK("http://www.informatics.jax.org/marker/MGI:1925219","MGI:1925219")</f>
        <v>MGI:1925219</v>
      </c>
      <c r="J3078" s="4" t="s">
        <v>12</v>
      </c>
    </row>
    <row r="3079" spans="1:10" x14ac:dyDescent="0.25">
      <c r="A3079" s="2">
        <v>3235.2310690539498</v>
      </c>
      <c r="B3079" s="3">
        <v>0.18058190939195001</v>
      </c>
      <c r="C3079" s="3">
        <v>4.6887548824323597E-3</v>
      </c>
      <c r="D3079" s="4">
        <v>1.41877067461945E-2</v>
      </c>
      <c r="E3079" s="3" t="s">
        <v>8715</v>
      </c>
      <c r="F3079" s="3" t="s">
        <v>8716</v>
      </c>
      <c r="G3079" s="3">
        <v>11776</v>
      </c>
      <c r="H3079" s="7" t="str">
        <f>HYPERLINK("http://www.ensembl.org/Mus_musculus/Gene/Summary?db=core;g=ENSMUSG00000020198","ENSMUSG00000020198")</f>
        <v>ENSMUSG00000020198</v>
      </c>
      <c r="I3079" s="7" t="str">
        <f>HYPERLINK("http://www.informatics.jax.org/marker/MGI:107734","MGI:107734")</f>
        <v>MGI:107734</v>
      </c>
      <c r="J3079" s="4" t="s">
        <v>12</v>
      </c>
    </row>
    <row r="3080" spans="1:10" x14ac:dyDescent="0.25">
      <c r="A3080" s="2">
        <v>1451.8714244125599</v>
      </c>
      <c r="B3080" s="3">
        <v>0.18051946944388</v>
      </c>
      <c r="C3080" s="3">
        <v>1.73205718103562E-4</v>
      </c>
      <c r="D3080" s="4">
        <v>6.9499652409454405E-4</v>
      </c>
      <c r="E3080" s="3" t="s">
        <v>8945</v>
      </c>
      <c r="F3080" s="3" t="s">
        <v>8946</v>
      </c>
      <c r="G3080" s="3">
        <v>19744</v>
      </c>
      <c r="H3080" s="7" t="str">
        <f>HYPERLINK("http://www.ensembl.org/Mus_musculus/Gene/Summary?db=core;g=ENSMUSG00000028945","ENSMUSG00000028945")</f>
        <v>ENSMUSG00000028945</v>
      </c>
      <c r="I3080" s="7" t="str">
        <f>HYPERLINK("http://www.informatics.jax.org/marker/MGI:97912","MGI:97912")</f>
        <v>MGI:97912</v>
      </c>
      <c r="J3080" s="4" t="s">
        <v>12</v>
      </c>
    </row>
    <row r="3081" spans="1:10" x14ac:dyDescent="0.25">
      <c r="A3081" s="2">
        <v>2285.47879329647</v>
      </c>
      <c r="B3081" s="3">
        <v>0.18050599855830601</v>
      </c>
      <c r="C3081" s="3">
        <v>3.6572623307488998E-4</v>
      </c>
      <c r="D3081" s="4">
        <v>1.3863062807383301E-3</v>
      </c>
      <c r="E3081" s="3" t="s">
        <v>5249</v>
      </c>
      <c r="F3081" s="3" t="s">
        <v>5250</v>
      </c>
      <c r="G3081" s="3">
        <v>235072</v>
      </c>
      <c r="H3081" s="7" t="str">
        <f>HYPERLINK("http://www.ensembl.org/Mus_musculus/Gene/Summary?db=core;g=ENSMUSG00000001833","ENSMUSG00000001833")</f>
        <v>ENSMUSG00000001833</v>
      </c>
      <c r="I3081" s="7" t="str">
        <f>HYPERLINK("http://www.informatics.jax.org/marker/MGI:1335094","MGI:1335094")</f>
        <v>MGI:1335094</v>
      </c>
      <c r="J3081" s="4" t="s">
        <v>12</v>
      </c>
    </row>
    <row r="3082" spans="1:10" x14ac:dyDescent="0.25">
      <c r="A3082" s="2">
        <v>364.197176200939</v>
      </c>
      <c r="B3082" s="3">
        <v>0.180055380371209</v>
      </c>
      <c r="C3082" s="3">
        <v>7.8283677066464698E-3</v>
      </c>
      <c r="D3082" s="4">
        <v>2.2517676997100999E-2</v>
      </c>
      <c r="E3082" s="3" t="s">
        <v>12831</v>
      </c>
      <c r="F3082" s="3" t="s">
        <v>12832</v>
      </c>
      <c r="G3082" s="3">
        <v>17165</v>
      </c>
      <c r="H3082" s="7" t="str">
        <f>HYPERLINK("http://www.ensembl.org/Mus_musculus/Gene/Summary?db=core;g=ENSMUSG00000029454","ENSMUSG00000029454")</f>
        <v>ENSMUSG00000029454</v>
      </c>
      <c r="I3082" s="7" t="str">
        <f>HYPERLINK("http://www.informatics.jax.org/marker/MGI:1333110","MGI:1333110")</f>
        <v>MGI:1333110</v>
      </c>
      <c r="J3082" s="4" t="s">
        <v>12</v>
      </c>
    </row>
    <row r="3083" spans="1:10" x14ac:dyDescent="0.25">
      <c r="A3083" s="2">
        <v>32.010868413864102</v>
      </c>
      <c r="B3083" s="3">
        <v>0.17960722762379699</v>
      </c>
      <c r="C3083" s="3">
        <v>0.42850719438177998</v>
      </c>
      <c r="D3083" s="4">
        <v>0.60666073313197599</v>
      </c>
      <c r="E3083" s="3" t="s">
        <v>14001</v>
      </c>
      <c r="F3083" s="3" t="s">
        <v>14002</v>
      </c>
      <c r="G3083" s="3">
        <v>240041</v>
      </c>
      <c r="H3083" s="7" t="str">
        <f>HYPERLINK("http://www.ensembl.org/Mus_musculus/Gene/Summary?db=core;g=ENSMUSG00000059142","ENSMUSG00000059142")</f>
        <v>ENSMUSG00000059142</v>
      </c>
      <c r="I3083" s="7" t="str">
        <f>HYPERLINK("http://www.informatics.jax.org/marker/MGI:2445132","MGI:2445132")</f>
        <v>MGI:2445132</v>
      </c>
      <c r="J3083" s="4" t="s">
        <v>12</v>
      </c>
    </row>
    <row r="3084" spans="1:10" x14ac:dyDescent="0.25">
      <c r="A3084" s="2">
        <v>660.75460674080296</v>
      </c>
      <c r="B3084" s="3">
        <v>0.179501878345355</v>
      </c>
      <c r="C3084" s="3">
        <v>7.6553459774163603E-4</v>
      </c>
      <c r="D3084" s="4">
        <v>2.7458901877270899E-3</v>
      </c>
      <c r="E3084" s="3" t="s">
        <v>7124</v>
      </c>
      <c r="F3084" s="3" t="s">
        <v>7125</v>
      </c>
      <c r="G3084" s="3">
        <v>75619</v>
      </c>
      <c r="H3084" s="7" t="str">
        <f>HYPERLINK("http://www.ensembl.org/Mus_musculus/Gene/Summary?db=core;g=ENSMUSG00000025962","ENSMUSG00000025962")</f>
        <v>ENSMUSG00000025962</v>
      </c>
      <c r="I3084" s="7" t="str">
        <f>HYPERLINK("http://www.informatics.jax.org/marker/MGI:1922869","MGI:1922869")</f>
        <v>MGI:1922869</v>
      </c>
      <c r="J3084" s="4" t="s">
        <v>12</v>
      </c>
    </row>
    <row r="3085" spans="1:10" x14ac:dyDescent="0.25">
      <c r="A3085" s="2">
        <v>687.62481566516306</v>
      </c>
      <c r="B3085" s="3">
        <v>0.179142011462194</v>
      </c>
      <c r="C3085" s="3">
        <v>1.50206390057842E-2</v>
      </c>
      <c r="D3085" s="4">
        <v>4.0263442547494699E-2</v>
      </c>
      <c r="E3085" s="3" t="s">
        <v>10168</v>
      </c>
      <c r="F3085" s="3" t="s">
        <v>10169</v>
      </c>
      <c r="G3085" s="3">
        <v>12946</v>
      </c>
      <c r="H3085" s="7" t="str">
        <f>HYPERLINK("http://www.ensembl.org/Mus_musculus/Gene/Summary?db=core;g=ENSMUSG00000016481","ENSMUSG00000016481")</f>
        <v>ENSMUSG00000016481</v>
      </c>
      <c r="I3085" s="7" t="str">
        <f>HYPERLINK("http://www.informatics.jax.org/marker/MGI:88513","MGI:88513")</f>
        <v>MGI:88513</v>
      </c>
      <c r="J3085" s="4" t="s">
        <v>12</v>
      </c>
    </row>
    <row r="3086" spans="1:10" x14ac:dyDescent="0.25">
      <c r="A3086" s="2">
        <v>348.54481450367598</v>
      </c>
      <c r="B3086" s="3">
        <v>0.179093103475889</v>
      </c>
      <c r="C3086" s="3">
        <v>3.9688252174426203E-2</v>
      </c>
      <c r="D3086" s="4">
        <v>9.3821989766439906E-2</v>
      </c>
      <c r="E3086" s="3" t="s">
        <v>9549</v>
      </c>
      <c r="F3086" s="3" t="s">
        <v>9550</v>
      </c>
      <c r="G3086" s="3">
        <v>331026</v>
      </c>
      <c r="H3086" s="7" t="str">
        <f>HYPERLINK("http://www.ensembl.org/Mus_musculus/Gene/Summary?db=core;g=ENSMUSG00000070284","ENSMUSG00000070284")</f>
        <v>ENSMUSG00000070284</v>
      </c>
      <c r="I3086" s="7" t="str">
        <f>HYPERLINK("http://www.informatics.jax.org/marker/MGI:2660880","MGI:2660880")</f>
        <v>MGI:2660880</v>
      </c>
      <c r="J3086" s="4" t="s">
        <v>12</v>
      </c>
    </row>
    <row r="3087" spans="1:10" x14ac:dyDescent="0.25">
      <c r="A3087" s="2">
        <v>742.38620669970203</v>
      </c>
      <c r="B3087" s="3">
        <v>0.178983256047092</v>
      </c>
      <c r="C3087" s="3">
        <v>3.4628171852261898E-3</v>
      </c>
      <c r="D3087" s="4">
        <v>1.0819448517186201E-2</v>
      </c>
      <c r="E3087" s="3" t="s">
        <v>13141</v>
      </c>
      <c r="F3087" s="3" t="s">
        <v>13142</v>
      </c>
      <c r="G3087" s="3">
        <v>17256</v>
      </c>
      <c r="H3087" s="7" t="str">
        <f>HYPERLINK("http://www.ensembl.org/Mus_musculus/Gene/Summary?db=core;g=ENSMUSG00000002768","ENSMUSG00000002768")</f>
        <v>ENSMUSG00000002768</v>
      </c>
      <c r="I3087" s="7" t="str">
        <f>HYPERLINK("http://www.informatics.jax.org/marker/MGI:96957","MGI:96957")</f>
        <v>MGI:96957</v>
      </c>
      <c r="J3087" s="4" t="s">
        <v>12</v>
      </c>
    </row>
    <row r="3088" spans="1:10" x14ac:dyDescent="0.25">
      <c r="A3088" s="2">
        <v>2015.9726789665799</v>
      </c>
      <c r="B3088" s="3">
        <v>0.17824077779369299</v>
      </c>
      <c r="C3088" s="5">
        <v>9.3706801162682403E-6</v>
      </c>
      <c r="D3088" s="6">
        <v>4.6007716896279301E-5</v>
      </c>
      <c r="E3088" s="3" t="s">
        <v>7648</v>
      </c>
      <c r="F3088" s="3" t="s">
        <v>7649</v>
      </c>
      <c r="G3088" s="3">
        <v>15115</v>
      </c>
      <c r="H3088" s="7" t="str">
        <f>HYPERLINK("http://www.ensembl.org/Mus_musculus/Gene/Summary?db=core;g=ENSMUSG00000001380","ENSMUSG00000001380")</f>
        <v>ENSMUSG00000001380</v>
      </c>
      <c r="I3088" s="7" t="str">
        <f>HYPERLINK("http://www.informatics.jax.org/marker/MGI:108087","MGI:108087")</f>
        <v>MGI:108087</v>
      </c>
      <c r="J3088" s="4" t="s">
        <v>12</v>
      </c>
    </row>
    <row r="3089" spans="1:10" x14ac:dyDescent="0.25">
      <c r="A3089" s="2">
        <v>1278.31045889911</v>
      </c>
      <c r="B3089" s="3">
        <v>0.178227613255039</v>
      </c>
      <c r="C3089" s="3">
        <v>3.0739911639495202E-2</v>
      </c>
      <c r="D3089" s="4">
        <v>7.5108578848344307E-2</v>
      </c>
      <c r="E3089" s="3" t="s">
        <v>6730</v>
      </c>
      <c r="F3089" s="3" t="s">
        <v>6731</v>
      </c>
      <c r="G3089" s="3">
        <v>74123</v>
      </c>
      <c r="H3089" s="7" t="str">
        <f>HYPERLINK("http://www.ensembl.org/Mus_musculus/Gene/Summary?db=core;g=ENSMUSG00000023991","ENSMUSG00000023991")</f>
        <v>ENSMUSG00000023991</v>
      </c>
      <c r="I3089" s="7" t="str">
        <f>HYPERLINK("http://www.informatics.jax.org/marker/MGI:1921373","MGI:1921373")</f>
        <v>MGI:1921373</v>
      </c>
      <c r="J3089" s="4" t="s">
        <v>12</v>
      </c>
    </row>
    <row r="3090" spans="1:10" x14ac:dyDescent="0.25">
      <c r="A3090" s="2">
        <v>1117.79203834501</v>
      </c>
      <c r="B3090" s="3">
        <v>0.17783314757552199</v>
      </c>
      <c r="C3090" s="3">
        <v>3.0146111240302201E-2</v>
      </c>
      <c r="D3090" s="4">
        <v>7.3895477788097894E-2</v>
      </c>
      <c r="E3090" s="3" t="s">
        <v>11365</v>
      </c>
      <c r="F3090" s="3" t="s">
        <v>11366</v>
      </c>
      <c r="G3090" s="3">
        <v>26446</v>
      </c>
      <c r="H3090" s="7" t="str">
        <f>HYPERLINK("http://www.ensembl.org/Mus_musculus/Gene/Summary?db=core;g=ENSMUSG00000069744","ENSMUSG00000069744")</f>
        <v>ENSMUSG00000069744</v>
      </c>
      <c r="I3090" s="7" t="str">
        <f>HYPERLINK("http://www.informatics.jax.org/marker/MGI:1347014","MGI:1347014")</f>
        <v>MGI:1347014</v>
      </c>
      <c r="J3090" s="4" t="s">
        <v>12</v>
      </c>
    </row>
    <row r="3091" spans="1:10" x14ac:dyDescent="0.25">
      <c r="A3091" s="2">
        <v>640.04795027953503</v>
      </c>
      <c r="B3091" s="3">
        <v>0.17751069477669301</v>
      </c>
      <c r="C3091" s="3">
        <v>1.0500620251498701E-3</v>
      </c>
      <c r="D3091" s="4">
        <v>3.6816814944894802E-3</v>
      </c>
      <c r="E3091" s="3" t="s">
        <v>13407</v>
      </c>
      <c r="F3091" s="3" t="s">
        <v>13408</v>
      </c>
      <c r="G3091" s="3">
        <v>215160</v>
      </c>
      <c r="H3091" s="7" t="str">
        <f>HYPERLINK("http://www.ensembl.org/Mus_musculus/Gene/Summary?db=core;g=ENSMUSG00000039917","ENSMUSG00000039917")</f>
        <v>ENSMUSG00000039917</v>
      </c>
      <c r="I3091" s="7" t="str">
        <f>HYPERLINK("http://www.informatics.jax.org/marker/MGI:1915612","MGI:1915612")</f>
        <v>MGI:1915612</v>
      </c>
      <c r="J3091" s="4" t="s">
        <v>12</v>
      </c>
    </row>
    <row r="3092" spans="1:10" x14ac:dyDescent="0.25">
      <c r="A3092" s="2">
        <v>3859.1536577304801</v>
      </c>
      <c r="B3092" s="3">
        <v>0.177343825628446</v>
      </c>
      <c r="C3092" s="3">
        <v>1.14005495620848E-4</v>
      </c>
      <c r="D3092" s="4">
        <v>4.71787047613522E-4</v>
      </c>
      <c r="E3092" s="3" t="s">
        <v>5821</v>
      </c>
      <c r="F3092" s="3" t="s">
        <v>5822</v>
      </c>
      <c r="G3092" s="3">
        <v>30960</v>
      </c>
      <c r="H3092" s="7" t="str">
        <f>HYPERLINK("http://www.ensembl.org/Mus_musculus/Gene/Summary?db=core;g=ENSMUSG00000024091","ENSMUSG00000024091")</f>
        <v>ENSMUSG00000024091</v>
      </c>
      <c r="I3092" s="7" t="str">
        <f>HYPERLINK("http://www.informatics.jax.org/marker/MGI:1353561","MGI:1353561")</f>
        <v>MGI:1353561</v>
      </c>
      <c r="J3092" s="4" t="s">
        <v>12</v>
      </c>
    </row>
    <row r="3093" spans="1:10" x14ac:dyDescent="0.25">
      <c r="A3093" s="2">
        <v>181.47965044876801</v>
      </c>
      <c r="B3093" s="3">
        <v>0.17694447116987799</v>
      </c>
      <c r="C3093" s="3">
        <v>0.22869741539902699</v>
      </c>
      <c r="D3093" s="4">
        <v>0.38826366051674499</v>
      </c>
      <c r="E3093" s="3" t="s">
        <v>13205</v>
      </c>
      <c r="F3093" s="3" t="s">
        <v>13206</v>
      </c>
      <c r="G3093" s="3">
        <v>12040</v>
      </c>
      <c r="H3093" s="7" t="str">
        <f>HYPERLINK("http://www.ensembl.org/Mus_musculus/Gene/Summary?db=core;g=ENSMUSG00000032263","ENSMUSG00000032263")</f>
        <v>ENSMUSG00000032263</v>
      </c>
      <c r="I3093" s="7" t="str">
        <f>HYPERLINK("http://www.informatics.jax.org/marker/MGI:88137","MGI:88137")</f>
        <v>MGI:88137</v>
      </c>
      <c r="J3093" s="4" t="s">
        <v>12</v>
      </c>
    </row>
    <row r="3094" spans="1:10" x14ac:dyDescent="0.25">
      <c r="A3094" s="2">
        <v>1271.5833919458801</v>
      </c>
      <c r="B3094" s="3">
        <v>0.176777760659595</v>
      </c>
      <c r="C3094" s="3">
        <v>1.4859292061117401E-2</v>
      </c>
      <c r="D3094" s="4">
        <v>3.9895491722726002E-2</v>
      </c>
      <c r="E3094" s="3" t="s">
        <v>11423</v>
      </c>
      <c r="F3094" s="3" t="s">
        <v>11424</v>
      </c>
      <c r="G3094" s="3">
        <v>108167922</v>
      </c>
      <c r="H3094" s="7" t="str">
        <f>HYPERLINK("http://www.ensembl.org/Mus_musculus/Gene/Summary?db=core;g=ENSMUSG00000063316","ENSMUSG00000063316")</f>
        <v>ENSMUSG00000063316</v>
      </c>
      <c r="I3094" s="7" t="str">
        <f>HYPERLINK("http://www.informatics.jax.org/marker/MGI:98036","MGI:98036")</f>
        <v>MGI:98036</v>
      </c>
      <c r="J3094" s="4" t="s">
        <v>12</v>
      </c>
    </row>
    <row r="3095" spans="1:10" x14ac:dyDescent="0.25">
      <c r="A3095" s="2">
        <v>1231.7437854217101</v>
      </c>
      <c r="B3095" s="3">
        <v>0.17676546163484</v>
      </c>
      <c r="C3095" s="3">
        <v>3.3186726145485797E-2</v>
      </c>
      <c r="D3095" s="4">
        <v>8.0324248830032904E-2</v>
      </c>
      <c r="E3095" s="3" t="s">
        <v>7650</v>
      </c>
      <c r="F3095" s="3" t="s">
        <v>7651</v>
      </c>
      <c r="G3095" s="3">
        <v>56036</v>
      </c>
      <c r="H3095" s="7" t="str">
        <f>HYPERLINK("http://www.ensembl.org/Mus_musculus/Gene/Summary?db=core;g=ENSMUSG00000029068","ENSMUSG00000029068")</f>
        <v>ENSMUSG00000029068</v>
      </c>
      <c r="I3095" s="7" t="str">
        <f>HYPERLINK("http://www.informatics.jax.org/marker/MGI:1927119","MGI:1927119")</f>
        <v>MGI:1927119</v>
      </c>
      <c r="J3095" s="4" t="s">
        <v>12</v>
      </c>
    </row>
    <row r="3096" spans="1:10" x14ac:dyDescent="0.25">
      <c r="A3096" s="2">
        <v>788.78128254042804</v>
      </c>
      <c r="B3096" s="3">
        <v>0.176202602251888</v>
      </c>
      <c r="C3096" s="3">
        <v>4.0504514720472902E-3</v>
      </c>
      <c r="D3096" s="4">
        <v>1.24547794968891E-2</v>
      </c>
      <c r="E3096" s="3" t="s">
        <v>12443</v>
      </c>
      <c r="F3096" s="3" t="s">
        <v>12444</v>
      </c>
      <c r="G3096" s="3" t="s">
        <v>83</v>
      </c>
      <c r="H3096" s="7" t="str">
        <f>HYPERLINK("http://www.ensembl.org/Mus_musculus/Gene/Summary?db=core;g=ENSMUSG00000093574","ENSMUSG00000093574")</f>
        <v>ENSMUSG00000093574</v>
      </c>
      <c r="I3096" s="7" t="str">
        <f>HYPERLINK("http://www.informatics.jax.org/marker/MGI:5313118","MGI:5313118")</f>
        <v>MGI:5313118</v>
      </c>
      <c r="J3096" s="4" t="s">
        <v>12</v>
      </c>
    </row>
    <row r="3097" spans="1:10" x14ac:dyDescent="0.25">
      <c r="A3097" s="2">
        <v>1191.1434882707199</v>
      </c>
      <c r="B3097" s="3">
        <v>0.17615530152974701</v>
      </c>
      <c r="C3097" s="3">
        <v>1.00418297298669E-4</v>
      </c>
      <c r="D3097" s="4">
        <v>4.1975308905234902E-4</v>
      </c>
      <c r="E3097" s="3" t="s">
        <v>8461</v>
      </c>
      <c r="F3097" s="3" t="s">
        <v>8462</v>
      </c>
      <c r="G3097" s="3">
        <v>67897</v>
      </c>
      <c r="H3097" s="7" t="str">
        <f>HYPERLINK("http://www.ensembl.org/Mus_musculus/Gene/Summary?db=core;g=ENSMUSG00000009535","ENSMUSG00000009535")</f>
        <v>ENSMUSG00000009535</v>
      </c>
      <c r="I3097" s="7" t="str">
        <f>HYPERLINK("http://www.informatics.jax.org/marker/MGI:1915147","MGI:1915147")</f>
        <v>MGI:1915147</v>
      </c>
      <c r="J3097" s="4" t="s">
        <v>12</v>
      </c>
    </row>
    <row r="3098" spans="1:10" x14ac:dyDescent="0.25">
      <c r="A3098" s="2">
        <v>1497.9211684281699</v>
      </c>
      <c r="B3098" s="3">
        <v>0.176047510976754</v>
      </c>
      <c r="C3098" s="3">
        <v>1.19695367062607E-3</v>
      </c>
      <c r="D3098" s="4">
        <v>4.1519757607841696E-3</v>
      </c>
      <c r="E3098" s="3" t="s">
        <v>11653</v>
      </c>
      <c r="F3098" s="3" t="s">
        <v>11654</v>
      </c>
      <c r="G3098" s="3">
        <v>56430</v>
      </c>
      <c r="H3098" s="7" t="str">
        <f>HYPERLINK("http://www.ensembl.org/Mus_musculus/Gene/Summary?db=core;g=ENSMUSG00000049550","ENSMUSG00000049550")</f>
        <v>ENSMUSG00000049550</v>
      </c>
      <c r="I3098" s="7" t="str">
        <f>HYPERLINK("http://www.informatics.jax.org/marker/MGI:1928401","MGI:1928401")</f>
        <v>MGI:1928401</v>
      </c>
      <c r="J3098" s="4" t="s">
        <v>12</v>
      </c>
    </row>
    <row r="3099" spans="1:10" x14ac:dyDescent="0.25">
      <c r="A3099" s="2">
        <v>2392.3314652751501</v>
      </c>
      <c r="B3099" s="3">
        <v>0.17597213737584699</v>
      </c>
      <c r="C3099" s="3">
        <v>2.5872808649872801E-3</v>
      </c>
      <c r="D3099" s="4">
        <v>8.3368447249634308E-3</v>
      </c>
      <c r="E3099" s="3" t="s">
        <v>11419</v>
      </c>
      <c r="F3099" s="3" t="s">
        <v>11420</v>
      </c>
      <c r="G3099" s="3">
        <v>71765</v>
      </c>
      <c r="H3099" s="7" t="str">
        <f>HYPERLINK("http://www.ensembl.org/Mus_musculus/Gene/Summary?db=core;g=ENSMUSG00000063576","ENSMUSG00000063576")</f>
        <v>ENSMUSG00000063576</v>
      </c>
      <c r="I3099" s="7" t="str">
        <f>HYPERLINK("http://www.informatics.jax.org/marker/MGI:2651568","MGI:2651568")</f>
        <v>MGI:2651568</v>
      </c>
      <c r="J3099" s="4" t="s">
        <v>12</v>
      </c>
    </row>
    <row r="3100" spans="1:10" x14ac:dyDescent="0.25">
      <c r="A3100" s="2">
        <v>1091.34021748954</v>
      </c>
      <c r="B3100" s="3">
        <v>0.17596732755855901</v>
      </c>
      <c r="C3100" s="3">
        <v>2.3046953919920602E-3</v>
      </c>
      <c r="D3100" s="4">
        <v>7.5193472107152404E-3</v>
      </c>
      <c r="E3100" s="3" t="s">
        <v>12249</v>
      </c>
      <c r="F3100" s="3" t="s">
        <v>12250</v>
      </c>
      <c r="G3100" s="3">
        <v>192174</v>
      </c>
      <c r="H3100" s="7" t="str">
        <f>HYPERLINK("http://www.ensembl.org/Mus_musculus/Gene/Summary?db=core;g=ENSMUSG00000031568","ENSMUSG00000031568")</f>
        <v>ENSMUSG00000031568</v>
      </c>
      <c r="I3100" s="7" t="str">
        <f>HYPERLINK("http://www.informatics.jax.org/marker/MGI:2681000","MGI:2681000")</f>
        <v>MGI:2681000</v>
      </c>
      <c r="J3100" s="4" t="s">
        <v>12</v>
      </c>
    </row>
    <row r="3101" spans="1:10" x14ac:dyDescent="0.25">
      <c r="A3101" s="2">
        <v>2451.2485709551902</v>
      </c>
      <c r="B3101" s="3">
        <v>0.17592060260399101</v>
      </c>
      <c r="C3101" s="3">
        <v>7.9823143302767494E-3</v>
      </c>
      <c r="D3101" s="4">
        <v>2.29279241401566E-2</v>
      </c>
      <c r="E3101" s="3" t="s">
        <v>11080</v>
      </c>
      <c r="F3101" s="3" t="s">
        <v>11081</v>
      </c>
      <c r="G3101" s="3">
        <v>213673</v>
      </c>
      <c r="H3101" s="7" t="str">
        <f>HYPERLINK("http://www.ensembl.org/Mus_musculus/Gene/Summary?db=core;g=ENSMUSG00000036275","ENSMUSG00000036275")</f>
        <v>ENSMUSG00000036275</v>
      </c>
      <c r="I3101" s="7" t="str">
        <f>HYPERLINK("http://www.informatics.jax.org/marker/MGI:2654705","MGI:2654705")</f>
        <v>MGI:2654705</v>
      </c>
      <c r="J3101" s="4" t="s">
        <v>12</v>
      </c>
    </row>
    <row r="3102" spans="1:10" x14ac:dyDescent="0.25">
      <c r="A3102" s="2">
        <v>957.52625801087197</v>
      </c>
      <c r="B3102" s="3">
        <v>0.17568964822923</v>
      </c>
      <c r="C3102" s="3">
        <v>9.1559947956036398E-4</v>
      </c>
      <c r="D3102" s="4">
        <v>3.2426740215677498E-3</v>
      </c>
      <c r="E3102" s="3" t="s">
        <v>7150</v>
      </c>
      <c r="F3102" s="3" t="s">
        <v>7151</v>
      </c>
      <c r="G3102" s="3">
        <v>99650</v>
      </c>
      <c r="H3102" s="7" t="str">
        <f>HYPERLINK("http://www.ensembl.org/Mus_musculus/Gene/Summary?db=core;g=ENSMUSG00000027942","ENSMUSG00000027942")</f>
        <v>ENSMUSG00000027942</v>
      </c>
      <c r="I3102" s="7" t="str">
        <f>HYPERLINK("http://www.informatics.jax.org/marker/MGI:1914027","MGI:1914027")</f>
        <v>MGI:1914027</v>
      </c>
      <c r="J3102" s="4" t="s">
        <v>12</v>
      </c>
    </row>
    <row r="3103" spans="1:10" x14ac:dyDescent="0.25">
      <c r="A3103" s="2">
        <v>2464.5601252373699</v>
      </c>
      <c r="B3103" s="3">
        <v>0.17560624475591999</v>
      </c>
      <c r="C3103" s="5">
        <v>7.6147478429361206E-5</v>
      </c>
      <c r="D3103" s="4">
        <v>3.2372003601005502E-4</v>
      </c>
      <c r="E3103" s="3" t="s">
        <v>11301</v>
      </c>
      <c r="F3103" s="3" t="s">
        <v>11302</v>
      </c>
      <c r="G3103" s="3">
        <v>231413</v>
      </c>
      <c r="H3103" s="7" t="str">
        <f>HYPERLINK("http://www.ensembl.org/Mus_musculus/Gene/Summary?db=core;g=ENSMUSG00000044221","ENSMUSG00000044221")</f>
        <v>ENSMUSG00000044221</v>
      </c>
      <c r="I3103" s="7" t="str">
        <f>HYPERLINK("http://www.informatics.jax.org/marker/MGI:106479","MGI:106479")</f>
        <v>MGI:106479</v>
      </c>
      <c r="J3103" s="4" t="s">
        <v>12</v>
      </c>
    </row>
    <row r="3104" spans="1:10" x14ac:dyDescent="0.25">
      <c r="A3104" s="2">
        <v>593.91760422139805</v>
      </c>
      <c r="B3104" s="3">
        <v>0.175394465956041</v>
      </c>
      <c r="C3104" s="3">
        <v>0.12796753048588699</v>
      </c>
      <c r="D3104" s="4">
        <v>0.24855677748111399</v>
      </c>
      <c r="E3104" s="3" t="s">
        <v>13235</v>
      </c>
      <c r="F3104" s="3" t="s">
        <v>13236</v>
      </c>
      <c r="G3104" s="3" t="s">
        <v>83</v>
      </c>
      <c r="H3104" s="7" t="str">
        <f>HYPERLINK("http://www.ensembl.org/Mus_musculus/Gene/Summary?db=core;g=ENSMUSG00000085385","ENSMUSG00000085385")</f>
        <v>ENSMUSG00000085385</v>
      </c>
      <c r="I3104" s="7" t="str">
        <f>HYPERLINK("http://www.informatics.jax.org/marker/MGI:1915358","MGI:1915358")</f>
        <v>MGI:1915358</v>
      </c>
      <c r="J3104" s="4" t="s">
        <v>331</v>
      </c>
    </row>
    <row r="3105" spans="1:10" x14ac:dyDescent="0.25">
      <c r="A3105" s="2">
        <v>1876.1199328318201</v>
      </c>
      <c r="B3105" s="3">
        <v>0.17524181711696199</v>
      </c>
      <c r="C3105" s="3">
        <v>8.9236869744747395E-4</v>
      </c>
      <c r="D3105" s="4">
        <v>3.16593722230489E-3</v>
      </c>
      <c r="E3105" s="3" t="s">
        <v>8907</v>
      </c>
      <c r="F3105" s="3" t="s">
        <v>8908</v>
      </c>
      <c r="G3105" s="3">
        <v>18475</v>
      </c>
      <c r="H3105" s="7" t="str">
        <f>HYPERLINK("http://www.ensembl.org/Mus_musculus/Gene/Summary?db=core;g=ENSMUSG00000003131","ENSMUSG00000003131")</f>
        <v>ENSMUSG00000003131</v>
      </c>
      <c r="I3105" s="7" t="str">
        <f>HYPERLINK("http://www.informatics.jax.org/marker/MGI:108415","MGI:108415")</f>
        <v>MGI:108415</v>
      </c>
      <c r="J3105" s="4" t="s">
        <v>12</v>
      </c>
    </row>
    <row r="3106" spans="1:10" x14ac:dyDescent="0.25">
      <c r="A3106" s="2">
        <v>11.799821389880201</v>
      </c>
      <c r="B3106" s="3">
        <v>0.17520336992545801</v>
      </c>
      <c r="C3106" s="3">
        <v>0.57833152942612798</v>
      </c>
      <c r="D3106" s="4">
        <v>0.73903324385017399</v>
      </c>
      <c r="E3106" s="3" t="s">
        <v>13589</v>
      </c>
      <c r="F3106" s="3" t="s">
        <v>13590</v>
      </c>
      <c r="G3106" s="3">
        <v>22165</v>
      </c>
      <c r="H3106" s="7" t="str">
        <f>HYPERLINK("http://www.ensembl.org/Mus_musculus/Gene/Summary?db=core;g=ENSMUSG00000054892","ENSMUSG00000054892")</f>
        <v>ENSMUSG00000054892</v>
      </c>
      <c r="I3106" s="7" t="str">
        <f>HYPERLINK("http://www.informatics.jax.org/marker/MGI:102960","MGI:102960")</f>
        <v>MGI:102960</v>
      </c>
      <c r="J3106" s="4" t="s">
        <v>12</v>
      </c>
    </row>
    <row r="3107" spans="1:10" x14ac:dyDescent="0.25">
      <c r="A3107" s="2">
        <v>433.06640210020402</v>
      </c>
      <c r="B3107" s="3">
        <v>0.175171239907605</v>
      </c>
      <c r="C3107" s="3">
        <v>5.8974800363829002E-2</v>
      </c>
      <c r="D3107" s="4">
        <v>0.13110706716647799</v>
      </c>
      <c r="E3107" s="3" t="s">
        <v>11851</v>
      </c>
      <c r="F3107" s="3" t="s">
        <v>11852</v>
      </c>
      <c r="G3107" s="3">
        <v>78796</v>
      </c>
      <c r="H3107" s="7" t="str">
        <f>HYPERLINK("http://www.ensembl.org/Mus_musculus/Gene/Summary?db=core;g=ENSMUSG00000029179","ENSMUSG00000029179")</f>
        <v>ENSMUSG00000029179</v>
      </c>
      <c r="I3107" s="7" t="str">
        <f>HYPERLINK("http://www.informatics.jax.org/marker/MGI:1926046","MGI:1926046")</f>
        <v>MGI:1926046</v>
      </c>
      <c r="J3107" s="4" t="s">
        <v>12</v>
      </c>
    </row>
    <row r="3108" spans="1:10" x14ac:dyDescent="0.25">
      <c r="A3108" s="2">
        <v>1027.4843864023601</v>
      </c>
      <c r="B3108" s="3">
        <v>0.17504289986580901</v>
      </c>
      <c r="C3108" s="3">
        <v>1.9985724920014701E-3</v>
      </c>
      <c r="D3108" s="4">
        <v>6.6189321582276603E-3</v>
      </c>
      <c r="E3108" s="3" t="s">
        <v>9477</v>
      </c>
      <c r="F3108" s="3" t="s">
        <v>9478</v>
      </c>
      <c r="G3108" s="3">
        <v>56550</v>
      </c>
      <c r="H3108" s="7" t="str">
        <f>HYPERLINK("http://www.ensembl.org/Mus_musculus/Gene/Summary?db=core;g=ENSMUSG00000091896","ENSMUSG00000091896")</f>
        <v>ENSMUSG00000091896</v>
      </c>
      <c r="I3108" s="7" t="str">
        <f>HYPERLINK("http://www.informatics.jax.org/marker/MGI:1930715","MGI:1930715")</f>
        <v>MGI:1930715</v>
      </c>
      <c r="J3108" s="4" t="s">
        <v>12</v>
      </c>
    </row>
    <row r="3109" spans="1:10" x14ac:dyDescent="0.25">
      <c r="A3109" s="2">
        <v>691.83055946035302</v>
      </c>
      <c r="B3109" s="3">
        <v>0.174700005120726</v>
      </c>
      <c r="C3109" s="3">
        <v>1.30932918978707E-2</v>
      </c>
      <c r="D3109" s="4">
        <v>3.56103932008199E-2</v>
      </c>
      <c r="E3109" s="3" t="s">
        <v>12291</v>
      </c>
      <c r="F3109" s="3" t="s">
        <v>12292</v>
      </c>
      <c r="G3109" s="3">
        <v>236082</v>
      </c>
      <c r="H3109" s="7" t="str">
        <f>HYPERLINK("http://www.ensembl.org/Mus_musculus/Gene/Summary?db=core;g=ENSMUSG00000063897","ENSMUSG00000063897")</f>
        <v>ENSMUSG00000063897</v>
      </c>
      <c r="I3109" s="3" t="s">
        <v>83</v>
      </c>
      <c r="J3109" s="4" t="s">
        <v>12</v>
      </c>
    </row>
    <row r="3110" spans="1:10" x14ac:dyDescent="0.25">
      <c r="A3110" s="2">
        <v>863.109433335071</v>
      </c>
      <c r="B3110" s="3">
        <v>0.17460740161428101</v>
      </c>
      <c r="C3110" s="3">
        <v>2.1457157179062901E-2</v>
      </c>
      <c r="D3110" s="4">
        <v>5.48550887272862E-2</v>
      </c>
      <c r="E3110" s="3" t="s">
        <v>11987</v>
      </c>
      <c r="F3110" s="3" t="s">
        <v>11988</v>
      </c>
      <c r="G3110" s="3">
        <v>72649</v>
      </c>
      <c r="H3110" s="7" t="str">
        <f>HYPERLINK("http://www.ensembl.org/Mus_musculus/Gene/Summary?db=core;g=ENSMUSG00000029782","ENSMUSG00000029782")</f>
        <v>ENSMUSG00000029782</v>
      </c>
      <c r="I3110" s="7" t="str">
        <f>HYPERLINK("http://www.informatics.jax.org/marker/MGI:1919899","MGI:1919899")</f>
        <v>MGI:1919899</v>
      </c>
      <c r="J3110" s="4" t="s">
        <v>12</v>
      </c>
    </row>
    <row r="3111" spans="1:10" x14ac:dyDescent="0.25">
      <c r="A3111" s="2">
        <v>678.32083677491403</v>
      </c>
      <c r="B3111" s="3">
        <v>0.174597687231625</v>
      </c>
      <c r="C3111" s="3">
        <v>6.4204275512289299E-3</v>
      </c>
      <c r="D3111" s="4">
        <v>1.8847006314116E-2</v>
      </c>
      <c r="E3111" s="3" t="s">
        <v>9075</v>
      </c>
      <c r="F3111" s="3" t="s">
        <v>9076</v>
      </c>
      <c r="G3111" s="3">
        <v>22327</v>
      </c>
      <c r="H3111" s="7" t="str">
        <f>HYPERLINK("http://www.ensembl.org/Mus_musculus/Gene/Summary?db=core;g=ENSMUSG00000031197","ENSMUSG00000031197")</f>
        <v>ENSMUSG00000031197</v>
      </c>
      <c r="I3111" s="7" t="str">
        <f>HYPERLINK("http://www.informatics.jax.org/marker/MGI:1333804","MGI:1333804")</f>
        <v>MGI:1333804</v>
      </c>
      <c r="J3111" s="4" t="s">
        <v>12</v>
      </c>
    </row>
    <row r="3112" spans="1:10" x14ac:dyDescent="0.25">
      <c r="A3112" s="2">
        <v>9785.6063834162196</v>
      </c>
      <c r="B3112" s="3">
        <v>0.17451679780213</v>
      </c>
      <c r="C3112" s="3">
        <v>1.7498143831496501E-2</v>
      </c>
      <c r="D3112" s="4">
        <v>4.5978037965545601E-2</v>
      </c>
      <c r="E3112" s="3" t="s">
        <v>9703</v>
      </c>
      <c r="F3112" s="3" t="s">
        <v>9704</v>
      </c>
      <c r="G3112" s="3">
        <v>79555</v>
      </c>
      <c r="H3112" s="7" t="str">
        <f>HYPERLINK("http://www.ensembl.org/Mus_musculus/Gene/Summary?db=core;g=ENSMUSG00000019132","ENSMUSG00000019132")</f>
        <v>ENSMUSG00000019132</v>
      </c>
      <c r="I3112" s="7" t="str">
        <f>HYPERLINK("http://www.informatics.jax.org/marker/MGI:2441726","MGI:2441726")</f>
        <v>MGI:2441726</v>
      </c>
      <c r="J3112" s="4" t="s">
        <v>12</v>
      </c>
    </row>
    <row r="3113" spans="1:10" x14ac:dyDescent="0.25">
      <c r="A3113" s="2">
        <v>5833.42875276423</v>
      </c>
      <c r="B3113" s="3">
        <v>0.17450379150456999</v>
      </c>
      <c r="C3113" s="3">
        <v>5.5990267090921001E-3</v>
      </c>
      <c r="D3113" s="4">
        <v>1.6624676079049099E-2</v>
      </c>
      <c r="E3113" s="3" t="s">
        <v>12133</v>
      </c>
      <c r="F3113" s="3" t="s">
        <v>12134</v>
      </c>
      <c r="G3113" s="3">
        <v>100862455</v>
      </c>
      <c r="H3113" s="7" t="str">
        <f>HYPERLINK("http://www.ensembl.org/Mus_musculus/Gene/Summary?db=core;g=ENSMUSG00000071415","ENSMUSG00000071415")</f>
        <v>ENSMUSG00000071415</v>
      </c>
      <c r="I3113" s="7" t="str">
        <f>HYPERLINK("http://www.informatics.jax.org/marker/MGI:1929455","MGI:1929455")</f>
        <v>MGI:1929455</v>
      </c>
      <c r="J3113" s="4" t="s">
        <v>12</v>
      </c>
    </row>
    <row r="3114" spans="1:10" x14ac:dyDescent="0.25">
      <c r="A3114" s="2">
        <v>2375.04961886825</v>
      </c>
      <c r="B3114" s="3">
        <v>0.17426453243527301</v>
      </c>
      <c r="C3114" s="3">
        <v>1.36241829148356E-2</v>
      </c>
      <c r="D3114" s="4">
        <v>3.6900094163007602E-2</v>
      </c>
      <c r="E3114" s="3" t="s">
        <v>6079</v>
      </c>
      <c r="F3114" s="3" t="s">
        <v>6080</v>
      </c>
      <c r="G3114" s="3">
        <v>78830</v>
      </c>
      <c r="H3114" s="7" t="str">
        <f>HYPERLINK("http://www.ensembl.org/Mus_musculus/Gene/Summary?db=core;g=ENSMUSG00000027010","ENSMUSG00000027010")</f>
        <v>ENSMUSG00000027010</v>
      </c>
      <c r="I3114" s="7" t="str">
        <f>HYPERLINK("http://www.informatics.jax.org/marker/MGI:1926080","MGI:1926080")</f>
        <v>MGI:1926080</v>
      </c>
      <c r="J3114" s="4" t="s">
        <v>12</v>
      </c>
    </row>
    <row r="3115" spans="1:10" x14ac:dyDescent="0.25">
      <c r="A3115" s="2">
        <v>1802.9371886223</v>
      </c>
      <c r="B3115" s="3">
        <v>0.17421589203849899</v>
      </c>
      <c r="C3115" s="3">
        <v>2.52561246569566E-3</v>
      </c>
      <c r="D3115" s="4">
        <v>8.1615891086816595E-3</v>
      </c>
      <c r="E3115" s="3" t="s">
        <v>9487</v>
      </c>
      <c r="F3115" s="3" t="s">
        <v>9488</v>
      </c>
      <c r="G3115" s="3">
        <v>70294</v>
      </c>
      <c r="H3115" s="7" t="str">
        <f>HYPERLINK("http://www.ensembl.org/Mus_musculus/Gene/Summary?db=core;g=ENSMUSG00000035890","ENSMUSG00000035890")</f>
        <v>ENSMUSG00000035890</v>
      </c>
      <c r="I3115" s="7" t="str">
        <f>HYPERLINK("http://www.informatics.jax.org/marker/MGI:1917544","MGI:1917544")</f>
        <v>MGI:1917544</v>
      </c>
      <c r="J3115" s="4" t="s">
        <v>12</v>
      </c>
    </row>
    <row r="3116" spans="1:10" x14ac:dyDescent="0.25">
      <c r="A3116" s="2">
        <v>2108.6894254437202</v>
      </c>
      <c r="B3116" s="3">
        <v>0.173847409116408</v>
      </c>
      <c r="C3116" s="3">
        <v>3.1320979643723202E-3</v>
      </c>
      <c r="D3116" s="4">
        <v>9.8844130563957595E-3</v>
      </c>
      <c r="E3116" s="3" t="s">
        <v>8591</v>
      </c>
      <c r="F3116" s="3" t="s">
        <v>8592</v>
      </c>
      <c r="G3116" s="3">
        <v>20018</v>
      </c>
      <c r="H3116" s="7" t="str">
        <f>HYPERLINK("http://www.ensembl.org/Mus_musculus/Gene/Summary?db=core;g=ENSMUSG00000029642","ENSMUSG00000029642")</f>
        <v>ENSMUSG00000029642</v>
      </c>
      <c r="I3116" s="7" t="str">
        <f>HYPERLINK("http://www.informatics.jax.org/marker/MGI:108403","MGI:108403")</f>
        <v>MGI:108403</v>
      </c>
      <c r="J3116" s="4" t="s">
        <v>12</v>
      </c>
    </row>
    <row r="3117" spans="1:10" x14ac:dyDescent="0.25">
      <c r="A3117" s="2">
        <v>1458.9920266812101</v>
      </c>
      <c r="B3117" s="3">
        <v>0.173762907767265</v>
      </c>
      <c r="C3117" s="3">
        <v>1.24464345526192E-2</v>
      </c>
      <c r="D3117" s="4">
        <v>3.40441647488346E-2</v>
      </c>
      <c r="E3117" s="3" t="s">
        <v>10004</v>
      </c>
      <c r="F3117" s="3" t="s">
        <v>10005</v>
      </c>
      <c r="G3117" s="3">
        <v>100862468</v>
      </c>
      <c r="H3117" s="7" t="str">
        <f>HYPERLINK("http://www.ensembl.org/Mus_musculus/Gene/Summary?db=core;g=ENSMUSG00000063480","ENSMUSG00000063480")</f>
        <v>ENSMUSG00000063480</v>
      </c>
      <c r="I3117" s="7" t="str">
        <f>HYPERLINK("http://www.informatics.jax.org/marker/MGI:893586","MGI:893586")</f>
        <v>MGI:893586</v>
      </c>
      <c r="J3117" s="4" t="s">
        <v>12</v>
      </c>
    </row>
    <row r="3118" spans="1:10" x14ac:dyDescent="0.25">
      <c r="A3118" s="2">
        <v>301.541593742587</v>
      </c>
      <c r="B3118" s="3">
        <v>0.173691272568609</v>
      </c>
      <c r="C3118" s="3">
        <v>1.5614996547753999E-2</v>
      </c>
      <c r="D3118" s="4">
        <v>4.1691424482756902E-2</v>
      </c>
      <c r="E3118" s="3" t="s">
        <v>9149</v>
      </c>
      <c r="F3118" s="3" t="s">
        <v>9150</v>
      </c>
      <c r="G3118" s="3" t="s">
        <v>83</v>
      </c>
      <c r="H3118" s="7" t="str">
        <f>HYPERLINK("http://www.ensembl.org/Mus_musculus/Gene/Summary?db=core;g=ENSMUSG00000111692","ENSMUSG00000111692")</f>
        <v>ENSMUSG00000111692</v>
      </c>
      <c r="I3118" s="7" t="str">
        <f>HYPERLINK("http://www.informatics.jax.org/marker/MGI:6121591","MGI:6121591")</f>
        <v>MGI:6121591</v>
      </c>
      <c r="J3118" s="4" t="s">
        <v>12</v>
      </c>
    </row>
    <row r="3119" spans="1:10" x14ac:dyDescent="0.25">
      <c r="A3119" s="2">
        <v>873.16326767127498</v>
      </c>
      <c r="B3119" s="3">
        <v>0.17368389735736001</v>
      </c>
      <c r="C3119" s="3">
        <v>5.1075430265685702E-3</v>
      </c>
      <c r="D3119" s="4">
        <v>1.5330199548618599E-2</v>
      </c>
      <c r="E3119" s="3" t="s">
        <v>7408</v>
      </c>
      <c r="F3119" s="3" t="s">
        <v>7409</v>
      </c>
      <c r="G3119" s="3">
        <v>246696</v>
      </c>
      <c r="H3119" s="7" t="str">
        <f>HYPERLINK("http://www.ensembl.org/Mus_musculus/Gene/Summary?db=core;g=ENSMUSG00000040414","ENSMUSG00000040414")</f>
        <v>ENSMUSG00000040414</v>
      </c>
      <c r="I3119" s="7" t="str">
        <f>HYPERLINK("http://www.informatics.jax.org/marker/MGI:2180509","MGI:2180509")</f>
        <v>MGI:2180509</v>
      </c>
      <c r="J3119" s="4" t="s">
        <v>12</v>
      </c>
    </row>
    <row r="3120" spans="1:10" x14ac:dyDescent="0.25">
      <c r="A3120" s="2">
        <v>478.316799469241</v>
      </c>
      <c r="B3120" s="3">
        <v>0.173599726562886</v>
      </c>
      <c r="C3120" s="3">
        <v>4.26285376664906E-2</v>
      </c>
      <c r="D3120" s="4">
        <v>9.9692685611676102E-2</v>
      </c>
      <c r="E3120" s="3" t="s">
        <v>10492</v>
      </c>
      <c r="F3120" s="3" t="s">
        <v>10493</v>
      </c>
      <c r="G3120" s="3">
        <v>66190</v>
      </c>
      <c r="H3120" s="7" t="str">
        <f>HYPERLINK("http://www.ensembl.org/Mus_musculus/Gene/Summary?db=core;g=ENSMUSG00000030760","ENSMUSG00000030760")</f>
        <v>ENSMUSG00000030760</v>
      </c>
      <c r="I3120" s="7" t="str">
        <f>HYPERLINK("http://www.informatics.jax.org/marker/MGI:1913440","MGI:1913440")</f>
        <v>MGI:1913440</v>
      </c>
      <c r="J3120" s="4" t="s">
        <v>12</v>
      </c>
    </row>
    <row r="3121" spans="1:10" x14ac:dyDescent="0.25">
      <c r="A3121" s="2">
        <v>12841.761510238701</v>
      </c>
      <c r="B3121" s="3">
        <v>0.173152643355754</v>
      </c>
      <c r="C3121" s="3">
        <v>1.05897475935908E-2</v>
      </c>
      <c r="D3121" s="4">
        <v>2.95239635755229E-2</v>
      </c>
      <c r="E3121" s="3" t="s">
        <v>11407</v>
      </c>
      <c r="F3121" s="3" t="s">
        <v>11408</v>
      </c>
      <c r="G3121" s="3">
        <v>27176</v>
      </c>
      <c r="H3121" s="7" t="str">
        <f>HYPERLINK("http://www.ensembl.org/Mus_musculus/Gene/Summary?db=core;g=ENSMUSG00000062647","ENSMUSG00000062647")</f>
        <v>ENSMUSG00000062647</v>
      </c>
      <c r="I3121" s="7" t="str">
        <f>HYPERLINK("http://www.informatics.jax.org/marker/MGI:1353472","MGI:1353472")</f>
        <v>MGI:1353472</v>
      </c>
      <c r="J3121" s="4" t="s">
        <v>12</v>
      </c>
    </row>
    <row r="3122" spans="1:10" x14ac:dyDescent="0.25">
      <c r="A3122" s="2">
        <v>844.64117003484796</v>
      </c>
      <c r="B3122" s="3">
        <v>0.17312694728814701</v>
      </c>
      <c r="C3122" s="3">
        <v>4.9886553031772401E-3</v>
      </c>
      <c r="D3122" s="4">
        <v>1.50079635028731E-2</v>
      </c>
      <c r="E3122" s="3" t="s">
        <v>9851</v>
      </c>
      <c r="F3122" s="3" t="s">
        <v>9852</v>
      </c>
      <c r="G3122" s="3">
        <v>15159</v>
      </c>
      <c r="H3122" s="7" t="str">
        <f>HYPERLINK("http://www.ensembl.org/Mus_musculus/Gene/Summary?db=core;g=ENSMUSG00000031352","ENSMUSG00000031352")</f>
        <v>ENSMUSG00000031352</v>
      </c>
      <c r="I3122" s="7" t="str">
        <f>HYPERLINK("http://www.informatics.jax.org/marker/MGI:106911","MGI:106911")</f>
        <v>MGI:106911</v>
      </c>
      <c r="J3122" s="4" t="s">
        <v>12</v>
      </c>
    </row>
    <row r="3123" spans="1:10" x14ac:dyDescent="0.25">
      <c r="A3123" s="2">
        <v>4056.5867054974201</v>
      </c>
      <c r="B3123" s="3">
        <v>0.17306842607032899</v>
      </c>
      <c r="C3123" s="3">
        <v>9.5855073253021201E-4</v>
      </c>
      <c r="D3123" s="4">
        <v>3.38820541124188E-3</v>
      </c>
      <c r="E3123" s="3" t="s">
        <v>9905</v>
      </c>
      <c r="F3123" s="3" t="s">
        <v>9906</v>
      </c>
      <c r="G3123" s="3">
        <v>68135</v>
      </c>
      <c r="H3123" s="7" t="str">
        <f>HYPERLINK("http://www.ensembl.org/Mus_musculus/Gene/Summary?db=core;g=ENSMUSG00000022312","ENSMUSG00000022312")</f>
        <v>ENSMUSG00000022312</v>
      </c>
      <c r="I3123" s="7" t="str">
        <f>HYPERLINK("http://www.informatics.jax.org/marker/MGI:1915385","MGI:1915385")</f>
        <v>MGI:1915385</v>
      </c>
      <c r="J3123" s="4" t="s">
        <v>12</v>
      </c>
    </row>
    <row r="3124" spans="1:10" x14ac:dyDescent="0.25">
      <c r="A3124" s="2">
        <v>3300.9040750138201</v>
      </c>
      <c r="B3124" s="3">
        <v>0.172834185722295</v>
      </c>
      <c r="C3124" s="3">
        <v>1.8140265111285799E-4</v>
      </c>
      <c r="D3124" s="4">
        <v>7.2517291435223602E-4</v>
      </c>
      <c r="E3124" s="3" t="s">
        <v>6261</v>
      </c>
      <c r="F3124" s="3" t="s">
        <v>6262</v>
      </c>
      <c r="G3124" s="3">
        <v>66661</v>
      </c>
      <c r="H3124" s="7" t="str">
        <f>HYPERLINK("http://www.ensembl.org/Mus_musculus/Gene/Summary?db=core;g=ENSMUSG00000036323","ENSMUSG00000036323")</f>
        <v>ENSMUSG00000036323</v>
      </c>
      <c r="I3124" s="7" t="str">
        <f>HYPERLINK("http://www.informatics.jax.org/marker/MGI:1333795","MGI:1333795")</f>
        <v>MGI:1333795</v>
      </c>
      <c r="J3124" s="4" t="s">
        <v>12</v>
      </c>
    </row>
    <row r="3125" spans="1:10" x14ac:dyDescent="0.25">
      <c r="A3125" s="2">
        <v>6604.9723348534999</v>
      </c>
      <c r="B3125" s="3">
        <v>0.17270216555499299</v>
      </c>
      <c r="C3125" s="5">
        <v>2.8609238852472101E-6</v>
      </c>
      <c r="D3125" s="6">
        <v>1.50390359990281E-5</v>
      </c>
      <c r="E3125" s="3" t="s">
        <v>5467</v>
      </c>
      <c r="F3125" s="3" t="s">
        <v>5468</v>
      </c>
      <c r="G3125" s="3">
        <v>24015</v>
      </c>
      <c r="H3125" s="7" t="str">
        <f>HYPERLINK("http://www.ensembl.org/Mus_musculus/Gene/Summary?db=core;g=ENSMUSG00000058355","ENSMUSG00000058355")</f>
        <v>ENSMUSG00000058355</v>
      </c>
      <c r="I3125" s="7" t="str">
        <f>HYPERLINK("http://www.informatics.jax.org/marker/MGI:1195458","MGI:1195458")</f>
        <v>MGI:1195458</v>
      </c>
      <c r="J3125" s="4" t="s">
        <v>12</v>
      </c>
    </row>
    <row r="3126" spans="1:10" x14ac:dyDescent="0.25">
      <c r="A3126" s="2">
        <v>132.54394281627799</v>
      </c>
      <c r="B3126" s="3">
        <v>0.17265984420901001</v>
      </c>
      <c r="C3126" s="3">
        <v>0.143522885096527</v>
      </c>
      <c r="D3126" s="4">
        <v>0.272554400425572</v>
      </c>
      <c r="E3126" s="3" t="s">
        <v>11783</v>
      </c>
      <c r="F3126" s="3" t="s">
        <v>11784</v>
      </c>
      <c r="G3126" s="3">
        <v>105732</v>
      </c>
      <c r="H3126" s="7" t="str">
        <f>HYPERLINK("http://www.ensembl.org/Mus_musculus/Gene/Summary?db=core;g=ENSMUSG00000046761","ENSMUSG00000046761")</f>
        <v>ENSMUSG00000046761</v>
      </c>
      <c r="I3126" s="7" t="str">
        <f>HYPERLINK("http://www.informatics.jax.org/marker/MGI:2145900","MGI:2145900")</f>
        <v>MGI:2145900</v>
      </c>
      <c r="J3126" s="4" t="s">
        <v>12</v>
      </c>
    </row>
    <row r="3127" spans="1:10" x14ac:dyDescent="0.25">
      <c r="A3127" s="2">
        <v>588.76078804269901</v>
      </c>
      <c r="B3127" s="3">
        <v>0.17232270935126101</v>
      </c>
      <c r="C3127" s="3">
        <v>3.74403240392173E-2</v>
      </c>
      <c r="D3127" s="4">
        <v>8.9231058665455207E-2</v>
      </c>
      <c r="E3127" s="3" t="s">
        <v>9715</v>
      </c>
      <c r="F3127" s="3" t="s">
        <v>9716</v>
      </c>
      <c r="G3127" s="3">
        <v>19344</v>
      </c>
      <c r="H3127" s="7" t="str">
        <f>HYPERLINK("http://www.ensembl.org/Mus_musculus/Gene/Summary?db=core;g=ENSMUSG00000000711","ENSMUSG00000000711")</f>
        <v>ENSMUSG00000000711</v>
      </c>
      <c r="I3127" s="7" t="str">
        <f>HYPERLINK("http://www.informatics.jax.org/marker/MGI:105938","MGI:105938")</f>
        <v>MGI:105938</v>
      </c>
      <c r="J3127" s="4" t="s">
        <v>12</v>
      </c>
    </row>
    <row r="3128" spans="1:10" x14ac:dyDescent="0.25">
      <c r="A3128" s="2">
        <v>1356.34981950466</v>
      </c>
      <c r="B3128" s="3">
        <v>0.171923289958302</v>
      </c>
      <c r="C3128" s="3">
        <v>3.3812707845241401E-3</v>
      </c>
      <c r="D3128" s="4">
        <v>1.05900773411157E-2</v>
      </c>
      <c r="E3128" s="3" t="s">
        <v>11117</v>
      </c>
      <c r="F3128" s="3" t="s">
        <v>11118</v>
      </c>
      <c r="G3128" s="3">
        <v>60441</v>
      </c>
      <c r="H3128" s="7" t="str">
        <f>HYPERLINK("http://www.ensembl.org/Mus_musculus/Gene/Summary?db=core;g=ENSMUSG00000020775","ENSMUSG00000020775")</f>
        <v>ENSMUSG00000020775</v>
      </c>
      <c r="I3128" s="7" t="str">
        <f>HYPERLINK("http://www.informatics.jax.org/marker/MGI:1926269","MGI:1926269")</f>
        <v>MGI:1926269</v>
      </c>
      <c r="J3128" s="4" t="s">
        <v>12</v>
      </c>
    </row>
    <row r="3129" spans="1:10" x14ac:dyDescent="0.25">
      <c r="A3129" s="2">
        <v>883.04042897414502</v>
      </c>
      <c r="B3129" s="3">
        <v>0.17175331219651399</v>
      </c>
      <c r="C3129" s="3">
        <v>1.2768381572469E-2</v>
      </c>
      <c r="D3129" s="4">
        <v>3.4817225816562297E-2</v>
      </c>
      <c r="E3129" s="3" t="s">
        <v>12235</v>
      </c>
      <c r="F3129" s="3" t="s">
        <v>12236</v>
      </c>
      <c r="G3129" s="3">
        <v>66196</v>
      </c>
      <c r="H3129" s="7" t="str">
        <f>HYPERLINK("http://www.ensembl.org/Mus_musculus/Gene/Summary?db=core;g=ENSMUSG00000020527","ENSMUSG00000020527")</f>
        <v>ENSMUSG00000020527</v>
      </c>
      <c r="I3129" s="7" t="str">
        <f>HYPERLINK("http://www.informatics.jax.org/marker/MGI:1913446","MGI:1913446")</f>
        <v>MGI:1913446</v>
      </c>
      <c r="J3129" s="4" t="s">
        <v>12</v>
      </c>
    </row>
    <row r="3130" spans="1:10" x14ac:dyDescent="0.25">
      <c r="A3130" s="2">
        <v>286.38571746675598</v>
      </c>
      <c r="B3130" s="3">
        <v>0.17167593196971601</v>
      </c>
      <c r="C3130" s="3">
        <v>4.7107533544625498E-2</v>
      </c>
      <c r="D3130" s="4">
        <v>0.10863403756178699</v>
      </c>
      <c r="E3130" s="3" t="s">
        <v>13065</v>
      </c>
      <c r="F3130" s="3" t="s">
        <v>13066</v>
      </c>
      <c r="G3130" s="3">
        <v>216363</v>
      </c>
      <c r="H3130" s="7" t="str">
        <f>HYPERLINK("http://www.ensembl.org/Mus_musculus/Gene/Summary?db=core;g=ENSMUSG00000064181","ENSMUSG00000064181")</f>
        <v>ENSMUSG00000064181</v>
      </c>
      <c r="I3130" s="7" t="str">
        <f>HYPERLINK("http://www.informatics.jax.org/marker/MGI:105933","MGI:105933")</f>
        <v>MGI:105933</v>
      </c>
      <c r="J3130" s="4" t="s">
        <v>12</v>
      </c>
    </row>
    <row r="3131" spans="1:10" x14ac:dyDescent="0.25">
      <c r="A3131" s="2">
        <v>4152.0607846044704</v>
      </c>
      <c r="B3131" s="3">
        <v>0.171161176973605</v>
      </c>
      <c r="C3131" s="3">
        <v>8.9299019318390405E-3</v>
      </c>
      <c r="D3131" s="4">
        <v>2.5354021297362E-2</v>
      </c>
      <c r="E3131" s="3" t="s">
        <v>11709</v>
      </c>
      <c r="F3131" s="3" t="s">
        <v>11710</v>
      </c>
      <c r="G3131" s="3">
        <v>20085</v>
      </c>
      <c r="H3131" s="7" t="str">
        <f>HYPERLINK("http://www.ensembl.org/Mus_musculus/Gene/Summary?db=core;g=ENSMUSG00000040952","ENSMUSG00000040952")</f>
        <v>ENSMUSG00000040952</v>
      </c>
      <c r="I3131" s="7" t="str">
        <f>HYPERLINK("http://www.informatics.jax.org/marker/MGI:1333780","MGI:1333780")</f>
        <v>MGI:1333780</v>
      </c>
      <c r="J3131" s="4" t="s">
        <v>12</v>
      </c>
    </row>
    <row r="3132" spans="1:10" x14ac:dyDescent="0.25">
      <c r="A3132" s="2">
        <v>992.10067691199299</v>
      </c>
      <c r="B3132" s="3">
        <v>0.17108605175261199</v>
      </c>
      <c r="C3132" s="3">
        <v>3.32626237808423E-4</v>
      </c>
      <c r="D3132" s="4">
        <v>1.2698184298404901E-3</v>
      </c>
      <c r="E3132" s="3" t="s">
        <v>9976</v>
      </c>
      <c r="F3132" s="3" t="s">
        <v>9977</v>
      </c>
      <c r="G3132" s="3">
        <v>12175</v>
      </c>
      <c r="H3132" s="7" t="str">
        <f>HYPERLINK("http://www.ensembl.org/Mus_musculus/Gene/Summary?db=core;g=ENSMUSG00000011958","ENSMUSG00000011958")</f>
        <v>ENSMUSG00000011958</v>
      </c>
      <c r="I3132" s="7" t="str">
        <f>HYPERLINK("http://www.informatics.jax.org/marker/MGI:109327","MGI:109327")</f>
        <v>MGI:109327</v>
      </c>
      <c r="J3132" s="4" t="s">
        <v>12</v>
      </c>
    </row>
    <row r="3133" spans="1:10" x14ac:dyDescent="0.25">
      <c r="A3133" s="2">
        <v>2987.3599299327602</v>
      </c>
      <c r="B3133" s="3">
        <v>0.17081182637355199</v>
      </c>
      <c r="C3133" s="3">
        <v>7.6584457643021301E-3</v>
      </c>
      <c r="D3133" s="4">
        <v>2.20811855805104E-2</v>
      </c>
      <c r="E3133" s="3" t="s">
        <v>12713</v>
      </c>
      <c r="F3133" s="3" t="s">
        <v>12714</v>
      </c>
      <c r="G3133" s="3">
        <v>67952</v>
      </c>
      <c r="H3133" s="7" t="str">
        <f>HYPERLINK("http://www.ensembl.org/Mus_musculus/Gene/Summary?db=core;g=ENSMUSG00000093904","ENSMUSG00000093904")</f>
        <v>ENSMUSG00000093904</v>
      </c>
      <c r="I3133" s="7" t="str">
        <f>HYPERLINK("http://www.informatics.jax.org/marker/MGI:1915202","MGI:1915202")</f>
        <v>MGI:1915202</v>
      </c>
      <c r="J3133" s="4" t="s">
        <v>12</v>
      </c>
    </row>
    <row r="3134" spans="1:10" x14ac:dyDescent="0.25">
      <c r="A3134" s="2">
        <v>902.62811350844299</v>
      </c>
      <c r="B3134" s="3">
        <v>0.17080110871458101</v>
      </c>
      <c r="C3134" s="3">
        <v>3.4315414500564002E-2</v>
      </c>
      <c r="D3134" s="4">
        <v>8.2659057530105606E-2</v>
      </c>
      <c r="E3134" s="3" t="s">
        <v>8587</v>
      </c>
      <c r="F3134" s="3" t="s">
        <v>8588</v>
      </c>
      <c r="G3134" s="3">
        <v>212898</v>
      </c>
      <c r="H3134" s="7" t="str">
        <f>HYPERLINK("http://www.ensembl.org/Mus_musculus/Gene/Summary?db=core;g=ENSMUSG00000039497","ENSMUSG00000039497")</f>
        <v>ENSMUSG00000039497</v>
      </c>
      <c r="I3134" s="7" t="str">
        <f>HYPERLINK("http://www.informatics.jax.org/marker/MGI:2443455","MGI:2443455")</f>
        <v>MGI:2443455</v>
      </c>
      <c r="J3134" s="4" t="s">
        <v>12</v>
      </c>
    </row>
    <row r="3135" spans="1:10" x14ac:dyDescent="0.25">
      <c r="A3135" s="2">
        <v>239.21371268856001</v>
      </c>
      <c r="B3135" s="3">
        <v>0.170417465964468</v>
      </c>
      <c r="C3135" s="3">
        <v>2.43144747062921E-2</v>
      </c>
      <c r="D3135" s="4">
        <v>6.1205980873228399E-2</v>
      </c>
      <c r="E3135" s="3" t="s">
        <v>9841</v>
      </c>
      <c r="F3135" s="3" t="s">
        <v>9842</v>
      </c>
      <c r="G3135" s="3">
        <v>69694</v>
      </c>
      <c r="H3135" s="7" t="str">
        <f>HYPERLINK("http://www.ensembl.org/Mus_musculus/Gene/Summary?db=core;g=ENSMUSG00000050891","ENSMUSG00000050891")</f>
        <v>ENSMUSG00000050891</v>
      </c>
      <c r="I3135" s="7" t="str">
        <f>HYPERLINK("http://www.informatics.jax.org/marker/MGI:1916944","MGI:1916944")</f>
        <v>MGI:1916944</v>
      </c>
      <c r="J3135" s="4" t="s">
        <v>12</v>
      </c>
    </row>
    <row r="3136" spans="1:10" x14ac:dyDescent="0.25">
      <c r="A3136" s="2">
        <v>7281.4250877608602</v>
      </c>
      <c r="B3136" s="3">
        <v>0.17009055313108701</v>
      </c>
      <c r="C3136" s="3">
        <v>9.31404643661666E-4</v>
      </c>
      <c r="D3136" s="4">
        <v>3.2954474142368202E-3</v>
      </c>
      <c r="E3136" s="3" t="s">
        <v>8251</v>
      </c>
      <c r="F3136" s="3" t="s">
        <v>8252</v>
      </c>
      <c r="G3136" s="3">
        <v>11840</v>
      </c>
      <c r="H3136" s="7" t="str">
        <f>HYPERLINK("http://www.ensembl.org/Mus_musculus/Gene/Summary?db=core;g=ENSMUSG00000048076","ENSMUSG00000048076")</f>
        <v>ENSMUSG00000048076</v>
      </c>
      <c r="I3136" s="7" t="str">
        <f>HYPERLINK("http://www.informatics.jax.org/marker/MGI:99431","MGI:99431")</f>
        <v>MGI:99431</v>
      </c>
      <c r="J3136" s="4" t="s">
        <v>12</v>
      </c>
    </row>
    <row r="3137" spans="1:10" x14ac:dyDescent="0.25">
      <c r="A3137" s="2">
        <v>794.98534512966603</v>
      </c>
      <c r="B3137" s="3">
        <v>0.170084356654152</v>
      </c>
      <c r="C3137" s="3">
        <v>7.5091014696435004E-2</v>
      </c>
      <c r="D3137" s="4">
        <v>0.160494164752261</v>
      </c>
      <c r="E3137" s="3" t="s">
        <v>12709</v>
      </c>
      <c r="F3137" s="3" t="s">
        <v>12710</v>
      </c>
      <c r="G3137" s="3">
        <v>69008</v>
      </c>
      <c r="H3137" s="7" t="str">
        <f>HYPERLINK("http://www.ensembl.org/Mus_musculus/Gene/Summary?db=core;g=ENSMUSG00000021981","ENSMUSG00000021981")</f>
        <v>ENSMUSG00000021981</v>
      </c>
      <c r="I3137" s="7" t="str">
        <f>HYPERLINK("http://www.informatics.jax.org/marker/MGI:1914081","MGI:1914081")</f>
        <v>MGI:1914081</v>
      </c>
      <c r="J3137" s="4" t="s">
        <v>12</v>
      </c>
    </row>
    <row r="3138" spans="1:10" x14ac:dyDescent="0.25">
      <c r="A3138" s="2">
        <v>2184.8663872868801</v>
      </c>
      <c r="B3138" s="3">
        <v>0.16994025660855999</v>
      </c>
      <c r="C3138" s="3">
        <v>4.3754393744853603E-3</v>
      </c>
      <c r="D3138" s="4">
        <v>1.33370768690409E-2</v>
      </c>
      <c r="E3138" s="3" t="s">
        <v>11453</v>
      </c>
      <c r="F3138" s="3" t="s">
        <v>11454</v>
      </c>
      <c r="G3138" s="3">
        <v>12648</v>
      </c>
      <c r="H3138" s="7" t="str">
        <f>HYPERLINK("http://www.ensembl.org/Mus_musculus/Gene/Summary?db=core;g=ENSMUSG00000023852","ENSMUSG00000023852")</f>
        <v>ENSMUSG00000023852</v>
      </c>
      <c r="I3138" s="7" t="str">
        <f>HYPERLINK("http://www.informatics.jax.org/marker/MGI:88393","MGI:88393")</f>
        <v>MGI:88393</v>
      </c>
      <c r="J3138" s="4" t="s">
        <v>12</v>
      </c>
    </row>
    <row r="3139" spans="1:10" x14ac:dyDescent="0.25">
      <c r="A3139" s="2">
        <v>841.60184325042701</v>
      </c>
      <c r="B3139" s="3">
        <v>0.169584359400025</v>
      </c>
      <c r="C3139" s="3">
        <v>6.5874762134661001E-4</v>
      </c>
      <c r="D3139" s="4">
        <v>2.3929988836041399E-3</v>
      </c>
      <c r="E3139" s="3" t="s">
        <v>7090</v>
      </c>
      <c r="F3139" s="3" t="s">
        <v>7091</v>
      </c>
      <c r="G3139" s="3">
        <v>26428</v>
      </c>
      <c r="H3139" s="7" t="str">
        <f>HYPERLINK("http://www.ensembl.org/Mus_musculus/Gene/Summary?db=core;g=ENSMUSG00000026761","ENSMUSG00000026761")</f>
        <v>ENSMUSG00000026761</v>
      </c>
      <c r="I3139" s="7" t="str">
        <f>HYPERLINK("http://www.informatics.jax.org/marker/MGI:1347043","MGI:1347043")</f>
        <v>MGI:1347043</v>
      </c>
      <c r="J3139" s="4" t="s">
        <v>12</v>
      </c>
    </row>
    <row r="3140" spans="1:10" x14ac:dyDescent="0.25">
      <c r="A3140" s="2">
        <v>2203.6061286576901</v>
      </c>
      <c r="B3140" s="3">
        <v>0.16954666170525101</v>
      </c>
      <c r="C3140" s="3">
        <v>3.2654355690315398E-2</v>
      </c>
      <c r="D3140" s="4">
        <v>7.9223327004259603E-2</v>
      </c>
      <c r="E3140" s="3" t="s">
        <v>12364</v>
      </c>
      <c r="F3140" s="3" t="s">
        <v>12365</v>
      </c>
      <c r="G3140" s="3">
        <v>20222</v>
      </c>
      <c r="H3140" s="7" t="str">
        <f>HYPERLINK("http://www.ensembl.org/Mus_musculus/Gene/Summary?db=core;g=ENSMUSG00000020211","ENSMUSG00000020211")</f>
        <v>ENSMUSG00000020211</v>
      </c>
      <c r="I3140" s="7" t="str">
        <f>HYPERLINK("http://www.informatics.jax.org/marker/MGI:104912","MGI:104912")</f>
        <v>MGI:104912</v>
      </c>
      <c r="J3140" s="4" t="s">
        <v>12</v>
      </c>
    </row>
    <row r="3141" spans="1:10" x14ac:dyDescent="0.25">
      <c r="A3141" s="2">
        <v>3762.3077868534101</v>
      </c>
      <c r="B3141" s="3">
        <v>0.16950872941710199</v>
      </c>
      <c r="C3141" s="3">
        <v>1.2266509335121901E-2</v>
      </c>
      <c r="D3141" s="4">
        <v>3.3622669970310798E-2</v>
      </c>
      <c r="E3141" s="3" t="s">
        <v>12555</v>
      </c>
      <c r="F3141" s="3" t="s">
        <v>12556</v>
      </c>
      <c r="G3141" s="3">
        <v>66480</v>
      </c>
      <c r="H3141" s="7" t="str">
        <f>HYPERLINK("http://www.ensembl.org/Mus_musculus/Gene/Summary?db=core;g=ENSMUSG00000012405","ENSMUSG00000012405")</f>
        <v>ENSMUSG00000012405</v>
      </c>
      <c r="I3141" s="7" t="str">
        <f>HYPERLINK("http://www.informatics.jax.org/marker/MGI:1913730","MGI:1913730")</f>
        <v>MGI:1913730</v>
      </c>
      <c r="J3141" s="4" t="s">
        <v>12</v>
      </c>
    </row>
    <row r="3142" spans="1:10" x14ac:dyDescent="0.25">
      <c r="A3142" s="2">
        <v>7463.9041843498198</v>
      </c>
      <c r="B3142" s="3">
        <v>0.16930529890571799</v>
      </c>
      <c r="C3142" s="3">
        <v>6.9035846313613596E-4</v>
      </c>
      <c r="D3142" s="4">
        <v>2.4993609437139598E-3</v>
      </c>
      <c r="E3142" s="3" t="s">
        <v>11008</v>
      </c>
      <c r="F3142" s="3" t="s">
        <v>11009</v>
      </c>
      <c r="G3142" s="3">
        <v>20382</v>
      </c>
      <c r="H3142" s="7" t="str">
        <f>HYPERLINK("http://www.ensembl.org/Mus_musculus/Gene/Summary?db=core;g=ENSMUSG00000034120","ENSMUSG00000034120")</f>
        <v>ENSMUSG00000034120</v>
      </c>
      <c r="I3142" s="7" t="str">
        <f>HYPERLINK("http://www.informatics.jax.org/marker/MGI:98284","MGI:98284")</f>
        <v>MGI:98284</v>
      </c>
      <c r="J3142" s="4" t="s">
        <v>12</v>
      </c>
    </row>
    <row r="3143" spans="1:10" x14ac:dyDescent="0.25">
      <c r="A3143" s="2">
        <v>588.55803183779506</v>
      </c>
      <c r="B3143" s="3">
        <v>0.16924583146824301</v>
      </c>
      <c r="C3143" s="3">
        <v>1.55759199989077E-2</v>
      </c>
      <c r="D3143" s="4">
        <v>4.1598936398020599E-2</v>
      </c>
      <c r="E3143" s="3" t="s">
        <v>8739</v>
      </c>
      <c r="F3143" s="3" t="s">
        <v>8740</v>
      </c>
      <c r="G3143" s="3">
        <v>76299</v>
      </c>
      <c r="H3143" s="7" t="str">
        <f>HYPERLINK("http://www.ensembl.org/Mus_musculus/Gene/Summary?db=core;g=ENSMUSG00000028343","ENSMUSG00000028343")</f>
        <v>ENSMUSG00000028343</v>
      </c>
      <c r="I3143" s="7" t="str">
        <f>HYPERLINK("http://www.informatics.jax.org/marker/MGI:1923549","MGI:1923549")</f>
        <v>MGI:1923549</v>
      </c>
      <c r="J3143" s="4" t="s">
        <v>12</v>
      </c>
    </row>
    <row r="3144" spans="1:10" x14ac:dyDescent="0.25">
      <c r="A3144" s="2">
        <v>663.89123219904502</v>
      </c>
      <c r="B3144" s="3">
        <v>0.169144836130565</v>
      </c>
      <c r="C3144" s="3">
        <v>7.3195408209303604E-3</v>
      </c>
      <c r="D3144" s="4">
        <v>2.1258746049634399E-2</v>
      </c>
      <c r="E3144" s="3" t="s">
        <v>11357</v>
      </c>
      <c r="F3144" s="3" t="s">
        <v>11358</v>
      </c>
      <c r="G3144" s="3">
        <v>71177</v>
      </c>
      <c r="H3144" s="7" t="str">
        <f>HYPERLINK("http://www.ensembl.org/Mus_musculus/Gene/Summary?db=core;g=ENSMUSG00000040250","ENSMUSG00000040250")</f>
        <v>ENSMUSG00000040250</v>
      </c>
      <c r="I3144" s="7" t="str">
        <f>HYPERLINK("http://www.informatics.jax.org/marker/MGI:1918427","MGI:1918427")</f>
        <v>MGI:1918427</v>
      </c>
      <c r="J3144" s="4" t="s">
        <v>12</v>
      </c>
    </row>
    <row r="3145" spans="1:10" x14ac:dyDescent="0.25">
      <c r="A3145" s="2">
        <v>186.574026328841</v>
      </c>
      <c r="B3145" s="3">
        <v>0.16906304064763999</v>
      </c>
      <c r="C3145" s="3">
        <v>0.13415836749541499</v>
      </c>
      <c r="D3145" s="4">
        <v>0.25832395642936501</v>
      </c>
      <c r="E3145" s="3" t="s">
        <v>13713</v>
      </c>
      <c r="F3145" s="3" t="s">
        <v>13714</v>
      </c>
      <c r="G3145" s="3" t="s">
        <v>83</v>
      </c>
      <c r="H3145" s="7" t="str">
        <f>HYPERLINK("http://www.ensembl.org/Mus_musculus/Gene/Summary?db=core;g=ENSMUSG00000112980","ENSMUSG00000112980")</f>
        <v>ENSMUSG00000112980</v>
      </c>
      <c r="I3145" s="7" t="str">
        <f>HYPERLINK("http://www.informatics.jax.org/marker/MGI:2442237","MGI:2442237")</f>
        <v>MGI:2442237</v>
      </c>
      <c r="J3145" s="4" t="s">
        <v>3187</v>
      </c>
    </row>
    <row r="3146" spans="1:10" x14ac:dyDescent="0.25">
      <c r="A3146" s="2">
        <v>8627.2075338007107</v>
      </c>
      <c r="B3146" s="3">
        <v>0.16896269815523801</v>
      </c>
      <c r="C3146" s="3">
        <v>1.28979428534242E-2</v>
      </c>
      <c r="D3146" s="4">
        <v>3.5145247795377803E-2</v>
      </c>
      <c r="E3146" s="3" t="s">
        <v>12647</v>
      </c>
      <c r="F3146" s="3" t="s">
        <v>12648</v>
      </c>
      <c r="G3146" s="3">
        <v>20103</v>
      </c>
      <c r="H3146" s="7" t="str">
        <f>HYPERLINK("http://www.ensembl.org/Mus_musculus/Gene/Summary?db=core;g=ENSMUSG00000012848","ENSMUSG00000012848")</f>
        <v>ENSMUSG00000012848</v>
      </c>
      <c r="I3146" s="7" t="str">
        <f>HYPERLINK("http://www.informatics.jax.org/marker/MGI:1097682","MGI:1097682")</f>
        <v>MGI:1097682</v>
      </c>
      <c r="J3146" s="4" t="s">
        <v>12</v>
      </c>
    </row>
    <row r="3147" spans="1:10" x14ac:dyDescent="0.25">
      <c r="A3147" s="2">
        <v>4671.3797824876101</v>
      </c>
      <c r="B3147" s="3">
        <v>0.16881645392201999</v>
      </c>
      <c r="C3147" s="3">
        <v>2.7283298949878601E-3</v>
      </c>
      <c r="D3147" s="4">
        <v>8.7434169748819707E-3</v>
      </c>
      <c r="E3147" s="3" t="s">
        <v>8411</v>
      </c>
      <c r="F3147" s="3" t="s">
        <v>8412</v>
      </c>
      <c r="G3147" s="3">
        <v>19386</v>
      </c>
      <c r="H3147" s="7" t="str">
        <f>HYPERLINK("http://www.ensembl.org/Mus_musculus/Gene/Summary?db=core;g=ENSMUSG00000003226","ENSMUSG00000003226")</f>
        <v>ENSMUSG00000003226</v>
      </c>
      <c r="I3147" s="7" t="str">
        <f>HYPERLINK("http://www.informatics.jax.org/marker/MGI:894323","MGI:894323")</f>
        <v>MGI:894323</v>
      </c>
      <c r="J3147" s="4" t="s">
        <v>12</v>
      </c>
    </row>
    <row r="3148" spans="1:10" x14ac:dyDescent="0.25">
      <c r="A3148" s="2">
        <v>823.69107560493399</v>
      </c>
      <c r="B3148" s="3">
        <v>0.168699346392015</v>
      </c>
      <c r="C3148" s="3">
        <v>8.6400878502840908E-3</v>
      </c>
      <c r="D3148" s="4">
        <v>2.46309402583181E-2</v>
      </c>
      <c r="E3148" s="3" t="s">
        <v>11733</v>
      </c>
      <c r="F3148" s="3" t="s">
        <v>11734</v>
      </c>
      <c r="G3148" s="3">
        <v>74392</v>
      </c>
      <c r="H3148" s="7" t="str">
        <f>HYPERLINK("http://www.ensembl.org/Mus_musculus/Gene/Summary?db=core;g=ENSMUSG00000033444","ENSMUSG00000033444")</f>
        <v>ENSMUSG00000033444</v>
      </c>
      <c r="I3148" s="7" t="str">
        <f>HYPERLINK("http://www.informatics.jax.org/marker/MGI:1921642","MGI:1921642")</f>
        <v>MGI:1921642</v>
      </c>
      <c r="J3148" s="4" t="s">
        <v>12</v>
      </c>
    </row>
    <row r="3149" spans="1:10" x14ac:dyDescent="0.25">
      <c r="A3149" s="2">
        <v>285.406495458493</v>
      </c>
      <c r="B3149" s="3">
        <v>0.16868326988073101</v>
      </c>
      <c r="C3149" s="3">
        <v>4.0738670534269099E-2</v>
      </c>
      <c r="D3149" s="4">
        <v>9.5912966087980195E-2</v>
      </c>
      <c r="E3149" s="3" t="s">
        <v>11603</v>
      </c>
      <c r="F3149" s="3" t="s">
        <v>11604</v>
      </c>
      <c r="G3149" s="3">
        <v>57432</v>
      </c>
      <c r="H3149" s="7" t="str">
        <f>HYPERLINK("http://www.ensembl.org/Mus_musculus/Gene/Summary?db=core;g=ENSMUSG00000027387","ENSMUSG00000027387")</f>
        <v>ENSMUSG00000027387</v>
      </c>
      <c r="I3149" s="7" t="str">
        <f>HYPERLINK("http://www.informatics.jax.org/marker/MGI:1930128","MGI:1930128")</f>
        <v>MGI:1930128</v>
      </c>
      <c r="J3149" s="4" t="s">
        <v>12</v>
      </c>
    </row>
    <row r="3150" spans="1:10" x14ac:dyDescent="0.25">
      <c r="A3150" s="2">
        <v>531.75311187093405</v>
      </c>
      <c r="B3150" s="3">
        <v>0.16864591665471701</v>
      </c>
      <c r="C3150" s="3">
        <v>4.0148101554988699E-2</v>
      </c>
      <c r="D3150" s="4">
        <v>9.4752324804942403E-2</v>
      </c>
      <c r="E3150" s="3" t="s">
        <v>13175</v>
      </c>
      <c r="F3150" s="3" t="s">
        <v>13176</v>
      </c>
      <c r="G3150" s="3">
        <v>68524</v>
      </c>
      <c r="H3150" s="7" t="str">
        <f>HYPERLINK("http://www.ensembl.org/Mus_musculus/Gene/Summary?db=core;g=ENSMUSG00000038013","ENSMUSG00000038013")</f>
        <v>ENSMUSG00000038013</v>
      </c>
      <c r="I3150" s="7" t="str">
        <f>HYPERLINK("http://www.informatics.jax.org/marker/MGI:1924462","MGI:1924462")</f>
        <v>MGI:1924462</v>
      </c>
      <c r="J3150" s="4" t="s">
        <v>12</v>
      </c>
    </row>
    <row r="3151" spans="1:10" x14ac:dyDescent="0.25">
      <c r="A3151" s="2">
        <v>7259.8201559642903</v>
      </c>
      <c r="B3151" s="3">
        <v>0.167467776386926</v>
      </c>
      <c r="C3151" s="3">
        <v>1.3727536838599899E-3</v>
      </c>
      <c r="D3151" s="4">
        <v>4.7080233135770302E-3</v>
      </c>
      <c r="E3151" s="3" t="s">
        <v>8941</v>
      </c>
      <c r="F3151" s="3" t="s">
        <v>8942</v>
      </c>
      <c r="G3151" s="3">
        <v>76936</v>
      </c>
      <c r="H3151" s="7" t="str">
        <f>HYPERLINK("http://www.ensembl.org/Mus_musculus/Gene/Summary?db=core;g=ENSMUSG00000059208","ENSMUSG00000059208")</f>
        <v>ENSMUSG00000059208</v>
      </c>
      <c r="I3151" s="7" t="str">
        <f>HYPERLINK("http://www.informatics.jax.org/marker/MGI:1926465","MGI:1926465")</f>
        <v>MGI:1926465</v>
      </c>
      <c r="J3151" s="4" t="s">
        <v>12</v>
      </c>
    </row>
    <row r="3152" spans="1:10" x14ac:dyDescent="0.25">
      <c r="A3152" s="2">
        <v>1468.83525576083</v>
      </c>
      <c r="B3152" s="3">
        <v>0.16732370726846399</v>
      </c>
      <c r="C3152" s="3">
        <v>5.4854666807335004E-3</v>
      </c>
      <c r="D3152" s="4">
        <v>1.6338066719458699E-2</v>
      </c>
      <c r="E3152" s="3" t="s">
        <v>9067</v>
      </c>
      <c r="F3152" s="3" t="s">
        <v>9068</v>
      </c>
      <c r="G3152" s="3">
        <v>209225</v>
      </c>
      <c r="H3152" s="7" t="str">
        <f>HYPERLINK("http://www.ensembl.org/Mus_musculus/Gene/Summary?db=core;g=ENSMUSG00000048897","ENSMUSG00000048897")</f>
        <v>ENSMUSG00000048897</v>
      </c>
      <c r="I3152" s="7" t="str">
        <f>HYPERLINK("http://www.informatics.jax.org/marker/MGI:1921747","MGI:1921747")</f>
        <v>MGI:1921747</v>
      </c>
      <c r="J3152" s="4" t="s">
        <v>12</v>
      </c>
    </row>
    <row r="3153" spans="1:10" x14ac:dyDescent="0.25">
      <c r="A3153" s="2">
        <v>3.4646331818715801</v>
      </c>
      <c r="B3153" s="3">
        <v>0.16705737290266001</v>
      </c>
      <c r="C3153" s="3">
        <v>0.71565110502751095</v>
      </c>
      <c r="D3153" s="4">
        <v>0.83634122405427302</v>
      </c>
      <c r="E3153" s="3" t="s">
        <v>12957</v>
      </c>
      <c r="F3153" s="3" t="s">
        <v>12958</v>
      </c>
      <c r="G3153" s="3">
        <v>20289</v>
      </c>
      <c r="H3153" s="7" t="str">
        <f>HYPERLINK("http://www.ensembl.org/Mus_musculus/Gene/Summary?db=core;g=ENSMUSG00000034161","ENSMUSG00000034161")</f>
        <v>ENSMUSG00000034161</v>
      </c>
      <c r="I3153" s="7" t="str">
        <f>HYPERLINK("http://www.informatics.jax.org/marker/MGI:102934","MGI:102934")</f>
        <v>MGI:102934</v>
      </c>
      <c r="J3153" s="4" t="s">
        <v>12</v>
      </c>
    </row>
    <row r="3154" spans="1:10" x14ac:dyDescent="0.25">
      <c r="A3154" s="2">
        <v>10914.896512888999</v>
      </c>
      <c r="B3154" s="3">
        <v>0.1667107154867</v>
      </c>
      <c r="C3154" s="5">
        <v>8.0191272177245096E-6</v>
      </c>
      <c r="D3154" s="6">
        <v>3.9757506404523701E-5</v>
      </c>
      <c r="E3154" s="3" t="s">
        <v>5497</v>
      </c>
      <c r="F3154" s="3" t="s">
        <v>5498</v>
      </c>
      <c r="G3154" s="3">
        <v>15525</v>
      </c>
      <c r="H3154" s="7" t="str">
        <f>HYPERLINK("http://www.ensembl.org/Mus_musculus/Gene/Summary?db=core;g=ENSMUSG00000020361","ENSMUSG00000020361")</f>
        <v>ENSMUSG00000020361</v>
      </c>
      <c r="I3154" s="7" t="str">
        <f>HYPERLINK("http://www.informatics.jax.org/marker/MGI:1342292","MGI:1342292")</f>
        <v>MGI:1342292</v>
      </c>
      <c r="J3154" s="4" t="s">
        <v>12</v>
      </c>
    </row>
    <row r="3155" spans="1:10" x14ac:dyDescent="0.25">
      <c r="A3155" s="2">
        <v>2965.1145014458498</v>
      </c>
      <c r="B3155" s="3">
        <v>0.16644423701246899</v>
      </c>
      <c r="C3155" s="3">
        <v>4.3480196503942999E-3</v>
      </c>
      <c r="D3155" s="4">
        <v>1.32668103345783E-2</v>
      </c>
      <c r="E3155" s="3" t="s">
        <v>13199</v>
      </c>
      <c r="F3155" s="3" t="s">
        <v>13200</v>
      </c>
      <c r="G3155" s="3">
        <v>13209</v>
      </c>
      <c r="H3155" s="7" t="str">
        <f>HYPERLINK("http://www.ensembl.org/Mus_musculus/Gene/Summary?db=core;g=ENSMUSG00000032097","ENSMUSG00000032097")</f>
        <v>ENSMUSG00000032097</v>
      </c>
      <c r="I3155" s="7" t="str">
        <f>HYPERLINK("http://www.informatics.jax.org/marker/MGI:104976","MGI:104976")</f>
        <v>MGI:104976</v>
      </c>
      <c r="J3155" s="4" t="s">
        <v>12</v>
      </c>
    </row>
    <row r="3156" spans="1:10" x14ac:dyDescent="0.25">
      <c r="A3156" s="2">
        <v>8574.2756051469605</v>
      </c>
      <c r="B3156" s="3">
        <v>0.16595803815339499</v>
      </c>
      <c r="C3156" s="3">
        <v>4.2941521293919996E-3</v>
      </c>
      <c r="D3156" s="4">
        <v>1.3128824451966E-2</v>
      </c>
      <c r="E3156" s="3" t="s">
        <v>11355</v>
      </c>
      <c r="F3156" s="3" t="s">
        <v>11356</v>
      </c>
      <c r="G3156" s="3">
        <v>71514</v>
      </c>
      <c r="H3156" s="7" t="str">
        <f>HYPERLINK("http://www.ensembl.org/Mus_musculus/Gene/Summary?db=core;g=ENSMUSG00000028820","ENSMUSG00000028820")</f>
        <v>ENSMUSG00000028820</v>
      </c>
      <c r="I3156" s="7" t="str">
        <f>HYPERLINK("http://www.informatics.jax.org/marker/MGI:1918764","MGI:1918764")</f>
        <v>MGI:1918764</v>
      </c>
      <c r="J3156" s="4" t="s">
        <v>12</v>
      </c>
    </row>
    <row r="3157" spans="1:10" x14ac:dyDescent="0.25">
      <c r="A3157" s="2">
        <v>2310.52061525114</v>
      </c>
      <c r="B3157" s="3">
        <v>0.16559614899296901</v>
      </c>
      <c r="C3157" s="3">
        <v>5.4504468185123502E-3</v>
      </c>
      <c r="D3157" s="4">
        <v>1.6252354919402402E-2</v>
      </c>
      <c r="E3157" s="3" t="s">
        <v>10718</v>
      </c>
      <c r="F3157" s="3" t="s">
        <v>10719</v>
      </c>
      <c r="G3157" s="3">
        <v>13664</v>
      </c>
      <c r="H3157" s="7" t="str">
        <f>HYPERLINK("http://www.ensembl.org/Mus_musculus/Gene/Summary?db=core;g=ENSMUSG00000057561","ENSMUSG00000057561")</f>
        <v>ENSMUSG00000057561</v>
      </c>
      <c r="I3157" s="7" t="str">
        <f>HYPERLINK("http://www.informatics.jax.org/marker/MGI:95298","MGI:95298")</f>
        <v>MGI:95298</v>
      </c>
      <c r="J3157" s="4" t="s">
        <v>12</v>
      </c>
    </row>
    <row r="3158" spans="1:10" x14ac:dyDescent="0.25">
      <c r="A3158" s="2">
        <v>2366.2597537832398</v>
      </c>
      <c r="B3158" s="3">
        <v>0.165319434821603</v>
      </c>
      <c r="C3158" s="3">
        <v>4.7297700108195001E-3</v>
      </c>
      <c r="D3158" s="4">
        <v>1.4292830118916499E-2</v>
      </c>
      <c r="E3158" s="3" t="s">
        <v>9693</v>
      </c>
      <c r="F3158" s="3" t="s">
        <v>9694</v>
      </c>
      <c r="G3158" s="3">
        <v>12757</v>
      </c>
      <c r="H3158" s="7" t="str">
        <f>HYPERLINK("http://www.ensembl.org/Mus_musculus/Gene/Summary?db=core;g=ENSMUSG00000028478","ENSMUSG00000028478")</f>
        <v>ENSMUSG00000028478</v>
      </c>
      <c r="I3158" s="7" t="str">
        <f>HYPERLINK("http://www.informatics.jax.org/marker/MGI:894297","MGI:894297")</f>
        <v>MGI:894297</v>
      </c>
      <c r="J3158" s="4" t="s">
        <v>12</v>
      </c>
    </row>
    <row r="3159" spans="1:10" x14ac:dyDescent="0.25">
      <c r="A3159" s="2">
        <v>21116.972520885702</v>
      </c>
      <c r="B3159" s="3">
        <v>0.165205263715483</v>
      </c>
      <c r="C3159" s="3">
        <v>1.10249268294057E-4</v>
      </c>
      <c r="D3159" s="4">
        <v>4.5748927929398702E-4</v>
      </c>
      <c r="E3159" s="3" t="s">
        <v>11379</v>
      </c>
      <c r="F3159" s="3" t="s">
        <v>11380</v>
      </c>
      <c r="G3159" s="3">
        <v>67891</v>
      </c>
      <c r="H3159" s="7" t="str">
        <f>HYPERLINK("http://www.ensembl.org/Mus_musculus/Gene/Summary?db=core;g=ENSMUSG00000032399","ENSMUSG00000032399")</f>
        <v>ENSMUSG00000032399</v>
      </c>
      <c r="I3159" s="7" t="str">
        <f>HYPERLINK("http://www.informatics.jax.org/marker/MGI:1915141","MGI:1915141")</f>
        <v>MGI:1915141</v>
      </c>
      <c r="J3159" s="4" t="s">
        <v>12</v>
      </c>
    </row>
    <row r="3160" spans="1:10" x14ac:dyDescent="0.25">
      <c r="A3160" s="2">
        <v>1490.11866374945</v>
      </c>
      <c r="B3160" s="3">
        <v>0.16499739849794301</v>
      </c>
      <c r="C3160" s="3">
        <v>1.87700405780087E-4</v>
      </c>
      <c r="D3160" s="4">
        <v>7.48542646683168E-4</v>
      </c>
      <c r="E3160" s="3" t="s">
        <v>6017</v>
      </c>
      <c r="F3160" s="3" t="s">
        <v>6018</v>
      </c>
      <c r="G3160" s="3">
        <v>320951</v>
      </c>
      <c r="H3160" s="7" t="str">
        <f>HYPERLINK("http://www.ensembl.org/Mus_musculus/Gene/Summary?db=core;g=ENSMUSG00000023452","ENSMUSG00000023452")</f>
        <v>ENSMUSG00000023452</v>
      </c>
      <c r="I3160" s="7" t="str">
        <f>HYPERLINK("http://www.informatics.jax.org/marker/MGI:2445114","MGI:2445114")</f>
        <v>MGI:2445114</v>
      </c>
      <c r="J3160" s="4" t="s">
        <v>12</v>
      </c>
    </row>
    <row r="3161" spans="1:10" x14ac:dyDescent="0.25">
      <c r="A3161" s="2">
        <v>13.926675873576899</v>
      </c>
      <c r="B3161" s="3">
        <v>0.16491677084256401</v>
      </c>
      <c r="C3161" s="3">
        <v>0.64583913299932505</v>
      </c>
      <c r="D3161" s="4">
        <v>0.78790688145282095</v>
      </c>
      <c r="E3161" s="3" t="s">
        <v>12205</v>
      </c>
      <c r="F3161" s="3" t="s">
        <v>12206</v>
      </c>
      <c r="G3161" s="3">
        <v>215900</v>
      </c>
      <c r="H3161" s="7" t="str">
        <f>HYPERLINK("http://www.ensembl.org/Mus_musculus/Gene/Summary?db=core;g=ENSMUSG00000046031","ENSMUSG00000046031")</f>
        <v>ENSMUSG00000046031</v>
      </c>
      <c r="I3161" s="7" t="str">
        <f>HYPERLINK("http://www.informatics.jax.org/marker/MGI:2443082","MGI:2443082")</f>
        <v>MGI:2443082</v>
      </c>
      <c r="J3161" s="4" t="s">
        <v>12</v>
      </c>
    </row>
    <row r="3162" spans="1:10" x14ac:dyDescent="0.25">
      <c r="A3162" s="2">
        <v>2682.4343642171398</v>
      </c>
      <c r="B3162" s="3">
        <v>0.16482731235201001</v>
      </c>
      <c r="C3162" s="3">
        <v>1.0130019120234899E-4</v>
      </c>
      <c r="D3162" s="4">
        <v>4.2334234915450999E-4</v>
      </c>
      <c r="E3162" s="3" t="s">
        <v>6503</v>
      </c>
      <c r="F3162" s="3" t="s">
        <v>6504</v>
      </c>
      <c r="G3162" s="3">
        <v>226414</v>
      </c>
      <c r="H3162" s="7" t="str">
        <f>HYPERLINK("http://www.ensembl.org/Mus_musculus/Gene/Summary?db=core;g=ENSMUSG00000026356","ENSMUSG00000026356")</f>
        <v>ENSMUSG00000026356</v>
      </c>
      <c r="I3162" s="7" t="str">
        <f>HYPERLINK("http://www.informatics.jax.org/marker/MGI:2442544","MGI:2442544")</f>
        <v>MGI:2442544</v>
      </c>
      <c r="J3162" s="4" t="s">
        <v>12</v>
      </c>
    </row>
    <row r="3163" spans="1:10" x14ac:dyDescent="0.25">
      <c r="A3163" s="2">
        <v>1270.32758419839</v>
      </c>
      <c r="B3163" s="3">
        <v>0.164697819271868</v>
      </c>
      <c r="C3163" s="3">
        <v>1.7451442855420999E-2</v>
      </c>
      <c r="D3163" s="4">
        <v>4.5868552933378798E-2</v>
      </c>
      <c r="E3163" s="3" t="s">
        <v>9345</v>
      </c>
      <c r="F3163" s="3" t="s">
        <v>9346</v>
      </c>
      <c r="G3163" s="3">
        <v>98432</v>
      </c>
      <c r="H3163" s="7" t="str">
        <f>HYPERLINK("http://www.ensembl.org/Mus_musculus/Gene/Summary?db=core;g=ENSMUSG00000044340","ENSMUSG00000044340")</f>
        <v>ENSMUSG00000044340</v>
      </c>
      <c r="I3163" s="7" t="str">
        <f>HYPERLINK("http://www.informatics.jax.org/marker/MGI:2138327","MGI:2138327")</f>
        <v>MGI:2138327</v>
      </c>
      <c r="J3163" s="4" t="s">
        <v>12</v>
      </c>
    </row>
    <row r="3164" spans="1:10" x14ac:dyDescent="0.25">
      <c r="A3164" s="2">
        <v>859.08901302768402</v>
      </c>
      <c r="B3164" s="3">
        <v>0.16449063245935699</v>
      </c>
      <c r="C3164" s="3">
        <v>2.0521886227438502E-2</v>
      </c>
      <c r="D3164" s="4">
        <v>5.2729645635847498E-2</v>
      </c>
      <c r="E3164" s="3" t="s">
        <v>11773</v>
      </c>
      <c r="F3164" s="3" t="s">
        <v>11774</v>
      </c>
      <c r="G3164" s="3">
        <v>74343</v>
      </c>
      <c r="H3164" s="7" t="str">
        <f>HYPERLINK("http://www.ensembl.org/Mus_musculus/Gene/Summary?db=core;g=ENSMUSG00000027936","ENSMUSG00000027936")</f>
        <v>ENSMUSG00000027936</v>
      </c>
      <c r="I3164" s="7" t="str">
        <f>HYPERLINK("http://www.informatics.jax.org/marker/MGI:1921593","MGI:1921593")</f>
        <v>MGI:1921593</v>
      </c>
      <c r="J3164" s="4" t="s">
        <v>12</v>
      </c>
    </row>
    <row r="3165" spans="1:10" x14ac:dyDescent="0.25">
      <c r="A3165" s="2">
        <v>461.74906015086299</v>
      </c>
      <c r="B3165" s="3">
        <v>0.164113119645664</v>
      </c>
      <c r="C3165" s="3">
        <v>1.0598594625346E-2</v>
      </c>
      <c r="D3165" s="4">
        <v>2.9544109367838901E-2</v>
      </c>
      <c r="E3165" s="3" t="s">
        <v>8905</v>
      </c>
      <c r="F3165" s="3" t="s">
        <v>8906</v>
      </c>
      <c r="G3165" s="3">
        <v>68165</v>
      </c>
      <c r="H3165" s="7" t="str">
        <f>HYPERLINK("http://www.ensembl.org/Mus_musculus/Gene/Summary?db=core;g=ENSMUSG00000079677","ENSMUSG00000079677")</f>
        <v>ENSMUSG00000079677</v>
      </c>
      <c r="I3165" s="7" t="str">
        <f>HYPERLINK("http://www.informatics.jax.org/marker/MGI:1915415","MGI:1915415")</f>
        <v>MGI:1915415</v>
      </c>
      <c r="J3165" s="4" t="s">
        <v>12</v>
      </c>
    </row>
    <row r="3166" spans="1:10" x14ac:dyDescent="0.25">
      <c r="A3166" s="2">
        <v>626.48710363373402</v>
      </c>
      <c r="B3166" s="3">
        <v>0.16407788020849601</v>
      </c>
      <c r="C3166" s="3">
        <v>5.7834149269569202E-2</v>
      </c>
      <c r="D3166" s="4">
        <v>0.12905930824511999</v>
      </c>
      <c r="E3166" s="3" t="s">
        <v>11563</v>
      </c>
      <c r="F3166" s="3" t="s">
        <v>11564</v>
      </c>
      <c r="G3166" s="3">
        <v>53600</v>
      </c>
      <c r="H3166" s="7" t="str">
        <f>HYPERLINK("http://www.ensembl.org/Mus_musculus/Gene/Summary?db=core;g=ENSMUSG00000013701","ENSMUSG00000013701")</f>
        <v>ENSMUSG00000013701</v>
      </c>
      <c r="I3166" s="7" t="str">
        <f>HYPERLINK("http://www.informatics.jax.org/marker/MGI:1858317","MGI:1858317")</f>
        <v>MGI:1858317</v>
      </c>
      <c r="J3166" s="4" t="s">
        <v>12</v>
      </c>
    </row>
    <row r="3167" spans="1:10" x14ac:dyDescent="0.25">
      <c r="A3167" s="2">
        <v>6765.2771978540704</v>
      </c>
      <c r="B3167" s="3">
        <v>0.16405341026244599</v>
      </c>
      <c r="C3167" s="3">
        <v>1.7071149571149601E-2</v>
      </c>
      <c r="D3167" s="4">
        <v>4.4992292253680601E-2</v>
      </c>
      <c r="E3167" s="3" t="s">
        <v>12525</v>
      </c>
      <c r="F3167" s="3" t="s">
        <v>12526</v>
      </c>
      <c r="G3167" s="3">
        <v>20091</v>
      </c>
      <c r="H3167" s="7" t="str">
        <f>HYPERLINK("http://www.ensembl.org/Mus_musculus/Gene/Summary?db=core;g=ENSMUSG00000028081","ENSMUSG00000028081")</f>
        <v>ENSMUSG00000028081</v>
      </c>
      <c r="I3167" s="7" t="str">
        <f>HYPERLINK("http://www.informatics.jax.org/marker/MGI:1202063","MGI:1202063")</f>
        <v>MGI:1202063</v>
      </c>
      <c r="J3167" s="4" t="s">
        <v>12</v>
      </c>
    </row>
    <row r="3168" spans="1:10" x14ac:dyDescent="0.25">
      <c r="A3168" s="2">
        <v>1190.5160574456299</v>
      </c>
      <c r="B3168" s="3">
        <v>0.16403143328988901</v>
      </c>
      <c r="C3168" s="3">
        <v>1.35698166037778E-2</v>
      </c>
      <c r="D3168" s="4">
        <v>3.6763773986004299E-2</v>
      </c>
      <c r="E3168" s="3" t="s">
        <v>12191</v>
      </c>
      <c r="F3168" s="3" t="s">
        <v>12192</v>
      </c>
      <c r="G3168" s="3">
        <v>231380</v>
      </c>
      <c r="H3168" s="7" t="str">
        <f>HYPERLINK("http://www.ensembl.org/Mus_musculus/Gene/Summary?db=core;g=ENSMUSG00000035898","ENSMUSG00000035898")</f>
        <v>ENSMUSG00000035898</v>
      </c>
      <c r="I3168" s="7" t="str">
        <f>HYPERLINK("http://www.informatics.jax.org/marker/MGI:1913894","MGI:1913894")</f>
        <v>MGI:1913894</v>
      </c>
      <c r="J3168" s="4" t="s">
        <v>12</v>
      </c>
    </row>
    <row r="3169" spans="1:10" x14ac:dyDescent="0.25">
      <c r="A3169" s="2">
        <v>1118.8152261749301</v>
      </c>
      <c r="B3169" s="3">
        <v>0.16364884013782</v>
      </c>
      <c r="C3169" s="3">
        <v>1.03481233822831E-2</v>
      </c>
      <c r="D3169" s="4">
        <v>2.8907809417858699E-2</v>
      </c>
      <c r="E3169" s="3" t="s">
        <v>13011</v>
      </c>
      <c r="F3169" s="3" t="s">
        <v>13012</v>
      </c>
      <c r="G3169" s="3">
        <v>12914</v>
      </c>
      <c r="H3169" s="7" t="str">
        <f>HYPERLINK("http://www.ensembl.org/Mus_musculus/Gene/Summary?db=core;g=ENSMUSG00000022521","ENSMUSG00000022521")</f>
        <v>ENSMUSG00000022521</v>
      </c>
      <c r="I3169" s="7" t="str">
        <f>HYPERLINK("http://www.informatics.jax.org/marker/MGI:1098280","MGI:1098280")</f>
        <v>MGI:1098280</v>
      </c>
      <c r="J3169" s="4" t="s">
        <v>12</v>
      </c>
    </row>
    <row r="3170" spans="1:10" x14ac:dyDescent="0.25">
      <c r="A3170" s="2">
        <v>1256.34466705777</v>
      </c>
      <c r="B3170" s="3">
        <v>0.16356528661035</v>
      </c>
      <c r="C3170" s="3">
        <v>1.17710299995126E-3</v>
      </c>
      <c r="D3170" s="4">
        <v>4.0862289855450803E-3</v>
      </c>
      <c r="E3170" s="3" t="s">
        <v>12039</v>
      </c>
      <c r="F3170" s="3" t="s">
        <v>12040</v>
      </c>
      <c r="G3170" s="3">
        <v>18584</v>
      </c>
      <c r="H3170" s="7" t="str">
        <f>HYPERLINK("http://www.ensembl.org/Mus_musculus/Gene/Summary?db=core;g=ENSMUSG00000025584","ENSMUSG00000025584")</f>
        <v>ENSMUSG00000025584</v>
      </c>
      <c r="I3170" s="7" t="str">
        <f>HYPERLINK("http://www.informatics.jax.org/marker/MGI:1277116","MGI:1277116")</f>
        <v>MGI:1277116</v>
      </c>
      <c r="J3170" s="4" t="s">
        <v>12</v>
      </c>
    </row>
    <row r="3171" spans="1:10" x14ac:dyDescent="0.25">
      <c r="A3171" s="2">
        <v>1655.3333573381899</v>
      </c>
      <c r="B3171" s="3">
        <v>0.16354266373890899</v>
      </c>
      <c r="C3171" s="3">
        <v>8.4588338509107098E-4</v>
      </c>
      <c r="D3171" s="4">
        <v>3.0133355538085899E-3</v>
      </c>
      <c r="E3171" s="3" t="s">
        <v>9323</v>
      </c>
      <c r="F3171" s="3" t="s">
        <v>9324</v>
      </c>
      <c r="G3171" s="3">
        <v>60365</v>
      </c>
      <c r="H3171" s="7" t="str">
        <f>HYPERLINK("http://www.ensembl.org/Mus_musculus/Gene/Summary?db=core;g=ENSMUSG00000038374","ENSMUSG00000038374")</f>
        <v>ENSMUSG00000038374</v>
      </c>
      <c r="I3171" s="7" t="str">
        <f>HYPERLINK("http://www.informatics.jax.org/marker/MGI:1913129","MGI:1913129")</f>
        <v>MGI:1913129</v>
      </c>
      <c r="J3171" s="4" t="s">
        <v>12</v>
      </c>
    </row>
    <row r="3172" spans="1:10" x14ac:dyDescent="0.25">
      <c r="A3172" s="2">
        <v>5828.5108547547197</v>
      </c>
      <c r="B3172" s="3">
        <v>0.16345440395764901</v>
      </c>
      <c r="C3172" s="5">
        <v>6.7648748399868503E-6</v>
      </c>
      <c r="D3172" s="6">
        <v>3.3951110931973697E-5</v>
      </c>
      <c r="E3172" s="3" t="s">
        <v>7216</v>
      </c>
      <c r="F3172" s="3" t="s">
        <v>7217</v>
      </c>
      <c r="G3172" s="3">
        <v>223691</v>
      </c>
      <c r="H3172" s="7" t="str">
        <f>HYPERLINK("http://www.ensembl.org/Mus_musculus/Gene/Summary?db=core;g=ENSMUSG00000033047","ENSMUSG00000033047")</f>
        <v>ENSMUSG00000033047</v>
      </c>
      <c r="I3172" s="7" t="str">
        <f>HYPERLINK("http://www.informatics.jax.org/marker/MGI:2386251","MGI:2386251")</f>
        <v>MGI:2386251</v>
      </c>
      <c r="J3172" s="4" t="s">
        <v>12</v>
      </c>
    </row>
    <row r="3173" spans="1:10" x14ac:dyDescent="0.25">
      <c r="A3173" s="2">
        <v>3911.7705520361901</v>
      </c>
      <c r="B3173" s="3">
        <v>0.16319784931628201</v>
      </c>
      <c r="C3173" s="5">
        <v>8.0788490127940603E-6</v>
      </c>
      <c r="D3173" s="6">
        <v>4.0042704176821197E-5</v>
      </c>
      <c r="E3173" s="3" t="s">
        <v>5833</v>
      </c>
      <c r="F3173" s="3" t="s">
        <v>5834</v>
      </c>
      <c r="G3173" s="3">
        <v>70465</v>
      </c>
      <c r="H3173" s="7" t="str">
        <f>HYPERLINK("http://www.ensembl.org/Mus_musculus/Gene/Summary?db=core;g=ENSMUSG00000000561","ENSMUSG00000000561")</f>
        <v>ENSMUSG00000000561</v>
      </c>
      <c r="I3173" s="7" t="str">
        <f>HYPERLINK("http://www.informatics.jax.org/marker/MGI:1917715","MGI:1917715")</f>
        <v>MGI:1917715</v>
      </c>
      <c r="J3173" s="4" t="s">
        <v>12</v>
      </c>
    </row>
    <row r="3174" spans="1:10" x14ac:dyDescent="0.25">
      <c r="A3174" s="2">
        <v>827.22393891637296</v>
      </c>
      <c r="B3174" s="3">
        <v>0.16308011896680299</v>
      </c>
      <c r="C3174" s="3">
        <v>2.1082154316737801E-2</v>
      </c>
      <c r="D3174" s="4">
        <v>5.4001723460653003E-2</v>
      </c>
      <c r="E3174" s="3" t="s">
        <v>7886</v>
      </c>
      <c r="F3174" s="3" t="s">
        <v>7887</v>
      </c>
      <c r="G3174" s="3">
        <v>225215</v>
      </c>
      <c r="H3174" s="7" t="str">
        <f>HYPERLINK("http://www.ensembl.org/Mus_musculus/Gene/Summary?db=core;g=ENSMUSG00000032215","ENSMUSG00000032215")</f>
        <v>ENSMUSG00000032215</v>
      </c>
      <c r="I3174" s="7" t="str">
        <f>HYPERLINK("http://www.informatics.jax.org/marker/MGI:2681840","MGI:2681840")</f>
        <v>MGI:2681840</v>
      </c>
      <c r="J3174" s="4" t="s">
        <v>12</v>
      </c>
    </row>
    <row r="3175" spans="1:10" x14ac:dyDescent="0.25">
      <c r="A3175" s="2">
        <v>4745.1103527558898</v>
      </c>
      <c r="B3175" s="3">
        <v>0.16263277856966801</v>
      </c>
      <c r="C3175" s="5">
        <v>7.1182461160279299E-6</v>
      </c>
      <c r="D3175" s="6">
        <v>3.55619614760441E-5</v>
      </c>
      <c r="E3175" s="3" t="s">
        <v>12029</v>
      </c>
      <c r="F3175" s="3" t="s">
        <v>12030</v>
      </c>
      <c r="G3175" s="3">
        <v>14719</v>
      </c>
      <c r="H3175" s="7" t="str">
        <f>HYPERLINK("http://www.ensembl.org/Mus_musculus/Gene/Summary?db=core;g=ENSMUSG00000031672","ENSMUSG00000031672")</f>
        <v>ENSMUSG00000031672</v>
      </c>
      <c r="I3175" s="7" t="str">
        <f>HYPERLINK("http://www.informatics.jax.org/marker/MGI:95792","MGI:95792")</f>
        <v>MGI:95792</v>
      </c>
      <c r="J3175" s="4" t="s">
        <v>12</v>
      </c>
    </row>
    <row r="3176" spans="1:10" x14ac:dyDescent="0.25">
      <c r="A3176" s="2">
        <v>1758.90797103005</v>
      </c>
      <c r="B3176" s="3">
        <v>0.162599455543913</v>
      </c>
      <c r="C3176" s="3">
        <v>2.0159197682886E-3</v>
      </c>
      <c r="D3176" s="4">
        <v>6.6691119580794501E-3</v>
      </c>
      <c r="E3176" s="3" t="s">
        <v>9783</v>
      </c>
      <c r="F3176" s="3" t="s">
        <v>9784</v>
      </c>
      <c r="G3176" s="3">
        <v>70829</v>
      </c>
      <c r="H3176" s="7" t="str">
        <f>HYPERLINK("http://www.ensembl.org/Mus_musculus/Gene/Summary?db=core;g=ENSMUSG00000026339","ENSMUSG00000026339")</f>
        <v>ENSMUSG00000026339</v>
      </c>
      <c r="I3176" s="7" t="str">
        <f>HYPERLINK("http://www.informatics.jax.org/marker/MGI:1918079","MGI:1918079")</f>
        <v>MGI:1918079</v>
      </c>
      <c r="J3176" s="4" t="s">
        <v>12</v>
      </c>
    </row>
    <row r="3177" spans="1:10" x14ac:dyDescent="0.25">
      <c r="A3177" s="2">
        <v>1033.6430955923499</v>
      </c>
      <c r="B3177" s="3">
        <v>0.16248284226711299</v>
      </c>
      <c r="C3177" s="3">
        <v>9.14601977994162E-3</v>
      </c>
      <c r="D3177" s="4">
        <v>2.5899038298545101E-2</v>
      </c>
      <c r="E3177" s="3" t="s">
        <v>12937</v>
      </c>
      <c r="F3177" s="3" t="s">
        <v>12938</v>
      </c>
      <c r="G3177" s="3">
        <v>70233</v>
      </c>
      <c r="H3177" s="7" t="str">
        <f>HYPERLINK("http://www.ensembl.org/Mus_musculus/Gene/Summary?db=core;g=ENSMUSG00000042502","ENSMUSG00000042502")</f>
        <v>ENSMUSG00000042502</v>
      </c>
      <c r="I3177" s="7" t="str">
        <f>HYPERLINK("http://www.informatics.jax.org/marker/MGI:1917483","MGI:1917483")</f>
        <v>MGI:1917483</v>
      </c>
      <c r="J3177" s="4" t="s">
        <v>12</v>
      </c>
    </row>
    <row r="3178" spans="1:10" x14ac:dyDescent="0.25">
      <c r="A3178" s="2">
        <v>435.71998925329501</v>
      </c>
      <c r="B3178" s="3">
        <v>0.16235165600823001</v>
      </c>
      <c r="C3178" s="3">
        <v>1.7327522641670898E-2</v>
      </c>
      <c r="D3178" s="4">
        <v>4.5582289281820398E-2</v>
      </c>
      <c r="E3178" s="3" t="s">
        <v>7430</v>
      </c>
      <c r="F3178" s="3" t="s">
        <v>7431</v>
      </c>
      <c r="G3178" s="3" t="s">
        <v>83</v>
      </c>
      <c r="H3178" s="7" t="str">
        <f>HYPERLINK("http://www.ensembl.org/Mus_musculus/Gene/Summary?db=core;g=ENSMUSG00000116016","ENSMUSG00000116016")</f>
        <v>ENSMUSG00000116016</v>
      </c>
      <c r="I3178" s="7" t="str">
        <f>HYPERLINK("http://www.informatics.jax.org/marker/MGI:6155177","MGI:6155177")</f>
        <v>MGI:6155177</v>
      </c>
      <c r="J3178" s="4" t="s">
        <v>12</v>
      </c>
    </row>
    <row r="3179" spans="1:10" x14ac:dyDescent="0.25">
      <c r="A3179" s="2">
        <v>315.218676473605</v>
      </c>
      <c r="B3179" s="3">
        <v>0.162341588711231</v>
      </c>
      <c r="C3179" s="3">
        <v>2.5679260370344601E-2</v>
      </c>
      <c r="D3179" s="4">
        <v>6.4251032434037597E-2</v>
      </c>
      <c r="E3179" s="3" t="s">
        <v>13609</v>
      </c>
      <c r="F3179" s="3" t="s">
        <v>13610</v>
      </c>
      <c r="G3179" s="3">
        <v>114585</v>
      </c>
      <c r="H3179" s="7" t="str">
        <f>HYPERLINK("http://www.ensembl.org/Mus_musculus/Gene/Summary?db=core;g=ENSMUSG00000043311","ENSMUSG00000043311")</f>
        <v>ENSMUSG00000043311</v>
      </c>
      <c r="I3179" s="7" t="str">
        <f>HYPERLINK("http://www.informatics.jax.org/marker/MGI:90673","MGI:90673")</f>
        <v>MGI:90673</v>
      </c>
      <c r="J3179" s="4" t="s">
        <v>12</v>
      </c>
    </row>
    <row r="3180" spans="1:10" x14ac:dyDescent="0.25">
      <c r="A3180" s="2">
        <v>871.24508805179596</v>
      </c>
      <c r="B3180" s="3">
        <v>0.16228986038660501</v>
      </c>
      <c r="C3180" s="3">
        <v>5.9931249121178603E-3</v>
      </c>
      <c r="D3180" s="4">
        <v>1.7711156400737501E-2</v>
      </c>
      <c r="E3180" s="3" t="s">
        <v>13779</v>
      </c>
      <c r="F3180" s="3" t="s">
        <v>13780</v>
      </c>
      <c r="G3180" s="3">
        <v>54484</v>
      </c>
      <c r="H3180" s="7" t="str">
        <f>HYPERLINK("http://www.ensembl.org/Mus_musculus/Gene/Summary?db=core;g=ENSMUSG00000029922","ENSMUSG00000029922")</f>
        <v>ENSMUSG00000029922</v>
      </c>
      <c r="I3180" s="7" t="str">
        <f>HYPERLINK("http://www.informatics.jax.org/marker/MGI:1859353","MGI:1859353")</f>
        <v>MGI:1859353</v>
      </c>
      <c r="J3180" s="4" t="s">
        <v>12</v>
      </c>
    </row>
    <row r="3181" spans="1:10" x14ac:dyDescent="0.25">
      <c r="A3181" s="2">
        <v>2082.6633943534098</v>
      </c>
      <c r="B3181" s="3">
        <v>0.16218233990487299</v>
      </c>
      <c r="C3181" s="3">
        <v>1.3538931853724599E-3</v>
      </c>
      <c r="D3181" s="4">
        <v>4.6494635958946699E-3</v>
      </c>
      <c r="E3181" s="3" t="s">
        <v>7736</v>
      </c>
      <c r="F3181" s="3" t="s">
        <v>7737</v>
      </c>
      <c r="G3181" s="3">
        <v>73674</v>
      </c>
      <c r="H3181" s="7" t="str">
        <f>HYPERLINK("http://www.ensembl.org/Mus_musculus/Gene/Summary?db=core;g=ENSMUSG00000025995","ENSMUSG00000025995")</f>
        <v>ENSMUSG00000025995</v>
      </c>
      <c r="I3181" s="7" t="str">
        <f>HYPERLINK("http://www.informatics.jax.org/marker/MGI:1920924","MGI:1920924")</f>
        <v>MGI:1920924</v>
      </c>
      <c r="J3181" s="4" t="s">
        <v>12</v>
      </c>
    </row>
    <row r="3182" spans="1:10" x14ac:dyDescent="0.25">
      <c r="A3182" s="2">
        <v>1323.3932703092701</v>
      </c>
      <c r="B3182" s="3">
        <v>0.16192754637225101</v>
      </c>
      <c r="C3182" s="3">
        <v>1.76724292844186E-2</v>
      </c>
      <c r="D3182" s="4">
        <v>4.6375813348960397E-2</v>
      </c>
      <c r="E3182" s="3" t="s">
        <v>11403</v>
      </c>
      <c r="F3182" s="3" t="s">
        <v>11404</v>
      </c>
      <c r="G3182" s="3">
        <v>627352</v>
      </c>
      <c r="H3182" s="7" t="str">
        <f>HYPERLINK("http://www.ensembl.org/Mus_musculus/Gene/Summary?db=core;g=ENSMUSG00000062270","ENSMUSG00000062270")</f>
        <v>ENSMUSG00000062270</v>
      </c>
      <c r="I3182" s="7" t="str">
        <f>HYPERLINK("http://www.informatics.jax.org/marker/MGI:1096551","MGI:1096551")</f>
        <v>MGI:1096551</v>
      </c>
      <c r="J3182" s="4" t="s">
        <v>12</v>
      </c>
    </row>
    <row r="3183" spans="1:10" x14ac:dyDescent="0.25">
      <c r="A3183" s="2">
        <v>201.17426810158099</v>
      </c>
      <c r="B3183" s="3">
        <v>0.16188388872016399</v>
      </c>
      <c r="C3183" s="3">
        <v>6.2513405375756004E-2</v>
      </c>
      <c r="D3183" s="4">
        <v>0.13756421310953301</v>
      </c>
      <c r="E3183" s="3" t="s">
        <v>13419</v>
      </c>
      <c r="F3183" s="3" t="s">
        <v>13420</v>
      </c>
      <c r="G3183" s="3">
        <v>232236</v>
      </c>
      <c r="H3183" s="7" t="str">
        <f>HYPERLINK("http://www.ensembl.org/Mus_musculus/Gene/Summary?db=core;g=ENSMUSG00000034083","ENSMUSG00000034083")</f>
        <v>ENSMUSG00000034083</v>
      </c>
      <c r="I3183" s="7" t="str">
        <f>HYPERLINK("http://www.informatics.jax.org/marker/MGI:2444652","MGI:2444652")</f>
        <v>MGI:2444652</v>
      </c>
      <c r="J3183" s="4" t="s">
        <v>12</v>
      </c>
    </row>
    <row r="3184" spans="1:10" x14ac:dyDescent="0.25">
      <c r="A3184" s="2">
        <v>1921.4863444929999</v>
      </c>
      <c r="B3184" s="3">
        <v>0.16185016712833999</v>
      </c>
      <c r="C3184" s="3">
        <v>8.2319466738460002E-3</v>
      </c>
      <c r="D3184" s="4">
        <v>2.35780650842124E-2</v>
      </c>
      <c r="E3184" s="3" t="s">
        <v>10012</v>
      </c>
      <c r="F3184" s="3" t="s">
        <v>10013</v>
      </c>
      <c r="G3184" s="3">
        <v>56455</v>
      </c>
      <c r="H3184" s="7" t="str">
        <f>HYPERLINK("http://www.ensembl.org/Mus_musculus/Gene/Summary?db=core;g=ENSMUSG00000009013","ENSMUSG00000009013")</f>
        <v>ENSMUSG00000009013</v>
      </c>
      <c r="I3184" s="7" t="str">
        <f>HYPERLINK("http://www.informatics.jax.org/marker/MGI:1861457","MGI:1861457")</f>
        <v>MGI:1861457</v>
      </c>
      <c r="J3184" s="4" t="s">
        <v>12</v>
      </c>
    </row>
    <row r="3185" spans="1:10" x14ac:dyDescent="0.25">
      <c r="A3185" s="2">
        <v>3272.28785323898</v>
      </c>
      <c r="B3185" s="3">
        <v>0.161789526992659</v>
      </c>
      <c r="C3185" s="3">
        <v>4.8124722406982304E-3</v>
      </c>
      <c r="D3185" s="4">
        <v>1.45138683744374E-2</v>
      </c>
      <c r="E3185" s="3" t="s">
        <v>12747</v>
      </c>
      <c r="F3185" s="3" t="s">
        <v>12748</v>
      </c>
      <c r="G3185" s="3">
        <v>57261</v>
      </c>
      <c r="H3185" s="7" t="str">
        <f>HYPERLINK("http://www.ensembl.org/Mus_musculus/Gene/Summary?db=core;g=ENSMUSG00000024002","ENSMUSG00000024002")</f>
        <v>ENSMUSG00000024002</v>
      </c>
      <c r="I3185" s="7" t="str">
        <f>HYPERLINK("http://www.informatics.jax.org/marker/MGI:1888520","MGI:1888520")</f>
        <v>MGI:1888520</v>
      </c>
      <c r="J3185" s="4" t="s">
        <v>12</v>
      </c>
    </row>
    <row r="3186" spans="1:10" x14ac:dyDescent="0.25">
      <c r="A3186" s="2">
        <v>2115.2973293555501</v>
      </c>
      <c r="B3186" s="3">
        <v>0.16173203121385599</v>
      </c>
      <c r="C3186" s="5">
        <v>2.2757861287383701E-5</v>
      </c>
      <c r="D3186" s="4">
        <v>1.0548372888163E-4</v>
      </c>
      <c r="E3186" s="3" t="s">
        <v>6681</v>
      </c>
      <c r="F3186" s="3" t="s">
        <v>6682</v>
      </c>
      <c r="G3186" s="3">
        <v>20479</v>
      </c>
      <c r="H3186" s="7" t="str">
        <f>HYPERLINK("http://www.ensembl.org/Mus_musculus/Gene/Summary?db=core;g=ENSMUSG00000009907","ENSMUSG00000009907")</f>
        <v>ENSMUSG00000009907</v>
      </c>
      <c r="I3186" s="7" t="str">
        <f>HYPERLINK("http://www.informatics.jax.org/marker/MGI:1100499","MGI:1100499")</f>
        <v>MGI:1100499</v>
      </c>
      <c r="J3186" s="4" t="s">
        <v>12</v>
      </c>
    </row>
    <row r="3187" spans="1:10" x14ac:dyDescent="0.25">
      <c r="A3187" s="2">
        <v>1324.96701711182</v>
      </c>
      <c r="B3187" s="3">
        <v>0.16145351776654701</v>
      </c>
      <c r="C3187" s="3">
        <v>1.20697956707949E-2</v>
      </c>
      <c r="D3187" s="4">
        <v>3.3143291562488499E-2</v>
      </c>
      <c r="E3187" s="3" t="s">
        <v>12841</v>
      </c>
      <c r="F3187" s="3" t="s">
        <v>12842</v>
      </c>
      <c r="G3187" s="3">
        <v>22404</v>
      </c>
      <c r="H3187" s="7" t="str">
        <f>HYPERLINK("http://www.ensembl.org/Mus_musculus/Gene/Summary?db=core;g=ENSMUSG00000024050","ENSMUSG00000024050")</f>
        <v>ENSMUSG00000024050</v>
      </c>
      <c r="I3187" s="7" t="str">
        <f>HYPERLINK("http://www.informatics.jax.org/marker/MGI:1332638","MGI:1332638")</f>
        <v>MGI:1332638</v>
      </c>
      <c r="J3187" s="4" t="s">
        <v>12</v>
      </c>
    </row>
    <row r="3188" spans="1:10" x14ac:dyDescent="0.25">
      <c r="A3188" s="2">
        <v>1107.8814459943901</v>
      </c>
      <c r="B3188" s="3">
        <v>0.161193682139672</v>
      </c>
      <c r="C3188" s="3">
        <v>1.09836020448773E-4</v>
      </c>
      <c r="D3188" s="4">
        <v>4.5587826751967297E-4</v>
      </c>
      <c r="E3188" s="3" t="s">
        <v>6415</v>
      </c>
      <c r="F3188" s="3" t="s">
        <v>6416</v>
      </c>
      <c r="G3188" s="3">
        <v>56208</v>
      </c>
      <c r="H3188" s="7" t="str">
        <f>HYPERLINK("http://www.ensembl.org/Mus_musculus/Gene/Summary?db=core;g=ENSMUSG00000035086","ENSMUSG00000035086")</f>
        <v>ENSMUSG00000035086</v>
      </c>
      <c r="I3188" s="7" t="str">
        <f>HYPERLINK("http://www.informatics.jax.org/marker/MGI:1891828","MGI:1891828")</f>
        <v>MGI:1891828</v>
      </c>
      <c r="J3188" s="4" t="s">
        <v>12</v>
      </c>
    </row>
    <row r="3189" spans="1:10" x14ac:dyDescent="0.25">
      <c r="A3189" s="2">
        <v>660.44498264592903</v>
      </c>
      <c r="B3189" s="3">
        <v>0.160769658263548</v>
      </c>
      <c r="C3189" s="3">
        <v>4.196927949577E-2</v>
      </c>
      <c r="D3189" s="4">
        <v>9.8403463117252996E-2</v>
      </c>
      <c r="E3189" s="3" t="s">
        <v>9111</v>
      </c>
      <c r="F3189" s="3" t="s">
        <v>9112</v>
      </c>
      <c r="G3189" s="3">
        <v>238247</v>
      </c>
      <c r="H3189" s="7" t="str">
        <f>HYPERLINK("http://www.ensembl.org/Mus_musculus/Gene/Summary?db=core;g=ENSMUSG00000048118","ENSMUSG00000048118")</f>
        <v>ENSMUSG00000048118</v>
      </c>
      <c r="I3189" s="7" t="str">
        <f>HYPERLINK("http://www.informatics.jax.org/marker/MGI:2444354","MGI:2444354")</f>
        <v>MGI:2444354</v>
      </c>
      <c r="J3189" s="4" t="s">
        <v>12</v>
      </c>
    </row>
    <row r="3190" spans="1:10" x14ac:dyDescent="0.25">
      <c r="A3190" s="2">
        <v>5553.43840483637</v>
      </c>
      <c r="B3190" s="3">
        <v>0.16064958419025699</v>
      </c>
      <c r="C3190" s="5">
        <v>5.6534681933978203E-5</v>
      </c>
      <c r="D3190" s="4">
        <v>2.4614060636568401E-4</v>
      </c>
      <c r="E3190" s="3" t="s">
        <v>3840</v>
      </c>
      <c r="F3190" s="3" t="s">
        <v>3841</v>
      </c>
      <c r="G3190" s="3">
        <v>85305</v>
      </c>
      <c r="H3190" s="7" t="str">
        <f>HYPERLINK("http://www.ensembl.org/Mus_musculus/Gene/Summary?db=core;g=ENSMUSG00000031948","ENSMUSG00000031948")</f>
        <v>ENSMUSG00000031948</v>
      </c>
      <c r="I3190" s="7" t="str">
        <f>HYPERLINK("http://www.informatics.jax.org/marker/MGI:1934754","MGI:1934754")</f>
        <v>MGI:1934754</v>
      </c>
      <c r="J3190" s="4" t="s">
        <v>12</v>
      </c>
    </row>
    <row r="3191" spans="1:10" x14ac:dyDescent="0.25">
      <c r="A3191" s="2">
        <v>1067.8964840512999</v>
      </c>
      <c r="B3191" s="3">
        <v>0.16047199285774499</v>
      </c>
      <c r="C3191" s="3">
        <v>1.2297471409615301E-2</v>
      </c>
      <c r="D3191" s="4">
        <v>3.3687271372349302E-2</v>
      </c>
      <c r="E3191" s="3" t="s">
        <v>4187</v>
      </c>
      <c r="F3191" s="3" t="s">
        <v>4188</v>
      </c>
      <c r="G3191" s="3">
        <v>228836</v>
      </c>
      <c r="H3191" s="7" t="str">
        <f>HYPERLINK("http://www.ensembl.org/Mus_musculus/Gene/Summary?db=core;g=ENSMUSG00000061689","ENSMUSG00000061689")</f>
        <v>ENSMUSG00000061689</v>
      </c>
      <c r="I3191" s="7" t="str">
        <f>HYPERLINK("http://www.informatics.jax.org/marker/MGI:2138865","MGI:2138865")</f>
        <v>MGI:2138865</v>
      </c>
      <c r="J3191" s="4" t="s">
        <v>12</v>
      </c>
    </row>
    <row r="3192" spans="1:10" x14ac:dyDescent="0.25">
      <c r="A3192" s="2">
        <v>2316.1946496947098</v>
      </c>
      <c r="B3192" s="3">
        <v>0.160219329182616</v>
      </c>
      <c r="C3192" s="3">
        <v>4.83592200245469E-4</v>
      </c>
      <c r="D3192" s="4">
        <v>1.80154444524635E-3</v>
      </c>
      <c r="E3192" s="3" t="s">
        <v>8757</v>
      </c>
      <c r="F3192" s="3" t="s">
        <v>8758</v>
      </c>
      <c r="G3192" s="3">
        <v>50912</v>
      </c>
      <c r="H3192" s="7" t="str">
        <f>HYPERLINK("http://www.ensembl.org/Mus_musculus/Gene/Summary?db=core;g=ENSMUSG00000017264","ENSMUSG00000017264")</f>
        <v>ENSMUSG00000017264</v>
      </c>
      <c r="I3192" s="7" t="str">
        <f>HYPERLINK("http://www.informatics.jax.org/marker/MGI:1355322","MGI:1355322")</f>
        <v>MGI:1355322</v>
      </c>
      <c r="J3192" s="4" t="s">
        <v>12</v>
      </c>
    </row>
    <row r="3193" spans="1:10" x14ac:dyDescent="0.25">
      <c r="A3193" s="2">
        <v>932.88260337193901</v>
      </c>
      <c r="B3193" s="3">
        <v>0.16017051405001101</v>
      </c>
      <c r="C3193" s="3">
        <v>6.2304214015151699E-4</v>
      </c>
      <c r="D3193" s="4">
        <v>2.2773652234780199E-3</v>
      </c>
      <c r="E3193" s="3" t="s">
        <v>7652</v>
      </c>
      <c r="F3193" s="3" t="s">
        <v>7653</v>
      </c>
      <c r="G3193" s="3">
        <v>70285</v>
      </c>
      <c r="H3193" s="7" t="str">
        <f>HYPERLINK("http://www.ensembl.org/Mus_musculus/Gene/Summary?db=core;g=ENSMUSG00000028187","ENSMUSG00000028187")</f>
        <v>ENSMUSG00000028187</v>
      </c>
      <c r="I3193" s="7" t="str">
        <f>HYPERLINK("http://www.informatics.jax.org/marker/MGI:1917535","MGI:1917535")</f>
        <v>MGI:1917535</v>
      </c>
      <c r="J3193" s="4" t="s">
        <v>12</v>
      </c>
    </row>
    <row r="3194" spans="1:10" x14ac:dyDescent="0.25">
      <c r="A3194" s="2">
        <v>4604.1601018402798</v>
      </c>
      <c r="B3194" s="3">
        <v>0.16012503133376699</v>
      </c>
      <c r="C3194" s="3">
        <v>1.0092144505528399E-2</v>
      </c>
      <c r="D3194" s="4">
        <v>2.8257694517323E-2</v>
      </c>
      <c r="E3194" s="3" t="s">
        <v>10390</v>
      </c>
      <c r="F3194" s="3" t="s">
        <v>10391</v>
      </c>
      <c r="G3194" s="3">
        <v>20926</v>
      </c>
      <c r="H3194" s="7" t="str">
        <f>HYPERLINK("http://www.ensembl.org/Mus_musculus/Gene/Summary?db=core;g=ENSMUSG00000002052","ENSMUSG00000002052")</f>
        <v>ENSMUSG00000002052</v>
      </c>
      <c r="I3194" s="7" t="str">
        <f>HYPERLINK("http://www.informatics.jax.org/marker/MGI:107726","MGI:107726")</f>
        <v>MGI:107726</v>
      </c>
      <c r="J3194" s="4" t="s">
        <v>12</v>
      </c>
    </row>
    <row r="3195" spans="1:10" x14ac:dyDescent="0.25">
      <c r="A3195" s="2">
        <v>294.64631440582298</v>
      </c>
      <c r="B3195" s="3">
        <v>0.15977822945604001</v>
      </c>
      <c r="C3195" s="3">
        <v>8.0578830209054694E-2</v>
      </c>
      <c r="D3195" s="4">
        <v>0.17028631500000299</v>
      </c>
      <c r="E3195" s="3" t="s">
        <v>11623</v>
      </c>
      <c r="F3195" s="3" t="s">
        <v>11624</v>
      </c>
      <c r="G3195" s="3">
        <v>56426</v>
      </c>
      <c r="H3195" s="7" t="str">
        <f>HYPERLINK("http://www.ensembl.org/Mus_musculus/Gene/Summary?db=core;g=ENSMUSG00000027835","ENSMUSG00000027835")</f>
        <v>ENSMUSG00000027835</v>
      </c>
      <c r="I3195" s="7" t="str">
        <f>HYPERLINK("http://www.informatics.jax.org/marker/MGI:1928396","MGI:1928396")</f>
        <v>MGI:1928396</v>
      </c>
      <c r="J3195" s="4" t="s">
        <v>12</v>
      </c>
    </row>
    <row r="3196" spans="1:10" x14ac:dyDescent="0.25">
      <c r="A3196" s="2">
        <v>1081.7736438040999</v>
      </c>
      <c r="B3196" s="3">
        <v>0.15968748300351601</v>
      </c>
      <c r="C3196" s="3">
        <v>9.4336690216112601E-3</v>
      </c>
      <c r="D3196" s="4">
        <v>2.66184576434224E-2</v>
      </c>
      <c r="E3196" s="3" t="s">
        <v>12575</v>
      </c>
      <c r="F3196" s="3" t="s">
        <v>12576</v>
      </c>
      <c r="G3196" s="3">
        <v>56372</v>
      </c>
      <c r="H3196" s="7" t="str">
        <f>HYPERLINK("http://www.ensembl.org/Mus_musculus/Gene/Summary?db=core;g=ENSMUSG00000030663","ENSMUSG00000030663")</f>
        <v>ENSMUSG00000030663</v>
      </c>
      <c r="I3196" s="7" t="str">
        <f>HYPERLINK("http://www.informatics.jax.org/marker/MGI:1929274","MGI:1929274")</f>
        <v>MGI:1929274</v>
      </c>
      <c r="J3196" s="4" t="s">
        <v>12</v>
      </c>
    </row>
    <row r="3197" spans="1:10" x14ac:dyDescent="0.25">
      <c r="A3197" s="2">
        <v>5892.7903470237397</v>
      </c>
      <c r="B3197" s="3">
        <v>0.159124936511188</v>
      </c>
      <c r="C3197" s="3">
        <v>4.3984614710152903E-3</v>
      </c>
      <c r="D3197" s="4">
        <v>1.3396049516920701E-2</v>
      </c>
      <c r="E3197" s="3" t="s">
        <v>8769</v>
      </c>
      <c r="F3197" s="3" t="s">
        <v>8770</v>
      </c>
      <c r="G3197" s="3">
        <v>14030</v>
      </c>
      <c r="H3197" s="7" t="str">
        <f>HYPERLINK("http://www.ensembl.org/Mus_musculus/Gene/Summary?db=core;g=ENSMUSG00000009079","ENSMUSG00000009079")</f>
        <v>ENSMUSG00000009079</v>
      </c>
      <c r="I3197" s="7" t="str">
        <f>HYPERLINK("http://www.informatics.jax.org/marker/MGI:99960","MGI:99960")</f>
        <v>MGI:99960</v>
      </c>
      <c r="J3197" s="4" t="s">
        <v>12</v>
      </c>
    </row>
    <row r="3198" spans="1:10" x14ac:dyDescent="0.25">
      <c r="A3198" s="2">
        <v>9184.6740068703202</v>
      </c>
      <c r="B3198" s="3">
        <v>0.15889204560966499</v>
      </c>
      <c r="C3198" s="3">
        <v>1.2776405050914601E-4</v>
      </c>
      <c r="D3198" s="4">
        <v>5.24555039542506E-4</v>
      </c>
      <c r="E3198" s="3" t="s">
        <v>6583</v>
      </c>
      <c r="F3198" s="3" t="s">
        <v>6584</v>
      </c>
      <c r="G3198" s="3">
        <v>28114</v>
      </c>
      <c r="H3198" s="7" t="str">
        <f>HYPERLINK("http://www.ensembl.org/Mus_musculus/Gene/Summary?db=core;g=ENSMUSG00000021595","ENSMUSG00000021595")</f>
        <v>ENSMUSG00000021595</v>
      </c>
      <c r="I3198" s="7" t="str">
        <f>HYPERLINK("http://www.informatics.jax.org/marker/MGI:107252","MGI:107252")</f>
        <v>MGI:107252</v>
      </c>
      <c r="J3198" s="4" t="s">
        <v>12</v>
      </c>
    </row>
    <row r="3199" spans="1:10" x14ac:dyDescent="0.25">
      <c r="A3199" s="2">
        <v>972.39233040655199</v>
      </c>
      <c r="B3199" s="3">
        <v>0.15882409490395299</v>
      </c>
      <c r="C3199" s="3">
        <v>4.38972822432721E-2</v>
      </c>
      <c r="D3199" s="4">
        <v>0.102258924649891</v>
      </c>
      <c r="E3199" s="3" t="s">
        <v>11567</v>
      </c>
      <c r="F3199" s="3" t="s">
        <v>11568</v>
      </c>
      <c r="G3199" s="3">
        <v>71678</v>
      </c>
      <c r="H3199" s="7" t="str">
        <f>HYPERLINK("http://www.ensembl.org/Mus_musculus/Gene/Summary?db=core;g=ENSMUSG00000046836","ENSMUSG00000046836")</f>
        <v>ENSMUSG00000046836</v>
      </c>
      <c r="I3199" s="7" t="str">
        <f>HYPERLINK("http://www.informatics.jax.org/marker/MGI:1918928","MGI:1918928")</f>
        <v>MGI:1918928</v>
      </c>
      <c r="J3199" s="4" t="s">
        <v>12</v>
      </c>
    </row>
    <row r="3200" spans="1:10" x14ac:dyDescent="0.25">
      <c r="A3200" s="2">
        <v>1656.6887230170601</v>
      </c>
      <c r="B3200" s="3">
        <v>0.15877223203054</v>
      </c>
      <c r="C3200" s="3">
        <v>3.1888414265283001E-2</v>
      </c>
      <c r="D3200" s="4">
        <v>7.7633763022279395E-2</v>
      </c>
      <c r="E3200" s="3" t="s">
        <v>13895</v>
      </c>
      <c r="F3200" s="3" t="s">
        <v>13896</v>
      </c>
      <c r="G3200" s="3">
        <v>67671</v>
      </c>
      <c r="H3200" s="7" t="str">
        <f>HYPERLINK("http://www.ensembl.org/Mus_musculus/Gene/Summary?db=core;g=ENSMUSG00000057322","ENSMUSG00000057322")</f>
        <v>ENSMUSG00000057322</v>
      </c>
      <c r="I3200" s="7" t="str">
        <f>HYPERLINK("http://www.informatics.jax.org/marker/MGI:1914921","MGI:1914921")</f>
        <v>MGI:1914921</v>
      </c>
      <c r="J3200" s="4" t="s">
        <v>12</v>
      </c>
    </row>
    <row r="3201" spans="1:10" x14ac:dyDescent="0.25">
      <c r="A3201" s="2">
        <v>1207.30290112436</v>
      </c>
      <c r="B3201" s="3">
        <v>0.15862606856022099</v>
      </c>
      <c r="C3201" s="3">
        <v>1.64754793967072E-2</v>
      </c>
      <c r="D3201" s="4">
        <v>4.3636914984012398E-2</v>
      </c>
      <c r="E3201" s="3" t="s">
        <v>5553</v>
      </c>
      <c r="F3201" s="3" t="s">
        <v>5554</v>
      </c>
      <c r="G3201" s="3">
        <v>54394</v>
      </c>
      <c r="H3201" s="7" t="str">
        <f>HYPERLINK("http://www.ensembl.org/Mus_musculus/Gene/Summary?db=core;g=ENSMUSG00000017561","ENSMUSG00000017561")</f>
        <v>ENSMUSG00000017561</v>
      </c>
      <c r="I3201" s="7" t="str">
        <f>HYPERLINK("http://www.informatics.jax.org/marker/MGI:1860086","MGI:1860086")</f>
        <v>MGI:1860086</v>
      </c>
      <c r="J3201" s="4" t="s">
        <v>12</v>
      </c>
    </row>
    <row r="3202" spans="1:10" x14ac:dyDescent="0.25">
      <c r="A3202" s="2">
        <v>1035.69289712724</v>
      </c>
      <c r="B3202" s="3">
        <v>0.158464910391862</v>
      </c>
      <c r="C3202" s="3">
        <v>4.3857884892970003E-3</v>
      </c>
      <c r="D3202" s="4">
        <v>1.3364152352021E-2</v>
      </c>
      <c r="E3202" s="3" t="s">
        <v>11004</v>
      </c>
      <c r="F3202" s="3" t="s">
        <v>11005</v>
      </c>
      <c r="G3202" s="3">
        <v>53334</v>
      </c>
      <c r="H3202" s="7" t="str">
        <f>HYPERLINK("http://www.ensembl.org/Mus_musculus/Gene/Summary?db=core;g=ENSMUSG00000010392","ENSMUSG00000010392")</f>
        <v>ENSMUSG00000010392</v>
      </c>
      <c r="I3202" s="7" t="str">
        <f>HYPERLINK("http://www.informatics.jax.org/marker/MGI:1858260","MGI:1858260")</f>
        <v>MGI:1858260</v>
      </c>
      <c r="J3202" s="4" t="s">
        <v>12</v>
      </c>
    </row>
    <row r="3203" spans="1:10" x14ac:dyDescent="0.25">
      <c r="A3203" s="2">
        <v>1997.5818543251301</v>
      </c>
      <c r="B3203" s="3">
        <v>0.158275328615821</v>
      </c>
      <c r="C3203" s="3">
        <v>1.8754115915799101E-3</v>
      </c>
      <c r="D3203" s="4">
        <v>6.2485148549440298E-3</v>
      </c>
      <c r="E3203" s="3" t="s">
        <v>11897</v>
      </c>
      <c r="F3203" s="3" t="s">
        <v>11898</v>
      </c>
      <c r="G3203" s="3">
        <v>67511</v>
      </c>
      <c r="H3203" s="7" t="str">
        <f>HYPERLINK("http://www.ensembl.org/Mus_musculus/Gene/Summary?db=core;g=ENSMUSG00000058569","ENSMUSG00000058569")</f>
        <v>ENSMUSG00000058569</v>
      </c>
      <c r="I3203" s="7" t="str">
        <f>HYPERLINK("http://www.informatics.jax.org/marker/MGI:1914761","MGI:1914761")</f>
        <v>MGI:1914761</v>
      </c>
      <c r="J3203" s="4" t="s">
        <v>12</v>
      </c>
    </row>
    <row r="3204" spans="1:10" x14ac:dyDescent="0.25">
      <c r="A3204" s="2">
        <v>6131.0091029526702</v>
      </c>
      <c r="B3204" s="3">
        <v>0.15819515319031699</v>
      </c>
      <c r="C3204" s="3">
        <v>8.9172640775353595E-3</v>
      </c>
      <c r="D3204" s="4">
        <v>2.5326030514739299E-2</v>
      </c>
      <c r="E3204" s="3" t="s">
        <v>13541</v>
      </c>
      <c r="F3204" s="3" t="s">
        <v>13542</v>
      </c>
      <c r="G3204" s="3">
        <v>20084</v>
      </c>
      <c r="H3204" s="7" t="str">
        <f>HYPERLINK("http://www.ensembl.org/Mus_musculus/Gene/Summary?db=core;g=ENSMUSG00000008668","ENSMUSG00000008668")</f>
        <v>ENSMUSG00000008668</v>
      </c>
      <c r="I3204" s="7" t="str">
        <f>HYPERLINK("http://www.informatics.jax.org/marker/MGI:98146","MGI:98146")</f>
        <v>MGI:98146</v>
      </c>
      <c r="J3204" s="4" t="s">
        <v>12</v>
      </c>
    </row>
    <row r="3205" spans="1:10" x14ac:dyDescent="0.25">
      <c r="A3205" s="2">
        <v>2695.0693192516101</v>
      </c>
      <c r="B3205" s="3">
        <v>0.15778468381497801</v>
      </c>
      <c r="C3205" s="3">
        <v>8.59357474966836E-3</v>
      </c>
      <c r="D3205" s="4">
        <v>2.4502174563940202E-2</v>
      </c>
      <c r="E3205" s="3" t="s">
        <v>13757</v>
      </c>
      <c r="F3205" s="3" t="s">
        <v>13758</v>
      </c>
      <c r="G3205" s="3">
        <v>16201</v>
      </c>
      <c r="H3205" s="7" t="str">
        <f>HYPERLINK("http://www.ensembl.org/Mus_musculus/Gene/Summary?db=core;g=ENSMUSG00000032178","ENSMUSG00000032178")</f>
        <v>ENSMUSG00000032178</v>
      </c>
      <c r="I3205" s="7" t="str">
        <f>HYPERLINK("http://www.informatics.jax.org/marker/MGI:1339973","MGI:1339973")</f>
        <v>MGI:1339973</v>
      </c>
      <c r="J3205" s="4" t="s">
        <v>12</v>
      </c>
    </row>
    <row r="3206" spans="1:10" x14ac:dyDescent="0.25">
      <c r="A3206" s="2">
        <v>2581.1442001885798</v>
      </c>
      <c r="B3206" s="3">
        <v>0.157776318089764</v>
      </c>
      <c r="C3206" s="5">
        <v>5.0488977045910603E-5</v>
      </c>
      <c r="D3206" s="4">
        <v>2.2135232298814501E-4</v>
      </c>
      <c r="E3206" s="3" t="s">
        <v>8691</v>
      </c>
      <c r="F3206" s="3" t="s">
        <v>8692</v>
      </c>
      <c r="G3206" s="3">
        <v>230721</v>
      </c>
      <c r="H3206" s="7" t="str">
        <f>HYPERLINK("http://www.ensembl.org/Mus_musculus/Gene/Summary?db=core;g=ENSMUSG00000011257","ENSMUSG00000011257")</f>
        <v>ENSMUSG00000011257</v>
      </c>
      <c r="I3206" s="7" t="str">
        <f>HYPERLINK("http://www.informatics.jax.org/marker/MGI:2385206","MGI:2385206")</f>
        <v>MGI:2385206</v>
      </c>
      <c r="J3206" s="4" t="s">
        <v>12</v>
      </c>
    </row>
    <row r="3207" spans="1:10" x14ac:dyDescent="0.25">
      <c r="A3207" s="2">
        <v>2342.3266788248902</v>
      </c>
      <c r="B3207" s="3">
        <v>0.157770929798073</v>
      </c>
      <c r="C3207" s="3">
        <v>1.1254534648310799E-2</v>
      </c>
      <c r="D3207" s="4">
        <v>3.1167587595420699E-2</v>
      </c>
      <c r="E3207" s="3" t="s">
        <v>7138</v>
      </c>
      <c r="F3207" s="3" t="s">
        <v>7139</v>
      </c>
      <c r="G3207" s="3">
        <v>12488</v>
      </c>
      <c r="H3207" s="7" t="str">
        <f>HYPERLINK("http://www.ensembl.org/Mus_musculus/Gene/Summary?db=core;g=ENSMUSG00000061665","ENSMUSG00000061665")</f>
        <v>ENSMUSG00000061665</v>
      </c>
      <c r="I3207" s="7" t="str">
        <f>HYPERLINK("http://www.informatics.jax.org/marker/MGI:1330281","MGI:1330281")</f>
        <v>MGI:1330281</v>
      </c>
      <c r="J3207" s="4" t="s">
        <v>12</v>
      </c>
    </row>
    <row r="3208" spans="1:10" x14ac:dyDescent="0.25">
      <c r="A3208" s="2">
        <v>2988.5399233549501</v>
      </c>
      <c r="B3208" s="3">
        <v>0.15776263123484799</v>
      </c>
      <c r="C3208" s="3">
        <v>2.7826766593184002E-3</v>
      </c>
      <c r="D3208" s="4">
        <v>8.9034905400417596E-3</v>
      </c>
      <c r="E3208" s="3" t="s">
        <v>6605</v>
      </c>
      <c r="F3208" s="3" t="s">
        <v>6606</v>
      </c>
      <c r="G3208" s="3">
        <v>12848</v>
      </c>
      <c r="H3208" s="7" t="str">
        <f>HYPERLINK("http://www.ensembl.org/Mus_musculus/Gene/Summary?db=core;g=ENSMUSG00000027206","ENSMUSG00000027206")</f>
        <v>ENSMUSG00000027206</v>
      </c>
      <c r="I3208" s="7" t="str">
        <f>HYPERLINK("http://www.informatics.jax.org/marker/MGI:1330276","MGI:1330276")</f>
        <v>MGI:1330276</v>
      </c>
      <c r="J3208" s="4" t="s">
        <v>12</v>
      </c>
    </row>
    <row r="3209" spans="1:10" x14ac:dyDescent="0.25">
      <c r="A3209" s="2">
        <v>3960.7071180726002</v>
      </c>
      <c r="B3209" s="3">
        <v>0.15770990817578701</v>
      </c>
      <c r="C3209" s="5">
        <v>9.6518825820801306E-6</v>
      </c>
      <c r="D3209" s="6">
        <v>4.7286440875916802E-5</v>
      </c>
      <c r="E3209" s="3" t="s">
        <v>5391</v>
      </c>
      <c r="F3209" s="3" t="s">
        <v>5392</v>
      </c>
      <c r="G3209" s="3">
        <v>378702</v>
      </c>
      <c r="H3209" s="7" t="str">
        <f>HYPERLINK("http://www.ensembl.org/Mus_musculus/Gene/Summary?db=core;g=ENSMUSG00000074884","ENSMUSG00000074884")</f>
        <v>ENSMUSG00000074884</v>
      </c>
      <c r="I3209" s="7" t="str">
        <f>HYPERLINK("http://www.informatics.jax.org/marker/MGI:1337041","MGI:1337041")</f>
        <v>MGI:1337041</v>
      </c>
      <c r="J3209" s="4" t="s">
        <v>12</v>
      </c>
    </row>
    <row r="3210" spans="1:10" x14ac:dyDescent="0.25">
      <c r="A3210" s="2">
        <v>4602.8382327912605</v>
      </c>
      <c r="B3210" s="3">
        <v>0.157629182827148</v>
      </c>
      <c r="C3210" s="3">
        <v>4.8345037952404503E-2</v>
      </c>
      <c r="D3210" s="4">
        <v>0.111080221467798</v>
      </c>
      <c r="E3210" s="3" t="s">
        <v>10976</v>
      </c>
      <c r="F3210" s="3" t="s">
        <v>10977</v>
      </c>
      <c r="G3210" s="3">
        <v>53599</v>
      </c>
      <c r="H3210" s="7" t="str">
        <f>HYPERLINK("http://www.ensembl.org/Mus_musculus/Gene/Summary?db=core;g=ENSMUSG00000019818","ENSMUSG00000019818")</f>
        <v>ENSMUSG00000019818</v>
      </c>
      <c r="I3210" s="7" t="str">
        <f>HYPERLINK("http://www.informatics.jax.org/marker/MGI:1859568","MGI:1859568")</f>
        <v>MGI:1859568</v>
      </c>
      <c r="J3210" s="4" t="s">
        <v>12</v>
      </c>
    </row>
    <row r="3211" spans="1:10" x14ac:dyDescent="0.25">
      <c r="A3211" s="2">
        <v>1854.36052735979</v>
      </c>
      <c r="B3211" s="3">
        <v>0.157387395195069</v>
      </c>
      <c r="C3211" s="3">
        <v>3.3478132321835701E-4</v>
      </c>
      <c r="D3211" s="4">
        <v>1.2775103885373799E-3</v>
      </c>
      <c r="E3211" s="3" t="s">
        <v>7965</v>
      </c>
      <c r="F3211" s="3" t="s">
        <v>7966</v>
      </c>
      <c r="G3211" s="3">
        <v>66899</v>
      </c>
      <c r="H3211" s="7" t="str">
        <f>HYPERLINK("http://www.ensembl.org/Mus_musculus/Gene/Summary?db=core;g=ENSMUSG00000029227","ENSMUSG00000029227")</f>
        <v>ENSMUSG00000029227</v>
      </c>
      <c r="I3211" s="7" t="str">
        <f>HYPERLINK("http://www.informatics.jax.org/marker/MGI:1914149","MGI:1914149")</f>
        <v>MGI:1914149</v>
      </c>
      <c r="J3211" s="4" t="s">
        <v>12</v>
      </c>
    </row>
    <row r="3212" spans="1:10" x14ac:dyDescent="0.25">
      <c r="A3212" s="2">
        <v>834.89847097670201</v>
      </c>
      <c r="B3212" s="3">
        <v>0.157222900964861</v>
      </c>
      <c r="C3212" s="3">
        <v>1.3082482770911201E-2</v>
      </c>
      <c r="D3212" s="4">
        <v>3.5591617928027501E-2</v>
      </c>
      <c r="E3212" s="3" t="s">
        <v>12453</v>
      </c>
      <c r="F3212" s="3" t="s">
        <v>12454</v>
      </c>
      <c r="G3212" s="3">
        <v>380601</v>
      </c>
      <c r="H3212" s="7" t="str">
        <f>HYPERLINK("http://www.ensembl.org/Mus_musculus/Gene/Summary?db=core;g=ENSMUSG00000079043","ENSMUSG00000079043")</f>
        <v>ENSMUSG00000079043</v>
      </c>
      <c r="I3212" s="7" t="str">
        <f>HYPERLINK("http://www.informatics.jax.org/marker/MGI:2139469","MGI:2139469")</f>
        <v>MGI:2139469</v>
      </c>
      <c r="J3212" s="4" t="s">
        <v>12</v>
      </c>
    </row>
    <row r="3213" spans="1:10" x14ac:dyDescent="0.25">
      <c r="A3213" s="2">
        <v>10657.855488129901</v>
      </c>
      <c r="B3213" s="3">
        <v>0.15713308552575</v>
      </c>
      <c r="C3213" s="3">
        <v>1.9481826026868799E-3</v>
      </c>
      <c r="D3213" s="4">
        <v>6.4649723113562301E-3</v>
      </c>
      <c r="E3213" s="3" t="s">
        <v>11016</v>
      </c>
      <c r="F3213" s="3" t="s">
        <v>11017</v>
      </c>
      <c r="G3213" s="3">
        <v>20102</v>
      </c>
      <c r="H3213" s="7" t="str">
        <f>HYPERLINK("http://www.ensembl.org/Mus_musculus/Gene/Summary?db=core;g=ENSMUSG00000031320","ENSMUSG00000031320")</f>
        <v>ENSMUSG00000031320</v>
      </c>
      <c r="I3213" s="7" t="str">
        <f>HYPERLINK("http://www.informatics.jax.org/marker/MGI:98158","MGI:98158")</f>
        <v>MGI:98158</v>
      </c>
      <c r="J3213" s="4" t="s">
        <v>12</v>
      </c>
    </row>
    <row r="3214" spans="1:10" x14ac:dyDescent="0.25">
      <c r="A3214" s="2">
        <v>1329.76232498592</v>
      </c>
      <c r="B3214" s="3">
        <v>0.157117090737215</v>
      </c>
      <c r="C3214" s="3">
        <v>1.27824047893445E-2</v>
      </c>
      <c r="D3214" s="4">
        <v>3.4848066908871198E-2</v>
      </c>
      <c r="E3214" s="3" t="s">
        <v>11101</v>
      </c>
      <c r="F3214" s="3" t="s">
        <v>11102</v>
      </c>
      <c r="G3214" s="3">
        <v>20499</v>
      </c>
      <c r="H3214" s="7" t="str">
        <f>HYPERLINK("http://www.ensembl.org/Mus_musculus/Gene/Summary?db=core;g=ENSMUSG00000017756","ENSMUSG00000017756")</f>
        <v>ENSMUSG00000017756</v>
      </c>
      <c r="I3214" s="7" t="str">
        <f>HYPERLINK("http://www.informatics.jax.org/marker/MGI:1342283","MGI:1342283")</f>
        <v>MGI:1342283</v>
      </c>
      <c r="J3214" s="4" t="s">
        <v>12</v>
      </c>
    </row>
    <row r="3215" spans="1:10" x14ac:dyDescent="0.25">
      <c r="A3215" s="2">
        <v>1547.2858292231399</v>
      </c>
      <c r="B3215" s="3">
        <v>0.157068898618652</v>
      </c>
      <c r="C3215" s="3">
        <v>4.1476659916625004E-3</v>
      </c>
      <c r="D3215" s="4">
        <v>1.2719369459540501E-2</v>
      </c>
      <c r="E3215" s="3" t="s">
        <v>5451</v>
      </c>
      <c r="F3215" s="3" t="s">
        <v>5452</v>
      </c>
      <c r="G3215" s="3">
        <v>268741</v>
      </c>
      <c r="H3215" s="7" t="str">
        <f>HYPERLINK("http://www.ensembl.org/Mus_musculus/Gene/Summary?db=core;g=ENSMUSG00000016831","ENSMUSG00000016831")</f>
        <v>ENSMUSG00000016831</v>
      </c>
      <c r="I3215" s="7" t="str">
        <f>HYPERLINK("http://www.informatics.jax.org/marker/MGI:1915389","MGI:1915389")</f>
        <v>MGI:1915389</v>
      </c>
      <c r="J3215" s="4" t="s">
        <v>12</v>
      </c>
    </row>
    <row r="3216" spans="1:10" x14ac:dyDescent="0.25">
      <c r="A3216" s="2">
        <v>43.972883437192998</v>
      </c>
      <c r="B3216" s="3">
        <v>0.15698065458042801</v>
      </c>
      <c r="C3216" s="3">
        <v>0.48289967038028803</v>
      </c>
      <c r="D3216" s="4">
        <v>0.65864739505169601</v>
      </c>
      <c r="E3216" s="3" t="s">
        <v>11165</v>
      </c>
      <c r="F3216" s="3" t="s">
        <v>11166</v>
      </c>
      <c r="G3216" s="3">
        <v>16574</v>
      </c>
      <c r="H3216" s="7" t="str">
        <f>HYPERLINK("http://www.ensembl.org/Mus_musculus/Gene/Summary?db=core;g=ENSMUSG00000026764","ENSMUSG00000026764")</f>
        <v>ENSMUSG00000026764</v>
      </c>
      <c r="I3216" s="7" t="str">
        <f>HYPERLINK("http://www.informatics.jax.org/marker/MGI:1098269","MGI:1098269")</f>
        <v>MGI:1098269</v>
      </c>
      <c r="J3216" s="4" t="s">
        <v>12</v>
      </c>
    </row>
    <row r="3217" spans="1:10" x14ac:dyDescent="0.25">
      <c r="A3217" s="2">
        <v>156.25405026231701</v>
      </c>
      <c r="B3217" s="3">
        <v>0.156972762347348</v>
      </c>
      <c r="C3217" s="3">
        <v>0.17860817949691801</v>
      </c>
      <c r="D3217" s="4">
        <v>0.32229050211201199</v>
      </c>
      <c r="E3217" s="3" t="s">
        <v>13369</v>
      </c>
      <c r="F3217" s="3" t="s">
        <v>13370</v>
      </c>
      <c r="G3217" s="3">
        <v>76367</v>
      </c>
      <c r="H3217" s="7" t="str">
        <f>HYPERLINK("http://www.ensembl.org/Mus_musculus/Gene/Summary?db=core;g=ENSMUSG00000042854","ENSMUSG00000042854")</f>
        <v>ENSMUSG00000042854</v>
      </c>
      <c r="I3217" s="7" t="str">
        <f>HYPERLINK("http://www.informatics.jax.org/marker/MGI:1914050","MGI:1914050")</f>
        <v>MGI:1914050</v>
      </c>
      <c r="J3217" s="4" t="s">
        <v>12</v>
      </c>
    </row>
    <row r="3218" spans="1:10" x14ac:dyDescent="0.25">
      <c r="A3218" s="2">
        <v>2797.7541588383101</v>
      </c>
      <c r="B3218" s="3">
        <v>0.15647054859585599</v>
      </c>
      <c r="C3218" s="3">
        <v>1.60368914037037E-3</v>
      </c>
      <c r="D3218" s="4">
        <v>5.4275273135097604E-3</v>
      </c>
      <c r="E3218" s="3" t="s">
        <v>10762</v>
      </c>
      <c r="F3218" s="3" t="s">
        <v>10763</v>
      </c>
      <c r="G3218" s="3">
        <v>667118</v>
      </c>
      <c r="H3218" s="7" t="str">
        <f>HYPERLINK("http://www.ensembl.org/Mus_musculus/Gene/Summary?db=core;g=ENSMUSG00000094410","ENSMUSG00000094410")</f>
        <v>ENSMUSG00000094410</v>
      </c>
      <c r="I3218" s="7" t="str">
        <f>HYPERLINK("http://www.informatics.jax.org/marker/MGI:5614057","MGI:5614057")</f>
        <v>MGI:5614057</v>
      </c>
      <c r="J3218" s="4" t="s">
        <v>12</v>
      </c>
    </row>
    <row r="3219" spans="1:10" x14ac:dyDescent="0.25">
      <c r="A3219" s="2">
        <v>863.80932478236195</v>
      </c>
      <c r="B3219" s="3">
        <v>0.15644091073518801</v>
      </c>
      <c r="C3219" s="3">
        <v>1.7263289851577799E-2</v>
      </c>
      <c r="D3219" s="4">
        <v>4.54329902592066E-2</v>
      </c>
      <c r="E3219" s="3" t="s">
        <v>8647</v>
      </c>
      <c r="F3219" s="3" t="s">
        <v>8648</v>
      </c>
      <c r="G3219" s="3">
        <v>67890</v>
      </c>
      <c r="H3219" s="7" t="str">
        <f>HYPERLINK("http://www.ensembl.org/Mus_musculus/Gene/Summary?db=core;g=ENSMUSG00000027746","ENSMUSG00000027746")</f>
        <v>ENSMUSG00000027746</v>
      </c>
      <c r="I3219" s="7" t="str">
        <f>HYPERLINK("http://www.informatics.jax.org/marker/MGI:1915140","MGI:1915140")</f>
        <v>MGI:1915140</v>
      </c>
      <c r="J3219" s="4" t="s">
        <v>12</v>
      </c>
    </row>
    <row r="3220" spans="1:10" x14ac:dyDescent="0.25">
      <c r="A3220" s="2">
        <v>920.465168114466</v>
      </c>
      <c r="B3220" s="3">
        <v>0.15643263538539701</v>
      </c>
      <c r="C3220" s="3">
        <v>1.65769482717276E-2</v>
      </c>
      <c r="D3220" s="4">
        <v>4.3873784817344698E-2</v>
      </c>
      <c r="E3220" s="3" t="s">
        <v>7198</v>
      </c>
      <c r="F3220" s="3" t="s">
        <v>7199</v>
      </c>
      <c r="G3220" s="3">
        <v>50868</v>
      </c>
      <c r="H3220" s="7" t="str">
        <f>HYPERLINK("http://www.ensembl.org/Mus_musculus/Gene/Summary?db=core;g=ENSMUSG00000003308","ENSMUSG00000003308")</f>
        <v>ENSMUSG00000003308</v>
      </c>
      <c r="I3220" s="7" t="str">
        <f>HYPERLINK("http://www.informatics.jax.org/marker/MGI:1858732","MGI:1858732")</f>
        <v>MGI:1858732</v>
      </c>
      <c r="J3220" s="4" t="s">
        <v>12</v>
      </c>
    </row>
    <row r="3221" spans="1:10" x14ac:dyDescent="0.25">
      <c r="A3221" s="2">
        <v>698.66911752740396</v>
      </c>
      <c r="B3221" s="3">
        <v>0.156082389271292</v>
      </c>
      <c r="C3221" s="3">
        <v>4.2799837316136201E-2</v>
      </c>
      <c r="D3221" s="4">
        <v>0.100041943707398</v>
      </c>
      <c r="E3221" s="3" t="s">
        <v>7756</v>
      </c>
      <c r="F3221" s="3" t="s">
        <v>7757</v>
      </c>
      <c r="G3221" s="3">
        <v>66432</v>
      </c>
      <c r="H3221" s="7" t="str">
        <f>HYPERLINK("http://www.ensembl.org/Mus_musculus/Gene/Summary?db=core;g=ENSMUSG00000033106","ENSMUSG00000033106")</f>
        <v>ENSMUSG00000033106</v>
      </c>
      <c r="I3221" s="7" t="str">
        <f>HYPERLINK("http://www.informatics.jax.org/marker/MGI:1916951","MGI:1916951")</f>
        <v>MGI:1916951</v>
      </c>
      <c r="J3221" s="4" t="s">
        <v>12</v>
      </c>
    </row>
    <row r="3222" spans="1:10" x14ac:dyDescent="0.25">
      <c r="A3222" s="2">
        <v>1651.3970951019</v>
      </c>
      <c r="B3222" s="3">
        <v>0.15603580974095899</v>
      </c>
      <c r="C3222" s="3">
        <v>1.15055271661385E-2</v>
      </c>
      <c r="D3222" s="4">
        <v>3.1795031478828603E-2</v>
      </c>
      <c r="E3222" s="3" t="s">
        <v>11687</v>
      </c>
      <c r="F3222" s="3" t="s">
        <v>11688</v>
      </c>
      <c r="G3222" s="3">
        <v>72102</v>
      </c>
      <c r="H3222" s="7" t="str">
        <f>HYPERLINK("http://www.ensembl.org/Mus_musculus/Gene/Summary?db=core;g=ENSMUSG00000030002","ENSMUSG00000030002")</f>
        <v>ENSMUSG00000030002</v>
      </c>
      <c r="I3222" s="7" t="str">
        <f>HYPERLINK("http://www.informatics.jax.org/marker/MGI:1919352","MGI:1919352")</f>
        <v>MGI:1919352</v>
      </c>
      <c r="J3222" s="4" t="s">
        <v>12</v>
      </c>
    </row>
    <row r="3223" spans="1:10" x14ac:dyDescent="0.25">
      <c r="A3223" s="2">
        <v>2898.0672649671201</v>
      </c>
      <c r="B3223" s="3">
        <v>0.156035039103428</v>
      </c>
      <c r="C3223" s="3">
        <v>4.4210556093445697E-3</v>
      </c>
      <c r="D3223" s="4">
        <v>1.34592067941265E-2</v>
      </c>
      <c r="E3223" s="3" t="s">
        <v>9579</v>
      </c>
      <c r="F3223" s="3" t="s">
        <v>9580</v>
      </c>
      <c r="G3223" s="3">
        <v>20019</v>
      </c>
      <c r="H3223" s="7" t="str">
        <f>HYPERLINK("http://www.ensembl.org/Mus_musculus/Gene/Summary?db=core;g=ENSMUSG00000049553","ENSMUSG00000049553")</f>
        <v>ENSMUSG00000049553</v>
      </c>
      <c r="I3223" s="7" t="str">
        <f>HYPERLINK("http://www.informatics.jax.org/marker/MGI:1096397","MGI:1096397")</f>
        <v>MGI:1096397</v>
      </c>
      <c r="J3223" s="4" t="s">
        <v>12</v>
      </c>
    </row>
    <row r="3224" spans="1:10" x14ac:dyDescent="0.25">
      <c r="A3224" s="2">
        <v>10977.839835754499</v>
      </c>
      <c r="B3224" s="3">
        <v>0.15577225844957401</v>
      </c>
      <c r="C3224" s="5">
        <v>6.9410232406906194E-5</v>
      </c>
      <c r="D3224" s="4">
        <v>2.9715797172089802E-4</v>
      </c>
      <c r="E3224" s="3" t="s">
        <v>9255</v>
      </c>
      <c r="F3224" s="3" t="s">
        <v>9256</v>
      </c>
      <c r="G3224" s="3">
        <v>66870</v>
      </c>
      <c r="H3224" s="7" t="str">
        <f>HYPERLINK("http://www.ensembl.org/Mus_musculus/Gene/Summary?db=core;g=ENSMUSG00000036371","ENSMUSG00000036371")</f>
        <v>ENSMUSG00000036371</v>
      </c>
      <c r="I3224" s="7" t="str">
        <f>HYPERLINK("http://www.informatics.jax.org/marker/MGI:1914120","MGI:1914120")</f>
        <v>MGI:1914120</v>
      </c>
      <c r="J3224" s="4" t="s">
        <v>12</v>
      </c>
    </row>
    <row r="3225" spans="1:10" x14ac:dyDescent="0.25">
      <c r="A3225" s="2">
        <v>1213.8936571350901</v>
      </c>
      <c r="B3225" s="3">
        <v>0.15571761059026501</v>
      </c>
      <c r="C3225" s="3">
        <v>1.73560099170632E-3</v>
      </c>
      <c r="D3225" s="4">
        <v>5.82207400586189E-3</v>
      </c>
      <c r="E3225" s="3" t="s">
        <v>10426</v>
      </c>
      <c r="F3225" s="3" t="s">
        <v>10427</v>
      </c>
      <c r="G3225" s="3">
        <v>106073</v>
      </c>
      <c r="H3225" s="7" t="str">
        <f>HYPERLINK("http://www.ensembl.org/Mus_musculus/Gene/Summary?db=core;g=ENSMUSG00000045665","ENSMUSG00000045665")</f>
        <v>ENSMUSG00000045665</v>
      </c>
      <c r="I3225" s="7" t="str">
        <f>HYPERLINK("http://www.informatics.jax.org/marker/MGI:2145901","MGI:2145901")</f>
        <v>MGI:2145901</v>
      </c>
      <c r="J3225" s="4" t="s">
        <v>12</v>
      </c>
    </row>
    <row r="3226" spans="1:10" x14ac:dyDescent="0.25">
      <c r="A3226" s="2">
        <v>678.10467355081801</v>
      </c>
      <c r="B3226" s="3">
        <v>0.15559603584769899</v>
      </c>
      <c r="C3226" s="3">
        <v>1.34858319109368E-2</v>
      </c>
      <c r="D3226" s="4">
        <v>3.6557978071816703E-2</v>
      </c>
      <c r="E3226" s="3" t="s">
        <v>4057</v>
      </c>
      <c r="F3226" s="3" t="s">
        <v>4058</v>
      </c>
      <c r="G3226" s="3">
        <v>72065</v>
      </c>
      <c r="H3226" s="7" t="str">
        <f>HYPERLINK("http://www.ensembl.org/Mus_musculus/Gene/Summary?db=core;g=ENSMUSG00000050029","ENSMUSG00000050029")</f>
        <v>ENSMUSG00000050029</v>
      </c>
      <c r="I3226" s="7" t="str">
        <f>HYPERLINK("http://www.informatics.jax.org/marker/MGI:1919315","MGI:1919315")</f>
        <v>MGI:1919315</v>
      </c>
      <c r="J3226" s="4" t="s">
        <v>12</v>
      </c>
    </row>
    <row r="3227" spans="1:10" x14ac:dyDescent="0.25">
      <c r="A3227" s="2">
        <v>986.80272253007001</v>
      </c>
      <c r="B3227" s="3">
        <v>0.15484174615636001</v>
      </c>
      <c r="C3227" s="3">
        <v>1.8890244980843102E-2</v>
      </c>
      <c r="D3227" s="4">
        <v>4.9132969141696202E-2</v>
      </c>
      <c r="E3227" s="3" t="s">
        <v>11245</v>
      </c>
      <c r="F3227" s="3" t="s">
        <v>11246</v>
      </c>
      <c r="G3227" s="3">
        <v>13872</v>
      </c>
      <c r="H3227" s="7" t="str">
        <f>HYPERLINK("http://www.ensembl.org/Mus_musculus/Gene/Summary?db=core;g=ENSMUSG00000024382","ENSMUSG00000024382")</f>
        <v>ENSMUSG00000024382</v>
      </c>
      <c r="I3227" s="7" t="str">
        <f>HYPERLINK("http://www.informatics.jax.org/marker/MGI:95414","MGI:95414")</f>
        <v>MGI:95414</v>
      </c>
      <c r="J3227" s="4" t="s">
        <v>12</v>
      </c>
    </row>
    <row r="3228" spans="1:10" x14ac:dyDescent="0.25">
      <c r="A3228" s="2">
        <v>80.878506316506702</v>
      </c>
      <c r="B3228" s="3">
        <v>0.15480095168143401</v>
      </c>
      <c r="C3228" s="3">
        <v>0.35742827848539199</v>
      </c>
      <c r="D3228" s="4">
        <v>0.53517337951004496</v>
      </c>
      <c r="E3228" s="3" t="s">
        <v>12759</v>
      </c>
      <c r="F3228" s="3" t="s">
        <v>12760</v>
      </c>
      <c r="G3228" s="3">
        <v>26942</v>
      </c>
      <c r="H3228" s="7" t="str">
        <f>HYPERLINK("http://www.ensembl.org/Mus_musculus/Gene/Summary?db=core;g=ENSMUSG00000037617","ENSMUSG00000037617")</f>
        <v>ENSMUSG00000037617</v>
      </c>
      <c r="I3228" s="7" t="str">
        <f>HYPERLINK("http://www.informatics.jax.org/marker/MGI:1349387","MGI:1349387")</f>
        <v>MGI:1349387</v>
      </c>
      <c r="J3228" s="4" t="s">
        <v>12</v>
      </c>
    </row>
    <row r="3229" spans="1:10" x14ac:dyDescent="0.25">
      <c r="A3229" s="2">
        <v>1105.11186594839</v>
      </c>
      <c r="B3229" s="3">
        <v>0.15477895560795901</v>
      </c>
      <c r="C3229" s="3">
        <v>3.1306983673496098E-3</v>
      </c>
      <c r="D3229" s="4">
        <v>9.8817072644521303E-3</v>
      </c>
      <c r="E3229" s="3" t="s">
        <v>8939</v>
      </c>
      <c r="F3229" s="3" t="s">
        <v>8940</v>
      </c>
      <c r="G3229" s="3">
        <v>66965</v>
      </c>
      <c r="H3229" s="7" t="str">
        <f>HYPERLINK("http://www.ensembl.org/Mus_musculus/Gene/Summary?db=core;g=ENSMUSG00000049482","ENSMUSG00000049482")</f>
        <v>ENSMUSG00000049482</v>
      </c>
      <c r="I3229" s="7" t="str">
        <f>HYPERLINK("http://www.informatics.jax.org/marker/MGI:1914215","MGI:1914215")</f>
        <v>MGI:1914215</v>
      </c>
      <c r="J3229" s="4" t="s">
        <v>12</v>
      </c>
    </row>
    <row r="3230" spans="1:10" x14ac:dyDescent="0.25">
      <c r="A3230" s="2">
        <v>3245.1490696812298</v>
      </c>
      <c r="B3230" s="3">
        <v>0.15450208105090199</v>
      </c>
      <c r="C3230" s="5">
        <v>3.2965825608936699E-5</v>
      </c>
      <c r="D3230" s="4">
        <v>1.4878706580556499E-4</v>
      </c>
      <c r="E3230" s="3" t="s">
        <v>7410</v>
      </c>
      <c r="F3230" s="3" t="s">
        <v>7411</v>
      </c>
      <c r="G3230" s="3">
        <v>76893</v>
      </c>
      <c r="H3230" s="7" t="str">
        <f>HYPERLINK("http://www.ensembl.org/Mus_musculus/Gene/Summary?db=core;g=ENSMUSG00000015714","ENSMUSG00000015714")</f>
        <v>ENSMUSG00000015714</v>
      </c>
      <c r="I3230" s="7" t="str">
        <f>HYPERLINK("http://www.informatics.jax.org/marker/MGI:1924143","MGI:1924143")</f>
        <v>MGI:1924143</v>
      </c>
      <c r="J3230" s="4" t="s">
        <v>12</v>
      </c>
    </row>
    <row r="3231" spans="1:10" x14ac:dyDescent="0.25">
      <c r="A3231" s="2">
        <v>1383.80254044507</v>
      </c>
      <c r="B3231" s="3">
        <v>0.15448142068107101</v>
      </c>
      <c r="C3231" s="3">
        <v>9.1367038198618498E-3</v>
      </c>
      <c r="D3231" s="4">
        <v>2.5880700515539701E-2</v>
      </c>
      <c r="E3231" s="3" t="s">
        <v>11054</v>
      </c>
      <c r="F3231" s="3" t="s">
        <v>11055</v>
      </c>
      <c r="G3231" s="3">
        <v>66074</v>
      </c>
      <c r="H3231" s="7" t="str">
        <f>HYPERLINK("http://www.ensembl.org/Mus_musculus/Gene/Summary?db=core;g=ENSMUSG00000012422","ENSMUSG00000012422")</f>
        <v>ENSMUSG00000012422</v>
      </c>
      <c r="I3231" s="7" t="str">
        <f>HYPERLINK("http://www.informatics.jax.org/marker/MGI:1913324","MGI:1913324")</f>
        <v>MGI:1913324</v>
      </c>
      <c r="J3231" s="4" t="s">
        <v>12</v>
      </c>
    </row>
    <row r="3232" spans="1:10" x14ac:dyDescent="0.25">
      <c r="A3232" s="2">
        <v>4795.3344532239798</v>
      </c>
      <c r="B3232" s="3">
        <v>0.15445834280155299</v>
      </c>
      <c r="C3232" s="5">
        <v>1.97639319881348E-5</v>
      </c>
      <c r="D3232" s="6">
        <v>9.2500683226439805E-5</v>
      </c>
      <c r="E3232" s="3" t="s">
        <v>7844</v>
      </c>
      <c r="F3232" s="3" t="s">
        <v>7845</v>
      </c>
      <c r="G3232" s="3">
        <v>19349</v>
      </c>
      <c r="H3232" s="7" t="str">
        <f>HYPERLINK("http://www.ensembl.org/Mus_musculus/Gene/Summary?db=core;g=ENSMUSG00000079477","ENSMUSG00000079477")</f>
        <v>ENSMUSG00000079477</v>
      </c>
      <c r="I3232" s="7" t="str">
        <f>HYPERLINK("http://www.informatics.jax.org/marker/MGI:105068","MGI:105068")</f>
        <v>MGI:105068</v>
      </c>
      <c r="J3232" s="4" t="s">
        <v>12</v>
      </c>
    </row>
    <row r="3233" spans="1:10" x14ac:dyDescent="0.25">
      <c r="A3233" s="2">
        <v>199.825199547491</v>
      </c>
      <c r="B3233" s="3">
        <v>0.15443892078084501</v>
      </c>
      <c r="C3233" s="3">
        <v>9.2033519900135599E-2</v>
      </c>
      <c r="D3233" s="4">
        <v>0.190085097481864</v>
      </c>
      <c r="E3233" s="3" t="s">
        <v>9737</v>
      </c>
      <c r="F3233" s="3" t="s">
        <v>9738</v>
      </c>
      <c r="G3233" s="3">
        <v>76773</v>
      </c>
      <c r="H3233" s="7" t="str">
        <f>HYPERLINK("http://www.ensembl.org/Mus_musculus/Gene/Summary?db=core;g=ENSMUSG00000022359","ENSMUSG00000022359")</f>
        <v>ENSMUSG00000022359</v>
      </c>
      <c r="I3233" s="7" t="str">
        <f>HYPERLINK("http://www.informatics.jax.org/marker/MGI:1924023","MGI:1924023")</f>
        <v>MGI:1924023</v>
      </c>
      <c r="J3233" s="4" t="s">
        <v>12</v>
      </c>
    </row>
    <row r="3234" spans="1:10" x14ac:dyDescent="0.25">
      <c r="A3234" s="2">
        <v>2909.43512166456</v>
      </c>
      <c r="B3234" s="3">
        <v>0.15412049371881301</v>
      </c>
      <c r="C3234" s="3">
        <v>5.3938734876260899E-2</v>
      </c>
      <c r="D3234" s="4">
        <v>0.121692676791267</v>
      </c>
      <c r="E3234" s="3" t="s">
        <v>12431</v>
      </c>
      <c r="F3234" s="3" t="s">
        <v>12432</v>
      </c>
      <c r="G3234" s="3">
        <v>229512</v>
      </c>
      <c r="H3234" s="7" t="str">
        <f>HYPERLINK("http://www.ensembl.org/Mus_musculus/Gene/Summary?db=core;g=ENSMUSG00000001415","ENSMUSG00000001415")</f>
        <v>ENSMUSG00000001415</v>
      </c>
      <c r="I3234" s="7" t="str">
        <f>HYPERLINK("http://www.informatics.jax.org/marker/MGI:2447364","MGI:2447364")</f>
        <v>MGI:2447364</v>
      </c>
      <c r="J3234" s="4" t="s">
        <v>12</v>
      </c>
    </row>
    <row r="3235" spans="1:10" x14ac:dyDescent="0.25">
      <c r="A3235" s="2">
        <v>6755.4984217863203</v>
      </c>
      <c r="B3235" s="3">
        <v>0.153960205882652</v>
      </c>
      <c r="C3235" s="3">
        <v>1.15952121951399E-2</v>
      </c>
      <c r="D3235" s="4">
        <v>3.2008897645626297E-2</v>
      </c>
      <c r="E3235" s="3" t="s">
        <v>13979</v>
      </c>
      <c r="F3235" s="3" t="s">
        <v>13980</v>
      </c>
      <c r="G3235" s="3">
        <v>76808</v>
      </c>
      <c r="H3235" s="7" t="str">
        <f>HYPERLINK("http://www.ensembl.org/Mus_musculus/Gene/Summary?db=core;g=ENSMUSG00000045128","ENSMUSG00000045128")</f>
        <v>ENSMUSG00000045128</v>
      </c>
      <c r="I3235" s="7" t="str">
        <f>HYPERLINK("http://www.informatics.jax.org/marker/MGI:1924058","MGI:1924058")</f>
        <v>MGI:1924058</v>
      </c>
      <c r="J3235" s="4" t="s">
        <v>12</v>
      </c>
    </row>
    <row r="3236" spans="1:10" x14ac:dyDescent="0.25">
      <c r="A3236" s="2">
        <v>3647.99077602335</v>
      </c>
      <c r="B3236" s="3">
        <v>0.15390669084119901</v>
      </c>
      <c r="C3236" s="5">
        <v>3.89009709699132E-5</v>
      </c>
      <c r="D3236" s="4">
        <v>1.7304617913758001E-4</v>
      </c>
      <c r="E3236" s="3" t="s">
        <v>4179</v>
      </c>
      <c r="F3236" s="3" t="s">
        <v>4180</v>
      </c>
      <c r="G3236" s="3">
        <v>213827</v>
      </c>
      <c r="H3236" s="7" t="str">
        <f>HYPERLINK("http://www.ensembl.org/Mus_musculus/Gene/Summary?db=core;g=ENSMUSG00000032096","ENSMUSG00000032096")</f>
        <v>ENSMUSG00000032096</v>
      </c>
      <c r="I3236" s="7" t="str">
        <f>HYPERLINK("http://www.informatics.jax.org/marker/MGI:2387591","MGI:2387591")</f>
        <v>MGI:2387591</v>
      </c>
      <c r="J3236" s="4" t="s">
        <v>12</v>
      </c>
    </row>
    <row r="3237" spans="1:10" x14ac:dyDescent="0.25">
      <c r="A3237" s="2">
        <v>532.69872941681501</v>
      </c>
      <c r="B3237" s="3">
        <v>0.15318041153202799</v>
      </c>
      <c r="C3237" s="3">
        <v>3.5210379394707302E-2</v>
      </c>
      <c r="D3237" s="4">
        <v>8.4602394788205804E-2</v>
      </c>
      <c r="E3237" s="3" t="s">
        <v>10214</v>
      </c>
      <c r="F3237" s="3" t="s">
        <v>10215</v>
      </c>
      <c r="G3237" s="3">
        <v>237859</v>
      </c>
      <c r="H3237" s="7" t="str">
        <f>HYPERLINK("http://www.ensembl.org/Mus_musculus/Gene/Summary?db=core;g=ENSMUSG00000037958","ENSMUSG00000037958")</f>
        <v>ENSMUSG00000037958</v>
      </c>
      <c r="I3237" s="7" t="str">
        <f>HYPERLINK("http://www.informatics.jax.org/marker/MGI:2144305","MGI:2144305")</f>
        <v>MGI:2144305</v>
      </c>
      <c r="J3237" s="4" t="s">
        <v>12</v>
      </c>
    </row>
    <row r="3238" spans="1:10" x14ac:dyDescent="0.25">
      <c r="A3238" s="2">
        <v>2151.3080953918802</v>
      </c>
      <c r="B3238" s="3">
        <v>0.15315690438528101</v>
      </c>
      <c r="C3238" s="3">
        <v>1.1443930147526701E-2</v>
      </c>
      <c r="D3238" s="4">
        <v>3.1644003480302503E-2</v>
      </c>
      <c r="E3238" s="3" t="s">
        <v>5529</v>
      </c>
      <c r="F3238" s="3" t="s">
        <v>5530</v>
      </c>
      <c r="G3238" s="3">
        <v>13169</v>
      </c>
      <c r="H3238" s="7" t="str">
        <f>HYPERLINK("http://www.ensembl.org/Mus_musculus/Gene/Summary?db=core;g=ENSMUSG00000020476","ENSMUSG00000020476")</f>
        <v>ENSMUSG00000020476</v>
      </c>
      <c r="I3238" s="7" t="str">
        <f>HYPERLINK("http://www.informatics.jax.org/marker/MGI:700006","MGI:700006")</f>
        <v>MGI:700006</v>
      </c>
      <c r="J3238" s="4" t="s">
        <v>12</v>
      </c>
    </row>
    <row r="3239" spans="1:10" x14ac:dyDescent="0.25">
      <c r="A3239" s="2">
        <v>356.01406996780798</v>
      </c>
      <c r="B3239" s="3">
        <v>0.15300506995594099</v>
      </c>
      <c r="C3239" s="3">
        <v>1.7559613393248599E-2</v>
      </c>
      <c r="D3239" s="4">
        <v>4.6093036740883699E-2</v>
      </c>
      <c r="E3239" s="3" t="s">
        <v>12857</v>
      </c>
      <c r="F3239" s="3" t="s">
        <v>12858</v>
      </c>
      <c r="G3239" s="3">
        <v>67480</v>
      </c>
      <c r="H3239" s="7" t="str">
        <f>HYPERLINK("http://www.ensembl.org/Mus_musculus/Gene/Summary?db=core;g=ENSMUSG00000018541","ENSMUSG00000018541")</f>
        <v>ENSMUSG00000018541</v>
      </c>
      <c r="I3239" s="7" t="str">
        <f>HYPERLINK("http://www.informatics.jax.org/marker/MGI:1914730","MGI:1914730")</f>
        <v>MGI:1914730</v>
      </c>
      <c r="J3239" s="4" t="s">
        <v>12</v>
      </c>
    </row>
    <row r="3240" spans="1:10" x14ac:dyDescent="0.25">
      <c r="A3240" s="2">
        <v>4495.7401788484603</v>
      </c>
      <c r="B3240" s="3">
        <v>0.15299571505446899</v>
      </c>
      <c r="C3240" s="3">
        <v>2.57851283941159E-3</v>
      </c>
      <c r="D3240" s="4">
        <v>8.3159434610292193E-3</v>
      </c>
      <c r="E3240" s="3" t="s">
        <v>9209</v>
      </c>
      <c r="F3240" s="3" t="s">
        <v>9210</v>
      </c>
      <c r="G3240" s="3">
        <v>11637</v>
      </c>
      <c r="H3240" s="7" t="str">
        <f>HYPERLINK("http://www.ensembl.org/Mus_musculus/Gene/Summary?db=core;g=ENSMUSG00000028792","ENSMUSG00000028792")</f>
        <v>ENSMUSG00000028792</v>
      </c>
      <c r="I3240" s="7" t="str">
        <f>HYPERLINK("http://www.informatics.jax.org/marker/MGI:87978","MGI:87978")</f>
        <v>MGI:87978</v>
      </c>
      <c r="J3240" s="4" t="s">
        <v>12</v>
      </c>
    </row>
    <row r="3241" spans="1:10" x14ac:dyDescent="0.25">
      <c r="A3241" s="2">
        <v>662.33797196798503</v>
      </c>
      <c r="B3241" s="3">
        <v>0.15296443372802901</v>
      </c>
      <c r="C3241" s="3">
        <v>3.9343471768287501E-2</v>
      </c>
      <c r="D3241" s="4">
        <v>9.3121399087927298E-2</v>
      </c>
      <c r="E3241" s="3" t="s">
        <v>13320</v>
      </c>
      <c r="F3241" s="3" t="s">
        <v>13321</v>
      </c>
      <c r="G3241" s="3">
        <v>66384</v>
      </c>
      <c r="H3241" s="7" t="str">
        <f>HYPERLINK("http://www.ensembl.org/Mus_musculus/Gene/Summary?db=core;g=ENSMUSG00000014504","ENSMUSG00000014504")</f>
        <v>ENSMUSG00000014504</v>
      </c>
      <c r="I3241" s="7" t="str">
        <f>HYPERLINK("http://www.informatics.jax.org/marker/MGI:1913634","MGI:1913634")</f>
        <v>MGI:1913634</v>
      </c>
      <c r="J3241" s="4" t="s">
        <v>12</v>
      </c>
    </row>
    <row r="3242" spans="1:10" x14ac:dyDescent="0.25">
      <c r="A3242" s="2">
        <v>1809.90351199714</v>
      </c>
      <c r="B3242" s="3">
        <v>0.152911680103823</v>
      </c>
      <c r="C3242" s="3">
        <v>5.1901720927563198E-2</v>
      </c>
      <c r="D3242" s="4">
        <v>0.117679629746807</v>
      </c>
      <c r="E3242" s="3" t="s">
        <v>7744</v>
      </c>
      <c r="F3242" s="3" t="s">
        <v>7745</v>
      </c>
      <c r="G3242" s="3">
        <v>19167</v>
      </c>
      <c r="H3242" s="7" t="str">
        <f>HYPERLINK("http://www.ensembl.org/Mus_musculus/Gene/Summary?db=core;g=ENSMUSG00000060073","ENSMUSG00000060073")</f>
        <v>ENSMUSG00000060073</v>
      </c>
      <c r="I3242" s="7" t="str">
        <f>HYPERLINK("http://www.informatics.jax.org/marker/MGI:104883","MGI:104883")</f>
        <v>MGI:104883</v>
      </c>
      <c r="J3242" s="4" t="s">
        <v>12</v>
      </c>
    </row>
    <row r="3243" spans="1:10" x14ac:dyDescent="0.25">
      <c r="A3243" s="2">
        <v>1837.74749134221</v>
      </c>
      <c r="B3243" s="3">
        <v>0.15271026966340501</v>
      </c>
      <c r="C3243" s="3">
        <v>8.0987078419514499E-4</v>
      </c>
      <c r="D3243" s="4">
        <v>2.89182896590057E-3</v>
      </c>
      <c r="E3243" s="3" t="s">
        <v>12011</v>
      </c>
      <c r="F3243" s="3" t="s">
        <v>12012</v>
      </c>
      <c r="G3243" s="3">
        <v>72736</v>
      </c>
      <c r="H3243" s="7" t="str">
        <f>HYPERLINK("http://www.ensembl.org/Mus_musculus/Gene/Summary?db=core;g=ENSMUSG00000021072","ENSMUSG00000021072")</f>
        <v>ENSMUSG00000021072</v>
      </c>
      <c r="I3243" s="7" t="str">
        <f>HYPERLINK("http://www.informatics.jax.org/marker/MGI:1919986","MGI:1919986")</f>
        <v>MGI:1919986</v>
      </c>
      <c r="J3243" s="4" t="s">
        <v>12</v>
      </c>
    </row>
    <row r="3244" spans="1:10" x14ac:dyDescent="0.25">
      <c r="A3244" s="2">
        <v>911.08138524086201</v>
      </c>
      <c r="B3244" s="3">
        <v>0.15268569424719999</v>
      </c>
      <c r="C3244" s="3">
        <v>5.2001660463222004E-3</v>
      </c>
      <c r="D3244" s="4">
        <v>1.55851054422335E-2</v>
      </c>
      <c r="E3244" s="3" t="s">
        <v>7438</v>
      </c>
      <c r="F3244" s="3" t="s">
        <v>7439</v>
      </c>
      <c r="G3244" s="3">
        <v>66646</v>
      </c>
      <c r="H3244" s="7" t="str">
        <f>HYPERLINK("http://www.ensembl.org/Mus_musculus/Gene/Summary?db=core;g=ENSMUSG00000026005","ENSMUSG00000026005")</f>
        <v>ENSMUSG00000026005</v>
      </c>
      <c r="I3244" s="7" t="str">
        <f>HYPERLINK("http://www.informatics.jax.org/marker/MGI:1913896","MGI:1913896")</f>
        <v>MGI:1913896</v>
      </c>
      <c r="J3244" s="4" t="s">
        <v>12</v>
      </c>
    </row>
    <row r="3245" spans="1:10" x14ac:dyDescent="0.25">
      <c r="A3245" s="2">
        <v>6494.6465339119004</v>
      </c>
      <c r="B3245" s="3">
        <v>0.15236875987811799</v>
      </c>
      <c r="C3245" s="3">
        <v>1.3647991187909901E-4</v>
      </c>
      <c r="D3245" s="4">
        <v>5.5695172279368198E-4</v>
      </c>
      <c r="E3245" s="3" t="s">
        <v>6007</v>
      </c>
      <c r="F3245" s="3" t="s">
        <v>6008</v>
      </c>
      <c r="G3245" s="3">
        <v>70356</v>
      </c>
      <c r="H3245" s="7" t="str">
        <f>HYPERLINK("http://www.ensembl.org/Mus_musculus/Gene/Summary?db=core;g=ENSMUSG00000022403","ENSMUSG00000022403")</f>
        <v>ENSMUSG00000022403</v>
      </c>
      <c r="I3245" s="7" t="str">
        <f>HYPERLINK("http://www.informatics.jax.org/marker/MGI:1917606","MGI:1917606")</f>
        <v>MGI:1917606</v>
      </c>
      <c r="J3245" s="4" t="s">
        <v>12</v>
      </c>
    </row>
    <row r="3246" spans="1:10" x14ac:dyDescent="0.25">
      <c r="A3246" s="2">
        <v>1417.0269188196</v>
      </c>
      <c r="B3246" s="3">
        <v>0.152153111809885</v>
      </c>
      <c r="C3246" s="3">
        <v>2.3323598861628599E-2</v>
      </c>
      <c r="D3246" s="4">
        <v>5.9013270755682599E-2</v>
      </c>
      <c r="E3246" s="3" t="s">
        <v>13689</v>
      </c>
      <c r="F3246" s="3" t="s">
        <v>13690</v>
      </c>
      <c r="G3246" s="3">
        <v>12864</v>
      </c>
      <c r="H3246" s="7" t="str">
        <f>HYPERLINK("http://www.ensembl.org/Mus_musculus/Gene/Summary?db=core;g=ENSMUSG00000014313","ENSMUSG00000014313")</f>
        <v>ENSMUSG00000014313</v>
      </c>
      <c r="I3246" s="7" t="str">
        <f>HYPERLINK("http://www.informatics.jax.org/marker/MGI:104614","MGI:104614")</f>
        <v>MGI:104614</v>
      </c>
      <c r="J3246" s="4" t="s">
        <v>12</v>
      </c>
    </row>
    <row r="3247" spans="1:10" x14ac:dyDescent="0.25">
      <c r="A3247" s="2">
        <v>1406.46291919596</v>
      </c>
      <c r="B3247" s="3">
        <v>0.151862707783812</v>
      </c>
      <c r="C3247" s="3">
        <v>4.9049405551983803E-3</v>
      </c>
      <c r="D3247" s="4">
        <v>1.47731848650621E-2</v>
      </c>
      <c r="E3247" s="3" t="s">
        <v>7716</v>
      </c>
      <c r="F3247" s="3" t="s">
        <v>7717</v>
      </c>
      <c r="G3247" s="3" t="s">
        <v>83</v>
      </c>
      <c r="H3247" s="7" t="str">
        <f>HYPERLINK("http://www.ensembl.org/Mus_musculus/Gene/Summary?db=core;g=ENSMUSG00000092232","ENSMUSG00000092232")</f>
        <v>ENSMUSG00000092232</v>
      </c>
      <c r="I3247" s="7" t="str">
        <f>HYPERLINK("http://www.informatics.jax.org/marker/MGI:5141986","MGI:5141986")</f>
        <v>MGI:5141986</v>
      </c>
      <c r="J3247" s="4" t="s">
        <v>12</v>
      </c>
    </row>
    <row r="3248" spans="1:10" x14ac:dyDescent="0.25">
      <c r="A3248" s="2">
        <v>622.93269785203699</v>
      </c>
      <c r="B3248" s="3">
        <v>0.15185967622885699</v>
      </c>
      <c r="C3248" s="3">
        <v>9.4204733386353601E-2</v>
      </c>
      <c r="D3248" s="4">
        <v>0.19386644827984401</v>
      </c>
      <c r="E3248" s="3" t="s">
        <v>10496</v>
      </c>
      <c r="F3248" s="3" t="s">
        <v>10497</v>
      </c>
      <c r="G3248" s="3">
        <v>24127</v>
      </c>
      <c r="H3248" s="7" t="str">
        <f>HYPERLINK("http://www.ensembl.org/Mus_musculus/Gene/Summary?db=core;g=ENSMUSG00000032410","ENSMUSG00000032410")</f>
        <v>ENSMUSG00000032410</v>
      </c>
      <c r="I3248" s="7" t="str">
        <f>HYPERLINK("http://www.informatics.jax.org/marker/MGI:891964","MGI:891964")</f>
        <v>MGI:891964</v>
      </c>
      <c r="J3248" s="4" t="s">
        <v>12</v>
      </c>
    </row>
    <row r="3249" spans="1:10" x14ac:dyDescent="0.25">
      <c r="A3249" s="2">
        <v>2492.35527940047</v>
      </c>
      <c r="B3249" s="3">
        <v>0.15150960202364899</v>
      </c>
      <c r="C3249" s="3">
        <v>2.3193329147630699E-3</v>
      </c>
      <c r="D3249" s="4">
        <v>7.5590230088140899E-3</v>
      </c>
      <c r="E3249" s="3" t="s">
        <v>8401</v>
      </c>
      <c r="F3249" s="3" t="s">
        <v>8402</v>
      </c>
      <c r="G3249" s="3">
        <v>269966</v>
      </c>
      <c r="H3249" s="7" t="str">
        <f>HYPERLINK("http://www.ensembl.org/Mus_musculus/Gene/Summary?db=core;g=ENSMUSG00000063550","ENSMUSG00000063550")</f>
        <v>ENSMUSG00000063550</v>
      </c>
      <c r="I3249" s="7" t="str">
        <f>HYPERLINK("http://www.informatics.jax.org/marker/MGI:109404","MGI:109404")</f>
        <v>MGI:109404</v>
      </c>
      <c r="J3249" s="4" t="s">
        <v>12</v>
      </c>
    </row>
    <row r="3250" spans="1:10" x14ac:dyDescent="0.25">
      <c r="A3250" s="2">
        <v>8473.9984934197</v>
      </c>
      <c r="B3250" s="3">
        <v>0.15145881773431699</v>
      </c>
      <c r="C3250" s="3">
        <v>1.1412259599612E-3</v>
      </c>
      <c r="D3250" s="4">
        <v>3.9760740050263704E-3</v>
      </c>
      <c r="E3250" s="3" t="s">
        <v>9341</v>
      </c>
      <c r="F3250" s="3" t="s">
        <v>9342</v>
      </c>
      <c r="G3250" s="3">
        <v>12465</v>
      </c>
      <c r="H3250" s="7" t="str">
        <f>HYPERLINK("http://www.ensembl.org/Mus_musculus/Gene/Summary?db=core;g=ENSMUSG00000022234","ENSMUSG00000022234")</f>
        <v>ENSMUSG00000022234</v>
      </c>
      <c r="I3250" s="7" t="str">
        <f>HYPERLINK("http://www.informatics.jax.org/marker/MGI:107185","MGI:107185")</f>
        <v>MGI:107185</v>
      </c>
      <c r="J3250" s="4" t="s">
        <v>12</v>
      </c>
    </row>
    <row r="3251" spans="1:10" x14ac:dyDescent="0.25">
      <c r="A3251" s="2">
        <v>5649.5709175742104</v>
      </c>
      <c r="B3251" s="3">
        <v>0.15129757431298799</v>
      </c>
      <c r="C3251" s="5">
        <v>4.0755315905059097E-6</v>
      </c>
      <c r="D3251" s="6">
        <v>2.10713654572965E-5</v>
      </c>
      <c r="E3251" s="3" t="s">
        <v>6980</v>
      </c>
      <c r="F3251" s="3" t="s">
        <v>6981</v>
      </c>
      <c r="G3251" s="3">
        <v>108147</v>
      </c>
      <c r="H3251" s="7" t="str">
        <f>HYPERLINK("http://www.ensembl.org/Mus_musculus/Gene/Summary?db=core;g=ENSMUSG00000026192","ENSMUSG00000026192")</f>
        <v>ENSMUSG00000026192</v>
      </c>
      <c r="I3251" s="7" t="str">
        <f>HYPERLINK("http://www.informatics.jax.org/marker/MGI:1351352","MGI:1351352")</f>
        <v>MGI:1351352</v>
      </c>
      <c r="J3251" s="4" t="s">
        <v>12</v>
      </c>
    </row>
    <row r="3252" spans="1:10" x14ac:dyDescent="0.25">
      <c r="A3252" s="2">
        <v>6506.0421794040003</v>
      </c>
      <c r="B3252" s="3">
        <v>0.15126975579436</v>
      </c>
      <c r="C3252" s="3">
        <v>2.8560483393962601E-3</v>
      </c>
      <c r="D3252" s="4">
        <v>9.1142498661349707E-3</v>
      </c>
      <c r="E3252" s="3" t="s">
        <v>11072</v>
      </c>
      <c r="F3252" s="3" t="s">
        <v>11073</v>
      </c>
      <c r="G3252" s="3">
        <v>19988</v>
      </c>
      <c r="H3252" s="7" t="str">
        <f>HYPERLINK("http://www.ensembl.org/Mus_musculus/Gene/Summary?db=core;g=ENSMUSG00000029614","ENSMUSG00000029614")</f>
        <v>ENSMUSG00000029614</v>
      </c>
      <c r="I3252" s="7" t="str">
        <f>HYPERLINK("http://www.informatics.jax.org/marker/MGI:108057","MGI:108057")</f>
        <v>MGI:108057</v>
      </c>
      <c r="J3252" s="4" t="s">
        <v>12</v>
      </c>
    </row>
    <row r="3253" spans="1:10" x14ac:dyDescent="0.25">
      <c r="A3253" s="2">
        <v>1026.1645868953301</v>
      </c>
      <c r="B3253" s="3">
        <v>0.15126480041384599</v>
      </c>
      <c r="C3253" s="3">
        <v>1.14316633941908E-3</v>
      </c>
      <c r="D3253" s="4">
        <v>3.9813121605030899E-3</v>
      </c>
      <c r="E3253" s="3" t="s">
        <v>9713</v>
      </c>
      <c r="F3253" s="3" t="s">
        <v>9714</v>
      </c>
      <c r="G3253" s="3">
        <v>107650</v>
      </c>
      <c r="H3253" s="7" t="str">
        <f>HYPERLINK("http://www.ensembl.org/Mus_musculus/Gene/Summary?db=core;g=ENSMUSG00000038861","ENSMUSG00000038861")</f>
        <v>ENSMUSG00000038861</v>
      </c>
      <c r="I3253" s="7" t="str">
        <f>HYPERLINK("http://www.informatics.jax.org/marker/MGI:1334433","MGI:1334433")</f>
        <v>MGI:1334433</v>
      </c>
      <c r="J3253" s="4" t="s">
        <v>12</v>
      </c>
    </row>
    <row r="3254" spans="1:10" x14ac:dyDescent="0.25">
      <c r="A3254" s="2">
        <v>380.854011983205</v>
      </c>
      <c r="B3254" s="3">
        <v>0.15120481879578601</v>
      </c>
      <c r="C3254" s="3">
        <v>5.7817126231218298E-2</v>
      </c>
      <c r="D3254" s="4">
        <v>0.12903920867479399</v>
      </c>
      <c r="E3254" s="3" t="s">
        <v>6477</v>
      </c>
      <c r="F3254" s="3" t="s">
        <v>6478</v>
      </c>
      <c r="G3254" s="3">
        <v>71801</v>
      </c>
      <c r="H3254" s="7" t="str">
        <f>HYPERLINK("http://www.ensembl.org/Mus_musculus/Gene/Summary?db=core;g=ENSMUSG00000049969","ENSMUSG00000049969")</f>
        <v>ENSMUSG00000049969</v>
      </c>
      <c r="I3254" s="7" t="str">
        <f>HYPERLINK("http://www.informatics.jax.org/marker/MGI:1919051","MGI:1919051")</f>
        <v>MGI:1919051</v>
      </c>
      <c r="J3254" s="4" t="s">
        <v>12</v>
      </c>
    </row>
    <row r="3255" spans="1:10" x14ac:dyDescent="0.25">
      <c r="A3255" s="2">
        <v>960.80798175143104</v>
      </c>
      <c r="B3255" s="3">
        <v>0.15095505670470699</v>
      </c>
      <c r="C3255" s="3">
        <v>6.9311076549732498E-3</v>
      </c>
      <c r="D3255" s="4">
        <v>2.0204644435682598E-2</v>
      </c>
      <c r="E3255" s="3" t="s">
        <v>11485</v>
      </c>
      <c r="F3255" s="3" t="s">
        <v>11486</v>
      </c>
      <c r="G3255" s="3">
        <v>75901</v>
      </c>
      <c r="H3255" s="7" t="str">
        <f>HYPERLINK("http://www.ensembl.org/Mus_musculus/Gene/Summary?db=core;g=ENSMUSG00000021962","ENSMUSG00000021962")</f>
        <v>ENSMUSG00000021962</v>
      </c>
      <c r="I3255" s="7" t="str">
        <f>HYPERLINK("http://www.informatics.jax.org/marker/MGI:1923151","MGI:1923151")</f>
        <v>MGI:1923151</v>
      </c>
      <c r="J3255" s="4" t="s">
        <v>12</v>
      </c>
    </row>
    <row r="3256" spans="1:10" x14ac:dyDescent="0.25">
      <c r="A3256" s="2">
        <v>372.4972157716</v>
      </c>
      <c r="B3256" s="3">
        <v>0.15041421629342699</v>
      </c>
      <c r="C3256" s="3">
        <v>5.9502186034566203E-2</v>
      </c>
      <c r="D3256" s="4">
        <v>0.13205307303561201</v>
      </c>
      <c r="E3256" s="3" t="s">
        <v>13310</v>
      </c>
      <c r="F3256" s="3" t="s">
        <v>13311</v>
      </c>
      <c r="G3256" s="3">
        <v>66191</v>
      </c>
      <c r="H3256" s="7" t="str">
        <f>HYPERLINK("http://www.ensembl.org/Mus_musculus/Gene/Summary?db=core;g=ENSMUSG00000090000","ENSMUSG00000090000")</f>
        <v>ENSMUSG00000090000</v>
      </c>
      <c r="I3256" s="7" t="str">
        <f>HYPERLINK("http://www.informatics.jax.org/marker/MGI:1913441","MGI:1913441")</f>
        <v>MGI:1913441</v>
      </c>
      <c r="J3256" s="4" t="s">
        <v>12</v>
      </c>
    </row>
    <row r="3257" spans="1:10" x14ac:dyDescent="0.25">
      <c r="A3257" s="2">
        <v>3845.9552830518601</v>
      </c>
      <c r="B3257" s="3">
        <v>0.15011964024153401</v>
      </c>
      <c r="C3257" s="3">
        <v>1.4556506941922E-3</v>
      </c>
      <c r="D3257" s="4">
        <v>4.9661613443752898E-3</v>
      </c>
      <c r="E3257" s="3" t="s">
        <v>10068</v>
      </c>
      <c r="F3257" s="3" t="s">
        <v>10069</v>
      </c>
      <c r="G3257" s="3" t="s">
        <v>83</v>
      </c>
      <c r="H3257" s="7" t="str">
        <f>HYPERLINK("http://www.ensembl.org/Mus_musculus/Gene/Summary?db=core;g=ENSMUSG00000111497","ENSMUSG00000111497")</f>
        <v>ENSMUSG00000111497</v>
      </c>
      <c r="I3257" s="7" t="str">
        <f>HYPERLINK("http://www.informatics.jax.org/marker/MGI:5621316","MGI:5621316")</f>
        <v>MGI:5621316</v>
      </c>
      <c r="J3257" s="4" t="s">
        <v>12</v>
      </c>
    </row>
    <row r="3258" spans="1:10" x14ac:dyDescent="0.25">
      <c r="A3258" s="2">
        <v>2284.64952933</v>
      </c>
      <c r="B3258" s="3">
        <v>0.149884489744399</v>
      </c>
      <c r="C3258" s="3">
        <v>1.5497681533620499E-2</v>
      </c>
      <c r="D3258" s="4">
        <v>4.1426407443566099E-2</v>
      </c>
      <c r="E3258" s="3" t="s">
        <v>13949</v>
      </c>
      <c r="F3258" s="3" t="s">
        <v>13950</v>
      </c>
      <c r="G3258" s="3">
        <v>18641</v>
      </c>
      <c r="H3258" s="7" t="str">
        <f>HYPERLINK("http://www.ensembl.org/Mus_musculus/Gene/Summary?db=core;g=ENSMUSG00000020277","ENSMUSG00000020277")</f>
        <v>ENSMUSG00000020277</v>
      </c>
      <c r="I3258" s="7" t="str">
        <f>HYPERLINK("http://www.informatics.jax.org/marker/MGI:97547","MGI:97547")</f>
        <v>MGI:97547</v>
      </c>
      <c r="J3258" s="4" t="s">
        <v>12</v>
      </c>
    </row>
    <row r="3259" spans="1:10" x14ac:dyDescent="0.25">
      <c r="A3259" s="2">
        <v>1581.7851613713799</v>
      </c>
      <c r="B3259" s="3">
        <v>0.14935613729632</v>
      </c>
      <c r="C3259" s="3">
        <v>9.2476240231360897E-3</v>
      </c>
      <c r="D3259" s="4">
        <v>2.6150185852855799E-2</v>
      </c>
      <c r="E3259" s="3" t="s">
        <v>11921</v>
      </c>
      <c r="F3259" s="3" t="s">
        <v>11922</v>
      </c>
      <c r="G3259" s="3">
        <v>106039</v>
      </c>
      <c r="H3259" s="7" t="str">
        <f>HYPERLINK("http://www.ensembl.org/Mus_musculus/Gene/Summary?db=core;g=ENSMUSG00000033128","ENSMUSG00000033128")</f>
        <v>ENSMUSG00000033128</v>
      </c>
      <c r="I3259" s="7" t="str">
        <f>HYPERLINK("http://www.informatics.jax.org/marker/MGI:2146207","MGI:2146207")</f>
        <v>MGI:2146207</v>
      </c>
      <c r="J3259" s="4" t="s">
        <v>12</v>
      </c>
    </row>
    <row r="3260" spans="1:10" x14ac:dyDescent="0.25">
      <c r="A3260" s="2">
        <v>2425.25571374319</v>
      </c>
      <c r="B3260" s="3">
        <v>0.14925050685841901</v>
      </c>
      <c r="C3260" s="3">
        <v>3.1482475306458597E-2</v>
      </c>
      <c r="D3260" s="4">
        <v>7.6778818742166299E-2</v>
      </c>
      <c r="E3260" s="3" t="s">
        <v>13197</v>
      </c>
      <c r="F3260" s="3" t="s">
        <v>13198</v>
      </c>
      <c r="G3260" s="3">
        <v>26440</v>
      </c>
      <c r="H3260" s="7" t="str">
        <f>HYPERLINK("http://www.ensembl.org/Mus_musculus/Gene/Summary?db=core;g=ENSMUSG00000030751","ENSMUSG00000030751")</f>
        <v>ENSMUSG00000030751</v>
      </c>
      <c r="I3260" s="7" t="str">
        <f>HYPERLINK("http://www.informatics.jax.org/marker/MGI:1347005","MGI:1347005")</f>
        <v>MGI:1347005</v>
      </c>
      <c r="J3260" s="4" t="s">
        <v>12</v>
      </c>
    </row>
    <row r="3261" spans="1:10" x14ac:dyDescent="0.25">
      <c r="A3261" s="2">
        <v>2089.6858359212101</v>
      </c>
      <c r="B3261" s="3">
        <v>0.14898171260539</v>
      </c>
      <c r="C3261" s="3">
        <v>1.21511218069473E-4</v>
      </c>
      <c r="D3261" s="4">
        <v>5.0078356600037903E-4</v>
      </c>
      <c r="E3261" s="3" t="s">
        <v>9733</v>
      </c>
      <c r="F3261" s="3" t="s">
        <v>9734</v>
      </c>
      <c r="G3261" s="3">
        <v>230598</v>
      </c>
      <c r="H3261" s="7" t="str">
        <f>HYPERLINK("http://www.ensembl.org/Mus_musculus/Gene/Summary?db=core;g=ENSMUSG00000053510","ENSMUSG00000053510")</f>
        <v>ENSMUSG00000053510</v>
      </c>
      <c r="I3261" s="7" t="str">
        <f>HYPERLINK("http://www.informatics.jax.org/marker/MGI:1201386","MGI:1201386")</f>
        <v>MGI:1201386</v>
      </c>
      <c r="J3261" s="4" t="s">
        <v>12</v>
      </c>
    </row>
    <row r="3262" spans="1:10" x14ac:dyDescent="0.25">
      <c r="A3262" s="2">
        <v>1352.13047197777</v>
      </c>
      <c r="B3262" s="3">
        <v>0.148927858084557</v>
      </c>
      <c r="C3262" s="3">
        <v>1.6325063896387099E-3</v>
      </c>
      <c r="D3262" s="4">
        <v>5.5127717159839801E-3</v>
      </c>
      <c r="E3262" s="3" t="s">
        <v>8527</v>
      </c>
      <c r="F3262" s="3" t="s">
        <v>8528</v>
      </c>
      <c r="G3262" s="3">
        <v>50875</v>
      </c>
      <c r="H3262" s="7" t="str">
        <f>HYPERLINK("http://www.ensembl.org/Mus_musculus/Gene/Summary?db=core;g=ENSMUSG00000058587","ENSMUSG00000058587")</f>
        <v>ENSMUSG00000058587</v>
      </c>
      <c r="I3262" s="7" t="str">
        <f>HYPERLINK("http://www.informatics.jax.org/marker/MGI:1355315","MGI:1355315")</f>
        <v>MGI:1355315</v>
      </c>
      <c r="J3262" s="4" t="s">
        <v>12</v>
      </c>
    </row>
    <row r="3263" spans="1:10" x14ac:dyDescent="0.25">
      <c r="A3263" s="2">
        <v>8899.0586171578198</v>
      </c>
      <c r="B3263" s="3">
        <v>0.14863946966921299</v>
      </c>
      <c r="C3263" s="3">
        <v>3.3945842498600098E-4</v>
      </c>
      <c r="D3263" s="4">
        <v>1.2940033037795199E-3</v>
      </c>
      <c r="E3263" s="3" t="s">
        <v>12789</v>
      </c>
      <c r="F3263" s="3" t="s">
        <v>12790</v>
      </c>
      <c r="G3263" s="3">
        <v>72117</v>
      </c>
      <c r="H3263" s="7" t="str">
        <f>HYPERLINK("http://www.ensembl.org/Mus_musculus/Gene/Summary?db=core;g=ENSMUSG00000022698","ENSMUSG00000022698")</f>
        <v>ENSMUSG00000022698</v>
      </c>
      <c r="I3263" s="7" t="str">
        <f>HYPERLINK("http://www.informatics.jax.org/marker/MGI:1919367","MGI:1919367")</f>
        <v>MGI:1919367</v>
      </c>
      <c r="J3263" s="4" t="s">
        <v>12</v>
      </c>
    </row>
    <row r="3264" spans="1:10" x14ac:dyDescent="0.25">
      <c r="A3264" s="2">
        <v>3386.8217959407202</v>
      </c>
      <c r="B3264" s="3">
        <v>0.14858043569194701</v>
      </c>
      <c r="C3264" s="3">
        <v>5.7114311633776104E-3</v>
      </c>
      <c r="D3264" s="4">
        <v>1.6930844657214901E-2</v>
      </c>
      <c r="E3264" s="3" t="s">
        <v>11975</v>
      </c>
      <c r="F3264" s="3" t="s">
        <v>11976</v>
      </c>
      <c r="G3264" s="3">
        <v>71766</v>
      </c>
      <c r="H3264" s="7" t="str">
        <f>HYPERLINK("http://www.ensembl.org/Mus_musculus/Gene/Summary?db=core;g=ENSMUSG00000010205","ENSMUSG00000010205")</f>
        <v>ENSMUSG00000010205</v>
      </c>
      <c r="I3264" s="7" t="str">
        <f>HYPERLINK("http://www.informatics.jax.org/marker/MGI:1919016","MGI:1919016")</f>
        <v>MGI:1919016</v>
      </c>
      <c r="J3264" s="4" t="s">
        <v>12</v>
      </c>
    </row>
    <row r="3265" spans="1:10" x14ac:dyDescent="0.25">
      <c r="A3265" s="2">
        <v>863.65934454361695</v>
      </c>
      <c r="B3265" s="3">
        <v>0.14857846004700601</v>
      </c>
      <c r="C3265" s="3">
        <v>1.3178343887652801E-2</v>
      </c>
      <c r="D3265" s="4">
        <v>3.5782973383860599E-2</v>
      </c>
      <c r="E3265" s="3" t="s">
        <v>9761</v>
      </c>
      <c r="F3265" s="3" t="s">
        <v>9762</v>
      </c>
      <c r="G3265" s="3">
        <v>50911</v>
      </c>
      <c r="H3265" s="7" t="str">
        <f>HYPERLINK("http://www.ensembl.org/Mus_musculus/Gene/Summary?db=core;g=ENSMUSG00000027714","ENSMUSG00000027714")</f>
        <v>ENSMUSG00000027714</v>
      </c>
      <c r="I3265" s="7" t="str">
        <f>HYPERLINK("http://www.informatics.jax.org/marker/MGI:1355319","MGI:1355319")</f>
        <v>MGI:1355319</v>
      </c>
      <c r="J3265" s="4" t="s">
        <v>12</v>
      </c>
    </row>
    <row r="3266" spans="1:10" x14ac:dyDescent="0.25">
      <c r="A3266" s="2">
        <v>7288.1892211066897</v>
      </c>
      <c r="B3266" s="3">
        <v>0.148560949792195</v>
      </c>
      <c r="C3266" s="3">
        <v>0.13239851128886901</v>
      </c>
      <c r="D3266" s="4">
        <v>0.25571882876638702</v>
      </c>
      <c r="E3266" s="3" t="s">
        <v>13703</v>
      </c>
      <c r="F3266" s="3" t="s">
        <v>13704</v>
      </c>
      <c r="G3266" s="3">
        <v>19241</v>
      </c>
      <c r="H3266" s="7" t="str">
        <f>HYPERLINK("http://www.ensembl.org/Mus_musculus/Gene/Summary?db=core;g=ENSMUSG00000049775","ENSMUSG00000049775")</f>
        <v>ENSMUSG00000049775</v>
      </c>
      <c r="I3266" s="7" t="str">
        <f>HYPERLINK("http://www.informatics.jax.org/marker/MGI:99510","MGI:99510")</f>
        <v>MGI:99510</v>
      </c>
      <c r="J3266" s="4" t="s">
        <v>12</v>
      </c>
    </row>
    <row r="3267" spans="1:10" x14ac:dyDescent="0.25">
      <c r="A3267" s="2">
        <v>4220.3260699778402</v>
      </c>
      <c r="B3267" s="3">
        <v>0.14850642028942199</v>
      </c>
      <c r="C3267" s="5">
        <v>2.8808529612770098E-5</v>
      </c>
      <c r="D3267" s="4">
        <v>1.3139025330148501E-4</v>
      </c>
      <c r="E3267" s="3" t="s">
        <v>6457</v>
      </c>
      <c r="F3267" s="3" t="s">
        <v>6458</v>
      </c>
      <c r="G3267" s="3">
        <v>64934</v>
      </c>
      <c r="H3267" s="7" t="str">
        <f>HYPERLINK("http://www.ensembl.org/Mus_musculus/Gene/Summary?db=core;g=ENSMUSG00000020430","ENSMUSG00000020430")</f>
        <v>ENSMUSG00000020430</v>
      </c>
      <c r="I3267" s="7" t="str">
        <f>HYPERLINK("http://www.informatics.jax.org/marker/MGI:1890613","MGI:1890613")</f>
        <v>MGI:1890613</v>
      </c>
      <c r="J3267" s="4" t="s">
        <v>12</v>
      </c>
    </row>
    <row r="3268" spans="1:10" x14ac:dyDescent="0.25">
      <c r="A3268" s="2">
        <v>215.88340594931299</v>
      </c>
      <c r="B3268" s="3">
        <v>0.148450993346534</v>
      </c>
      <c r="C3268" s="3">
        <v>7.8682195296718105E-2</v>
      </c>
      <c r="D3268" s="4">
        <v>0.16691689084887501</v>
      </c>
      <c r="E3268" s="3" t="s">
        <v>13587</v>
      </c>
      <c r="F3268" s="3" t="s">
        <v>13588</v>
      </c>
      <c r="G3268" s="3">
        <v>100416706</v>
      </c>
      <c r="H3268" s="7" t="str">
        <f>HYPERLINK("http://www.ensembl.org/Mus_musculus/Gene/Summary?db=core;g=ENSMUSG00000058093","ENSMUSG00000058093")</f>
        <v>ENSMUSG00000058093</v>
      </c>
      <c r="I3268" s="7" t="str">
        <f>HYPERLINK("http://www.informatics.jax.org/marker/MGI:2145180","MGI:2145180")</f>
        <v>MGI:2145180</v>
      </c>
      <c r="J3268" s="4" t="s">
        <v>12</v>
      </c>
    </row>
    <row r="3269" spans="1:10" x14ac:dyDescent="0.25">
      <c r="A3269" s="2">
        <v>1911.68696852422</v>
      </c>
      <c r="B3269" s="3">
        <v>0.147912399523908</v>
      </c>
      <c r="C3269" s="3">
        <v>1.31077439611021E-3</v>
      </c>
      <c r="D3269" s="4">
        <v>4.5149996917612199E-3</v>
      </c>
      <c r="E3269" s="3" t="s">
        <v>9893</v>
      </c>
      <c r="F3269" s="3" t="s">
        <v>9894</v>
      </c>
      <c r="G3269" s="3">
        <v>72895</v>
      </c>
      <c r="H3269" s="7" t="str">
        <f>HYPERLINK("http://www.ensembl.org/Mus_musculus/Gene/Summary?db=core;g=ENSMUSG00000034269","ENSMUSG00000034269")</f>
        <v>ENSMUSG00000034269</v>
      </c>
      <c r="I3269" s="7" t="str">
        <f>HYPERLINK("http://www.informatics.jax.org/marker/MGI:1920145","MGI:1920145")</f>
        <v>MGI:1920145</v>
      </c>
      <c r="J3269" s="4" t="s">
        <v>12</v>
      </c>
    </row>
    <row r="3270" spans="1:10" x14ac:dyDescent="0.25">
      <c r="A3270" s="2">
        <v>374.34044595090597</v>
      </c>
      <c r="B3270" s="3">
        <v>0.14772786136291399</v>
      </c>
      <c r="C3270" s="3">
        <v>0.24204122202266501</v>
      </c>
      <c r="D3270" s="4">
        <v>0.40528121159080399</v>
      </c>
      <c r="E3270" s="3" t="s">
        <v>7944</v>
      </c>
      <c r="F3270" s="3" t="s">
        <v>7945</v>
      </c>
      <c r="G3270" s="3">
        <v>11630</v>
      </c>
      <c r="H3270" s="7" t="str">
        <f>HYPERLINK("http://www.ensembl.org/Mus_musculus/Gene/Summary?db=core;g=ENSMUSG00000019866","ENSMUSG00000019866")</f>
        <v>ENSMUSG00000019866</v>
      </c>
      <c r="I3270" s="7" t="str">
        <f>HYPERLINK("http://www.informatics.jax.org/marker/MGI:109544","MGI:109544")</f>
        <v>MGI:109544</v>
      </c>
      <c r="J3270" s="4" t="s">
        <v>12</v>
      </c>
    </row>
    <row r="3271" spans="1:10" x14ac:dyDescent="0.25">
      <c r="A3271" s="2">
        <v>758.71629894475302</v>
      </c>
      <c r="B3271" s="3">
        <v>0.14759311895317501</v>
      </c>
      <c r="C3271" s="3">
        <v>2.7573822016026098E-2</v>
      </c>
      <c r="D3271" s="4">
        <v>6.8306769911931006E-2</v>
      </c>
      <c r="E3271" s="3" t="s">
        <v>13837</v>
      </c>
      <c r="F3271" s="3" t="s">
        <v>13838</v>
      </c>
      <c r="G3271" s="3">
        <v>224807</v>
      </c>
      <c r="H3271" s="7" t="str">
        <f>HYPERLINK("http://www.ensembl.org/Mus_musculus/Gene/Summary?db=core;g=ENSMUSG00000036026","ENSMUSG00000036026")</f>
        <v>ENSMUSG00000036026</v>
      </c>
      <c r="I3271" s="7" t="str">
        <f>HYPERLINK("http://www.informatics.jax.org/marker/MGI:2387609","MGI:2387609")</f>
        <v>MGI:2387609</v>
      </c>
      <c r="J3271" s="4" t="s">
        <v>12</v>
      </c>
    </row>
    <row r="3272" spans="1:10" x14ac:dyDescent="0.25">
      <c r="A3272" s="2">
        <v>9088.9740411282492</v>
      </c>
      <c r="B3272" s="3">
        <v>0.14745835886404801</v>
      </c>
      <c r="C3272" s="3">
        <v>3.72041013565455E-3</v>
      </c>
      <c r="D3272" s="4">
        <v>1.1539223063700499E-2</v>
      </c>
      <c r="E3272" s="3" t="s">
        <v>12899</v>
      </c>
      <c r="F3272" s="3" t="s">
        <v>12900</v>
      </c>
      <c r="G3272" s="3">
        <v>27367</v>
      </c>
      <c r="H3272" s="7" t="str">
        <f>HYPERLINK("http://www.ensembl.org/Mus_musculus/Gene/Summary?db=core;g=ENSMUSG00000060036","ENSMUSG00000060036")</f>
        <v>ENSMUSG00000060036</v>
      </c>
      <c r="I3272" s="7" t="str">
        <f>HYPERLINK("http://www.informatics.jax.org/marker/MGI:1351605","MGI:1351605")</f>
        <v>MGI:1351605</v>
      </c>
      <c r="J3272" s="4" t="s">
        <v>12</v>
      </c>
    </row>
    <row r="3273" spans="1:10" x14ac:dyDescent="0.25">
      <c r="A3273" s="2">
        <v>950.245891538259</v>
      </c>
      <c r="B3273" s="3">
        <v>0.147432274718092</v>
      </c>
      <c r="C3273" s="3">
        <v>4.9495424597927103E-3</v>
      </c>
      <c r="D3273" s="4">
        <v>1.489767321713E-2</v>
      </c>
      <c r="E3273" s="3" t="s">
        <v>9455</v>
      </c>
      <c r="F3273" s="3" t="s">
        <v>9456</v>
      </c>
      <c r="G3273" s="3">
        <v>66500</v>
      </c>
      <c r="H3273" s="7" t="str">
        <f>HYPERLINK("http://www.ensembl.org/Mus_musculus/Gene/Summary?db=core;g=ENSMUSG00000054414","ENSMUSG00000054414")</f>
        <v>ENSMUSG00000054414</v>
      </c>
      <c r="I3273" s="7" t="str">
        <f>HYPERLINK("http://www.informatics.jax.org/marker/MGI:1913750","MGI:1913750")</f>
        <v>MGI:1913750</v>
      </c>
      <c r="J3273" s="4" t="s">
        <v>12</v>
      </c>
    </row>
    <row r="3274" spans="1:10" x14ac:dyDescent="0.25">
      <c r="A3274" s="2">
        <v>1380.6476707911499</v>
      </c>
      <c r="B3274" s="3">
        <v>0.14741948739124799</v>
      </c>
      <c r="C3274" s="3">
        <v>2.8506787283329301E-4</v>
      </c>
      <c r="D3274" s="4">
        <v>1.1000131235203801E-3</v>
      </c>
      <c r="E3274" s="3" t="s">
        <v>9399</v>
      </c>
      <c r="F3274" s="3" t="s">
        <v>9400</v>
      </c>
      <c r="G3274" s="3">
        <v>97387</v>
      </c>
      <c r="H3274" s="7" t="str">
        <f>HYPERLINK("http://www.ensembl.org/Mus_musculus/Gene/Summary?db=core;g=ENSMUSG00000030374","ENSMUSG00000030374")</f>
        <v>ENSMUSG00000030374</v>
      </c>
      <c r="I3274" s="7" t="str">
        <f>HYPERLINK("http://www.informatics.jax.org/marker/MGI:2142346","MGI:2142346")</f>
        <v>MGI:2142346</v>
      </c>
      <c r="J3274" s="4" t="s">
        <v>12</v>
      </c>
    </row>
    <row r="3275" spans="1:10" x14ac:dyDescent="0.25">
      <c r="A3275" s="2">
        <v>989.68713302181504</v>
      </c>
      <c r="B3275" s="3">
        <v>0.14730235259475499</v>
      </c>
      <c r="C3275" s="3">
        <v>1.39952062111774E-2</v>
      </c>
      <c r="D3275" s="4">
        <v>3.7792655682131901E-2</v>
      </c>
      <c r="E3275" s="3" t="s">
        <v>10607</v>
      </c>
      <c r="F3275" s="3" t="s">
        <v>10608</v>
      </c>
      <c r="G3275" s="3">
        <v>75734</v>
      </c>
      <c r="H3275" s="7" t="str">
        <f>HYPERLINK("http://www.ensembl.org/Mus_musculus/Gene/Summary?db=core;g=ENSMUSG00000026150","ENSMUSG00000026150")</f>
        <v>ENSMUSG00000026150</v>
      </c>
      <c r="I3275" s="7" t="str">
        <f>HYPERLINK("http://www.informatics.jax.org/marker/MGI:1922984","MGI:1922984")</f>
        <v>MGI:1922984</v>
      </c>
      <c r="J3275" s="4" t="s">
        <v>12</v>
      </c>
    </row>
    <row r="3276" spans="1:10" x14ac:dyDescent="0.25">
      <c r="A3276" s="2">
        <v>343.88608173705097</v>
      </c>
      <c r="B3276" s="3">
        <v>0.147284304359038</v>
      </c>
      <c r="C3276" s="3">
        <v>6.8216305157080201E-2</v>
      </c>
      <c r="D3276" s="4">
        <v>0.14819908946093499</v>
      </c>
      <c r="E3276" s="3" t="s">
        <v>14039</v>
      </c>
      <c r="F3276" s="3" t="s">
        <v>14040</v>
      </c>
      <c r="G3276" s="3">
        <v>67282</v>
      </c>
      <c r="H3276" s="7" t="str">
        <f>HYPERLINK("http://www.ensembl.org/Mus_musculus/Gene/Summary?db=core;g=ENSMUSG00000020056","ENSMUSG00000020056")</f>
        <v>ENSMUSG00000020056</v>
      </c>
      <c r="I3276" s="7" t="str">
        <f>HYPERLINK("http://www.informatics.jax.org/marker/MGI:1914532","MGI:1914532")</f>
        <v>MGI:1914532</v>
      </c>
      <c r="J3276" s="4" t="s">
        <v>12</v>
      </c>
    </row>
    <row r="3277" spans="1:10" x14ac:dyDescent="0.25">
      <c r="A3277" s="2">
        <v>2975.7228932552898</v>
      </c>
      <c r="B3277" s="3">
        <v>0.14697191633966</v>
      </c>
      <c r="C3277" s="3">
        <v>3.4906090400310002E-3</v>
      </c>
      <c r="D3277" s="4">
        <v>1.0898809277807901E-2</v>
      </c>
      <c r="E3277" s="3" t="s">
        <v>8265</v>
      </c>
      <c r="F3277" s="3" t="s">
        <v>8266</v>
      </c>
      <c r="G3277" s="3">
        <v>67493</v>
      </c>
      <c r="H3277" s="7" t="str">
        <f>HYPERLINK("http://www.ensembl.org/Mus_musculus/Gene/Summary?db=core;g=ENSMUSG00000010554","ENSMUSG00000010554")</f>
        <v>ENSMUSG00000010554</v>
      </c>
      <c r="I3277" s="7" t="str">
        <f>HYPERLINK("http://www.informatics.jax.org/marker/MGI:1914743","MGI:1914743")</f>
        <v>MGI:1914743</v>
      </c>
      <c r="J3277" s="4" t="s">
        <v>12</v>
      </c>
    </row>
    <row r="3278" spans="1:10" x14ac:dyDescent="0.25">
      <c r="A3278" s="2">
        <v>1703.0684844366499</v>
      </c>
      <c r="B3278" s="3">
        <v>0.14694867897762301</v>
      </c>
      <c r="C3278" s="3">
        <v>3.2476692938575402E-3</v>
      </c>
      <c r="D3278" s="4">
        <v>1.02190560912558E-2</v>
      </c>
      <c r="E3278" s="3" t="s">
        <v>8973</v>
      </c>
      <c r="F3278" s="3" t="s">
        <v>8974</v>
      </c>
      <c r="G3278" s="3">
        <v>56354</v>
      </c>
      <c r="H3278" s="7" t="str">
        <f>HYPERLINK("http://www.ensembl.org/Mus_musculus/Gene/Summary?db=core;g=ENSMUSG00000014195","ENSMUSG00000014195")</f>
        <v>ENSMUSG00000014195</v>
      </c>
      <c r="I3278" s="7" t="str">
        <f>HYPERLINK("http://www.informatics.jax.org/marker/MGI:1928373","MGI:1928373")</f>
        <v>MGI:1928373</v>
      </c>
      <c r="J3278" s="4" t="s">
        <v>12</v>
      </c>
    </row>
    <row r="3279" spans="1:10" x14ac:dyDescent="0.25">
      <c r="A3279" s="2">
        <v>1195.9181972003</v>
      </c>
      <c r="B3279" s="3">
        <v>0.146590132371367</v>
      </c>
      <c r="C3279" s="3">
        <v>2.5515977185257598E-3</v>
      </c>
      <c r="D3279" s="4">
        <v>8.23788634546181E-3</v>
      </c>
      <c r="E3279" s="3" t="s">
        <v>9883</v>
      </c>
      <c r="F3279" s="3" t="s">
        <v>9884</v>
      </c>
      <c r="G3279" s="3">
        <v>19826</v>
      </c>
      <c r="H3279" s="7" t="str">
        <f>HYPERLINK("http://www.ensembl.org/Mus_musculus/Gene/Summary?db=core;g=ENSMUSG00000034681","ENSMUSG00000034681")</f>
        <v>ENSMUSG00000034681</v>
      </c>
      <c r="I3279" s="7" t="str">
        <f>HYPERLINK("http://www.informatics.jax.org/marker/MGI:97960","MGI:97960")</f>
        <v>MGI:97960</v>
      </c>
      <c r="J3279" s="4" t="s">
        <v>12</v>
      </c>
    </row>
    <row r="3280" spans="1:10" x14ac:dyDescent="0.25">
      <c r="A3280" s="2">
        <v>5992.9592300226795</v>
      </c>
      <c r="B3280" s="3">
        <v>0.14655066025720001</v>
      </c>
      <c r="C3280" s="3">
        <v>5.1919213036497698E-3</v>
      </c>
      <c r="D3280" s="4">
        <v>1.5565515012175899E-2</v>
      </c>
      <c r="E3280" s="3" t="s">
        <v>7292</v>
      </c>
      <c r="F3280" s="3" t="s">
        <v>7293</v>
      </c>
      <c r="G3280" s="3">
        <v>18572</v>
      </c>
      <c r="H3280" s="7" t="str">
        <f>HYPERLINK("http://www.ensembl.org/Mus_musculus/Gene/Summary?db=core;g=ENSMUSG00000025047","ENSMUSG00000025047")</f>
        <v>ENSMUSG00000025047</v>
      </c>
      <c r="I3280" s="7" t="str">
        <f>HYPERLINK("http://www.informatics.jax.org/marker/MGI:1341788","MGI:1341788")</f>
        <v>MGI:1341788</v>
      </c>
      <c r="J3280" s="4" t="s">
        <v>12</v>
      </c>
    </row>
    <row r="3281" spans="1:10" x14ac:dyDescent="0.25">
      <c r="A3281" s="2">
        <v>619.276190836453</v>
      </c>
      <c r="B3281" s="3">
        <v>0.14609941670153201</v>
      </c>
      <c r="C3281" s="3">
        <v>5.9790572014711899E-3</v>
      </c>
      <c r="D3281" s="4">
        <v>1.76724485074298E-2</v>
      </c>
      <c r="E3281" s="3" t="s">
        <v>10508</v>
      </c>
      <c r="F3281" s="3" t="s">
        <v>10509</v>
      </c>
      <c r="G3281" s="3">
        <v>23807</v>
      </c>
      <c r="H3281" s="7" t="str">
        <f>HYPERLINK("http://www.ensembl.org/Mus_musculus/Gene/Summary?db=core;g=ENSMUSG00000064145","ENSMUSG00000064145")</f>
        <v>ENSMUSG00000064145</v>
      </c>
      <c r="I3281" s="7" t="str">
        <f>HYPERLINK("http://www.informatics.jax.org/marker/MGI:1344361","MGI:1344361")</f>
        <v>MGI:1344361</v>
      </c>
      <c r="J3281" s="4" t="s">
        <v>12</v>
      </c>
    </row>
    <row r="3282" spans="1:10" x14ac:dyDescent="0.25">
      <c r="A3282" s="2">
        <v>3924.8596971070101</v>
      </c>
      <c r="B3282" s="3">
        <v>0.14577116562553999</v>
      </c>
      <c r="C3282" s="3">
        <v>2.0646476448954801E-2</v>
      </c>
      <c r="D3282" s="4">
        <v>5.3004934960163501E-2</v>
      </c>
      <c r="E3282" s="3" t="s">
        <v>7792</v>
      </c>
      <c r="F3282" s="3" t="s">
        <v>7793</v>
      </c>
      <c r="G3282" s="3">
        <v>67501</v>
      </c>
      <c r="H3282" s="7" t="str">
        <f>HYPERLINK("http://www.ensembl.org/Mus_musculus/Gene/Summary?db=core;g=ENSMUSG00000038127","ENSMUSG00000038127")</f>
        <v>ENSMUSG00000038127</v>
      </c>
      <c r="I3282" s="7" t="str">
        <f>HYPERLINK("http://www.informatics.jax.org/marker/MGI:1914751","MGI:1914751")</f>
        <v>MGI:1914751</v>
      </c>
      <c r="J3282" s="4" t="s">
        <v>12</v>
      </c>
    </row>
    <row r="3283" spans="1:10" x14ac:dyDescent="0.25">
      <c r="A3283" s="2">
        <v>925.914104556447</v>
      </c>
      <c r="B3283" s="3">
        <v>0.14573178109240101</v>
      </c>
      <c r="C3283" s="3">
        <v>6.3793119093524406E-2</v>
      </c>
      <c r="D3283" s="4">
        <v>0.13987362794507699</v>
      </c>
      <c r="E3283" s="3" t="s">
        <v>7898</v>
      </c>
      <c r="F3283" s="3" t="s">
        <v>7899</v>
      </c>
      <c r="G3283" s="3">
        <v>380773</v>
      </c>
      <c r="H3283" s="7" t="str">
        <f>HYPERLINK("http://www.ensembl.org/Mus_musculus/Gene/Summary?db=core;g=ENSMUSG00000021040","ENSMUSG00000021040")</f>
        <v>ENSMUSG00000021040</v>
      </c>
      <c r="I3283" s="7" t="str">
        <f>HYPERLINK("http://www.informatics.jax.org/marker/MGI:1916394","MGI:1916394")</f>
        <v>MGI:1916394</v>
      </c>
      <c r="J3283" s="4" t="s">
        <v>12</v>
      </c>
    </row>
    <row r="3284" spans="1:10" x14ac:dyDescent="0.25">
      <c r="A3284" s="2">
        <v>515.93245394865403</v>
      </c>
      <c r="B3284" s="3">
        <v>0.14572786511608299</v>
      </c>
      <c r="C3284" s="3">
        <v>3.9469821449451901E-2</v>
      </c>
      <c r="D3284" s="4">
        <v>9.3359830748379002E-2</v>
      </c>
      <c r="E3284" s="3" t="s">
        <v>12271</v>
      </c>
      <c r="F3284" s="3" t="s">
        <v>12272</v>
      </c>
      <c r="G3284" s="3">
        <v>67180</v>
      </c>
      <c r="H3284" s="7" t="str">
        <f>HYPERLINK("http://www.ensembl.org/Mus_musculus/Gene/Summary?db=core;g=ENSMUSG00000024487","ENSMUSG00000024487")</f>
        <v>ENSMUSG00000024487</v>
      </c>
      <c r="I3284" s="7" t="str">
        <f>HYPERLINK("http://www.informatics.jax.org/marker/MGI:1914430","MGI:1914430")</f>
        <v>MGI:1914430</v>
      </c>
      <c r="J3284" s="4" t="s">
        <v>12</v>
      </c>
    </row>
    <row r="3285" spans="1:10" x14ac:dyDescent="0.25">
      <c r="A3285" s="2">
        <v>457.76419064980502</v>
      </c>
      <c r="B3285" s="3">
        <v>0.14537206498001901</v>
      </c>
      <c r="C3285" s="3">
        <v>4.6043618935359597E-2</v>
      </c>
      <c r="D3285" s="4">
        <v>0.106666449103461</v>
      </c>
      <c r="E3285" s="3" t="s">
        <v>12553</v>
      </c>
      <c r="F3285" s="3" t="s">
        <v>12554</v>
      </c>
      <c r="G3285" s="3">
        <v>66421</v>
      </c>
      <c r="H3285" s="7" t="str">
        <f>HYPERLINK("http://www.ensembl.org/Mus_musculus/Gene/Summary?db=core;g=ENSMUSG00000036873","ENSMUSG00000036873")</f>
        <v>ENSMUSG00000036873</v>
      </c>
      <c r="I3285" s="7" t="str">
        <f>HYPERLINK("http://www.informatics.jax.org/marker/MGI:1913671","MGI:1913671")</f>
        <v>MGI:1913671</v>
      </c>
      <c r="J3285" s="4" t="s">
        <v>12</v>
      </c>
    </row>
    <row r="3286" spans="1:10" x14ac:dyDescent="0.25">
      <c r="A3286" s="2">
        <v>2349.7011171734398</v>
      </c>
      <c r="B3286" s="3">
        <v>0.144328656720666</v>
      </c>
      <c r="C3286" s="3">
        <v>1.1362179541958999E-3</v>
      </c>
      <c r="D3286" s="4">
        <v>3.9601400296845101E-3</v>
      </c>
      <c r="E3286" s="3" t="s">
        <v>9471</v>
      </c>
      <c r="F3286" s="3" t="s">
        <v>9472</v>
      </c>
      <c r="G3286" s="3">
        <v>56878</v>
      </c>
      <c r="H3286" s="7" t="str">
        <f>HYPERLINK("http://www.ensembl.org/Mus_musculus/Gene/Summary?db=core;g=ENSMUSG00000026970","ENSMUSG00000026970")</f>
        <v>ENSMUSG00000026970</v>
      </c>
      <c r="I3286" s="7" t="str">
        <f>HYPERLINK("http://www.informatics.jax.org/marker/MGI:1861774","MGI:1861774")</f>
        <v>MGI:1861774</v>
      </c>
      <c r="J3286" s="4" t="s">
        <v>12</v>
      </c>
    </row>
    <row r="3287" spans="1:10" x14ac:dyDescent="0.25">
      <c r="A3287" s="2">
        <v>1434.5097344031401</v>
      </c>
      <c r="B3287" s="3">
        <v>0.14405698474572401</v>
      </c>
      <c r="C3287" s="3">
        <v>1.5569592551535299E-3</v>
      </c>
      <c r="D3287" s="4">
        <v>5.2791781256135897E-3</v>
      </c>
      <c r="E3287" s="3" t="s">
        <v>11247</v>
      </c>
      <c r="F3287" s="3" t="s">
        <v>11248</v>
      </c>
      <c r="G3287" s="3">
        <v>13709</v>
      </c>
      <c r="H3287" s="7" t="str">
        <f>HYPERLINK("http://www.ensembl.org/Mus_musculus/Gene/Summary?db=core;g=ENSMUSG00000036461","ENSMUSG00000036461")</f>
        <v>ENSMUSG00000036461</v>
      </c>
      <c r="I3287" s="7" t="str">
        <f>HYPERLINK("http://www.informatics.jax.org/marker/MGI:107180","MGI:107180")</f>
        <v>MGI:107180</v>
      </c>
      <c r="J3287" s="4" t="s">
        <v>12</v>
      </c>
    </row>
    <row r="3288" spans="1:10" x14ac:dyDescent="0.25">
      <c r="A3288" s="2">
        <v>3726.52726149809</v>
      </c>
      <c r="B3288" s="3">
        <v>0.143895599030125</v>
      </c>
      <c r="C3288" s="3">
        <v>2.3355946744138899E-2</v>
      </c>
      <c r="D3288" s="4">
        <v>5.9070514767129101E-2</v>
      </c>
      <c r="E3288" s="3" t="s">
        <v>4000</v>
      </c>
      <c r="F3288" s="3" t="s">
        <v>4001</v>
      </c>
      <c r="G3288" s="3">
        <v>76178</v>
      </c>
      <c r="H3288" s="7" t="str">
        <f>HYPERLINK("http://www.ensembl.org/Mus_musculus/Gene/Summary?db=core;g=ENSMUSG00000026112","ENSMUSG00000026112")</f>
        <v>ENSMUSG00000026112</v>
      </c>
      <c r="I3288" s="7" t="str">
        <f>HYPERLINK("http://www.informatics.jax.org/marker/MGI:1923428","MGI:1923428")</f>
        <v>MGI:1923428</v>
      </c>
      <c r="J3288" s="4" t="s">
        <v>12</v>
      </c>
    </row>
    <row r="3289" spans="1:10" x14ac:dyDescent="0.25">
      <c r="A3289" s="2">
        <v>5707.51793292818</v>
      </c>
      <c r="B3289" s="3">
        <v>0.14380455378381499</v>
      </c>
      <c r="C3289" s="3">
        <v>2.08942558079671E-2</v>
      </c>
      <c r="D3289" s="4">
        <v>5.3558060773586602E-2</v>
      </c>
      <c r="E3289" s="3" t="s">
        <v>13797</v>
      </c>
      <c r="F3289" s="3" t="s">
        <v>13798</v>
      </c>
      <c r="G3289" s="3">
        <v>19943</v>
      </c>
      <c r="H3289" s="7" t="str">
        <f>HYPERLINK("http://www.ensembl.org/Mus_musculus/Gene/Summary?db=core;g=ENSMUSG00000030432","ENSMUSG00000030432")</f>
        <v>ENSMUSG00000030432</v>
      </c>
      <c r="I3289" s="7" t="str">
        <f>HYPERLINK("http://www.informatics.jax.org/marker/MGI:101839","MGI:101839")</f>
        <v>MGI:101839</v>
      </c>
      <c r="J3289" s="4" t="s">
        <v>12</v>
      </c>
    </row>
    <row r="3290" spans="1:10" x14ac:dyDescent="0.25">
      <c r="A3290" s="2">
        <v>1230.4282250957899</v>
      </c>
      <c r="B3290" s="3">
        <v>0.143514385160533</v>
      </c>
      <c r="C3290" s="3">
        <v>1.0296950148648901E-3</v>
      </c>
      <c r="D3290" s="4">
        <v>3.6151399818748898E-3</v>
      </c>
      <c r="E3290" s="3" t="s">
        <v>7064</v>
      </c>
      <c r="F3290" s="3" t="s">
        <v>7065</v>
      </c>
      <c r="G3290" s="3">
        <v>18637</v>
      </c>
      <c r="H3290" s="7" t="str">
        <f>HYPERLINK("http://www.ensembl.org/Mus_musculus/Gene/Summary?db=core;g=ENSMUSG00000006412","ENSMUSG00000006412")</f>
        <v>ENSMUSG00000006412</v>
      </c>
      <c r="I3290" s="7" t="str">
        <f>HYPERLINK("http://www.informatics.jax.org/marker/MGI:1276111","MGI:1276111")</f>
        <v>MGI:1276111</v>
      </c>
      <c r="J3290" s="4" t="s">
        <v>12</v>
      </c>
    </row>
    <row r="3291" spans="1:10" x14ac:dyDescent="0.25">
      <c r="A3291" s="2">
        <v>3126.3046189290699</v>
      </c>
      <c r="B3291" s="3">
        <v>0.14330617941003501</v>
      </c>
      <c r="C3291" s="3">
        <v>3.9309277455976697E-2</v>
      </c>
      <c r="D3291" s="4">
        <v>9.3061821914822804E-2</v>
      </c>
      <c r="E3291" s="3" t="s">
        <v>13603</v>
      </c>
      <c r="F3291" s="3" t="s">
        <v>13604</v>
      </c>
      <c r="G3291" s="3">
        <v>19944</v>
      </c>
      <c r="H3291" s="7" t="str">
        <f>HYPERLINK("http://www.ensembl.org/Mus_musculus/Gene/Summary?db=core;g=ENSMUSG00000048758","ENSMUSG00000048758")</f>
        <v>ENSMUSG00000048758</v>
      </c>
      <c r="I3291" s="7" t="str">
        <f>HYPERLINK("http://www.informatics.jax.org/marker/MGI:99687","MGI:99687")</f>
        <v>MGI:99687</v>
      </c>
      <c r="J3291" s="4" t="s">
        <v>12</v>
      </c>
    </row>
    <row r="3292" spans="1:10" x14ac:dyDescent="0.25">
      <c r="A3292" s="2">
        <v>2064.3610095731001</v>
      </c>
      <c r="B3292" s="3">
        <v>0.14300096158292799</v>
      </c>
      <c r="C3292" s="3">
        <v>1.05055750875795E-3</v>
      </c>
      <c r="D3292" s="4">
        <v>3.6820020379064798E-3</v>
      </c>
      <c r="E3292" s="3" t="s">
        <v>8657</v>
      </c>
      <c r="F3292" s="3" t="s">
        <v>8658</v>
      </c>
      <c r="G3292" s="3">
        <v>70579</v>
      </c>
      <c r="H3292" s="7" t="str">
        <f>HYPERLINK("http://www.ensembl.org/Mus_musculus/Gene/Summary?db=core;g=ENSMUSG00000116275","ENSMUSG00000116275")</f>
        <v>ENSMUSG00000116275</v>
      </c>
      <c r="I3292" s="7" t="str">
        <f>HYPERLINK("http://www.informatics.jax.org/marker/MGI:1917829","MGI:1917829")</f>
        <v>MGI:1917829</v>
      </c>
      <c r="J3292" s="4" t="s">
        <v>12</v>
      </c>
    </row>
    <row r="3293" spans="1:10" x14ac:dyDescent="0.25">
      <c r="A3293" s="2">
        <v>10788.853809799901</v>
      </c>
      <c r="B3293" s="3">
        <v>0.14292741424737601</v>
      </c>
      <c r="C3293" s="3">
        <v>2.9029730388779201E-3</v>
      </c>
      <c r="D3293" s="4">
        <v>9.2413421193973892E-3</v>
      </c>
      <c r="E3293" s="3" t="s">
        <v>7264</v>
      </c>
      <c r="F3293" s="3" t="s">
        <v>7265</v>
      </c>
      <c r="G3293" s="3">
        <v>22627</v>
      </c>
      <c r="H3293" s="7" t="str">
        <f>HYPERLINK("http://www.ensembl.org/Mus_musculus/Gene/Summary?db=core;g=ENSMUSG00000020849","ENSMUSG00000020849")</f>
        <v>ENSMUSG00000020849</v>
      </c>
      <c r="I3293" s="7" t="str">
        <f>HYPERLINK("http://www.informatics.jax.org/marker/MGI:894689","MGI:894689")</f>
        <v>MGI:894689</v>
      </c>
      <c r="J3293" s="4" t="s">
        <v>12</v>
      </c>
    </row>
    <row r="3294" spans="1:10" x14ac:dyDescent="0.25">
      <c r="A3294" s="2">
        <v>1904.92031460673</v>
      </c>
      <c r="B3294" s="3">
        <v>0.14245915125773501</v>
      </c>
      <c r="C3294" s="3">
        <v>1.15874067157745E-3</v>
      </c>
      <c r="D3294" s="4">
        <v>4.0270878603163602E-3</v>
      </c>
      <c r="E3294" s="3" t="s">
        <v>10148</v>
      </c>
      <c r="F3294" s="3" t="s">
        <v>10149</v>
      </c>
      <c r="G3294" s="3">
        <v>54161</v>
      </c>
      <c r="H3294" s="7" t="str">
        <f>HYPERLINK("http://www.ensembl.org/Mus_musculus/Gene/Summary?db=core;g=ENSMUSG00000030058","ENSMUSG00000030058")</f>
        <v>ENSMUSG00000030058</v>
      </c>
      <c r="I3294" s="7" t="str">
        <f>HYPERLINK("http://www.informatics.jax.org/marker/MGI:1858696","MGI:1858696")</f>
        <v>MGI:1858696</v>
      </c>
      <c r="J3294" s="4" t="s">
        <v>12</v>
      </c>
    </row>
    <row r="3295" spans="1:10" x14ac:dyDescent="0.25">
      <c r="A3295" s="2">
        <v>3492.1834976823902</v>
      </c>
      <c r="B3295" s="3">
        <v>0.142366996741596</v>
      </c>
      <c r="C3295" s="3">
        <v>3.1426224581489501E-3</v>
      </c>
      <c r="D3295" s="4">
        <v>9.9141932317404601E-3</v>
      </c>
      <c r="E3295" s="3" t="s">
        <v>6145</v>
      </c>
      <c r="F3295" s="3" t="s">
        <v>6146</v>
      </c>
      <c r="G3295" s="3">
        <v>69227</v>
      </c>
      <c r="H3295" s="7" t="str">
        <f>HYPERLINK("http://www.ensembl.org/Mus_musculus/Gene/Summary?db=core;g=ENSMUSG00000075700","ENSMUSG00000075700")</f>
        <v>ENSMUSG00000075700</v>
      </c>
      <c r="I3295" s="7" t="str">
        <f>HYPERLINK("http://www.informatics.jax.org/marker/MGI:1916477","MGI:1916477")</f>
        <v>MGI:1916477</v>
      </c>
      <c r="J3295" s="4" t="s">
        <v>12</v>
      </c>
    </row>
    <row r="3296" spans="1:10" x14ac:dyDescent="0.25">
      <c r="A3296" s="2">
        <v>6116.6658983055604</v>
      </c>
      <c r="B3296" s="3">
        <v>0.14231662964313199</v>
      </c>
      <c r="C3296" s="3">
        <v>7.63305521000468E-3</v>
      </c>
      <c r="D3296" s="4">
        <v>2.20184284903981E-2</v>
      </c>
      <c r="E3296" s="3" t="s">
        <v>12241</v>
      </c>
      <c r="F3296" s="3" t="s">
        <v>12242</v>
      </c>
      <c r="G3296" s="3">
        <v>22668</v>
      </c>
      <c r="H3296" s="7" t="str">
        <f>HYPERLINK("http://www.ensembl.org/Mus_musculus/Gene/Summary?db=core;g=ENSMUSG00000024949","ENSMUSG00000024949")</f>
        <v>ENSMUSG00000024949</v>
      </c>
      <c r="I3296" s="7" t="str">
        <f>HYPERLINK("http://www.informatics.jax.org/marker/MGI:1095403","MGI:1095403")</f>
        <v>MGI:1095403</v>
      </c>
      <c r="J3296" s="4" t="s">
        <v>12</v>
      </c>
    </row>
    <row r="3297" spans="1:10" x14ac:dyDescent="0.25">
      <c r="A3297" s="2">
        <v>774.66696019853498</v>
      </c>
      <c r="B3297" s="3">
        <v>0.14194431756412901</v>
      </c>
      <c r="C3297" s="3">
        <v>2.1417351943350399E-2</v>
      </c>
      <c r="D3297" s="4">
        <v>5.4775644003306298E-2</v>
      </c>
      <c r="E3297" s="3" t="s">
        <v>9219</v>
      </c>
      <c r="F3297" s="3" t="s">
        <v>9220</v>
      </c>
      <c r="G3297" s="3">
        <v>30932</v>
      </c>
      <c r="H3297" s="7" t="str">
        <f>HYPERLINK("http://www.ensembl.org/Mus_musculus/Gene/Summary?db=core;g=ENSMUSG00000031711","ENSMUSG00000031711")</f>
        <v>ENSMUSG00000031711</v>
      </c>
      <c r="I3297" s="7" t="str">
        <f>HYPERLINK("http://www.informatics.jax.org/marker/MGI:1353574","MGI:1353574")</f>
        <v>MGI:1353574</v>
      </c>
      <c r="J3297" s="4" t="s">
        <v>12</v>
      </c>
    </row>
    <row r="3298" spans="1:10" x14ac:dyDescent="0.25">
      <c r="A3298" s="2">
        <v>2301.0833228746001</v>
      </c>
      <c r="B3298" s="3">
        <v>0.14182260905742</v>
      </c>
      <c r="C3298" s="3">
        <v>8.3975882845698305E-4</v>
      </c>
      <c r="D3298" s="4">
        <v>2.9944442669983399E-3</v>
      </c>
      <c r="E3298" s="3" t="s">
        <v>8657</v>
      </c>
      <c r="F3298" s="3" t="s">
        <v>8658</v>
      </c>
      <c r="G3298" s="3">
        <v>70579</v>
      </c>
      <c r="H3298" s="7" t="str">
        <f>HYPERLINK("http://www.ensembl.org/Mus_musculus/Gene/Summary?db=core;g=ENSMUSG00000102976","ENSMUSG00000102976")</f>
        <v>ENSMUSG00000102976</v>
      </c>
      <c r="I3298" s="7" t="str">
        <f>HYPERLINK("http://www.informatics.jax.org/marker/MGI:1917829","MGI:1917829")</f>
        <v>MGI:1917829</v>
      </c>
      <c r="J3298" s="4" t="s">
        <v>12</v>
      </c>
    </row>
    <row r="3299" spans="1:10" x14ac:dyDescent="0.25">
      <c r="A3299" s="2">
        <v>1632.4667465933901</v>
      </c>
      <c r="B3299" s="3">
        <v>0.14175452168365499</v>
      </c>
      <c r="C3299" s="3">
        <v>4.94579456426135E-2</v>
      </c>
      <c r="D3299" s="4">
        <v>0.113294502179064</v>
      </c>
      <c r="E3299" s="3" t="s">
        <v>10575</v>
      </c>
      <c r="F3299" s="3" t="s">
        <v>10576</v>
      </c>
      <c r="G3299" s="3">
        <v>68272</v>
      </c>
      <c r="H3299" s="7" t="str">
        <f>HYPERLINK("http://www.ensembl.org/Mus_musculus/Gene/Summary?db=core;g=ENSMUSG00000029701","ENSMUSG00000029701")</f>
        <v>ENSMUSG00000029701</v>
      </c>
      <c r="I3299" s="7" t="str">
        <f>HYPERLINK("http://www.informatics.jax.org/marker/MGI:2655711","MGI:2655711")</f>
        <v>MGI:2655711</v>
      </c>
      <c r="J3299" s="4" t="s">
        <v>12</v>
      </c>
    </row>
    <row r="3300" spans="1:10" x14ac:dyDescent="0.25">
      <c r="A3300" s="2">
        <v>2534.8021518208702</v>
      </c>
      <c r="B3300" s="3">
        <v>0.141283121926157</v>
      </c>
      <c r="C3300" s="3">
        <v>4.21880928986681E-4</v>
      </c>
      <c r="D3300" s="4">
        <v>1.58466198078777E-3</v>
      </c>
      <c r="E3300" s="3" t="s">
        <v>10770</v>
      </c>
      <c r="F3300" s="3" t="s">
        <v>10771</v>
      </c>
      <c r="G3300" s="3">
        <v>23874</v>
      </c>
      <c r="H3300" s="7" t="str">
        <f>HYPERLINK("http://www.ensembl.org/Mus_musculus/Gene/Summary?db=core;g=ENSMUSG00000026245","ENSMUSG00000026245")</f>
        <v>ENSMUSG00000026245</v>
      </c>
      <c r="I3300" s="7" t="str">
        <f>HYPERLINK("http://www.informatics.jax.org/marker/MGI:1346035","MGI:1346035")</f>
        <v>MGI:1346035</v>
      </c>
      <c r="J3300" s="4" t="s">
        <v>12</v>
      </c>
    </row>
    <row r="3301" spans="1:10" x14ac:dyDescent="0.25">
      <c r="A3301" s="2">
        <v>2265.1797035213899</v>
      </c>
      <c r="B3301" s="3">
        <v>0.14079669158331301</v>
      </c>
      <c r="C3301" s="3">
        <v>7.1183500330628197E-3</v>
      </c>
      <c r="D3301" s="4">
        <v>2.0714023527474E-2</v>
      </c>
      <c r="E3301" s="3" t="s">
        <v>13707</v>
      </c>
      <c r="F3301" s="3" t="s">
        <v>13708</v>
      </c>
      <c r="G3301" s="3">
        <v>16646</v>
      </c>
      <c r="H3301" s="7" t="str">
        <f>HYPERLINK("http://www.ensembl.org/Mus_musculus/Gene/Summary?db=core;g=ENSMUSG00000022905","ENSMUSG00000022905")</f>
        <v>ENSMUSG00000022905</v>
      </c>
      <c r="I3301" s="7" t="str">
        <f>HYPERLINK("http://www.informatics.jax.org/marker/MGI:103560","MGI:103560")</f>
        <v>MGI:103560</v>
      </c>
      <c r="J3301" s="4" t="s">
        <v>12</v>
      </c>
    </row>
    <row r="3302" spans="1:10" x14ac:dyDescent="0.25">
      <c r="A3302" s="2">
        <v>995.08687713339702</v>
      </c>
      <c r="B3302" s="3">
        <v>0.14052290893119099</v>
      </c>
      <c r="C3302" s="3">
        <v>7.6161076005166499E-3</v>
      </c>
      <c r="D3302" s="4">
        <v>2.1986941393856499E-2</v>
      </c>
      <c r="E3302" s="3" t="s">
        <v>11875</v>
      </c>
      <c r="F3302" s="3" t="s">
        <v>11876</v>
      </c>
      <c r="G3302" s="3">
        <v>192160</v>
      </c>
      <c r="H3302" s="7" t="str">
        <f>HYPERLINK("http://www.ensembl.org/Mus_musculus/Gene/Summary?db=core;g=ENSMUSG00000078676","ENSMUSG00000078676")</f>
        <v>ENSMUSG00000078676</v>
      </c>
      <c r="I3302" s="7" t="str">
        <f>HYPERLINK("http://www.informatics.jax.org/marker/MGI:2179723","MGI:2179723")</f>
        <v>MGI:2179723</v>
      </c>
      <c r="J3302" s="4" t="s">
        <v>12</v>
      </c>
    </row>
    <row r="3303" spans="1:10" x14ac:dyDescent="0.25">
      <c r="A3303" s="2">
        <v>3750.4747422339601</v>
      </c>
      <c r="B3303" s="3">
        <v>0.14036081669252601</v>
      </c>
      <c r="C3303" s="3">
        <v>4.5406477795540197E-2</v>
      </c>
      <c r="D3303" s="4">
        <v>0.105364534991561</v>
      </c>
      <c r="E3303" s="3" t="s">
        <v>12817</v>
      </c>
      <c r="F3303" s="3" t="s">
        <v>12818</v>
      </c>
      <c r="G3303" s="3">
        <v>26444</v>
      </c>
      <c r="H3303" s="7" t="str">
        <f>HYPERLINK("http://www.ensembl.org/Mus_musculus/Gene/Summary?db=core;g=ENSMUSG00000027566","ENSMUSG00000027566")</f>
        <v>ENSMUSG00000027566</v>
      </c>
      <c r="I3303" s="7" t="str">
        <f>HYPERLINK("http://www.informatics.jax.org/marker/MGI:1347070","MGI:1347070")</f>
        <v>MGI:1347070</v>
      </c>
      <c r="J3303" s="4" t="s">
        <v>12</v>
      </c>
    </row>
    <row r="3304" spans="1:10" x14ac:dyDescent="0.25">
      <c r="A3304" s="2">
        <v>3070.6447934657499</v>
      </c>
      <c r="B3304" s="3">
        <v>0.140286292463598</v>
      </c>
      <c r="C3304" s="3">
        <v>1.12363018231025E-2</v>
      </c>
      <c r="D3304" s="4">
        <v>3.1126554297924301E-2</v>
      </c>
      <c r="E3304" s="3" t="s">
        <v>10968</v>
      </c>
      <c r="F3304" s="3" t="s">
        <v>10969</v>
      </c>
      <c r="G3304" s="3">
        <v>15469</v>
      </c>
      <c r="H3304" s="7" t="str">
        <f>HYPERLINK("http://www.ensembl.org/Mus_musculus/Gene/Summary?db=core;g=ENSMUSG00000109324","ENSMUSG00000109324")</f>
        <v>ENSMUSG00000109324</v>
      </c>
      <c r="I3304" s="7" t="str">
        <f>HYPERLINK("http://www.informatics.jax.org/marker/MGI:107846","MGI:107846")</f>
        <v>MGI:107846</v>
      </c>
      <c r="J3304" s="4" t="s">
        <v>12</v>
      </c>
    </row>
    <row r="3305" spans="1:10" x14ac:dyDescent="0.25">
      <c r="A3305" s="2">
        <v>651.14891018635706</v>
      </c>
      <c r="B3305" s="3">
        <v>0.140274443746017</v>
      </c>
      <c r="C3305" s="3">
        <v>0.102587249451248</v>
      </c>
      <c r="D3305" s="4">
        <v>0.20760077961903201</v>
      </c>
      <c r="E3305" s="3" t="s">
        <v>10938</v>
      </c>
      <c r="F3305" s="3" t="s">
        <v>10939</v>
      </c>
      <c r="G3305" s="3">
        <v>329260</v>
      </c>
      <c r="H3305" s="7" t="str">
        <f>HYPERLINK("http://www.ensembl.org/Mus_musculus/Gene/Summary?db=core;g=ENSMUSG00000056268","ENSMUSG00000056268")</f>
        <v>ENSMUSG00000056268</v>
      </c>
      <c r="I3305" s="7" t="str">
        <f>HYPERLINK("http://www.informatics.jax.org/marker/MGI:2447812","MGI:2447812")</f>
        <v>MGI:2447812</v>
      </c>
      <c r="J3305" s="4" t="s">
        <v>12</v>
      </c>
    </row>
    <row r="3306" spans="1:10" x14ac:dyDescent="0.25">
      <c r="A3306" s="2">
        <v>823.84264118811598</v>
      </c>
      <c r="B3306" s="3">
        <v>0.140261640017143</v>
      </c>
      <c r="C3306" s="3">
        <v>6.2328081764379904E-3</v>
      </c>
      <c r="D3306" s="4">
        <v>1.8336227444000399E-2</v>
      </c>
      <c r="E3306" s="3" t="s">
        <v>10228</v>
      </c>
      <c r="F3306" s="3" t="s">
        <v>10229</v>
      </c>
      <c r="G3306" s="3">
        <v>17126</v>
      </c>
      <c r="H3306" s="7" t="str">
        <f>HYPERLINK("http://www.ensembl.org/Mus_musculus/Gene/Summary?db=core;g=ENSMUSG00000024563","ENSMUSG00000024563")</f>
        <v>ENSMUSG00000024563</v>
      </c>
      <c r="I3306" s="7" t="str">
        <f>HYPERLINK("http://www.informatics.jax.org/marker/MGI:108051","MGI:108051")</f>
        <v>MGI:108051</v>
      </c>
      <c r="J3306" s="4" t="s">
        <v>12</v>
      </c>
    </row>
    <row r="3307" spans="1:10" x14ac:dyDescent="0.25">
      <c r="A3307" s="2">
        <v>2976.9289402069198</v>
      </c>
      <c r="B3307" s="3">
        <v>0.140177856216152</v>
      </c>
      <c r="C3307" s="3">
        <v>2.9354015571695101E-4</v>
      </c>
      <c r="D3307" s="4">
        <v>1.1307903906027099E-3</v>
      </c>
      <c r="E3307" s="3" t="s">
        <v>8115</v>
      </c>
      <c r="F3307" s="3" t="s">
        <v>8116</v>
      </c>
      <c r="G3307" s="3">
        <v>27374</v>
      </c>
      <c r="H3307" s="7" t="str">
        <f>HYPERLINK("http://www.ensembl.org/Mus_musculus/Gene/Summary?db=core;g=ENSMUSG00000023110","ENSMUSG00000023110")</f>
        <v>ENSMUSG00000023110</v>
      </c>
      <c r="I3307" s="7" t="str">
        <f>HYPERLINK("http://www.informatics.jax.org/marker/MGI:1351645","MGI:1351645")</f>
        <v>MGI:1351645</v>
      </c>
      <c r="J3307" s="4" t="s">
        <v>12</v>
      </c>
    </row>
    <row r="3308" spans="1:10" x14ac:dyDescent="0.25">
      <c r="A3308" s="2">
        <v>3384.4743326726202</v>
      </c>
      <c r="B3308" s="3">
        <v>0.14015069232695601</v>
      </c>
      <c r="C3308" s="3">
        <v>1.8614041686704899E-2</v>
      </c>
      <c r="D3308" s="4">
        <v>4.8504562444981102E-2</v>
      </c>
      <c r="E3308" s="3" t="s">
        <v>12729</v>
      </c>
      <c r="F3308" s="3" t="s">
        <v>12730</v>
      </c>
      <c r="G3308" s="3">
        <v>20017</v>
      </c>
      <c r="H3308" s="7" t="str">
        <f>HYPERLINK("http://www.ensembl.org/Mus_musculus/Gene/Summary?db=core;g=ENSMUSG00000027395","ENSMUSG00000027395")</f>
        <v>ENSMUSG00000027395</v>
      </c>
      <c r="I3308" s="7" t="str">
        <f>HYPERLINK("http://www.informatics.jax.org/marker/MGI:108014","MGI:108014")</f>
        <v>MGI:108014</v>
      </c>
      <c r="J3308" s="4" t="s">
        <v>12</v>
      </c>
    </row>
    <row r="3309" spans="1:10" x14ac:dyDescent="0.25">
      <c r="A3309" s="2">
        <v>1386.1312256731301</v>
      </c>
      <c r="B3309" s="3">
        <v>0.13965472747055599</v>
      </c>
      <c r="C3309" s="3">
        <v>4.4931651263227504E-3</v>
      </c>
      <c r="D3309" s="4">
        <v>1.3652539917844601E-2</v>
      </c>
      <c r="E3309" s="3" t="s">
        <v>13245</v>
      </c>
      <c r="F3309" s="3" t="s">
        <v>13246</v>
      </c>
      <c r="G3309" s="3">
        <v>107701</v>
      </c>
      <c r="H3309" s="7" t="str">
        <f>HYPERLINK("http://www.ensembl.org/Mus_musculus/Gene/Summary?db=core;g=ENSMUSG00000068856","ENSMUSG00000068856")</f>
        <v>ENSMUSG00000068856</v>
      </c>
      <c r="I3309" s="7" t="str">
        <f>HYPERLINK("http://www.informatics.jax.org/marker/MGI:109580","MGI:109580")</f>
        <v>MGI:109580</v>
      </c>
      <c r="J3309" s="4" t="s">
        <v>12</v>
      </c>
    </row>
    <row r="3310" spans="1:10" x14ac:dyDescent="0.25">
      <c r="A3310" s="2">
        <v>1567.9242295518</v>
      </c>
      <c r="B3310" s="3">
        <v>0.13955394237976201</v>
      </c>
      <c r="C3310" s="3">
        <v>3.80471342432619E-4</v>
      </c>
      <c r="D3310" s="4">
        <v>1.43890645690693E-3</v>
      </c>
      <c r="E3310" s="3" t="s">
        <v>7796</v>
      </c>
      <c r="F3310" s="3" t="s">
        <v>7797</v>
      </c>
      <c r="G3310" s="3">
        <v>72183</v>
      </c>
      <c r="H3310" s="7" t="str">
        <f>HYPERLINK("http://www.ensembl.org/Mus_musculus/Gene/Summary?db=core;g=ENSMUSG00000005656","ENSMUSG00000005656")</f>
        <v>ENSMUSG00000005656</v>
      </c>
      <c r="I3310" s="7" t="str">
        <f>HYPERLINK("http://www.informatics.jax.org/marker/MGI:1919433","MGI:1919433")</f>
        <v>MGI:1919433</v>
      </c>
      <c r="J3310" s="4" t="s">
        <v>12</v>
      </c>
    </row>
    <row r="3311" spans="1:10" x14ac:dyDescent="0.25">
      <c r="A3311" s="2">
        <v>2901.9663381053401</v>
      </c>
      <c r="B3311" s="3">
        <v>0.13937381483459399</v>
      </c>
      <c r="C3311" s="3">
        <v>1.8344533347121598E-2</v>
      </c>
      <c r="D3311" s="4">
        <v>4.7884434295515699E-2</v>
      </c>
      <c r="E3311" s="3" t="s">
        <v>8889</v>
      </c>
      <c r="F3311" s="3" t="s">
        <v>8890</v>
      </c>
      <c r="G3311" s="3" t="s">
        <v>83</v>
      </c>
      <c r="H3311" s="7" t="str">
        <f>HYPERLINK("http://www.ensembl.org/Mus_musculus/Gene/Summary?db=core;g=ENSMUSG00000087107","ENSMUSG00000087107")</f>
        <v>ENSMUSG00000087107</v>
      </c>
      <c r="I3311" s="7" t="str">
        <f>HYPERLINK("http://www.informatics.jax.org/marker/MGI:2144254","MGI:2144254")</f>
        <v>MGI:2144254</v>
      </c>
      <c r="J3311" s="4" t="s">
        <v>331</v>
      </c>
    </row>
    <row r="3312" spans="1:10" x14ac:dyDescent="0.25">
      <c r="A3312" s="2">
        <v>3812.2277331799</v>
      </c>
      <c r="B3312" s="3">
        <v>0.139269907836956</v>
      </c>
      <c r="C3312" s="3">
        <v>1.33501027078404E-2</v>
      </c>
      <c r="D3312" s="4">
        <v>3.6227757869325701E-2</v>
      </c>
      <c r="E3312" s="3" t="s">
        <v>11657</v>
      </c>
      <c r="F3312" s="3" t="s">
        <v>11658</v>
      </c>
      <c r="G3312" s="3">
        <v>14660</v>
      </c>
      <c r="H3312" s="7" t="str">
        <f>HYPERLINK("http://www.ensembl.org/Mus_musculus/Gene/Summary?db=core;g=ENSMUSG00000026103","ENSMUSG00000026103")</f>
        <v>ENSMUSG00000026103</v>
      </c>
      <c r="I3312" s="7" t="str">
        <f>HYPERLINK("http://www.informatics.jax.org/marker/MGI:95752","MGI:95752")</f>
        <v>MGI:95752</v>
      </c>
      <c r="J3312" s="4" t="s">
        <v>12</v>
      </c>
    </row>
    <row r="3313" spans="1:10" x14ac:dyDescent="0.25">
      <c r="A3313" s="2">
        <v>3478.2062611301499</v>
      </c>
      <c r="B3313" s="3">
        <v>0.13898982578029501</v>
      </c>
      <c r="C3313" s="3">
        <v>6.1733757102117905E-4</v>
      </c>
      <c r="D3313" s="4">
        <v>2.25832541787655E-3</v>
      </c>
      <c r="E3313" s="3" t="s">
        <v>8039</v>
      </c>
      <c r="F3313" s="3" t="s">
        <v>8040</v>
      </c>
      <c r="G3313" s="3">
        <v>51786</v>
      </c>
      <c r="H3313" s="7" t="str">
        <f>HYPERLINK("http://www.ensembl.org/Mus_musculus/Gene/Summary?db=core;g=ENSMUSG00000041781","ENSMUSG00000041781")</f>
        <v>ENSMUSG00000041781</v>
      </c>
      <c r="I3313" s="7" t="str">
        <f>HYPERLINK("http://www.informatics.jax.org/marker/MGI:1861601","MGI:1861601")</f>
        <v>MGI:1861601</v>
      </c>
      <c r="J3313" s="4" t="s">
        <v>12</v>
      </c>
    </row>
    <row r="3314" spans="1:10" x14ac:dyDescent="0.25">
      <c r="A3314" s="2">
        <v>1797.4447722356199</v>
      </c>
      <c r="B3314" s="3">
        <v>0.13875787485409399</v>
      </c>
      <c r="C3314" s="3">
        <v>2.0347438455809502E-3</v>
      </c>
      <c r="D3314" s="4">
        <v>6.7228438335229998E-3</v>
      </c>
      <c r="E3314" s="3" t="s">
        <v>10634</v>
      </c>
      <c r="F3314" s="3" t="s">
        <v>10635</v>
      </c>
      <c r="G3314" s="3">
        <v>94184</v>
      </c>
      <c r="H3314" s="7" t="str">
        <f>HYPERLINK("http://www.ensembl.org/Mus_musculus/Gene/Summary?db=core;g=ENSMUSG00000022680","ENSMUSG00000022680")</f>
        <v>ENSMUSG00000022680</v>
      </c>
      <c r="I3314" s="7" t="str">
        <f>HYPERLINK("http://www.informatics.jax.org/marker/MGI:1920909","MGI:1920909")</f>
        <v>MGI:1920909</v>
      </c>
      <c r="J3314" s="4" t="s">
        <v>12</v>
      </c>
    </row>
    <row r="3315" spans="1:10" x14ac:dyDescent="0.25">
      <c r="A3315" s="2">
        <v>1631.71919423281</v>
      </c>
      <c r="B3315" s="3">
        <v>0.13854139968170101</v>
      </c>
      <c r="C3315" s="3">
        <v>1.3036253544414E-4</v>
      </c>
      <c r="D3315" s="4">
        <v>5.34501059273218E-4</v>
      </c>
      <c r="E3315" s="3" t="s">
        <v>7746</v>
      </c>
      <c r="F3315" s="3" t="s">
        <v>7747</v>
      </c>
      <c r="G3315" s="3">
        <v>234825</v>
      </c>
      <c r="H3315" s="7" t="str">
        <f>HYPERLINK("http://www.ensembl.org/Mus_musculus/Gene/Summary?db=core;g=ENSMUSG00000040263","ENSMUSG00000040263")</f>
        <v>ENSMUSG00000040263</v>
      </c>
      <c r="I3315" s="7" t="str">
        <f>HYPERLINK("http://www.informatics.jax.org/marker/MGI:2384569","MGI:2384569")</f>
        <v>MGI:2384569</v>
      </c>
      <c r="J3315" s="4" t="s">
        <v>12</v>
      </c>
    </row>
    <row r="3316" spans="1:10" x14ac:dyDescent="0.25">
      <c r="A3316" s="2">
        <v>1857.8706760484599</v>
      </c>
      <c r="B3316" s="3">
        <v>0.13853295623508699</v>
      </c>
      <c r="C3316" s="3">
        <v>1.7939564208856101E-2</v>
      </c>
      <c r="D3316" s="4">
        <v>4.6968619121735798E-2</v>
      </c>
      <c r="E3316" s="3" t="s">
        <v>13219</v>
      </c>
      <c r="F3316" s="3" t="s">
        <v>13220</v>
      </c>
      <c r="G3316" s="3">
        <v>12454</v>
      </c>
      <c r="H3316" s="7" t="str">
        <f>HYPERLINK("http://www.ensembl.org/Mus_musculus/Gene/Summary?db=core;g=ENSMUSG00000021258","ENSMUSG00000021258")</f>
        <v>ENSMUSG00000021258</v>
      </c>
      <c r="I3316" s="7" t="str">
        <f>HYPERLINK("http://www.informatics.jax.org/marker/MGI:1276106","MGI:1276106")</f>
        <v>MGI:1276106</v>
      </c>
      <c r="J3316" s="4" t="s">
        <v>12</v>
      </c>
    </row>
    <row r="3317" spans="1:10" x14ac:dyDescent="0.25">
      <c r="A3317" s="2">
        <v>80.495932972850696</v>
      </c>
      <c r="B3317" s="3">
        <v>0.13811316571666299</v>
      </c>
      <c r="C3317" s="3">
        <v>0.58335313973743597</v>
      </c>
      <c r="D3317" s="4">
        <v>0.74331335885581895</v>
      </c>
      <c r="E3317" s="3" t="s">
        <v>8897</v>
      </c>
      <c r="F3317" s="3" t="s">
        <v>8898</v>
      </c>
      <c r="G3317" s="3">
        <v>667214</v>
      </c>
      <c r="H3317" s="7" t="str">
        <f>HYPERLINK("http://www.ensembl.org/Mus_musculus/Gene/Summary?db=core;g=ENSMUSG00000069893","ENSMUSG00000069893")</f>
        <v>ENSMUSG00000069893</v>
      </c>
      <c r="I3317" s="7" t="str">
        <f>HYPERLINK("http://www.informatics.jax.org/marker/MGI:3041173","MGI:3041173")</f>
        <v>MGI:3041173</v>
      </c>
      <c r="J3317" s="4" t="s">
        <v>12</v>
      </c>
    </row>
    <row r="3318" spans="1:10" x14ac:dyDescent="0.25">
      <c r="A3318" s="2">
        <v>2891.7444619784801</v>
      </c>
      <c r="B3318" s="3">
        <v>0.137940388977424</v>
      </c>
      <c r="C3318" s="3">
        <v>8.5117807954821704E-4</v>
      </c>
      <c r="D3318" s="4">
        <v>3.0304201015366799E-3</v>
      </c>
      <c r="E3318" s="3" t="s">
        <v>9349</v>
      </c>
      <c r="F3318" s="3" t="s">
        <v>9350</v>
      </c>
      <c r="G3318" s="3">
        <v>245474</v>
      </c>
      <c r="H3318" s="7" t="str">
        <f>HYPERLINK("http://www.ensembl.org/Mus_musculus/Gene/Summary?db=core;g=ENSMUSG00000031403","ENSMUSG00000031403")</f>
        <v>ENSMUSG00000031403</v>
      </c>
      <c r="I3318" s="7" t="str">
        <f>HYPERLINK("http://www.informatics.jax.org/marker/MGI:1861727","MGI:1861727")</f>
        <v>MGI:1861727</v>
      </c>
      <c r="J3318" s="4" t="s">
        <v>12</v>
      </c>
    </row>
    <row r="3319" spans="1:10" x14ac:dyDescent="0.25">
      <c r="A3319" s="2">
        <v>551.08072002236497</v>
      </c>
      <c r="B3319" s="3">
        <v>0.13783792392824701</v>
      </c>
      <c r="C3319" s="3">
        <v>5.0999342837709398E-2</v>
      </c>
      <c r="D3319" s="4">
        <v>0.116153839442296</v>
      </c>
      <c r="E3319" s="3" t="s">
        <v>6421</v>
      </c>
      <c r="F3319" s="3" t="s">
        <v>6422</v>
      </c>
      <c r="G3319" s="3">
        <v>67213</v>
      </c>
      <c r="H3319" s="7" t="str">
        <f>HYPERLINK("http://www.ensembl.org/Mus_musculus/Gene/Summary?db=core;g=ENSMUSG00000032434","ENSMUSG00000032434")</f>
        <v>ENSMUSG00000032434</v>
      </c>
      <c r="I3319" s="7" t="str">
        <f>HYPERLINK("http://www.informatics.jax.org/marker/MGI:2447165","MGI:2447165")</f>
        <v>MGI:2447165</v>
      </c>
      <c r="J3319" s="4" t="s">
        <v>12</v>
      </c>
    </row>
    <row r="3320" spans="1:10" x14ac:dyDescent="0.25">
      <c r="A3320" s="2">
        <v>3858.1706236448599</v>
      </c>
      <c r="B3320" s="3">
        <v>0.1377055710325</v>
      </c>
      <c r="C3320" s="3">
        <v>3.1978776529206603E-2</v>
      </c>
      <c r="D3320" s="4">
        <v>7.7812176534685001E-2</v>
      </c>
      <c r="E3320" s="3" t="s">
        <v>11042</v>
      </c>
      <c r="F3320" s="3" t="s">
        <v>11043</v>
      </c>
      <c r="G3320" s="3">
        <v>12282</v>
      </c>
      <c r="H3320" s="7" t="str">
        <f>HYPERLINK("http://www.ensembl.org/Mus_musculus/Gene/Summary?db=core;g=ENSMUSG00000032115","ENSMUSG00000032115")</f>
        <v>ENSMUSG00000032115</v>
      </c>
      <c r="I3320" s="7" t="str">
        <f>HYPERLINK("http://www.informatics.jax.org/marker/MGI:108030","MGI:108030")</f>
        <v>MGI:108030</v>
      </c>
      <c r="J3320" s="4" t="s">
        <v>12</v>
      </c>
    </row>
    <row r="3321" spans="1:10" x14ac:dyDescent="0.25">
      <c r="A3321" s="2">
        <v>1586.68529074853</v>
      </c>
      <c r="B3321" s="3">
        <v>0.136672794999288</v>
      </c>
      <c r="C3321" s="3">
        <v>3.1258821939483799E-3</v>
      </c>
      <c r="D3321" s="4">
        <v>9.8682146171330792E-3</v>
      </c>
      <c r="E3321" s="3" t="s">
        <v>9515</v>
      </c>
      <c r="F3321" s="3" t="s">
        <v>9516</v>
      </c>
      <c r="G3321" s="3">
        <v>108121</v>
      </c>
      <c r="H3321" s="7" t="str">
        <f>HYPERLINK("http://www.ensembl.org/Mus_musculus/Gene/Summary?db=core;g=ENSMUSG00000061613","ENSMUSG00000061613")</f>
        <v>ENSMUSG00000061613</v>
      </c>
      <c r="I3321" s="7" t="str">
        <f>HYPERLINK("http://www.informatics.jax.org/marker/MGI:98884","MGI:98884")</f>
        <v>MGI:98884</v>
      </c>
      <c r="J3321" s="4" t="s">
        <v>12</v>
      </c>
    </row>
    <row r="3322" spans="1:10" x14ac:dyDescent="0.25">
      <c r="A3322" s="2">
        <v>1768.17002455125</v>
      </c>
      <c r="B3322" s="3">
        <v>0.13645873190907101</v>
      </c>
      <c r="C3322" s="3">
        <v>6.5991773502557596E-3</v>
      </c>
      <c r="D3322" s="4">
        <v>1.9311176494606799E-2</v>
      </c>
      <c r="E3322" s="3" t="s">
        <v>12551</v>
      </c>
      <c r="F3322" s="3" t="s">
        <v>12552</v>
      </c>
      <c r="G3322" s="3">
        <v>213541</v>
      </c>
      <c r="H3322" s="7" t="str">
        <f>HYPERLINK("http://www.ensembl.org/Mus_musculus/Gene/Summary?db=core;g=ENSMUSG00000040025","ENSMUSG00000040025")</f>
        <v>ENSMUSG00000040025</v>
      </c>
      <c r="I3322" s="7" t="str">
        <f>HYPERLINK("http://www.informatics.jax.org/marker/MGI:2444233","MGI:2444233")</f>
        <v>MGI:2444233</v>
      </c>
      <c r="J3322" s="4" t="s">
        <v>12</v>
      </c>
    </row>
    <row r="3323" spans="1:10" x14ac:dyDescent="0.25">
      <c r="A3323" s="2">
        <v>1000.80774147255</v>
      </c>
      <c r="B3323" s="3">
        <v>0.13513889703439</v>
      </c>
      <c r="C3323" s="3">
        <v>2.04705573987042E-3</v>
      </c>
      <c r="D3323" s="4">
        <v>6.7561736434513702E-3</v>
      </c>
      <c r="E3323" s="3" t="s">
        <v>10384</v>
      </c>
      <c r="F3323" s="3" t="s">
        <v>10385</v>
      </c>
      <c r="G3323" s="3">
        <v>67955</v>
      </c>
      <c r="H3323" s="7" t="str">
        <f>HYPERLINK("http://www.ensembl.org/Mus_musculus/Gene/Summary?db=core;g=ENSMUSG00000022024","ENSMUSG00000022024")</f>
        <v>ENSMUSG00000022024</v>
      </c>
      <c r="I3323" s="7" t="str">
        <f>HYPERLINK("http://www.informatics.jax.org/marker/MGI:1915205","MGI:1915205")</f>
        <v>MGI:1915205</v>
      </c>
      <c r="J3323" s="4" t="s">
        <v>12</v>
      </c>
    </row>
    <row r="3324" spans="1:10" x14ac:dyDescent="0.25">
      <c r="A3324" s="2">
        <v>2182.8007884896201</v>
      </c>
      <c r="B3324" s="3">
        <v>0.13486803489174101</v>
      </c>
      <c r="C3324" s="3">
        <v>2.29134188544644E-2</v>
      </c>
      <c r="D3324" s="4">
        <v>5.80964188400966E-2</v>
      </c>
      <c r="E3324" s="3" t="s">
        <v>11155</v>
      </c>
      <c r="F3324" s="3" t="s">
        <v>11156</v>
      </c>
      <c r="G3324" s="3">
        <v>18102</v>
      </c>
      <c r="H3324" s="7" t="str">
        <f>HYPERLINK("http://www.ensembl.org/Mus_musculus/Gene/Summary?db=core;g=ENSMUSG00000037601","ENSMUSG00000037601")</f>
        <v>ENSMUSG00000037601</v>
      </c>
      <c r="I3324" s="7" t="str">
        <f>HYPERLINK("http://www.informatics.jax.org/marker/MGI:97355","MGI:97355")</f>
        <v>MGI:97355</v>
      </c>
      <c r="J3324" s="4" t="s">
        <v>12</v>
      </c>
    </row>
    <row r="3325" spans="1:10" x14ac:dyDescent="0.25">
      <c r="A3325" s="2">
        <v>3871.8437175967301</v>
      </c>
      <c r="B3325" s="3">
        <v>0.134820824369076</v>
      </c>
      <c r="C3325" s="3">
        <v>1.6637125437231101E-2</v>
      </c>
      <c r="D3325" s="4">
        <v>4.3996841230490399E-2</v>
      </c>
      <c r="E3325" s="3" t="s">
        <v>11675</v>
      </c>
      <c r="F3325" s="3" t="s">
        <v>11676</v>
      </c>
      <c r="G3325" s="3">
        <v>66656</v>
      </c>
      <c r="H3325" s="7" t="str">
        <f>HYPERLINK("http://www.ensembl.org/Mus_musculus/Gene/Summary?db=core;g=ENSMUSG00000055762","ENSMUSG00000055762")</f>
        <v>ENSMUSG00000055762</v>
      </c>
      <c r="I3325" s="7" t="str">
        <f>HYPERLINK("http://www.informatics.jax.org/marker/MGI:1913906","MGI:1913906")</f>
        <v>MGI:1913906</v>
      </c>
      <c r="J3325" s="4" t="s">
        <v>12</v>
      </c>
    </row>
    <row r="3326" spans="1:10" x14ac:dyDescent="0.25">
      <c r="A3326" s="2">
        <v>890.90108174796899</v>
      </c>
      <c r="B3326" s="3">
        <v>0.13354419265840101</v>
      </c>
      <c r="C3326" s="3">
        <v>5.0744578081854702E-2</v>
      </c>
      <c r="D3326" s="4">
        <v>0.115674992500178</v>
      </c>
      <c r="E3326" s="3" t="s">
        <v>11643</v>
      </c>
      <c r="F3326" s="3" t="s">
        <v>11644</v>
      </c>
      <c r="G3326" s="3">
        <v>433956</v>
      </c>
      <c r="H3326" s="7" t="str">
        <f>HYPERLINK("http://www.ensembl.org/Mus_musculus/Gene/Summary?db=core;g=ENSMUSG00000025857","ENSMUSG00000025857")</f>
        <v>ENSMUSG00000025857</v>
      </c>
      <c r="I3326" s="7" t="str">
        <f>HYPERLINK("http://www.informatics.jax.org/marker/MGI:3616079","MGI:3616079")</f>
        <v>MGI:3616079</v>
      </c>
      <c r="J3326" s="4" t="s">
        <v>12</v>
      </c>
    </row>
    <row r="3327" spans="1:10" x14ac:dyDescent="0.25">
      <c r="A3327" s="2">
        <v>654.07356149138502</v>
      </c>
      <c r="B3327" s="3">
        <v>0.13339414250824999</v>
      </c>
      <c r="C3327" s="3">
        <v>5.8186626975021999E-2</v>
      </c>
      <c r="D3327" s="4">
        <v>0.12971881059569099</v>
      </c>
      <c r="E3327" s="3" t="s">
        <v>13921</v>
      </c>
      <c r="F3327" s="3" t="s">
        <v>13922</v>
      </c>
      <c r="G3327" s="3">
        <v>226499</v>
      </c>
      <c r="H3327" s="7" t="str">
        <f>HYPERLINK("http://www.ensembl.org/Mus_musculus/Gene/Summary?db=core;g=ENSMUSG00000006010","ENSMUSG00000006010")</f>
        <v>ENSMUSG00000006010</v>
      </c>
      <c r="I3327" s="7" t="str">
        <f>HYPERLINK("http://www.informatics.jax.org/marker/MGI:2385108","MGI:2385108")</f>
        <v>MGI:2385108</v>
      </c>
      <c r="J3327" s="4" t="s">
        <v>12</v>
      </c>
    </row>
    <row r="3328" spans="1:10" x14ac:dyDescent="0.25">
      <c r="A3328" s="2">
        <v>541.91696861539594</v>
      </c>
      <c r="B3328" s="3">
        <v>0.13328770132342899</v>
      </c>
      <c r="C3328" s="3">
        <v>0.16245764623300099</v>
      </c>
      <c r="D3328" s="4">
        <v>0.30006999114182997</v>
      </c>
      <c r="E3328" s="3" t="s">
        <v>9379</v>
      </c>
      <c r="F3328" s="3" t="s">
        <v>9380</v>
      </c>
      <c r="G3328" s="3">
        <v>230596</v>
      </c>
      <c r="H3328" s="7" t="str">
        <f>HYPERLINK("http://www.ensembl.org/Mus_musculus/Gene/Summary?db=core;g=ENSMUSG00000063800","ENSMUSG00000063800")</f>
        <v>ENSMUSG00000063800</v>
      </c>
      <c r="I3328" s="7" t="str">
        <f>HYPERLINK("http://www.informatics.jax.org/marker/MGI:1916962","MGI:1916962")</f>
        <v>MGI:1916962</v>
      </c>
      <c r="J3328" s="4" t="s">
        <v>12</v>
      </c>
    </row>
    <row r="3329" spans="1:10" x14ac:dyDescent="0.25">
      <c r="A3329" s="2">
        <v>1143.94205529077</v>
      </c>
      <c r="B3329" s="3">
        <v>0.13326860044508801</v>
      </c>
      <c r="C3329" s="3">
        <v>6.8481552691519995E-2</v>
      </c>
      <c r="D3329" s="4">
        <v>0.148633595070019</v>
      </c>
      <c r="E3329" s="3" t="s">
        <v>11873</v>
      </c>
      <c r="F3329" s="3" t="s">
        <v>11874</v>
      </c>
      <c r="G3329" s="3">
        <v>72141</v>
      </c>
      <c r="H3329" s="7" t="str">
        <f>HYPERLINK("http://www.ensembl.org/Mus_musculus/Gene/Summary?db=core;g=ENSMUSG00000025236","ENSMUSG00000025236")</f>
        <v>ENSMUSG00000025236</v>
      </c>
      <c r="I3329" s="7" t="str">
        <f>HYPERLINK("http://www.informatics.jax.org/marker/MGI:1919391","MGI:1919391")</f>
        <v>MGI:1919391</v>
      </c>
      <c r="J3329" s="4" t="s">
        <v>12</v>
      </c>
    </row>
    <row r="3330" spans="1:10" x14ac:dyDescent="0.25">
      <c r="A3330" s="2">
        <v>2233.63401768216</v>
      </c>
      <c r="B3330" s="3">
        <v>0.13311251716318101</v>
      </c>
      <c r="C3330" s="3">
        <v>6.4209087629271099E-3</v>
      </c>
      <c r="D3330" s="4">
        <v>1.8847006314116E-2</v>
      </c>
      <c r="E3330" s="3" t="s">
        <v>11929</v>
      </c>
      <c r="F3330" s="3" t="s">
        <v>11930</v>
      </c>
      <c r="G3330" s="3">
        <v>432508</v>
      </c>
      <c r="H3330" s="7" t="str">
        <f>HYPERLINK("http://www.ensembl.org/Mus_musculus/Gene/Summary?db=core;g=ENSMUSG00000055531","ENSMUSG00000055531")</f>
        <v>ENSMUSG00000055531</v>
      </c>
      <c r="I3330" s="7" t="str">
        <f>HYPERLINK("http://www.informatics.jax.org/marker/MGI:1913948","MGI:1913948")</f>
        <v>MGI:1913948</v>
      </c>
      <c r="J3330" s="4" t="s">
        <v>12</v>
      </c>
    </row>
    <row r="3331" spans="1:10" x14ac:dyDescent="0.25">
      <c r="A3331" s="2">
        <v>1429.0604741505799</v>
      </c>
      <c r="B3331" s="3">
        <v>0.13308102441057701</v>
      </c>
      <c r="C3331" s="3">
        <v>3.5071210041482101E-2</v>
      </c>
      <c r="D3331" s="4">
        <v>8.4279114320412796E-2</v>
      </c>
      <c r="E3331" s="3" t="s">
        <v>12757</v>
      </c>
      <c r="F3331" s="3" t="s">
        <v>12758</v>
      </c>
      <c r="G3331" s="3">
        <v>67332</v>
      </c>
      <c r="H3331" s="7" t="str">
        <f>HYPERLINK("http://www.ensembl.org/Mus_musculus/Gene/Summary?db=core;g=ENSMUSG00000020180","ENSMUSG00000020180")</f>
        <v>ENSMUSG00000020180</v>
      </c>
      <c r="I3331" s="7" t="str">
        <f>HYPERLINK("http://www.informatics.jax.org/marker/MGI:1914582","MGI:1914582")</f>
        <v>MGI:1914582</v>
      </c>
      <c r="J3331" s="4" t="s">
        <v>12</v>
      </c>
    </row>
    <row r="3332" spans="1:10" x14ac:dyDescent="0.25">
      <c r="A3332" s="2">
        <v>739.13499437485405</v>
      </c>
      <c r="B3332" s="3">
        <v>0.13300129098428501</v>
      </c>
      <c r="C3332" s="3">
        <v>8.3853761288505205E-3</v>
      </c>
      <c r="D3332" s="4">
        <v>2.3979833665197001E-2</v>
      </c>
      <c r="E3332" s="3" t="s">
        <v>6485</v>
      </c>
      <c r="F3332" s="3" t="s">
        <v>6486</v>
      </c>
      <c r="G3332" s="3">
        <v>70616</v>
      </c>
      <c r="H3332" s="7" t="str">
        <f>HYPERLINK("http://www.ensembl.org/Mus_musculus/Gene/Summary?db=core;g=ENSMUSG00000011306","ENSMUSG00000011306")</f>
        <v>ENSMUSG00000011306</v>
      </c>
      <c r="I3332" s="7" t="str">
        <f>HYPERLINK("http://www.informatics.jax.org/marker/MGI:1917866","MGI:1917866")</f>
        <v>MGI:1917866</v>
      </c>
      <c r="J3332" s="4" t="s">
        <v>12</v>
      </c>
    </row>
    <row r="3333" spans="1:10" x14ac:dyDescent="0.25">
      <c r="A3333" s="2">
        <v>1751.3834599657</v>
      </c>
      <c r="B3333" s="3">
        <v>0.132929328649914</v>
      </c>
      <c r="C3333" s="3">
        <v>3.2236889284259898E-2</v>
      </c>
      <c r="D3333" s="4">
        <v>7.8377442263291894E-2</v>
      </c>
      <c r="E3333" s="3" t="s">
        <v>12815</v>
      </c>
      <c r="F3333" s="3" t="s">
        <v>12816</v>
      </c>
      <c r="G3333" s="3">
        <v>19035</v>
      </c>
      <c r="H3333" s="7" t="str">
        <f>HYPERLINK("http://www.ensembl.org/Mus_musculus/Gene/Summary?db=core;g=ENSMUSG00000032383","ENSMUSG00000032383")</f>
        <v>ENSMUSG00000032383</v>
      </c>
      <c r="I3333" s="7" t="str">
        <f>HYPERLINK("http://www.informatics.jax.org/marker/MGI:97750","MGI:97750")</f>
        <v>MGI:97750</v>
      </c>
      <c r="J3333" s="4" t="s">
        <v>12</v>
      </c>
    </row>
    <row r="3334" spans="1:10" x14ac:dyDescent="0.25">
      <c r="A3334" s="2">
        <v>865.89575921747598</v>
      </c>
      <c r="B3334" s="3">
        <v>0.132825675111301</v>
      </c>
      <c r="C3334" s="3">
        <v>0.13777646861325099</v>
      </c>
      <c r="D3334" s="4">
        <v>0.26389659910420399</v>
      </c>
      <c r="E3334" s="3" t="s">
        <v>10724</v>
      </c>
      <c r="F3334" s="3" t="s">
        <v>10725</v>
      </c>
      <c r="G3334" s="3">
        <v>67809</v>
      </c>
      <c r="H3334" s="7" t="str">
        <f>HYPERLINK("http://www.ensembl.org/Mus_musculus/Gene/Summary?db=core;g=ENSMUSG00000070730","ENSMUSG00000070730")</f>
        <v>ENSMUSG00000070730</v>
      </c>
      <c r="I3334" s="7" t="str">
        <f>HYPERLINK("http://www.informatics.jax.org/marker/MGI:1915059","MGI:1915059")</f>
        <v>MGI:1915059</v>
      </c>
      <c r="J3334" s="4" t="s">
        <v>12</v>
      </c>
    </row>
    <row r="3335" spans="1:10" x14ac:dyDescent="0.25">
      <c r="A3335" s="2">
        <v>5175.8969003853499</v>
      </c>
      <c r="B3335" s="3">
        <v>0.132676407137165</v>
      </c>
      <c r="C3335" s="3">
        <v>9.0245850580881595E-2</v>
      </c>
      <c r="D3335" s="4">
        <v>0.18715642089628701</v>
      </c>
      <c r="E3335" s="3" t="s">
        <v>13923</v>
      </c>
      <c r="F3335" s="3" t="s">
        <v>13924</v>
      </c>
      <c r="G3335" s="3">
        <v>20088</v>
      </c>
      <c r="H3335" s="7" t="str">
        <f>HYPERLINK("http://www.ensembl.org/Mus_musculus/Gene/Summary?db=core;g=ENSMUSG00000025290","ENSMUSG00000025290")</f>
        <v>ENSMUSG00000025290</v>
      </c>
      <c r="I3335" s="7" t="str">
        <f>HYPERLINK("http://www.informatics.jax.org/marker/MGI:98147","MGI:98147")</f>
        <v>MGI:98147</v>
      </c>
      <c r="J3335" s="4" t="s">
        <v>12</v>
      </c>
    </row>
    <row r="3336" spans="1:10" x14ac:dyDescent="0.25">
      <c r="A3336" s="2">
        <v>869.21272581233302</v>
      </c>
      <c r="B3336" s="3">
        <v>0.132556805738762</v>
      </c>
      <c r="C3336" s="3">
        <v>1.37513399847983E-2</v>
      </c>
      <c r="D3336" s="4">
        <v>3.7194741944634797E-2</v>
      </c>
      <c r="E3336" s="3" t="s">
        <v>8919</v>
      </c>
      <c r="F3336" s="3" t="s">
        <v>8920</v>
      </c>
      <c r="G3336" s="3">
        <v>116891</v>
      </c>
      <c r="H3336" s="7" t="str">
        <f>HYPERLINK("http://www.ensembl.org/Mus_musculus/Gene/Summary?db=core;g=ENSMUSG00000018442","ENSMUSG00000018442")</f>
        <v>ENSMUSG00000018442</v>
      </c>
      <c r="I3336" s="7" t="str">
        <f>HYPERLINK("http://www.informatics.jax.org/marker/MGI:2151483","MGI:2151483")</f>
        <v>MGI:2151483</v>
      </c>
      <c r="J3336" s="4" t="s">
        <v>12</v>
      </c>
    </row>
    <row r="3337" spans="1:10" x14ac:dyDescent="0.25">
      <c r="A3337" s="2">
        <v>5682.2756337128303</v>
      </c>
      <c r="B3337" s="3">
        <v>0.13249202473503299</v>
      </c>
      <c r="C3337" s="3">
        <v>1.2217594828397999E-4</v>
      </c>
      <c r="D3337" s="4">
        <v>5.0297191268929996E-4</v>
      </c>
      <c r="E3337" s="3" t="s">
        <v>13019</v>
      </c>
      <c r="F3337" s="3" t="s">
        <v>13020</v>
      </c>
      <c r="G3337" s="3">
        <v>224727</v>
      </c>
      <c r="H3337" s="7" t="str">
        <f>HYPERLINK("http://www.ensembl.org/Mus_musculus/Gene/Summary?db=core;g=ENSMUSG00000024392","ENSMUSG00000024392")</f>
        <v>ENSMUSG00000024392</v>
      </c>
      <c r="I3337" s="7" t="str">
        <f>HYPERLINK("http://www.informatics.jax.org/marker/MGI:1919439","MGI:1919439")</f>
        <v>MGI:1919439</v>
      </c>
      <c r="J3337" s="4" t="s">
        <v>12</v>
      </c>
    </row>
    <row r="3338" spans="1:10" x14ac:dyDescent="0.25">
      <c r="A3338" s="2">
        <v>2109.4397124069401</v>
      </c>
      <c r="B3338" s="3">
        <v>0.13239929060532599</v>
      </c>
      <c r="C3338" s="3">
        <v>3.9733821173494402E-3</v>
      </c>
      <c r="D3338" s="4">
        <v>1.2240515397007001E-2</v>
      </c>
      <c r="E3338" s="3" t="s">
        <v>11819</v>
      </c>
      <c r="F3338" s="3" t="s">
        <v>11820</v>
      </c>
      <c r="G3338" s="3">
        <v>57315</v>
      </c>
      <c r="H3338" s="7" t="str">
        <f>HYPERLINK("http://www.ensembl.org/Mus_musculus/Gene/Summary?db=core;g=ENSMUSG00000024312","ENSMUSG00000024312")</f>
        <v>ENSMUSG00000024312</v>
      </c>
      <c r="I3338" s="7" t="str">
        <f>HYPERLINK("http://www.informatics.jax.org/marker/MGI:1931871","MGI:1931871")</f>
        <v>MGI:1931871</v>
      </c>
      <c r="J3338" s="4" t="s">
        <v>12</v>
      </c>
    </row>
    <row r="3339" spans="1:10" x14ac:dyDescent="0.25">
      <c r="A3339" s="2">
        <v>4858.7469190249503</v>
      </c>
      <c r="B3339" s="3">
        <v>0.13194708917671799</v>
      </c>
      <c r="C3339" s="3">
        <v>3.2782276138973901E-2</v>
      </c>
      <c r="D3339" s="4">
        <v>7.9501927163379907E-2</v>
      </c>
      <c r="E3339" s="3" t="s">
        <v>12275</v>
      </c>
      <c r="F3339" s="3" t="s">
        <v>12276</v>
      </c>
      <c r="G3339" s="3">
        <v>57741</v>
      </c>
      <c r="H3339" s="7" t="str">
        <f>HYPERLINK("http://www.ensembl.org/Mus_musculus/Gene/Summary?db=core;g=ENSMUSG00000095567","ENSMUSG00000095567")</f>
        <v>ENSMUSG00000095567</v>
      </c>
      <c r="I3339" s="7" t="str">
        <f>HYPERLINK("http://www.informatics.jax.org/marker/MGI:1931051","MGI:1931051")</f>
        <v>MGI:1931051</v>
      </c>
      <c r="J3339" s="4" t="s">
        <v>12</v>
      </c>
    </row>
    <row r="3340" spans="1:10" x14ac:dyDescent="0.25">
      <c r="A3340" s="2">
        <v>1910.16775113428</v>
      </c>
      <c r="B3340" s="3">
        <v>0.13186354327876601</v>
      </c>
      <c r="C3340" s="3">
        <v>6.0350517051010596E-3</v>
      </c>
      <c r="D3340" s="4">
        <v>1.78119542227477E-2</v>
      </c>
      <c r="E3340" s="3" t="s">
        <v>10868</v>
      </c>
      <c r="F3340" s="3" t="s">
        <v>10869</v>
      </c>
      <c r="G3340" s="3">
        <v>68544</v>
      </c>
      <c r="H3340" s="7" t="str">
        <f>HYPERLINK("http://www.ensembl.org/Mus_musculus/Gene/Summary?db=core;g=ENSMUSG00000041203","ENSMUSG00000041203")</f>
        <v>ENSMUSG00000041203</v>
      </c>
      <c r="I3340" s="7" t="str">
        <f>HYPERLINK("http://www.informatics.jax.org/marker/MGI:1922833","MGI:1922833")</f>
        <v>MGI:1922833</v>
      </c>
      <c r="J3340" s="4" t="s">
        <v>12</v>
      </c>
    </row>
    <row r="3341" spans="1:10" x14ac:dyDescent="0.25">
      <c r="A3341" s="2">
        <v>7271.07084568963</v>
      </c>
      <c r="B3341" s="3">
        <v>0.13157105561367799</v>
      </c>
      <c r="C3341" s="3">
        <v>1.3391742552063801E-2</v>
      </c>
      <c r="D3341" s="4">
        <v>3.6321024070660797E-2</v>
      </c>
      <c r="E3341" s="3" t="s">
        <v>13413</v>
      </c>
      <c r="F3341" s="3" t="s">
        <v>13414</v>
      </c>
      <c r="G3341" s="3">
        <v>27207</v>
      </c>
      <c r="H3341" s="7" t="str">
        <f>HYPERLINK("http://www.ensembl.org/Mus_musculus/Gene/Summary?db=core;g=ENSMUSG00000003429","ENSMUSG00000003429")</f>
        <v>ENSMUSG00000003429</v>
      </c>
      <c r="I3341" s="7" t="str">
        <f>HYPERLINK("http://www.informatics.jax.org/marker/MGI:1351329","MGI:1351329")</f>
        <v>MGI:1351329</v>
      </c>
      <c r="J3341" s="4" t="s">
        <v>12</v>
      </c>
    </row>
    <row r="3342" spans="1:10" x14ac:dyDescent="0.25">
      <c r="A3342" s="2">
        <v>2450.6581063834901</v>
      </c>
      <c r="B3342" s="3">
        <v>0.13149852837693299</v>
      </c>
      <c r="C3342" s="3">
        <v>4.5834282603539802E-3</v>
      </c>
      <c r="D3342" s="4">
        <v>1.39036251739266E-2</v>
      </c>
      <c r="E3342" s="3" t="s">
        <v>7446</v>
      </c>
      <c r="F3342" s="3" t="s">
        <v>7447</v>
      </c>
      <c r="G3342" s="3">
        <v>71990</v>
      </c>
      <c r="H3342" s="7" t="str">
        <f>HYPERLINK("http://www.ensembl.org/Mus_musculus/Gene/Summary?db=core;g=ENSMUSG00000029599","ENSMUSG00000029599")</f>
        <v>ENSMUSG00000029599</v>
      </c>
      <c r="I3342" s="7" t="str">
        <f>HYPERLINK("http://www.informatics.jax.org/marker/MGI:1919240","MGI:1919240")</f>
        <v>MGI:1919240</v>
      </c>
      <c r="J3342" s="4" t="s">
        <v>12</v>
      </c>
    </row>
    <row r="3343" spans="1:10" x14ac:dyDescent="0.25">
      <c r="A3343" s="2">
        <v>990.17011144062803</v>
      </c>
      <c r="B3343" s="3">
        <v>0.131303370092484</v>
      </c>
      <c r="C3343" s="3">
        <v>5.5326364366873403E-2</v>
      </c>
      <c r="D3343" s="4">
        <v>0.124284850312618</v>
      </c>
      <c r="E3343" s="3" t="s">
        <v>11919</v>
      </c>
      <c r="F3343" s="3" t="s">
        <v>11920</v>
      </c>
      <c r="G3343" s="3">
        <v>229584</v>
      </c>
      <c r="H3343" s="7" t="str">
        <f>HYPERLINK("http://www.ensembl.org/Mus_musculus/Gene/Summary?db=core;g=ENSMUSG00000038902","ENSMUSG00000038902")</f>
        <v>ENSMUSG00000038902</v>
      </c>
      <c r="I3343" s="7" t="str">
        <f>HYPERLINK("http://www.informatics.jax.org/marker/MGI:2442117","MGI:2442117")</f>
        <v>MGI:2442117</v>
      </c>
      <c r="J3343" s="4" t="s">
        <v>12</v>
      </c>
    </row>
    <row r="3344" spans="1:10" x14ac:dyDescent="0.25">
      <c r="A3344" s="2">
        <v>443.78881368972202</v>
      </c>
      <c r="B3344" s="3">
        <v>0.13129566729151801</v>
      </c>
      <c r="C3344" s="3">
        <v>7.2395113846821194E-2</v>
      </c>
      <c r="D3344" s="4">
        <v>0.15560808466308701</v>
      </c>
      <c r="E3344" s="3" t="s">
        <v>13227</v>
      </c>
      <c r="F3344" s="3" t="s">
        <v>13228</v>
      </c>
      <c r="G3344" s="3">
        <v>56330</v>
      </c>
      <c r="H3344" s="7" t="str">
        <f>HYPERLINK("http://www.ensembl.org/Mus_musculus/Gene/Summary?db=core;g=ENSMUSG00000030417","ENSMUSG00000030417")</f>
        <v>ENSMUSG00000030417</v>
      </c>
      <c r="I3344" s="7" t="str">
        <f>HYPERLINK("http://www.informatics.jax.org/marker/MGI:1913538","MGI:1913538")</f>
        <v>MGI:1913538</v>
      </c>
      <c r="J3344" s="4" t="s">
        <v>12</v>
      </c>
    </row>
    <row r="3345" spans="1:10" x14ac:dyDescent="0.25">
      <c r="A3345" s="2">
        <v>1273.17027910088</v>
      </c>
      <c r="B3345" s="3">
        <v>0.131176744288276</v>
      </c>
      <c r="C3345" s="3">
        <v>4.3639227450300397E-2</v>
      </c>
      <c r="D3345" s="4">
        <v>0.101729971895846</v>
      </c>
      <c r="E3345" s="3" t="s">
        <v>12384</v>
      </c>
      <c r="F3345" s="3" t="s">
        <v>12385</v>
      </c>
      <c r="G3345" s="3">
        <v>71452</v>
      </c>
      <c r="H3345" s="7" t="str">
        <f>HYPERLINK("http://www.ensembl.org/Mus_musculus/Gene/Summary?db=core;g=ENSMUSG00000020864","ENSMUSG00000020864")</f>
        <v>ENSMUSG00000020864</v>
      </c>
      <c r="I3345" s="7" t="str">
        <f>HYPERLINK("http://www.informatics.jax.org/marker/MGI:1918702","MGI:1918702")</f>
        <v>MGI:1918702</v>
      </c>
      <c r="J3345" s="4" t="s">
        <v>12</v>
      </c>
    </row>
    <row r="3346" spans="1:10" x14ac:dyDescent="0.25">
      <c r="A3346" s="2">
        <v>770.99858176962005</v>
      </c>
      <c r="B3346" s="3">
        <v>0.13067195992007499</v>
      </c>
      <c r="C3346" s="3">
        <v>7.7603312295049895E-2</v>
      </c>
      <c r="D3346" s="4">
        <v>0.165116374110165</v>
      </c>
      <c r="E3346" s="3" t="s">
        <v>9753</v>
      </c>
      <c r="F3346" s="3" t="s">
        <v>9754</v>
      </c>
      <c r="G3346" s="3">
        <v>21371</v>
      </c>
      <c r="H3346" s="7" t="str">
        <f>HYPERLINK("http://www.ensembl.org/Mus_musculus/Gene/Summary?db=core;g=ENSMUSG00000042043","ENSMUSG00000042043")</f>
        <v>ENSMUSG00000042043</v>
      </c>
      <c r="I3346" s="7" t="str">
        <f>HYPERLINK("http://www.informatics.jax.org/marker/MGI:107549","MGI:107549")</f>
        <v>MGI:107549</v>
      </c>
      <c r="J3346" s="4" t="s">
        <v>12</v>
      </c>
    </row>
    <row r="3347" spans="1:10" x14ac:dyDescent="0.25">
      <c r="A3347" s="2">
        <v>1026.76728407822</v>
      </c>
      <c r="B3347" s="3">
        <v>0.13065242231497101</v>
      </c>
      <c r="C3347" s="3">
        <v>2.4683225679475101E-2</v>
      </c>
      <c r="D3347" s="4">
        <v>6.2014307693470397E-2</v>
      </c>
      <c r="E3347" s="3" t="s">
        <v>11789</v>
      </c>
      <c r="F3347" s="3" t="s">
        <v>11790</v>
      </c>
      <c r="G3347" s="3">
        <v>67673</v>
      </c>
      <c r="H3347" s="7" t="str">
        <f>HYPERLINK("http://www.ensembl.org/Mus_musculus/Gene/Summary?db=core;g=ENSMUSG00000055839","ENSMUSG00000055839")</f>
        <v>ENSMUSG00000055839</v>
      </c>
      <c r="I3347" s="7" t="str">
        <f>HYPERLINK("http://www.informatics.jax.org/marker/MGI:1914923","MGI:1914923")</f>
        <v>MGI:1914923</v>
      </c>
      <c r="J3347" s="4" t="s">
        <v>12</v>
      </c>
    </row>
    <row r="3348" spans="1:10" x14ac:dyDescent="0.25">
      <c r="A3348" s="2">
        <v>4633.8635749318</v>
      </c>
      <c r="B3348" s="3">
        <v>0.129733085169048</v>
      </c>
      <c r="C3348" s="3">
        <v>1.09283867908115E-2</v>
      </c>
      <c r="D3348" s="4">
        <v>3.0365886455639399E-2</v>
      </c>
      <c r="E3348" s="3" t="s">
        <v>9539</v>
      </c>
      <c r="F3348" s="3" t="s">
        <v>9540</v>
      </c>
      <c r="G3348" s="3">
        <v>19933</v>
      </c>
      <c r="H3348" s="7" t="str">
        <f>HYPERLINK("http://www.ensembl.org/Mus_musculus/Gene/Summary?db=core;g=ENSMUSG00000041453","ENSMUSG00000041453")</f>
        <v>ENSMUSG00000041453</v>
      </c>
      <c r="I3348" s="7" t="str">
        <f>HYPERLINK("http://www.informatics.jax.org/marker/MGI:1278340","MGI:1278340")</f>
        <v>MGI:1278340</v>
      </c>
      <c r="J3348" s="4" t="s">
        <v>12</v>
      </c>
    </row>
    <row r="3349" spans="1:10" x14ac:dyDescent="0.25">
      <c r="A3349" s="2">
        <v>588.33664181338304</v>
      </c>
      <c r="B3349" s="3">
        <v>0.129586037444753</v>
      </c>
      <c r="C3349" s="3">
        <v>4.9442844897104397E-2</v>
      </c>
      <c r="D3349" s="4">
        <v>0.113274148114359</v>
      </c>
      <c r="E3349" s="3" t="s">
        <v>11277</v>
      </c>
      <c r="F3349" s="3" t="s">
        <v>11278</v>
      </c>
      <c r="G3349" s="3">
        <v>67778</v>
      </c>
      <c r="H3349" s="7" t="str">
        <f>HYPERLINK("http://www.ensembl.org/Mus_musculus/Gene/Summary?db=core;g=ENSMUSG00000027667","ENSMUSG00000027667")</f>
        <v>ENSMUSG00000027667</v>
      </c>
      <c r="I3349" s="7" t="str">
        <f>HYPERLINK("http://www.informatics.jax.org/marker/MGI:1915028","MGI:1915028")</f>
        <v>MGI:1915028</v>
      </c>
      <c r="J3349" s="4" t="s">
        <v>12</v>
      </c>
    </row>
    <row r="3350" spans="1:10" x14ac:dyDescent="0.25">
      <c r="A3350" s="2">
        <v>2835.4203763148998</v>
      </c>
      <c r="B3350" s="3">
        <v>0.12957392739840701</v>
      </c>
      <c r="C3350" s="3">
        <v>6.1457774161113997E-2</v>
      </c>
      <c r="D3350" s="4">
        <v>0.13570001624500899</v>
      </c>
      <c r="E3350" s="3" t="s">
        <v>7574</v>
      </c>
      <c r="F3350" s="3" t="s">
        <v>7575</v>
      </c>
      <c r="G3350" s="3">
        <v>11843</v>
      </c>
      <c r="H3350" s="7" t="str">
        <f>HYPERLINK("http://www.ensembl.org/Mus_musculus/Gene/Summary?db=core;g=ENSMUSG00000021877","ENSMUSG00000021877")</f>
        <v>ENSMUSG00000021877</v>
      </c>
      <c r="I3350" s="7" t="str">
        <f>HYPERLINK("http://www.informatics.jax.org/marker/MGI:99433","MGI:99433")</f>
        <v>MGI:99433</v>
      </c>
      <c r="J3350" s="4" t="s">
        <v>12</v>
      </c>
    </row>
    <row r="3351" spans="1:10" x14ac:dyDescent="0.25">
      <c r="A3351" s="2">
        <v>985.91259186283401</v>
      </c>
      <c r="B3351" s="3">
        <v>0.129373433894343</v>
      </c>
      <c r="C3351" s="3">
        <v>2.1012915690188899E-2</v>
      </c>
      <c r="D3351" s="4">
        <v>5.3831935402543198E-2</v>
      </c>
      <c r="E3351" s="3" t="s">
        <v>7928</v>
      </c>
      <c r="F3351" s="3" t="s">
        <v>7929</v>
      </c>
      <c r="G3351" s="3">
        <v>102545</v>
      </c>
      <c r="H3351" s="7" t="str">
        <f>HYPERLINK("http://www.ensembl.org/Mus_musculus/Gene/Summary?db=core;g=ENSMUSG00000032436","ENSMUSG00000032436")</f>
        <v>ENSMUSG00000032436</v>
      </c>
      <c r="I3351" s="7" t="str">
        <f>HYPERLINK("http://www.informatics.jax.org/marker/MGI:2447166","MGI:2447166")</f>
        <v>MGI:2447166</v>
      </c>
      <c r="J3351" s="4" t="s">
        <v>12</v>
      </c>
    </row>
    <row r="3352" spans="1:10" x14ac:dyDescent="0.25">
      <c r="A3352" s="2">
        <v>3030.29806478198</v>
      </c>
      <c r="B3352" s="3">
        <v>0.12927939209625899</v>
      </c>
      <c r="C3352" s="3">
        <v>1.0682110208933501E-2</v>
      </c>
      <c r="D3352" s="4">
        <v>2.9740522236146101E-2</v>
      </c>
      <c r="E3352" s="3" t="s">
        <v>13185</v>
      </c>
      <c r="F3352" s="3" t="s">
        <v>13186</v>
      </c>
      <c r="G3352" s="3">
        <v>74351</v>
      </c>
      <c r="H3352" s="7" t="str">
        <f>HYPERLINK("http://www.ensembl.org/Mus_musculus/Gene/Summary?db=core;g=ENSMUSG00000003360","ENSMUSG00000003360")</f>
        <v>ENSMUSG00000003360</v>
      </c>
      <c r="I3352" s="7" t="str">
        <f>HYPERLINK("http://www.informatics.jax.org/marker/MGI:1921601","MGI:1921601")</f>
        <v>MGI:1921601</v>
      </c>
      <c r="J3352" s="4" t="s">
        <v>12</v>
      </c>
    </row>
    <row r="3353" spans="1:10" x14ac:dyDescent="0.25">
      <c r="A3353" s="2">
        <v>365.15127671695802</v>
      </c>
      <c r="B3353" s="3">
        <v>0.12897348788902199</v>
      </c>
      <c r="C3353" s="3">
        <v>8.4625419663269599E-2</v>
      </c>
      <c r="D3353" s="4">
        <v>0.17743882574356701</v>
      </c>
      <c r="E3353" s="3" t="s">
        <v>13695</v>
      </c>
      <c r="F3353" s="3" t="s">
        <v>13696</v>
      </c>
      <c r="G3353" s="3">
        <v>71787</v>
      </c>
      <c r="H3353" s="7" t="str">
        <f>HYPERLINK("http://www.ensembl.org/Mus_musculus/Gene/Summary?db=core;g=ENSMUSG00000028898","ENSMUSG00000028898")</f>
        <v>ENSMUSG00000028898</v>
      </c>
      <c r="I3353" s="7" t="str">
        <f>HYPERLINK("http://www.informatics.jax.org/marker/MGI:1919037","MGI:1919037")</f>
        <v>MGI:1919037</v>
      </c>
      <c r="J3353" s="4" t="s">
        <v>12</v>
      </c>
    </row>
    <row r="3354" spans="1:10" x14ac:dyDescent="0.25">
      <c r="A3354" s="2">
        <v>824.85379434082699</v>
      </c>
      <c r="B3354" s="3">
        <v>0.12870242994909001</v>
      </c>
      <c r="C3354" s="3">
        <v>1.25946004464442E-2</v>
      </c>
      <c r="D3354" s="4">
        <v>3.4402966597189201E-2</v>
      </c>
      <c r="E3354" s="3" t="s">
        <v>11857</v>
      </c>
      <c r="F3354" s="3" t="s">
        <v>11858</v>
      </c>
      <c r="G3354" s="3">
        <v>212442</v>
      </c>
      <c r="H3354" s="7" t="str">
        <f>HYPERLINK("http://www.ensembl.org/Mus_musculus/Gene/Summary?db=core;g=ENSMUSG00000025937","ENSMUSG00000025937")</f>
        <v>ENSMUSG00000025937</v>
      </c>
      <c r="I3354" s="7" t="str">
        <f>HYPERLINK("http://www.informatics.jax.org/marker/MGI:2442551","MGI:2442551")</f>
        <v>MGI:2442551</v>
      </c>
      <c r="J3354" s="4" t="s">
        <v>12</v>
      </c>
    </row>
    <row r="3355" spans="1:10" x14ac:dyDescent="0.25">
      <c r="A3355" s="2">
        <v>2826.73265838522</v>
      </c>
      <c r="B3355" s="3">
        <v>0.12869749774675401</v>
      </c>
      <c r="C3355" s="3">
        <v>5.3167132647519303E-3</v>
      </c>
      <c r="D3355" s="4">
        <v>1.5900410116525099E-2</v>
      </c>
      <c r="E3355" s="3" t="s">
        <v>13755</v>
      </c>
      <c r="F3355" s="3" t="s">
        <v>13756</v>
      </c>
      <c r="G3355" s="3">
        <v>71844</v>
      </c>
      <c r="H3355" s="7" t="str">
        <f>HYPERLINK("http://www.ensembl.org/Mus_musculus/Gene/Summary?db=core;g=ENSMUSG00000114797","ENSMUSG00000114797")</f>
        <v>ENSMUSG00000114797</v>
      </c>
      <c r="I3355" s="7" t="str">
        <f>HYPERLINK("http://www.informatics.jax.org/marker/MGI:6121524","MGI:6121524")</f>
        <v>MGI:6121524</v>
      </c>
      <c r="J3355" s="4" t="s">
        <v>12</v>
      </c>
    </row>
    <row r="3356" spans="1:10" x14ac:dyDescent="0.25">
      <c r="A3356" s="2">
        <v>2056.09478100263</v>
      </c>
      <c r="B3356" s="3">
        <v>0.12839984582570699</v>
      </c>
      <c r="C3356" s="3">
        <v>1.7002705648882E-2</v>
      </c>
      <c r="D3356" s="4">
        <v>4.48573118776599E-2</v>
      </c>
      <c r="E3356" s="3" t="s">
        <v>9799</v>
      </c>
      <c r="F3356" s="3" t="s">
        <v>9800</v>
      </c>
      <c r="G3356" s="3">
        <v>72124</v>
      </c>
      <c r="H3356" s="7" t="str">
        <f>HYPERLINK("http://www.ensembl.org/Mus_musculus/Gene/Summary?db=core;g=ENSMUSG00000079614","ENSMUSG00000079614")</f>
        <v>ENSMUSG00000079614</v>
      </c>
      <c r="I3356" s="7" t="str">
        <f>HYPERLINK("http://www.informatics.jax.org/marker/MGI:1919374","MGI:1919374")</f>
        <v>MGI:1919374</v>
      </c>
      <c r="J3356" s="4" t="s">
        <v>12</v>
      </c>
    </row>
    <row r="3357" spans="1:10" x14ac:dyDescent="0.25">
      <c r="A3357" s="2">
        <v>862.83899540702396</v>
      </c>
      <c r="B3357" s="3">
        <v>0.12824742298274699</v>
      </c>
      <c r="C3357" s="3">
        <v>5.6614029768880497E-2</v>
      </c>
      <c r="D3357" s="4">
        <v>0.12674004330399799</v>
      </c>
      <c r="E3357" s="3" t="s">
        <v>13193</v>
      </c>
      <c r="F3357" s="3" t="s">
        <v>13194</v>
      </c>
      <c r="G3357" s="3">
        <v>72465</v>
      </c>
      <c r="H3357" s="7" t="str">
        <f>HYPERLINK("http://www.ensembl.org/Mus_musculus/Gene/Summary?db=core;g=ENSMUSG00000094870","ENSMUSG00000094870")</f>
        <v>ENSMUSG00000094870</v>
      </c>
      <c r="I3357" s="7" t="str">
        <f>HYPERLINK("http://www.informatics.jax.org/marker/MGI:1919715","MGI:1919715")</f>
        <v>MGI:1919715</v>
      </c>
      <c r="J3357" s="4" t="s">
        <v>12</v>
      </c>
    </row>
    <row r="3358" spans="1:10" x14ac:dyDescent="0.25">
      <c r="A3358" s="2">
        <v>2964.4102045949398</v>
      </c>
      <c r="B3358" s="3">
        <v>0.12813006631899801</v>
      </c>
      <c r="C3358" s="3">
        <v>1.5886107276609E-2</v>
      </c>
      <c r="D3358" s="4">
        <v>4.2284840823163403E-2</v>
      </c>
      <c r="E3358" s="3" t="s">
        <v>10782</v>
      </c>
      <c r="F3358" s="3" t="s">
        <v>10783</v>
      </c>
      <c r="G3358" s="3">
        <v>20901</v>
      </c>
      <c r="H3358" s="7" t="str">
        <f>HYPERLINK("http://www.ensembl.org/Mus_musculus/Gene/Summary?db=core;g=ENSMUSG00000030224","ENSMUSG00000030224")</f>
        <v>ENSMUSG00000030224</v>
      </c>
      <c r="I3358" s="7" t="str">
        <f>HYPERLINK("http://www.informatics.jax.org/marker/MGI:1329037","MGI:1329037")</f>
        <v>MGI:1329037</v>
      </c>
      <c r="J3358" s="4" t="s">
        <v>12</v>
      </c>
    </row>
    <row r="3359" spans="1:10" x14ac:dyDescent="0.25">
      <c r="A3359" s="2">
        <v>2161.9709893162399</v>
      </c>
      <c r="B3359" s="3">
        <v>0.127546774591833</v>
      </c>
      <c r="C3359" s="3">
        <v>8.4398126542219003E-3</v>
      </c>
      <c r="D3359" s="4">
        <v>2.4109025959748301E-2</v>
      </c>
      <c r="E3359" s="3" t="s">
        <v>9245</v>
      </c>
      <c r="F3359" s="3" t="s">
        <v>9246</v>
      </c>
      <c r="G3359" s="3">
        <v>26396</v>
      </c>
      <c r="H3359" s="7" t="str">
        <f>HYPERLINK("http://www.ensembl.org/Mus_musculus/Gene/Summary?db=core;g=ENSMUSG00000035027","ENSMUSG00000035027")</f>
        <v>ENSMUSG00000035027</v>
      </c>
      <c r="I3359" s="7" t="str">
        <f>HYPERLINK("http://www.informatics.jax.org/marker/MGI:1346867","MGI:1346867")</f>
        <v>MGI:1346867</v>
      </c>
      <c r="J3359" s="4" t="s">
        <v>12</v>
      </c>
    </row>
    <row r="3360" spans="1:10" x14ac:dyDescent="0.25">
      <c r="A3360" s="2">
        <v>3110.86914004032</v>
      </c>
      <c r="B3360" s="3">
        <v>0.127105220088221</v>
      </c>
      <c r="C3360" s="3">
        <v>6.5311297190727901E-3</v>
      </c>
      <c r="D3360" s="4">
        <v>1.9130478805866501E-2</v>
      </c>
      <c r="E3360" s="3" t="s">
        <v>9925</v>
      </c>
      <c r="F3360" s="3" t="s">
        <v>9926</v>
      </c>
      <c r="G3360" s="3">
        <v>54325</v>
      </c>
      <c r="H3360" s="7" t="str">
        <f>HYPERLINK("http://www.ensembl.org/Mus_musculus/Gene/Summary?db=core;g=ENSMUSG00000006390","ENSMUSG00000006390")</f>
        <v>ENSMUSG00000006390</v>
      </c>
      <c r="I3360" s="7" t="str">
        <f>HYPERLINK("http://www.informatics.jax.org/marker/MGI:1858959","MGI:1858959")</f>
        <v>MGI:1858959</v>
      </c>
      <c r="J3360" s="4" t="s">
        <v>12</v>
      </c>
    </row>
    <row r="3361" spans="1:10" x14ac:dyDescent="0.25">
      <c r="A3361" s="2">
        <v>1301.82952071916</v>
      </c>
      <c r="B3361" s="3">
        <v>0.126927302703603</v>
      </c>
      <c r="C3361" s="3">
        <v>6.67757890471493E-2</v>
      </c>
      <c r="D3361" s="4">
        <v>0.14556544513151401</v>
      </c>
      <c r="E3361" s="3" t="s">
        <v>11145</v>
      </c>
      <c r="F3361" s="3" t="s">
        <v>11146</v>
      </c>
      <c r="G3361" s="3">
        <v>97487</v>
      </c>
      <c r="H3361" s="7" t="str">
        <f>HYPERLINK("http://www.ensembl.org/Mus_musculus/Gene/Summary?db=core;g=ENSMUSG00000096188","ENSMUSG00000096188")</f>
        <v>ENSMUSG00000096188</v>
      </c>
      <c r="I3361" s="7" t="str">
        <f>HYPERLINK("http://www.informatics.jax.org/marker/MGI:2142888","MGI:2142888")</f>
        <v>MGI:2142888</v>
      </c>
      <c r="J3361" s="4" t="s">
        <v>12</v>
      </c>
    </row>
    <row r="3362" spans="1:10" x14ac:dyDescent="0.25">
      <c r="A3362" s="2">
        <v>681.84033745030001</v>
      </c>
      <c r="B3362" s="3">
        <v>0.12667841856870399</v>
      </c>
      <c r="C3362" s="3">
        <v>1.7692293425582699E-2</v>
      </c>
      <c r="D3362" s="4">
        <v>4.6421256504642197E-2</v>
      </c>
      <c r="E3362" s="3" t="s">
        <v>6792</v>
      </c>
      <c r="F3362" s="3" t="s">
        <v>6793</v>
      </c>
      <c r="G3362" s="3">
        <v>26556</v>
      </c>
      <c r="H3362" s="7" t="str">
        <f>HYPERLINK("http://www.ensembl.org/Mus_musculus/Gene/Summary?db=core;g=ENSMUSG00000007617","ENSMUSG00000007617")</f>
        <v>ENSMUSG00000007617</v>
      </c>
      <c r="I3362" s="7" t="str">
        <f>HYPERLINK("http://www.informatics.jax.org/marker/MGI:1347345","MGI:1347345")</f>
        <v>MGI:1347345</v>
      </c>
      <c r="J3362" s="4" t="s">
        <v>12</v>
      </c>
    </row>
    <row r="3363" spans="1:10" x14ac:dyDescent="0.25">
      <c r="A3363" s="2">
        <v>13349.0257338831</v>
      </c>
      <c r="B3363" s="3">
        <v>0.12665636564949601</v>
      </c>
      <c r="C3363" s="5">
        <v>1.98650659701143E-5</v>
      </c>
      <c r="D3363" s="6">
        <v>9.2926290376112205E-5</v>
      </c>
      <c r="E3363" s="3" t="s">
        <v>6972</v>
      </c>
      <c r="F3363" s="3" t="s">
        <v>6973</v>
      </c>
      <c r="G3363" s="3">
        <v>27979</v>
      </c>
      <c r="H3363" s="7" t="str">
        <f>HYPERLINK("http://www.ensembl.org/Mus_musculus/Gene/Summary?db=core;g=ENSMUSG00000056076","ENSMUSG00000056076")</f>
        <v>ENSMUSG00000056076</v>
      </c>
      <c r="I3363" s="7" t="str">
        <f>HYPERLINK("http://www.informatics.jax.org/marker/MGI:106478","MGI:106478")</f>
        <v>MGI:106478</v>
      </c>
      <c r="J3363" s="4" t="s">
        <v>12</v>
      </c>
    </row>
    <row r="3364" spans="1:10" x14ac:dyDescent="0.25">
      <c r="A3364" s="2">
        <v>1362.51858850806</v>
      </c>
      <c r="B3364" s="3">
        <v>0.12590484423787601</v>
      </c>
      <c r="C3364" s="3">
        <v>4.1171452129297303E-3</v>
      </c>
      <c r="D3364" s="4">
        <v>1.2638263326199399E-2</v>
      </c>
      <c r="E3364" s="3" t="s">
        <v>9443</v>
      </c>
      <c r="F3364" s="3" t="s">
        <v>9444</v>
      </c>
      <c r="G3364" s="3">
        <v>381038</v>
      </c>
      <c r="H3364" s="7" t="str">
        <f>HYPERLINK("http://www.ensembl.org/Mus_musculus/Gene/Summary?db=core;g=ENSMUSG00000033918","ENSMUSG00000033918")</f>
        <v>ENSMUSG00000033918</v>
      </c>
      <c r="I3364" s="7" t="str">
        <f>HYPERLINK("http://www.informatics.jax.org/marker/MGI:1277152","MGI:1277152")</f>
        <v>MGI:1277152</v>
      </c>
      <c r="J3364" s="4" t="s">
        <v>12</v>
      </c>
    </row>
    <row r="3365" spans="1:10" x14ac:dyDescent="0.25">
      <c r="A3365" s="2">
        <v>1358.13485384809</v>
      </c>
      <c r="B3365" s="3">
        <v>0.12579440900132099</v>
      </c>
      <c r="C3365" s="3">
        <v>5.4105336700890003E-2</v>
      </c>
      <c r="D3365" s="4">
        <v>0.122038336803678</v>
      </c>
      <c r="E3365" s="3" t="s">
        <v>7476</v>
      </c>
      <c r="F3365" s="3" t="s">
        <v>7477</v>
      </c>
      <c r="G3365" s="3">
        <v>66164</v>
      </c>
      <c r="H3365" s="7" t="str">
        <f>HYPERLINK("http://www.ensembl.org/Mus_musculus/Gene/Summary?db=core;g=ENSMUSG00000031917","ENSMUSG00000031917")</f>
        <v>ENSMUSG00000031917</v>
      </c>
      <c r="I3365" s="7" t="str">
        <f>HYPERLINK("http://www.informatics.jax.org/marker/MGI:1913414","MGI:1913414")</f>
        <v>MGI:1913414</v>
      </c>
      <c r="J3365" s="4" t="s">
        <v>12</v>
      </c>
    </row>
    <row r="3366" spans="1:10" x14ac:dyDescent="0.25">
      <c r="A3366" s="2">
        <v>853.20499133701003</v>
      </c>
      <c r="B3366" s="3">
        <v>0.125655412831364</v>
      </c>
      <c r="C3366" s="3">
        <v>0.17264763940424899</v>
      </c>
      <c r="D3366" s="4">
        <v>0.31399094183638698</v>
      </c>
      <c r="E3366" s="3" t="s">
        <v>11737</v>
      </c>
      <c r="F3366" s="3" t="s">
        <v>11738</v>
      </c>
      <c r="G3366" s="3" t="s">
        <v>83</v>
      </c>
      <c r="H3366" s="7" t="str">
        <f>HYPERLINK("http://www.ensembl.org/Mus_musculus/Gene/Summary?db=core;g=ENSMUSG00000085241","ENSMUSG00000085241")</f>
        <v>ENSMUSG00000085241</v>
      </c>
      <c r="I3366" s="7" t="str">
        <f>HYPERLINK("http://www.informatics.jax.org/marker/MGI:2684817","MGI:2684817")</f>
        <v>MGI:2684817</v>
      </c>
      <c r="J3366" s="4" t="s">
        <v>331</v>
      </c>
    </row>
    <row r="3367" spans="1:10" x14ac:dyDescent="0.25">
      <c r="A3367" s="2">
        <v>1826.2676827456301</v>
      </c>
      <c r="B3367" s="3">
        <v>0.12517486471317901</v>
      </c>
      <c r="C3367" s="3">
        <v>1.25140026516286E-2</v>
      </c>
      <c r="D3367" s="4">
        <v>3.4203314086072599E-2</v>
      </c>
      <c r="E3367" s="3" t="s">
        <v>13547</v>
      </c>
      <c r="F3367" s="3" t="s">
        <v>13548</v>
      </c>
      <c r="G3367" s="3">
        <v>432572</v>
      </c>
      <c r="H3367" s="7" t="str">
        <f>HYPERLINK("http://www.ensembl.org/Mus_musculus/Gene/Summary?db=core;g=ENSMUSG00000042331","ENSMUSG00000042331")</f>
        <v>ENSMUSG00000042331</v>
      </c>
      <c r="I3367" s="7" t="str">
        <f>HYPERLINK("http://www.informatics.jax.org/marker/MGI:2442356","MGI:2442356")</f>
        <v>MGI:2442356</v>
      </c>
      <c r="J3367" s="4" t="s">
        <v>12</v>
      </c>
    </row>
    <row r="3368" spans="1:10" x14ac:dyDescent="0.25">
      <c r="A3368" s="2">
        <v>1033.9902644358699</v>
      </c>
      <c r="B3368" s="3">
        <v>0.124948916539996</v>
      </c>
      <c r="C3368" s="3">
        <v>4.4010554833866199E-2</v>
      </c>
      <c r="D3368" s="4">
        <v>0.102474266734084</v>
      </c>
      <c r="E3368" s="3" t="s">
        <v>13879</v>
      </c>
      <c r="F3368" s="3" t="s">
        <v>13880</v>
      </c>
      <c r="G3368" s="3">
        <v>18130</v>
      </c>
      <c r="H3368" s="7" t="str">
        <f>HYPERLINK("http://www.ensembl.org/Mus_musculus/Gene/Summary?db=core;g=ENSMUSG00000035161","ENSMUSG00000035161")</f>
        <v>ENSMUSG00000035161</v>
      </c>
      <c r="I3368" s="7" t="str">
        <f>HYPERLINK("http://www.informatics.jax.org/marker/MGI:1202397","MGI:1202397")</f>
        <v>MGI:1202397</v>
      </c>
      <c r="J3368" s="4" t="s">
        <v>12</v>
      </c>
    </row>
    <row r="3369" spans="1:10" x14ac:dyDescent="0.25">
      <c r="A3369" s="2">
        <v>1186.50508430899</v>
      </c>
      <c r="B3369" s="3">
        <v>0.124485448913813</v>
      </c>
      <c r="C3369" s="3">
        <v>1.63492907415849E-2</v>
      </c>
      <c r="D3369" s="4">
        <v>4.33530952663152E-2</v>
      </c>
      <c r="E3369" s="3" t="s">
        <v>13439</v>
      </c>
      <c r="F3369" s="3" t="s">
        <v>13440</v>
      </c>
      <c r="G3369" s="3">
        <v>225131</v>
      </c>
      <c r="H3369" s="7" t="str">
        <f>HYPERLINK("http://www.ensembl.org/Mus_musculus/Gene/Summary?db=core;g=ENSMUSG00000024283","ENSMUSG00000024283")</f>
        <v>ENSMUSG00000024283</v>
      </c>
      <c r="I3369" s="7" t="str">
        <f>HYPERLINK("http://www.informatics.jax.org/marker/MGI:2387357","MGI:2387357")</f>
        <v>MGI:2387357</v>
      </c>
      <c r="J3369" s="4" t="s">
        <v>12</v>
      </c>
    </row>
    <row r="3370" spans="1:10" x14ac:dyDescent="0.25">
      <c r="A3370" s="2">
        <v>2341.4063569034201</v>
      </c>
      <c r="B3370" s="3">
        <v>0.12368182965320999</v>
      </c>
      <c r="C3370" s="3">
        <v>0.1005576290591</v>
      </c>
      <c r="D3370" s="4">
        <v>0.20449855452594401</v>
      </c>
      <c r="E3370" s="3" t="s">
        <v>9962</v>
      </c>
      <c r="F3370" s="3" t="s">
        <v>9963</v>
      </c>
      <c r="G3370" s="3">
        <v>13682</v>
      </c>
      <c r="H3370" s="7" t="str">
        <f>HYPERLINK("http://www.ensembl.org/Mus_musculus/Gene/Summary?db=core;g=ENSMUSG00000022884","ENSMUSG00000022884")</f>
        <v>ENSMUSG00000022884</v>
      </c>
      <c r="I3370" s="7" t="str">
        <f>HYPERLINK("http://www.informatics.jax.org/marker/MGI:106906","MGI:106906")</f>
        <v>MGI:106906</v>
      </c>
      <c r="J3370" s="4" t="s">
        <v>12</v>
      </c>
    </row>
    <row r="3371" spans="1:10" x14ac:dyDescent="0.25">
      <c r="A3371" s="2">
        <v>180.95297292115899</v>
      </c>
      <c r="B3371" s="3">
        <v>0.123189949190537</v>
      </c>
      <c r="C3371" s="3">
        <v>0.172134029480392</v>
      </c>
      <c r="D3371" s="4">
        <v>0.31343217976622501</v>
      </c>
      <c r="E3371" s="3" t="s">
        <v>12491</v>
      </c>
      <c r="F3371" s="3" t="s">
        <v>12492</v>
      </c>
      <c r="G3371" s="3">
        <v>243867</v>
      </c>
      <c r="H3371" s="7" t="str">
        <f>HYPERLINK("http://www.ensembl.org/Mus_musculus/Gene/Summary?db=core;g=ENSMUSG00000050428","ENSMUSG00000050428")</f>
        <v>ENSMUSG00000050428</v>
      </c>
      <c r="I3371" s="7" t="str">
        <f>HYPERLINK("http://www.informatics.jax.org/marker/MGI:2444918","MGI:2444918")</f>
        <v>MGI:2444918</v>
      </c>
      <c r="J3371" s="4" t="s">
        <v>12</v>
      </c>
    </row>
    <row r="3372" spans="1:10" x14ac:dyDescent="0.25">
      <c r="A3372" s="2">
        <v>2678.9004582180801</v>
      </c>
      <c r="B3372" s="3">
        <v>0.123116688862968</v>
      </c>
      <c r="C3372" s="3">
        <v>6.06978309462647E-2</v>
      </c>
      <c r="D3372" s="4">
        <v>0.134295137068495</v>
      </c>
      <c r="E3372" s="3" t="s">
        <v>12717</v>
      </c>
      <c r="F3372" s="3" t="s">
        <v>12718</v>
      </c>
      <c r="G3372" s="3">
        <v>231887</v>
      </c>
      <c r="H3372" s="7" t="str">
        <f>HYPERLINK("http://www.ensembl.org/Mus_musculus/Gene/Summary?db=core;g=ENSMUSG00000029623","ENSMUSG00000029623")</f>
        <v>ENSMUSG00000029623</v>
      </c>
      <c r="I3372" s="7" t="str">
        <f>HYPERLINK("http://www.informatics.jax.org/marker/MGI:2448536","MGI:2448536")</f>
        <v>MGI:2448536</v>
      </c>
      <c r="J3372" s="4" t="s">
        <v>12</v>
      </c>
    </row>
    <row r="3373" spans="1:10" x14ac:dyDescent="0.25">
      <c r="A3373" s="2">
        <v>2484.14969618856</v>
      </c>
      <c r="B3373" s="3">
        <v>0.123001416204637</v>
      </c>
      <c r="C3373" s="3">
        <v>5.4365853006066601E-3</v>
      </c>
      <c r="D3373" s="4">
        <v>1.6218982992888601E-2</v>
      </c>
      <c r="E3373" s="3" t="s">
        <v>9823</v>
      </c>
      <c r="F3373" s="3" t="s">
        <v>9824</v>
      </c>
      <c r="G3373" s="3">
        <v>52513</v>
      </c>
      <c r="H3373" s="7" t="str">
        <f>HYPERLINK("http://www.ensembl.org/Mus_musculus/Gene/Summary?db=core;g=ENSMUSG00000004393","ENSMUSG00000004393")</f>
        <v>ENSMUSG00000004393</v>
      </c>
      <c r="I3373" s="7" t="str">
        <f>HYPERLINK("http://www.informatics.jax.org/marker/MGI:1277172","MGI:1277172")</f>
        <v>MGI:1277172</v>
      </c>
      <c r="J3373" s="4" t="s">
        <v>12</v>
      </c>
    </row>
    <row r="3374" spans="1:10" x14ac:dyDescent="0.25">
      <c r="A3374" s="2">
        <v>3968.13714343931</v>
      </c>
      <c r="B3374" s="3">
        <v>0.1228903281028</v>
      </c>
      <c r="C3374" s="3">
        <v>1.3655470769536099E-2</v>
      </c>
      <c r="D3374" s="4">
        <v>3.6979339491054197E-2</v>
      </c>
      <c r="E3374" s="3" t="s">
        <v>8447</v>
      </c>
      <c r="F3374" s="3" t="s">
        <v>8448</v>
      </c>
      <c r="G3374" s="3">
        <v>67039</v>
      </c>
      <c r="H3374" s="7" t="str">
        <f>HYPERLINK("http://www.ensembl.org/Mus_musculus/Gene/Summary?db=core;g=ENSMUSG00000010608","ENSMUSG00000010608")</f>
        <v>ENSMUSG00000010608</v>
      </c>
      <c r="I3374" s="7" t="str">
        <f>HYPERLINK("http://www.informatics.jax.org/marker/MGI:1914289","MGI:1914289")</f>
        <v>MGI:1914289</v>
      </c>
      <c r="J3374" s="4" t="s">
        <v>12</v>
      </c>
    </row>
    <row r="3375" spans="1:10" x14ac:dyDescent="0.25">
      <c r="A3375" s="2">
        <v>3.8319491728005102</v>
      </c>
      <c r="B3375" s="3">
        <v>0.12253210167465201</v>
      </c>
      <c r="C3375" s="3">
        <v>0.77753291127675195</v>
      </c>
      <c r="D3375" s="4">
        <v>0.87759567151909301</v>
      </c>
      <c r="E3375" s="3" t="s">
        <v>13461</v>
      </c>
      <c r="F3375" s="3" t="s">
        <v>13462</v>
      </c>
      <c r="G3375" s="3">
        <v>244723</v>
      </c>
      <c r="H3375" s="7" t="str">
        <f>HYPERLINK("http://www.ensembl.org/Mus_musculus/Gene/Summary?db=core;g=ENSMUSG00000032172","ENSMUSG00000032172")</f>
        <v>ENSMUSG00000032172</v>
      </c>
      <c r="I3375" s="7" t="str">
        <f>HYPERLINK("http://www.informatics.jax.org/marker/MGI:3045350","MGI:3045350")</f>
        <v>MGI:3045350</v>
      </c>
      <c r="J3375" s="4" t="s">
        <v>12</v>
      </c>
    </row>
    <row r="3376" spans="1:10" x14ac:dyDescent="0.25">
      <c r="A3376" s="2">
        <v>1325.2427885653001</v>
      </c>
      <c r="B3376" s="3">
        <v>0.122422657626093</v>
      </c>
      <c r="C3376" s="3">
        <v>4.9812688713517697E-2</v>
      </c>
      <c r="D3376" s="4">
        <v>0.113892391394287</v>
      </c>
      <c r="E3376" s="3" t="s">
        <v>11529</v>
      </c>
      <c r="F3376" s="3" t="s">
        <v>11530</v>
      </c>
      <c r="G3376" s="3">
        <v>67830</v>
      </c>
      <c r="H3376" s="7" t="str">
        <f>HYPERLINK("http://www.ensembl.org/Mus_musculus/Gene/Summary?db=core;g=ENSMUSG00000029048","ENSMUSG00000029048")</f>
        <v>ENSMUSG00000029048</v>
      </c>
      <c r="I3376" s="7" t="str">
        <f>HYPERLINK("http://www.informatics.jax.org/marker/MGI:1915080","MGI:1915080")</f>
        <v>MGI:1915080</v>
      </c>
      <c r="J3376" s="4" t="s">
        <v>12</v>
      </c>
    </row>
    <row r="3377" spans="1:10" x14ac:dyDescent="0.25">
      <c r="A3377" s="2">
        <v>1970.13284558073</v>
      </c>
      <c r="B3377" s="3">
        <v>0.122322698749034</v>
      </c>
      <c r="C3377" s="3">
        <v>1.1914185665751699E-2</v>
      </c>
      <c r="D3377" s="4">
        <v>3.2792090169815699E-2</v>
      </c>
      <c r="E3377" s="3" t="s">
        <v>11141</v>
      </c>
      <c r="F3377" s="3" t="s">
        <v>11142</v>
      </c>
      <c r="G3377" s="3">
        <v>70361</v>
      </c>
      <c r="H3377" s="7" t="str">
        <f>HYPERLINK("http://www.ensembl.org/Mus_musculus/Gene/Summary?db=core;g=ENSMUSG00000041891","ENSMUSG00000041891")</f>
        <v>ENSMUSG00000041891</v>
      </c>
      <c r="I3377" s="7" t="str">
        <f>HYPERLINK("http://www.informatics.jax.org/marker/MGI:1917611","MGI:1917611")</f>
        <v>MGI:1917611</v>
      </c>
      <c r="J3377" s="4" t="s">
        <v>12</v>
      </c>
    </row>
    <row r="3378" spans="1:10" x14ac:dyDescent="0.25">
      <c r="A3378" s="2">
        <v>2114.2920144470399</v>
      </c>
      <c r="B3378" s="3">
        <v>0.122014832448207</v>
      </c>
      <c r="C3378" s="3">
        <v>1.7187867222570302E-2</v>
      </c>
      <c r="D3378" s="4">
        <v>4.52606386550128E-2</v>
      </c>
      <c r="E3378" s="3" t="s">
        <v>10174</v>
      </c>
      <c r="F3378" s="3" t="s">
        <v>10175</v>
      </c>
      <c r="G3378" s="3">
        <v>54196</v>
      </c>
      <c r="H3378" s="7" t="str">
        <f>HYPERLINK("http://www.ensembl.org/Mus_musculus/Gene/Summary?db=core;g=ENSMUSG00000022194","ENSMUSG00000022194")</f>
        <v>ENSMUSG00000022194</v>
      </c>
      <c r="I3378" s="7" t="str">
        <f>HYPERLINK("http://www.informatics.jax.org/marker/MGI:1859158","MGI:1859158")</f>
        <v>MGI:1859158</v>
      </c>
      <c r="J3378" s="4" t="s">
        <v>12</v>
      </c>
    </row>
    <row r="3379" spans="1:10" x14ac:dyDescent="0.25">
      <c r="A3379" s="2">
        <v>536.46700549320997</v>
      </c>
      <c r="B3379" s="3">
        <v>0.12168279864717201</v>
      </c>
      <c r="C3379" s="3">
        <v>8.5275517563990502E-2</v>
      </c>
      <c r="D3379" s="4">
        <v>0.17851439324646501</v>
      </c>
      <c r="E3379" s="3" t="s">
        <v>13296</v>
      </c>
      <c r="F3379" s="3" t="s">
        <v>13297</v>
      </c>
      <c r="G3379" s="3">
        <v>66374</v>
      </c>
      <c r="H3379" s="7" t="str">
        <f>HYPERLINK("http://www.ensembl.org/Mus_musculus/Gene/Summary?db=core;g=ENSMUSG00000020133","ENSMUSG00000020133")</f>
        <v>ENSMUSG00000020133</v>
      </c>
      <c r="I3379" s="7" t="str">
        <f>HYPERLINK("http://www.informatics.jax.org/marker/MGI:1913624","MGI:1913624")</f>
        <v>MGI:1913624</v>
      </c>
      <c r="J3379" s="4" t="s">
        <v>12</v>
      </c>
    </row>
    <row r="3380" spans="1:10" x14ac:dyDescent="0.25">
      <c r="A3380" s="2">
        <v>5070.2517663257304</v>
      </c>
      <c r="B3380" s="3">
        <v>0.121234219452342</v>
      </c>
      <c r="C3380" s="3">
        <v>1.6172841611815501E-2</v>
      </c>
      <c r="D3380" s="4">
        <v>4.2928930727547103E-2</v>
      </c>
      <c r="E3380" s="3" t="s">
        <v>9952</v>
      </c>
      <c r="F3380" s="3" t="s">
        <v>9953</v>
      </c>
      <c r="G3380" s="3">
        <v>13046</v>
      </c>
      <c r="H3380" s="7" t="str">
        <f>HYPERLINK("http://www.ensembl.org/Mus_musculus/Gene/Summary?db=core;g=ENSMUSG00000005506","ENSMUSG00000005506")</f>
        <v>ENSMUSG00000005506</v>
      </c>
      <c r="I3380" s="7" t="str">
        <f>HYPERLINK("http://www.informatics.jax.org/marker/MGI:1342295","MGI:1342295")</f>
        <v>MGI:1342295</v>
      </c>
      <c r="J3380" s="4" t="s">
        <v>12</v>
      </c>
    </row>
    <row r="3381" spans="1:10" x14ac:dyDescent="0.25">
      <c r="A3381" s="2">
        <v>366.37733911030602</v>
      </c>
      <c r="B3381" s="3">
        <v>0.121111171819396</v>
      </c>
      <c r="C3381" s="3">
        <v>6.1121174225756997E-2</v>
      </c>
      <c r="D3381" s="4">
        <v>0.135071347188604</v>
      </c>
      <c r="E3381" s="3" t="s">
        <v>9980</v>
      </c>
      <c r="F3381" s="3" t="s">
        <v>9981</v>
      </c>
      <c r="G3381" s="3">
        <v>57751</v>
      </c>
      <c r="H3381" s="7" t="str">
        <f>HYPERLINK("http://www.ensembl.org/Mus_musculus/Gene/Summary?db=core;g=ENSMUSG00000026171","ENSMUSG00000026171")</f>
        <v>ENSMUSG00000026171</v>
      </c>
      <c r="I3381" s="7" t="str">
        <f>HYPERLINK("http://www.informatics.jax.org/marker/MGI:1890215","MGI:1890215")</f>
        <v>MGI:1890215</v>
      </c>
      <c r="J3381" s="4" t="s">
        <v>12</v>
      </c>
    </row>
    <row r="3382" spans="1:10" x14ac:dyDescent="0.25">
      <c r="A3382" s="2">
        <v>484.13477505870497</v>
      </c>
      <c r="B3382" s="3">
        <v>0.120619561685071</v>
      </c>
      <c r="C3382" s="3">
        <v>9.0048695680737104E-2</v>
      </c>
      <c r="D3382" s="4">
        <v>0.18687513992045501</v>
      </c>
      <c r="E3382" s="3" t="s">
        <v>13209</v>
      </c>
      <c r="F3382" s="3" t="s">
        <v>13210</v>
      </c>
      <c r="G3382" s="3">
        <v>98710</v>
      </c>
      <c r="H3382" s="7" t="str">
        <f>HYPERLINK("http://www.ensembl.org/Mus_musculus/Gene/Summary?db=core;g=ENSMUSG00000042229","ENSMUSG00000042229")</f>
        <v>ENSMUSG00000042229</v>
      </c>
      <c r="I3382" s="7" t="str">
        <f>HYPERLINK("http://www.informatics.jax.org/marker/MGI:2138605","MGI:2138605")</f>
        <v>MGI:2138605</v>
      </c>
      <c r="J3382" s="4" t="s">
        <v>12</v>
      </c>
    </row>
    <row r="3383" spans="1:10" x14ac:dyDescent="0.25">
      <c r="A3383" s="2">
        <v>405.48698109784499</v>
      </c>
      <c r="B3383" s="3">
        <v>0.120574517034</v>
      </c>
      <c r="C3383" s="3">
        <v>0.12305776057078199</v>
      </c>
      <c r="D3383" s="4">
        <v>0.240920365925718</v>
      </c>
      <c r="E3383" s="3" t="s">
        <v>11034</v>
      </c>
      <c r="F3383" s="3" t="s">
        <v>11035</v>
      </c>
      <c r="G3383" s="3">
        <v>78100</v>
      </c>
      <c r="H3383" s="7" t="str">
        <f>HYPERLINK("http://www.ensembl.org/Mus_musculus/Gene/Summary?db=core;g=ENSMUSG00000041124","ENSMUSG00000041124")</f>
        <v>ENSMUSG00000041124</v>
      </c>
      <c r="I3383" s="7" t="str">
        <f>HYPERLINK("http://www.informatics.jax.org/marker/MGI:1925350","MGI:1925350")</f>
        <v>MGI:1925350</v>
      </c>
      <c r="J3383" s="4" t="s">
        <v>12</v>
      </c>
    </row>
    <row r="3384" spans="1:10" x14ac:dyDescent="0.25">
      <c r="A3384" s="2">
        <v>353.11692707340598</v>
      </c>
      <c r="B3384" s="3">
        <v>0.120495722316338</v>
      </c>
      <c r="C3384" s="3">
        <v>0.22852283167026499</v>
      </c>
      <c r="D3384" s="4">
        <v>0.38813962595495799</v>
      </c>
      <c r="E3384" s="3" t="s">
        <v>9029</v>
      </c>
      <c r="F3384" s="3" t="s">
        <v>9030</v>
      </c>
      <c r="G3384" s="3">
        <v>217333</v>
      </c>
      <c r="H3384" s="7" t="str">
        <f>HYPERLINK("http://www.ensembl.org/Mus_musculus/Gene/Summary?db=core;g=ENSMUSG00000020773","ENSMUSG00000020773")</f>
        <v>ENSMUSG00000020773</v>
      </c>
      <c r="I3384" s="7" t="str">
        <f>HYPERLINK("http://www.informatics.jax.org/marker/MGI:1917374","MGI:1917374")</f>
        <v>MGI:1917374</v>
      </c>
      <c r="J3384" s="4" t="s">
        <v>12</v>
      </c>
    </row>
    <row r="3385" spans="1:10" x14ac:dyDescent="0.25">
      <c r="A3385" s="2">
        <v>600.17526364288506</v>
      </c>
      <c r="B3385" s="3">
        <v>0.119724066374527</v>
      </c>
      <c r="C3385" s="3">
        <v>4.0094346246322098E-2</v>
      </c>
      <c r="D3385" s="4">
        <v>9.4640520701880601E-2</v>
      </c>
      <c r="E3385" s="3" t="s">
        <v>13607</v>
      </c>
      <c r="F3385" s="3" t="s">
        <v>13608</v>
      </c>
      <c r="G3385" s="3">
        <v>109359</v>
      </c>
      <c r="H3385" s="7" t="str">
        <f>HYPERLINK("http://www.ensembl.org/Mus_musculus/Gene/Summary?db=core;g=ENSMUSG00000030965","ENSMUSG00000030965")</f>
        <v>ENSMUSG00000030965</v>
      </c>
      <c r="I3385" s="7" t="str">
        <f>HYPERLINK("http://www.informatics.jax.org/marker/MGI:1926116","MGI:1926116")</f>
        <v>MGI:1926116</v>
      </c>
      <c r="J3385" s="4" t="s">
        <v>12</v>
      </c>
    </row>
    <row r="3386" spans="1:10" x14ac:dyDescent="0.25">
      <c r="A3386" s="2">
        <v>1064.26808953974</v>
      </c>
      <c r="B3386" s="3">
        <v>0.11970381652156099</v>
      </c>
      <c r="C3386" s="3">
        <v>3.4835065303391401E-2</v>
      </c>
      <c r="D3386" s="4">
        <v>8.37447652228345E-2</v>
      </c>
      <c r="E3386" s="3" t="s">
        <v>10844</v>
      </c>
      <c r="F3386" s="3" t="s">
        <v>10845</v>
      </c>
      <c r="G3386" s="3">
        <v>67763</v>
      </c>
      <c r="H3386" s="7" t="str">
        <f>HYPERLINK("http://www.ensembl.org/Mus_musculus/Gene/Summary?db=core;g=ENSMUSG00000015869","ENSMUSG00000015869")</f>
        <v>ENSMUSG00000015869</v>
      </c>
      <c r="I3386" s="7" t="str">
        <f>HYPERLINK("http://www.informatics.jax.org/marker/MGI:1915013","MGI:1915013")</f>
        <v>MGI:1915013</v>
      </c>
      <c r="J3386" s="4" t="s">
        <v>12</v>
      </c>
    </row>
    <row r="3387" spans="1:10" x14ac:dyDescent="0.25">
      <c r="A3387" s="2">
        <v>952.155409058842</v>
      </c>
      <c r="B3387" s="3">
        <v>0.119353952198526</v>
      </c>
      <c r="C3387" s="3">
        <v>4.1015170091775702E-2</v>
      </c>
      <c r="D3387" s="4">
        <v>9.6501610498658894E-2</v>
      </c>
      <c r="E3387" s="3" t="s">
        <v>14011</v>
      </c>
      <c r="F3387" s="3" t="s">
        <v>14012</v>
      </c>
      <c r="G3387" s="3">
        <v>56438</v>
      </c>
      <c r="H3387" s="7" t="str">
        <f>HYPERLINK("http://www.ensembl.org/Mus_musculus/Gene/Summary?db=core;g=ENSMUSG00000022400","ENSMUSG00000022400")</f>
        <v>ENSMUSG00000022400</v>
      </c>
      <c r="I3387" s="7" t="str">
        <f>HYPERLINK("http://www.informatics.jax.org/marker/MGI:1891829","MGI:1891829")</f>
        <v>MGI:1891829</v>
      </c>
      <c r="J3387" s="4" t="s">
        <v>12</v>
      </c>
    </row>
    <row r="3388" spans="1:10" x14ac:dyDescent="0.25">
      <c r="A3388" s="2">
        <v>533.06011563745301</v>
      </c>
      <c r="B3388" s="3">
        <v>0.119083801150873</v>
      </c>
      <c r="C3388" s="3">
        <v>7.8016011118959394E-2</v>
      </c>
      <c r="D3388" s="4">
        <v>0.165851137599794</v>
      </c>
      <c r="E3388" s="3" t="s">
        <v>10018</v>
      </c>
      <c r="F3388" s="3" t="s">
        <v>10019</v>
      </c>
      <c r="G3388" s="3">
        <v>66589</v>
      </c>
      <c r="H3388" s="7" t="str">
        <f>HYPERLINK("http://www.ensembl.org/Mus_musculus/Gene/Summary?db=core;g=ENSMUSG00000078923","ENSMUSG00000078923")</f>
        <v>ENSMUSG00000078923</v>
      </c>
      <c r="I3388" s="7" t="str">
        <f>HYPERLINK("http://www.informatics.jax.org/marker/MGI:1913839","MGI:1913839")</f>
        <v>MGI:1913839</v>
      </c>
      <c r="J3388" s="4" t="s">
        <v>12</v>
      </c>
    </row>
    <row r="3389" spans="1:10" x14ac:dyDescent="0.25">
      <c r="A3389" s="2">
        <v>1440.5663339161699</v>
      </c>
      <c r="B3389" s="3">
        <v>0.118999586361794</v>
      </c>
      <c r="C3389" s="3">
        <v>2.4806130865018001E-2</v>
      </c>
      <c r="D3389" s="4">
        <v>6.2271588845034802E-2</v>
      </c>
      <c r="E3389" s="3" t="s">
        <v>11103</v>
      </c>
      <c r="F3389" s="3" t="s">
        <v>11104</v>
      </c>
      <c r="G3389" s="3">
        <v>233802</v>
      </c>
      <c r="H3389" s="7" t="str">
        <f>HYPERLINK("http://www.ensembl.org/Mus_musculus/Gene/Summary?db=core;g=ENSMUSG00000030942","ENSMUSG00000030942")</f>
        <v>ENSMUSG00000030942</v>
      </c>
      <c r="I3389" s="7" t="str">
        <f>HYPERLINK("http://www.informatics.jax.org/marker/MGI:2444479","MGI:2444479")</f>
        <v>MGI:2444479</v>
      </c>
      <c r="J3389" s="4" t="s">
        <v>12</v>
      </c>
    </row>
    <row r="3390" spans="1:10" x14ac:dyDescent="0.25">
      <c r="A3390" s="2">
        <v>1093.7982174693</v>
      </c>
      <c r="B3390" s="3">
        <v>0.117607132377964</v>
      </c>
      <c r="C3390" s="3">
        <v>2.6651019619605299E-2</v>
      </c>
      <c r="D3390" s="4">
        <v>6.6345421741197494E-2</v>
      </c>
      <c r="E3390" s="3" t="s">
        <v>10416</v>
      </c>
      <c r="F3390" s="3" t="s">
        <v>10417</v>
      </c>
      <c r="G3390" s="3">
        <v>209354</v>
      </c>
      <c r="H3390" s="7" t="str">
        <f>HYPERLINK("http://www.ensembl.org/Mus_musculus/Gene/Summary?db=core;g=ENSMUSG00000029388","ENSMUSG00000029388")</f>
        <v>ENSMUSG00000029388</v>
      </c>
      <c r="I3390" s="7" t="str">
        <f>HYPERLINK("http://www.informatics.jax.org/marker/MGI:2384802","MGI:2384802")</f>
        <v>MGI:2384802</v>
      </c>
      <c r="J3390" s="4" t="s">
        <v>12</v>
      </c>
    </row>
    <row r="3391" spans="1:10" x14ac:dyDescent="0.25">
      <c r="A3391" s="2">
        <v>675.20786364427204</v>
      </c>
      <c r="B3391" s="3">
        <v>0.117481551468971</v>
      </c>
      <c r="C3391" s="3">
        <v>3.2459224930647602E-2</v>
      </c>
      <c r="D3391" s="4">
        <v>7.8872585523112299E-2</v>
      </c>
      <c r="E3391" s="3" t="s">
        <v>12402</v>
      </c>
      <c r="F3391" s="3" t="s">
        <v>12403</v>
      </c>
      <c r="G3391" s="3">
        <v>227682</v>
      </c>
      <c r="H3391" s="7" t="str">
        <f>HYPERLINK("http://www.ensembl.org/Mus_musculus/Gene/Summary?db=core;g=ENSMUSG00000039826","ENSMUSG00000039826")</f>
        <v>ENSMUSG00000039826</v>
      </c>
      <c r="I3391" s="7" t="str">
        <f>HYPERLINK("http://www.informatics.jax.org/marker/MGI:2442186","MGI:2442186")</f>
        <v>MGI:2442186</v>
      </c>
      <c r="J3391" s="4" t="s">
        <v>12</v>
      </c>
    </row>
    <row r="3392" spans="1:10" x14ac:dyDescent="0.25">
      <c r="A3392" s="2">
        <v>1245.21766292338</v>
      </c>
      <c r="B3392" s="3">
        <v>0.117428916602134</v>
      </c>
      <c r="C3392" s="3">
        <v>5.1103532325087603E-2</v>
      </c>
      <c r="D3392" s="4">
        <v>0.11628940899297301</v>
      </c>
      <c r="E3392" s="3" t="s">
        <v>9623</v>
      </c>
      <c r="F3392" s="3" t="s">
        <v>9624</v>
      </c>
      <c r="G3392" s="3">
        <v>67923</v>
      </c>
      <c r="H3392" s="7" t="str">
        <f>HYPERLINK("http://www.ensembl.org/Mus_musculus/Gene/Summary?db=core;g=ENSMUSG00000079658","ENSMUSG00000079658")</f>
        <v>ENSMUSG00000079658</v>
      </c>
      <c r="I3392" s="7" t="str">
        <f>HYPERLINK("http://www.informatics.jax.org/marker/MGI:1915173","MGI:1915173")</f>
        <v>MGI:1915173</v>
      </c>
      <c r="J3392" s="4" t="s">
        <v>12</v>
      </c>
    </row>
    <row r="3393" spans="1:10" x14ac:dyDescent="0.25">
      <c r="A3393" s="2">
        <v>1068.07471428595</v>
      </c>
      <c r="B3393" s="3">
        <v>0.117165942361628</v>
      </c>
      <c r="C3393" s="3">
        <v>4.8908820991341598E-2</v>
      </c>
      <c r="D3393" s="4">
        <v>0.112191725936715</v>
      </c>
      <c r="E3393" s="3" t="s">
        <v>13721</v>
      </c>
      <c r="F3393" s="3" t="s">
        <v>13722</v>
      </c>
      <c r="G3393" s="3">
        <v>14004</v>
      </c>
      <c r="H3393" s="7" t="str">
        <f>HYPERLINK("http://www.ensembl.org/Mus_musculus/Gene/Summary?db=core;g=ENSMUSG00000070493","ENSMUSG00000070493")</f>
        <v>ENSMUSG00000070493</v>
      </c>
      <c r="I3393" s="7" t="str">
        <f>HYPERLINK("http://www.informatics.jax.org/marker/MGI:1261428","MGI:1261428")</f>
        <v>MGI:1261428</v>
      </c>
      <c r="J3393" s="4" t="s">
        <v>12</v>
      </c>
    </row>
    <row r="3394" spans="1:10" x14ac:dyDescent="0.25">
      <c r="A3394" s="2">
        <v>487.79440462817001</v>
      </c>
      <c r="B3394" s="3">
        <v>0.116774201573435</v>
      </c>
      <c r="C3394" s="3">
        <v>0.20142783572375</v>
      </c>
      <c r="D3394" s="4">
        <v>0.352813292269616</v>
      </c>
      <c r="E3394" s="3" t="s">
        <v>11633</v>
      </c>
      <c r="F3394" s="3" t="s">
        <v>11634</v>
      </c>
      <c r="G3394" s="3">
        <v>71361</v>
      </c>
      <c r="H3394" s="7" t="str">
        <f>HYPERLINK("http://www.ensembl.org/Mus_musculus/Gene/Summary?db=core;g=ENSMUSG00000020085","ENSMUSG00000020085")</f>
        <v>ENSMUSG00000020085</v>
      </c>
      <c r="I3394" s="7" t="str">
        <f>HYPERLINK("http://www.informatics.jax.org/marker/MGI:1918611","MGI:1918611")</f>
        <v>MGI:1918611</v>
      </c>
      <c r="J3394" s="4" t="s">
        <v>12</v>
      </c>
    </row>
    <row r="3395" spans="1:10" x14ac:dyDescent="0.25">
      <c r="A3395" s="2">
        <v>1698.49598867124</v>
      </c>
      <c r="B3395" s="3">
        <v>0.116706773503234</v>
      </c>
      <c r="C3395" s="3">
        <v>5.8832663216794702E-3</v>
      </c>
      <c r="D3395" s="4">
        <v>1.7397781715497E-2</v>
      </c>
      <c r="E3395" s="3" t="s">
        <v>11753</v>
      </c>
      <c r="F3395" s="3" t="s">
        <v>11754</v>
      </c>
      <c r="G3395" s="3">
        <v>74195</v>
      </c>
      <c r="H3395" s="7" t="str">
        <f>HYPERLINK("http://www.ensembl.org/Mus_musculus/Gene/Summary?db=core;g=ENSMUSG00000022031","ENSMUSG00000022031")</f>
        <v>ENSMUSG00000022031</v>
      </c>
      <c r="I3395" s="7" t="str">
        <f>HYPERLINK("http://www.informatics.jax.org/marker/MGI:1921445","MGI:1921445")</f>
        <v>MGI:1921445</v>
      </c>
      <c r="J3395" s="4" t="s">
        <v>12</v>
      </c>
    </row>
    <row r="3396" spans="1:10" x14ac:dyDescent="0.25">
      <c r="A3396" s="2">
        <v>1965.75104555904</v>
      </c>
      <c r="B3396" s="3">
        <v>0.11668168114474101</v>
      </c>
      <c r="C3396" s="3">
        <v>5.1840428746259298E-2</v>
      </c>
      <c r="D3396" s="4">
        <v>0.11759508672724001</v>
      </c>
      <c r="E3396" s="3" t="s">
        <v>11429</v>
      </c>
      <c r="F3396" s="3" t="s">
        <v>11430</v>
      </c>
      <c r="G3396" s="3">
        <v>73078</v>
      </c>
      <c r="H3396" s="7" t="str">
        <f>HYPERLINK("http://www.ensembl.org/Mus_musculus/Gene/Summary?db=core;g=ENSMUSG00000029017","ENSMUSG00000029017")</f>
        <v>ENSMUSG00000029017</v>
      </c>
      <c r="I3396" s="7" t="str">
        <f>HYPERLINK("http://www.informatics.jax.org/marker/MGI:1920328","MGI:1920328")</f>
        <v>MGI:1920328</v>
      </c>
      <c r="J3396" s="4" t="s">
        <v>12</v>
      </c>
    </row>
    <row r="3397" spans="1:10" x14ac:dyDescent="0.25">
      <c r="A3397" s="2">
        <v>569.81557079824199</v>
      </c>
      <c r="B3397" s="3">
        <v>0.116233624256789</v>
      </c>
      <c r="C3397" s="3">
        <v>5.8026438426291502E-2</v>
      </c>
      <c r="D3397" s="4">
        <v>0.12944086172817201</v>
      </c>
      <c r="E3397" s="3" t="s">
        <v>13577</v>
      </c>
      <c r="F3397" s="3" t="s">
        <v>13578</v>
      </c>
      <c r="G3397" s="3">
        <v>105246</v>
      </c>
      <c r="H3397" s="7" t="str">
        <f>HYPERLINK("http://www.ensembl.org/Mus_musculus/Gene/Summary?db=core;g=ENSMUSG00000057649","ENSMUSG00000057649")</f>
        <v>ENSMUSG00000057649</v>
      </c>
      <c r="I3397" s="7" t="str">
        <f>HYPERLINK("http://www.informatics.jax.org/marker/MGI:2145317","MGI:2145317")</f>
        <v>MGI:2145317</v>
      </c>
      <c r="J3397" s="4" t="s">
        <v>12</v>
      </c>
    </row>
    <row r="3398" spans="1:10" x14ac:dyDescent="0.25">
      <c r="A3398" s="2">
        <v>503.51997103863903</v>
      </c>
      <c r="B3398" s="3">
        <v>0.11621439819169101</v>
      </c>
      <c r="C3398" s="3">
        <v>4.1223904092812701E-2</v>
      </c>
      <c r="D3398" s="4">
        <v>9.6892655673396E-2</v>
      </c>
      <c r="E3398" s="3" t="s">
        <v>7989</v>
      </c>
      <c r="F3398" s="3" t="s">
        <v>7990</v>
      </c>
      <c r="G3398" s="3">
        <v>71793</v>
      </c>
      <c r="H3398" s="7" t="str">
        <f>HYPERLINK("http://www.ensembl.org/Mus_musculus/Gene/Summary?db=core;g=ENSMUSG00000028016","ENSMUSG00000028016")</f>
        <v>ENSMUSG00000028016</v>
      </c>
      <c r="I3398" s="7" t="str">
        <f>HYPERLINK("http://www.informatics.jax.org/marker/MGI:1919043","MGI:1919043")</f>
        <v>MGI:1919043</v>
      </c>
      <c r="J3398" s="4" t="s">
        <v>12</v>
      </c>
    </row>
    <row r="3399" spans="1:10" x14ac:dyDescent="0.25">
      <c r="A3399" s="2">
        <v>3218.5439268015398</v>
      </c>
      <c r="B3399" s="3">
        <v>0.116207817088101</v>
      </c>
      <c r="C3399" s="3">
        <v>7.5304399488956E-3</v>
      </c>
      <c r="D3399" s="4">
        <v>2.1774118367225499E-2</v>
      </c>
      <c r="E3399" s="3" t="s">
        <v>10962</v>
      </c>
      <c r="F3399" s="3" t="s">
        <v>10963</v>
      </c>
      <c r="G3399" s="3">
        <v>19164</v>
      </c>
      <c r="H3399" s="7" t="str">
        <f>HYPERLINK("http://www.ensembl.org/Mus_musculus/Gene/Summary?db=core;g=ENSMUSG00000019969","ENSMUSG00000019969")</f>
        <v>ENSMUSG00000019969</v>
      </c>
      <c r="I3399" s="7" t="str">
        <f>HYPERLINK("http://www.informatics.jax.org/marker/MGI:1202717","MGI:1202717")</f>
        <v>MGI:1202717</v>
      </c>
      <c r="J3399" s="4" t="s">
        <v>12</v>
      </c>
    </row>
    <row r="3400" spans="1:10" x14ac:dyDescent="0.25">
      <c r="A3400" s="2">
        <v>1665.2373183242601</v>
      </c>
      <c r="B3400" s="3">
        <v>0.115764278043788</v>
      </c>
      <c r="C3400" s="3">
        <v>1.87887904777185E-2</v>
      </c>
      <c r="D3400" s="4">
        <v>4.8903985497917801E-2</v>
      </c>
      <c r="E3400" s="3" t="s">
        <v>9289</v>
      </c>
      <c r="F3400" s="3" t="s">
        <v>9290</v>
      </c>
      <c r="G3400" s="3">
        <v>232187</v>
      </c>
      <c r="H3400" s="7" t="str">
        <f>HYPERLINK("http://www.ensembl.org/Mus_musculus/Gene/Summary?db=core;g=ENSMUSG00000033706","ENSMUSG00000033706")</f>
        <v>ENSMUSG00000033706</v>
      </c>
      <c r="I3400" s="7" t="str">
        <f>HYPERLINK("http://www.informatics.jax.org/marker/MGI:108048","MGI:108048")</f>
        <v>MGI:108048</v>
      </c>
      <c r="J3400" s="4" t="s">
        <v>12</v>
      </c>
    </row>
    <row r="3401" spans="1:10" x14ac:dyDescent="0.25">
      <c r="A3401" s="2">
        <v>3895.1896571918601</v>
      </c>
      <c r="B3401" s="3">
        <v>0.11573937627263101</v>
      </c>
      <c r="C3401" s="3">
        <v>4.2477435259457103E-2</v>
      </c>
      <c r="D3401" s="4">
        <v>9.9440458265887405E-2</v>
      </c>
      <c r="E3401" s="3" t="s">
        <v>8139</v>
      </c>
      <c r="F3401" s="3" t="s">
        <v>8140</v>
      </c>
      <c r="G3401" s="3">
        <v>12301</v>
      </c>
      <c r="H3401" s="7" t="str">
        <f>HYPERLINK("http://www.ensembl.org/Mus_musculus/Gene/Summary?db=core;g=ENSMUSG00000014226","ENSMUSG00000014226")</f>
        <v>ENSMUSG00000014226</v>
      </c>
      <c r="I3401" s="7" t="str">
        <f>HYPERLINK("http://www.informatics.jax.org/marker/MGI:1270839","MGI:1270839")</f>
        <v>MGI:1270839</v>
      </c>
      <c r="J3401" s="4" t="s">
        <v>12</v>
      </c>
    </row>
    <row r="3402" spans="1:10" x14ac:dyDescent="0.25">
      <c r="A3402" s="2">
        <v>933.76465289066903</v>
      </c>
      <c r="B3402" s="3">
        <v>0.115639950060201</v>
      </c>
      <c r="C3402" s="3">
        <v>4.6145629462175097E-2</v>
      </c>
      <c r="D3402" s="4">
        <v>0.106862019942585</v>
      </c>
      <c r="E3402" s="3" t="s">
        <v>13823</v>
      </c>
      <c r="F3402" s="3" t="s">
        <v>13824</v>
      </c>
      <c r="G3402" s="3">
        <v>11778</v>
      </c>
      <c r="H3402" s="7" t="str">
        <f>HYPERLINK("http://www.ensembl.org/Mus_musculus/Gene/Summary?db=core;g=ENSMUSG00000063801","ENSMUSG00000063801")</f>
        <v>ENSMUSG00000063801</v>
      </c>
      <c r="I3402" s="7" t="str">
        <f>HYPERLINK("http://www.informatics.jax.org/marker/MGI:1337060","MGI:1337060")</f>
        <v>MGI:1337060</v>
      </c>
      <c r="J3402" s="4" t="s">
        <v>12</v>
      </c>
    </row>
    <row r="3403" spans="1:10" x14ac:dyDescent="0.25">
      <c r="A3403" s="2">
        <v>8072.0100425897799</v>
      </c>
      <c r="B3403" s="3">
        <v>0.115639729052397</v>
      </c>
      <c r="C3403" s="3">
        <v>7.7665299023324294E-2</v>
      </c>
      <c r="D3403" s="4">
        <v>0.165202409119902</v>
      </c>
      <c r="E3403" s="3" t="s">
        <v>12643</v>
      </c>
      <c r="F3403" s="3" t="s">
        <v>12644</v>
      </c>
      <c r="G3403" s="3">
        <v>16784</v>
      </c>
      <c r="H3403" s="7" t="str">
        <f>HYPERLINK("http://www.ensembl.org/Mus_musculus/Gene/Summary?db=core;g=ENSMUSG00000016534","ENSMUSG00000016534")</f>
        <v>ENSMUSG00000016534</v>
      </c>
      <c r="I3403" s="7" t="str">
        <f>HYPERLINK("http://www.informatics.jax.org/marker/MGI:96748","MGI:96748")</f>
        <v>MGI:96748</v>
      </c>
      <c r="J3403" s="4" t="s">
        <v>12</v>
      </c>
    </row>
    <row r="3404" spans="1:10" x14ac:dyDescent="0.25">
      <c r="A3404" s="2">
        <v>2428.33262897648</v>
      </c>
      <c r="B3404" s="3">
        <v>0.115603220174334</v>
      </c>
      <c r="C3404" s="3">
        <v>3.9391583270022901E-2</v>
      </c>
      <c r="D3404" s="4">
        <v>9.3211062723470198E-2</v>
      </c>
      <c r="E3404" s="3" t="s">
        <v>13937</v>
      </c>
      <c r="F3404" s="3" t="s">
        <v>13938</v>
      </c>
      <c r="G3404" s="3">
        <v>72662</v>
      </c>
      <c r="H3404" s="7" t="str">
        <f>HYPERLINK("http://www.ensembl.org/Mus_musculus/Gene/Summary?db=core;g=ENSMUSG00000033166","ENSMUSG00000033166")</f>
        <v>ENSMUSG00000033166</v>
      </c>
      <c r="I3404" s="7" t="str">
        <f>HYPERLINK("http://www.informatics.jax.org/marker/MGI:1919912","MGI:1919912")</f>
        <v>MGI:1919912</v>
      </c>
      <c r="J3404" s="4" t="s">
        <v>12</v>
      </c>
    </row>
    <row r="3405" spans="1:10" x14ac:dyDescent="0.25">
      <c r="A3405" s="2">
        <v>983.62531841503505</v>
      </c>
      <c r="B3405" s="3">
        <v>0.11495132833398</v>
      </c>
      <c r="C3405" s="3">
        <v>0.11058986340782601</v>
      </c>
      <c r="D3405" s="4">
        <v>0.220731602300694</v>
      </c>
      <c r="E3405" s="3" t="s">
        <v>12991</v>
      </c>
      <c r="F3405" s="3" t="s">
        <v>12992</v>
      </c>
      <c r="G3405" s="3">
        <v>67429</v>
      </c>
      <c r="H3405" s="7" t="str">
        <f>HYPERLINK("http://www.ensembl.org/Mus_musculus/Gene/Summary?db=core;g=ENSMUSG00000038736","ENSMUSG00000038736")</f>
        <v>ENSMUSG00000038736</v>
      </c>
      <c r="I3405" s="7" t="str">
        <f>HYPERLINK("http://www.informatics.jax.org/marker/MGI:1914679","MGI:1914679")</f>
        <v>MGI:1914679</v>
      </c>
      <c r="J3405" s="4" t="s">
        <v>12</v>
      </c>
    </row>
    <row r="3406" spans="1:10" x14ac:dyDescent="0.25">
      <c r="A3406" s="2">
        <v>1555.8245252077099</v>
      </c>
      <c r="B3406" s="3">
        <v>0.114743813737544</v>
      </c>
      <c r="C3406" s="3">
        <v>2.0242379396059301E-2</v>
      </c>
      <c r="D3406" s="4">
        <v>5.2129060971199702E-2</v>
      </c>
      <c r="E3406" s="3" t="s">
        <v>10796</v>
      </c>
      <c r="F3406" s="3" t="s">
        <v>10797</v>
      </c>
      <c r="G3406" s="3">
        <v>77038</v>
      </c>
      <c r="H3406" s="7" t="str">
        <f>HYPERLINK("http://www.ensembl.org/Mus_musculus/Gene/Summary?db=core;g=ENSMUSG00000027255","ENSMUSG00000027255")</f>
        <v>ENSMUSG00000027255</v>
      </c>
      <c r="I3406" s="7" t="str">
        <f>HYPERLINK("http://www.informatics.jax.org/marker/MGI:1924288","MGI:1924288")</f>
        <v>MGI:1924288</v>
      </c>
      <c r="J3406" s="4" t="s">
        <v>12</v>
      </c>
    </row>
    <row r="3407" spans="1:10" x14ac:dyDescent="0.25">
      <c r="A3407" s="2">
        <v>2092.32967273453</v>
      </c>
      <c r="B3407" s="3">
        <v>0.114665542543251</v>
      </c>
      <c r="C3407" s="3">
        <v>1.39214979968159E-2</v>
      </c>
      <c r="D3407" s="4">
        <v>3.7610332195667201E-2</v>
      </c>
      <c r="E3407" s="3" t="s">
        <v>13947</v>
      </c>
      <c r="F3407" s="3" t="s">
        <v>13948</v>
      </c>
      <c r="G3407" s="3">
        <v>78832</v>
      </c>
      <c r="H3407" s="7" t="str">
        <f>HYPERLINK("http://www.ensembl.org/Mus_musculus/Gene/Summary?db=core;g=ENSMUSG00000033417","ENSMUSG00000033417")</f>
        <v>ENSMUSG00000033417</v>
      </c>
      <c r="I3407" s="7" t="str">
        <f>HYPERLINK("http://www.informatics.jax.org/marker/MGI:1926082","MGI:1926082")</f>
        <v>MGI:1926082</v>
      </c>
      <c r="J3407" s="4" t="s">
        <v>12</v>
      </c>
    </row>
    <row r="3408" spans="1:10" x14ac:dyDescent="0.25">
      <c r="A3408" s="2">
        <v>736.38931323813097</v>
      </c>
      <c r="B3408" s="3">
        <v>0.114503652045153</v>
      </c>
      <c r="C3408" s="3">
        <v>2.3088857285088599E-2</v>
      </c>
      <c r="D3408" s="4">
        <v>5.8484284089053498E-2</v>
      </c>
      <c r="E3408" s="3" t="s">
        <v>11373</v>
      </c>
      <c r="F3408" s="3" t="s">
        <v>11374</v>
      </c>
      <c r="G3408" s="3">
        <v>18457</v>
      </c>
      <c r="H3408" s="7" t="str">
        <f>HYPERLINK("http://www.ensembl.org/Mus_musculus/Gene/Summary?db=core;g=ENSMUSG00000005804","ENSMUSG00000005804")</f>
        <v>ENSMUSG00000005804</v>
      </c>
      <c r="I3408" s="7" t="str">
        <f>HYPERLINK("http://www.informatics.jax.org/marker/MGI:1927580","MGI:1927580")</f>
        <v>MGI:1927580</v>
      </c>
      <c r="J3408" s="4" t="s">
        <v>12</v>
      </c>
    </row>
    <row r="3409" spans="1:10" x14ac:dyDescent="0.25">
      <c r="A3409" s="2">
        <v>320.95830359972399</v>
      </c>
      <c r="B3409" s="3">
        <v>0.11429654675860999</v>
      </c>
      <c r="C3409" s="3">
        <v>0.100668647453971</v>
      </c>
      <c r="D3409" s="4">
        <v>0.20464987170648299</v>
      </c>
      <c r="E3409" s="3" t="s">
        <v>13765</v>
      </c>
      <c r="F3409" s="3" t="s">
        <v>13766</v>
      </c>
      <c r="G3409" s="3">
        <v>235315</v>
      </c>
      <c r="H3409" s="7" t="str">
        <f>HYPERLINK("http://www.ensembl.org/Mus_musculus/Gene/Summary?db=core;g=ENSMUSG00000042790","ENSMUSG00000042790")</f>
        <v>ENSMUSG00000042790</v>
      </c>
      <c r="I3409" s="7" t="str">
        <f>HYPERLINK("http://www.informatics.jax.org/marker/MGI:2444451","MGI:2444451")</f>
        <v>MGI:2444451</v>
      </c>
      <c r="J3409" s="4" t="s">
        <v>12</v>
      </c>
    </row>
    <row r="3410" spans="1:10" x14ac:dyDescent="0.25">
      <c r="A3410" s="2">
        <v>1414.3493978931201</v>
      </c>
      <c r="B3410" s="3">
        <v>0.114255468688386</v>
      </c>
      <c r="C3410" s="3">
        <v>4.4491255542207101E-3</v>
      </c>
      <c r="D3410" s="4">
        <v>1.3532261886794499E-2</v>
      </c>
      <c r="E3410" s="3" t="s">
        <v>10074</v>
      </c>
      <c r="F3410" s="3" t="s">
        <v>10075</v>
      </c>
      <c r="G3410" s="3">
        <v>108737</v>
      </c>
      <c r="H3410" s="7" t="str">
        <f>HYPERLINK("http://www.ensembl.org/Mus_musculus/Gene/Summary?db=core;g=ENSMUSG00000036737","ENSMUSG00000036737")</f>
        <v>ENSMUSG00000036737</v>
      </c>
      <c r="I3410" s="7" t="str">
        <f>HYPERLINK("http://www.informatics.jax.org/marker/MGI:1917378","MGI:1917378")</f>
        <v>MGI:1917378</v>
      </c>
      <c r="J3410" s="4" t="s">
        <v>12</v>
      </c>
    </row>
    <row r="3411" spans="1:10" x14ac:dyDescent="0.25">
      <c r="A3411" s="2">
        <v>5402.7296526523596</v>
      </c>
      <c r="B3411" s="3">
        <v>0.113687829142265</v>
      </c>
      <c r="C3411" s="3">
        <v>7.4308523447807195E-2</v>
      </c>
      <c r="D3411" s="4">
        <v>0.15908291317235801</v>
      </c>
      <c r="E3411" s="3" t="s">
        <v>13771</v>
      </c>
      <c r="F3411" s="3" t="s">
        <v>13772</v>
      </c>
      <c r="G3411" s="3">
        <v>268449</v>
      </c>
      <c r="H3411" s="7" t="str">
        <f>HYPERLINK("http://www.ensembl.org/Mus_musculus/Gene/Summary?db=core;g=ENSMUSG00000058546","ENSMUSG00000058546")</f>
        <v>ENSMUSG00000058546</v>
      </c>
      <c r="I3411" s="7" t="str">
        <f>HYPERLINK("http://www.informatics.jax.org/marker/MGI:3040672","MGI:3040672")</f>
        <v>MGI:3040672</v>
      </c>
      <c r="J3411" s="4" t="s">
        <v>12</v>
      </c>
    </row>
    <row r="3412" spans="1:10" x14ac:dyDescent="0.25">
      <c r="A3412" s="2">
        <v>2788.7852099721699</v>
      </c>
      <c r="B3412" s="3">
        <v>0.11356837770131201</v>
      </c>
      <c r="C3412" s="3">
        <v>3.8035042323549498E-2</v>
      </c>
      <c r="D3412" s="4">
        <v>9.0470979685028693E-2</v>
      </c>
      <c r="E3412" s="3" t="s">
        <v>11169</v>
      </c>
      <c r="F3412" s="3" t="s">
        <v>11170</v>
      </c>
      <c r="G3412" s="3">
        <v>22791</v>
      </c>
      <c r="H3412" s="7" t="str">
        <f>HYPERLINK("http://www.ensembl.org/Mus_musculus/Gene/Summary?db=core;g=ENSMUSG00000029014","ENSMUSG00000029014")</f>
        <v>ENSMUSG00000029014</v>
      </c>
      <c r="I3412" s="7" t="str">
        <f>HYPERLINK("http://www.informatics.jax.org/marker/MGI:99470","MGI:99470")</f>
        <v>MGI:99470</v>
      </c>
      <c r="J3412" s="4" t="s">
        <v>12</v>
      </c>
    </row>
    <row r="3413" spans="1:10" x14ac:dyDescent="0.25">
      <c r="A3413" s="2">
        <v>15950.490445245699</v>
      </c>
      <c r="B3413" s="3">
        <v>0.113086530357872</v>
      </c>
      <c r="C3413" s="3">
        <v>2.7204005741787202E-3</v>
      </c>
      <c r="D3413" s="4">
        <v>8.7241422601455603E-3</v>
      </c>
      <c r="E3413" s="3" t="s">
        <v>7140</v>
      </c>
      <c r="F3413" s="3" t="s">
        <v>7141</v>
      </c>
      <c r="G3413" s="3">
        <v>53872</v>
      </c>
      <c r="H3413" s="7" t="str">
        <f>HYPERLINK("http://www.ensembl.org/Mus_musculus/Gene/Summary?db=core;g=ENSMUSG00000027184","ENSMUSG00000027184")</f>
        <v>ENSMUSG00000027184</v>
      </c>
      <c r="I3413" s="7" t="str">
        <f>HYPERLINK("http://www.informatics.jax.org/marker/MGI:1858234","MGI:1858234")</f>
        <v>MGI:1858234</v>
      </c>
      <c r="J3413" s="4" t="s">
        <v>12</v>
      </c>
    </row>
    <row r="3414" spans="1:10" x14ac:dyDescent="0.25">
      <c r="A3414" s="2">
        <v>1158.78268057582</v>
      </c>
      <c r="B3414" s="3">
        <v>0.112634746801306</v>
      </c>
      <c r="C3414" s="3">
        <v>1.2528735080061E-2</v>
      </c>
      <c r="D3414" s="4">
        <v>3.4238446068992602E-2</v>
      </c>
      <c r="E3414" s="3" t="s">
        <v>13151</v>
      </c>
      <c r="F3414" s="3" t="s">
        <v>13152</v>
      </c>
      <c r="G3414" s="3">
        <v>68796</v>
      </c>
      <c r="H3414" s="7" t="str">
        <f>HYPERLINK("http://www.ensembl.org/Mus_musculus/Gene/Summary?db=core;g=ENSMUSG00000038828","ENSMUSG00000038828")</f>
        <v>ENSMUSG00000038828</v>
      </c>
      <c r="I3414" s="7" t="str">
        <f>HYPERLINK("http://www.informatics.jax.org/marker/MGI:1916046","MGI:1916046")</f>
        <v>MGI:1916046</v>
      </c>
      <c r="J3414" s="4" t="s">
        <v>12</v>
      </c>
    </row>
    <row r="3415" spans="1:10" x14ac:dyDescent="0.25">
      <c r="A3415" s="2">
        <v>806.31906375718199</v>
      </c>
      <c r="B3415" s="3">
        <v>0.112420571890333</v>
      </c>
      <c r="C3415" s="3">
        <v>1.16218375999728E-2</v>
      </c>
      <c r="D3415" s="4">
        <v>3.2072681747350597E-2</v>
      </c>
      <c r="E3415" s="3" t="s">
        <v>6587</v>
      </c>
      <c r="F3415" s="3" t="s">
        <v>6588</v>
      </c>
      <c r="G3415" s="3">
        <v>107035</v>
      </c>
      <c r="H3415" s="7" t="str">
        <f>HYPERLINK("http://www.ensembl.org/Mus_musculus/Gene/Summary?db=core;g=ENSMUSG00000042211","ENSMUSG00000042211")</f>
        <v>ENSMUSG00000042211</v>
      </c>
      <c r="I3415" s="7" t="str">
        <f>HYPERLINK("http://www.informatics.jax.org/marker/MGI:2444639","MGI:2444639")</f>
        <v>MGI:2444639</v>
      </c>
      <c r="J3415" s="4" t="s">
        <v>12</v>
      </c>
    </row>
    <row r="3416" spans="1:10" x14ac:dyDescent="0.25">
      <c r="A3416" s="2">
        <v>3242.4837864480401</v>
      </c>
      <c r="B3416" s="3">
        <v>0.112400569950522</v>
      </c>
      <c r="C3416" s="3">
        <v>6.3867927415876802E-4</v>
      </c>
      <c r="D3416" s="4">
        <v>2.32798595430871E-3</v>
      </c>
      <c r="E3416" s="3" t="s">
        <v>9555</v>
      </c>
      <c r="F3416" s="3" t="s">
        <v>9556</v>
      </c>
      <c r="G3416" s="3">
        <v>18571</v>
      </c>
      <c r="H3416" s="7" t="str">
        <f>HYPERLINK("http://www.ensembl.org/Mus_musculus/Gene/Summary?db=core;g=ENSMUSG00000032504","ENSMUSG00000032504")</f>
        <v>ENSMUSG00000032504</v>
      </c>
      <c r="I3416" s="7" t="str">
        <f>HYPERLINK("http://www.informatics.jax.org/marker/MGI:1333753","MGI:1333753")</f>
        <v>MGI:1333753</v>
      </c>
      <c r="J3416" s="4" t="s">
        <v>12</v>
      </c>
    </row>
    <row r="3417" spans="1:10" x14ac:dyDescent="0.25">
      <c r="A3417" s="2">
        <v>427.332415059857</v>
      </c>
      <c r="B3417" s="3">
        <v>0.111460899426025</v>
      </c>
      <c r="C3417" s="3">
        <v>0.17363790023460399</v>
      </c>
      <c r="D3417" s="4">
        <v>0.315288505706453</v>
      </c>
      <c r="E3417" s="3" t="s">
        <v>10557</v>
      </c>
      <c r="F3417" s="3" t="s">
        <v>10558</v>
      </c>
      <c r="G3417" s="3">
        <v>20841</v>
      </c>
      <c r="H3417" s="7" t="str">
        <f>HYPERLINK("http://www.ensembl.org/Mus_musculus/Gene/Summary?db=core;g=ENSMUSG00000061079","ENSMUSG00000061079")</f>
        <v>ENSMUSG00000061079</v>
      </c>
      <c r="I3417" s="7" t="str">
        <f>HYPERLINK("http://www.informatics.jax.org/marker/MGI:1277969","MGI:1277969")</f>
        <v>MGI:1277969</v>
      </c>
      <c r="J3417" s="4" t="s">
        <v>12</v>
      </c>
    </row>
    <row r="3418" spans="1:10" x14ac:dyDescent="0.25">
      <c r="A3418" s="2">
        <v>586.77855766118705</v>
      </c>
      <c r="B3418" s="3">
        <v>0.111129132585174</v>
      </c>
      <c r="C3418" s="3">
        <v>3.9481338150735401E-2</v>
      </c>
      <c r="D3418" s="4">
        <v>9.3374952997294605E-2</v>
      </c>
      <c r="E3418" s="3" t="s">
        <v>10376</v>
      </c>
      <c r="F3418" s="3" t="s">
        <v>10377</v>
      </c>
      <c r="G3418" s="3">
        <v>57437</v>
      </c>
      <c r="H3418" s="7" t="str">
        <f>HYPERLINK("http://www.ensembl.org/Mus_musculus/Gene/Summary?db=core;g=ENSMUSG00000015341","ENSMUSG00000015341")</f>
        <v>ENSMUSG00000015341</v>
      </c>
      <c r="I3418" s="7" t="str">
        <f>HYPERLINK("http://www.informatics.jax.org/marker/MGI:1931029","MGI:1931029")</f>
        <v>MGI:1931029</v>
      </c>
      <c r="J3418" s="4" t="s">
        <v>12</v>
      </c>
    </row>
    <row r="3419" spans="1:10" x14ac:dyDescent="0.25">
      <c r="A3419" s="2">
        <v>1189.7805483739</v>
      </c>
      <c r="B3419" s="3">
        <v>0.111112195571051</v>
      </c>
      <c r="C3419" s="3">
        <v>0.16220104117470799</v>
      </c>
      <c r="D3419" s="4">
        <v>0.29984913047409301</v>
      </c>
      <c r="E3419" s="3" t="s">
        <v>13357</v>
      </c>
      <c r="F3419" s="3" t="s">
        <v>13358</v>
      </c>
      <c r="G3419" s="3">
        <v>19652</v>
      </c>
      <c r="H3419" s="7" t="str">
        <f>HYPERLINK("http://www.ensembl.org/Mus_musculus/Gene/Summary?db=core;g=ENSMUSG00000031167","ENSMUSG00000031167")</f>
        <v>ENSMUSG00000031167</v>
      </c>
      <c r="I3419" s="7" t="str">
        <f>HYPERLINK("http://www.informatics.jax.org/marker/MGI:1099460","MGI:1099460")</f>
        <v>MGI:1099460</v>
      </c>
      <c r="J3419" s="4" t="s">
        <v>12</v>
      </c>
    </row>
    <row r="3420" spans="1:10" x14ac:dyDescent="0.25">
      <c r="A3420" s="2">
        <v>6106.1303481248497</v>
      </c>
      <c r="B3420" s="3">
        <v>0.11107533275277499</v>
      </c>
      <c r="C3420" s="3">
        <v>3.4884771611941499E-3</v>
      </c>
      <c r="D3420" s="4">
        <v>1.08957393327603E-2</v>
      </c>
      <c r="E3420" s="3" t="s">
        <v>9489</v>
      </c>
      <c r="F3420" s="3" t="s">
        <v>9490</v>
      </c>
      <c r="G3420" s="3">
        <v>81898</v>
      </c>
      <c r="H3420" s="7" t="str">
        <f>HYPERLINK("http://www.ensembl.org/Mus_musculus/Gene/Summary?db=core;g=ENSMUSG00000025982","ENSMUSG00000025982")</f>
        <v>ENSMUSG00000025982</v>
      </c>
      <c r="I3420" s="7" t="str">
        <f>HYPERLINK("http://www.informatics.jax.org/marker/MGI:1932339","MGI:1932339")</f>
        <v>MGI:1932339</v>
      </c>
      <c r="J3420" s="4" t="s">
        <v>12</v>
      </c>
    </row>
    <row r="3421" spans="1:10" x14ac:dyDescent="0.25">
      <c r="A3421" s="2">
        <v>30.954030414459702</v>
      </c>
      <c r="B3421" s="3">
        <v>0.110985770472947</v>
      </c>
      <c r="C3421" s="3">
        <v>0.605217754272669</v>
      </c>
      <c r="D3421" s="4">
        <v>0.76045310968769098</v>
      </c>
      <c r="E3421" s="3" t="s">
        <v>13809</v>
      </c>
      <c r="F3421" s="3" t="s">
        <v>13810</v>
      </c>
      <c r="G3421" s="3" t="s">
        <v>83</v>
      </c>
      <c r="H3421" s="7" t="str">
        <f>HYPERLINK("http://www.ensembl.org/Mus_musculus/Gene/Summary?db=core;g=ENSMUSG00000081519","ENSMUSG00000081519")</f>
        <v>ENSMUSG00000081519</v>
      </c>
      <c r="I3421" s="7" t="str">
        <f>HYPERLINK("http://www.informatics.jax.org/marker/MGI:3649454","MGI:3649454")</f>
        <v>MGI:3649454</v>
      </c>
      <c r="J3421" s="4" t="s">
        <v>1043</v>
      </c>
    </row>
    <row r="3422" spans="1:10" x14ac:dyDescent="0.25">
      <c r="A3422" s="2">
        <v>2040.4614803418899</v>
      </c>
      <c r="B3422" s="3">
        <v>0.110829489487223</v>
      </c>
      <c r="C3422" s="3">
        <v>3.0346389412333401E-2</v>
      </c>
      <c r="D3422" s="4">
        <v>7.4298648786924104E-2</v>
      </c>
      <c r="E3422" s="3" t="s">
        <v>6806</v>
      </c>
      <c r="F3422" s="3" t="s">
        <v>6807</v>
      </c>
      <c r="G3422" s="3">
        <v>99480</v>
      </c>
      <c r="H3422" s="7" t="str">
        <f>HYPERLINK("http://www.ensembl.org/Mus_musculus/Gene/Summary?db=core;g=ENSMUSG00000039756","ENSMUSG00000039756")</f>
        <v>ENSMUSG00000039756</v>
      </c>
      <c r="I3422" s="7" t="str">
        <f>HYPERLINK("http://www.informatics.jax.org/marker/MGI:1923173","MGI:1923173")</f>
        <v>MGI:1923173</v>
      </c>
      <c r="J3422" s="4" t="s">
        <v>12</v>
      </c>
    </row>
    <row r="3423" spans="1:10" x14ac:dyDescent="0.25">
      <c r="A3423" s="2">
        <v>145.43311384875901</v>
      </c>
      <c r="B3423" s="3">
        <v>0.110088431688945</v>
      </c>
      <c r="C3423" s="3">
        <v>0.34711519884844599</v>
      </c>
      <c r="D3423" s="4">
        <v>0.52516806400572202</v>
      </c>
      <c r="E3423" s="3" t="s">
        <v>14055</v>
      </c>
      <c r="F3423" s="3" t="s">
        <v>14056</v>
      </c>
      <c r="G3423" s="3" t="s">
        <v>83</v>
      </c>
      <c r="H3423" s="7" t="str">
        <f>HYPERLINK("http://www.ensembl.org/Mus_musculus/Gene/Summary?db=core;g=ENSMUSG00000101166","ENSMUSG00000101166")</f>
        <v>ENSMUSG00000101166</v>
      </c>
      <c r="I3423" s="7" t="str">
        <f>HYPERLINK("http://www.informatics.jax.org/marker/MGI:5579202","MGI:5579202")</f>
        <v>MGI:5579202</v>
      </c>
      <c r="J3423" s="4" t="s">
        <v>331</v>
      </c>
    </row>
    <row r="3424" spans="1:10" x14ac:dyDescent="0.25">
      <c r="A3424" s="2">
        <v>3054.1130984882602</v>
      </c>
      <c r="B3424" s="3">
        <v>0.109474750597154</v>
      </c>
      <c r="C3424" s="3">
        <v>1.9855108630968399E-2</v>
      </c>
      <c r="D3424" s="4">
        <v>5.1316339444691897E-2</v>
      </c>
      <c r="E3424" s="3" t="s">
        <v>6675</v>
      </c>
      <c r="F3424" s="3" t="s">
        <v>6676</v>
      </c>
      <c r="G3424" s="3">
        <v>14977</v>
      </c>
      <c r="H3424" s="7" t="str">
        <f>HYPERLINK("http://www.ensembl.org/Mus_musculus/Gene/Summary?db=core;g=ENSMUSG00000024327","ENSMUSG00000024327")</f>
        <v>ENSMUSG00000024327</v>
      </c>
      <c r="I3424" s="7" t="str">
        <f>HYPERLINK("http://www.informatics.jax.org/marker/MGI:95909","MGI:95909")</f>
        <v>MGI:95909</v>
      </c>
      <c r="J3424" s="4" t="s">
        <v>12</v>
      </c>
    </row>
    <row r="3425" spans="1:10" x14ac:dyDescent="0.25">
      <c r="A3425" s="2">
        <v>458.62692658718299</v>
      </c>
      <c r="B3425" s="3">
        <v>0.109266106871495</v>
      </c>
      <c r="C3425" s="3">
        <v>0.13474473983111801</v>
      </c>
      <c r="D3425" s="4">
        <v>0.25934342416539402</v>
      </c>
      <c r="E3425" s="3" t="s">
        <v>9107</v>
      </c>
      <c r="F3425" s="3" t="s">
        <v>9108</v>
      </c>
      <c r="G3425" s="3">
        <v>17161</v>
      </c>
      <c r="H3425" s="7" t="str">
        <f>HYPERLINK("http://www.ensembl.org/Mus_musculus/Gene/Summary?db=core;g=ENSMUSG00000025037","ENSMUSG00000025037")</f>
        <v>ENSMUSG00000025037</v>
      </c>
      <c r="I3425" s="7" t="str">
        <f>HYPERLINK("http://www.informatics.jax.org/marker/MGI:96915","MGI:96915")</f>
        <v>MGI:96915</v>
      </c>
      <c r="J3425" s="4" t="s">
        <v>12</v>
      </c>
    </row>
    <row r="3426" spans="1:10" x14ac:dyDescent="0.25">
      <c r="A3426" s="2">
        <v>1424.49582956874</v>
      </c>
      <c r="B3426" s="3">
        <v>0.109063236943283</v>
      </c>
      <c r="C3426" s="3">
        <v>7.8164777741966798E-2</v>
      </c>
      <c r="D3426" s="4">
        <v>0.16610926706475601</v>
      </c>
      <c r="E3426" s="3" t="s">
        <v>13793</v>
      </c>
      <c r="F3426" s="3" t="s">
        <v>13794</v>
      </c>
      <c r="G3426" s="3">
        <v>24109</v>
      </c>
      <c r="H3426" s="7" t="str">
        <f>HYPERLINK("http://www.ensembl.org/Mus_musculus/Gene/Summary?db=core;g=ENSMUSG00000001687","ENSMUSG00000001687")</f>
        <v>ENSMUSG00000001687</v>
      </c>
      <c r="I3426" s="7" t="str">
        <f>HYPERLINK("http://www.informatics.jax.org/marker/MGI:1344373","MGI:1344373")</f>
        <v>MGI:1344373</v>
      </c>
      <c r="J3426" s="4" t="s">
        <v>12</v>
      </c>
    </row>
    <row r="3427" spans="1:10" x14ac:dyDescent="0.25">
      <c r="A3427" s="2">
        <v>658.34742867253999</v>
      </c>
      <c r="B3427" s="3">
        <v>0.108163681042345</v>
      </c>
      <c r="C3427" s="3">
        <v>5.74921594242132E-2</v>
      </c>
      <c r="D3427" s="4">
        <v>0.12842193963798099</v>
      </c>
      <c r="E3427" s="3" t="s">
        <v>7894</v>
      </c>
      <c r="F3427" s="3" t="s">
        <v>7895</v>
      </c>
      <c r="G3427" s="3">
        <v>72621</v>
      </c>
      <c r="H3427" s="7" t="str">
        <f>HYPERLINK("http://www.ensembl.org/Mus_musculus/Gene/Summary?db=core;g=ENSMUSG00000015668","ENSMUSG00000015668")</f>
        <v>ENSMUSG00000015668</v>
      </c>
      <c r="I3427" s="7" t="str">
        <f>HYPERLINK("http://www.informatics.jax.org/marker/MGI:1919871","MGI:1919871")</f>
        <v>MGI:1919871</v>
      </c>
      <c r="J3427" s="4" t="s">
        <v>12</v>
      </c>
    </row>
    <row r="3428" spans="1:10" x14ac:dyDescent="0.25">
      <c r="A3428" s="2">
        <v>321.80128474915102</v>
      </c>
      <c r="B3428" s="3">
        <v>0.10786186594882199</v>
      </c>
      <c r="C3428" s="3">
        <v>0.21290739565987299</v>
      </c>
      <c r="D3428" s="4">
        <v>0.36835364400049198</v>
      </c>
      <c r="E3428" s="3" t="s">
        <v>13735</v>
      </c>
      <c r="F3428" s="3" t="s">
        <v>13736</v>
      </c>
      <c r="G3428" s="3">
        <v>67848</v>
      </c>
      <c r="H3428" s="7" t="str">
        <f>HYPERLINK("http://www.ensembl.org/Mus_musculus/Gene/Summary?db=core;g=ENSMUSG00000029389","ENSMUSG00000029389")</f>
        <v>ENSMUSG00000029389</v>
      </c>
      <c r="I3428" s="7" t="str">
        <f>HYPERLINK("http://www.informatics.jax.org/marker/MGI:1915098","MGI:1915098")</f>
        <v>MGI:1915098</v>
      </c>
      <c r="J3428" s="4" t="s">
        <v>12</v>
      </c>
    </row>
    <row r="3429" spans="1:10" x14ac:dyDescent="0.25">
      <c r="A3429" s="2">
        <v>1514.7184658256001</v>
      </c>
      <c r="B3429" s="3">
        <v>0.10734600348668499</v>
      </c>
      <c r="C3429" s="3">
        <v>9.3450957896490897E-2</v>
      </c>
      <c r="D3429" s="4">
        <v>0.19255440448429001</v>
      </c>
      <c r="E3429" s="3" t="s">
        <v>13889</v>
      </c>
      <c r="F3429" s="3" t="s">
        <v>13890</v>
      </c>
      <c r="G3429" s="3">
        <v>12340</v>
      </c>
      <c r="H3429" s="7" t="str">
        <f>HYPERLINK("http://www.ensembl.org/Mus_musculus/Gene/Summary?db=core;g=ENSMUSG00000070372","ENSMUSG00000070372")</f>
        <v>ENSMUSG00000070372</v>
      </c>
      <c r="I3429" s="7" t="str">
        <f>HYPERLINK("http://www.informatics.jax.org/marker/MGI:106227","MGI:106227")</f>
        <v>MGI:106227</v>
      </c>
      <c r="J3429" s="4" t="s">
        <v>12</v>
      </c>
    </row>
    <row r="3430" spans="1:10" x14ac:dyDescent="0.25">
      <c r="A3430" s="2">
        <v>130.22570545292299</v>
      </c>
      <c r="B3430" s="3">
        <v>0.107293883295701</v>
      </c>
      <c r="C3430" s="3">
        <v>0.28455441032731899</v>
      </c>
      <c r="D3430" s="4">
        <v>0.45673394874957601</v>
      </c>
      <c r="E3430" s="3" t="s">
        <v>13617</v>
      </c>
      <c r="F3430" s="3" t="s">
        <v>13618</v>
      </c>
      <c r="G3430" s="3" t="s">
        <v>83</v>
      </c>
      <c r="H3430" s="7" t="str">
        <f>HYPERLINK("http://www.ensembl.org/Mus_musculus/Gene/Summary?db=core;g=ENSMUSG00000079297","ENSMUSG00000079297")</f>
        <v>ENSMUSG00000079297</v>
      </c>
      <c r="I3430" s="7" t="str">
        <f>HYPERLINK("http://www.informatics.jax.org/marker/MGI:3780393","MGI:3780393")</f>
        <v>MGI:3780393</v>
      </c>
      <c r="J3430" s="4" t="s">
        <v>1043</v>
      </c>
    </row>
    <row r="3431" spans="1:10" x14ac:dyDescent="0.25">
      <c r="A3431" s="2">
        <v>415.55272553495502</v>
      </c>
      <c r="B3431" s="3">
        <v>0.107133861366426</v>
      </c>
      <c r="C3431" s="3">
        <v>0.19863400627679401</v>
      </c>
      <c r="D3431" s="4">
        <v>0.349391145056485</v>
      </c>
      <c r="E3431" s="3" t="s">
        <v>10638</v>
      </c>
      <c r="F3431" s="3" t="s">
        <v>10639</v>
      </c>
      <c r="G3431" s="3">
        <v>67966</v>
      </c>
      <c r="H3431" s="7" t="str">
        <f>HYPERLINK("http://www.ensembl.org/Mus_musculus/Gene/Summary?db=core;g=ENSMUSG00000018239","ENSMUSG00000018239")</f>
        <v>ENSMUSG00000018239</v>
      </c>
      <c r="I3431" s="7" t="str">
        <f>HYPERLINK("http://www.informatics.jax.org/marker/MGI:1196228","MGI:1196228")</f>
        <v>MGI:1196228</v>
      </c>
      <c r="J3431" s="4" t="s">
        <v>12</v>
      </c>
    </row>
    <row r="3432" spans="1:10" x14ac:dyDescent="0.25">
      <c r="A3432" s="2">
        <v>500.85883353914897</v>
      </c>
      <c r="B3432" s="3">
        <v>0.107077816266464</v>
      </c>
      <c r="C3432" s="3">
        <v>5.6304864670446098E-2</v>
      </c>
      <c r="D3432" s="4">
        <v>0.12614089227029901</v>
      </c>
      <c r="E3432" s="3" t="s">
        <v>10766</v>
      </c>
      <c r="F3432" s="3" t="s">
        <v>10767</v>
      </c>
      <c r="G3432" s="3">
        <v>52856</v>
      </c>
      <c r="H3432" s="7" t="str">
        <f>HYPERLINK("http://www.ensembl.org/Mus_musculus/Gene/Summary?db=core;g=ENSMUSG00000039069","ENSMUSG00000039069")</f>
        <v>ENSMUSG00000039069</v>
      </c>
      <c r="I3432" s="7" t="str">
        <f>HYPERLINK("http://www.informatics.jax.org/marker/MGI:106565","MGI:106565")</f>
        <v>MGI:106565</v>
      </c>
      <c r="J3432" s="4" t="s">
        <v>12</v>
      </c>
    </row>
    <row r="3433" spans="1:10" x14ac:dyDescent="0.25">
      <c r="A3433" s="2">
        <v>4390.0338948176104</v>
      </c>
      <c r="B3433" s="3">
        <v>0.105964084681321</v>
      </c>
      <c r="C3433" s="3">
        <v>5.8261756473797404E-3</v>
      </c>
      <c r="D3433" s="4">
        <v>1.72429443282715E-2</v>
      </c>
      <c r="E3433" s="3" t="s">
        <v>12001</v>
      </c>
      <c r="F3433" s="3" t="s">
        <v>12002</v>
      </c>
      <c r="G3433" s="3">
        <v>20624</v>
      </c>
      <c r="H3433" s="7" t="str">
        <f>HYPERLINK("http://www.ensembl.org/Mus_musculus/Gene/Summary?db=core;g=ENSMUSG00000020929","ENSMUSG00000020929")</f>
        <v>ENSMUSG00000020929</v>
      </c>
      <c r="I3433" s="7" t="str">
        <f>HYPERLINK("http://www.informatics.jax.org/marker/MGI:1336880","MGI:1336880")</f>
        <v>MGI:1336880</v>
      </c>
      <c r="J3433" s="4" t="s">
        <v>12</v>
      </c>
    </row>
    <row r="3434" spans="1:10" x14ac:dyDescent="0.25">
      <c r="A3434" s="2">
        <v>967.26638106716405</v>
      </c>
      <c r="B3434" s="3">
        <v>0.105957736918219</v>
      </c>
      <c r="C3434" s="3">
        <v>0.23680067746178901</v>
      </c>
      <c r="D3434" s="4">
        <v>0.39871510963979101</v>
      </c>
      <c r="E3434" s="3" t="s">
        <v>13417</v>
      </c>
      <c r="F3434" s="3" t="s">
        <v>13418</v>
      </c>
      <c r="G3434" s="3">
        <v>24071</v>
      </c>
      <c r="H3434" s="7" t="str">
        <f>HYPERLINK("http://www.ensembl.org/Mus_musculus/Gene/Summary?db=core;g=ENSMUSG00000090935","ENSMUSG00000090935")</f>
        <v>ENSMUSG00000090935</v>
      </c>
      <c r="I3434" s="7" t="str">
        <f>HYPERLINK("http://www.informatics.jax.org/marker/MGI:1344347","MGI:1344347")</f>
        <v>MGI:1344347</v>
      </c>
      <c r="J3434" s="4" t="s">
        <v>12</v>
      </c>
    </row>
    <row r="3435" spans="1:10" x14ac:dyDescent="0.25">
      <c r="A3435" s="2">
        <v>1927.1527038804099</v>
      </c>
      <c r="B3435" s="3">
        <v>0.10577504456538001</v>
      </c>
      <c r="C3435" s="3">
        <v>1.16624071796142E-2</v>
      </c>
      <c r="D3435" s="4">
        <v>3.2165159026705498E-2</v>
      </c>
      <c r="E3435" s="3" t="s">
        <v>10252</v>
      </c>
      <c r="F3435" s="3" t="s">
        <v>10253</v>
      </c>
      <c r="G3435" s="3">
        <v>56420</v>
      </c>
      <c r="H3435" s="7" t="str">
        <f>HYPERLINK("http://www.ensembl.org/Mus_musculus/Gene/Summary?db=core;g=ENSMUSG00000030697","ENSMUSG00000030697")</f>
        <v>ENSMUSG00000030697</v>
      </c>
      <c r="I3435" s="7" t="str">
        <f>HYPERLINK("http://www.informatics.jax.org/marker/MGI:1891763","MGI:1891763")</f>
        <v>MGI:1891763</v>
      </c>
      <c r="J3435" s="4" t="s">
        <v>12</v>
      </c>
    </row>
    <row r="3436" spans="1:10" x14ac:dyDescent="0.25">
      <c r="A3436" s="2">
        <v>1264.92237477051</v>
      </c>
      <c r="B3436" s="3">
        <v>0.105770698389686</v>
      </c>
      <c r="C3436" s="3">
        <v>0.18402271694210601</v>
      </c>
      <c r="D3436" s="4">
        <v>0.32992989873317902</v>
      </c>
      <c r="E3436" s="3" t="s">
        <v>12969</v>
      </c>
      <c r="F3436" s="3" t="s">
        <v>12970</v>
      </c>
      <c r="G3436" s="3">
        <v>668661</v>
      </c>
      <c r="H3436" s="7" t="str">
        <f>HYPERLINK("http://www.ensembl.org/Mus_musculus/Gene/Summary?db=core;g=ENSMUSG00000045411","ENSMUSG00000045411")</f>
        <v>ENSMUSG00000045411</v>
      </c>
      <c r="I3436" s="7" t="str">
        <f>HYPERLINK("http://www.informatics.jax.org/marker/MGI:1914226","MGI:1914226")</f>
        <v>MGI:1914226</v>
      </c>
      <c r="J3436" s="4" t="s">
        <v>12</v>
      </c>
    </row>
    <row r="3437" spans="1:10" x14ac:dyDescent="0.25">
      <c r="A3437" s="2">
        <v>1551.3869392485201</v>
      </c>
      <c r="B3437" s="3">
        <v>0.105408464904412</v>
      </c>
      <c r="C3437" s="3">
        <v>0.14220991248734399</v>
      </c>
      <c r="D3437" s="4">
        <v>0.27062500314105098</v>
      </c>
      <c r="E3437" s="3" t="s">
        <v>13585</v>
      </c>
      <c r="F3437" s="3" t="s">
        <v>13586</v>
      </c>
      <c r="G3437" s="3">
        <v>20639</v>
      </c>
      <c r="H3437" s="7" t="str">
        <f>HYPERLINK("http://www.ensembl.org/Mus_musculus/Gene/Summary?db=core;g=ENSMUSG00000008333","ENSMUSG00000008333")</f>
        <v>ENSMUSG00000008333</v>
      </c>
      <c r="I3437" s="7" t="str">
        <f>HYPERLINK("http://www.informatics.jax.org/marker/MGI:104805","MGI:104805")</f>
        <v>MGI:104805</v>
      </c>
      <c r="J3437" s="4" t="s">
        <v>12</v>
      </c>
    </row>
    <row r="3438" spans="1:10" x14ac:dyDescent="0.25">
      <c r="A3438" s="2">
        <v>246.640124021866</v>
      </c>
      <c r="B3438" s="3">
        <v>0.105339738702486</v>
      </c>
      <c r="C3438" s="3">
        <v>0.200282035006288</v>
      </c>
      <c r="D3438" s="4">
        <v>0.35141427630591998</v>
      </c>
      <c r="E3438" s="3" t="s">
        <v>12837</v>
      </c>
      <c r="F3438" s="3" t="s">
        <v>12838</v>
      </c>
      <c r="G3438" s="3">
        <v>12328</v>
      </c>
      <c r="H3438" s="7" t="str">
        <f>HYPERLINK("http://www.ensembl.org/Mus_musculus/Gene/Summary?db=core;g=ENSMUSG00000021501","ENSMUSG00000021501")</f>
        <v>ENSMUSG00000021501</v>
      </c>
      <c r="I3438" s="7" t="str">
        <f>HYPERLINK("http://www.informatics.jax.org/marker/MGI:104728","MGI:104728")</f>
        <v>MGI:104728</v>
      </c>
      <c r="J3438" s="4" t="s">
        <v>12</v>
      </c>
    </row>
    <row r="3439" spans="1:10" x14ac:dyDescent="0.25">
      <c r="A3439" s="2">
        <v>1485.5253376682399</v>
      </c>
      <c r="B3439" s="3">
        <v>0.10531704127633</v>
      </c>
      <c r="C3439" s="3">
        <v>7.4645698228447105E-2</v>
      </c>
      <c r="D3439" s="4">
        <v>0.15969219981376301</v>
      </c>
      <c r="E3439" s="3" t="s">
        <v>11881</v>
      </c>
      <c r="F3439" s="3" t="s">
        <v>11882</v>
      </c>
      <c r="G3439" s="3">
        <v>266781</v>
      </c>
      <c r="H3439" s="7" t="str">
        <f>HYPERLINK("http://www.ensembl.org/Mus_musculus/Gene/Summary?db=core;g=ENSMUSG00000029146","ENSMUSG00000029146")</f>
        <v>ENSMUSG00000029146</v>
      </c>
      <c r="I3439" s="7" t="str">
        <f>HYPERLINK("http://www.informatics.jax.org/marker/MGI:2387801","MGI:2387801")</f>
        <v>MGI:2387801</v>
      </c>
      <c r="J3439" s="4" t="s">
        <v>12</v>
      </c>
    </row>
    <row r="3440" spans="1:10" x14ac:dyDescent="0.25">
      <c r="A3440" s="2">
        <v>216.63344368418399</v>
      </c>
      <c r="B3440" s="3">
        <v>0.104932414701395</v>
      </c>
      <c r="C3440" s="3">
        <v>0.350293503250444</v>
      </c>
      <c r="D3440" s="4">
        <v>0.52827838306999897</v>
      </c>
      <c r="E3440" s="3" t="s">
        <v>9739</v>
      </c>
      <c r="F3440" s="3" t="s">
        <v>9740</v>
      </c>
      <c r="G3440" s="3">
        <v>93692</v>
      </c>
      <c r="H3440" s="7" t="str">
        <f>HYPERLINK("http://www.ensembl.org/Mus_musculus/Gene/Summary?db=core;g=ENSMUSG00000021591","ENSMUSG00000021591")</f>
        <v>ENSMUSG00000021591</v>
      </c>
      <c r="I3440" s="7" t="str">
        <f>HYPERLINK("http://www.informatics.jax.org/marker/MGI:2135625","MGI:2135625")</f>
        <v>MGI:2135625</v>
      </c>
      <c r="J3440" s="4" t="s">
        <v>12</v>
      </c>
    </row>
    <row r="3441" spans="1:10" x14ac:dyDescent="0.25">
      <c r="A3441" s="2">
        <v>2044.7171350567201</v>
      </c>
      <c r="B3441" s="3">
        <v>0.104793575700173</v>
      </c>
      <c r="C3441" s="3">
        <v>3.7091361701151501E-2</v>
      </c>
      <c r="D3441" s="4">
        <v>8.8503543729181303E-2</v>
      </c>
      <c r="E3441" s="3" t="s">
        <v>11859</v>
      </c>
      <c r="F3441" s="3" t="s">
        <v>11860</v>
      </c>
      <c r="G3441" s="3">
        <v>66676</v>
      </c>
      <c r="H3441" s="7" t="str">
        <f>HYPERLINK("http://www.ensembl.org/Mus_musculus/Gene/Summary?db=core;g=ENSMUSG00000033184","ENSMUSG00000033184")</f>
        <v>ENSMUSG00000033184</v>
      </c>
      <c r="I3441" s="7" t="str">
        <f>HYPERLINK("http://www.informatics.jax.org/marker/MGI:1913926","MGI:1913926")</f>
        <v>MGI:1913926</v>
      </c>
      <c r="J3441" s="4" t="s">
        <v>12</v>
      </c>
    </row>
    <row r="3442" spans="1:10" x14ac:dyDescent="0.25">
      <c r="A3442" s="2">
        <v>6811.4072469694402</v>
      </c>
      <c r="B3442" s="3">
        <v>0.104213646569703</v>
      </c>
      <c r="C3442" s="3">
        <v>1.6501930714721901E-2</v>
      </c>
      <c r="D3442" s="4">
        <v>4.3700622969457398E-2</v>
      </c>
      <c r="E3442" s="3" t="s">
        <v>10372</v>
      </c>
      <c r="F3442" s="3" t="s">
        <v>10373</v>
      </c>
      <c r="G3442" s="3">
        <v>58810</v>
      </c>
      <c r="H3442" s="7" t="str">
        <f>HYPERLINK("http://www.ensembl.org/Mus_musculus/Gene/Summary?db=core;g=ENSMUSG00000028692","ENSMUSG00000028692")</f>
        <v>ENSMUSG00000028692</v>
      </c>
      <c r="I3442" s="7" t="str">
        <f>HYPERLINK("http://www.informatics.jax.org/marker/MGI:1929955","MGI:1929955")</f>
        <v>MGI:1929955</v>
      </c>
      <c r="J3442" s="4" t="s">
        <v>12</v>
      </c>
    </row>
    <row r="3443" spans="1:10" x14ac:dyDescent="0.25">
      <c r="A3443" s="2">
        <v>2318.0026613831501</v>
      </c>
      <c r="B3443" s="3">
        <v>0.104128912248643</v>
      </c>
      <c r="C3443" s="3">
        <v>3.3108497173543597E-2</v>
      </c>
      <c r="D3443" s="4">
        <v>8.0207677919424694E-2</v>
      </c>
      <c r="E3443" s="3" t="s">
        <v>11401</v>
      </c>
      <c r="F3443" s="3" t="s">
        <v>11402</v>
      </c>
      <c r="G3443" s="3">
        <v>23837</v>
      </c>
      <c r="H3443" s="7" t="str">
        <f>HYPERLINK("http://www.ensembl.org/Mus_musculus/Gene/Summary?db=core;g=ENSMUSG00000031954","ENSMUSG00000031954")</f>
        <v>ENSMUSG00000031954</v>
      </c>
      <c r="I3443" s="7" t="str">
        <f>HYPERLINK("http://www.informatics.jax.org/marker/MGI:1344403","MGI:1344403")</f>
        <v>MGI:1344403</v>
      </c>
      <c r="J3443" s="4" t="s">
        <v>12</v>
      </c>
    </row>
    <row r="3444" spans="1:10" x14ac:dyDescent="0.25">
      <c r="A3444" s="2">
        <v>871.11387839536098</v>
      </c>
      <c r="B3444" s="3">
        <v>0.10395990886317399</v>
      </c>
      <c r="C3444" s="3">
        <v>7.4627781344269797E-2</v>
      </c>
      <c r="D3444" s="4">
        <v>0.15967261270243199</v>
      </c>
      <c r="E3444" s="3" t="s">
        <v>11649</v>
      </c>
      <c r="F3444" s="3" t="s">
        <v>11650</v>
      </c>
      <c r="G3444" s="3">
        <v>68942</v>
      </c>
      <c r="H3444" s="7" t="str">
        <f>HYPERLINK("http://www.ensembl.org/Mus_musculus/Gene/Summary?db=core;g=ENSMUSG00000004843","ENSMUSG00000004843")</f>
        <v>ENSMUSG00000004843</v>
      </c>
      <c r="I3444" s="7" t="str">
        <f>HYPERLINK("http://www.informatics.jax.org/marker/MGI:1916192","MGI:1916192")</f>
        <v>MGI:1916192</v>
      </c>
      <c r="J3444" s="4" t="s">
        <v>12</v>
      </c>
    </row>
    <row r="3445" spans="1:10" x14ac:dyDescent="0.25">
      <c r="A3445" s="2">
        <v>628.05131077688304</v>
      </c>
      <c r="B3445" s="3">
        <v>0.102887304132351</v>
      </c>
      <c r="C3445" s="3">
        <v>0.13880844942714701</v>
      </c>
      <c r="D3445" s="4">
        <v>0.26552734955708202</v>
      </c>
      <c r="E3445" s="3" t="s">
        <v>6655</v>
      </c>
      <c r="F3445" s="3" t="s">
        <v>6656</v>
      </c>
      <c r="G3445" s="3">
        <v>12572</v>
      </c>
      <c r="H3445" s="7" t="str">
        <f>HYPERLINK("http://www.ensembl.org/Mus_musculus/Gene/Summary?db=core;g=ENSMUSG00000069089","ENSMUSG00000069089")</f>
        <v>ENSMUSG00000069089</v>
      </c>
      <c r="I3445" s="7" t="str">
        <f>HYPERLINK("http://www.informatics.jax.org/marker/MGI:102956","MGI:102956")</f>
        <v>MGI:102956</v>
      </c>
      <c r="J3445" s="4" t="s">
        <v>12</v>
      </c>
    </row>
    <row r="3446" spans="1:10" x14ac:dyDescent="0.25">
      <c r="A3446" s="2">
        <v>1218.3080562350101</v>
      </c>
      <c r="B3446" s="3">
        <v>0.102372872541556</v>
      </c>
      <c r="C3446" s="3">
        <v>7.1144345008331902E-2</v>
      </c>
      <c r="D3446" s="4">
        <v>0.15326308366156599</v>
      </c>
      <c r="E3446" s="3" t="s">
        <v>13241</v>
      </c>
      <c r="F3446" s="3" t="s">
        <v>13242</v>
      </c>
      <c r="G3446" s="3">
        <v>22687</v>
      </c>
      <c r="H3446" s="7" t="str">
        <f>HYPERLINK("http://www.ensembl.org/Mus_musculus/Gene/Summary?db=core;g=ENSMUSG00000032078","ENSMUSG00000032078")</f>
        <v>ENSMUSG00000032078</v>
      </c>
      <c r="I3446" s="7" t="str">
        <f>HYPERLINK("http://www.informatics.jax.org/marker/MGI:1330262","MGI:1330262")</f>
        <v>MGI:1330262</v>
      </c>
      <c r="J3446" s="4" t="s">
        <v>12</v>
      </c>
    </row>
    <row r="3447" spans="1:10" x14ac:dyDescent="0.25">
      <c r="A3447" s="2">
        <v>728.54940145231899</v>
      </c>
      <c r="B3447" s="3">
        <v>0.102009053368865</v>
      </c>
      <c r="C3447" s="3">
        <v>0.22853767269108799</v>
      </c>
      <c r="D3447" s="4">
        <v>0.38813962595495799</v>
      </c>
      <c r="E3447" s="3" t="s">
        <v>11273</v>
      </c>
      <c r="F3447" s="3" t="s">
        <v>11274</v>
      </c>
      <c r="G3447" s="3" t="s">
        <v>83</v>
      </c>
      <c r="H3447" s="7" t="str">
        <f>HYPERLINK("http://www.ensembl.org/Mus_musculus/Gene/Summary?db=core;g=ENSMUSG00000108414","ENSMUSG00000108414")</f>
        <v>ENSMUSG00000108414</v>
      </c>
      <c r="I3447" s="7" t="str">
        <f>HYPERLINK("http://www.informatics.jax.org/marker/MGI:3763743","MGI:3763743")</f>
        <v>MGI:3763743</v>
      </c>
      <c r="J3447" s="4" t="s">
        <v>331</v>
      </c>
    </row>
    <row r="3448" spans="1:10" x14ac:dyDescent="0.25">
      <c r="A3448" s="2">
        <v>5630.2712295412703</v>
      </c>
      <c r="B3448" s="3">
        <v>0.10137120951579399</v>
      </c>
      <c r="C3448" s="3">
        <v>2.5268555375421199E-2</v>
      </c>
      <c r="D3448" s="4">
        <v>6.3345174926692005E-2</v>
      </c>
      <c r="E3448" s="3" t="s">
        <v>11815</v>
      </c>
      <c r="F3448" s="3" t="s">
        <v>11816</v>
      </c>
      <c r="G3448" s="3">
        <v>67996</v>
      </c>
      <c r="H3448" s="7" t="str">
        <f>HYPERLINK("http://www.ensembl.org/Mus_musculus/Gene/Summary?db=core;g=ENSMUSG00000016921","ENSMUSG00000016921")</f>
        <v>ENSMUSG00000016921</v>
      </c>
      <c r="I3448" s="7" t="str">
        <f>HYPERLINK("http://www.informatics.jax.org/marker/MGI:1915246","MGI:1915246")</f>
        <v>MGI:1915246</v>
      </c>
      <c r="J3448" s="4" t="s">
        <v>12</v>
      </c>
    </row>
    <row r="3449" spans="1:10" x14ac:dyDescent="0.25">
      <c r="A3449" s="2">
        <v>10382.827104661999</v>
      </c>
      <c r="B3449" s="3">
        <v>0.101244603077229</v>
      </c>
      <c r="C3449" s="3">
        <v>1.4043045496545E-2</v>
      </c>
      <c r="D3449" s="4">
        <v>3.7904991732010097E-2</v>
      </c>
      <c r="E3449" s="3" t="s">
        <v>10454</v>
      </c>
      <c r="F3449" s="3" t="s">
        <v>10455</v>
      </c>
      <c r="G3449" s="3">
        <v>19205</v>
      </c>
      <c r="H3449" s="7" t="str">
        <f>HYPERLINK("http://www.ensembl.org/Mus_musculus/Gene/Summary?db=core;g=ENSMUSG00000006498","ENSMUSG00000006498")</f>
        <v>ENSMUSG00000006498</v>
      </c>
      <c r="I3449" s="7" t="str">
        <f>HYPERLINK("http://www.informatics.jax.org/marker/MGI:97791","MGI:97791")</f>
        <v>MGI:97791</v>
      </c>
      <c r="J3449" s="4" t="s">
        <v>12</v>
      </c>
    </row>
    <row r="3450" spans="1:10" x14ac:dyDescent="0.25">
      <c r="A3450" s="2">
        <v>1817.9996802671401</v>
      </c>
      <c r="B3450" s="3">
        <v>0.10081185477098301</v>
      </c>
      <c r="C3450" s="3">
        <v>2.7511653259267799E-2</v>
      </c>
      <c r="D3450" s="4">
        <v>6.8171295805595694E-2</v>
      </c>
      <c r="E3450" s="3" t="s">
        <v>13003</v>
      </c>
      <c r="F3450" s="3" t="s">
        <v>13004</v>
      </c>
      <c r="G3450" s="3">
        <v>229096</v>
      </c>
      <c r="H3450" s="7" t="str">
        <f>HYPERLINK("http://www.ensembl.org/Mus_musculus/Gene/Summary?db=core;g=ENSMUSG00000047213","ENSMUSG00000047213")</f>
        <v>ENSMUSG00000047213</v>
      </c>
      <c r="I3450" s="7" t="str">
        <f>HYPERLINK("http://www.informatics.jax.org/marker/MGI:1918850","MGI:1918850")</f>
        <v>MGI:1918850</v>
      </c>
      <c r="J3450" s="4" t="s">
        <v>12</v>
      </c>
    </row>
    <row r="3451" spans="1:10" x14ac:dyDescent="0.25">
      <c r="A3451" s="2">
        <v>1313.117363583</v>
      </c>
      <c r="B3451" s="3">
        <v>0.100557201484236</v>
      </c>
      <c r="C3451" s="3">
        <v>3.1933386272104701E-2</v>
      </c>
      <c r="D3451" s="4">
        <v>7.7722484616601001E-2</v>
      </c>
      <c r="E3451" s="3" t="s">
        <v>13459</v>
      </c>
      <c r="F3451" s="3" t="s">
        <v>13460</v>
      </c>
      <c r="G3451" s="3">
        <v>264064</v>
      </c>
      <c r="H3451" s="7" t="str">
        <f>HYPERLINK("http://www.ensembl.org/Mus_musculus/Gene/Summary?db=core;g=ENSMUSG00000029635","ENSMUSG00000029635")</f>
        <v>ENSMUSG00000029635</v>
      </c>
      <c r="I3451" s="7" t="str">
        <f>HYPERLINK("http://www.informatics.jax.org/marker/MGI:1196224","MGI:1196224")</f>
        <v>MGI:1196224</v>
      </c>
      <c r="J3451" s="4" t="s">
        <v>12</v>
      </c>
    </row>
    <row r="3452" spans="1:10" x14ac:dyDescent="0.25">
      <c r="A3452" s="2">
        <v>2354.2043556032299</v>
      </c>
      <c r="B3452" s="3">
        <v>9.9743094470021804E-2</v>
      </c>
      <c r="C3452" s="3">
        <v>0.12781406472856799</v>
      </c>
      <c r="D3452" s="4">
        <v>0.24833809484841801</v>
      </c>
      <c r="E3452" s="3" t="s">
        <v>13095</v>
      </c>
      <c r="F3452" s="3" t="s">
        <v>13096</v>
      </c>
      <c r="G3452" s="3">
        <v>50926</v>
      </c>
      <c r="H3452" s="7" t="str">
        <f>HYPERLINK("http://www.ensembl.org/Mus_musculus/Gene/Summary?db=core;g=ENSMUSG00000029328","ENSMUSG00000029328")</f>
        <v>ENSMUSG00000029328</v>
      </c>
      <c r="I3452" s="7" t="str">
        <f>HYPERLINK("http://www.informatics.jax.org/marker/MGI:1355299","MGI:1355299")</f>
        <v>MGI:1355299</v>
      </c>
      <c r="J3452" s="4" t="s">
        <v>12</v>
      </c>
    </row>
    <row r="3453" spans="1:10" x14ac:dyDescent="0.25">
      <c r="A3453" s="2">
        <v>240.09970226940399</v>
      </c>
      <c r="B3453" s="3">
        <v>9.9631820098831203E-2</v>
      </c>
      <c r="C3453" s="3">
        <v>0.21584175247863199</v>
      </c>
      <c r="D3453" s="4">
        <v>0.37208815161966202</v>
      </c>
      <c r="E3453" s="3" t="s">
        <v>10138</v>
      </c>
      <c r="F3453" s="3" t="s">
        <v>10139</v>
      </c>
      <c r="G3453" s="3" t="s">
        <v>83</v>
      </c>
      <c r="H3453" s="7" t="str">
        <f>HYPERLINK("http://www.ensembl.org/Mus_musculus/Gene/Summary?db=core;g=ENSMUSG00000085156","ENSMUSG00000085156")</f>
        <v>ENSMUSG00000085156</v>
      </c>
      <c r="I3453" s="7" t="str">
        <f>HYPERLINK("http://www.informatics.jax.org/marker/MGI:3650059","MGI:3650059")</f>
        <v>MGI:3650059</v>
      </c>
      <c r="J3453" s="4" t="s">
        <v>939</v>
      </c>
    </row>
    <row r="3454" spans="1:10" x14ac:dyDescent="0.25">
      <c r="A3454" s="2">
        <v>803.13362151051001</v>
      </c>
      <c r="B3454" s="3">
        <v>9.9623701199090295E-2</v>
      </c>
      <c r="C3454" s="3">
        <v>6.2901352540619904E-2</v>
      </c>
      <c r="D3454" s="4">
        <v>0.13835109221008901</v>
      </c>
      <c r="E3454" s="3" t="s">
        <v>11573</v>
      </c>
      <c r="F3454" s="3" t="s">
        <v>11574</v>
      </c>
      <c r="G3454" s="3">
        <v>226442</v>
      </c>
      <c r="H3454" s="7" t="str">
        <f>HYPERLINK("http://www.ensembl.org/Mus_musculus/Gene/Summary?db=core;g=ENSMUSG00000041483","ENSMUSG00000041483")</f>
        <v>ENSMUSG00000041483</v>
      </c>
      <c r="I3454" s="7" t="str">
        <f>HYPERLINK("http://www.informatics.jax.org/marker/MGI:3029290","MGI:3029290")</f>
        <v>MGI:3029290</v>
      </c>
      <c r="J3454" s="4" t="s">
        <v>12</v>
      </c>
    </row>
    <row r="3455" spans="1:10" x14ac:dyDescent="0.25">
      <c r="A3455" s="2">
        <v>1043.0339332037599</v>
      </c>
      <c r="B3455" s="3">
        <v>9.93929729363731E-2</v>
      </c>
      <c r="C3455" s="3">
        <v>4.83313315036192E-2</v>
      </c>
      <c r="D3455" s="4">
        <v>0.111062730633395</v>
      </c>
      <c r="E3455" s="3" t="s">
        <v>10684</v>
      </c>
      <c r="F3455" s="3" t="s">
        <v>10685</v>
      </c>
      <c r="G3455" s="3">
        <v>216873</v>
      </c>
      <c r="H3455" s="7" t="str">
        <f>HYPERLINK("http://www.ensembl.org/Mus_musculus/Gene/Summary?db=core;g=ENSMUSG00000018287","ENSMUSG00000018287")</f>
        <v>ENSMUSG00000018287</v>
      </c>
      <c r="I3455" s="7" t="str">
        <f>HYPERLINK("http://www.informatics.jax.org/marker/MGI:107380","MGI:107380")</f>
        <v>MGI:107380</v>
      </c>
      <c r="J3455" s="4" t="s">
        <v>12</v>
      </c>
    </row>
    <row r="3456" spans="1:10" x14ac:dyDescent="0.25">
      <c r="A3456" s="2">
        <v>1024.08891749548</v>
      </c>
      <c r="B3456" s="3">
        <v>9.9241973449357201E-2</v>
      </c>
      <c r="C3456" s="3">
        <v>3.4465866618831199E-2</v>
      </c>
      <c r="D3456" s="4">
        <v>8.2966638373820997E-2</v>
      </c>
      <c r="E3456" s="3" t="s">
        <v>10056</v>
      </c>
      <c r="F3456" s="3" t="s">
        <v>10057</v>
      </c>
      <c r="G3456" s="3">
        <v>68832</v>
      </c>
      <c r="H3456" s="7" t="str">
        <f>HYPERLINK("http://www.ensembl.org/Mus_musculus/Gene/Summary?db=core;g=ENSMUSG00000037669","ENSMUSG00000037669")</f>
        <v>ENSMUSG00000037669</v>
      </c>
      <c r="I3456" s="7" t="str">
        <f>HYPERLINK("http://www.informatics.jax.org/marker/MGI:1916082","MGI:1916082")</f>
        <v>MGI:1916082</v>
      </c>
      <c r="J3456" s="4" t="s">
        <v>12</v>
      </c>
    </row>
    <row r="3457" spans="1:10" x14ac:dyDescent="0.25">
      <c r="A3457" s="2">
        <v>2001.2821130686</v>
      </c>
      <c r="B3457" s="3">
        <v>9.9220888735944202E-2</v>
      </c>
      <c r="C3457" s="3">
        <v>0.128746974579622</v>
      </c>
      <c r="D3457" s="4">
        <v>0.249804493954392</v>
      </c>
      <c r="E3457" s="3" t="s">
        <v>11225</v>
      </c>
      <c r="F3457" s="3" t="s">
        <v>11226</v>
      </c>
      <c r="G3457" s="3">
        <v>78618</v>
      </c>
      <c r="H3457" s="7" t="str">
        <f>HYPERLINK("http://www.ensembl.org/Mus_musculus/Gene/Summary?db=core;g=ENSMUSG00000049076","ENSMUSG00000049076")</f>
        <v>ENSMUSG00000049076</v>
      </c>
      <c r="I3457" s="7" t="str">
        <f>HYPERLINK("http://www.informatics.jax.org/marker/MGI:1925868","MGI:1925868")</f>
        <v>MGI:1925868</v>
      </c>
      <c r="J3457" s="4" t="s">
        <v>12</v>
      </c>
    </row>
    <row r="3458" spans="1:10" x14ac:dyDescent="0.25">
      <c r="A3458" s="2">
        <v>231.307394454632</v>
      </c>
      <c r="B3458" s="3">
        <v>9.8965930869813395E-2</v>
      </c>
      <c r="C3458" s="3">
        <v>0.26178435719198101</v>
      </c>
      <c r="D3458" s="4">
        <v>0.429202942589407</v>
      </c>
      <c r="E3458" s="3" t="s">
        <v>9427</v>
      </c>
      <c r="F3458" s="3" t="s">
        <v>9428</v>
      </c>
      <c r="G3458" s="3">
        <v>51813</v>
      </c>
      <c r="H3458" s="7" t="str">
        <f>HYPERLINK("http://www.ensembl.org/Mus_musculus/Gene/Summary?db=core;g=ENSMUSG00000028252","ENSMUSG00000028252")</f>
        <v>ENSMUSG00000028252</v>
      </c>
      <c r="I3458" s="7" t="str">
        <f>HYPERLINK("http://www.informatics.jax.org/marker/MGI:1858199","MGI:1858199")</f>
        <v>MGI:1858199</v>
      </c>
      <c r="J3458" s="4" t="s">
        <v>12</v>
      </c>
    </row>
    <row r="3459" spans="1:10" x14ac:dyDescent="0.25">
      <c r="A3459" s="2">
        <v>3305.7300210876101</v>
      </c>
      <c r="B3459" s="3">
        <v>9.8165496674297595E-2</v>
      </c>
      <c r="C3459" s="3">
        <v>1.0176214903666299E-2</v>
      </c>
      <c r="D3459" s="4">
        <v>2.8462479530282199E-2</v>
      </c>
      <c r="E3459" s="3" t="s">
        <v>8423</v>
      </c>
      <c r="F3459" s="3" t="s">
        <v>8424</v>
      </c>
      <c r="G3459" s="3">
        <v>11848</v>
      </c>
      <c r="H3459" s="7" t="str">
        <f>HYPERLINK("http://www.ensembl.org/Mus_musculus/Gene/Summary?db=core;g=ENSMUSG00000007815","ENSMUSG00000007815")</f>
        <v>ENSMUSG00000007815</v>
      </c>
      <c r="I3459" s="7" t="str">
        <f>HYPERLINK("http://www.informatics.jax.org/marker/MGI:1096342","MGI:1096342")</f>
        <v>MGI:1096342</v>
      </c>
      <c r="J3459" s="4" t="s">
        <v>12</v>
      </c>
    </row>
    <row r="3460" spans="1:10" x14ac:dyDescent="0.25">
      <c r="A3460" s="2">
        <v>1042.6270030084099</v>
      </c>
      <c r="B3460" s="3">
        <v>9.8128687673411999E-2</v>
      </c>
      <c r="C3460" s="3">
        <v>0.14966559933716</v>
      </c>
      <c r="D3460" s="4">
        <v>0.28123059572324399</v>
      </c>
      <c r="E3460" s="3" t="s">
        <v>11925</v>
      </c>
      <c r="F3460" s="3" t="s">
        <v>11926</v>
      </c>
      <c r="G3460" s="3">
        <v>75965</v>
      </c>
      <c r="H3460" s="7" t="str">
        <f>HYPERLINK("http://www.ensembl.org/Mus_musculus/Gene/Summary?db=core;g=ENSMUSG00000021969","ENSMUSG00000021969")</f>
        <v>ENSMUSG00000021969</v>
      </c>
      <c r="I3460" s="7" t="str">
        <f>HYPERLINK("http://www.informatics.jax.org/marker/MGI:1923215","MGI:1923215")</f>
        <v>MGI:1923215</v>
      </c>
      <c r="J3460" s="4" t="s">
        <v>12</v>
      </c>
    </row>
    <row r="3461" spans="1:10" x14ac:dyDescent="0.25">
      <c r="A3461" s="2">
        <v>164.13466671785</v>
      </c>
      <c r="B3461" s="3">
        <v>9.7922853409016006E-2</v>
      </c>
      <c r="C3461" s="3">
        <v>0.29112872279430302</v>
      </c>
      <c r="D3461" s="4">
        <v>0.46432317956823099</v>
      </c>
      <c r="E3461" s="3" t="s">
        <v>10820</v>
      </c>
      <c r="F3461" s="3" t="s">
        <v>10821</v>
      </c>
      <c r="G3461" s="3">
        <v>52712</v>
      </c>
      <c r="H3461" s="7" t="str">
        <f>HYPERLINK("http://www.ensembl.org/Mus_musculus/Gene/Summary?db=core;g=ENSMUSG00000018347","ENSMUSG00000018347")</f>
        <v>ENSMUSG00000018347</v>
      </c>
      <c r="I3461" s="7" t="str">
        <f>HYPERLINK("http://www.informatics.jax.org/marker/MGI:1289293","MGI:1289293")</f>
        <v>MGI:1289293</v>
      </c>
      <c r="J3461" s="4" t="s">
        <v>12</v>
      </c>
    </row>
    <row r="3462" spans="1:10" x14ac:dyDescent="0.25">
      <c r="A3462" s="2">
        <v>6840.3847136697595</v>
      </c>
      <c r="B3462" s="3">
        <v>9.6726544208000698E-2</v>
      </c>
      <c r="C3462" s="3">
        <v>4.8309822703588899E-3</v>
      </c>
      <c r="D3462" s="4">
        <v>1.45648721054244E-2</v>
      </c>
      <c r="E3462" s="3" t="s">
        <v>12579</v>
      </c>
      <c r="F3462" s="3" t="s">
        <v>12580</v>
      </c>
      <c r="G3462" s="3">
        <v>12261</v>
      </c>
      <c r="H3462" s="7" t="str">
        <f>HYPERLINK("http://www.ensembl.org/Mus_musculus/Gene/Summary?db=core;g=ENSMUSG00000018446","ENSMUSG00000018446")</f>
        <v>ENSMUSG00000018446</v>
      </c>
      <c r="I3462" s="7" t="str">
        <f>HYPERLINK("http://www.informatics.jax.org/marker/MGI:1194505","MGI:1194505")</f>
        <v>MGI:1194505</v>
      </c>
      <c r="J3462" s="4" t="s">
        <v>12</v>
      </c>
    </row>
    <row r="3463" spans="1:10" x14ac:dyDescent="0.25">
      <c r="A3463" s="2">
        <v>644.90237245337096</v>
      </c>
      <c r="B3463" s="3">
        <v>9.6036548396454799E-2</v>
      </c>
      <c r="C3463" s="3">
        <v>0.17272818723605499</v>
      </c>
      <c r="D3463" s="4">
        <v>0.31407474931428803</v>
      </c>
      <c r="E3463" s="3" t="s">
        <v>8913</v>
      </c>
      <c r="F3463" s="3" t="s">
        <v>8914</v>
      </c>
      <c r="G3463" s="3">
        <v>98685</v>
      </c>
      <c r="H3463" s="7" t="str">
        <f>HYPERLINK("http://www.ensembl.org/Mus_musculus/Gene/Summary?db=core;g=ENSMUSG00000053286","ENSMUSG00000053286")</f>
        <v>ENSMUSG00000053286</v>
      </c>
      <c r="I3463" s="7" t="str">
        <f>HYPERLINK("http://www.informatics.jax.org/marker/MGI:1916185","MGI:1916185")</f>
        <v>MGI:1916185</v>
      </c>
      <c r="J3463" s="4" t="s">
        <v>12</v>
      </c>
    </row>
    <row r="3464" spans="1:10" x14ac:dyDescent="0.25">
      <c r="A3464" s="2">
        <v>73.447902029012198</v>
      </c>
      <c r="B3464" s="3">
        <v>9.5897585769196395E-2</v>
      </c>
      <c r="C3464" s="3">
        <v>0.52471347197835005</v>
      </c>
      <c r="D3464" s="4">
        <v>0.69332586199305202</v>
      </c>
      <c r="E3464" s="3" t="s">
        <v>13391</v>
      </c>
      <c r="F3464" s="3" t="s">
        <v>13392</v>
      </c>
      <c r="G3464" s="3" t="s">
        <v>83</v>
      </c>
      <c r="H3464" s="7" t="str">
        <f>HYPERLINK("http://www.ensembl.org/Mus_musculus/Gene/Summary?db=core;g=ENSMUSG00000095134","ENSMUSG00000095134")</f>
        <v>ENSMUSG00000095134</v>
      </c>
      <c r="I3464" s="7" t="str">
        <f>HYPERLINK("http://www.informatics.jax.org/marker/MGI:5780070","MGI:5780070")</f>
        <v>MGI:5780070</v>
      </c>
      <c r="J3464" s="4" t="s">
        <v>2683</v>
      </c>
    </row>
    <row r="3465" spans="1:10" x14ac:dyDescent="0.25">
      <c r="A3465" s="2">
        <v>2229.9275547481998</v>
      </c>
      <c r="B3465" s="3">
        <v>9.5890125659165201E-2</v>
      </c>
      <c r="C3465" s="3">
        <v>3.4384783486351198E-2</v>
      </c>
      <c r="D3465" s="4">
        <v>8.2782388248183694E-2</v>
      </c>
      <c r="E3465" s="3" t="s">
        <v>12463</v>
      </c>
      <c r="F3465" s="3" t="s">
        <v>12464</v>
      </c>
      <c r="G3465" s="3">
        <v>22192</v>
      </c>
      <c r="H3465" s="7" t="str">
        <f>HYPERLINK("http://www.ensembl.org/Mus_musculus/Gene/Summary?db=core;g=ENSMUSG00000005575","ENSMUSG00000005575")</f>
        <v>ENSMUSG00000005575</v>
      </c>
      <c r="I3465" s="7" t="str">
        <f>HYPERLINK("http://www.informatics.jax.org/marker/MGI:108278","MGI:108278")</f>
        <v>MGI:108278</v>
      </c>
      <c r="J3465" s="4" t="s">
        <v>12</v>
      </c>
    </row>
    <row r="3466" spans="1:10" x14ac:dyDescent="0.25">
      <c r="A3466" s="2">
        <v>569.95986789943299</v>
      </c>
      <c r="B3466" s="3">
        <v>9.5530224870332095E-2</v>
      </c>
      <c r="C3466" s="3">
        <v>0.202071565251185</v>
      </c>
      <c r="D3466" s="4">
        <v>0.35349916267065101</v>
      </c>
      <c r="E3466" s="3" t="s">
        <v>13651</v>
      </c>
      <c r="F3466" s="3" t="s">
        <v>13652</v>
      </c>
      <c r="G3466" s="3">
        <v>320661</v>
      </c>
      <c r="H3466" s="7" t="str">
        <f>HYPERLINK("http://www.ensembl.org/Mus_musculus/Gene/Summary?db=core;g=ENSMUSG00000029190","ENSMUSG00000029190")</f>
        <v>ENSMUSG00000029190</v>
      </c>
      <c r="I3466" s="7" t="str">
        <f>HYPERLINK("http://www.informatics.jax.org/marker/MGI:1261849","MGI:1261849")</f>
        <v>MGI:1261849</v>
      </c>
      <c r="J3466" s="4" t="s">
        <v>12</v>
      </c>
    </row>
    <row r="3467" spans="1:10" x14ac:dyDescent="0.25">
      <c r="A3467" s="2">
        <v>955.766943717564</v>
      </c>
      <c r="B3467" s="3">
        <v>9.5338398323684806E-2</v>
      </c>
      <c r="C3467" s="3">
        <v>5.9950664613492299E-2</v>
      </c>
      <c r="D3467" s="4">
        <v>0.132871319783643</v>
      </c>
      <c r="E3467" s="3" t="s">
        <v>12368</v>
      </c>
      <c r="F3467" s="3" t="s">
        <v>12369</v>
      </c>
      <c r="G3467" s="3">
        <v>53895</v>
      </c>
      <c r="H3467" s="7" t="str">
        <f>HYPERLINK("http://www.ensembl.org/Mus_musculus/Gene/Summary?db=core;g=ENSMUSG00000002660","ENSMUSG00000002660")</f>
        <v>ENSMUSG00000002660</v>
      </c>
      <c r="I3467" s="7" t="str">
        <f>HYPERLINK("http://www.informatics.jax.org/marker/MGI:1858213","MGI:1858213")</f>
        <v>MGI:1858213</v>
      </c>
      <c r="J3467" s="4" t="s">
        <v>12</v>
      </c>
    </row>
    <row r="3468" spans="1:10" x14ac:dyDescent="0.25">
      <c r="A3468" s="2">
        <v>634.90389427414902</v>
      </c>
      <c r="B3468" s="3">
        <v>9.4548002176478602E-2</v>
      </c>
      <c r="C3468" s="3">
        <v>0.142312329335888</v>
      </c>
      <c r="D3468" s="4">
        <v>0.27073509416978703</v>
      </c>
      <c r="E3468" s="3" t="s">
        <v>13304</v>
      </c>
      <c r="F3468" s="3" t="s">
        <v>13305</v>
      </c>
      <c r="G3468" s="3">
        <v>353242</v>
      </c>
      <c r="H3468" s="7" t="str">
        <f>HYPERLINK("http://www.ensembl.org/Mus_musculus/Gene/Summary?db=core;g=ENSMUSG00000024829","ENSMUSG00000024829")</f>
        <v>ENSMUSG00000024829</v>
      </c>
      <c r="I3468" s="7" t="str">
        <f>HYPERLINK("http://www.informatics.jax.org/marker/MGI:2660674","MGI:2660674")</f>
        <v>MGI:2660674</v>
      </c>
      <c r="J3468" s="4" t="s">
        <v>12</v>
      </c>
    </row>
    <row r="3469" spans="1:10" x14ac:dyDescent="0.25">
      <c r="A3469" s="2">
        <v>1207.2694277082301</v>
      </c>
      <c r="B3469" s="3">
        <v>9.4451024090784694E-2</v>
      </c>
      <c r="C3469" s="3">
        <v>3.8453317862932199E-2</v>
      </c>
      <c r="D3469" s="4">
        <v>9.1346678578198601E-2</v>
      </c>
      <c r="E3469" s="3" t="s">
        <v>8167</v>
      </c>
      <c r="F3469" s="3" t="s">
        <v>8168</v>
      </c>
      <c r="G3469" s="3">
        <v>66978</v>
      </c>
      <c r="H3469" s="7" t="str">
        <f>HYPERLINK("http://www.ensembl.org/Mus_musculus/Gene/Summary?db=core;g=ENSMUSG00000024188","ENSMUSG00000024188")</f>
        <v>ENSMUSG00000024188</v>
      </c>
      <c r="I3469" s="7" t="str">
        <f>HYPERLINK("http://www.informatics.jax.org/marker/MGI:1914228","MGI:1914228")</f>
        <v>MGI:1914228</v>
      </c>
      <c r="J3469" s="4" t="s">
        <v>12</v>
      </c>
    </row>
    <row r="3470" spans="1:10" x14ac:dyDescent="0.25">
      <c r="A3470" s="2">
        <v>2275.3577544661198</v>
      </c>
      <c r="B3470" s="3">
        <v>9.3691297592754894E-2</v>
      </c>
      <c r="C3470" s="3">
        <v>6.8679396558592204E-2</v>
      </c>
      <c r="D3470" s="4">
        <v>0.14899202503039399</v>
      </c>
      <c r="E3470" s="3" t="s">
        <v>11123</v>
      </c>
      <c r="F3470" s="3" t="s">
        <v>11124</v>
      </c>
      <c r="G3470" s="3">
        <v>269470</v>
      </c>
      <c r="H3470" s="7" t="str">
        <f>HYPERLINK("http://www.ensembl.org/Mus_musculus/Gene/Summary?db=core;g=ENSMUSG00000033285","ENSMUSG00000033285")</f>
        <v>ENSMUSG00000033285</v>
      </c>
      <c r="I3470" s="7" t="str">
        <f>HYPERLINK("http://www.informatics.jax.org/marker/MGI:2443143","MGI:2443143")</f>
        <v>MGI:2443143</v>
      </c>
      <c r="J3470" s="4" t="s">
        <v>12</v>
      </c>
    </row>
    <row r="3471" spans="1:10" x14ac:dyDescent="0.25">
      <c r="A3471" s="2">
        <v>1480.76055722313</v>
      </c>
      <c r="B3471" s="3">
        <v>9.3622149972490701E-2</v>
      </c>
      <c r="C3471" s="3">
        <v>0.148340082725362</v>
      </c>
      <c r="D3471" s="4">
        <v>0.27942935076534198</v>
      </c>
      <c r="E3471" s="3" t="s">
        <v>14007</v>
      </c>
      <c r="F3471" s="3" t="s">
        <v>14008</v>
      </c>
      <c r="G3471" s="3">
        <v>12537</v>
      </c>
      <c r="H3471" s="7" t="str">
        <f>HYPERLINK("http://www.ensembl.org/Mus_musculus/Gene/Summary?db=core;g=ENSMUSG00000029062","ENSMUSG00000029062")</f>
        <v>ENSMUSG00000029062</v>
      </c>
      <c r="I3471" s="7" t="str">
        <f>HYPERLINK("http://www.informatics.jax.org/marker/MGI:88353","MGI:88353")</f>
        <v>MGI:88353</v>
      </c>
      <c r="J3471" s="4" t="s">
        <v>12</v>
      </c>
    </row>
    <row r="3472" spans="1:10" x14ac:dyDescent="0.25">
      <c r="A3472" s="2">
        <v>1012.90189270349</v>
      </c>
      <c r="B3472" s="3">
        <v>9.3356252306954698E-2</v>
      </c>
      <c r="C3472" s="3">
        <v>5.1466286765745203E-2</v>
      </c>
      <c r="D3472" s="4">
        <v>0.11696883355851199</v>
      </c>
      <c r="E3472" s="3" t="s">
        <v>6665</v>
      </c>
      <c r="F3472" s="3" t="s">
        <v>6666</v>
      </c>
      <c r="G3472" s="3">
        <v>66165</v>
      </c>
      <c r="H3472" s="7" t="str">
        <f>HYPERLINK("http://www.ensembl.org/Mus_musculus/Gene/Summary?db=core;g=ENSMUSG00000030983","ENSMUSG00000030983")</f>
        <v>ENSMUSG00000030983</v>
      </c>
      <c r="I3472" s="7" t="str">
        <f>HYPERLINK("http://www.informatics.jax.org/marker/MGI:1913415","MGI:1913415")</f>
        <v>MGI:1913415</v>
      </c>
      <c r="J3472" s="4" t="s">
        <v>12</v>
      </c>
    </row>
    <row r="3473" spans="1:10" x14ac:dyDescent="0.25">
      <c r="A3473" s="2">
        <v>2192.3822148416598</v>
      </c>
      <c r="B3473" s="3">
        <v>9.3312126305261103E-2</v>
      </c>
      <c r="C3473" s="3">
        <v>0.14935303060259</v>
      </c>
      <c r="D3473" s="4">
        <v>0.28073944421735197</v>
      </c>
      <c r="E3473" s="3" t="s">
        <v>12231</v>
      </c>
      <c r="F3473" s="3" t="s">
        <v>12232</v>
      </c>
      <c r="G3473" s="3">
        <v>66537</v>
      </c>
      <c r="H3473" s="7" t="str">
        <f>HYPERLINK("http://www.ensembl.org/Mus_musculus/Gene/Summary?db=core;g=ENSMUSG00000029649","ENSMUSG00000029649")</f>
        <v>ENSMUSG00000029649</v>
      </c>
      <c r="I3473" s="7" t="str">
        <f>HYPERLINK("http://www.informatics.jax.org/marker/MGI:1913787","MGI:1913787")</f>
        <v>MGI:1913787</v>
      </c>
      <c r="J3473" s="4" t="s">
        <v>12</v>
      </c>
    </row>
    <row r="3474" spans="1:10" x14ac:dyDescent="0.25">
      <c r="A3474" s="2">
        <v>3171.1266665918802</v>
      </c>
      <c r="B3474" s="3">
        <v>9.24010860642899E-2</v>
      </c>
      <c r="C3474" s="3">
        <v>9.9974711120495802E-2</v>
      </c>
      <c r="D3474" s="4">
        <v>0.20351157267631401</v>
      </c>
      <c r="E3474" s="3" t="s">
        <v>10814</v>
      </c>
      <c r="F3474" s="3" t="s">
        <v>10815</v>
      </c>
      <c r="G3474" s="3">
        <v>66229</v>
      </c>
      <c r="H3474" s="7" t="str">
        <f>HYPERLINK("http://www.ensembl.org/Mus_musculus/Gene/Summary?db=core;g=ENSMUSG00000063888","ENSMUSG00000063888")</f>
        <v>ENSMUSG00000063888</v>
      </c>
      <c r="I3474" s="7" t="str">
        <f>HYPERLINK("http://www.informatics.jax.org/marker/MGI:1913479","MGI:1913479")</f>
        <v>MGI:1913479</v>
      </c>
      <c r="J3474" s="4" t="s">
        <v>12</v>
      </c>
    </row>
    <row r="3475" spans="1:10" x14ac:dyDescent="0.25">
      <c r="A3475" s="2">
        <v>932.51666988061095</v>
      </c>
      <c r="B3475" s="3">
        <v>9.1324845743234906E-2</v>
      </c>
      <c r="C3475" s="3">
        <v>0.13720723101851701</v>
      </c>
      <c r="D3475" s="4">
        <v>0.26302743087330099</v>
      </c>
      <c r="E3475" s="3" t="s">
        <v>13451</v>
      </c>
      <c r="F3475" s="3" t="s">
        <v>13452</v>
      </c>
      <c r="G3475" s="3">
        <v>66810</v>
      </c>
      <c r="H3475" s="7" t="str">
        <f>HYPERLINK("http://www.ensembl.org/Mus_musculus/Gene/Summary?db=core;g=ENSMUSG00000024604","ENSMUSG00000024604")</f>
        <v>ENSMUSG00000024604</v>
      </c>
      <c r="I3475" s="7" t="str">
        <f>HYPERLINK("http://www.informatics.jax.org/marker/MGI:1914060","MGI:1914060")</f>
        <v>MGI:1914060</v>
      </c>
      <c r="J3475" s="4" t="s">
        <v>12</v>
      </c>
    </row>
    <row r="3476" spans="1:10" x14ac:dyDescent="0.25">
      <c r="A3476" s="2">
        <v>691.72662880502401</v>
      </c>
      <c r="B3476" s="3">
        <v>9.02573932224187E-2</v>
      </c>
      <c r="C3476" s="3">
        <v>0.17135868499953</v>
      </c>
      <c r="D3476" s="4">
        <v>0.31236367614687199</v>
      </c>
      <c r="E3476" s="3" t="s">
        <v>12945</v>
      </c>
      <c r="F3476" s="3" t="s">
        <v>12946</v>
      </c>
      <c r="G3476" s="3">
        <v>20333</v>
      </c>
      <c r="H3476" s="7" t="str">
        <f>HYPERLINK("http://www.ensembl.org/Mus_musculus/Gene/Summary?db=core;g=ENSMUSG00000027879","ENSMUSG00000027879")</f>
        <v>ENSMUSG00000027879</v>
      </c>
      <c r="I3476" s="7" t="str">
        <f>HYPERLINK("http://www.informatics.jax.org/marker/MGI:1338759","MGI:1338759")</f>
        <v>MGI:1338759</v>
      </c>
      <c r="J3476" s="4" t="s">
        <v>12</v>
      </c>
    </row>
    <row r="3477" spans="1:10" x14ac:dyDescent="0.25">
      <c r="A3477" s="2">
        <v>1337.0646250606301</v>
      </c>
      <c r="B3477" s="3">
        <v>9.0141986266133498E-2</v>
      </c>
      <c r="C3477" s="3">
        <v>9.1351466101866299E-2</v>
      </c>
      <c r="D3477" s="4">
        <v>0.18895476900539199</v>
      </c>
      <c r="E3477" s="3" t="s">
        <v>8435</v>
      </c>
      <c r="F3477" s="3" t="s">
        <v>8436</v>
      </c>
      <c r="G3477" s="3">
        <v>57438</v>
      </c>
      <c r="H3477" s="7" t="str">
        <f>HYPERLINK("http://www.ensembl.org/Mus_musculus/Gene/Summary?db=core;g=ENSMUSG00000026977","ENSMUSG00000026977")</f>
        <v>ENSMUSG00000026977</v>
      </c>
      <c r="I3477" s="7" t="str">
        <f>HYPERLINK("http://www.informatics.jax.org/marker/MGI:1931053","MGI:1931053")</f>
        <v>MGI:1931053</v>
      </c>
      <c r="J3477" s="4" t="s">
        <v>12</v>
      </c>
    </row>
    <row r="3478" spans="1:10" x14ac:dyDescent="0.25">
      <c r="A3478" s="2">
        <v>1.2402733809214801</v>
      </c>
      <c r="B3478" s="3">
        <v>8.9907748362309706E-2</v>
      </c>
      <c r="C3478" s="3">
        <v>0.84192468577034296</v>
      </c>
      <c r="D3478" s="4">
        <v>0.91437205161578505</v>
      </c>
      <c r="E3478" s="3" t="s">
        <v>11943</v>
      </c>
      <c r="F3478" s="3" t="s">
        <v>11944</v>
      </c>
      <c r="G3478" s="3" t="s">
        <v>83</v>
      </c>
      <c r="H3478" s="7" t="str">
        <f>HYPERLINK("http://www.ensembl.org/Mus_musculus/Gene/Summary?db=core;g=ENSMUSG00000108207","ENSMUSG00000108207")</f>
        <v>ENSMUSG00000108207</v>
      </c>
      <c r="I3478" s="7" t="str">
        <f>HYPERLINK("http://www.informatics.jax.org/marker/MGI:1917070","MGI:1917070")</f>
        <v>MGI:1917070</v>
      </c>
      <c r="J3478" s="4" t="s">
        <v>331</v>
      </c>
    </row>
    <row r="3479" spans="1:10" x14ac:dyDescent="0.25">
      <c r="A3479" s="2">
        <v>8654.4258303452898</v>
      </c>
      <c r="B3479" s="3">
        <v>8.9632850451297E-2</v>
      </c>
      <c r="C3479" s="3">
        <v>3.7856915121674703E-2</v>
      </c>
      <c r="D3479" s="4">
        <v>9.0106083073334495E-2</v>
      </c>
      <c r="E3479" s="3" t="s">
        <v>13835</v>
      </c>
      <c r="F3479" s="3" t="s">
        <v>13836</v>
      </c>
      <c r="G3479" s="3">
        <v>227613</v>
      </c>
      <c r="H3479" s="7" t="str">
        <f>HYPERLINK("http://www.ensembl.org/Mus_musculus/Gene/Summary?db=core;g=ENSMUSG00000036752","ENSMUSG00000036752")</f>
        <v>ENSMUSG00000036752</v>
      </c>
      <c r="I3479" s="7" t="str">
        <f>HYPERLINK("http://www.informatics.jax.org/marker/MGI:1915472","MGI:1915472")</f>
        <v>MGI:1915472</v>
      </c>
      <c r="J3479" s="4" t="s">
        <v>12</v>
      </c>
    </row>
    <row r="3480" spans="1:10" x14ac:dyDescent="0.25">
      <c r="A3480" s="2">
        <v>670.627377202567</v>
      </c>
      <c r="B3480" s="3">
        <v>8.9530199588616605E-2</v>
      </c>
      <c r="C3480" s="3">
        <v>0.13736957900557001</v>
      </c>
      <c r="D3480" s="4">
        <v>0.26322790215293002</v>
      </c>
      <c r="E3480" s="3" t="s">
        <v>11765</v>
      </c>
      <c r="F3480" s="3" t="s">
        <v>11766</v>
      </c>
      <c r="G3480" s="3">
        <v>225160</v>
      </c>
      <c r="H3480" s="7" t="str">
        <f>HYPERLINK("http://www.ensembl.org/Mus_musculus/Gene/Summary?db=core;g=ENSMUSG00000024287","ENSMUSG00000024287")</f>
        <v>ENSMUSG00000024287</v>
      </c>
      <c r="I3480" s="7" t="str">
        <f>HYPERLINK("http://www.informatics.jax.org/marker/MGI:1919668","MGI:1919668")</f>
        <v>MGI:1919668</v>
      </c>
      <c r="J3480" s="4" t="s">
        <v>12</v>
      </c>
    </row>
    <row r="3481" spans="1:10" x14ac:dyDescent="0.25">
      <c r="A3481" s="2">
        <v>3733.0218896562501</v>
      </c>
      <c r="B3481" s="3">
        <v>8.9515818879588996E-2</v>
      </c>
      <c r="C3481" s="3">
        <v>6.8254751666178299E-3</v>
      </c>
      <c r="D3481" s="4">
        <v>1.9925402036138101E-2</v>
      </c>
      <c r="E3481" s="3" t="s">
        <v>8609</v>
      </c>
      <c r="F3481" s="3" t="s">
        <v>8610</v>
      </c>
      <c r="G3481" s="3">
        <v>11765</v>
      </c>
      <c r="H3481" s="7" t="str">
        <f>HYPERLINK("http://www.ensembl.org/Mus_musculus/Gene/Summary?db=core;g=ENSMUSG00000031731","ENSMUSG00000031731")</f>
        <v>ENSMUSG00000031731</v>
      </c>
      <c r="I3481" s="7" t="str">
        <f>HYPERLINK("http://www.informatics.jax.org/marker/MGI:101919","MGI:101919")</f>
        <v>MGI:101919</v>
      </c>
      <c r="J3481" s="4" t="s">
        <v>12</v>
      </c>
    </row>
    <row r="3482" spans="1:10" x14ac:dyDescent="0.25">
      <c r="A3482" s="2">
        <v>735.63764190252004</v>
      </c>
      <c r="B3482" s="3">
        <v>8.9440328880721204E-2</v>
      </c>
      <c r="C3482" s="3">
        <v>0.24976221613335201</v>
      </c>
      <c r="D3482" s="4">
        <v>0.414505851785677</v>
      </c>
      <c r="E3482" s="3" t="s">
        <v>12097</v>
      </c>
      <c r="F3482" s="3" t="s">
        <v>12098</v>
      </c>
      <c r="G3482" s="3">
        <v>230848</v>
      </c>
      <c r="H3482" s="7" t="str">
        <f>HYPERLINK("http://www.ensembl.org/Mus_musculus/Gene/Summary?db=core;g=ENSMUSG00000060862","ENSMUSG00000060862")</f>
        <v>ENSMUSG00000060862</v>
      </c>
      <c r="I3482" s="7" t="str">
        <f>HYPERLINK("http://www.informatics.jax.org/marker/MGI:2682254","MGI:2682254")</f>
        <v>MGI:2682254</v>
      </c>
      <c r="J3482" s="4" t="s">
        <v>12</v>
      </c>
    </row>
    <row r="3483" spans="1:10" x14ac:dyDescent="0.25">
      <c r="A3483" s="2">
        <v>4304.9698403401198</v>
      </c>
      <c r="B3483" s="3">
        <v>8.9194573781156902E-2</v>
      </c>
      <c r="C3483" s="3">
        <v>5.97307572196644E-2</v>
      </c>
      <c r="D3483" s="4">
        <v>0.13244835750436601</v>
      </c>
      <c r="E3483" s="3" t="s">
        <v>10854</v>
      </c>
      <c r="F3483" s="3" t="s">
        <v>10855</v>
      </c>
      <c r="G3483" s="3">
        <v>56194</v>
      </c>
      <c r="H3483" s="7" t="str">
        <f>HYPERLINK("http://www.ensembl.org/Mus_musculus/Gene/Summary?db=core;g=ENSMUSG00000061136","ENSMUSG00000061136")</f>
        <v>ENSMUSG00000061136</v>
      </c>
      <c r="I3483" s="7" t="str">
        <f>HYPERLINK("http://www.informatics.jax.org/marker/MGI:1860512","MGI:1860512")</f>
        <v>MGI:1860512</v>
      </c>
      <c r="J3483" s="4" t="s">
        <v>12</v>
      </c>
    </row>
    <row r="3484" spans="1:10" x14ac:dyDescent="0.25">
      <c r="A3484" s="2">
        <v>684.13066385620698</v>
      </c>
      <c r="B3484" s="3">
        <v>8.9097815212816595E-2</v>
      </c>
      <c r="C3484" s="3">
        <v>0.220160326592473</v>
      </c>
      <c r="D3484" s="4">
        <v>0.37770727733955201</v>
      </c>
      <c r="E3484" s="3" t="s">
        <v>11809</v>
      </c>
      <c r="F3484" s="3" t="s">
        <v>11810</v>
      </c>
      <c r="G3484" s="3">
        <v>67710</v>
      </c>
      <c r="H3484" s="7" t="str">
        <f>HYPERLINK("http://www.ensembl.org/Mus_musculus/Gene/Summary?db=core;g=ENSMUSG00000071662","ENSMUSG00000071662")</f>
        <v>ENSMUSG00000071662</v>
      </c>
      <c r="I3484" s="7" t="str">
        <f>HYPERLINK("http://www.informatics.jax.org/marker/MGI:1914960","MGI:1914960")</f>
        <v>MGI:1914960</v>
      </c>
      <c r="J3484" s="4" t="s">
        <v>12</v>
      </c>
    </row>
    <row r="3485" spans="1:10" x14ac:dyDescent="0.25">
      <c r="A3485" s="2">
        <v>2495.3825830474302</v>
      </c>
      <c r="B3485" s="3">
        <v>8.9022853131202603E-2</v>
      </c>
      <c r="C3485" s="3">
        <v>0.114254637246837</v>
      </c>
      <c r="D3485" s="4">
        <v>0.226651727927519</v>
      </c>
      <c r="E3485" s="3" t="s">
        <v>11533</v>
      </c>
      <c r="F3485" s="3" t="s">
        <v>11534</v>
      </c>
      <c r="G3485" s="3">
        <v>76742</v>
      </c>
      <c r="H3485" s="7" t="str">
        <f>HYPERLINK("http://www.ensembl.org/Mus_musculus/Gene/Summary?db=core;g=ENSMUSG00000028136","ENSMUSG00000028136")</f>
        <v>ENSMUSG00000028136</v>
      </c>
      <c r="I3485" s="7" t="str">
        <f>HYPERLINK("http://www.informatics.jax.org/marker/MGI:1923992","MGI:1923992")</f>
        <v>MGI:1923992</v>
      </c>
      <c r="J3485" s="4" t="s">
        <v>12</v>
      </c>
    </row>
    <row r="3486" spans="1:10" x14ac:dyDescent="0.25">
      <c r="A3486" s="2">
        <v>3809.7071680829599</v>
      </c>
      <c r="B3486" s="3">
        <v>8.8944579499472598E-2</v>
      </c>
      <c r="C3486" s="3">
        <v>9.0618270030624101E-2</v>
      </c>
      <c r="D3486" s="4">
        <v>0.187800542564035</v>
      </c>
      <c r="E3486" s="3" t="s">
        <v>13073</v>
      </c>
      <c r="F3486" s="3" t="s">
        <v>13074</v>
      </c>
      <c r="G3486" s="3">
        <v>213491</v>
      </c>
      <c r="H3486" s="7" t="str">
        <f>HYPERLINK("http://www.ensembl.org/Mus_musculus/Gene/Summary?db=core;g=ENSMUSG00000040842","ENSMUSG00000040842")</f>
        <v>ENSMUSG00000040842</v>
      </c>
      <c r="I3486" s="7" t="str">
        <f>HYPERLINK("http://www.informatics.jax.org/marker/MGI:1098672","MGI:1098672")</f>
        <v>MGI:1098672</v>
      </c>
      <c r="J3486" s="4" t="s">
        <v>12</v>
      </c>
    </row>
    <row r="3487" spans="1:10" x14ac:dyDescent="0.25">
      <c r="A3487" s="2">
        <v>980.39930186214497</v>
      </c>
      <c r="B3487" s="3">
        <v>8.8577025305511203E-2</v>
      </c>
      <c r="C3487" s="3">
        <v>0.103831855761558</v>
      </c>
      <c r="D3487" s="4">
        <v>0.20956097134600199</v>
      </c>
      <c r="E3487" s="3" t="s">
        <v>8663</v>
      </c>
      <c r="F3487" s="3" t="s">
        <v>8664</v>
      </c>
      <c r="G3487" s="3">
        <v>268490</v>
      </c>
      <c r="H3487" s="7" t="str">
        <f>HYPERLINK("http://www.ensembl.org/Mus_musculus/Gene/Summary?db=core;g=ENSMUSG00000020922","ENSMUSG00000020922")</f>
        <v>ENSMUSG00000020922</v>
      </c>
      <c r="I3487" s="7" t="str">
        <f>HYPERLINK("http://www.informatics.jax.org/marker/MGI:1919592","MGI:1919592")</f>
        <v>MGI:1919592</v>
      </c>
      <c r="J3487" s="4" t="s">
        <v>12</v>
      </c>
    </row>
    <row r="3488" spans="1:10" x14ac:dyDescent="0.25">
      <c r="A3488" s="2">
        <v>715.515591021722</v>
      </c>
      <c r="B3488" s="3">
        <v>8.8265653138532296E-2</v>
      </c>
      <c r="C3488" s="3">
        <v>0.24745590348376001</v>
      </c>
      <c r="D3488" s="4">
        <v>0.412012044673079</v>
      </c>
      <c r="E3488" s="3" t="s">
        <v>11275</v>
      </c>
      <c r="F3488" s="3" t="s">
        <v>11276</v>
      </c>
      <c r="G3488" s="3">
        <v>12611</v>
      </c>
      <c r="H3488" s="7" t="str">
        <f>HYPERLINK("http://www.ensembl.org/Mus_musculus/Gene/Summary?db=core;g=ENSMUSG00000056216","ENSMUSG00000056216")</f>
        <v>ENSMUSG00000056216</v>
      </c>
      <c r="I3488" s="7" t="str">
        <f>HYPERLINK("http://www.informatics.jax.org/marker/MGI:104982","MGI:104982")</f>
        <v>MGI:104982</v>
      </c>
      <c r="J3488" s="4" t="s">
        <v>12</v>
      </c>
    </row>
    <row r="3489" spans="1:10" x14ac:dyDescent="0.25">
      <c r="A3489" s="2">
        <v>316.885512692904</v>
      </c>
      <c r="B3489" s="3">
        <v>8.7783781826697396E-2</v>
      </c>
      <c r="C3489" s="3">
        <v>0.30327700121684098</v>
      </c>
      <c r="D3489" s="4">
        <v>0.47751389608439998</v>
      </c>
      <c r="E3489" s="3" t="s">
        <v>13985</v>
      </c>
      <c r="F3489" s="3" t="s">
        <v>13986</v>
      </c>
      <c r="G3489" s="3">
        <v>109093</v>
      </c>
      <c r="H3489" s="7" t="str">
        <f>HYPERLINK("http://www.ensembl.org/Mus_musculus/Gene/Summary?db=core;g=ENSMUSG00000028292","ENSMUSG00000028292")</f>
        <v>ENSMUSG00000028292</v>
      </c>
      <c r="I3489" s="7" t="str">
        <f>HYPERLINK("http://www.informatics.jax.org/marker/MGI:1923596","MGI:1923596")</f>
        <v>MGI:1923596</v>
      </c>
      <c r="J3489" s="4" t="s">
        <v>12</v>
      </c>
    </row>
    <row r="3490" spans="1:10" x14ac:dyDescent="0.25">
      <c r="A3490" s="2">
        <v>1039.8444506314199</v>
      </c>
      <c r="B3490" s="3">
        <v>8.7742634237992903E-2</v>
      </c>
      <c r="C3490" s="3">
        <v>7.9966709535404495E-2</v>
      </c>
      <c r="D3490" s="4">
        <v>0.16924785521806399</v>
      </c>
      <c r="E3490" s="3" t="s">
        <v>11205</v>
      </c>
      <c r="F3490" s="3" t="s">
        <v>11206</v>
      </c>
      <c r="G3490" s="3">
        <v>108707</v>
      </c>
      <c r="H3490" s="7" t="str">
        <f>HYPERLINK("http://www.ensembl.org/Mus_musculus/Gene/Summary?db=core;g=ENSMUSG00000032977","ENSMUSG00000032977")</f>
        <v>ENSMUSG00000032977</v>
      </c>
      <c r="I3490" s="7" t="str">
        <f>HYPERLINK("http://www.informatics.jax.org/marker/MGI:1916334","MGI:1916334")</f>
        <v>MGI:1916334</v>
      </c>
      <c r="J3490" s="4" t="s">
        <v>12</v>
      </c>
    </row>
    <row r="3491" spans="1:10" x14ac:dyDescent="0.25">
      <c r="A3491" s="2">
        <v>1764.42599771959</v>
      </c>
      <c r="B3491" s="3">
        <v>8.7598760137555604E-2</v>
      </c>
      <c r="C3491" s="3">
        <v>7.6011347351276903E-2</v>
      </c>
      <c r="D3491" s="4">
        <v>0.16211899420445</v>
      </c>
      <c r="E3491" s="3" t="s">
        <v>9089</v>
      </c>
      <c r="F3491" s="3" t="s">
        <v>9090</v>
      </c>
      <c r="G3491" s="3">
        <v>67832</v>
      </c>
      <c r="H3491" s="7" t="str">
        <f>HYPERLINK("http://www.ensembl.org/Mus_musculus/Gene/Summary?db=core;g=ENSMUSG00000022247","ENSMUSG00000022247")</f>
        <v>ENSMUSG00000022247</v>
      </c>
      <c r="I3491" s="7" t="str">
        <f>HYPERLINK("http://www.informatics.jax.org/marker/MGI:1915082","MGI:1915082")</f>
        <v>MGI:1915082</v>
      </c>
      <c r="J3491" s="4" t="s">
        <v>12</v>
      </c>
    </row>
    <row r="3492" spans="1:10" x14ac:dyDescent="0.25">
      <c r="A3492" s="2">
        <v>2838.8449734597398</v>
      </c>
      <c r="B3492" s="3">
        <v>8.7038128249432203E-2</v>
      </c>
      <c r="C3492" s="3">
        <v>8.0105534885500901E-2</v>
      </c>
      <c r="D3492" s="4">
        <v>0.16950230735960201</v>
      </c>
      <c r="E3492" s="3" t="s">
        <v>13975</v>
      </c>
      <c r="F3492" s="3" t="s">
        <v>13976</v>
      </c>
      <c r="G3492" s="3">
        <v>72198</v>
      </c>
      <c r="H3492" s="7" t="str">
        <f>HYPERLINK("http://www.ensembl.org/Mus_musculus/Gene/Summary?db=core;g=ENSMUSG00000016018","ENSMUSG00000016018")</f>
        <v>ENSMUSG00000016018</v>
      </c>
      <c r="I3492" s="7" t="str">
        <f>HYPERLINK("http://www.informatics.jax.org/marker/MGI:1919448","MGI:1919448")</f>
        <v>MGI:1919448</v>
      </c>
      <c r="J3492" s="4" t="s">
        <v>12</v>
      </c>
    </row>
    <row r="3493" spans="1:10" x14ac:dyDescent="0.25">
      <c r="A3493" s="2">
        <v>2034.99355204582</v>
      </c>
      <c r="B3493" s="3">
        <v>8.7019352781820894E-2</v>
      </c>
      <c r="C3493" s="3">
        <v>0.109757356515537</v>
      </c>
      <c r="D3493" s="4">
        <v>0.219382301216896</v>
      </c>
      <c r="E3493" s="3" t="s">
        <v>12505</v>
      </c>
      <c r="F3493" s="3" t="s">
        <v>12506</v>
      </c>
      <c r="G3493" s="3">
        <v>223696</v>
      </c>
      <c r="H3493" s="7" t="str">
        <f>HYPERLINK("http://www.ensembl.org/Mus_musculus/Gene/Summary?db=core;g=ENSMUSG00000022427","ENSMUSG00000022427")</f>
        <v>ENSMUSG00000022427</v>
      </c>
      <c r="I3493" s="7" t="str">
        <f>HYPERLINK("http://www.informatics.jax.org/marker/MGI:2450248","MGI:2450248")</f>
        <v>MGI:2450248</v>
      </c>
      <c r="J3493" s="4" t="s">
        <v>12</v>
      </c>
    </row>
    <row r="3494" spans="1:10" x14ac:dyDescent="0.25">
      <c r="A3494" s="2">
        <v>1290.0927495993801</v>
      </c>
      <c r="B3494" s="3">
        <v>8.6964790609030604E-2</v>
      </c>
      <c r="C3494" s="3">
        <v>6.6645908378547697E-2</v>
      </c>
      <c r="D3494" s="4">
        <v>0.145324441277702</v>
      </c>
      <c r="E3494" s="3" t="s">
        <v>10340</v>
      </c>
      <c r="F3494" s="3" t="s">
        <v>10341</v>
      </c>
      <c r="G3494" s="3">
        <v>74996</v>
      </c>
      <c r="H3494" s="7" t="str">
        <f>HYPERLINK("http://www.ensembl.org/Mus_musculus/Gene/Summary?db=core;g=ENSMUSG00000059263","ENSMUSG00000059263")</f>
        <v>ENSMUSG00000059263</v>
      </c>
      <c r="I3494" s="7" t="str">
        <f>HYPERLINK("http://www.informatics.jax.org/marker/MGI:1922246","MGI:1922246")</f>
        <v>MGI:1922246</v>
      </c>
      <c r="J3494" s="4" t="s">
        <v>12</v>
      </c>
    </row>
    <row r="3495" spans="1:10" x14ac:dyDescent="0.25">
      <c r="A3495" s="2">
        <v>2252.5079601795101</v>
      </c>
      <c r="B3495" s="3">
        <v>8.6907367193553103E-2</v>
      </c>
      <c r="C3495" s="3">
        <v>3.8498814980425199E-2</v>
      </c>
      <c r="D3495" s="4">
        <v>9.1419010165244202E-2</v>
      </c>
      <c r="E3495" s="3" t="s">
        <v>10098</v>
      </c>
      <c r="F3495" s="3" t="s">
        <v>10099</v>
      </c>
      <c r="G3495" s="3">
        <v>229317</v>
      </c>
      <c r="H3495" s="7" t="str">
        <f>HYPERLINK("http://www.ensembl.org/Mus_musculus/Gene/Summary?db=core;g=ENSMUSG00000027810","ENSMUSG00000027810")</f>
        <v>ENSMUSG00000027810</v>
      </c>
      <c r="I3495" s="7" t="str">
        <f>HYPERLINK("http://www.informatics.jax.org/marker/MGI:1098684","MGI:1098684")</f>
        <v>MGI:1098684</v>
      </c>
      <c r="J3495" s="4" t="s">
        <v>12</v>
      </c>
    </row>
    <row r="3496" spans="1:10" x14ac:dyDescent="0.25">
      <c r="A3496" s="2">
        <v>9082.55241894555</v>
      </c>
      <c r="B3496" s="3">
        <v>8.6805914321487807E-2</v>
      </c>
      <c r="C3496" s="3">
        <v>2.3645086269987299E-2</v>
      </c>
      <c r="D3496" s="4">
        <v>5.9710641162604897E-2</v>
      </c>
      <c r="E3496" s="3" t="s">
        <v>11577</v>
      </c>
      <c r="F3496" s="3" t="s">
        <v>11578</v>
      </c>
      <c r="G3496" s="3">
        <v>22384</v>
      </c>
      <c r="H3496" s="7" t="str">
        <f>HYPERLINK("http://www.ensembl.org/Mus_musculus/Gene/Summary?db=core;g=ENSMUSG00000040731","ENSMUSG00000040731")</f>
        <v>ENSMUSG00000040731</v>
      </c>
      <c r="I3496" s="7" t="str">
        <f>HYPERLINK("http://www.informatics.jax.org/marker/MGI:1341822","MGI:1341822")</f>
        <v>MGI:1341822</v>
      </c>
      <c r="J3496" s="4" t="s">
        <v>12</v>
      </c>
    </row>
    <row r="3497" spans="1:10" x14ac:dyDescent="0.25">
      <c r="A3497" s="2">
        <v>2772.78140812229</v>
      </c>
      <c r="B3497" s="3">
        <v>8.6760156785621295E-2</v>
      </c>
      <c r="C3497" s="3">
        <v>9.7749748795446199E-3</v>
      </c>
      <c r="D3497" s="4">
        <v>2.7432848349199401E-2</v>
      </c>
      <c r="E3497" s="3" t="s">
        <v>10408</v>
      </c>
      <c r="F3497" s="3" t="s">
        <v>10409</v>
      </c>
      <c r="G3497" s="3">
        <v>70231</v>
      </c>
      <c r="H3497" s="7" t="str">
        <f>HYPERLINK("http://www.ensembl.org/Mus_musculus/Gene/Summary?db=core;g=ENSMUSG00000014959","ENSMUSG00000014959")</f>
        <v>ENSMUSG00000014959</v>
      </c>
      <c r="I3497" s="7" t="str">
        <f>HYPERLINK("http://www.informatics.jax.org/marker/MGI:2135962","MGI:2135962")</f>
        <v>MGI:2135962</v>
      </c>
      <c r="J3497" s="4" t="s">
        <v>12</v>
      </c>
    </row>
    <row r="3498" spans="1:10" x14ac:dyDescent="0.25">
      <c r="A3498" s="2">
        <v>900.66894196702594</v>
      </c>
      <c r="B3498" s="3">
        <v>8.5828898008502602E-2</v>
      </c>
      <c r="C3498" s="3">
        <v>8.4004675678143403E-2</v>
      </c>
      <c r="D3498" s="4">
        <v>0.176462103991951</v>
      </c>
      <c r="E3498" s="3" t="s">
        <v>12775</v>
      </c>
      <c r="F3498" s="3" t="s">
        <v>12776</v>
      </c>
      <c r="G3498" s="3">
        <v>217715</v>
      </c>
      <c r="H3498" s="7" t="str">
        <f>HYPERLINK("http://www.ensembl.org/Mus_musculus/Gene/Summary?db=core;g=ENSMUSG00000004788","ENSMUSG00000004788")</f>
        <v>ENSMUSG00000004788</v>
      </c>
      <c r="I3498" s="7" t="str">
        <f>HYPERLINK("http://www.informatics.jax.org/marker/MGI:2145118","MGI:2145118")</f>
        <v>MGI:2145118</v>
      </c>
      <c r="J3498" s="4" t="s">
        <v>12</v>
      </c>
    </row>
    <row r="3499" spans="1:10" x14ac:dyDescent="0.25">
      <c r="A3499" s="2">
        <v>686.55953202585999</v>
      </c>
      <c r="B3499" s="3">
        <v>8.5404210375994799E-2</v>
      </c>
      <c r="C3499" s="3">
        <v>0.24442328886138401</v>
      </c>
      <c r="D3499" s="4">
        <v>0.40815598676000803</v>
      </c>
      <c r="E3499" s="3" t="s">
        <v>9541</v>
      </c>
      <c r="F3499" s="3" t="s">
        <v>9542</v>
      </c>
      <c r="G3499" s="3">
        <v>270096</v>
      </c>
      <c r="H3499" s="7" t="str">
        <f>HYPERLINK("http://www.ensembl.org/Mus_musculus/Gene/Summary?db=core;g=ENSMUSG00000078908","ENSMUSG00000078908")</f>
        <v>ENSMUSG00000078908</v>
      </c>
      <c r="I3499" s="7" t="str">
        <f>HYPERLINK("http://www.informatics.jax.org/marker/MGI:1923231","MGI:1923231")</f>
        <v>MGI:1923231</v>
      </c>
      <c r="J3499" s="4" t="s">
        <v>12</v>
      </c>
    </row>
    <row r="3500" spans="1:10" x14ac:dyDescent="0.25">
      <c r="A3500" s="2">
        <v>4615.3829068835203</v>
      </c>
      <c r="B3500" s="3">
        <v>8.4488140144847304E-2</v>
      </c>
      <c r="C3500" s="3">
        <v>2.40068420444393E-2</v>
      </c>
      <c r="D3500" s="4">
        <v>6.0523543541279097E-2</v>
      </c>
      <c r="E3500" s="3" t="s">
        <v>12919</v>
      </c>
      <c r="F3500" s="3" t="s">
        <v>12920</v>
      </c>
      <c r="G3500" s="3">
        <v>18738</v>
      </c>
      <c r="H3500" s="7" t="str">
        <f>HYPERLINK("http://www.ensembl.org/Mus_musculus/Gene/Summary?db=core;g=ENSMUSG00000017781","ENSMUSG00000017781")</f>
        <v>ENSMUSG00000017781</v>
      </c>
      <c r="I3500" s="7" t="str">
        <f>HYPERLINK("http://www.informatics.jax.org/marker/MGI:99887","MGI:99887")</f>
        <v>MGI:99887</v>
      </c>
      <c r="J3500" s="4" t="s">
        <v>12</v>
      </c>
    </row>
    <row r="3501" spans="1:10" x14ac:dyDescent="0.25">
      <c r="A3501" s="2">
        <v>418.726077762572</v>
      </c>
      <c r="B3501" s="3">
        <v>8.4224294260420995E-2</v>
      </c>
      <c r="C3501" s="3">
        <v>0.345669551238241</v>
      </c>
      <c r="D3501" s="4">
        <v>0.52385062126367399</v>
      </c>
      <c r="E3501" s="3" t="s">
        <v>12335</v>
      </c>
      <c r="F3501" s="3" t="s">
        <v>12336</v>
      </c>
      <c r="G3501" s="3">
        <v>381410</v>
      </c>
      <c r="H3501" s="7" t="str">
        <f>HYPERLINK("http://www.ensembl.org/Mus_musculus/Gene/Summary?db=core;g=ENSMUSG00000075040","ENSMUSG00000075040")</f>
        <v>ENSMUSG00000075040</v>
      </c>
      <c r="I3501" s="7" t="str">
        <f>HYPERLINK("http://www.informatics.jax.org/marker/MGI:2685857","MGI:2685857")</f>
        <v>MGI:2685857</v>
      </c>
      <c r="J3501" s="4" t="s">
        <v>12</v>
      </c>
    </row>
    <row r="3502" spans="1:10" x14ac:dyDescent="0.25">
      <c r="A3502" s="2">
        <v>1945.7316190210399</v>
      </c>
      <c r="B3502" s="3">
        <v>8.4170927358894101E-2</v>
      </c>
      <c r="C3502" s="3">
        <v>4.66164809927999E-2</v>
      </c>
      <c r="D3502" s="4">
        <v>0.107693198237668</v>
      </c>
      <c r="E3502" s="3" t="s">
        <v>9189</v>
      </c>
      <c r="F3502" s="3" t="s">
        <v>9190</v>
      </c>
      <c r="G3502" s="3">
        <v>66590</v>
      </c>
      <c r="H3502" s="7" t="str">
        <f>HYPERLINK("http://www.ensembl.org/Mus_musculus/Gene/Summary?db=core;g=ENSMUSG00000003808","ENSMUSG00000003808")</f>
        <v>ENSMUSG00000003808</v>
      </c>
      <c r="I3502" s="7" t="str">
        <f>HYPERLINK("http://www.informatics.jax.org/marker/MGI:1913840","MGI:1913840")</f>
        <v>MGI:1913840</v>
      </c>
      <c r="J3502" s="4" t="s">
        <v>12</v>
      </c>
    </row>
    <row r="3503" spans="1:10" x14ac:dyDescent="0.25">
      <c r="A3503" s="2">
        <v>416.57264786052502</v>
      </c>
      <c r="B3503" s="3">
        <v>8.3893694783305495E-2</v>
      </c>
      <c r="C3503" s="3">
        <v>0.21146499171236799</v>
      </c>
      <c r="D3503" s="4">
        <v>0.36631018667026999</v>
      </c>
      <c r="E3503" s="3" t="s">
        <v>12392</v>
      </c>
      <c r="F3503" s="3" t="s">
        <v>12393</v>
      </c>
      <c r="G3503" s="3">
        <v>56031</v>
      </c>
      <c r="H3503" s="7" t="str">
        <f>HYPERLINK("http://www.ensembl.org/Mus_musculus/Gene/Summary?db=core;g=ENSMUSG00000028651","ENSMUSG00000028651")</f>
        <v>ENSMUSG00000028651</v>
      </c>
      <c r="I3503" s="7" t="str">
        <f>HYPERLINK("http://www.informatics.jax.org/marker/MGI:1917118","MGI:1917118")</f>
        <v>MGI:1917118</v>
      </c>
      <c r="J3503" s="4" t="s">
        <v>12</v>
      </c>
    </row>
    <row r="3504" spans="1:10" x14ac:dyDescent="0.25">
      <c r="A3504" s="2">
        <v>1815.9981320187501</v>
      </c>
      <c r="B3504" s="3">
        <v>8.3885751265534506E-2</v>
      </c>
      <c r="C3504" s="3">
        <v>0.27714969356248298</v>
      </c>
      <c r="D3504" s="4">
        <v>0.44806645659329802</v>
      </c>
      <c r="E3504" s="3" t="s">
        <v>10354</v>
      </c>
      <c r="F3504" s="3" t="s">
        <v>10355</v>
      </c>
      <c r="G3504" s="3">
        <v>55935</v>
      </c>
      <c r="H3504" s="7" t="str">
        <f>HYPERLINK("http://www.ensembl.org/Mus_musculus/Gene/Summary?db=core;g=ENSMUSG00000008200","ENSMUSG00000008200")</f>
        <v>ENSMUSG00000008200</v>
      </c>
      <c r="I3504" s="7" t="str">
        <f>HYPERLINK("http://www.informatics.jax.org/marker/MGI:1860513","MGI:1860513")</f>
        <v>MGI:1860513</v>
      </c>
      <c r="J3504" s="4" t="s">
        <v>12</v>
      </c>
    </row>
    <row r="3505" spans="1:10" x14ac:dyDescent="0.25">
      <c r="A3505" s="2">
        <v>1012.67230657629</v>
      </c>
      <c r="B3505" s="3">
        <v>8.3644916945204595E-2</v>
      </c>
      <c r="C3505" s="3">
        <v>0.38130780164171202</v>
      </c>
      <c r="D3505" s="4">
        <v>0.56015917176529095</v>
      </c>
      <c r="E3505" s="3" t="s">
        <v>8057</v>
      </c>
      <c r="F3505" s="3" t="s">
        <v>8058</v>
      </c>
      <c r="G3505" s="3">
        <v>74126</v>
      </c>
      <c r="H3505" s="7" t="str">
        <f>HYPERLINK("http://www.ensembl.org/Mus_musculus/Gene/Summary?db=core;g=ENSMUSG00000024807","ENSMUSG00000024807")</f>
        <v>ENSMUSG00000024807</v>
      </c>
      <c r="I3505" s="7" t="str">
        <f>HYPERLINK("http://www.informatics.jax.org/marker/MGI:1921376","MGI:1921376")</f>
        <v>MGI:1921376</v>
      </c>
      <c r="J3505" s="4" t="s">
        <v>12</v>
      </c>
    </row>
    <row r="3506" spans="1:10" x14ac:dyDescent="0.25">
      <c r="A3506" s="2">
        <v>709.60150505009005</v>
      </c>
      <c r="B3506" s="3">
        <v>8.3244356319183699E-2</v>
      </c>
      <c r="C3506" s="3">
        <v>0.43346044879428502</v>
      </c>
      <c r="D3506" s="4">
        <v>0.61163027866799602</v>
      </c>
      <c r="E3506" s="3" t="s">
        <v>12281</v>
      </c>
      <c r="F3506" s="3" t="s">
        <v>12282</v>
      </c>
      <c r="G3506" s="3">
        <v>12257</v>
      </c>
      <c r="H3506" s="7" t="str">
        <f>HYPERLINK("http://www.ensembl.org/Mus_musculus/Gene/Summary?db=core;g=ENSMUSG00000041736","ENSMUSG00000041736")</f>
        <v>ENSMUSG00000041736</v>
      </c>
      <c r="I3506" s="7" t="str">
        <f>HYPERLINK("http://www.informatics.jax.org/marker/MGI:88222","MGI:88222")</f>
        <v>MGI:88222</v>
      </c>
      <c r="J3506" s="4" t="s">
        <v>12</v>
      </c>
    </row>
    <row r="3507" spans="1:10" x14ac:dyDescent="0.25">
      <c r="A3507" s="2">
        <v>998.23847062090704</v>
      </c>
      <c r="B3507" s="3">
        <v>8.2625978364910702E-2</v>
      </c>
      <c r="C3507" s="3">
        <v>0.138739930482455</v>
      </c>
      <c r="D3507" s="4">
        <v>0.26548864257064703</v>
      </c>
      <c r="E3507" s="3" t="s">
        <v>6790</v>
      </c>
      <c r="F3507" s="3" t="s">
        <v>6791</v>
      </c>
      <c r="G3507" s="3">
        <v>77591</v>
      </c>
      <c r="H3507" s="7" t="str">
        <f>HYPERLINK("http://www.ensembl.org/Mus_musculus/Gene/Summary?db=core;g=ENSMUSG00000053289","ENSMUSG00000053289")</f>
        <v>ENSMUSG00000053289</v>
      </c>
      <c r="I3507" s="7" t="str">
        <f>HYPERLINK("http://www.informatics.jax.org/marker/MGI:1924841","MGI:1924841")</f>
        <v>MGI:1924841</v>
      </c>
      <c r="J3507" s="4" t="s">
        <v>12</v>
      </c>
    </row>
    <row r="3508" spans="1:10" x14ac:dyDescent="0.25">
      <c r="A3508" s="2">
        <v>1478.8025637544199</v>
      </c>
      <c r="B3508" s="3">
        <v>8.2513080075131903E-2</v>
      </c>
      <c r="C3508" s="3">
        <v>0.102350063400291</v>
      </c>
      <c r="D3508" s="4">
        <v>0.20728190970888999</v>
      </c>
      <c r="E3508" s="3" t="s">
        <v>12975</v>
      </c>
      <c r="F3508" s="3" t="s">
        <v>12976</v>
      </c>
      <c r="G3508" s="3">
        <v>66583</v>
      </c>
      <c r="H3508" s="7" t="str">
        <f>HYPERLINK("http://www.ensembl.org/Mus_musculus/Gene/Summary?db=core;g=ENSMUSG00000034321","ENSMUSG00000034321")</f>
        <v>ENSMUSG00000034321</v>
      </c>
      <c r="I3508" s="7" t="str">
        <f>HYPERLINK("http://www.informatics.jax.org/marker/MGI:1913833","MGI:1913833")</f>
        <v>MGI:1913833</v>
      </c>
      <c r="J3508" s="4" t="s">
        <v>12</v>
      </c>
    </row>
    <row r="3509" spans="1:10" x14ac:dyDescent="0.25">
      <c r="A3509" s="2">
        <v>6421.8490654657799</v>
      </c>
      <c r="B3509" s="3">
        <v>8.2432536165301606E-2</v>
      </c>
      <c r="C3509" s="3">
        <v>2.5729245727767702E-2</v>
      </c>
      <c r="D3509" s="4">
        <v>6.4340766107103001E-2</v>
      </c>
      <c r="E3509" s="3" t="s">
        <v>12157</v>
      </c>
      <c r="F3509" s="3" t="s">
        <v>12158</v>
      </c>
      <c r="G3509" s="3">
        <v>101943</v>
      </c>
      <c r="H3509" s="7" t="str">
        <f>HYPERLINK("http://www.ensembl.org/Mus_musculus/Gene/Summary?db=core;g=ENSMUSG00000033732","ENSMUSG00000033732")</f>
        <v>ENSMUSG00000033732</v>
      </c>
      <c r="I3509" s="7" t="str">
        <f>HYPERLINK("http://www.informatics.jax.org/marker/MGI:1289341","MGI:1289341")</f>
        <v>MGI:1289341</v>
      </c>
      <c r="J3509" s="4" t="s">
        <v>12</v>
      </c>
    </row>
    <row r="3510" spans="1:10" x14ac:dyDescent="0.25">
      <c r="A3510" s="2">
        <v>1225.79817633061</v>
      </c>
      <c r="B3510" s="3">
        <v>8.2314222317378505E-2</v>
      </c>
      <c r="C3510" s="3">
        <v>0.21642376788215401</v>
      </c>
      <c r="D3510" s="4">
        <v>0.37287986099945702</v>
      </c>
      <c r="E3510" s="3" t="s">
        <v>10470</v>
      </c>
      <c r="F3510" s="3" t="s">
        <v>10471</v>
      </c>
      <c r="G3510" s="3">
        <v>19014</v>
      </c>
      <c r="H3510" s="7" t="str">
        <f>HYPERLINK("http://www.ensembl.org/Mus_musculus/Gene/Summary?db=core;g=ENSMUSG00000018160","ENSMUSG00000018160")</f>
        <v>ENSMUSG00000018160</v>
      </c>
      <c r="I3510" s="7" t="str">
        <f>HYPERLINK("http://www.informatics.jax.org/marker/MGI:1100846","MGI:1100846")</f>
        <v>MGI:1100846</v>
      </c>
      <c r="J3510" s="4" t="s">
        <v>12</v>
      </c>
    </row>
    <row r="3511" spans="1:10" x14ac:dyDescent="0.25">
      <c r="A3511" s="2">
        <v>1484.5847510724</v>
      </c>
      <c r="B3511" s="3">
        <v>8.2299477723020098E-2</v>
      </c>
      <c r="C3511" s="3">
        <v>5.0492207207680002E-2</v>
      </c>
      <c r="D3511" s="4">
        <v>0.11517152394993301</v>
      </c>
      <c r="E3511" s="3" t="s">
        <v>9825</v>
      </c>
      <c r="F3511" s="3" t="s">
        <v>9826</v>
      </c>
      <c r="G3511" s="3">
        <v>66244</v>
      </c>
      <c r="H3511" s="7" t="str">
        <f>HYPERLINK("http://www.ensembl.org/Mus_musculus/Gene/Summary?db=core;g=ENSMUSG00000020982","ENSMUSG00000020982")</f>
        <v>ENSMUSG00000020982</v>
      </c>
      <c r="I3511" s="7" t="str">
        <f>HYPERLINK("http://www.informatics.jax.org/marker/MGI:1918305","MGI:1918305")</f>
        <v>MGI:1918305</v>
      </c>
      <c r="J3511" s="4" t="s">
        <v>12</v>
      </c>
    </row>
    <row r="3512" spans="1:10" x14ac:dyDescent="0.25">
      <c r="A3512" s="2">
        <v>1933.1919517182</v>
      </c>
      <c r="B3512" s="3">
        <v>8.1851682838992898E-2</v>
      </c>
      <c r="C3512" s="3">
        <v>0.178539156489054</v>
      </c>
      <c r="D3512" s="4">
        <v>0.322197853947224</v>
      </c>
      <c r="E3512" s="3" t="s">
        <v>13153</v>
      </c>
      <c r="F3512" s="3" t="s">
        <v>13154</v>
      </c>
      <c r="G3512" s="3">
        <v>53323</v>
      </c>
      <c r="H3512" s="7" t="str">
        <f>HYPERLINK("http://www.ensembl.org/Mus_musculus/Gene/Summary?db=core;g=ENSMUSG00000029203","ENSMUSG00000029203")</f>
        <v>ENSMUSG00000029203</v>
      </c>
      <c r="I3512" s="7" t="str">
        <f>HYPERLINK("http://www.informatics.jax.org/marker/MGI:1858216","MGI:1858216")</f>
        <v>MGI:1858216</v>
      </c>
      <c r="J3512" s="4" t="s">
        <v>12</v>
      </c>
    </row>
    <row r="3513" spans="1:10" x14ac:dyDescent="0.25">
      <c r="A3513" s="2">
        <v>863.10780921159005</v>
      </c>
      <c r="B3513" s="3">
        <v>8.1494618270118696E-2</v>
      </c>
      <c r="C3513" s="3">
        <v>0.16446817673994099</v>
      </c>
      <c r="D3513" s="4">
        <v>0.30286273831316801</v>
      </c>
      <c r="E3513" s="3" t="s">
        <v>12863</v>
      </c>
      <c r="F3513" s="3" t="s">
        <v>12864</v>
      </c>
      <c r="G3513" s="3">
        <v>26922</v>
      </c>
      <c r="H3513" s="7" t="str">
        <f>HYPERLINK("http://www.ensembl.org/Mus_musculus/Gene/Summary?db=core;g=ENSMUSG00000028910","ENSMUSG00000028910")</f>
        <v>ENSMUSG00000028910</v>
      </c>
      <c r="I3513" s="7" t="str">
        <f>HYPERLINK("http://www.informatics.jax.org/marker/MGI:1349441","MGI:1349441")</f>
        <v>MGI:1349441</v>
      </c>
      <c r="J3513" s="4" t="s">
        <v>12</v>
      </c>
    </row>
    <row r="3514" spans="1:10" x14ac:dyDescent="0.25">
      <c r="A3514" s="2">
        <v>1960.6510127583699</v>
      </c>
      <c r="B3514" s="3">
        <v>8.1219588254841796E-2</v>
      </c>
      <c r="C3514" s="3">
        <v>2.8885335856458898E-2</v>
      </c>
      <c r="D3514" s="4">
        <v>7.1223246348563904E-2</v>
      </c>
      <c r="E3514" s="3" t="s">
        <v>8901</v>
      </c>
      <c r="F3514" s="3" t="s">
        <v>8902</v>
      </c>
      <c r="G3514" s="3">
        <v>14479</v>
      </c>
      <c r="H3514" s="7" t="str">
        <f>HYPERLINK("http://www.ensembl.org/Mus_musculus/Gene/Summary?db=core;g=ENSMUSG00000020124","ENSMUSG00000020124")</f>
        <v>ENSMUSG00000020124</v>
      </c>
      <c r="I3514" s="7" t="str">
        <f>HYPERLINK("http://www.informatics.jax.org/marker/MGI:101857","MGI:101857")</f>
        <v>MGI:101857</v>
      </c>
      <c r="J3514" s="4" t="s">
        <v>12</v>
      </c>
    </row>
    <row r="3515" spans="1:10" x14ac:dyDescent="0.25">
      <c r="A3515" s="2">
        <v>306.258376150179</v>
      </c>
      <c r="B3515" s="3">
        <v>8.1076669294044307E-2</v>
      </c>
      <c r="C3515" s="3">
        <v>0.31941905231166701</v>
      </c>
      <c r="D3515" s="4">
        <v>0.49577688880770998</v>
      </c>
      <c r="E3515" s="3" t="s">
        <v>10484</v>
      </c>
      <c r="F3515" s="3" t="s">
        <v>10485</v>
      </c>
      <c r="G3515" s="3">
        <v>18392</v>
      </c>
      <c r="H3515" s="7" t="str">
        <f>HYPERLINK("http://www.ensembl.org/Mus_musculus/Gene/Summary?db=core;g=ENSMUSG00000028587","ENSMUSG00000028587")</f>
        <v>ENSMUSG00000028587</v>
      </c>
      <c r="I3515" s="7" t="str">
        <f>HYPERLINK("http://www.informatics.jax.org/marker/MGI:1328337","MGI:1328337")</f>
        <v>MGI:1328337</v>
      </c>
      <c r="J3515" s="4" t="s">
        <v>12</v>
      </c>
    </row>
    <row r="3516" spans="1:10" x14ac:dyDescent="0.25">
      <c r="A3516" s="2">
        <v>1013.40099894124</v>
      </c>
      <c r="B3516" s="3">
        <v>8.0227649188770706E-2</v>
      </c>
      <c r="C3516" s="3">
        <v>0.165503876098164</v>
      </c>
      <c r="D3516" s="4">
        <v>0.30424734132429199</v>
      </c>
      <c r="E3516" s="3" t="s">
        <v>12963</v>
      </c>
      <c r="F3516" s="3" t="s">
        <v>12964</v>
      </c>
      <c r="G3516" s="3">
        <v>226090</v>
      </c>
      <c r="H3516" s="7" t="str">
        <f>HYPERLINK("http://www.ensembl.org/Mus_musculus/Gene/Summary?db=core;g=ENSMUSG00000046324","ENSMUSG00000046324")</f>
        <v>ENSMUSG00000046324</v>
      </c>
      <c r="I3516" s="7" t="str">
        <f>HYPERLINK("http://www.informatics.jax.org/marker/MGI:106250","MGI:106250")</f>
        <v>MGI:106250</v>
      </c>
      <c r="J3516" s="4" t="s">
        <v>12</v>
      </c>
    </row>
    <row r="3517" spans="1:10" x14ac:dyDescent="0.25">
      <c r="A3517" s="2">
        <v>107.901633688377</v>
      </c>
      <c r="B3517" s="3">
        <v>8.0040029925051298E-2</v>
      </c>
      <c r="C3517" s="3">
        <v>0.45153209986488602</v>
      </c>
      <c r="D3517" s="4">
        <v>0.62962299311687397</v>
      </c>
      <c r="E3517" s="3" t="s">
        <v>13605</v>
      </c>
      <c r="F3517" s="3" t="s">
        <v>13606</v>
      </c>
      <c r="G3517" s="3">
        <v>240067</v>
      </c>
      <c r="H3517" s="7" t="str">
        <f>HYPERLINK("http://www.ensembl.org/Mus_musculus/Gene/Summary?db=core;g=ENSMUSG00000053390","ENSMUSG00000053390")</f>
        <v>ENSMUSG00000053390</v>
      </c>
      <c r="I3517" s="7" t="str">
        <f>HYPERLINK("http://www.informatics.jax.org/marker/MGI:2441928","MGI:2441928")</f>
        <v>MGI:2441928</v>
      </c>
      <c r="J3517" s="4" t="s">
        <v>12</v>
      </c>
    </row>
    <row r="3518" spans="1:10" x14ac:dyDescent="0.25">
      <c r="A3518" s="2">
        <v>898.94540867852595</v>
      </c>
      <c r="B3518" s="3">
        <v>7.9393880539493394E-2</v>
      </c>
      <c r="C3518" s="3">
        <v>0.188382657328271</v>
      </c>
      <c r="D3518" s="4">
        <v>0.33586709060743303</v>
      </c>
      <c r="E3518" s="3" t="s">
        <v>13225</v>
      </c>
      <c r="F3518" s="3" t="s">
        <v>13226</v>
      </c>
      <c r="G3518" s="3">
        <v>229707</v>
      </c>
      <c r="H3518" s="7" t="str">
        <f>HYPERLINK("http://www.ensembl.org/Mus_musculus/Gene/Summary?db=core;g=ENSMUSG00000014601","ENSMUSG00000014601")</f>
        <v>ENSMUSG00000014601</v>
      </c>
      <c r="I3518" s="7" t="str">
        <f>HYPERLINK("http://www.informatics.jax.org/marker/MGI:2443884","MGI:2443884")</f>
        <v>MGI:2443884</v>
      </c>
      <c r="J3518" s="4" t="s">
        <v>12</v>
      </c>
    </row>
    <row r="3519" spans="1:10" x14ac:dyDescent="0.25">
      <c r="A3519" s="2">
        <v>249.78466440693001</v>
      </c>
      <c r="B3519" s="3">
        <v>7.8934706880587097E-2</v>
      </c>
      <c r="C3519" s="3">
        <v>0.43607871741674598</v>
      </c>
      <c r="D3519" s="4">
        <v>0.61426781321790602</v>
      </c>
      <c r="E3519" s="3" t="s">
        <v>13509</v>
      </c>
      <c r="F3519" s="3" t="s">
        <v>13510</v>
      </c>
      <c r="G3519" s="3">
        <v>50754</v>
      </c>
      <c r="H3519" s="7" t="str">
        <f>HYPERLINK("http://www.ensembl.org/Mus_musculus/Gene/Summary?db=core;g=ENSMUSG00000028086","ENSMUSG00000028086")</f>
        <v>ENSMUSG00000028086</v>
      </c>
      <c r="I3519" s="7" t="str">
        <f>HYPERLINK("http://www.informatics.jax.org/marker/MGI:1354695","MGI:1354695")</f>
        <v>MGI:1354695</v>
      </c>
      <c r="J3519" s="4" t="s">
        <v>12</v>
      </c>
    </row>
    <row r="3520" spans="1:10" x14ac:dyDescent="0.25">
      <c r="A3520" s="2">
        <v>2287.4073779760201</v>
      </c>
      <c r="B3520" s="3">
        <v>7.8193489170288302E-2</v>
      </c>
      <c r="C3520" s="3">
        <v>7.0286072807422106E-2</v>
      </c>
      <c r="D3520" s="4">
        <v>0.15191694460570099</v>
      </c>
      <c r="E3520" s="3" t="s">
        <v>8651</v>
      </c>
      <c r="F3520" s="3" t="s">
        <v>8652</v>
      </c>
      <c r="G3520" s="3">
        <v>57750</v>
      </c>
      <c r="H3520" s="7" t="str">
        <f>HYPERLINK("http://www.ensembl.org/Mus_musculus/Gene/Summary?db=core;g=ENSMUSG00000026019","ENSMUSG00000026019")</f>
        <v>ENSMUSG00000026019</v>
      </c>
      <c r="I3520" s="7" t="str">
        <f>HYPERLINK("http://www.informatics.jax.org/marker/MGI:1927241","MGI:1927241")</f>
        <v>MGI:1927241</v>
      </c>
      <c r="J3520" s="4" t="s">
        <v>12</v>
      </c>
    </row>
    <row r="3521" spans="1:10" x14ac:dyDescent="0.25">
      <c r="A3521" s="2">
        <v>827.88574061733902</v>
      </c>
      <c r="B3521" s="3">
        <v>7.7866462638090703E-2</v>
      </c>
      <c r="C3521" s="3">
        <v>0.205708568727692</v>
      </c>
      <c r="D3521" s="4">
        <v>0.35858810760996601</v>
      </c>
      <c r="E3521" s="3" t="s">
        <v>12119</v>
      </c>
      <c r="F3521" s="3" t="s">
        <v>12120</v>
      </c>
      <c r="G3521" s="3">
        <v>67841</v>
      </c>
      <c r="H3521" s="7" t="str">
        <f>HYPERLINK("http://www.ensembl.org/Mus_musculus/Gene/Summary?db=core;g=ENSMUSG00000022663","ENSMUSG00000022663")</f>
        <v>ENSMUSG00000022663</v>
      </c>
      <c r="I3521" s="7" t="str">
        <f>HYPERLINK("http://www.informatics.jax.org/marker/MGI:1915091","MGI:1915091")</f>
        <v>MGI:1915091</v>
      </c>
      <c r="J3521" s="4" t="s">
        <v>12</v>
      </c>
    </row>
    <row r="3522" spans="1:10" x14ac:dyDescent="0.25">
      <c r="A3522" s="2">
        <v>259.65551563378398</v>
      </c>
      <c r="B3522" s="3">
        <v>7.7498829072516998E-2</v>
      </c>
      <c r="C3522" s="3">
        <v>0.29661224670820902</v>
      </c>
      <c r="D3522" s="4">
        <v>0.47039316013375398</v>
      </c>
      <c r="E3522" s="3" t="s">
        <v>8619</v>
      </c>
      <c r="F3522" s="3" t="s">
        <v>8620</v>
      </c>
      <c r="G3522" s="3">
        <v>21339</v>
      </c>
      <c r="H3522" s="7" t="str">
        <f>HYPERLINK("http://www.ensembl.org/Mus_musculus/Gene/Summary?db=core;g=ENSMUSG00000072258","ENSMUSG00000072258")</f>
        <v>ENSMUSG00000072258</v>
      </c>
      <c r="I3522" s="7" t="str">
        <f>HYPERLINK("http://www.informatics.jax.org/marker/MGI:109578","MGI:109578")</f>
        <v>MGI:109578</v>
      </c>
      <c r="J3522" s="4" t="s">
        <v>12</v>
      </c>
    </row>
    <row r="3523" spans="1:10" x14ac:dyDescent="0.25">
      <c r="A3523" s="2">
        <v>839.95078765756602</v>
      </c>
      <c r="B3523" s="3">
        <v>7.6744359811181107E-2</v>
      </c>
      <c r="C3523" s="3">
        <v>0.13283876672998499</v>
      </c>
      <c r="D3523" s="4">
        <v>0.25632467164150002</v>
      </c>
      <c r="E3523" s="3" t="s">
        <v>10536</v>
      </c>
      <c r="F3523" s="3" t="s">
        <v>10537</v>
      </c>
      <c r="G3523" s="3">
        <v>69612</v>
      </c>
      <c r="H3523" s="7" t="str">
        <f>HYPERLINK("http://www.ensembl.org/Mus_musculus/Gene/Summary?db=core;g=ENSMUSG00000022992","ENSMUSG00000022992")</f>
        <v>ENSMUSG00000022992</v>
      </c>
      <c r="I3523" s="7" t="str">
        <f>HYPERLINK("http://www.informatics.jax.org/marker/MGI:1916862","MGI:1916862")</f>
        <v>MGI:1916862</v>
      </c>
      <c r="J3523" s="4" t="s">
        <v>12</v>
      </c>
    </row>
    <row r="3524" spans="1:10" x14ac:dyDescent="0.25">
      <c r="A3524" s="2">
        <v>865.94368213377402</v>
      </c>
      <c r="B3524" s="3">
        <v>7.5529550801242504E-2</v>
      </c>
      <c r="C3524" s="3">
        <v>0.26441922272691498</v>
      </c>
      <c r="D3524" s="4">
        <v>0.432744282884162</v>
      </c>
      <c r="E3524" s="3" t="s">
        <v>9535</v>
      </c>
      <c r="F3524" s="3" t="s">
        <v>9536</v>
      </c>
      <c r="G3524" s="3">
        <v>21399</v>
      </c>
      <c r="H3524" s="7" t="str">
        <f>HYPERLINK("http://www.ensembl.org/Mus_musculus/Gene/Summary?db=core;g=ENSMUSG00000033813","ENSMUSG00000033813")</f>
        <v>ENSMUSG00000033813</v>
      </c>
      <c r="I3524" s="7" t="str">
        <f>HYPERLINK("http://www.informatics.jax.org/marker/MGI:1196624","MGI:1196624")</f>
        <v>MGI:1196624</v>
      </c>
      <c r="J3524" s="4" t="s">
        <v>12</v>
      </c>
    </row>
    <row r="3525" spans="1:10" x14ac:dyDescent="0.25">
      <c r="A3525" s="2">
        <v>1504.4339285682499</v>
      </c>
      <c r="B3525" s="3">
        <v>7.5370112542826107E-2</v>
      </c>
      <c r="C3525" s="3">
        <v>0.16596131949809201</v>
      </c>
      <c r="D3525" s="4">
        <v>0.30480989947954601</v>
      </c>
      <c r="E3525" s="3" t="s">
        <v>12019</v>
      </c>
      <c r="F3525" s="3" t="s">
        <v>12020</v>
      </c>
      <c r="G3525" s="3">
        <v>20224</v>
      </c>
      <c r="H3525" s="7" t="str">
        <f>HYPERLINK("http://www.ensembl.org/Mus_musculus/Gene/Summary?db=core;g=ENSMUSG00000020088","ENSMUSG00000020088")</f>
        <v>ENSMUSG00000020088</v>
      </c>
      <c r="I3525" s="7" t="str">
        <f>HYPERLINK("http://www.informatics.jax.org/marker/MGI:98230","MGI:98230")</f>
        <v>MGI:98230</v>
      </c>
      <c r="J3525" s="4" t="s">
        <v>12</v>
      </c>
    </row>
    <row r="3526" spans="1:10" x14ac:dyDescent="0.25">
      <c r="A3526" s="2">
        <v>1735.8802690935299</v>
      </c>
      <c r="B3526" s="3">
        <v>7.5048399410799702E-2</v>
      </c>
      <c r="C3526" s="3">
        <v>0.162287369655254</v>
      </c>
      <c r="D3526" s="4">
        <v>0.29984913047409301</v>
      </c>
      <c r="E3526" s="3" t="s">
        <v>13855</v>
      </c>
      <c r="F3526" s="3" t="s">
        <v>13856</v>
      </c>
      <c r="G3526" s="3">
        <v>67878</v>
      </c>
      <c r="H3526" s="7" t="str">
        <f>HYPERLINK("http://www.ensembl.org/Mus_musculus/Gene/Summary?db=core;g=ENSMUSG00000037720","ENSMUSG00000037720")</f>
        <v>ENSMUSG00000037720</v>
      </c>
      <c r="I3526" s="7" t="str">
        <f>HYPERLINK("http://www.informatics.jax.org/marker/MGI:1915128","MGI:1915128")</f>
        <v>MGI:1915128</v>
      </c>
      <c r="J3526" s="4" t="s">
        <v>12</v>
      </c>
    </row>
    <row r="3527" spans="1:10" x14ac:dyDescent="0.25">
      <c r="A3527" s="2">
        <v>664.22627029311502</v>
      </c>
      <c r="B3527" s="3">
        <v>7.4286365266358706E-2</v>
      </c>
      <c r="C3527" s="3">
        <v>0.28551913581245197</v>
      </c>
      <c r="D3527" s="4">
        <v>0.45790093718601999</v>
      </c>
      <c r="E3527" s="3" t="s">
        <v>10722</v>
      </c>
      <c r="F3527" s="3" t="s">
        <v>10723</v>
      </c>
      <c r="G3527" s="3">
        <v>229004</v>
      </c>
      <c r="H3527" s="7" t="str">
        <f>HYPERLINK("http://www.ensembl.org/Mus_musculus/Gene/Summary?db=core;g=ENSMUSG00000038705","ENSMUSG00000038705")</f>
        <v>ENSMUSG00000038705</v>
      </c>
      <c r="I3527" s="7" t="str">
        <f>HYPERLINK("http://www.informatics.jax.org/marker/MGI:2652836","MGI:2652836")</f>
        <v>MGI:2652836</v>
      </c>
      <c r="J3527" s="4" t="s">
        <v>12</v>
      </c>
    </row>
    <row r="3528" spans="1:10" x14ac:dyDescent="0.25">
      <c r="A3528" s="2">
        <v>323.32857295052702</v>
      </c>
      <c r="B3528" s="3">
        <v>7.4049839229580194E-2</v>
      </c>
      <c r="C3528" s="3">
        <v>0.36861017340538499</v>
      </c>
      <c r="D3528" s="4">
        <v>0.54741337669752199</v>
      </c>
      <c r="E3528" s="3" t="s">
        <v>13343</v>
      </c>
      <c r="F3528" s="3" t="s">
        <v>13344</v>
      </c>
      <c r="G3528" s="3">
        <v>60507</v>
      </c>
      <c r="H3528" s="7" t="str">
        <f>HYPERLINK("http://www.ensembl.org/Mus_musculus/Gene/Summary?db=core;g=ENSMUSG00000002825","ENSMUSG00000002825")</f>
        <v>ENSMUSG00000002825</v>
      </c>
      <c r="I3528" s="7" t="str">
        <f>HYPERLINK("http://www.informatics.jax.org/marker/MGI:1931441","MGI:1931441")</f>
        <v>MGI:1931441</v>
      </c>
      <c r="J3528" s="4" t="s">
        <v>12</v>
      </c>
    </row>
    <row r="3529" spans="1:10" x14ac:dyDescent="0.25">
      <c r="A3529" s="2">
        <v>426.11559009951799</v>
      </c>
      <c r="B3529" s="3">
        <v>7.40201536290577E-2</v>
      </c>
      <c r="C3529" s="3">
        <v>0.35409335086926302</v>
      </c>
      <c r="D3529" s="4">
        <v>0.53197191654375697</v>
      </c>
      <c r="E3529" s="3" t="s">
        <v>11261</v>
      </c>
      <c r="F3529" s="3" t="s">
        <v>11262</v>
      </c>
      <c r="G3529" s="3">
        <v>56724</v>
      </c>
      <c r="H3529" s="7" t="str">
        <f>HYPERLINK("http://www.ensembl.org/Mus_musculus/Gene/Summary?db=core;g=ENSMUSG00000024146","ENSMUSG00000024146")</f>
        <v>ENSMUSG00000024146</v>
      </c>
      <c r="I3529" s="7" t="str">
        <f>HYPERLINK("http://www.informatics.jax.org/marker/MGI:1929655","MGI:1929655")</f>
        <v>MGI:1929655</v>
      </c>
      <c r="J3529" s="4" t="s">
        <v>12</v>
      </c>
    </row>
    <row r="3530" spans="1:10" x14ac:dyDescent="0.25">
      <c r="A3530" s="2">
        <v>1515.34353166028</v>
      </c>
      <c r="B3530" s="3">
        <v>7.3833038789111502E-2</v>
      </c>
      <c r="C3530" s="3">
        <v>0.22784031696571899</v>
      </c>
      <c r="D3530" s="4">
        <v>0.38741201545191001</v>
      </c>
      <c r="E3530" s="3" t="s">
        <v>11409</v>
      </c>
      <c r="F3530" s="3" t="s">
        <v>11410</v>
      </c>
      <c r="G3530" s="3">
        <v>68979</v>
      </c>
      <c r="H3530" s="7" t="str">
        <f>HYPERLINK("http://www.ensembl.org/Mus_musculus/Gene/Summary?db=core;g=ENSMUSG00000018433","ENSMUSG00000018433")</f>
        <v>ENSMUSG00000018433</v>
      </c>
      <c r="I3530" s="7" t="str">
        <f>HYPERLINK("http://www.informatics.jax.org/marker/MGI:1916229","MGI:1916229")</f>
        <v>MGI:1916229</v>
      </c>
      <c r="J3530" s="4" t="s">
        <v>12</v>
      </c>
    </row>
    <row r="3531" spans="1:10" x14ac:dyDescent="0.25">
      <c r="A3531" s="2">
        <v>1058.8322835244401</v>
      </c>
      <c r="B3531" s="3">
        <v>7.2488806552027801E-2</v>
      </c>
      <c r="C3531" s="3">
        <v>0.13014378283445999</v>
      </c>
      <c r="D3531" s="4">
        <v>0.252165685961942</v>
      </c>
      <c r="E3531" s="3" t="s">
        <v>13069</v>
      </c>
      <c r="F3531" s="3" t="s">
        <v>13070</v>
      </c>
      <c r="G3531" s="3">
        <v>320806</v>
      </c>
      <c r="H3531" s="7" t="str">
        <f>HYPERLINK("http://www.ensembl.org/Mus_musculus/Gene/Summary?db=core;g=ENSMUSG00000021666","ENSMUSG00000021666")</f>
        <v>ENSMUSG00000021666</v>
      </c>
      <c r="I3531" s="7" t="str">
        <f>HYPERLINK("http://www.informatics.jax.org/marker/MGI:2444783","MGI:2444783")</f>
        <v>MGI:2444783</v>
      </c>
      <c r="J3531" s="4" t="s">
        <v>12</v>
      </c>
    </row>
    <row r="3532" spans="1:10" x14ac:dyDescent="0.25">
      <c r="A3532" s="2">
        <v>119.239342609941</v>
      </c>
      <c r="B3532" s="3">
        <v>6.9777330510993801E-2</v>
      </c>
      <c r="C3532" s="3">
        <v>0.62043907263099796</v>
      </c>
      <c r="D3532" s="4">
        <v>0.77178394937397199</v>
      </c>
      <c r="E3532" s="3" t="s">
        <v>6531</v>
      </c>
      <c r="F3532" s="3" t="s">
        <v>6532</v>
      </c>
      <c r="G3532" s="3">
        <v>71956</v>
      </c>
      <c r="H3532" s="7" t="str">
        <f>HYPERLINK("http://www.ensembl.org/Mus_musculus/Gene/Summary?db=core;g=ENSMUSG00000020707","ENSMUSG00000020707")</f>
        <v>ENSMUSG00000020707</v>
      </c>
      <c r="I3532" s="7" t="str">
        <f>HYPERLINK("http://www.informatics.jax.org/marker/MGI:1919206","MGI:1919206")</f>
        <v>MGI:1919206</v>
      </c>
      <c r="J3532" s="4" t="s">
        <v>12</v>
      </c>
    </row>
    <row r="3533" spans="1:10" x14ac:dyDescent="0.25">
      <c r="A3533" s="2">
        <v>1908.0277489267</v>
      </c>
      <c r="B3533" s="3">
        <v>6.9746972182254993E-2</v>
      </c>
      <c r="C3533" s="3">
        <v>0.118886798946544</v>
      </c>
      <c r="D3533" s="4">
        <v>0.23431511958481199</v>
      </c>
      <c r="E3533" s="3" t="s">
        <v>14021</v>
      </c>
      <c r="F3533" s="3" t="s">
        <v>14022</v>
      </c>
      <c r="G3533" s="3">
        <v>70349</v>
      </c>
      <c r="H3533" s="7" t="str">
        <f>HYPERLINK("http://www.ensembl.org/Mus_musculus/Gene/Summary?db=core;g=ENSMUSG00000030754","ENSMUSG00000030754")</f>
        <v>ENSMUSG00000030754</v>
      </c>
      <c r="I3533" s="7" t="str">
        <f>HYPERLINK("http://www.informatics.jax.org/marker/MGI:1917599","MGI:1917599")</f>
        <v>MGI:1917599</v>
      </c>
      <c r="J3533" s="4" t="s">
        <v>12</v>
      </c>
    </row>
    <row r="3534" spans="1:10" x14ac:dyDescent="0.25">
      <c r="A3534" s="2">
        <v>2294.1876471553301</v>
      </c>
      <c r="B3534" s="3">
        <v>6.8307510159248602E-2</v>
      </c>
      <c r="C3534" s="3">
        <v>0.11992385944601699</v>
      </c>
      <c r="D3534" s="4">
        <v>0.23594334374324</v>
      </c>
      <c r="E3534" s="3" t="s">
        <v>8655</v>
      </c>
      <c r="F3534" s="3" t="s">
        <v>8656</v>
      </c>
      <c r="G3534" s="3">
        <v>69082</v>
      </c>
      <c r="H3534" s="7" t="str">
        <f>HYPERLINK("http://www.ensembl.org/Mus_musculus/Gene/Summary?db=core;g=ENSMUSG00000027091","ENSMUSG00000027091")</f>
        <v>ENSMUSG00000027091</v>
      </c>
      <c r="I3534" s="7" t="str">
        <f>HYPERLINK("http://www.informatics.jax.org/marker/MGI:1919747","MGI:1919747")</f>
        <v>MGI:1919747</v>
      </c>
      <c r="J3534" s="4" t="s">
        <v>12</v>
      </c>
    </row>
    <row r="3535" spans="1:10" x14ac:dyDescent="0.25">
      <c r="A3535" s="2">
        <v>2867.92005617012</v>
      </c>
      <c r="B3535" s="3">
        <v>6.8296064118548397E-2</v>
      </c>
      <c r="C3535" s="3">
        <v>0.117009693768478</v>
      </c>
      <c r="D3535" s="4">
        <v>0.23129085346318001</v>
      </c>
      <c r="E3535" s="3" t="s">
        <v>7820</v>
      </c>
      <c r="F3535" s="3" t="s">
        <v>7821</v>
      </c>
      <c r="G3535" s="3" t="s">
        <v>83</v>
      </c>
      <c r="H3535" s="7" t="str">
        <f>HYPERLINK("http://www.ensembl.org/Mus_musculus/Gene/Summary?db=core;g=ENSMUSG00000092595","ENSMUSG00000092595")</f>
        <v>ENSMUSG00000092595</v>
      </c>
      <c r="I3535" s="7" t="str">
        <f>HYPERLINK("http://www.informatics.jax.org/marker/MGI:5141892","MGI:5141892")</f>
        <v>MGI:5141892</v>
      </c>
      <c r="J3535" s="4" t="s">
        <v>331</v>
      </c>
    </row>
    <row r="3536" spans="1:10" x14ac:dyDescent="0.25">
      <c r="A3536" s="2">
        <v>3017.4620101217902</v>
      </c>
      <c r="B3536" s="3">
        <v>6.8140387187461293E-2</v>
      </c>
      <c r="C3536" s="3">
        <v>0.29670584390973298</v>
      </c>
      <c r="D3536" s="4">
        <v>0.47039722481305202</v>
      </c>
      <c r="E3536" s="3" t="s">
        <v>13057</v>
      </c>
      <c r="F3536" s="3" t="s">
        <v>13058</v>
      </c>
      <c r="G3536" s="3">
        <v>228005</v>
      </c>
      <c r="H3536" s="7" t="str">
        <f>HYPERLINK("http://www.ensembl.org/Mus_musculus/Gene/Summary?db=core;g=ENSMUSG00000042133","ENSMUSG00000042133")</f>
        <v>ENSMUSG00000042133</v>
      </c>
      <c r="I3536" s="7" t="str">
        <f>HYPERLINK("http://www.informatics.jax.org/marker/MGI:2445173","MGI:2445173")</f>
        <v>MGI:2445173</v>
      </c>
      <c r="J3536" s="4" t="s">
        <v>12</v>
      </c>
    </row>
    <row r="3537" spans="1:10" x14ac:dyDescent="0.25">
      <c r="A3537" s="2">
        <v>801.18151658008799</v>
      </c>
      <c r="B3537" s="3">
        <v>6.8019892321648998E-2</v>
      </c>
      <c r="C3537" s="3">
        <v>0.37580997821516798</v>
      </c>
      <c r="D3537" s="4">
        <v>0.55489197736223395</v>
      </c>
      <c r="E3537" s="3" t="s">
        <v>13322</v>
      </c>
      <c r="F3537" s="3" t="s">
        <v>13323</v>
      </c>
      <c r="G3537" s="3">
        <v>56334</v>
      </c>
      <c r="H3537" s="7" t="str">
        <f>HYPERLINK("http://www.ensembl.org/Mus_musculus/Gene/Summary?db=core;g=ENSMUSG00000029390","ENSMUSG00000029390")</f>
        <v>ENSMUSG00000029390</v>
      </c>
      <c r="I3537" s="7" t="str">
        <f>HYPERLINK("http://www.informatics.jax.org/marker/MGI:1929269","MGI:1929269")</f>
        <v>MGI:1929269</v>
      </c>
      <c r="J3537" s="4" t="s">
        <v>12</v>
      </c>
    </row>
    <row r="3538" spans="1:10" x14ac:dyDescent="0.25">
      <c r="A3538" s="2">
        <v>1189.30167012783</v>
      </c>
      <c r="B3538" s="3">
        <v>6.7961839430342202E-2</v>
      </c>
      <c r="C3538" s="3">
        <v>0.48244823263064601</v>
      </c>
      <c r="D3538" s="4">
        <v>0.65817943256931899</v>
      </c>
      <c r="E3538" s="3" t="s">
        <v>12123</v>
      </c>
      <c r="F3538" s="3" t="s">
        <v>12124</v>
      </c>
      <c r="G3538" s="3">
        <v>58194</v>
      </c>
      <c r="H3538" s="7" t="str">
        <f>HYPERLINK("http://www.ensembl.org/Mus_musculus/Gene/Summary?db=core;g=ENSMUSG00000040990","ENSMUSG00000040990")</f>
        <v>ENSMUSG00000040990</v>
      </c>
      <c r="I3538" s="7" t="str">
        <f>HYPERLINK("http://www.informatics.jax.org/marker/MGI:1889583","MGI:1889583")</f>
        <v>MGI:1889583</v>
      </c>
      <c r="J3538" s="4" t="s">
        <v>12</v>
      </c>
    </row>
    <row r="3539" spans="1:10" x14ac:dyDescent="0.25">
      <c r="A3539" s="2">
        <v>948.667786997284</v>
      </c>
      <c r="B3539" s="3">
        <v>6.7326095904513605E-2</v>
      </c>
      <c r="C3539" s="3">
        <v>0.31213264522261502</v>
      </c>
      <c r="D3539" s="4">
        <v>0.48778291822810399</v>
      </c>
      <c r="E3539" s="3" t="s">
        <v>10180</v>
      </c>
      <c r="F3539" s="3" t="s">
        <v>10181</v>
      </c>
      <c r="G3539" s="3">
        <v>67205</v>
      </c>
      <c r="H3539" s="7" t="str">
        <f>HYPERLINK("http://www.ensembl.org/Mus_musculus/Gene/Summary?db=core;g=ENSMUSG00000028907","ENSMUSG00000028907")</f>
        <v>ENSMUSG00000028907</v>
      </c>
      <c r="I3539" s="7" t="str">
        <f>HYPERLINK("http://www.informatics.jax.org/marker/MGI:1914455","MGI:1914455")</f>
        <v>MGI:1914455</v>
      </c>
      <c r="J3539" s="4" t="s">
        <v>12</v>
      </c>
    </row>
    <row r="3540" spans="1:10" x14ac:dyDescent="0.25">
      <c r="A3540" s="2">
        <v>892.30784616394999</v>
      </c>
      <c r="B3540" s="3">
        <v>6.6754769403124803E-2</v>
      </c>
      <c r="C3540" s="3">
        <v>0.21225154220513401</v>
      </c>
      <c r="D3540" s="4">
        <v>0.36751821951887398</v>
      </c>
      <c r="E3540" s="3" t="s">
        <v>12179</v>
      </c>
      <c r="F3540" s="3" t="s">
        <v>12180</v>
      </c>
      <c r="G3540" s="3">
        <v>71745</v>
      </c>
      <c r="H3540" s="7" t="str">
        <f>HYPERLINK("http://www.ensembl.org/Mus_musculus/Gene/Summary?db=core;g=ENSMUSG00000024231","ENSMUSG00000024231")</f>
        <v>ENSMUSG00000024231</v>
      </c>
      <c r="I3540" s="7" t="str">
        <f>HYPERLINK("http://www.informatics.jax.org/marker/MGI:1918995","MGI:1918995")</f>
        <v>MGI:1918995</v>
      </c>
      <c r="J3540" s="4" t="s">
        <v>12</v>
      </c>
    </row>
    <row r="3541" spans="1:10" x14ac:dyDescent="0.25">
      <c r="A3541" s="2">
        <v>44744.638710702602</v>
      </c>
      <c r="B3541" s="3">
        <v>6.6006086945770606E-2</v>
      </c>
      <c r="C3541" s="3">
        <v>0.54538080321777005</v>
      </c>
      <c r="D3541" s="4">
        <v>0.71118811810560001</v>
      </c>
      <c r="E3541" s="3" t="s">
        <v>11889</v>
      </c>
      <c r="F3541" s="3" t="s">
        <v>11890</v>
      </c>
      <c r="G3541" s="3">
        <v>20750</v>
      </c>
      <c r="H3541" s="7" t="str">
        <f>HYPERLINK("http://www.ensembl.org/Mus_musculus/Gene/Summary?db=core;g=ENSMUSG00000029304","ENSMUSG00000029304")</f>
        <v>ENSMUSG00000029304</v>
      </c>
      <c r="I3541" s="7" t="str">
        <f>HYPERLINK("http://www.informatics.jax.org/marker/MGI:98389","MGI:98389")</f>
        <v>MGI:98389</v>
      </c>
      <c r="J3541" s="4" t="s">
        <v>12</v>
      </c>
    </row>
    <row r="3542" spans="1:10" x14ac:dyDescent="0.25">
      <c r="A3542" s="2">
        <v>842.79520237117504</v>
      </c>
      <c r="B3542" s="3">
        <v>6.5597813796903603E-2</v>
      </c>
      <c r="C3542" s="3">
        <v>0.40953049423890098</v>
      </c>
      <c r="D3542" s="4">
        <v>0.58778494703921702</v>
      </c>
      <c r="E3542" s="3" t="s">
        <v>11279</v>
      </c>
      <c r="F3542" s="3" t="s">
        <v>11280</v>
      </c>
      <c r="G3542" s="3">
        <v>12370</v>
      </c>
      <c r="H3542" s="7" t="str">
        <f>HYPERLINK("http://www.ensembl.org/Mus_musculus/Gene/Summary?db=core;g=ENSMUSG00000026029","ENSMUSG00000026029")</f>
        <v>ENSMUSG00000026029</v>
      </c>
      <c r="I3542" s="7" t="str">
        <f>HYPERLINK("http://www.informatics.jax.org/marker/MGI:1261423","MGI:1261423")</f>
        <v>MGI:1261423</v>
      </c>
      <c r="J3542" s="4" t="s">
        <v>12</v>
      </c>
    </row>
    <row r="3543" spans="1:10" x14ac:dyDescent="0.25">
      <c r="A3543" s="2">
        <v>265.16920958947202</v>
      </c>
      <c r="B3543" s="3">
        <v>6.5363714130725004E-2</v>
      </c>
      <c r="C3543" s="3">
        <v>0.50492462791345305</v>
      </c>
      <c r="D3543" s="4">
        <v>0.67701971442569597</v>
      </c>
      <c r="E3543" s="3" t="s">
        <v>13312</v>
      </c>
      <c r="F3543" s="3" t="s">
        <v>13313</v>
      </c>
      <c r="G3543" s="3">
        <v>70691</v>
      </c>
      <c r="H3543" s="7" t="str">
        <f>HYPERLINK("http://www.ensembl.org/Mus_musculus/Gene/Summary?db=core;g=ENSMUSG00000031125","ENSMUSG00000031125")</f>
        <v>ENSMUSG00000031125</v>
      </c>
      <c r="I3543" s="7" t="str">
        <f>HYPERLINK("http://www.informatics.jax.org/marker/MGI:1917941","MGI:1917941")</f>
        <v>MGI:1917941</v>
      </c>
      <c r="J3543" s="4" t="s">
        <v>12</v>
      </c>
    </row>
    <row r="3544" spans="1:10" x14ac:dyDescent="0.25">
      <c r="A3544" s="2">
        <v>727.046216696138</v>
      </c>
      <c r="B3544" s="3">
        <v>6.4971965087974801E-2</v>
      </c>
      <c r="C3544" s="3">
        <v>0.32438663220504999</v>
      </c>
      <c r="D3544" s="4">
        <v>0.50113981282843401</v>
      </c>
      <c r="E3544" s="3" t="s">
        <v>9633</v>
      </c>
      <c r="F3544" s="3" t="s">
        <v>9634</v>
      </c>
      <c r="G3544" s="3">
        <v>228602</v>
      </c>
      <c r="H3544" s="7" t="str">
        <f>HYPERLINK("http://www.ensembl.org/Mus_musculus/Gene/Summary?db=core;g=ENSMUSG00000027309","ENSMUSG00000027309")</f>
        <v>ENSMUSG00000027309</v>
      </c>
      <c r="I3544" s="7" t="str">
        <f>HYPERLINK("http://www.informatics.jax.org/marker/MGI:1923029","MGI:1923029")</f>
        <v>MGI:1923029</v>
      </c>
      <c r="J3544" s="4" t="s">
        <v>12</v>
      </c>
    </row>
    <row r="3545" spans="1:10" x14ac:dyDescent="0.25">
      <c r="A3545" s="2">
        <v>2939.5549770518501</v>
      </c>
      <c r="B3545" s="3">
        <v>6.4622057456844795E-2</v>
      </c>
      <c r="C3545" s="3">
        <v>0.17133980512743099</v>
      </c>
      <c r="D3545" s="4">
        <v>0.31236367614687199</v>
      </c>
      <c r="E3545" s="3" t="s">
        <v>13917</v>
      </c>
      <c r="F3545" s="3" t="s">
        <v>13918</v>
      </c>
      <c r="G3545" s="3">
        <v>22224</v>
      </c>
      <c r="H3545" s="7" t="str">
        <f>HYPERLINK("http://www.ensembl.org/Mus_musculus/Gene/Summary?db=core;g=ENSMUSG00000031826","ENSMUSG00000031826")</f>
        <v>ENSMUSG00000031826</v>
      </c>
      <c r="I3545" s="7" t="str">
        <f>HYPERLINK("http://www.informatics.jax.org/marker/MGI:894652","MGI:894652")</f>
        <v>MGI:894652</v>
      </c>
      <c r="J3545" s="4" t="s">
        <v>12</v>
      </c>
    </row>
    <row r="3546" spans="1:10" x14ac:dyDescent="0.25">
      <c r="A3546" s="2">
        <v>0.83361659427085799</v>
      </c>
      <c r="B3546" s="3">
        <v>6.4620323035480196E-2</v>
      </c>
      <c r="C3546" s="3">
        <v>0.87746154069572102</v>
      </c>
      <c r="D3546" s="4">
        <v>0.933824033820701</v>
      </c>
      <c r="E3546" s="3" t="s">
        <v>13911</v>
      </c>
      <c r="F3546" s="3" t="s">
        <v>13912</v>
      </c>
      <c r="G3546" s="3" t="s">
        <v>83</v>
      </c>
      <c r="H3546" s="7" t="str">
        <f>HYPERLINK("http://www.ensembl.org/Mus_musculus/Gene/Summary?db=core;g=ENSMUSG00000064859","ENSMUSG00000064859")</f>
        <v>ENSMUSG00000064859</v>
      </c>
      <c r="I3546" s="7" t="str">
        <f>HYPERLINK("http://www.informatics.jax.org/marker/MGI:5454301","MGI:5454301")</f>
        <v>MGI:5454301</v>
      </c>
      <c r="J3546" s="4" t="s">
        <v>13342</v>
      </c>
    </row>
    <row r="3547" spans="1:10" x14ac:dyDescent="0.25">
      <c r="A3547" s="2">
        <v>1065.31612278281</v>
      </c>
      <c r="B3547" s="3">
        <v>6.3995488157265495E-2</v>
      </c>
      <c r="C3547" s="3">
        <v>0.184978634782756</v>
      </c>
      <c r="D3547" s="4">
        <v>0.33132536795240503</v>
      </c>
      <c r="E3547" s="3" t="s">
        <v>11297</v>
      </c>
      <c r="F3547" s="3" t="s">
        <v>11298</v>
      </c>
      <c r="G3547" s="3">
        <v>26398</v>
      </c>
      <c r="H3547" s="7" t="str">
        <f>HYPERLINK("http://www.ensembl.org/Mus_musculus/Gene/Summary?db=core;g=ENSMUSG00000033352","ENSMUSG00000033352")</f>
        <v>ENSMUSG00000033352</v>
      </c>
      <c r="I3547" s="7" t="str">
        <f>HYPERLINK("http://www.informatics.jax.org/marker/MGI:1346869","MGI:1346869")</f>
        <v>MGI:1346869</v>
      </c>
      <c r="J3547" s="4" t="s">
        <v>12</v>
      </c>
    </row>
    <row r="3548" spans="1:10" x14ac:dyDescent="0.25">
      <c r="A3548" s="2">
        <v>2877.7329287800198</v>
      </c>
      <c r="B3548" s="3">
        <v>6.3326870054410997E-2</v>
      </c>
      <c r="C3548" s="3">
        <v>0.12831584052681799</v>
      </c>
      <c r="D3548" s="4">
        <v>0.24915365369713</v>
      </c>
      <c r="E3548" s="3" t="s">
        <v>10922</v>
      </c>
      <c r="F3548" s="3" t="s">
        <v>10923</v>
      </c>
      <c r="G3548" s="3">
        <v>234549</v>
      </c>
      <c r="H3548" s="7" t="str">
        <f>HYPERLINK("http://www.ensembl.org/Mus_musculus/Gene/Summary?db=core;g=ENSMUSG00000031657","ENSMUSG00000031657")</f>
        <v>ENSMUSG00000031657</v>
      </c>
      <c r="I3548" s="7" t="str">
        <f>HYPERLINK("http://www.informatics.jax.org/marker/MGI:2444491","MGI:2444491")</f>
        <v>MGI:2444491</v>
      </c>
      <c r="J3548" s="4" t="s">
        <v>12</v>
      </c>
    </row>
    <row r="3549" spans="1:10" x14ac:dyDescent="0.25">
      <c r="A3549" s="2">
        <v>1102.61141984493</v>
      </c>
      <c r="B3549" s="3">
        <v>6.2663795214058099E-2</v>
      </c>
      <c r="C3549" s="3">
        <v>0.14893031822890199</v>
      </c>
      <c r="D3549" s="4">
        <v>0.28028242975234802</v>
      </c>
      <c r="E3549" s="3" t="s">
        <v>10702</v>
      </c>
      <c r="F3549" s="3" t="s">
        <v>10703</v>
      </c>
      <c r="G3549" s="3">
        <v>107829</v>
      </c>
      <c r="H3549" s="7" t="str">
        <f>HYPERLINK("http://www.ensembl.org/Mus_musculus/Gene/Summary?db=core;g=ENSMUSG00000034274","ENSMUSG00000034274")</f>
        <v>ENSMUSG00000034274</v>
      </c>
      <c r="I3549" s="7" t="str">
        <f>HYPERLINK("http://www.informatics.jax.org/marker/MGI:1351333","MGI:1351333")</f>
        <v>MGI:1351333</v>
      </c>
      <c r="J3549" s="4" t="s">
        <v>12</v>
      </c>
    </row>
    <row r="3550" spans="1:10" x14ac:dyDescent="0.25">
      <c r="A3550" s="2">
        <v>1502.3772073888699</v>
      </c>
      <c r="B3550" s="3">
        <v>6.2198248655027197E-2</v>
      </c>
      <c r="C3550" s="3">
        <v>0.30863289740766597</v>
      </c>
      <c r="D3550" s="4">
        <v>0.48356555667595502</v>
      </c>
      <c r="E3550" s="3" t="s">
        <v>9875</v>
      </c>
      <c r="F3550" s="3" t="s">
        <v>9876</v>
      </c>
      <c r="G3550" s="3">
        <v>54383</v>
      </c>
      <c r="H3550" s="7" t="str">
        <f>HYPERLINK("http://www.ensembl.org/Mus_musculus/Gene/Summary?db=core;g=ENSMUSG00000028796","ENSMUSG00000028796")</f>
        <v>ENSMUSG00000028796</v>
      </c>
      <c r="I3550" s="7" t="str">
        <f>HYPERLINK("http://www.informatics.jax.org/marker/MGI:1860454","MGI:1860454")</f>
        <v>MGI:1860454</v>
      </c>
      <c r="J3550" s="4" t="s">
        <v>12</v>
      </c>
    </row>
    <row r="3551" spans="1:10" x14ac:dyDescent="0.25">
      <c r="A3551" s="2">
        <v>1939.9506575430501</v>
      </c>
      <c r="B3551" s="3">
        <v>5.9396488807677901E-2</v>
      </c>
      <c r="C3551" s="3">
        <v>0.16296609668388301</v>
      </c>
      <c r="D3551" s="4">
        <v>0.30079573749886201</v>
      </c>
      <c r="E3551" s="3" t="s">
        <v>9769</v>
      </c>
      <c r="F3551" s="3" t="s">
        <v>9770</v>
      </c>
      <c r="G3551" s="3">
        <v>56470</v>
      </c>
      <c r="H3551" s="7" t="str">
        <f>HYPERLINK("http://www.ensembl.org/Mus_musculus/Gene/Summary?db=core;g=ENSMUSG00000002458","ENSMUSG00000002458")</f>
        <v>ENSMUSG00000002458</v>
      </c>
      <c r="I3551" s="7" t="str">
        <f>HYPERLINK("http://www.informatics.jax.org/marker/MGI:1915153","MGI:1915153")</f>
        <v>MGI:1915153</v>
      </c>
      <c r="J3551" s="4" t="s">
        <v>12</v>
      </c>
    </row>
    <row r="3552" spans="1:10" x14ac:dyDescent="0.25">
      <c r="A3552" s="2">
        <v>2404.98861842515</v>
      </c>
      <c r="B3552" s="3">
        <v>5.80585204312839E-2</v>
      </c>
      <c r="C3552" s="3">
        <v>0.17957724684020401</v>
      </c>
      <c r="D3552" s="4">
        <v>0.32371862746416602</v>
      </c>
      <c r="E3552" s="3" t="s">
        <v>11661</v>
      </c>
      <c r="F3552" s="3" t="s">
        <v>11662</v>
      </c>
      <c r="G3552" s="3">
        <v>230935</v>
      </c>
      <c r="H3552" s="7" t="str">
        <f>HYPERLINK("http://www.ensembl.org/Mus_musculus/Gene/Summary?db=core;g=ENSMUSG00000039768","ENSMUSG00000039768")</f>
        <v>ENSMUSG00000039768</v>
      </c>
      <c r="I3552" s="7" t="str">
        <f>HYPERLINK("http://www.informatics.jax.org/marker/MGI:2443386","MGI:2443386")</f>
        <v>MGI:2443386</v>
      </c>
      <c r="J3552" s="4" t="s">
        <v>12</v>
      </c>
    </row>
    <row r="3553" spans="1:10" x14ac:dyDescent="0.25">
      <c r="A3553" s="2">
        <v>54.187376512659398</v>
      </c>
      <c r="B3553" s="3">
        <v>5.7734199859618703E-2</v>
      </c>
      <c r="C3553" s="3">
        <v>0.70654995712540303</v>
      </c>
      <c r="D3553" s="4">
        <v>0.82990931738917695</v>
      </c>
      <c r="E3553" s="3" t="s">
        <v>13851</v>
      </c>
      <c r="F3553" s="3" t="s">
        <v>13852</v>
      </c>
      <c r="G3553" s="3">
        <v>171530</v>
      </c>
      <c r="H3553" s="7" t="str">
        <f>HYPERLINK("http://www.ensembl.org/Mus_musculus/Gene/Summary?db=core;g=ENSMUSG00000049699","ENSMUSG00000049699")</f>
        <v>ENSMUSG00000049699</v>
      </c>
      <c r="I3553" s="7" t="str">
        <f>HYPERLINK("http://www.informatics.jax.org/marker/MGI:2176375","MGI:2176375")</f>
        <v>MGI:2176375</v>
      </c>
      <c r="J3553" s="4" t="s">
        <v>12</v>
      </c>
    </row>
    <row r="3554" spans="1:10" x14ac:dyDescent="0.25">
      <c r="A3554" s="2">
        <v>1706.0662531615401</v>
      </c>
      <c r="B3554" s="3">
        <v>5.7092320146006001E-2</v>
      </c>
      <c r="C3554" s="3">
        <v>0.24411603064048801</v>
      </c>
      <c r="D3554" s="4">
        <v>0.40794192723481498</v>
      </c>
      <c r="E3554" s="3" t="s">
        <v>13525</v>
      </c>
      <c r="F3554" s="3" t="s">
        <v>13526</v>
      </c>
      <c r="G3554" s="3">
        <v>18669</v>
      </c>
      <c r="H3554" s="7" t="str">
        <f>HYPERLINK("http://www.ensembl.org/Mus_musculus/Gene/Summary?db=core;g=ENSMUSG00000028970","ENSMUSG00000028970")</f>
        <v>ENSMUSG00000028970</v>
      </c>
      <c r="I3554" s="7" t="str">
        <f>HYPERLINK("http://www.informatics.jax.org/marker/MGI:97568","MGI:97568")</f>
        <v>MGI:97568</v>
      </c>
      <c r="J3554" s="4" t="s">
        <v>12</v>
      </c>
    </row>
    <row r="3555" spans="1:10" x14ac:dyDescent="0.25">
      <c r="A3555" s="2">
        <v>1302.19518150267</v>
      </c>
      <c r="B3555" s="3">
        <v>5.6965656771337997E-2</v>
      </c>
      <c r="C3555" s="3">
        <v>0.20870588463942299</v>
      </c>
      <c r="D3555" s="4">
        <v>0.36284192680324601</v>
      </c>
      <c r="E3555" s="3" t="s">
        <v>13817</v>
      </c>
      <c r="F3555" s="3" t="s">
        <v>13818</v>
      </c>
      <c r="G3555" s="3">
        <v>22196</v>
      </c>
      <c r="H3555" s="7" t="str">
        <f>HYPERLINK("http://www.ensembl.org/Mus_musculus/Gene/Summary?db=core;g=ENSMUSG00000015120","ENSMUSG00000015120")</f>
        <v>ENSMUSG00000015120</v>
      </c>
      <c r="I3555" s="7" t="str">
        <f>HYPERLINK("http://www.informatics.jax.org/marker/MGI:107365","MGI:107365")</f>
        <v>MGI:107365</v>
      </c>
      <c r="J3555" s="4" t="s">
        <v>12</v>
      </c>
    </row>
    <row r="3556" spans="1:10" x14ac:dyDescent="0.25">
      <c r="A3556" s="2">
        <v>1062.81400998035</v>
      </c>
      <c r="B3556" s="3">
        <v>5.5145354224124199E-2</v>
      </c>
      <c r="C3556" s="3">
        <v>0.18684555466591901</v>
      </c>
      <c r="D3556" s="4">
        <v>0.33398001508301001</v>
      </c>
      <c r="E3556" s="3" t="s">
        <v>7462</v>
      </c>
      <c r="F3556" s="3" t="s">
        <v>7463</v>
      </c>
      <c r="G3556" s="3">
        <v>103733</v>
      </c>
      <c r="H3556" s="7" t="str">
        <f>HYPERLINK("http://www.ensembl.org/Mus_musculus/Gene/Summary?db=core;g=ENSMUSG00000035198","ENSMUSG00000035198")</f>
        <v>ENSMUSG00000035198</v>
      </c>
      <c r="I3556" s="7" t="str">
        <f>HYPERLINK("http://www.informatics.jax.org/marker/MGI:101834","MGI:101834")</f>
        <v>MGI:101834</v>
      </c>
      <c r="J3556" s="4" t="s">
        <v>12</v>
      </c>
    </row>
    <row r="3557" spans="1:10" x14ac:dyDescent="0.25">
      <c r="A3557" s="2">
        <v>1007.13242392124</v>
      </c>
      <c r="B3557" s="3">
        <v>5.5081671752427598E-2</v>
      </c>
      <c r="C3557" s="3">
        <v>0.39133204992784798</v>
      </c>
      <c r="D3557" s="4">
        <v>0.56978721817807998</v>
      </c>
      <c r="E3557" s="3" t="s">
        <v>13663</v>
      </c>
      <c r="F3557" s="3" t="s">
        <v>13664</v>
      </c>
      <c r="G3557" s="3">
        <v>22194</v>
      </c>
      <c r="H3557" s="7" t="str">
        <f>HYPERLINK("http://www.ensembl.org/Mus_musculus/Gene/Summary?db=core;g=ENSMUSG00000021774","ENSMUSG00000021774")</f>
        <v>ENSMUSG00000021774</v>
      </c>
      <c r="I3557" s="7" t="str">
        <f>HYPERLINK("http://www.informatics.jax.org/marker/MGI:107411","MGI:107411")</f>
        <v>MGI:107411</v>
      </c>
      <c r="J3557" s="4" t="s">
        <v>12</v>
      </c>
    </row>
    <row r="3558" spans="1:10" x14ac:dyDescent="0.25">
      <c r="A3558" s="2">
        <v>1980.21331838831</v>
      </c>
      <c r="B3558" s="3">
        <v>5.4479845678289299E-2</v>
      </c>
      <c r="C3558" s="3">
        <v>0.29391476612157402</v>
      </c>
      <c r="D3558" s="4">
        <v>0.46733612411764602</v>
      </c>
      <c r="E3558" s="3" t="s">
        <v>12165</v>
      </c>
      <c r="F3558" s="3" t="s">
        <v>12166</v>
      </c>
      <c r="G3558" s="3">
        <v>230249</v>
      </c>
      <c r="H3558" s="7" t="str">
        <f>HYPERLINK("http://www.ensembl.org/Mus_musculus/Gene/Summary?db=core;g=ENSMUSG00000050812","ENSMUSG00000050812")</f>
        <v>ENSMUSG00000050812</v>
      </c>
      <c r="I3558" s="7" t="str">
        <f>HYPERLINK("http://www.informatics.jax.org/marker/MGI:2140220","MGI:2140220")</f>
        <v>MGI:2140220</v>
      </c>
      <c r="J3558" s="4" t="s">
        <v>12</v>
      </c>
    </row>
    <row r="3559" spans="1:10" x14ac:dyDescent="0.25">
      <c r="A3559" s="2">
        <v>1860.9403141950299</v>
      </c>
      <c r="B3559" s="3">
        <v>5.3259016178925797E-2</v>
      </c>
      <c r="C3559" s="3">
        <v>0.34629597272103602</v>
      </c>
      <c r="D3559" s="4">
        <v>0.52445601483639903</v>
      </c>
      <c r="E3559" s="3" t="s">
        <v>11951</v>
      </c>
      <c r="F3559" s="3" t="s">
        <v>11952</v>
      </c>
      <c r="G3559" s="3">
        <v>68652</v>
      </c>
      <c r="H3559" s="7" t="str">
        <f>HYPERLINK("http://www.ensembl.org/Mus_musculus/Gene/Summary?db=core;g=ENSMUSG00000015755","ENSMUSG00000015755")</f>
        <v>ENSMUSG00000015755</v>
      </c>
      <c r="I3559" s="7" t="str">
        <f>HYPERLINK("http://www.informatics.jax.org/marker/MGI:1915902","MGI:1915902")</f>
        <v>MGI:1915902</v>
      </c>
      <c r="J3559" s="4" t="s">
        <v>12</v>
      </c>
    </row>
    <row r="3560" spans="1:10" x14ac:dyDescent="0.25">
      <c r="A3560" s="2">
        <v>91.989754184430097</v>
      </c>
      <c r="B3560" s="3">
        <v>5.3082903851538403E-2</v>
      </c>
      <c r="C3560" s="3">
        <v>0.66195030778936204</v>
      </c>
      <c r="D3560" s="4">
        <v>0.79833339397110403</v>
      </c>
      <c r="E3560" s="3" t="s">
        <v>13781</v>
      </c>
      <c r="F3560" s="3" t="s">
        <v>13782</v>
      </c>
      <c r="G3560" s="3" t="s">
        <v>83</v>
      </c>
      <c r="H3560" s="7" t="str">
        <f>HYPERLINK("http://www.ensembl.org/Mus_musculus/Gene/Summary?db=core;g=ENSMUSG00000097402","ENSMUSG00000097402")</f>
        <v>ENSMUSG00000097402</v>
      </c>
      <c r="I3560" s="7" t="str">
        <f>HYPERLINK("http://www.informatics.jax.org/marker/MGI:4937033","MGI:4937033")</f>
        <v>MGI:4937033</v>
      </c>
      <c r="J3560" s="4" t="s">
        <v>939</v>
      </c>
    </row>
    <row r="3561" spans="1:10" x14ac:dyDescent="0.25">
      <c r="A3561" s="2">
        <v>2237.4039456323799</v>
      </c>
      <c r="B3561" s="3">
        <v>5.2149002998917802E-2</v>
      </c>
      <c r="C3561" s="3">
        <v>0.41559066142526302</v>
      </c>
      <c r="D3561" s="4">
        <v>0.59386387050928502</v>
      </c>
      <c r="E3561" s="3" t="s">
        <v>10514</v>
      </c>
      <c r="F3561" s="3" t="s">
        <v>10515</v>
      </c>
      <c r="G3561" s="3">
        <v>66921</v>
      </c>
      <c r="H3561" s="7" t="str">
        <f>HYPERLINK("http://www.ensembl.org/Mus_musculus/Gene/Summary?db=core;g=ENSMUSG00000027881","ENSMUSG00000027881")</f>
        <v>ENSMUSG00000027881</v>
      </c>
      <c r="I3561" s="7" t="str">
        <f>HYPERLINK("http://www.informatics.jax.org/marker/MGI:1914171","MGI:1914171")</f>
        <v>MGI:1914171</v>
      </c>
      <c r="J3561" s="4" t="s">
        <v>12</v>
      </c>
    </row>
    <row r="3562" spans="1:10" x14ac:dyDescent="0.25">
      <c r="A3562" s="2">
        <v>130.456651495648</v>
      </c>
      <c r="B3562" s="3">
        <v>5.1835665603328897E-2</v>
      </c>
      <c r="C3562" s="3">
        <v>0.68612507258470001</v>
      </c>
      <c r="D3562" s="4">
        <v>0.815271185803635</v>
      </c>
      <c r="E3562" s="3" t="s">
        <v>12265</v>
      </c>
      <c r="F3562" s="3" t="s">
        <v>12266</v>
      </c>
      <c r="G3562" s="3">
        <v>67839</v>
      </c>
      <c r="H3562" s="7" t="str">
        <f>HYPERLINK("http://www.ensembl.org/Mus_musculus/Gene/Summary?db=core;g=ENSMUSG00000026930","ENSMUSG00000026930")</f>
        <v>ENSMUSG00000026930</v>
      </c>
      <c r="I3562" s="7" t="str">
        <f>HYPERLINK("http://www.informatics.jax.org/marker/MGI:1915089","MGI:1915089")</f>
        <v>MGI:1915089</v>
      </c>
      <c r="J3562" s="4" t="s">
        <v>12</v>
      </c>
    </row>
    <row r="3563" spans="1:10" x14ac:dyDescent="0.25">
      <c r="A3563" s="2">
        <v>949.13340971444995</v>
      </c>
      <c r="B3563" s="3">
        <v>5.1072215399530101E-2</v>
      </c>
      <c r="C3563" s="3">
        <v>0.50982298383442404</v>
      </c>
      <c r="D3563" s="4">
        <v>0.68144656255096303</v>
      </c>
      <c r="E3563" s="3" t="s">
        <v>13469</v>
      </c>
      <c r="F3563" s="3" t="s">
        <v>13470</v>
      </c>
      <c r="G3563" s="3">
        <v>74200</v>
      </c>
      <c r="H3563" s="7" t="str">
        <f>HYPERLINK("http://www.ensembl.org/Mus_musculus/Gene/Summary?db=core;g=ENSMUSG00000028060","ENSMUSG00000028060")</f>
        <v>ENSMUSG00000028060</v>
      </c>
      <c r="I3563" s="7" t="str">
        <f>HYPERLINK("http://www.informatics.jax.org/marker/MGI:1921450","MGI:1921450")</f>
        <v>MGI:1921450</v>
      </c>
      <c r="J3563" s="4" t="s">
        <v>12</v>
      </c>
    </row>
    <row r="3564" spans="1:10" x14ac:dyDescent="0.25">
      <c r="A3564" s="2">
        <v>4875.9707601135296</v>
      </c>
      <c r="B3564" s="3">
        <v>4.9540414552329701E-2</v>
      </c>
      <c r="C3564" s="3">
        <v>0.40404602335753198</v>
      </c>
      <c r="D3564" s="4">
        <v>0.58251875820351096</v>
      </c>
      <c r="E3564" s="3" t="s">
        <v>12679</v>
      </c>
      <c r="F3564" s="3" t="s">
        <v>12680</v>
      </c>
      <c r="G3564" s="3">
        <v>14254</v>
      </c>
      <c r="H3564" s="7" t="str">
        <f>HYPERLINK("http://www.ensembl.org/Mus_musculus/Gene/Summary?db=core;g=ENSMUSG00000029648","ENSMUSG00000029648")</f>
        <v>ENSMUSG00000029648</v>
      </c>
      <c r="I3564" s="7" t="str">
        <f>HYPERLINK("http://www.informatics.jax.org/marker/MGI:95558","MGI:95558")</f>
        <v>MGI:95558</v>
      </c>
      <c r="J3564" s="4" t="s">
        <v>12</v>
      </c>
    </row>
    <row r="3565" spans="1:10" x14ac:dyDescent="0.25">
      <c r="A3565" s="2">
        <v>1034.20461764734</v>
      </c>
      <c r="B3565" s="3">
        <v>4.9427948263386701E-2</v>
      </c>
      <c r="C3565" s="3">
        <v>0.34647011906511999</v>
      </c>
      <c r="D3565" s="4">
        <v>0.52454044857632598</v>
      </c>
      <c r="E3565" s="3" t="s">
        <v>12589</v>
      </c>
      <c r="F3565" s="3" t="s">
        <v>12590</v>
      </c>
      <c r="G3565" s="3">
        <v>30056</v>
      </c>
      <c r="H3565" s="7" t="str">
        <f>HYPERLINK("http://www.ensembl.org/Mus_musculus/Gene/Summary?db=core;g=ENSMUSG00000021079","ENSMUSG00000021079")</f>
        <v>ENSMUSG00000021079</v>
      </c>
      <c r="I3565" s="7" t="str">
        <f>HYPERLINK("http://www.informatics.jax.org/marker/MGI:1353436","MGI:1353436")</f>
        <v>MGI:1353436</v>
      </c>
      <c r="J3565" s="4" t="s">
        <v>12</v>
      </c>
    </row>
    <row r="3566" spans="1:10" x14ac:dyDescent="0.25">
      <c r="A3566" s="2">
        <v>1067.1931063491199</v>
      </c>
      <c r="B3566" s="3">
        <v>4.92387867164049E-2</v>
      </c>
      <c r="C3566" s="3">
        <v>0.53126375309811202</v>
      </c>
      <c r="D3566" s="4">
        <v>0.69832541653177704</v>
      </c>
      <c r="E3566" s="3" t="s">
        <v>13249</v>
      </c>
      <c r="F3566" s="3" t="s">
        <v>13250</v>
      </c>
      <c r="G3566" s="3">
        <v>17524</v>
      </c>
      <c r="H3566" s="7" t="str">
        <f>HYPERLINK("http://www.ensembl.org/Mus_musculus/Gene/Summary?db=core;g=ENSMUSG00000031402","ENSMUSG00000031402")</f>
        <v>ENSMUSG00000031402</v>
      </c>
      <c r="I3566" s="7" t="str">
        <f>HYPERLINK("http://www.informatics.jax.org/marker/MGI:105941","MGI:105941")</f>
        <v>MGI:105941</v>
      </c>
      <c r="J3566" s="4" t="s">
        <v>12</v>
      </c>
    </row>
    <row r="3567" spans="1:10" x14ac:dyDescent="0.25">
      <c r="A3567" s="2">
        <v>2148.4827761781298</v>
      </c>
      <c r="B3567" s="3">
        <v>4.7926588005406202E-2</v>
      </c>
      <c r="C3567" s="3">
        <v>0.37458941276825197</v>
      </c>
      <c r="D3567" s="4">
        <v>0.55372634014935496</v>
      </c>
      <c r="E3567" s="3" t="s">
        <v>8183</v>
      </c>
      <c r="F3567" s="3" t="s">
        <v>8184</v>
      </c>
      <c r="G3567" s="3">
        <v>19246</v>
      </c>
      <c r="H3567" s="7" t="str">
        <f>HYPERLINK("http://www.ensembl.org/Mus_musculus/Gene/Summary?db=core;g=ENSMUSG00000027540","ENSMUSG00000027540")</f>
        <v>ENSMUSG00000027540</v>
      </c>
      <c r="I3567" s="7" t="str">
        <f>HYPERLINK("http://www.informatics.jax.org/marker/MGI:97805","MGI:97805")</f>
        <v>MGI:97805</v>
      </c>
      <c r="J3567" s="4" t="s">
        <v>12</v>
      </c>
    </row>
    <row r="3568" spans="1:10" x14ac:dyDescent="0.25">
      <c r="A3568" s="2">
        <v>578.81009902737696</v>
      </c>
      <c r="B3568" s="3">
        <v>4.7587179455787498E-2</v>
      </c>
      <c r="C3568" s="3">
        <v>0.44944768126610601</v>
      </c>
      <c r="D3568" s="4">
        <v>0.62758075322362605</v>
      </c>
      <c r="E3568" s="3" t="s">
        <v>12107</v>
      </c>
      <c r="F3568" s="3" t="s">
        <v>12108</v>
      </c>
      <c r="G3568" s="3">
        <v>72590</v>
      </c>
      <c r="H3568" s="7" t="str">
        <f>HYPERLINK("http://www.ensembl.org/Mus_musculus/Gene/Summary?db=core;g=ENSMUSG00000030718","ENSMUSG00000030718")</f>
        <v>ENSMUSG00000030718</v>
      </c>
      <c r="I3568" s="7" t="str">
        <f>HYPERLINK("http://www.informatics.jax.org/marker/MGI:1919840","MGI:1919840")</f>
        <v>MGI:1919840</v>
      </c>
      <c r="J3568" s="4" t="s">
        <v>12</v>
      </c>
    </row>
    <row r="3569" spans="1:10" x14ac:dyDescent="0.25">
      <c r="A3569" s="2">
        <v>565.23644647599895</v>
      </c>
      <c r="B3569" s="3">
        <v>4.7554359587672602E-2</v>
      </c>
      <c r="C3569" s="3">
        <v>0.53826247194506405</v>
      </c>
      <c r="D3569" s="4">
        <v>0.70462818210018596</v>
      </c>
      <c r="E3569" s="3" t="s">
        <v>13773</v>
      </c>
      <c r="F3569" s="3" t="s">
        <v>13774</v>
      </c>
      <c r="G3569" s="3">
        <v>77593</v>
      </c>
      <c r="H3569" s="7" t="str">
        <f>HYPERLINK("http://www.ensembl.org/Mus_musculus/Gene/Summary?db=core;g=ENSMUSG00000040455","ENSMUSG00000040455")</f>
        <v>ENSMUSG00000040455</v>
      </c>
      <c r="I3569" s="7" t="str">
        <f>HYPERLINK("http://www.informatics.jax.org/marker/MGI:101850","MGI:101850")</f>
        <v>MGI:101850</v>
      </c>
      <c r="J3569" s="4" t="s">
        <v>12</v>
      </c>
    </row>
    <row r="3570" spans="1:10" x14ac:dyDescent="0.25">
      <c r="A3570" s="2">
        <v>39.550927963128302</v>
      </c>
      <c r="B3570" s="3">
        <v>4.6677909677155002E-2</v>
      </c>
      <c r="C3570" s="3">
        <v>0.80218242503445003</v>
      </c>
      <c r="D3570" s="4">
        <v>0.89224655902294503</v>
      </c>
      <c r="E3570" s="3" t="s">
        <v>12159</v>
      </c>
      <c r="F3570" s="3" t="s">
        <v>12160</v>
      </c>
      <c r="G3570" s="3" t="s">
        <v>83</v>
      </c>
      <c r="H3570" s="7" t="str">
        <f>HYPERLINK("http://www.ensembl.org/Mus_musculus/Gene/Summary?db=core;g=ENSMUSG00000092564","ENSMUSG00000092564")</f>
        <v>ENSMUSG00000092564</v>
      </c>
      <c r="I3570" s="7" t="str">
        <f>HYPERLINK("http://www.informatics.jax.org/marker/MGI:3039585","MGI:3039585")</f>
        <v>MGI:3039585</v>
      </c>
      <c r="J3570" s="4" t="s">
        <v>3187</v>
      </c>
    </row>
    <row r="3571" spans="1:10" x14ac:dyDescent="0.25">
      <c r="A3571" s="2">
        <v>5279.0431149918604</v>
      </c>
      <c r="B3571" s="3">
        <v>4.4417654969657702E-2</v>
      </c>
      <c r="C3571" s="3">
        <v>0.31236798073981797</v>
      </c>
      <c r="D3571" s="4">
        <v>0.48799129512970901</v>
      </c>
      <c r="E3571" s="3" t="s">
        <v>13641</v>
      </c>
      <c r="F3571" s="3" t="s">
        <v>13642</v>
      </c>
      <c r="G3571" s="3">
        <v>28185</v>
      </c>
      <c r="H3571" s="7" t="str">
        <f>HYPERLINK("http://www.ensembl.org/Mus_musculus/Gene/Summary?db=core;g=ENSMUSG00000022752","ENSMUSG00000022752")</f>
        <v>ENSMUSG00000022752</v>
      </c>
      <c r="I3571" s="7" t="str">
        <f>HYPERLINK("http://www.informatics.jax.org/marker/MGI:106295","MGI:106295")</f>
        <v>MGI:106295</v>
      </c>
      <c r="J3571" s="4" t="s">
        <v>12</v>
      </c>
    </row>
    <row r="3572" spans="1:10" x14ac:dyDescent="0.25">
      <c r="A3572" s="2">
        <v>840.29976415802003</v>
      </c>
      <c r="B3572" s="3">
        <v>4.4371969238601698E-2</v>
      </c>
      <c r="C3572" s="3">
        <v>0.59819387920189904</v>
      </c>
      <c r="D3572" s="4">
        <v>0.75514881543635104</v>
      </c>
      <c r="E3572" s="3" t="s">
        <v>6247</v>
      </c>
      <c r="F3572" s="3" t="s">
        <v>6248</v>
      </c>
      <c r="G3572" s="3">
        <v>69146</v>
      </c>
      <c r="H3572" s="7" t="str">
        <f>HYPERLINK("http://www.ensembl.org/Mus_musculus/Gene/Summary?db=core;g=ENSMUSG00000022575","ENSMUSG00000022575")</f>
        <v>ENSMUSG00000022575</v>
      </c>
      <c r="I3572" s="7" t="str">
        <f>HYPERLINK("http://www.informatics.jax.org/marker/MGI:1916396","MGI:1916396")</f>
        <v>MGI:1916396</v>
      </c>
      <c r="J3572" s="4" t="s">
        <v>12</v>
      </c>
    </row>
    <row r="3573" spans="1:10" x14ac:dyDescent="0.25">
      <c r="A3573" s="2">
        <v>897.07168740602503</v>
      </c>
      <c r="B3573" s="3">
        <v>4.2428351364446698E-2</v>
      </c>
      <c r="C3573" s="3">
        <v>0.45888997381816199</v>
      </c>
      <c r="D3573" s="4">
        <v>0.63684306329930096</v>
      </c>
      <c r="E3573" s="3" t="s">
        <v>13001</v>
      </c>
      <c r="F3573" s="3" t="s">
        <v>13002</v>
      </c>
      <c r="G3573" s="3">
        <v>13667</v>
      </c>
      <c r="H3573" s="7" t="str">
        <f>HYPERLINK("http://www.ensembl.org/Mus_musculus/Gene/Summary?db=core;g=ENSMUSG00000029145","ENSMUSG00000029145")</f>
        <v>ENSMUSG00000029145</v>
      </c>
      <c r="I3573" s="7" t="str">
        <f>HYPERLINK("http://www.informatics.jax.org/marker/MGI:95300","MGI:95300")</f>
        <v>MGI:95300</v>
      </c>
      <c r="J3573" s="4" t="s">
        <v>12</v>
      </c>
    </row>
    <row r="3574" spans="1:10" x14ac:dyDescent="0.25">
      <c r="A3574" s="2">
        <v>2088.1153313147101</v>
      </c>
      <c r="B3574" s="3">
        <v>4.1876361224798098E-2</v>
      </c>
      <c r="C3574" s="3">
        <v>0.45515678838775903</v>
      </c>
      <c r="D3574" s="4">
        <v>0.63322455087420504</v>
      </c>
      <c r="E3574" s="3" t="s">
        <v>10802</v>
      </c>
      <c r="F3574" s="3" t="s">
        <v>10803</v>
      </c>
      <c r="G3574" s="3">
        <v>54519</v>
      </c>
      <c r="H3574" s="7" t="str">
        <f>HYPERLINK("http://www.ensembl.org/Mus_musculus/Gene/Summary?db=core;g=ENSMUSG00000026786","ENSMUSG00000026786")</f>
        <v>ENSMUSG00000026786</v>
      </c>
      <c r="I3574" s="7" t="str">
        <f>HYPERLINK("http://www.informatics.jax.org/marker/MGI:1861354","MGI:1861354")</f>
        <v>MGI:1861354</v>
      </c>
      <c r="J3574" s="4" t="s">
        <v>12</v>
      </c>
    </row>
    <row r="3575" spans="1:10" x14ac:dyDescent="0.25">
      <c r="A3575" s="2">
        <v>3538.9180889142099</v>
      </c>
      <c r="B3575" s="3">
        <v>4.1741246340277198E-2</v>
      </c>
      <c r="C3575" s="3">
        <v>0.452502095365793</v>
      </c>
      <c r="D3575" s="4">
        <v>0.63049317186862197</v>
      </c>
      <c r="E3575" s="3" t="s">
        <v>12183</v>
      </c>
      <c r="F3575" s="3" t="s">
        <v>12184</v>
      </c>
      <c r="G3575" s="3">
        <v>226982</v>
      </c>
      <c r="H3575" s="7" t="str">
        <f>HYPERLINK("http://www.ensembl.org/Mus_musculus/Gene/Summary?db=core;g=ENSMUSG00000026083","ENSMUSG00000026083")</f>
        <v>ENSMUSG00000026083</v>
      </c>
      <c r="I3575" s="7" t="str">
        <f>HYPERLINK("http://www.informatics.jax.org/marker/MGI:2441772","MGI:2441772")</f>
        <v>MGI:2441772</v>
      </c>
      <c r="J3575" s="4" t="s">
        <v>12</v>
      </c>
    </row>
    <row r="3576" spans="1:10" x14ac:dyDescent="0.25">
      <c r="A3576" s="2">
        <v>1829.5725930608901</v>
      </c>
      <c r="B3576" s="3">
        <v>4.1711220013826898E-2</v>
      </c>
      <c r="C3576" s="3">
        <v>0.37607397807366899</v>
      </c>
      <c r="D3576" s="4">
        <v>0.55506545597607804</v>
      </c>
      <c r="E3576" s="3" t="s">
        <v>11062</v>
      </c>
      <c r="F3576" s="3" t="s">
        <v>11063</v>
      </c>
      <c r="G3576" s="3">
        <v>23806</v>
      </c>
      <c r="H3576" s="7" t="str">
        <f>HYPERLINK("http://www.ensembl.org/Mus_musculus/Gene/Summary?db=core;g=ENSMUSG00000025234","ENSMUSG00000025234")</f>
        <v>ENSMUSG00000025234</v>
      </c>
      <c r="I3576" s="7" t="str">
        <f>HYPERLINK("http://www.informatics.jax.org/marker/MGI:1344363","MGI:1344363")</f>
        <v>MGI:1344363</v>
      </c>
      <c r="J3576" s="4" t="s">
        <v>12</v>
      </c>
    </row>
    <row r="3577" spans="1:10" x14ac:dyDescent="0.25">
      <c r="A3577" s="2">
        <v>731.716587755153</v>
      </c>
      <c r="B3577" s="3">
        <v>4.0238929726360798E-2</v>
      </c>
      <c r="C3577" s="3">
        <v>0.445456576286346</v>
      </c>
      <c r="D3577" s="4">
        <v>0.62334506317710803</v>
      </c>
      <c r="E3577" s="3" t="s">
        <v>13871</v>
      </c>
      <c r="F3577" s="3" t="s">
        <v>13872</v>
      </c>
      <c r="G3577" s="3">
        <v>70144</v>
      </c>
      <c r="H3577" s="7" t="str">
        <f>HYPERLINK("http://www.ensembl.org/Mus_musculus/Gene/Summary?db=core;g=ENSMUSG00000022801","ENSMUSG00000022801")</f>
        <v>ENSMUSG00000022801</v>
      </c>
      <c r="I3577" s="7" t="str">
        <f>HYPERLINK("http://www.informatics.jax.org/marker/MGI:1917394","MGI:1917394")</f>
        <v>MGI:1917394</v>
      </c>
      <c r="J3577" s="4" t="s">
        <v>12</v>
      </c>
    </row>
    <row r="3578" spans="1:10" x14ac:dyDescent="0.25">
      <c r="A3578" s="2">
        <v>4040.8866217334999</v>
      </c>
      <c r="B3578" s="3">
        <v>3.9224448700388499E-2</v>
      </c>
      <c r="C3578" s="3">
        <v>0.27929896083459299</v>
      </c>
      <c r="D3578" s="4">
        <v>0.45042240166449499</v>
      </c>
      <c r="E3578" s="3" t="s">
        <v>11050</v>
      </c>
      <c r="F3578" s="3" t="s">
        <v>11051</v>
      </c>
      <c r="G3578" s="3">
        <v>56307</v>
      </c>
      <c r="H3578" s="7" t="str">
        <f>HYPERLINK("http://www.ensembl.org/Mus_musculus/Gene/Summary?db=core;g=ENSMUSG00000036112","ENSMUSG00000036112")</f>
        <v>ENSMUSG00000036112</v>
      </c>
      <c r="I3578" s="7" t="str">
        <f>HYPERLINK("http://www.informatics.jax.org/marker/MGI:1929701","MGI:1929701")</f>
        <v>MGI:1929701</v>
      </c>
      <c r="J3578" s="4" t="s">
        <v>12</v>
      </c>
    </row>
    <row r="3579" spans="1:10" x14ac:dyDescent="0.25">
      <c r="A3579" s="2">
        <v>10.9944476930789</v>
      </c>
      <c r="B3579" s="3">
        <v>3.82919338704154E-2</v>
      </c>
      <c r="C3579" s="3">
        <v>0.90714543129325598</v>
      </c>
      <c r="D3579" s="4">
        <v>0.95183410232722498</v>
      </c>
      <c r="E3579" s="3" t="s">
        <v>13213</v>
      </c>
      <c r="F3579" s="3" t="s">
        <v>13214</v>
      </c>
      <c r="G3579" s="3">
        <v>11761</v>
      </c>
      <c r="H3579" s="7" t="str">
        <f>HYPERLINK("http://www.ensembl.org/Mus_musculus/Gene/Summary?db=core;g=ENSMUSG00000063558","ENSMUSG00000063558")</f>
        <v>ENSMUSG00000063558</v>
      </c>
      <c r="I3579" s="7" t="str">
        <f>HYPERLINK("http://www.informatics.jax.org/marker/MGI:88035","MGI:88035")</f>
        <v>MGI:88035</v>
      </c>
      <c r="J3579" s="4" t="s">
        <v>12</v>
      </c>
    </row>
    <row r="3580" spans="1:10" x14ac:dyDescent="0.25">
      <c r="A3580" s="2">
        <v>1024.9337592320201</v>
      </c>
      <c r="B3580" s="3">
        <v>3.8217945194117697E-2</v>
      </c>
      <c r="C3580" s="3">
        <v>0.403263018775189</v>
      </c>
      <c r="D3580" s="4">
        <v>0.58190566248438802</v>
      </c>
      <c r="E3580" s="3" t="s">
        <v>5367</v>
      </c>
      <c r="F3580" s="3" t="s">
        <v>5368</v>
      </c>
      <c r="G3580" s="3">
        <v>15502</v>
      </c>
      <c r="H3580" s="7" t="str">
        <f>HYPERLINK("http://www.ensembl.org/Mus_musculus/Gene/Summary?db=core;g=ENSMUSG00000028410","ENSMUSG00000028410")</f>
        <v>ENSMUSG00000028410</v>
      </c>
      <c r="I3580" s="7" t="str">
        <f>HYPERLINK("http://www.informatics.jax.org/marker/MGI:1270129","MGI:1270129")</f>
        <v>MGI:1270129</v>
      </c>
      <c r="J3580" s="4" t="s">
        <v>12</v>
      </c>
    </row>
    <row r="3581" spans="1:10" x14ac:dyDescent="0.25">
      <c r="A3581" s="2">
        <v>311.12079207647298</v>
      </c>
      <c r="B3581" s="3">
        <v>3.70385738133438E-2</v>
      </c>
      <c r="C3581" s="3">
        <v>0.59047342229324096</v>
      </c>
      <c r="D3581" s="4">
        <v>0.74908660178855102</v>
      </c>
      <c r="E3581" s="3" t="s">
        <v>6185</v>
      </c>
      <c r="F3581" s="3" t="s">
        <v>6186</v>
      </c>
      <c r="G3581" s="3">
        <v>72475</v>
      </c>
      <c r="H3581" s="7" t="str">
        <f>HYPERLINK("http://www.ensembl.org/Mus_musculus/Gene/Summary?db=core;g=ENSMUSG00000061887","ENSMUSG00000061887")</f>
        <v>ENSMUSG00000061887</v>
      </c>
      <c r="I3581" s="7" t="str">
        <f>HYPERLINK("http://www.informatics.jax.org/marker/MGI:1919725","MGI:1919725")</f>
        <v>MGI:1919725</v>
      </c>
      <c r="J3581" s="4" t="s">
        <v>12</v>
      </c>
    </row>
    <row r="3582" spans="1:10" x14ac:dyDescent="0.25">
      <c r="A3582" s="2">
        <v>1116.7158785066699</v>
      </c>
      <c r="B3582" s="3">
        <v>3.5300611542602299E-2</v>
      </c>
      <c r="C3582" s="3">
        <v>0.71871361163297398</v>
      </c>
      <c r="D3582" s="4">
        <v>0.83846854256887404</v>
      </c>
      <c r="E3582" s="3" t="s">
        <v>13961</v>
      </c>
      <c r="F3582" s="3" t="s">
        <v>13962</v>
      </c>
      <c r="G3582" s="3">
        <v>269424</v>
      </c>
      <c r="H3582" s="7" t="str">
        <f>HYPERLINK("http://www.ensembl.org/Mus_musculus/Gene/Summary?db=core;g=ENSMUSG00000025764","ENSMUSG00000025764")</f>
        <v>ENSMUSG00000025764</v>
      </c>
      <c r="I3582" s="7" t="str">
        <f>HYPERLINK("http://www.informatics.jax.org/marker/MGI:1925835","MGI:1925835")</f>
        <v>MGI:1925835</v>
      </c>
      <c r="J3582" s="4" t="s">
        <v>12</v>
      </c>
    </row>
    <row r="3583" spans="1:10" x14ac:dyDescent="0.25">
      <c r="A3583" s="2">
        <v>2208.0693914253602</v>
      </c>
      <c r="B3583" s="3">
        <v>3.41339202020444E-2</v>
      </c>
      <c r="C3583" s="3">
        <v>0.49385171023894298</v>
      </c>
      <c r="D3583" s="4">
        <v>0.667750551043922</v>
      </c>
      <c r="E3583" s="3" t="s">
        <v>9447</v>
      </c>
      <c r="F3583" s="3" t="s">
        <v>9448</v>
      </c>
      <c r="G3583" s="3">
        <v>228994</v>
      </c>
      <c r="H3583" s="7" t="str">
        <f>HYPERLINK("http://www.ensembl.org/Mus_musculus/Gene/Summary?db=core;g=ENSMUSG00000038848","ENSMUSG00000038848")</f>
        <v>ENSMUSG00000038848</v>
      </c>
      <c r="I3583" s="7" t="str">
        <f>HYPERLINK("http://www.informatics.jax.org/marker/MGI:1917431","MGI:1917431")</f>
        <v>MGI:1917431</v>
      </c>
      <c r="J3583" s="4" t="s">
        <v>12</v>
      </c>
    </row>
    <row r="3584" spans="1:10" x14ac:dyDescent="0.25">
      <c r="A3584" s="2">
        <v>2121.40668920295</v>
      </c>
      <c r="B3584" s="3">
        <v>3.3923398747449297E-2</v>
      </c>
      <c r="C3584" s="3">
        <v>0.60371926525895703</v>
      </c>
      <c r="D3584" s="4">
        <v>0.75912678414133306</v>
      </c>
      <c r="E3584" s="3" t="s">
        <v>14015</v>
      </c>
      <c r="F3584" s="3" t="s">
        <v>14016</v>
      </c>
      <c r="G3584" s="3">
        <v>74006</v>
      </c>
      <c r="H3584" s="7" t="str">
        <f>HYPERLINK("http://www.ensembl.org/Mus_musculus/Gene/Summary?db=core;g=ENSMUSG00000022789","ENSMUSG00000022789")</f>
        <v>ENSMUSG00000022789</v>
      </c>
      <c r="I3584" s="7" t="str">
        <f>HYPERLINK("http://www.informatics.jax.org/marker/MGI:1921256","MGI:1921256")</f>
        <v>MGI:1921256</v>
      </c>
      <c r="J3584" s="4" t="s">
        <v>12</v>
      </c>
    </row>
    <row r="3585" spans="1:10" x14ac:dyDescent="0.25">
      <c r="A3585" s="2">
        <v>414.73345072150602</v>
      </c>
      <c r="B3585" s="3">
        <v>3.3416681292014201E-2</v>
      </c>
      <c r="C3585" s="3">
        <v>0.62102107397225104</v>
      </c>
      <c r="D3585" s="4">
        <v>0.77204892617301402</v>
      </c>
      <c r="E3585" s="3" t="s">
        <v>12879</v>
      </c>
      <c r="F3585" s="3" t="s">
        <v>12880</v>
      </c>
      <c r="G3585" s="3">
        <v>16162</v>
      </c>
      <c r="H3585" s="7" t="str">
        <f>HYPERLINK("http://www.ensembl.org/Mus_musculus/Gene/Summary?db=core;g=ENSMUSG00000018341","ENSMUSG00000018341")</f>
        <v>ENSMUSG00000018341</v>
      </c>
      <c r="I3585" s="7" t="str">
        <f>HYPERLINK("http://www.informatics.jax.org/marker/MGI:1270861","MGI:1270861")</f>
        <v>MGI:1270861</v>
      </c>
      <c r="J3585" s="4" t="s">
        <v>12</v>
      </c>
    </row>
    <row r="3586" spans="1:10" x14ac:dyDescent="0.25">
      <c r="A3586" s="2">
        <v>523.92597157184196</v>
      </c>
      <c r="B3586" s="3">
        <v>3.3382326993954298E-2</v>
      </c>
      <c r="C3586" s="3">
        <v>0.54736637835491797</v>
      </c>
      <c r="D3586" s="4">
        <v>0.71301678971291904</v>
      </c>
      <c r="E3586" s="3" t="s">
        <v>13271</v>
      </c>
      <c r="F3586" s="3" t="s">
        <v>13272</v>
      </c>
      <c r="G3586" s="3">
        <v>79264</v>
      </c>
      <c r="H3586" s="7" t="str">
        <f>HYPERLINK("http://www.ensembl.org/Mus_musculus/Gene/Summary?db=core;g=ENSMUSG00000000600","ENSMUSG00000000600")</f>
        <v>ENSMUSG00000000600</v>
      </c>
      <c r="I3586" s="7" t="str">
        <f>HYPERLINK("http://www.informatics.jax.org/marker/MGI:1930618","MGI:1930618")</f>
        <v>MGI:1930618</v>
      </c>
      <c r="J3586" s="4" t="s">
        <v>12</v>
      </c>
    </row>
    <row r="3587" spans="1:10" x14ac:dyDescent="0.25">
      <c r="A3587" s="2">
        <v>299.63056680094502</v>
      </c>
      <c r="B3587" s="3">
        <v>3.3250320207073199E-2</v>
      </c>
      <c r="C3587" s="3">
        <v>0.688072373991793</v>
      </c>
      <c r="D3587" s="4">
        <v>0.81674674997371899</v>
      </c>
      <c r="E3587" s="3" t="s">
        <v>12883</v>
      </c>
      <c r="F3587" s="3" t="s">
        <v>12884</v>
      </c>
      <c r="G3587" s="3">
        <v>64291</v>
      </c>
      <c r="H3587" s="7" t="str">
        <f>HYPERLINK("http://www.ensembl.org/Mus_musculus/Gene/Summary?db=core;g=ENSMUSG00000044252","ENSMUSG00000044252")</f>
        <v>ENSMUSG00000044252</v>
      </c>
      <c r="I3587" s="7" t="str">
        <f>HYPERLINK("http://www.informatics.jax.org/marker/MGI:1927551","MGI:1927551")</f>
        <v>MGI:1927551</v>
      </c>
      <c r="J3587" s="4" t="s">
        <v>12</v>
      </c>
    </row>
    <row r="3588" spans="1:10" x14ac:dyDescent="0.25">
      <c r="A3588" s="2">
        <v>995.67406187146503</v>
      </c>
      <c r="B3588" s="3">
        <v>3.2009221904624803E-2</v>
      </c>
      <c r="C3588" s="3">
        <v>0.63912120867020195</v>
      </c>
      <c r="D3588" s="4">
        <v>0.78288688487334701</v>
      </c>
      <c r="E3588" s="3" t="s">
        <v>13263</v>
      </c>
      <c r="F3588" s="3" t="s">
        <v>13264</v>
      </c>
      <c r="G3588" s="3">
        <v>107734</v>
      </c>
      <c r="H3588" s="7" t="str">
        <f>HYPERLINK("http://www.ensembl.org/Mus_musculus/Gene/Summary?db=core;g=ENSMUSG00000026087","ENSMUSG00000026087")</f>
        <v>ENSMUSG00000026087</v>
      </c>
      <c r="I3588" s="7" t="str">
        <f>HYPERLINK("http://www.informatics.jax.org/marker/MGI:1333820","MGI:1333820")</f>
        <v>MGI:1333820</v>
      </c>
      <c r="J3588" s="4" t="s">
        <v>12</v>
      </c>
    </row>
    <row r="3589" spans="1:10" x14ac:dyDescent="0.25">
      <c r="A3589" s="2">
        <v>5.3060649905535398</v>
      </c>
      <c r="B3589" s="3">
        <v>3.1084487153746398E-2</v>
      </c>
      <c r="C3589" s="3">
        <v>0.94469303914316005</v>
      </c>
      <c r="D3589" s="4">
        <v>0.97090343643963795</v>
      </c>
      <c r="E3589" s="3" t="s">
        <v>13561</v>
      </c>
      <c r="F3589" s="3" t="s">
        <v>13562</v>
      </c>
      <c r="G3589" s="3">
        <v>18782</v>
      </c>
      <c r="H3589" s="7" t="str">
        <f>HYPERLINK("http://www.ensembl.org/Mus_musculus/Gene/Summary?db=core;g=ENSMUSG00000041202","ENSMUSG00000041202")</f>
        <v>ENSMUSG00000041202</v>
      </c>
      <c r="I3589" s="7" t="str">
        <f>HYPERLINK("http://www.informatics.jax.org/marker/MGI:1341796","MGI:1341796")</f>
        <v>MGI:1341796</v>
      </c>
      <c r="J3589" s="4" t="s">
        <v>12</v>
      </c>
    </row>
    <row r="3590" spans="1:10" x14ac:dyDescent="0.25">
      <c r="A3590" s="2">
        <v>16.593483856379802</v>
      </c>
      <c r="B3590" s="3">
        <v>3.0882053860528402E-2</v>
      </c>
      <c r="C3590" s="3">
        <v>0.90824379911110897</v>
      </c>
      <c r="D3590" s="4">
        <v>0.952264748780002</v>
      </c>
      <c r="E3590" s="3" t="s">
        <v>13021</v>
      </c>
      <c r="F3590" s="3" t="s">
        <v>13022</v>
      </c>
      <c r="G3590" s="3" t="s">
        <v>83</v>
      </c>
      <c r="H3590" s="7" t="str">
        <f>HYPERLINK("http://www.ensembl.org/Mus_musculus/Gene/Summary?db=core;g=ENSMUSG00000085172","ENSMUSG00000085172")</f>
        <v>ENSMUSG00000085172</v>
      </c>
      <c r="I3590" s="7" t="str">
        <f>HYPERLINK("http://www.informatics.jax.org/marker/MGI:3644649","MGI:3644649")</f>
        <v>MGI:3644649</v>
      </c>
      <c r="J3590" s="4" t="s">
        <v>1043</v>
      </c>
    </row>
    <row r="3591" spans="1:10" x14ac:dyDescent="0.25">
      <c r="A3591" s="2">
        <v>355.82984691116002</v>
      </c>
      <c r="B3591" s="3">
        <v>3.0730939379652801E-2</v>
      </c>
      <c r="C3591" s="3">
        <v>0.65531914225757104</v>
      </c>
      <c r="D3591" s="4">
        <v>0.79404237535032496</v>
      </c>
      <c r="E3591" s="3" t="s">
        <v>12095</v>
      </c>
      <c r="F3591" s="3" t="s">
        <v>12096</v>
      </c>
      <c r="G3591" s="3">
        <v>71799</v>
      </c>
      <c r="H3591" s="7" t="str">
        <f>HYPERLINK("http://www.ensembl.org/Mus_musculus/Gene/Summary?db=core;g=ENSMUSG00000029624","ENSMUSG00000029624")</f>
        <v>ENSMUSG00000029624</v>
      </c>
      <c r="I3591" s="7" t="str">
        <f>HYPERLINK("http://www.informatics.jax.org/marker/MGI:1919049","MGI:1919049")</f>
        <v>MGI:1919049</v>
      </c>
      <c r="J3591" s="4" t="s">
        <v>12</v>
      </c>
    </row>
    <row r="3592" spans="1:10" x14ac:dyDescent="0.25">
      <c r="A3592" s="2">
        <v>189.90229752174801</v>
      </c>
      <c r="B3592" s="3">
        <v>2.79653632350092E-2</v>
      </c>
      <c r="C3592" s="3">
        <v>0.74831264128434105</v>
      </c>
      <c r="D3592" s="4">
        <v>0.85946545799137397</v>
      </c>
      <c r="E3592" s="3" t="s">
        <v>11755</v>
      </c>
      <c r="F3592" s="3" t="s">
        <v>11756</v>
      </c>
      <c r="G3592" s="3">
        <v>235907</v>
      </c>
      <c r="H3592" s="7" t="str">
        <f>HYPERLINK("http://www.ensembl.org/Mus_musculus/Gene/Summary?db=core;g=ENSMUSG00000071281","ENSMUSG00000071281")</f>
        <v>ENSMUSG00000071281</v>
      </c>
      <c r="I3592" s="7" t="str">
        <f>HYPERLINK("http://www.informatics.jax.org/marker/MGI:107769","MGI:107769")</f>
        <v>MGI:107769</v>
      </c>
      <c r="J3592" s="4" t="s">
        <v>12</v>
      </c>
    </row>
    <row r="3593" spans="1:10" x14ac:dyDescent="0.25">
      <c r="A3593" s="2">
        <v>344.841109488114</v>
      </c>
      <c r="B3593" s="3">
        <v>2.7615961772956301E-2</v>
      </c>
      <c r="C3593" s="3">
        <v>0.69678518516735899</v>
      </c>
      <c r="D3593" s="4">
        <v>0.82310798545988595</v>
      </c>
      <c r="E3593" s="3" t="s">
        <v>10706</v>
      </c>
      <c r="F3593" s="3" t="s">
        <v>10707</v>
      </c>
      <c r="G3593" s="3">
        <v>21945</v>
      </c>
      <c r="H3593" s="7" t="str">
        <f>HYPERLINK("http://www.ensembl.org/Mus_musculus/Gene/Summary?db=core;g=ENSMUSG00000013973","ENSMUSG00000013973")</f>
        <v>ENSMUSG00000013973</v>
      </c>
      <c r="I3593" s="7" t="str">
        <f>HYPERLINK("http://www.informatics.jax.org/marker/MGI:1333874","MGI:1333874")</f>
        <v>MGI:1333874</v>
      </c>
      <c r="J3593" s="4" t="s">
        <v>12</v>
      </c>
    </row>
    <row r="3594" spans="1:10" x14ac:dyDescent="0.25">
      <c r="A3594" s="2">
        <v>1251.2288072700501</v>
      </c>
      <c r="B3594" s="3">
        <v>2.7547498271647299E-2</v>
      </c>
      <c r="C3594" s="3">
        <v>0.58371919997134003</v>
      </c>
      <c r="D3594" s="4">
        <v>0.74353425945364604</v>
      </c>
      <c r="E3594" s="3" t="s">
        <v>14057</v>
      </c>
      <c r="F3594" s="3" t="s">
        <v>14058</v>
      </c>
      <c r="G3594" s="3">
        <v>101612</v>
      </c>
      <c r="H3594" s="7" t="str">
        <f>HYPERLINK("http://www.ensembl.org/Mus_musculus/Gene/Summary?db=core;g=ENSMUSG00000053801","ENSMUSG00000053801")</f>
        <v>ENSMUSG00000053801</v>
      </c>
      <c r="I3594" s="7" t="str">
        <f>HYPERLINK("http://www.informatics.jax.org/marker/MGI:2141989","MGI:2141989")</f>
        <v>MGI:2141989</v>
      </c>
      <c r="J3594" s="4" t="s">
        <v>12</v>
      </c>
    </row>
    <row r="3595" spans="1:10" x14ac:dyDescent="0.25">
      <c r="A3595" s="2">
        <v>1416.07039170333</v>
      </c>
      <c r="B3595" s="3">
        <v>2.72636400278728E-2</v>
      </c>
      <c r="C3595" s="3">
        <v>0.66685675328147298</v>
      </c>
      <c r="D3595" s="4">
        <v>0.80210297838931099</v>
      </c>
      <c r="E3595" s="3" t="s">
        <v>10948</v>
      </c>
      <c r="F3595" s="3" t="s">
        <v>10949</v>
      </c>
      <c r="G3595" s="3">
        <v>67684</v>
      </c>
      <c r="H3595" s="7" t="str">
        <f>HYPERLINK("http://www.ensembl.org/Mus_musculus/Gene/Summary?db=core;g=ENSMUSG00000020863","ENSMUSG00000020863")</f>
        <v>ENSMUSG00000020863</v>
      </c>
      <c r="I3595" s="7" t="str">
        <f>HYPERLINK("http://www.informatics.jax.org/marker/MGI:1914934","MGI:1914934")</f>
        <v>MGI:1914934</v>
      </c>
      <c r="J3595" s="4" t="s">
        <v>12</v>
      </c>
    </row>
    <row r="3596" spans="1:10" x14ac:dyDescent="0.25">
      <c r="A3596" s="2">
        <v>447.46012287857297</v>
      </c>
      <c r="B3596" s="3">
        <v>2.7220537685714401E-2</v>
      </c>
      <c r="C3596" s="3">
        <v>0.83114636734191505</v>
      </c>
      <c r="D3596" s="4">
        <v>0.90796874331993105</v>
      </c>
      <c r="E3596" s="3" t="s">
        <v>13739</v>
      </c>
      <c r="F3596" s="3" t="s">
        <v>13740</v>
      </c>
      <c r="G3596" s="3">
        <v>12390</v>
      </c>
      <c r="H3596" s="7" t="str">
        <f>HYPERLINK("http://www.ensembl.org/Mus_musculus/Gene/Summary?db=core;g=ENSMUSG00000000058","ENSMUSG00000000058")</f>
        <v>ENSMUSG00000000058</v>
      </c>
      <c r="I3596" s="7" t="str">
        <f>HYPERLINK("http://www.informatics.jax.org/marker/MGI:107571","MGI:107571")</f>
        <v>MGI:107571</v>
      </c>
      <c r="J3596" s="4" t="s">
        <v>12</v>
      </c>
    </row>
    <row r="3597" spans="1:10" x14ac:dyDescent="0.25">
      <c r="A3597" s="2">
        <v>684.41538141808599</v>
      </c>
      <c r="B3597" s="3">
        <v>2.57681824628316E-2</v>
      </c>
      <c r="C3597" s="3">
        <v>0.79089868491229398</v>
      </c>
      <c r="D3597" s="4">
        <v>0.88555367570564603</v>
      </c>
      <c r="E3597" s="3" t="s">
        <v>11447</v>
      </c>
      <c r="F3597" s="3" t="s">
        <v>11448</v>
      </c>
      <c r="G3597" s="3">
        <v>52348</v>
      </c>
      <c r="H3597" s="7" t="str">
        <f>HYPERLINK("http://www.ensembl.org/Mus_musculus/Gene/Summary?db=core;g=ENSMUSG00000031600","ENSMUSG00000031600")</f>
        <v>ENSMUSG00000031600</v>
      </c>
      <c r="I3597" s="7" t="str">
        <f>HYPERLINK("http://www.informatics.jax.org/marker/MGI:1261835","MGI:1261835")</f>
        <v>MGI:1261835</v>
      </c>
      <c r="J3597" s="4" t="s">
        <v>12</v>
      </c>
    </row>
    <row r="3598" spans="1:10" x14ac:dyDescent="0.25">
      <c r="A3598" s="2">
        <v>5439.3044343208003</v>
      </c>
      <c r="B3598" s="3">
        <v>2.56031742141129E-2</v>
      </c>
      <c r="C3598" s="3">
        <v>0.57118067585516297</v>
      </c>
      <c r="D3598" s="4">
        <v>0.73339212466255799</v>
      </c>
      <c r="E3598" s="3" t="s">
        <v>11689</v>
      </c>
      <c r="F3598" s="3" t="s">
        <v>11690</v>
      </c>
      <c r="G3598" s="3">
        <v>53610</v>
      </c>
      <c r="H3598" s="7" t="str">
        <f>HYPERLINK("http://www.ensembl.org/Mus_musculus/Gene/Summary?db=core;g=ENSMUSG00000031311","ENSMUSG00000031311")</f>
        <v>ENSMUSG00000031311</v>
      </c>
      <c r="I3598" s="7" t="str">
        <f>HYPERLINK("http://www.informatics.jax.org/marker/MGI:1855692","MGI:1855692")</f>
        <v>MGI:1855692</v>
      </c>
      <c r="J3598" s="4" t="s">
        <v>12</v>
      </c>
    </row>
    <row r="3599" spans="1:10" x14ac:dyDescent="0.25">
      <c r="A3599" s="2">
        <v>304.92330308642897</v>
      </c>
      <c r="B3599" s="3">
        <v>2.5270544332296498E-2</v>
      </c>
      <c r="C3599" s="3">
        <v>0.77434697873458003</v>
      </c>
      <c r="D3599" s="4">
        <v>0.87576370902621004</v>
      </c>
      <c r="E3599" s="3" t="s">
        <v>13669</v>
      </c>
      <c r="F3599" s="3" t="s">
        <v>13670</v>
      </c>
      <c r="G3599" s="3" t="s">
        <v>83</v>
      </c>
      <c r="H3599" s="7" t="str">
        <f>HYPERLINK("http://www.ensembl.org/Mus_musculus/Gene/Summary?db=core;g=ENSMUSG00000092345","ENSMUSG00000092345")</f>
        <v>ENSMUSG00000092345</v>
      </c>
      <c r="I3599" s="7" t="str">
        <f>HYPERLINK("http://www.informatics.jax.org/marker/MGI:5141968","MGI:5141968")</f>
        <v>MGI:5141968</v>
      </c>
      <c r="J3599" s="4" t="s">
        <v>12</v>
      </c>
    </row>
    <row r="3600" spans="1:10" x14ac:dyDescent="0.25">
      <c r="A3600" s="2">
        <v>73.953257520700504</v>
      </c>
      <c r="B3600" s="3">
        <v>2.4963432490668899E-2</v>
      </c>
      <c r="C3600" s="3">
        <v>0.86899813450766406</v>
      </c>
      <c r="D3600" s="4">
        <v>0.92897165020305095</v>
      </c>
      <c r="E3600" s="3" t="s">
        <v>12501</v>
      </c>
      <c r="F3600" s="3" t="s">
        <v>12502</v>
      </c>
      <c r="G3600" s="3">
        <v>68044</v>
      </c>
      <c r="H3600" s="7" t="str">
        <f>HYPERLINK("http://www.ensembl.org/Mus_musculus/Gene/Summary?db=core;g=ENSMUSG00000020309","ENSMUSG00000020309")</f>
        <v>ENSMUSG00000020309</v>
      </c>
      <c r="I3600" s="7" t="str">
        <f>HYPERLINK("http://www.informatics.jax.org/marker/MGI:1915294","MGI:1915294")</f>
        <v>MGI:1915294</v>
      </c>
      <c r="J3600" s="4" t="s">
        <v>12</v>
      </c>
    </row>
    <row r="3601" spans="1:10" x14ac:dyDescent="0.25">
      <c r="A3601" s="2">
        <v>1921.1120493644401</v>
      </c>
      <c r="B3601" s="3">
        <v>2.3626779366189898E-2</v>
      </c>
      <c r="C3601" s="3">
        <v>0.79767337149574502</v>
      </c>
      <c r="D3601" s="4">
        <v>0.88904092438294702</v>
      </c>
      <c r="E3601" s="3" t="s">
        <v>8735</v>
      </c>
      <c r="F3601" s="3" t="s">
        <v>8736</v>
      </c>
      <c r="G3601" s="3">
        <v>27056</v>
      </c>
      <c r="H3601" s="7" t="str">
        <f>HYPERLINK("http://www.ensembl.org/Mus_musculus/Gene/Summary?db=core;g=ENSMUSG00000029771","ENSMUSG00000029771")</f>
        <v>ENSMUSG00000029771</v>
      </c>
      <c r="I3601" s="7" t="str">
        <f>HYPERLINK("http://www.informatics.jax.org/marker/MGI:1350924","MGI:1350924")</f>
        <v>MGI:1350924</v>
      </c>
      <c r="J3601" s="4" t="s">
        <v>12</v>
      </c>
    </row>
    <row r="3602" spans="1:10" x14ac:dyDescent="0.25">
      <c r="A3602" s="2">
        <v>1098.5459015361</v>
      </c>
      <c r="B3602" s="3">
        <v>2.3038440068312401E-2</v>
      </c>
      <c r="C3602" s="3">
        <v>0.64199821554908898</v>
      </c>
      <c r="D3602" s="4">
        <v>0.78470988086581706</v>
      </c>
      <c r="E3602" s="3" t="s">
        <v>10162</v>
      </c>
      <c r="F3602" s="3" t="s">
        <v>10163</v>
      </c>
      <c r="G3602" s="3">
        <v>74414</v>
      </c>
      <c r="H3602" s="7" t="str">
        <f>HYPERLINK("http://www.ensembl.org/Mus_musculus/Gene/Summary?db=core;g=ENSMUSG00000028099","ENSMUSG00000028099")</f>
        <v>ENSMUSG00000028099</v>
      </c>
      <c r="I3602" s="7" t="str">
        <f>HYPERLINK("http://www.informatics.jax.org/marker/MGI:1921664","MGI:1921664")</f>
        <v>MGI:1921664</v>
      </c>
      <c r="J3602" s="4" t="s">
        <v>12</v>
      </c>
    </row>
    <row r="3603" spans="1:10" x14ac:dyDescent="0.25">
      <c r="A3603" s="2">
        <v>17370.774059287902</v>
      </c>
      <c r="B3603" s="3">
        <v>2.1401106461857802E-2</v>
      </c>
      <c r="C3603" s="3">
        <v>0.77535723325760697</v>
      </c>
      <c r="D3603" s="4">
        <v>0.876333989216737</v>
      </c>
      <c r="E3603" s="3" t="s">
        <v>7634</v>
      </c>
      <c r="F3603" s="3" t="s">
        <v>7635</v>
      </c>
      <c r="G3603" s="3">
        <v>18826</v>
      </c>
      <c r="H3603" s="7" t="str">
        <f>HYPERLINK("http://www.ensembl.org/Mus_musculus/Gene/Summary?db=core;g=ENSMUSG00000021998","ENSMUSG00000021998")</f>
        <v>ENSMUSG00000021998</v>
      </c>
      <c r="I3603" s="7" t="str">
        <f>HYPERLINK("http://www.informatics.jax.org/marker/MGI:104808","MGI:104808")</f>
        <v>MGI:104808</v>
      </c>
      <c r="J3603" s="4" t="s">
        <v>12</v>
      </c>
    </row>
    <row r="3604" spans="1:10" x14ac:dyDescent="0.25">
      <c r="A3604" s="2">
        <v>1048.52499929908</v>
      </c>
      <c r="B3604" s="3">
        <v>2.11712985103952E-2</v>
      </c>
      <c r="C3604" s="3">
        <v>0.74399823829316403</v>
      </c>
      <c r="D3604" s="4">
        <v>0.85641197213506404</v>
      </c>
      <c r="E3604" s="3" t="s">
        <v>7478</v>
      </c>
      <c r="F3604" s="3" t="s">
        <v>7479</v>
      </c>
      <c r="G3604" s="3">
        <v>56484</v>
      </c>
      <c r="H3604" s="7" t="str">
        <f>HYPERLINK("http://www.ensembl.org/Mus_musculus/Gene/Summary?db=core;g=ENSMUSG00000048756","ENSMUSG00000048756")</f>
        <v>ENSMUSG00000048756</v>
      </c>
      <c r="I3604" s="7" t="str">
        <f>HYPERLINK("http://www.informatics.jax.org/marker/MGI:1890081","MGI:1890081")</f>
        <v>MGI:1890081</v>
      </c>
      <c r="J3604" s="4" t="s">
        <v>12</v>
      </c>
    </row>
    <row r="3605" spans="1:10" x14ac:dyDescent="0.25">
      <c r="A3605" s="2">
        <v>484.50050286996299</v>
      </c>
      <c r="B3605" s="3">
        <v>2.0521343204772901E-2</v>
      </c>
      <c r="C3605" s="3">
        <v>0.73595122593208295</v>
      </c>
      <c r="D3605" s="4">
        <v>0.85062855737012999</v>
      </c>
      <c r="E3605" s="3" t="s">
        <v>12378</v>
      </c>
      <c r="F3605" s="3" t="s">
        <v>12379</v>
      </c>
      <c r="G3605" s="3">
        <v>105940408</v>
      </c>
      <c r="H3605" s="7" t="str">
        <f>HYPERLINK("http://www.ensembl.org/Mus_musculus/Gene/Summary?db=core;g=ENSMUSG00000021139","ENSMUSG00000021139")</f>
        <v>ENSMUSG00000021139</v>
      </c>
      <c r="I3605" s="7" t="str">
        <f>HYPERLINK("http://www.informatics.jax.org/marker/MGI:5141963","MGI:5141963")</f>
        <v>MGI:5141963</v>
      </c>
      <c r="J3605" s="4" t="s">
        <v>12</v>
      </c>
    </row>
    <row r="3606" spans="1:10" x14ac:dyDescent="0.25">
      <c r="A3606" s="2">
        <v>619.417178657411</v>
      </c>
      <c r="B3606" s="3">
        <v>1.9610332745873399E-2</v>
      </c>
      <c r="C3606" s="3">
        <v>0.73676534618030798</v>
      </c>
      <c r="D3606" s="4">
        <v>0.85108375699664796</v>
      </c>
      <c r="E3606" s="3" t="s">
        <v>13677</v>
      </c>
      <c r="F3606" s="3" t="s">
        <v>13678</v>
      </c>
      <c r="G3606" s="3">
        <v>71340</v>
      </c>
      <c r="H3606" s="7" t="str">
        <f>HYPERLINK("http://www.ensembl.org/Mus_musculus/Gene/Summary?db=core;g=ENSMUSG00000021428","ENSMUSG00000021428")</f>
        <v>ENSMUSG00000021428</v>
      </c>
      <c r="I3606" s="7" t="str">
        <f>HYPERLINK("http://www.informatics.jax.org/marker/MGI:1918590","MGI:1918590")</f>
        <v>MGI:1918590</v>
      </c>
      <c r="J3606" s="4" t="s">
        <v>12</v>
      </c>
    </row>
    <row r="3607" spans="1:10" x14ac:dyDescent="0.25">
      <c r="A3607" s="2">
        <v>390.28998504879502</v>
      </c>
      <c r="B3607" s="3">
        <v>1.61559795673362E-2</v>
      </c>
      <c r="C3607" s="3">
        <v>0.81272823544268802</v>
      </c>
      <c r="D3607" s="4">
        <v>0.89867565167716201</v>
      </c>
      <c r="E3607" s="3" t="s">
        <v>10460</v>
      </c>
      <c r="F3607" s="3" t="s">
        <v>10461</v>
      </c>
      <c r="G3607" s="3">
        <v>12457</v>
      </c>
      <c r="H3607" s="7" t="str">
        <f>HYPERLINK("http://www.ensembl.org/Mus_musculus/Gene/Summary?db=core;g=ENSMUSG00000023087","ENSMUSG00000023087")</f>
        <v>ENSMUSG00000023087</v>
      </c>
      <c r="I3607" s="7" t="str">
        <f>HYPERLINK("http://www.informatics.jax.org/marker/MGI:109382","MGI:109382")</f>
        <v>MGI:109382</v>
      </c>
      <c r="J3607" s="4" t="s">
        <v>12</v>
      </c>
    </row>
    <row r="3608" spans="1:10" x14ac:dyDescent="0.25">
      <c r="A3608" s="2">
        <v>1002.16856475442</v>
      </c>
      <c r="B3608" s="3">
        <v>1.4334037405971599E-2</v>
      </c>
      <c r="C3608" s="3">
        <v>0.85057772119380304</v>
      </c>
      <c r="D3608" s="4">
        <v>0.91873282574272896</v>
      </c>
      <c r="E3608" s="3" t="s">
        <v>14019</v>
      </c>
      <c r="F3608" s="3" t="s">
        <v>14020</v>
      </c>
      <c r="G3608" s="3">
        <v>72157</v>
      </c>
      <c r="H3608" s="7" t="str">
        <f>HYPERLINK("http://www.ensembl.org/Mus_musculus/Gene/Summary?db=core;g=ENSMUSG00000025791","ENSMUSG00000025791")</f>
        <v>ENSMUSG00000025791</v>
      </c>
      <c r="I3608" s="7" t="str">
        <f>HYPERLINK("http://www.informatics.jax.org/marker/MGI:97565","MGI:97565")</f>
        <v>MGI:97565</v>
      </c>
      <c r="J3608" s="4" t="s">
        <v>12</v>
      </c>
    </row>
    <row r="3609" spans="1:10" x14ac:dyDescent="0.25">
      <c r="A3609" s="2">
        <v>216.94465822069799</v>
      </c>
      <c r="B3609" s="3">
        <v>1.34031987414133E-2</v>
      </c>
      <c r="C3609" s="3">
        <v>0.880473562766243</v>
      </c>
      <c r="D3609" s="4">
        <v>0.93571815740945696</v>
      </c>
      <c r="E3609" s="3" t="s">
        <v>7666</v>
      </c>
      <c r="F3609" s="3" t="s">
        <v>7667</v>
      </c>
      <c r="G3609" s="3">
        <v>57028</v>
      </c>
      <c r="H3609" s="7" t="str">
        <f>HYPERLINK("http://www.ensembl.org/Mus_musculus/Gene/Summary?db=core;g=ENSMUSG00000116165","ENSMUSG00000116165")</f>
        <v>ENSMUSG00000116165</v>
      </c>
      <c r="I3609" s="7" t="str">
        <f>HYPERLINK("http://www.informatics.jax.org/marker/MGI:1919282","MGI:1919282")</f>
        <v>MGI:1919282</v>
      </c>
      <c r="J3609" s="4" t="s">
        <v>12</v>
      </c>
    </row>
    <row r="3610" spans="1:10" x14ac:dyDescent="0.25">
      <c r="A3610" s="2">
        <v>3193.3931560527299</v>
      </c>
      <c r="B3610" s="3">
        <v>1.3298938321645E-2</v>
      </c>
      <c r="C3610" s="3">
        <v>0.86523589858983496</v>
      </c>
      <c r="D3610" s="4">
        <v>0.92662795036753098</v>
      </c>
      <c r="E3610" s="3" t="s">
        <v>10046</v>
      </c>
      <c r="F3610" s="3" t="s">
        <v>10047</v>
      </c>
      <c r="G3610" s="3">
        <v>98878</v>
      </c>
      <c r="H3610" s="7" t="str">
        <f>HYPERLINK("http://www.ensembl.org/Mus_musculus/Gene/Summary?db=core;g=ENSMUSG00000027293","ENSMUSG00000027293")</f>
        <v>ENSMUSG00000027293</v>
      </c>
      <c r="I3610" s="7" t="str">
        <f>HYPERLINK("http://www.informatics.jax.org/marker/MGI:1919619","MGI:1919619")</f>
        <v>MGI:1919619</v>
      </c>
      <c r="J3610" s="4" t="s">
        <v>12</v>
      </c>
    </row>
    <row r="3611" spans="1:10" x14ac:dyDescent="0.25">
      <c r="A3611" s="2">
        <v>2003.6298149818799</v>
      </c>
      <c r="B3611" s="3">
        <v>1.3057313864427799E-2</v>
      </c>
      <c r="C3611" s="3">
        <v>0.85495494612818201</v>
      </c>
      <c r="D3611" s="4">
        <v>0.92103725451384499</v>
      </c>
      <c r="E3611" s="3" t="s">
        <v>10102</v>
      </c>
      <c r="F3611" s="3" t="s">
        <v>10103</v>
      </c>
      <c r="G3611" s="3">
        <v>170743</v>
      </c>
      <c r="H3611" s="7" t="str">
        <f>HYPERLINK("http://www.ensembl.org/Mus_musculus/Gene/Summary?db=core;g=ENSMUSG00000044583","ENSMUSG00000044583")</f>
        <v>ENSMUSG00000044583</v>
      </c>
      <c r="I3611" s="7" t="str">
        <f>HYPERLINK("http://www.informatics.jax.org/marker/MGI:2176882","MGI:2176882")</f>
        <v>MGI:2176882</v>
      </c>
      <c r="J3611" s="4" t="s">
        <v>12</v>
      </c>
    </row>
    <row r="3612" spans="1:10" x14ac:dyDescent="0.25">
      <c r="A3612" s="2">
        <v>526.61179307380701</v>
      </c>
      <c r="B3612" s="3">
        <v>1.0464272526812301E-2</v>
      </c>
      <c r="C3612" s="3">
        <v>0.92584147753338897</v>
      </c>
      <c r="D3612" s="4">
        <v>0.96134121057691502</v>
      </c>
      <c r="E3612" s="3" t="s">
        <v>13247</v>
      </c>
      <c r="F3612" s="3" t="s">
        <v>13248</v>
      </c>
      <c r="G3612" s="3">
        <v>16363</v>
      </c>
      <c r="H3612" s="7" t="str">
        <f>HYPERLINK("http://www.ensembl.org/Mus_musculus/Gene/Summary?db=core;g=ENSMUSG00000031627","ENSMUSG00000031627")</f>
        <v>ENSMUSG00000031627</v>
      </c>
      <c r="I3612" s="7" t="str">
        <f>HYPERLINK("http://www.informatics.jax.org/marker/MGI:96591","MGI:96591")</f>
        <v>MGI:96591</v>
      </c>
      <c r="J3612" s="4" t="s">
        <v>12</v>
      </c>
    </row>
    <row r="3613" spans="1:10" x14ac:dyDescent="0.25">
      <c r="A3613" s="2">
        <v>1100.73726517707</v>
      </c>
      <c r="B3613" s="3">
        <v>8.2010575957702798E-3</v>
      </c>
      <c r="C3613" s="3">
        <v>0.87448141184724304</v>
      </c>
      <c r="D3613" s="4">
        <v>0.93199829298151105</v>
      </c>
      <c r="E3613" s="3" t="s">
        <v>10926</v>
      </c>
      <c r="F3613" s="3" t="s">
        <v>10927</v>
      </c>
      <c r="G3613" s="3">
        <v>107368</v>
      </c>
      <c r="H3613" s="7" t="str">
        <f>HYPERLINK("http://www.ensembl.org/Mus_musculus/Gene/Summary?db=core;g=ENSMUSG00000074746","ENSMUSG00000074746")</f>
        <v>ENSMUSG00000074746</v>
      </c>
      <c r="I3613" s="7" t="str">
        <f>HYPERLINK("http://www.informatics.jax.org/marker/MGI:2677270","MGI:2677270")</f>
        <v>MGI:2677270</v>
      </c>
      <c r="J3613" s="4" t="s">
        <v>12</v>
      </c>
    </row>
    <row r="3614" spans="1:10" x14ac:dyDescent="0.25">
      <c r="A3614" s="2">
        <v>3468.4047248141601</v>
      </c>
      <c r="B3614" s="3">
        <v>5.1367371815236101E-3</v>
      </c>
      <c r="C3614" s="3">
        <v>0.92032053602695096</v>
      </c>
      <c r="D3614" s="4">
        <v>0.95822018953642196</v>
      </c>
      <c r="E3614" s="3" t="s">
        <v>14053</v>
      </c>
      <c r="F3614" s="3" t="s">
        <v>14054</v>
      </c>
      <c r="G3614" s="3">
        <v>19822</v>
      </c>
      <c r="H3614" s="7" t="str">
        <f>HYPERLINK("http://www.ensembl.org/Mus_musculus/Gene/Summary?db=core;g=ENSMUSG00000029110","ENSMUSG00000029110")</f>
        <v>ENSMUSG00000029110</v>
      </c>
      <c r="I3614" s="7" t="str">
        <f>HYPERLINK("http://www.informatics.jax.org/marker/MGI:1201691","MGI:1201691")</f>
        <v>MGI:1201691</v>
      </c>
      <c r="J3614" s="4" t="s">
        <v>12</v>
      </c>
    </row>
    <row r="3615" spans="1:10" x14ac:dyDescent="0.25">
      <c r="A3615" s="2">
        <v>1302.5937422074001</v>
      </c>
      <c r="B3615" s="3">
        <v>3.6025221451252499E-3</v>
      </c>
      <c r="C3615" s="3">
        <v>0.96033493224609001</v>
      </c>
      <c r="D3615" s="4">
        <v>0.97941265473894801</v>
      </c>
      <c r="E3615" s="3" t="s">
        <v>12093</v>
      </c>
      <c r="F3615" s="3" t="s">
        <v>12094</v>
      </c>
      <c r="G3615" s="3">
        <v>69900</v>
      </c>
      <c r="H3615" s="7" t="str">
        <f>HYPERLINK("http://www.ensembl.org/Mus_musculus/Gene/Summary?db=core;g=ENSMUSG00000020818","ENSMUSG00000020818")</f>
        <v>ENSMUSG00000020818</v>
      </c>
      <c r="I3615" s="7" t="str">
        <f>HYPERLINK("http://www.informatics.jax.org/marker/MGI:1917150","MGI:1917150")</f>
        <v>MGI:1917150</v>
      </c>
      <c r="J3615" s="4" t="s">
        <v>12</v>
      </c>
    </row>
    <row r="3616" spans="1:10" x14ac:dyDescent="0.25">
      <c r="A3616" s="2">
        <v>843.89732659984895</v>
      </c>
      <c r="B3616" s="3">
        <v>3.12297540334614E-3</v>
      </c>
      <c r="C3616" s="3">
        <v>0.97517535397484301</v>
      </c>
      <c r="D3616" s="4">
        <v>0.98705183237535699</v>
      </c>
      <c r="E3616" s="3" t="s">
        <v>13795</v>
      </c>
      <c r="F3616" s="3" t="s">
        <v>13796</v>
      </c>
      <c r="G3616" s="3">
        <v>16438</v>
      </c>
      <c r="H3616" s="7" t="str">
        <f>HYPERLINK("http://www.ensembl.org/Mus_musculus/Gene/Summary?db=core;g=ENSMUSG00000030102","ENSMUSG00000030102")</f>
        <v>ENSMUSG00000030102</v>
      </c>
      <c r="I3616" s="7" t="str">
        <f>HYPERLINK("http://www.informatics.jax.org/marker/MGI:96623","MGI:96623")</f>
        <v>MGI:96623</v>
      </c>
      <c r="J3616" s="4" t="s">
        <v>12</v>
      </c>
    </row>
    <row r="3617" spans="1:10" x14ac:dyDescent="0.25">
      <c r="A3617" s="2">
        <v>3378.0610205194198</v>
      </c>
      <c r="B3617" s="3">
        <v>2.43930002855573E-3</v>
      </c>
      <c r="C3617" s="3">
        <v>0.96454471433185895</v>
      </c>
      <c r="D3617" s="4">
        <v>0.98176539043330002</v>
      </c>
      <c r="E3617" s="3" t="s">
        <v>12327</v>
      </c>
      <c r="F3617" s="3" t="s">
        <v>12328</v>
      </c>
      <c r="G3617" s="3">
        <v>216134</v>
      </c>
      <c r="H3617" s="7" t="str">
        <f>HYPERLINK("http://www.ensembl.org/Mus_musculus/Gene/Summary?db=core;g=ENSMUSG00000032788","ENSMUSG00000032788")</f>
        <v>ENSMUSG00000032788</v>
      </c>
      <c r="I3617" s="7" t="str">
        <f>HYPERLINK("http://www.informatics.jax.org/marker/MGI:1351869","MGI:1351869")</f>
        <v>MGI:1351869</v>
      </c>
      <c r="J3617" s="4" t="s">
        <v>12</v>
      </c>
    </row>
    <row r="3618" spans="1:10" x14ac:dyDescent="0.25">
      <c r="A3618" s="2">
        <v>174.28712482609899</v>
      </c>
      <c r="B3618" s="3">
        <v>9.3596792138618101E-4</v>
      </c>
      <c r="C3618" s="3">
        <v>0.99491680145914996</v>
      </c>
      <c r="D3618" s="4">
        <v>0.99743433118394897</v>
      </c>
      <c r="E3618" s="3" t="s">
        <v>13300</v>
      </c>
      <c r="F3618" s="3" t="s">
        <v>13301</v>
      </c>
      <c r="G3618" s="3">
        <v>545205</v>
      </c>
      <c r="H3618" s="7" t="str">
        <f>HYPERLINK("http://www.ensembl.org/Mus_musculus/Gene/Summary?db=core;g=ENSMUSG00000090675","ENSMUSG00000090675")</f>
        <v>ENSMUSG00000090675</v>
      </c>
      <c r="I3618" s="7" t="str">
        <f>HYPERLINK("http://www.informatics.jax.org/marker/MGI:2177494","MGI:2177494")</f>
        <v>MGI:2177494</v>
      </c>
      <c r="J3618" s="4" t="s">
        <v>12</v>
      </c>
    </row>
    <row r="3619" spans="1:10" x14ac:dyDescent="0.25">
      <c r="A3619" s="2">
        <v>1.6675114226521801</v>
      </c>
      <c r="B3619" s="3">
        <v>0</v>
      </c>
      <c r="C3619" s="3">
        <v>1</v>
      </c>
      <c r="D3619" s="4">
        <v>1</v>
      </c>
      <c r="E3619" s="3" t="s">
        <v>10304</v>
      </c>
      <c r="F3619" s="3" t="s">
        <v>10305</v>
      </c>
      <c r="G3619" s="3">
        <v>207474</v>
      </c>
      <c r="H3619" s="7" t="str">
        <f>HYPERLINK("http://www.ensembl.org/Mus_musculus/Gene/Summary?db=core;g=ENSMUSG00000041633","ENSMUSG00000041633")</f>
        <v>ENSMUSG00000041633</v>
      </c>
      <c r="I3619" s="7" t="str">
        <f>HYPERLINK("http://www.informatics.jax.org/marker/MGI:2444667","MGI:2444667")</f>
        <v>MGI:2444667</v>
      </c>
      <c r="J3619" s="4" t="s">
        <v>12</v>
      </c>
    </row>
    <row r="3620" spans="1:10" x14ac:dyDescent="0.25">
      <c r="A3620" s="2">
        <v>1.4168216309000401</v>
      </c>
      <c r="B3620" s="3">
        <v>0</v>
      </c>
      <c r="C3620" s="3">
        <v>1</v>
      </c>
      <c r="D3620" s="4">
        <v>1</v>
      </c>
      <c r="E3620" s="3" t="s">
        <v>12769</v>
      </c>
      <c r="F3620" s="3" t="s">
        <v>12770</v>
      </c>
      <c r="G3620" s="3">
        <v>76681</v>
      </c>
      <c r="H3620" s="7" t="str">
        <f>HYPERLINK("http://www.ensembl.org/Mus_musculus/Gene/Summary?db=core;g=ENSMUSG00000066258","ENSMUSG00000066258")</f>
        <v>ENSMUSG00000066258</v>
      </c>
      <c r="I3620" s="7" t="str">
        <f>HYPERLINK("http://www.informatics.jax.org/marker/MGI:1923931","MGI:1923931")</f>
        <v>MGI:1923931</v>
      </c>
      <c r="J3620" s="4" t="s">
        <v>12</v>
      </c>
    </row>
    <row r="3621" spans="1:10" x14ac:dyDescent="0.25">
      <c r="A3621" s="2">
        <v>2.6858940837288001</v>
      </c>
      <c r="B3621" s="3">
        <v>0</v>
      </c>
      <c r="C3621" s="3">
        <v>1</v>
      </c>
      <c r="D3621" s="4">
        <v>1</v>
      </c>
      <c r="E3621" s="3" t="s">
        <v>14049</v>
      </c>
      <c r="F3621" s="3" t="s">
        <v>14050</v>
      </c>
      <c r="G3621" s="3">
        <v>23966</v>
      </c>
      <c r="H3621" s="7" t="str">
        <f>HYPERLINK("http://www.ensembl.org/Mus_musculus/Gene/Summary?db=core;g=ENSMUSG00000048078","ENSMUSG00000048078")</f>
        <v>ENSMUSG00000048078</v>
      </c>
      <c r="I3621" s="7" t="str">
        <f>HYPERLINK("http://www.informatics.jax.org/marker/MGI:2447063","MGI:2447063")</f>
        <v>MGI:2447063</v>
      </c>
      <c r="J3621" s="4" t="s">
        <v>12</v>
      </c>
    </row>
    <row r="3622" spans="1:10" x14ac:dyDescent="0.25">
      <c r="A3622" s="2">
        <v>1362.4977638211201</v>
      </c>
      <c r="B3622" s="3">
        <v>-1.1983547441820001E-3</v>
      </c>
      <c r="C3622" s="3">
        <v>0.98308074348337804</v>
      </c>
      <c r="D3622" s="4">
        <v>0.99169480753999795</v>
      </c>
      <c r="E3622" s="3" t="s">
        <v>7838</v>
      </c>
      <c r="F3622" s="3" t="s">
        <v>7839</v>
      </c>
      <c r="G3622" s="3">
        <v>68801</v>
      </c>
      <c r="H3622" s="7" t="str">
        <f>HYPERLINK("http://www.ensembl.org/Mus_musculus/Gene/Summary?db=core;g=ENSMUSG00000032349","ENSMUSG00000032349")</f>
        <v>ENSMUSG00000032349</v>
      </c>
      <c r="I3622" s="7" t="str">
        <f>HYPERLINK("http://www.informatics.jax.org/marker/MGI:1916051","MGI:1916051")</f>
        <v>MGI:1916051</v>
      </c>
      <c r="J3622" s="4" t="s">
        <v>12</v>
      </c>
    </row>
    <row r="3623" spans="1:10" x14ac:dyDescent="0.25">
      <c r="A3623" s="2">
        <v>9145.58775814826</v>
      </c>
      <c r="B3623" s="3">
        <v>-2.8023677787034499E-3</v>
      </c>
      <c r="C3623" s="3">
        <v>0.95356795212266199</v>
      </c>
      <c r="D3623" s="4">
        <v>0.97552848066183395</v>
      </c>
      <c r="E3623" s="3" t="s">
        <v>8875</v>
      </c>
      <c r="F3623" s="3" t="s">
        <v>8876</v>
      </c>
      <c r="G3623" s="3">
        <v>11966</v>
      </c>
      <c r="H3623" s="7" t="str">
        <f>HYPERLINK("http://www.ensembl.org/Mus_musculus/Gene/Summary?db=core;g=ENSMUSG00000006273","ENSMUSG00000006273")</f>
        <v>ENSMUSG00000006273</v>
      </c>
      <c r="I3623" s="7" t="str">
        <f>HYPERLINK("http://www.informatics.jax.org/marker/MGI:109618","MGI:109618")</f>
        <v>MGI:109618</v>
      </c>
      <c r="J3623" s="4" t="s">
        <v>12</v>
      </c>
    </row>
    <row r="3624" spans="1:10" x14ac:dyDescent="0.25">
      <c r="A3624" s="2">
        <v>487.32566581123899</v>
      </c>
      <c r="B3624" s="3">
        <v>-3.2254486089651601E-3</v>
      </c>
      <c r="C3624" s="3">
        <v>0.96605215774444098</v>
      </c>
      <c r="D3624" s="4">
        <v>0.98260411736200703</v>
      </c>
      <c r="E3624" s="3" t="s">
        <v>5667</v>
      </c>
      <c r="F3624" s="3" t="s">
        <v>5668</v>
      </c>
      <c r="G3624" s="3">
        <v>238673</v>
      </c>
      <c r="H3624" s="7" t="str">
        <f>HYPERLINK("http://www.ensembl.org/Mus_musculus/Gene/Summary?db=core;g=ENSMUSG00000044934","ENSMUSG00000044934")</f>
        <v>ENSMUSG00000044934</v>
      </c>
      <c r="I3624" s="7" t="str">
        <f>HYPERLINK("http://www.informatics.jax.org/marker/MGI:2442266","MGI:2442266")</f>
        <v>MGI:2442266</v>
      </c>
      <c r="J3624" s="4" t="s">
        <v>12</v>
      </c>
    </row>
    <row r="3625" spans="1:10" x14ac:dyDescent="0.25">
      <c r="A3625" s="2">
        <v>631.41682132291703</v>
      </c>
      <c r="B3625" s="3">
        <v>-3.8139796896935201E-3</v>
      </c>
      <c r="C3625" s="3">
        <v>0.953823419791622</v>
      </c>
      <c r="D3625" s="4">
        <v>0.97561072093962897</v>
      </c>
      <c r="E3625" s="3" t="s">
        <v>13261</v>
      </c>
      <c r="F3625" s="3" t="s">
        <v>13262</v>
      </c>
      <c r="G3625" s="3">
        <v>56488</v>
      </c>
      <c r="H3625" s="7" t="str">
        <f>HYPERLINK("http://www.ensembl.org/Mus_musculus/Gene/Summary?db=core;g=ENSMUSG00000036992","ENSMUSG00000036992")</f>
        <v>ENSMUSG00000036992</v>
      </c>
      <c r="I3625" s="7" t="str">
        <f>HYPERLINK("http://www.informatics.jax.org/marker/MGI:1929619","MGI:1929619")</f>
        <v>MGI:1929619</v>
      </c>
      <c r="J3625" s="4" t="s">
        <v>12</v>
      </c>
    </row>
    <row r="3626" spans="1:10" x14ac:dyDescent="0.25">
      <c r="A3626" s="2">
        <v>1350.2281368804099</v>
      </c>
      <c r="B3626" s="3">
        <v>-3.8368171666980002E-3</v>
      </c>
      <c r="C3626" s="3">
        <v>0.93102741950499102</v>
      </c>
      <c r="D3626" s="4">
        <v>0.96403469805570496</v>
      </c>
      <c r="E3626" s="3" t="s">
        <v>9855</v>
      </c>
      <c r="F3626" s="3" t="s">
        <v>9856</v>
      </c>
      <c r="G3626" s="3">
        <v>67755</v>
      </c>
      <c r="H3626" s="7" t="str">
        <f>HYPERLINK("http://www.ensembl.org/Mus_musculus/Gene/Summary?db=core;g=ENSMUSG00000030204","ENSMUSG00000030204")</f>
        <v>ENSMUSG00000030204</v>
      </c>
      <c r="I3626" s="7" t="str">
        <f>HYPERLINK("http://www.informatics.jax.org/marker/MGI:1915005","MGI:1915005")</f>
        <v>MGI:1915005</v>
      </c>
      <c r="J3626" s="4" t="s">
        <v>12</v>
      </c>
    </row>
    <row r="3627" spans="1:10" x14ac:dyDescent="0.25">
      <c r="A3627" s="2">
        <v>795.58118011075499</v>
      </c>
      <c r="B3627" s="3">
        <v>-4.90597557498503E-3</v>
      </c>
      <c r="C3627" s="3">
        <v>0.94853213040047901</v>
      </c>
      <c r="D3627" s="4">
        <v>0.972764508274646</v>
      </c>
      <c r="E3627" s="3" t="s">
        <v>13831</v>
      </c>
      <c r="F3627" s="3" t="s">
        <v>13832</v>
      </c>
      <c r="G3627" s="3">
        <v>104082</v>
      </c>
      <c r="H3627" s="7" t="str">
        <f>HYPERLINK("http://www.ensembl.org/Mus_musculus/Gene/Summary?db=core;g=ENSMUSG00000040560","ENSMUSG00000040560")</f>
        <v>ENSMUSG00000040560</v>
      </c>
      <c r="I3627" s="7" t="str">
        <f>HYPERLINK("http://www.informatics.jax.org/marker/MGI:1860197","MGI:1860197")</f>
        <v>MGI:1860197</v>
      </c>
      <c r="J3627" s="4" t="s">
        <v>12</v>
      </c>
    </row>
    <row r="3628" spans="1:10" x14ac:dyDescent="0.25">
      <c r="A3628" s="2">
        <v>563.19674821625495</v>
      </c>
      <c r="B3628" s="3">
        <v>-5.1914417889472597E-3</v>
      </c>
      <c r="C3628" s="3">
        <v>0.94836402302255096</v>
      </c>
      <c r="D3628" s="4">
        <v>0.97270157688029701</v>
      </c>
      <c r="E3628" s="3" t="s">
        <v>13017</v>
      </c>
      <c r="F3628" s="3" t="s">
        <v>13018</v>
      </c>
      <c r="G3628" s="3">
        <v>72046</v>
      </c>
      <c r="H3628" s="7" t="str">
        <f>HYPERLINK("http://www.ensembl.org/Mus_musculus/Gene/Summary?db=core;g=ENSMUSG00000049680","ENSMUSG00000049680")</f>
        <v>ENSMUSG00000049680</v>
      </c>
      <c r="I3628" s="7" t="str">
        <f>HYPERLINK("http://www.informatics.jax.org/marker/MGI:1919296","MGI:1919296")</f>
        <v>MGI:1919296</v>
      </c>
      <c r="J3628" s="4" t="s">
        <v>12</v>
      </c>
    </row>
    <row r="3629" spans="1:10" x14ac:dyDescent="0.25">
      <c r="A3629" s="2">
        <v>1030.83057352848</v>
      </c>
      <c r="B3629" s="3">
        <v>-6.2605443432653604E-3</v>
      </c>
      <c r="C3629" s="3">
        <v>0.92147924375537704</v>
      </c>
      <c r="D3629" s="4">
        <v>0.95872348104365701</v>
      </c>
      <c r="E3629" s="3" t="s">
        <v>12973</v>
      </c>
      <c r="F3629" s="3" t="s">
        <v>12974</v>
      </c>
      <c r="G3629" s="3">
        <v>70312</v>
      </c>
      <c r="H3629" s="7" t="str">
        <f>HYPERLINK("http://www.ensembl.org/Mus_musculus/Gene/Summary?db=core;g=ENSMUSG00000034889","ENSMUSG00000034889")</f>
        <v>ENSMUSG00000034889</v>
      </c>
      <c r="I3629" s="7" t="str">
        <f>HYPERLINK("http://www.informatics.jax.org/marker/MGI:1917562","MGI:1917562")</f>
        <v>MGI:1917562</v>
      </c>
      <c r="J3629" s="4" t="s">
        <v>12</v>
      </c>
    </row>
    <row r="3630" spans="1:10" x14ac:dyDescent="0.25">
      <c r="A3630" s="2">
        <v>1733.87455762283</v>
      </c>
      <c r="B3630" s="3">
        <v>-6.4343055218639101E-3</v>
      </c>
      <c r="C3630" s="3">
        <v>0.91286738173234605</v>
      </c>
      <c r="D3630" s="4">
        <v>0.95438204282309402</v>
      </c>
      <c r="E3630" s="3" t="s">
        <v>13675</v>
      </c>
      <c r="F3630" s="3" t="s">
        <v>13676</v>
      </c>
      <c r="G3630" s="3">
        <v>74213</v>
      </c>
      <c r="H3630" s="7" t="str">
        <f>HYPERLINK("http://www.ensembl.org/Mus_musculus/Gene/Summary?db=core;g=ENSMUSG00000022119","ENSMUSG00000022119")</f>
        <v>ENSMUSG00000022119</v>
      </c>
      <c r="I3630" s="7" t="str">
        <f>HYPERLINK("http://www.informatics.jax.org/marker/MGI:1921463","MGI:1921463")</f>
        <v>MGI:1921463</v>
      </c>
      <c r="J3630" s="4" t="s">
        <v>12</v>
      </c>
    </row>
    <row r="3631" spans="1:10" x14ac:dyDescent="0.25">
      <c r="A3631" s="2">
        <v>346.43455950040499</v>
      </c>
      <c r="B3631" s="3">
        <v>-8.3229585082846003E-3</v>
      </c>
      <c r="C3631" s="3">
        <v>0.90571808544680998</v>
      </c>
      <c r="D3631" s="4">
        <v>0.95117621915801098</v>
      </c>
      <c r="E3631" s="3" t="s">
        <v>12811</v>
      </c>
      <c r="F3631" s="3" t="s">
        <v>12812</v>
      </c>
      <c r="G3631" s="3">
        <v>76804</v>
      </c>
      <c r="H3631" s="7" t="str">
        <f>HYPERLINK("http://www.ensembl.org/Mus_musculus/Gene/Summary?db=core;g=ENSMUSG00000028397","ENSMUSG00000028397")</f>
        <v>ENSMUSG00000028397</v>
      </c>
      <c r="I3631" s="7" t="str">
        <f>HYPERLINK("http://www.informatics.jax.org/marker/MGI:1924054","MGI:1924054")</f>
        <v>MGI:1924054</v>
      </c>
      <c r="J3631" s="4" t="s">
        <v>12</v>
      </c>
    </row>
    <row r="3632" spans="1:10" x14ac:dyDescent="0.25">
      <c r="A3632" s="2">
        <v>208.32803508234801</v>
      </c>
      <c r="B3632" s="3">
        <v>-1.2269334210179001E-2</v>
      </c>
      <c r="C3632" s="3">
        <v>0.90399575127353404</v>
      </c>
      <c r="D3632" s="4">
        <v>0.95007915154605604</v>
      </c>
      <c r="E3632" s="3" t="s">
        <v>11711</v>
      </c>
      <c r="F3632" s="3" t="s">
        <v>11712</v>
      </c>
      <c r="G3632" s="3">
        <v>232878</v>
      </c>
      <c r="H3632" s="7" t="str">
        <f>HYPERLINK("http://www.ensembl.org/Mus_musculus/Gene/Summary?db=core;g=ENSMUSG00000054715","ENSMUSG00000054715")</f>
        <v>ENSMUSG00000054715</v>
      </c>
      <c r="I3632" s="7" t="str">
        <f>HYPERLINK("http://www.informatics.jax.org/marker/MGI:2443312","MGI:2443312")</f>
        <v>MGI:2443312</v>
      </c>
      <c r="J3632" s="4" t="s">
        <v>12</v>
      </c>
    </row>
    <row r="3633" spans="1:10" x14ac:dyDescent="0.25">
      <c r="A3633" s="2">
        <v>2710.2243188122602</v>
      </c>
      <c r="B3633" s="3">
        <v>-1.2302227627519299E-2</v>
      </c>
      <c r="C3633" s="3">
        <v>0.80633846311039703</v>
      </c>
      <c r="D3633" s="4">
        <v>0.89444688341020695</v>
      </c>
      <c r="E3633" s="3" t="s">
        <v>11038</v>
      </c>
      <c r="F3633" s="3" t="s">
        <v>11039</v>
      </c>
      <c r="G3633" s="3">
        <v>15259</v>
      </c>
      <c r="H3633" s="7" t="str">
        <f>HYPERLINK("http://www.ensembl.org/Mus_musculus/Gene/Summary?db=core;g=ENSMUSG00000027177","ENSMUSG00000027177")</f>
        <v>ENSMUSG00000027177</v>
      </c>
      <c r="I3633" s="7" t="str">
        <f>HYPERLINK("http://www.informatics.jax.org/marker/MGI:1314882","MGI:1314882")</f>
        <v>MGI:1314882</v>
      </c>
      <c r="J3633" s="4" t="s">
        <v>12</v>
      </c>
    </row>
    <row r="3634" spans="1:10" x14ac:dyDescent="0.25">
      <c r="A3634" s="2">
        <v>3127.9356116262902</v>
      </c>
      <c r="B3634" s="3">
        <v>-1.39837005689249E-2</v>
      </c>
      <c r="C3634" s="3">
        <v>0.80619375180294195</v>
      </c>
      <c r="D3634" s="4">
        <v>0.89443484060440803</v>
      </c>
      <c r="E3634" s="3" t="s">
        <v>13565</v>
      </c>
      <c r="F3634" s="3" t="s">
        <v>13566</v>
      </c>
      <c r="G3634" s="3">
        <v>338320</v>
      </c>
      <c r="H3634" s="7" t="str">
        <f>HYPERLINK("http://www.ensembl.org/Mus_musculus/Gene/Summary?db=core;g=ENSMUSG00000021000","ENSMUSG00000021000")</f>
        <v>ENSMUSG00000021000</v>
      </c>
      <c r="I3634" s="7" t="str">
        <f>HYPERLINK("http://www.informatics.jax.org/marker/MGI:2159614","MGI:2159614")</f>
        <v>MGI:2159614</v>
      </c>
      <c r="J3634" s="4" t="s">
        <v>12</v>
      </c>
    </row>
    <row r="3635" spans="1:10" x14ac:dyDescent="0.25">
      <c r="A3635" s="2">
        <v>1037.7493698680701</v>
      </c>
      <c r="B3635" s="3">
        <v>-1.4060614567535001E-2</v>
      </c>
      <c r="C3635" s="3">
        <v>0.86453748521699403</v>
      </c>
      <c r="D3635" s="4">
        <v>0.92623571030978302</v>
      </c>
      <c r="E3635" s="3" t="s">
        <v>13326</v>
      </c>
      <c r="F3635" s="3" t="s">
        <v>13327</v>
      </c>
      <c r="G3635" s="3">
        <v>17283</v>
      </c>
      <c r="H3635" s="7" t="str">
        <f>HYPERLINK("http://www.ensembl.org/Mus_musculus/Gene/Summary?db=core;g=ENSMUSG00000024947","ENSMUSG00000024947")</f>
        <v>ENSMUSG00000024947</v>
      </c>
      <c r="I3635" s="7" t="str">
        <f>HYPERLINK("http://www.informatics.jax.org/marker/MGI:1316736","MGI:1316736")</f>
        <v>MGI:1316736</v>
      </c>
      <c r="J3635" s="4" t="s">
        <v>12</v>
      </c>
    </row>
    <row r="3636" spans="1:10" x14ac:dyDescent="0.25">
      <c r="A3636" s="2">
        <v>122.55098380344199</v>
      </c>
      <c r="B3636" s="3">
        <v>-1.4558610372317799E-2</v>
      </c>
      <c r="C3636" s="3">
        <v>0.89727957198987496</v>
      </c>
      <c r="D3636" s="4">
        <v>0.94620374818068698</v>
      </c>
      <c r="E3636" s="3" t="s">
        <v>11183</v>
      </c>
      <c r="F3636" s="3" t="s">
        <v>11184</v>
      </c>
      <c r="G3636" s="3">
        <v>67219</v>
      </c>
      <c r="H3636" s="7" t="str">
        <f>HYPERLINK("http://www.ensembl.org/Mus_musculus/Gene/Summary?db=core;g=ENSMUSG00000066042","ENSMUSG00000066042")</f>
        <v>ENSMUSG00000066042</v>
      </c>
      <c r="I3636" s="7" t="str">
        <f>HYPERLINK("http://www.informatics.jax.org/marker/MGI:1914469","MGI:1914469")</f>
        <v>MGI:1914469</v>
      </c>
      <c r="J3636" s="4" t="s">
        <v>12</v>
      </c>
    </row>
    <row r="3637" spans="1:10" x14ac:dyDescent="0.25">
      <c r="A3637" s="2">
        <v>2.7692702037055801</v>
      </c>
      <c r="B3637" s="3">
        <v>-1.8958690490696501E-2</v>
      </c>
      <c r="C3637" s="3">
        <v>0.96719242623627399</v>
      </c>
      <c r="D3637" s="4">
        <v>0.98321519233356103</v>
      </c>
      <c r="E3637" s="3" t="s">
        <v>12687</v>
      </c>
      <c r="F3637" s="3" t="s">
        <v>12688</v>
      </c>
      <c r="G3637" s="3" t="s">
        <v>83</v>
      </c>
      <c r="H3637" s="7" t="str">
        <f>HYPERLINK("http://www.ensembl.org/Mus_musculus/Gene/Summary?db=core;g=ENSMUSG00000090293","ENSMUSG00000090293")</f>
        <v>ENSMUSG00000090293</v>
      </c>
      <c r="I3637" s="7" t="str">
        <f>HYPERLINK("http://www.informatics.jax.org/marker/MGI:4937861","MGI:4937861")</f>
        <v>MGI:4937861</v>
      </c>
      <c r="J3637" s="4" t="s">
        <v>932</v>
      </c>
    </row>
    <row r="3638" spans="1:10" x14ac:dyDescent="0.25">
      <c r="A3638" s="2">
        <v>3.0722697894001798</v>
      </c>
      <c r="B3638" s="3">
        <v>-1.9909059643195798E-2</v>
      </c>
      <c r="C3638" s="3">
        <v>0.96548540513097203</v>
      </c>
      <c r="D3638" s="4">
        <v>0.98219210206597596</v>
      </c>
      <c r="E3638" s="3" t="s">
        <v>10896</v>
      </c>
      <c r="F3638" s="3" t="s">
        <v>10897</v>
      </c>
      <c r="G3638" s="3">
        <v>319161</v>
      </c>
      <c r="H3638" s="7" t="str">
        <f>HYPERLINK("http://www.ensembl.org/Mus_musculus/Gene/Summary?db=core;g=ENSMUSG00000069305","ENSMUSG00000069305")</f>
        <v>ENSMUSG00000069305</v>
      </c>
      <c r="I3638" s="7" t="str">
        <f>HYPERLINK("http://www.informatics.jax.org/marker/MGI:4843992","MGI:4843992")</f>
        <v>MGI:4843992</v>
      </c>
      <c r="J3638" s="4" t="s">
        <v>12</v>
      </c>
    </row>
    <row r="3639" spans="1:10" x14ac:dyDescent="0.25">
      <c r="A3639" s="2">
        <v>1284.8786091264201</v>
      </c>
      <c r="B3639" s="3">
        <v>-2.04244818090424E-2</v>
      </c>
      <c r="C3639" s="3">
        <v>0.76041732014352204</v>
      </c>
      <c r="D3639" s="4">
        <v>0.86697564339166</v>
      </c>
      <c r="E3639" s="3" t="s">
        <v>12053</v>
      </c>
      <c r="F3639" s="3" t="s">
        <v>12054</v>
      </c>
      <c r="G3639" s="3">
        <v>233575</v>
      </c>
      <c r="H3639" s="7" t="str">
        <f>HYPERLINK("http://www.ensembl.org/Mus_musculus/Gene/Summary?db=core;g=ENSMUSG00000030990","ENSMUSG00000030990")</f>
        <v>ENSMUSG00000030990</v>
      </c>
      <c r="I3639" s="7" t="str">
        <f>HYPERLINK("http://www.informatics.jax.org/marker/MGI:2385286","MGI:2385286")</f>
        <v>MGI:2385286</v>
      </c>
      <c r="J3639" s="4" t="s">
        <v>12</v>
      </c>
    </row>
    <row r="3640" spans="1:10" x14ac:dyDescent="0.25">
      <c r="A3640" s="2">
        <v>2650.8229010939999</v>
      </c>
      <c r="B3640" s="3">
        <v>-2.0491044260658401E-2</v>
      </c>
      <c r="C3640" s="3">
        <v>0.68841318860663403</v>
      </c>
      <c r="D3640" s="4">
        <v>0.81701044857506799</v>
      </c>
      <c r="E3640" s="3" t="s">
        <v>12549</v>
      </c>
      <c r="F3640" s="3" t="s">
        <v>12550</v>
      </c>
      <c r="G3640" s="3">
        <v>12018</v>
      </c>
      <c r="H3640" s="7" t="str">
        <f>HYPERLINK("http://www.ensembl.org/Mus_musculus/Gene/Summary?db=core;g=ENSMUSG00000057789","ENSMUSG00000057789")</f>
        <v>ENSMUSG00000057789</v>
      </c>
      <c r="I3640" s="7" t="str">
        <f>HYPERLINK("http://www.informatics.jax.org/marker/MGI:1097161","MGI:1097161")</f>
        <v>MGI:1097161</v>
      </c>
      <c r="J3640" s="4" t="s">
        <v>12</v>
      </c>
    </row>
    <row r="3641" spans="1:10" x14ac:dyDescent="0.25">
      <c r="A3641" s="2">
        <v>2502.3803632629501</v>
      </c>
      <c r="B3641" s="3">
        <v>-2.2195018448894901E-2</v>
      </c>
      <c r="C3641" s="3">
        <v>0.67463863937968904</v>
      </c>
      <c r="D3641" s="4">
        <v>0.80682846793075502</v>
      </c>
      <c r="E3641" s="3" t="s">
        <v>13729</v>
      </c>
      <c r="F3641" s="3" t="s">
        <v>13730</v>
      </c>
      <c r="G3641" s="3">
        <v>381314</v>
      </c>
      <c r="H3641" s="7" t="str">
        <f>HYPERLINK("http://www.ensembl.org/Mus_musculus/Gene/Summary?db=core;g=ENSMUSG00000026618","ENSMUSG00000026618")</f>
        <v>ENSMUSG00000026618</v>
      </c>
      <c r="I3641" s="7" t="str">
        <f>HYPERLINK("http://www.informatics.jax.org/marker/MGI:1919586","MGI:1919586")</f>
        <v>MGI:1919586</v>
      </c>
      <c r="J3641" s="4" t="s">
        <v>12</v>
      </c>
    </row>
    <row r="3642" spans="1:10" x14ac:dyDescent="0.25">
      <c r="A3642" s="2">
        <v>23.6239346183709</v>
      </c>
      <c r="B3642" s="3">
        <v>-2.74927624995247E-2</v>
      </c>
      <c r="C3642" s="3">
        <v>0.90753934118724999</v>
      </c>
      <c r="D3642" s="4">
        <v>0.95188216466031506</v>
      </c>
      <c r="E3642" s="3" t="s">
        <v>10660</v>
      </c>
      <c r="F3642" s="3" t="s">
        <v>10661</v>
      </c>
      <c r="G3642" s="3" t="s">
        <v>83</v>
      </c>
      <c r="H3642" s="7" t="str">
        <f>HYPERLINK("http://www.ensembl.org/Mus_musculus/Gene/Summary?db=core;g=ENSMUSG00000055833","ENSMUSG00000055833")</f>
        <v>ENSMUSG00000055833</v>
      </c>
      <c r="I3642" s="7" t="str">
        <f>HYPERLINK("http://www.informatics.jax.org/marker/MGI:1921515","MGI:1921515")</f>
        <v>MGI:1921515</v>
      </c>
      <c r="J3642" s="4" t="s">
        <v>932</v>
      </c>
    </row>
    <row r="3643" spans="1:10" x14ac:dyDescent="0.25">
      <c r="A3643" s="2">
        <v>211.98334712100299</v>
      </c>
      <c r="B3643" s="3">
        <v>-2.7709360590110099E-2</v>
      </c>
      <c r="C3643" s="3">
        <v>0.79516300109993598</v>
      </c>
      <c r="D3643" s="4">
        <v>0.88806581034067</v>
      </c>
      <c r="E3643" s="3" t="s">
        <v>12681</v>
      </c>
      <c r="F3643" s="3" t="s">
        <v>12682</v>
      </c>
      <c r="G3643" s="3">
        <v>408022</v>
      </c>
      <c r="H3643" s="7" t="str">
        <f>HYPERLINK("http://www.ensembl.org/Mus_musculus/Gene/Summary?db=core;g=ENSMUSG00000038225","ENSMUSG00000038225")</f>
        <v>ENSMUSG00000038225</v>
      </c>
      <c r="I3643" s="7" t="str">
        <f>HYPERLINK("http://www.informatics.jax.org/marker/MGI:3603756","MGI:3603756")</f>
        <v>MGI:3603756</v>
      </c>
      <c r="J3643" s="4" t="s">
        <v>12</v>
      </c>
    </row>
    <row r="3644" spans="1:10" x14ac:dyDescent="0.25">
      <c r="A3644" s="2">
        <v>1619.84419455177</v>
      </c>
      <c r="B3644" s="3">
        <v>-2.8022078932382202E-2</v>
      </c>
      <c r="C3644" s="3">
        <v>0.48098238177089597</v>
      </c>
      <c r="D3644" s="4">
        <v>0.65676772999274402</v>
      </c>
      <c r="E3644" s="3" t="s">
        <v>13645</v>
      </c>
      <c r="F3644" s="3" t="s">
        <v>13646</v>
      </c>
      <c r="G3644" s="3">
        <v>67693</v>
      </c>
      <c r="H3644" s="7" t="str">
        <f>HYPERLINK("http://www.ensembl.org/Mus_musculus/Gene/Summary?db=core;g=ENSMUSG00000027245","ENSMUSG00000027245")</f>
        <v>ENSMUSG00000027245</v>
      </c>
      <c r="I3644" s="7" t="str">
        <f>HYPERLINK("http://www.informatics.jax.org/marker/MGI:1914943","MGI:1914943")</f>
        <v>MGI:1914943</v>
      </c>
      <c r="J3644" s="4" t="s">
        <v>12</v>
      </c>
    </row>
    <row r="3645" spans="1:10" x14ac:dyDescent="0.25">
      <c r="A3645" s="2">
        <v>688.58313578033699</v>
      </c>
      <c r="B3645" s="3">
        <v>-2.9916117914967101E-2</v>
      </c>
      <c r="C3645" s="3">
        <v>0.57196474290502297</v>
      </c>
      <c r="D3645" s="4">
        <v>0.73414528257802603</v>
      </c>
      <c r="E3645" s="3" t="s">
        <v>7496</v>
      </c>
      <c r="F3645" s="3" t="s">
        <v>7497</v>
      </c>
      <c r="G3645" s="3">
        <v>268930</v>
      </c>
      <c r="H3645" s="7" t="str">
        <f>HYPERLINK("http://www.ensembl.org/Mus_musculus/Gene/Summary?db=core;g=ENSMUSG00000023908","ENSMUSG00000023908")</f>
        <v>ENSMUSG00000023908</v>
      </c>
      <c r="I3645" s="7" t="str">
        <f>HYPERLINK("http://www.informatics.jax.org/marker/MGI:2137630","MGI:2137630")</f>
        <v>MGI:2137630</v>
      </c>
      <c r="J3645" s="4" t="s">
        <v>12</v>
      </c>
    </row>
    <row r="3646" spans="1:10" x14ac:dyDescent="0.25">
      <c r="A3646" s="2">
        <v>1480.70912409327</v>
      </c>
      <c r="B3646" s="3">
        <v>-3.2936533619350797E-2</v>
      </c>
      <c r="C3646" s="3">
        <v>0.823441941330328</v>
      </c>
      <c r="D3646" s="4">
        <v>0.90445228294110003</v>
      </c>
      <c r="E3646" s="3" t="s">
        <v>12943</v>
      </c>
      <c r="F3646" s="3" t="s">
        <v>12944</v>
      </c>
      <c r="G3646" s="3">
        <v>74551</v>
      </c>
      <c r="H3646" s="7" t="str">
        <f>HYPERLINK("http://www.ensembl.org/Mus_musculus/Gene/Summary?db=core;g=ENSMUSG00000040618","ENSMUSG00000040618")</f>
        <v>ENSMUSG00000040618</v>
      </c>
      <c r="I3646" s="7" t="str">
        <f>HYPERLINK("http://www.informatics.jax.org/marker/MGI:1860456","MGI:1860456")</f>
        <v>MGI:1860456</v>
      </c>
      <c r="J3646" s="4" t="s">
        <v>12</v>
      </c>
    </row>
    <row r="3647" spans="1:10" x14ac:dyDescent="0.25">
      <c r="A3647" s="2">
        <v>114.68688123418499</v>
      </c>
      <c r="B3647" s="3">
        <v>-3.5556129317605302E-2</v>
      </c>
      <c r="C3647" s="3">
        <v>0.741456317609819</v>
      </c>
      <c r="D3647" s="4">
        <v>0.85455267112116295</v>
      </c>
      <c r="E3647" s="3" t="s">
        <v>13282</v>
      </c>
      <c r="F3647" s="3" t="s">
        <v>13283</v>
      </c>
      <c r="G3647" s="3">
        <v>100764</v>
      </c>
      <c r="H3647" s="7" t="str">
        <f>HYPERLINK("http://www.ensembl.org/Mus_musculus/Gene/Summary?db=core;g=ENSMUSG00000029600","ENSMUSG00000029600")</f>
        <v>ENSMUSG00000029600</v>
      </c>
      <c r="I3647" s="7" t="str">
        <f>HYPERLINK("http://www.informatics.jax.org/marker/MGI:1922021","MGI:1922021")</f>
        <v>MGI:1922021</v>
      </c>
      <c r="J3647" s="4" t="s">
        <v>12</v>
      </c>
    </row>
    <row r="3648" spans="1:10" x14ac:dyDescent="0.25">
      <c r="A3648" s="2">
        <v>884.14798777262797</v>
      </c>
      <c r="B3648" s="3">
        <v>-4.00123844352651E-2</v>
      </c>
      <c r="C3648" s="3">
        <v>0.50703862762848095</v>
      </c>
      <c r="D3648" s="4">
        <v>0.67891991687084496</v>
      </c>
      <c r="E3648" s="3" t="s">
        <v>11501</v>
      </c>
      <c r="F3648" s="3" t="s">
        <v>11502</v>
      </c>
      <c r="G3648" s="3">
        <v>78610</v>
      </c>
      <c r="H3648" s="7" t="str">
        <f>HYPERLINK("http://www.ensembl.org/Mus_musculus/Gene/Summary?db=core;g=ENSMUSG00000035354","ENSMUSG00000035354")</f>
        <v>ENSMUSG00000035354</v>
      </c>
      <c r="I3648" s="7" t="str">
        <f>HYPERLINK("http://www.informatics.jax.org/marker/MGI:1925860","MGI:1925860")</f>
        <v>MGI:1925860</v>
      </c>
      <c r="J3648" s="4" t="s">
        <v>12</v>
      </c>
    </row>
    <row r="3649" spans="1:10" x14ac:dyDescent="0.25">
      <c r="A3649" s="2">
        <v>568.42954143639702</v>
      </c>
      <c r="B3649" s="3">
        <v>-4.0638946753833602E-2</v>
      </c>
      <c r="C3649" s="3">
        <v>0.52371474304453103</v>
      </c>
      <c r="D3649" s="4">
        <v>0.69282121689669596</v>
      </c>
      <c r="E3649" s="3" t="s">
        <v>13457</v>
      </c>
      <c r="F3649" s="3" t="s">
        <v>13458</v>
      </c>
      <c r="G3649" s="3">
        <v>72502</v>
      </c>
      <c r="H3649" s="7" t="str">
        <f>HYPERLINK("http://www.ensembl.org/Mus_musculus/Gene/Summary?db=core;g=ENSMUSG00000025200","ENSMUSG00000025200")</f>
        <v>ENSMUSG00000025200</v>
      </c>
      <c r="I3649" s="7" t="str">
        <f>HYPERLINK("http://www.informatics.jax.org/marker/MGI:1919752","MGI:1919752")</f>
        <v>MGI:1919752</v>
      </c>
      <c r="J3649" s="4" t="s">
        <v>12</v>
      </c>
    </row>
    <row r="3650" spans="1:10" x14ac:dyDescent="0.25">
      <c r="A3650" s="2">
        <v>733.25064166117795</v>
      </c>
      <c r="B3650" s="3">
        <v>-4.1263573907425702E-2</v>
      </c>
      <c r="C3650" s="3">
        <v>0.47521632011935999</v>
      </c>
      <c r="D3650" s="4">
        <v>0.65201488544511099</v>
      </c>
      <c r="E3650" s="3" t="s">
        <v>6319</v>
      </c>
      <c r="F3650" s="3" t="s">
        <v>6320</v>
      </c>
      <c r="G3650" s="3">
        <v>230376</v>
      </c>
      <c r="H3650" s="7" t="str">
        <f>HYPERLINK("http://www.ensembl.org/Mus_musculus/Gene/Summary?db=core;g=ENSMUSG00000038047","ENSMUSG00000038047")</f>
        <v>ENSMUSG00000038047</v>
      </c>
      <c r="I3650" s="7" t="str">
        <f>HYPERLINK("http://www.informatics.jax.org/marker/MGI:1923389","MGI:1923389")</f>
        <v>MGI:1923389</v>
      </c>
      <c r="J3650" s="4" t="s">
        <v>12</v>
      </c>
    </row>
    <row r="3651" spans="1:10" x14ac:dyDescent="0.25">
      <c r="A3651" s="2">
        <v>311.57577870383</v>
      </c>
      <c r="B3651" s="3">
        <v>-4.2034673025009198E-2</v>
      </c>
      <c r="C3651" s="3">
        <v>0.59437750778827603</v>
      </c>
      <c r="D3651" s="4">
        <v>0.75184134365917099</v>
      </c>
      <c r="E3651" s="3" t="s">
        <v>9119</v>
      </c>
      <c r="F3651" s="3" t="s">
        <v>9120</v>
      </c>
      <c r="G3651" s="3">
        <v>78833</v>
      </c>
      <c r="H3651" s="7" t="str">
        <f>HYPERLINK("http://www.ensembl.org/Mus_musculus/Gene/Summary?db=core;g=ENSMUSG00000031669","ENSMUSG00000031669")</f>
        <v>ENSMUSG00000031669</v>
      </c>
      <c r="I3651" s="7" t="str">
        <f>HYPERLINK("http://www.informatics.jax.org/marker/MGI:1926083","MGI:1926083")</f>
        <v>MGI:1926083</v>
      </c>
      <c r="J3651" s="4" t="s">
        <v>12</v>
      </c>
    </row>
    <row r="3652" spans="1:10" x14ac:dyDescent="0.25">
      <c r="A3652" s="2">
        <v>170.93472518142099</v>
      </c>
      <c r="B3652" s="3">
        <v>-4.5023288789553202E-2</v>
      </c>
      <c r="C3652" s="3">
        <v>0.66698352777374503</v>
      </c>
      <c r="D3652" s="4">
        <v>0.80220252053563701</v>
      </c>
      <c r="E3652" s="3" t="s">
        <v>13221</v>
      </c>
      <c r="F3652" s="3" t="s">
        <v>13222</v>
      </c>
      <c r="G3652" s="3">
        <v>74319</v>
      </c>
      <c r="H3652" s="7" t="str">
        <f>HYPERLINK("http://www.ensembl.org/Mus_musculus/Gene/Summary?db=core;g=ENSMUSG00000090266","ENSMUSG00000090266")</f>
        <v>ENSMUSG00000090266</v>
      </c>
      <c r="I3652" s="7" t="str">
        <f>HYPERLINK("http://www.informatics.jax.org/marker/MGI:1921569","MGI:1921569")</f>
        <v>MGI:1921569</v>
      </c>
      <c r="J3652" s="4" t="s">
        <v>12</v>
      </c>
    </row>
    <row r="3653" spans="1:10" x14ac:dyDescent="0.25">
      <c r="A3653" s="2">
        <v>136.136298082454</v>
      </c>
      <c r="B3653" s="3">
        <v>-4.5078001322072798E-2</v>
      </c>
      <c r="C3653" s="3">
        <v>0.72559302291068595</v>
      </c>
      <c r="D3653" s="4">
        <v>0.84293299608281802</v>
      </c>
      <c r="E3653" s="3" t="s">
        <v>8485</v>
      </c>
      <c r="F3653" s="3" t="s">
        <v>8486</v>
      </c>
      <c r="G3653" s="3">
        <v>11515</v>
      </c>
      <c r="H3653" s="7" t="str">
        <f>HYPERLINK("http://www.ensembl.org/Mus_musculus/Gene/Summary?db=core;g=ENSMUSG00000005580","ENSMUSG00000005580")</f>
        <v>ENSMUSG00000005580</v>
      </c>
      <c r="I3653" s="7" t="str">
        <f>HYPERLINK("http://www.informatics.jax.org/marker/MGI:108450","MGI:108450")</f>
        <v>MGI:108450</v>
      </c>
      <c r="J3653" s="4" t="s">
        <v>12</v>
      </c>
    </row>
    <row r="3654" spans="1:10" x14ac:dyDescent="0.25">
      <c r="A3654" s="2">
        <v>430.79039761472598</v>
      </c>
      <c r="B3654" s="3">
        <v>-4.53084039776269E-2</v>
      </c>
      <c r="C3654" s="3">
        <v>0.47460955167478802</v>
      </c>
      <c r="D3654" s="4">
        <v>0.65133534744604504</v>
      </c>
      <c r="E3654" s="3" t="s">
        <v>12481</v>
      </c>
      <c r="F3654" s="3" t="s">
        <v>12482</v>
      </c>
      <c r="G3654" s="3">
        <v>234463</v>
      </c>
      <c r="H3654" s="7" t="str">
        <f>HYPERLINK("http://www.ensembl.org/Mus_musculus/Gene/Summary?db=core;g=ENSMUSG00000031617","ENSMUSG00000031617")</f>
        <v>ENSMUSG00000031617</v>
      </c>
      <c r="I3654" s="7" t="str">
        <f>HYPERLINK("http://www.informatics.jax.org/marker/MGI:2384562","MGI:2384562")</f>
        <v>MGI:2384562</v>
      </c>
      <c r="J3654" s="4" t="s">
        <v>12</v>
      </c>
    </row>
    <row r="3655" spans="1:10" x14ac:dyDescent="0.25">
      <c r="A3655" s="2">
        <v>1337.91974853089</v>
      </c>
      <c r="B3655" s="3">
        <v>-4.5429819961397902E-2</v>
      </c>
      <c r="C3655" s="3">
        <v>0.34307612626058298</v>
      </c>
      <c r="D3655" s="4">
        <v>0.52091663759885998</v>
      </c>
      <c r="E3655" s="3" t="s">
        <v>11839</v>
      </c>
      <c r="F3655" s="3" t="s">
        <v>11840</v>
      </c>
      <c r="G3655" s="3">
        <v>269338</v>
      </c>
      <c r="H3655" s="7" t="str">
        <f>HYPERLINK("http://www.ensembl.org/Mus_musculus/Gene/Summary?db=core;g=ENSMUSG00000027291","ENSMUSG00000027291")</f>
        <v>ENSMUSG00000027291</v>
      </c>
      <c r="I3655" s="7" t="str">
        <f>HYPERLINK("http://www.informatics.jax.org/marker/MGI:2443189","MGI:2443189")</f>
        <v>MGI:2443189</v>
      </c>
      <c r="J3655" s="4" t="s">
        <v>12</v>
      </c>
    </row>
    <row r="3656" spans="1:10" x14ac:dyDescent="0.25">
      <c r="A3656" s="2">
        <v>14.001414988119601</v>
      </c>
      <c r="B3656" s="3">
        <v>-4.62944251160377E-2</v>
      </c>
      <c r="C3656" s="3">
        <v>0.86446910448631997</v>
      </c>
      <c r="D3656" s="4">
        <v>0.92623571030978302</v>
      </c>
      <c r="E3656" s="3" t="s">
        <v>13077</v>
      </c>
      <c r="F3656" s="3" t="s">
        <v>13078</v>
      </c>
      <c r="G3656" s="3" t="s">
        <v>83</v>
      </c>
      <c r="H3656" s="7" t="str">
        <f>HYPERLINK("http://www.ensembl.org/Mus_musculus/Gene/Summary?db=core;g=ENSMUSG00000064602","ENSMUSG00000064602")</f>
        <v>ENSMUSG00000064602</v>
      </c>
      <c r="I3656" s="7" t="str">
        <f>HYPERLINK("http://www.informatics.jax.org/marker/MGI:3819505","MGI:3819505")</f>
        <v>MGI:3819505</v>
      </c>
      <c r="J3656" s="4" t="s">
        <v>11100</v>
      </c>
    </row>
    <row r="3657" spans="1:10" x14ac:dyDescent="0.25">
      <c r="A3657" s="2">
        <v>802.14181941485197</v>
      </c>
      <c r="B3657" s="3">
        <v>-4.6841650889678302E-2</v>
      </c>
      <c r="C3657" s="3">
        <v>0.30907422990508598</v>
      </c>
      <c r="D3657" s="4">
        <v>0.48404896794880098</v>
      </c>
      <c r="E3657" s="3" t="s">
        <v>10810</v>
      </c>
      <c r="F3657" s="3" t="s">
        <v>10811</v>
      </c>
      <c r="G3657" s="3">
        <v>211948</v>
      </c>
      <c r="H3657" s="7" t="str">
        <f>HYPERLINK("http://www.ensembl.org/Mus_musculus/Gene/Summary?db=core;g=ENSMUSG00000043702","ENSMUSG00000043702")</f>
        <v>ENSMUSG00000043702</v>
      </c>
      <c r="I3657" s="7" t="str">
        <f>HYPERLINK("http://www.informatics.jax.org/marker/MGI:2443226","MGI:2443226")</f>
        <v>MGI:2443226</v>
      </c>
      <c r="J3657" s="4" t="s">
        <v>12</v>
      </c>
    </row>
    <row r="3658" spans="1:10" x14ac:dyDescent="0.25">
      <c r="A3658" s="2">
        <v>3886.6720478338798</v>
      </c>
      <c r="B3658" s="3">
        <v>-4.7500241238620802E-2</v>
      </c>
      <c r="C3658" s="3">
        <v>0.20673005501486</v>
      </c>
      <c r="D3658" s="4">
        <v>0.36012762881340399</v>
      </c>
      <c r="E3658" s="3" t="s">
        <v>10320</v>
      </c>
      <c r="F3658" s="3" t="s">
        <v>10321</v>
      </c>
      <c r="G3658" s="3">
        <v>67166</v>
      </c>
      <c r="H3658" s="7" t="str">
        <f>HYPERLINK("http://www.ensembl.org/Mus_musculus/Gene/Summary?db=core;g=ENSMUSG00000030105","ENSMUSG00000030105")</f>
        <v>ENSMUSG00000030105</v>
      </c>
      <c r="I3658" s="7" t="str">
        <f>HYPERLINK("http://www.informatics.jax.org/marker/MGI:1914416","MGI:1914416")</f>
        <v>MGI:1914416</v>
      </c>
      <c r="J3658" s="4" t="s">
        <v>12</v>
      </c>
    </row>
    <row r="3659" spans="1:10" x14ac:dyDescent="0.25">
      <c r="A3659" s="2">
        <v>320.51779659845897</v>
      </c>
      <c r="B3659" s="3">
        <v>-4.7991077521213198E-2</v>
      </c>
      <c r="C3659" s="3">
        <v>0.653519125747969</v>
      </c>
      <c r="D3659" s="4">
        <v>0.792810095637139</v>
      </c>
      <c r="E3659" s="3" t="s">
        <v>10658</v>
      </c>
      <c r="F3659" s="3" t="s">
        <v>10659</v>
      </c>
      <c r="G3659" s="3">
        <v>93683</v>
      </c>
      <c r="H3659" s="7" t="str">
        <f>HYPERLINK("http://www.ensembl.org/Mus_musculus/Gene/Summary?db=core;g=ENSMUSG00000032252","ENSMUSG00000032252")</f>
        <v>ENSMUSG00000032252</v>
      </c>
      <c r="I3659" s="7" t="str">
        <f>HYPERLINK("http://www.informatics.jax.org/marker/MGI:2136405","MGI:2136405")</f>
        <v>MGI:2136405</v>
      </c>
      <c r="J3659" s="4" t="s">
        <v>12</v>
      </c>
    </row>
    <row r="3660" spans="1:10" x14ac:dyDescent="0.25">
      <c r="A3660" s="2">
        <v>589.43156375885803</v>
      </c>
      <c r="B3660" s="3">
        <v>-4.8024647921201702E-2</v>
      </c>
      <c r="C3660" s="3">
        <v>0.44152993306258898</v>
      </c>
      <c r="D3660" s="4">
        <v>0.61947203524127403</v>
      </c>
      <c r="E3660" s="3" t="s">
        <v>13089</v>
      </c>
      <c r="F3660" s="3" t="s">
        <v>13090</v>
      </c>
      <c r="G3660" s="3">
        <v>17765</v>
      </c>
      <c r="H3660" s="7" t="str">
        <f>HYPERLINK("http://www.ensembl.org/Mus_musculus/Gene/Summary?db=core;g=ENSMUSG00000029267","ENSMUSG00000029267")</f>
        <v>ENSMUSG00000029267</v>
      </c>
      <c r="I3660" s="7" t="str">
        <f>HYPERLINK("http://www.informatics.jax.org/marker/MGI:105050","MGI:105050")</f>
        <v>MGI:105050</v>
      </c>
      <c r="J3660" s="4" t="s">
        <v>12</v>
      </c>
    </row>
    <row r="3661" spans="1:10" x14ac:dyDescent="0.25">
      <c r="A3661" s="2">
        <v>852.82081294576699</v>
      </c>
      <c r="B3661" s="3">
        <v>-4.8365793949209798E-2</v>
      </c>
      <c r="C3661" s="3">
        <v>0.533058916042634</v>
      </c>
      <c r="D3661" s="4">
        <v>0.69985098400798995</v>
      </c>
      <c r="E3661" s="3" t="s">
        <v>11519</v>
      </c>
      <c r="F3661" s="3" t="s">
        <v>11520</v>
      </c>
      <c r="G3661" s="3">
        <v>239554</v>
      </c>
      <c r="H3661" s="7" t="str">
        <f>HYPERLINK("http://www.ensembl.org/Mus_musculus/Gene/Summary?db=core;g=ENSMUSG00000016552","ENSMUSG00000016552")</f>
        <v>ENSMUSG00000016552</v>
      </c>
      <c r="I3661" s="7" t="str">
        <f>HYPERLINK("http://www.informatics.jax.org/marker/MGI:106315","MGI:106315")</f>
        <v>MGI:106315</v>
      </c>
      <c r="J3661" s="4" t="s">
        <v>12</v>
      </c>
    </row>
    <row r="3662" spans="1:10" x14ac:dyDescent="0.25">
      <c r="A3662" s="2">
        <v>752.22624021932904</v>
      </c>
      <c r="B3662" s="3">
        <v>-4.9124684760224302E-2</v>
      </c>
      <c r="C3662" s="3">
        <v>0.413385356106311</v>
      </c>
      <c r="D3662" s="4">
        <v>0.59177006686144695</v>
      </c>
      <c r="E3662" s="3" t="s">
        <v>12547</v>
      </c>
      <c r="F3662" s="3" t="s">
        <v>12548</v>
      </c>
      <c r="G3662" s="3">
        <v>27399</v>
      </c>
      <c r="H3662" s="7" t="str">
        <f>HYPERLINK("http://www.ensembl.org/Mus_musculus/Gene/Summary?db=core;g=ENSMUSG00000032594","ENSMUSG00000032594")</f>
        <v>ENSMUSG00000032594</v>
      </c>
      <c r="I3662" s="7" t="str">
        <f>HYPERLINK("http://www.informatics.jax.org/marker/MGI:1351633","MGI:1351633")</f>
        <v>MGI:1351633</v>
      </c>
      <c r="J3662" s="4" t="s">
        <v>12</v>
      </c>
    </row>
    <row r="3663" spans="1:10" x14ac:dyDescent="0.25">
      <c r="A3663" s="2">
        <v>575.88292765895596</v>
      </c>
      <c r="B3663" s="3">
        <v>-4.9250613439579503E-2</v>
      </c>
      <c r="C3663" s="3">
        <v>0.484604175853943</v>
      </c>
      <c r="D3663" s="4">
        <v>0.65987756224926997</v>
      </c>
      <c r="E3663" s="3" t="s">
        <v>13807</v>
      </c>
      <c r="F3663" s="3" t="s">
        <v>13808</v>
      </c>
      <c r="G3663" s="3">
        <v>21812</v>
      </c>
      <c r="H3663" s="7" t="str">
        <f>HYPERLINK("http://www.ensembl.org/Mus_musculus/Gene/Summary?db=core;g=ENSMUSG00000007613","ENSMUSG00000007613")</f>
        <v>ENSMUSG00000007613</v>
      </c>
      <c r="I3663" s="7" t="str">
        <f>HYPERLINK("http://www.informatics.jax.org/marker/MGI:98728","MGI:98728")</f>
        <v>MGI:98728</v>
      </c>
      <c r="J3663" s="4" t="s">
        <v>12</v>
      </c>
    </row>
    <row r="3664" spans="1:10" x14ac:dyDescent="0.25">
      <c r="A3664" s="2">
        <v>447.22965959260102</v>
      </c>
      <c r="B3664" s="3">
        <v>-4.9488813500746298E-2</v>
      </c>
      <c r="C3664" s="3">
        <v>0.52983054382669004</v>
      </c>
      <c r="D3664" s="4">
        <v>0.69729133553517997</v>
      </c>
      <c r="E3664" s="3" t="s">
        <v>7240</v>
      </c>
      <c r="F3664" s="3" t="s">
        <v>7241</v>
      </c>
      <c r="G3664" s="3">
        <v>17085</v>
      </c>
      <c r="H3664" s="7" t="str">
        <f>HYPERLINK("http://www.ensembl.org/Mus_musculus/Gene/Summary?db=core;g=ENSMUSG00000004707","ENSMUSG00000004707")</f>
        <v>ENSMUSG00000004707</v>
      </c>
      <c r="I3664" s="7" t="str">
        <f>HYPERLINK("http://www.informatics.jax.org/marker/MGI:96885","MGI:96885")</f>
        <v>MGI:96885</v>
      </c>
      <c r="J3664" s="4" t="s">
        <v>12</v>
      </c>
    </row>
    <row r="3665" spans="1:10" x14ac:dyDescent="0.25">
      <c r="A3665" s="2">
        <v>763.12392523787798</v>
      </c>
      <c r="B3665" s="3">
        <v>-4.9521382207167397E-2</v>
      </c>
      <c r="C3665" s="3">
        <v>0.61229499141469002</v>
      </c>
      <c r="D3665" s="4">
        <v>0.76577700762023604</v>
      </c>
      <c r="E3665" s="3" t="s">
        <v>13215</v>
      </c>
      <c r="F3665" s="3" t="s">
        <v>13216</v>
      </c>
      <c r="G3665" s="3">
        <v>331623</v>
      </c>
      <c r="H3665" s="7" t="str">
        <f>HYPERLINK("http://www.ensembl.org/Mus_musculus/Gene/Summary?db=core;g=ENSMUSG00000038214","ENSMUSG00000038214")</f>
        <v>ENSMUSG00000038214</v>
      </c>
      <c r="I3665" s="7" t="str">
        <f>HYPERLINK("http://www.informatics.jax.org/marker/MGI:2677212","MGI:2677212")</f>
        <v>MGI:2677212</v>
      </c>
      <c r="J3665" s="4" t="s">
        <v>12</v>
      </c>
    </row>
    <row r="3666" spans="1:10" x14ac:dyDescent="0.25">
      <c r="A3666" s="2">
        <v>498.46051035620798</v>
      </c>
      <c r="B3666" s="3">
        <v>-5.11466513907766E-2</v>
      </c>
      <c r="C3666" s="3">
        <v>0.44777912430468497</v>
      </c>
      <c r="D3666" s="4">
        <v>0.62593920092857902</v>
      </c>
      <c r="E3666" s="3" t="s">
        <v>12163</v>
      </c>
      <c r="F3666" s="3" t="s">
        <v>12164</v>
      </c>
      <c r="G3666" s="3">
        <v>28113</v>
      </c>
      <c r="H3666" s="7" t="str">
        <f>HYPERLINK("http://www.ensembl.org/Mus_musculus/Gene/Summary?db=core;g=ENSMUSG00000007589","ENSMUSG00000007589")</f>
        <v>ENSMUSG00000007589</v>
      </c>
      <c r="I3666" s="7" t="str">
        <f>HYPERLINK("http://www.informatics.jax.org/marker/MGI:107246","MGI:107246")</f>
        <v>MGI:107246</v>
      </c>
      <c r="J3666" s="4" t="s">
        <v>12</v>
      </c>
    </row>
    <row r="3667" spans="1:10" x14ac:dyDescent="0.25">
      <c r="A3667" s="2">
        <v>2.00266219152082</v>
      </c>
      <c r="B3667" s="3">
        <v>-5.1758191303573502E-2</v>
      </c>
      <c r="C3667" s="3">
        <v>0.91161553487018498</v>
      </c>
      <c r="D3667" s="4">
        <v>0.95370223434857904</v>
      </c>
      <c r="E3667" s="3" t="s">
        <v>10322</v>
      </c>
      <c r="F3667" s="3" t="s">
        <v>10323</v>
      </c>
      <c r="G3667" s="3">
        <v>242297</v>
      </c>
      <c r="H3667" s="7" t="str">
        <f>HYPERLINK("http://www.ensembl.org/Mus_musculus/Gene/Summary?db=core;g=ENSMUSG00000049119","ENSMUSG00000049119")</f>
        <v>ENSMUSG00000049119</v>
      </c>
      <c r="I3667" s="7" t="str">
        <f>HYPERLINK("http://www.informatics.jax.org/marker/MGI:1916593","MGI:1916593")</f>
        <v>MGI:1916593</v>
      </c>
      <c r="J3667" s="4" t="s">
        <v>12</v>
      </c>
    </row>
    <row r="3668" spans="1:10" x14ac:dyDescent="0.25">
      <c r="A3668" s="2">
        <v>1552.4878182189</v>
      </c>
      <c r="B3668" s="3">
        <v>-5.1856987706980301E-2</v>
      </c>
      <c r="C3668" s="3">
        <v>0.242056844343808</v>
      </c>
      <c r="D3668" s="4">
        <v>0.40528121159080399</v>
      </c>
      <c r="E3668" s="3" t="s">
        <v>13328</v>
      </c>
      <c r="F3668" s="3" t="s">
        <v>13329</v>
      </c>
      <c r="G3668" s="3">
        <v>56697</v>
      </c>
      <c r="H3668" s="7" t="str">
        <f>HYPERLINK("http://www.ensembl.org/Mus_musculus/Gene/Summary?db=core;g=ENSMUSG00000047804","ENSMUSG00000047804")</f>
        <v>ENSMUSG00000047804</v>
      </c>
      <c r="I3668" s="7" t="str">
        <f>HYPERLINK("http://www.informatics.jax.org/marker/MGI:1890218","MGI:1890218")</f>
        <v>MGI:1890218</v>
      </c>
      <c r="J3668" s="4" t="s">
        <v>12</v>
      </c>
    </row>
    <row r="3669" spans="1:10" x14ac:dyDescent="0.25">
      <c r="A3669" s="2">
        <v>863.948273025459</v>
      </c>
      <c r="B3669" s="3">
        <v>-5.2176883779407698E-2</v>
      </c>
      <c r="C3669" s="3">
        <v>0.463557294911004</v>
      </c>
      <c r="D3669" s="4">
        <v>0.64143434057801596</v>
      </c>
      <c r="E3669" s="3" t="s">
        <v>9899</v>
      </c>
      <c r="F3669" s="3" t="s">
        <v>9900</v>
      </c>
      <c r="G3669" s="3">
        <v>242474</v>
      </c>
      <c r="H3669" s="7" t="str">
        <f>HYPERLINK("http://www.ensembl.org/Mus_musculus/Gene/Summary?db=core;g=ENSMUSG00000055296","ENSMUSG00000055296")</f>
        <v>ENSMUSG00000055296</v>
      </c>
      <c r="I3669" s="7" t="str">
        <f>HYPERLINK("http://www.informatics.jax.org/marker/MGI:2445107","MGI:2445107")</f>
        <v>MGI:2445107</v>
      </c>
      <c r="J3669" s="4" t="s">
        <v>12</v>
      </c>
    </row>
    <row r="3670" spans="1:10" x14ac:dyDescent="0.25">
      <c r="A3670" s="2">
        <v>1139.04436951351</v>
      </c>
      <c r="B3670" s="3">
        <v>-5.2497298833690698E-2</v>
      </c>
      <c r="C3670" s="3">
        <v>0.57895297066574503</v>
      </c>
      <c r="D3670" s="4">
        <v>0.73956808652016603</v>
      </c>
      <c r="E3670" s="3" t="s">
        <v>13649</v>
      </c>
      <c r="F3670" s="3" t="s">
        <v>13650</v>
      </c>
      <c r="G3670" s="3">
        <v>27401</v>
      </c>
      <c r="H3670" s="7" t="str">
        <f>HYPERLINK("http://www.ensembl.org/Mus_musculus/Gene/Summary?db=core;g=ENSMUSG00000054115","ENSMUSG00000054115")</f>
        <v>ENSMUSG00000054115</v>
      </c>
      <c r="I3670" s="7" t="str">
        <f>HYPERLINK("http://www.informatics.jax.org/marker/MGI:1351663","MGI:1351663")</f>
        <v>MGI:1351663</v>
      </c>
      <c r="J3670" s="4" t="s">
        <v>12</v>
      </c>
    </row>
    <row r="3671" spans="1:10" x14ac:dyDescent="0.25">
      <c r="A3671" s="2">
        <v>791.82977538639102</v>
      </c>
      <c r="B3671" s="3">
        <v>-5.3355027884674999E-2</v>
      </c>
      <c r="C3671" s="3">
        <v>0.40461906631990802</v>
      </c>
      <c r="D3671" s="4">
        <v>0.58300298726119104</v>
      </c>
      <c r="E3671" s="3" t="s">
        <v>10164</v>
      </c>
      <c r="F3671" s="3" t="s">
        <v>10165</v>
      </c>
      <c r="G3671" s="3">
        <v>74244</v>
      </c>
      <c r="H3671" s="7" t="str">
        <f>HYPERLINK("http://www.ensembl.org/Mus_musculus/Gene/Summary?db=core;g=ENSMUSG00000030314","ENSMUSG00000030314")</f>
        <v>ENSMUSG00000030314</v>
      </c>
      <c r="I3671" s="7" t="str">
        <f>HYPERLINK("http://www.informatics.jax.org/marker/MGI:1921494","MGI:1921494")</f>
        <v>MGI:1921494</v>
      </c>
      <c r="J3671" s="4" t="s">
        <v>12</v>
      </c>
    </row>
    <row r="3672" spans="1:10" x14ac:dyDescent="0.25">
      <c r="A3672" s="2">
        <v>611.59422145751898</v>
      </c>
      <c r="B3672" s="3">
        <v>-5.3841909232802097E-2</v>
      </c>
      <c r="C3672" s="3">
        <v>0.351547633541755</v>
      </c>
      <c r="D3672" s="4">
        <v>0.52958799977669802</v>
      </c>
      <c r="E3672" s="3" t="s">
        <v>11901</v>
      </c>
      <c r="F3672" s="3" t="s">
        <v>11902</v>
      </c>
      <c r="G3672" s="3">
        <v>26407</v>
      </c>
      <c r="H3672" s="7" t="str">
        <f>HYPERLINK("http://www.ensembl.org/Mus_musculus/Gene/Summary?db=core;g=ENSMUSG00000014426","ENSMUSG00000014426")</f>
        <v>ENSMUSG00000014426</v>
      </c>
      <c r="I3672" s="7" t="str">
        <f>HYPERLINK("http://www.informatics.jax.org/marker/MGI:1346875","MGI:1346875")</f>
        <v>MGI:1346875</v>
      </c>
      <c r="J3672" s="4" t="s">
        <v>12</v>
      </c>
    </row>
    <row r="3673" spans="1:10" x14ac:dyDescent="0.25">
      <c r="A3673" s="2">
        <v>379.63214555191797</v>
      </c>
      <c r="B3673" s="3">
        <v>-5.6879153916344002E-2</v>
      </c>
      <c r="C3673" s="3">
        <v>0.38450665590356797</v>
      </c>
      <c r="D3673" s="4">
        <v>0.56299781504318502</v>
      </c>
      <c r="E3673" s="3" t="s">
        <v>13033</v>
      </c>
      <c r="F3673" s="3" t="s">
        <v>13034</v>
      </c>
      <c r="G3673" s="3">
        <v>78890</v>
      </c>
      <c r="H3673" s="7" t="str">
        <f>HYPERLINK("http://www.ensembl.org/Mus_musculus/Gene/Summary?db=core;g=ENSMUSG00000029097","ENSMUSG00000029097")</f>
        <v>ENSMUSG00000029097</v>
      </c>
      <c r="I3673" s="7" t="str">
        <f>HYPERLINK("http://www.informatics.jax.org/marker/MGI:1926140","MGI:1926140")</f>
        <v>MGI:1926140</v>
      </c>
      <c r="J3673" s="4" t="s">
        <v>12</v>
      </c>
    </row>
    <row r="3674" spans="1:10" x14ac:dyDescent="0.25">
      <c r="A3674" s="2">
        <v>335.74145675115199</v>
      </c>
      <c r="B3674" s="3">
        <v>-5.7303947870191399E-2</v>
      </c>
      <c r="C3674" s="3">
        <v>0.43834004186953401</v>
      </c>
      <c r="D3674" s="4">
        <v>0.61670119369092602</v>
      </c>
      <c r="E3674" s="3" t="s">
        <v>11153</v>
      </c>
      <c r="F3674" s="3" t="s">
        <v>11154</v>
      </c>
      <c r="G3674" s="3">
        <v>233276</v>
      </c>
      <c r="H3674" s="7" t="str">
        <f>HYPERLINK("http://www.ensembl.org/Mus_musculus/Gene/Summary?db=core;g=ENSMUSG00000033790","ENSMUSG00000033790")</f>
        <v>ENSMUSG00000033790</v>
      </c>
      <c r="I3674" s="7" t="str">
        <f>HYPERLINK("http://www.informatics.jax.org/marker/MGI:2178836","MGI:2178836")</f>
        <v>MGI:2178836</v>
      </c>
      <c r="J3674" s="4" t="s">
        <v>12</v>
      </c>
    </row>
    <row r="3675" spans="1:10" x14ac:dyDescent="0.25">
      <c r="A3675" s="2">
        <v>5585.7094652081096</v>
      </c>
      <c r="B3675" s="3">
        <v>-5.7466786495266001E-2</v>
      </c>
      <c r="C3675" s="3">
        <v>0.223718346322552</v>
      </c>
      <c r="D3675" s="4">
        <v>0.38203007130063099</v>
      </c>
      <c r="E3675" s="3" t="s">
        <v>12374</v>
      </c>
      <c r="F3675" s="3" t="s">
        <v>12375</v>
      </c>
      <c r="G3675" s="3">
        <v>234594</v>
      </c>
      <c r="H3675" s="7" t="str">
        <f>HYPERLINK("http://www.ensembl.org/Mus_musculus/Gene/Summary?db=core;g=ENSMUSG00000036550","ENSMUSG00000036550")</f>
        <v>ENSMUSG00000036550</v>
      </c>
      <c r="I3675" s="7" t="str">
        <f>HYPERLINK("http://www.informatics.jax.org/marker/MGI:2442402","MGI:2442402")</f>
        <v>MGI:2442402</v>
      </c>
      <c r="J3675" s="4" t="s">
        <v>12</v>
      </c>
    </row>
    <row r="3676" spans="1:10" x14ac:dyDescent="0.25">
      <c r="A3676" s="2">
        <v>385.59800058347702</v>
      </c>
      <c r="B3676" s="3">
        <v>-5.7902291467589802E-2</v>
      </c>
      <c r="C3676" s="3">
        <v>0.48375618759877098</v>
      </c>
      <c r="D3676" s="4">
        <v>0.65917431917664304</v>
      </c>
      <c r="E3676" s="3" t="s">
        <v>7742</v>
      </c>
      <c r="F3676" s="3" t="s">
        <v>7743</v>
      </c>
      <c r="G3676" s="3">
        <v>68861</v>
      </c>
      <c r="H3676" s="7" t="str">
        <f>HYPERLINK("http://www.ensembl.org/Mus_musculus/Gene/Summary?db=core;g=ENSMUSG00000045414","ENSMUSG00000045414")</f>
        <v>ENSMUSG00000045414</v>
      </c>
      <c r="I3676" s="7" t="str">
        <f>HYPERLINK("http://www.informatics.jax.org/marker/MGI:1916111","MGI:1916111")</f>
        <v>MGI:1916111</v>
      </c>
      <c r="J3676" s="4" t="s">
        <v>12</v>
      </c>
    </row>
    <row r="3677" spans="1:10" x14ac:dyDescent="0.25">
      <c r="A3677" s="2">
        <v>4753.8819711527904</v>
      </c>
      <c r="B3677" s="3">
        <v>-5.9716044693012102E-2</v>
      </c>
      <c r="C3677" s="3">
        <v>0.18160510588428</v>
      </c>
      <c r="D3677" s="4">
        <v>0.32637343997051499</v>
      </c>
      <c r="E3677" s="3" t="s">
        <v>13767</v>
      </c>
      <c r="F3677" s="3" t="s">
        <v>13768</v>
      </c>
      <c r="G3677" s="3">
        <v>68066</v>
      </c>
      <c r="H3677" s="7" t="str">
        <f>HYPERLINK("http://www.ensembl.org/Mus_musculus/Gene/Summary?db=core;g=ENSMUSG00000018677","ENSMUSG00000018677")</f>
        <v>ENSMUSG00000018677</v>
      </c>
      <c r="I3677" s="7" t="str">
        <f>HYPERLINK("http://www.informatics.jax.org/marker/MGI:1196386","MGI:1196386")</f>
        <v>MGI:1196386</v>
      </c>
      <c r="J3677" s="4" t="s">
        <v>12</v>
      </c>
    </row>
    <row r="3678" spans="1:10" x14ac:dyDescent="0.25">
      <c r="A3678" s="2">
        <v>2788.9374580382801</v>
      </c>
      <c r="B3678" s="3">
        <v>-6.11215047117609E-2</v>
      </c>
      <c r="C3678" s="3">
        <v>0.12859465046184201</v>
      </c>
      <c r="D3678" s="4">
        <v>0.249641830492871</v>
      </c>
      <c r="E3678" s="3" t="s">
        <v>13389</v>
      </c>
      <c r="F3678" s="3" t="s">
        <v>13390</v>
      </c>
      <c r="G3678" s="3">
        <v>56453</v>
      </c>
      <c r="H3678" s="7" t="str">
        <f>HYPERLINK("http://www.ensembl.org/Mus_musculus/Gene/Summary?db=core;g=ENSMUSG00000031835","ENSMUSG00000031835")</f>
        <v>ENSMUSG00000031835</v>
      </c>
      <c r="I3678" s="7" t="str">
        <f>HYPERLINK("http://www.informatics.jax.org/marker/MGI:1927235","MGI:1927235")</f>
        <v>MGI:1927235</v>
      </c>
      <c r="J3678" s="4" t="s">
        <v>12</v>
      </c>
    </row>
    <row r="3679" spans="1:10" x14ac:dyDescent="0.25">
      <c r="A3679" s="2">
        <v>356.38825535832098</v>
      </c>
      <c r="B3679" s="3">
        <v>-6.2193502378999899E-2</v>
      </c>
      <c r="C3679" s="3">
        <v>0.34177837452858301</v>
      </c>
      <c r="D3679" s="4">
        <v>0.51955216246420999</v>
      </c>
      <c r="E3679" s="3" t="s">
        <v>13365</v>
      </c>
      <c r="F3679" s="3" t="s">
        <v>13366</v>
      </c>
      <c r="G3679" s="3">
        <v>69046</v>
      </c>
      <c r="H3679" s="7" t="str">
        <f>HYPERLINK("http://www.ensembl.org/Mus_musculus/Gene/Summary?db=core;g=ENSMUSG00000044792","ENSMUSG00000044792")</f>
        <v>ENSMUSG00000044792</v>
      </c>
      <c r="I3679" s="7" t="str">
        <f>HYPERLINK("http://www.informatics.jax.org/marker/MGI:1916296","MGI:1916296")</f>
        <v>MGI:1916296</v>
      </c>
      <c r="J3679" s="4" t="s">
        <v>12</v>
      </c>
    </row>
    <row r="3680" spans="1:10" x14ac:dyDescent="0.25">
      <c r="A3680" s="2">
        <v>69.982932582392905</v>
      </c>
      <c r="B3680" s="3">
        <v>-6.3220017400695105E-2</v>
      </c>
      <c r="C3680" s="3">
        <v>0.76955527573747196</v>
      </c>
      <c r="D3680" s="4">
        <v>0.87313359274826796</v>
      </c>
      <c r="E3680" s="3" t="s">
        <v>11895</v>
      </c>
      <c r="F3680" s="3" t="s">
        <v>11896</v>
      </c>
      <c r="G3680" s="3">
        <v>381217</v>
      </c>
      <c r="H3680" s="7" t="str">
        <f>HYPERLINK("http://www.ensembl.org/Mus_musculus/Gene/Summary?db=core;g=ENSMUSG00000071604","ENSMUSG00000071604")</f>
        <v>ENSMUSG00000071604</v>
      </c>
      <c r="I3680" s="7" t="str">
        <f>HYPERLINK("http://www.informatics.jax.org/marker/MGI:2685813","MGI:2685813")</f>
        <v>MGI:2685813</v>
      </c>
      <c r="J3680" s="4" t="s">
        <v>12</v>
      </c>
    </row>
    <row r="3681" spans="1:10" x14ac:dyDescent="0.25">
      <c r="A3681" s="2">
        <v>671.53893225883803</v>
      </c>
      <c r="B3681" s="3">
        <v>-6.3689388085965706E-2</v>
      </c>
      <c r="C3681" s="3">
        <v>0.28579860109350003</v>
      </c>
      <c r="D3681" s="4">
        <v>0.45826847659062497</v>
      </c>
      <c r="E3681" s="3" t="s">
        <v>12047</v>
      </c>
      <c r="F3681" s="3" t="s">
        <v>12048</v>
      </c>
      <c r="G3681" s="3">
        <v>68758</v>
      </c>
      <c r="H3681" s="7" t="str">
        <f>HYPERLINK("http://www.ensembl.org/Mus_musculus/Gene/Summary?db=core;g=ENSMUSG00000040532","ENSMUSG00000040532")</f>
        <v>ENSMUSG00000040532</v>
      </c>
      <c r="I3681" s="7" t="str">
        <f>HYPERLINK("http://www.informatics.jax.org/marker/MGI:1916008","MGI:1916008")</f>
        <v>MGI:1916008</v>
      </c>
      <c r="J3681" s="4" t="s">
        <v>12</v>
      </c>
    </row>
    <row r="3682" spans="1:10" x14ac:dyDescent="0.25">
      <c r="A3682" s="2">
        <v>1684.5041145205601</v>
      </c>
      <c r="B3682" s="3">
        <v>-6.4917410414253404E-2</v>
      </c>
      <c r="C3682" s="3">
        <v>0.19195168898997</v>
      </c>
      <c r="D3682" s="4">
        <v>0.34069784819058901</v>
      </c>
      <c r="E3682" s="3" t="s">
        <v>12309</v>
      </c>
      <c r="F3682" s="3" t="s">
        <v>12310</v>
      </c>
      <c r="G3682" s="3">
        <v>17425</v>
      </c>
      <c r="H3682" s="7" t="str">
        <f>HYPERLINK("http://www.ensembl.org/Mus_musculus/Gene/Summary?db=core;g=ENSMUSG00000056493","ENSMUSG00000056493")</f>
        <v>ENSMUSG00000056493</v>
      </c>
      <c r="I3682" s="7" t="str">
        <f>HYPERLINK("http://www.informatics.jax.org/marker/MGI:1347488","MGI:1347488")</f>
        <v>MGI:1347488</v>
      </c>
      <c r="J3682" s="4" t="s">
        <v>12</v>
      </c>
    </row>
    <row r="3683" spans="1:10" x14ac:dyDescent="0.25">
      <c r="A3683" s="2">
        <v>3194.94420735839</v>
      </c>
      <c r="B3683" s="3">
        <v>-6.4950542936442104E-2</v>
      </c>
      <c r="C3683" s="3">
        <v>0.119945957738333</v>
      </c>
      <c r="D3683" s="4">
        <v>0.23594334374324</v>
      </c>
      <c r="E3683" s="3" t="s">
        <v>9819</v>
      </c>
      <c r="F3683" s="3" t="s">
        <v>9820</v>
      </c>
      <c r="G3683" s="3">
        <v>59008</v>
      </c>
      <c r="H3683" s="7" t="str">
        <f>HYPERLINK("http://www.ensembl.org/Mus_musculus/Gene/Summary?db=core;g=ENSMUSG00000029472","ENSMUSG00000029472")</f>
        <v>ENSMUSG00000029472</v>
      </c>
      <c r="I3683" s="7" t="str">
        <f>HYPERLINK("http://www.informatics.jax.org/marker/MGI:1929722","MGI:1929722")</f>
        <v>MGI:1929722</v>
      </c>
      <c r="J3683" s="4" t="s">
        <v>12</v>
      </c>
    </row>
    <row r="3684" spans="1:10" x14ac:dyDescent="0.25">
      <c r="A3684" s="2">
        <v>1.4635956774057901</v>
      </c>
      <c r="B3684" s="3">
        <v>-6.5819253737991801E-2</v>
      </c>
      <c r="C3684" s="3">
        <v>0.88175472077995798</v>
      </c>
      <c r="D3684" s="4">
        <v>0.93631531703168003</v>
      </c>
      <c r="E3684" s="3" t="s">
        <v>11893</v>
      </c>
      <c r="F3684" s="3" t="s">
        <v>11894</v>
      </c>
      <c r="G3684" s="3">
        <v>16524</v>
      </c>
      <c r="H3684" s="7" t="str">
        <f>HYPERLINK("http://www.ensembl.org/Mus_musculus/Gene/Summary?db=core;g=ENSMUSG00000038026","ENSMUSG00000038026")</f>
        <v>ENSMUSG00000038026</v>
      </c>
      <c r="I3684" s="7" t="str">
        <f>HYPERLINK("http://www.informatics.jax.org/marker/MGI:108007","MGI:108007")</f>
        <v>MGI:108007</v>
      </c>
      <c r="J3684" s="4" t="s">
        <v>12</v>
      </c>
    </row>
    <row r="3685" spans="1:10" x14ac:dyDescent="0.25">
      <c r="A3685" s="2">
        <v>120.939326525103</v>
      </c>
      <c r="B3685" s="3">
        <v>-6.5843369824719306E-2</v>
      </c>
      <c r="C3685" s="3">
        <v>0.56737376928000904</v>
      </c>
      <c r="D3685" s="4">
        <v>0.730484935375182</v>
      </c>
      <c r="E3685" s="3" t="s">
        <v>13399</v>
      </c>
      <c r="F3685" s="3" t="s">
        <v>13400</v>
      </c>
      <c r="G3685" s="3">
        <v>243025</v>
      </c>
      <c r="H3685" s="7" t="str">
        <f>HYPERLINK("http://www.ensembl.org/Mus_musculus/Gene/Summary?db=core;g=ENSMUSG00000037913","ENSMUSG00000037913")</f>
        <v>ENSMUSG00000037913</v>
      </c>
      <c r="I3685" s="7" t="str">
        <f>HYPERLINK("http://www.informatics.jax.org/marker/MGI:2685292","MGI:2685292")</f>
        <v>MGI:2685292</v>
      </c>
      <c r="J3685" s="4" t="s">
        <v>12</v>
      </c>
    </row>
    <row r="3686" spans="1:10" x14ac:dyDescent="0.25">
      <c r="A3686" s="2">
        <v>3568.31492690812</v>
      </c>
      <c r="B3686" s="3">
        <v>-6.5858376278437894E-2</v>
      </c>
      <c r="C3686" s="3">
        <v>0.16126552557353499</v>
      </c>
      <c r="D3686" s="4">
        <v>0.29838215264748003</v>
      </c>
      <c r="E3686" s="3" t="s">
        <v>13991</v>
      </c>
      <c r="F3686" s="3" t="s">
        <v>13992</v>
      </c>
      <c r="G3686" s="3">
        <v>80913</v>
      </c>
      <c r="H3686" s="7" t="str">
        <f>HYPERLINK("http://www.ensembl.org/Mus_musculus/Gene/Summary?db=core;g=ENSMUSG00000020594","ENSMUSG00000020594")</f>
        <v>ENSMUSG00000020594</v>
      </c>
      <c r="I3686" s="7" t="str">
        <f>HYPERLINK("http://www.informatics.jax.org/marker/MGI:1931751","MGI:1931751")</f>
        <v>MGI:1931751</v>
      </c>
      <c r="J3686" s="4" t="s">
        <v>12</v>
      </c>
    </row>
    <row r="3687" spans="1:10" x14ac:dyDescent="0.25">
      <c r="A3687" s="2">
        <v>375.87109638029102</v>
      </c>
      <c r="B3687" s="3">
        <v>-7.0096362402703602E-2</v>
      </c>
      <c r="C3687" s="3">
        <v>0.27958661838950399</v>
      </c>
      <c r="D3687" s="4">
        <v>0.45078541714977199</v>
      </c>
      <c r="E3687" s="3" t="s">
        <v>10932</v>
      </c>
      <c r="F3687" s="3" t="s">
        <v>10933</v>
      </c>
      <c r="G3687" s="3">
        <v>76892</v>
      </c>
      <c r="H3687" s="7" t="str">
        <f>HYPERLINK("http://www.ensembl.org/Mus_musculus/Gene/Summary?db=core;g=ENSMUSG00000020521","ENSMUSG00000020521")</f>
        <v>ENSMUSG00000020521</v>
      </c>
      <c r="I3687" s="7" t="str">
        <f>HYPERLINK("http://www.informatics.jax.org/marker/MGI:1924142","MGI:1924142")</f>
        <v>MGI:1924142</v>
      </c>
      <c r="J3687" s="4" t="s">
        <v>12</v>
      </c>
    </row>
    <row r="3688" spans="1:10" x14ac:dyDescent="0.25">
      <c r="A3688" s="2">
        <v>1695.7806167111301</v>
      </c>
      <c r="B3688" s="3">
        <v>-7.0991997644252E-2</v>
      </c>
      <c r="C3688" s="3">
        <v>0.21138934950358601</v>
      </c>
      <c r="D3688" s="4">
        <v>0.36628359904001201</v>
      </c>
      <c r="E3688" s="3" t="s">
        <v>12915</v>
      </c>
      <c r="F3688" s="3" t="s">
        <v>12916</v>
      </c>
      <c r="G3688" s="3">
        <v>21411</v>
      </c>
      <c r="H3688" s="7" t="str">
        <f>HYPERLINK("http://www.ensembl.org/Mus_musculus/Gene/Summary?db=core;g=ENSMUSG00000041852","ENSMUSG00000041852")</f>
        <v>ENSMUSG00000041852</v>
      </c>
      <c r="I3688" s="7" t="str">
        <f>HYPERLINK("http://www.informatics.jax.org/marker/MGI:108399","MGI:108399")</f>
        <v>MGI:108399</v>
      </c>
      <c r="J3688" s="4" t="s">
        <v>12</v>
      </c>
    </row>
    <row r="3689" spans="1:10" x14ac:dyDescent="0.25">
      <c r="A3689" s="2">
        <v>34.064342919371903</v>
      </c>
      <c r="B3689" s="3">
        <v>-7.1025572115315003E-2</v>
      </c>
      <c r="C3689" s="3">
        <v>0.77349128318798299</v>
      </c>
      <c r="D3689" s="4">
        <v>0.87522377882034796</v>
      </c>
      <c r="E3689" s="3" t="s">
        <v>13659</v>
      </c>
      <c r="F3689" s="3" t="s">
        <v>13660</v>
      </c>
      <c r="G3689" s="3" t="s">
        <v>83</v>
      </c>
      <c r="H3689" s="7" t="str">
        <f>HYPERLINK("http://www.ensembl.org/Mus_musculus/Gene/Summary?db=core;g=ENSMUSG00000065939","ENSMUSG00000065939")</f>
        <v>ENSMUSG00000065939</v>
      </c>
      <c r="I3689" s="7" t="str">
        <f>HYPERLINK("http://www.informatics.jax.org/marker/MGI:3819497","MGI:3819497")</f>
        <v>MGI:3819497</v>
      </c>
      <c r="J3689" s="4" t="s">
        <v>11100</v>
      </c>
    </row>
    <row r="3690" spans="1:10" x14ac:dyDescent="0.25">
      <c r="A3690" s="2">
        <v>1768.6241492230399</v>
      </c>
      <c r="B3690" s="3">
        <v>-7.1388988934844202E-2</v>
      </c>
      <c r="C3690" s="3">
        <v>0.24747889545084001</v>
      </c>
      <c r="D3690" s="4">
        <v>0.41201268562999599</v>
      </c>
      <c r="E3690" s="3" t="s">
        <v>10842</v>
      </c>
      <c r="F3690" s="3" t="s">
        <v>10843</v>
      </c>
      <c r="G3690" s="3">
        <v>231876</v>
      </c>
      <c r="H3690" s="7" t="str">
        <f>HYPERLINK("http://www.ensembl.org/Mus_musculus/Gene/Summary?db=core;g=ENSMUSG00000038970","ENSMUSG00000038970")</f>
        <v>ENSMUSG00000038970</v>
      </c>
      <c r="I3690" s="7" t="str">
        <f>HYPERLINK("http://www.informatics.jax.org/marker/MGI:3036247","MGI:3036247")</f>
        <v>MGI:3036247</v>
      </c>
      <c r="J3690" s="4" t="s">
        <v>12</v>
      </c>
    </row>
    <row r="3691" spans="1:10" x14ac:dyDescent="0.25">
      <c r="A3691" s="2">
        <v>808.25389167037804</v>
      </c>
      <c r="B3691" s="3">
        <v>-7.2768691843149894E-2</v>
      </c>
      <c r="C3691" s="3">
        <v>0.52297263386927095</v>
      </c>
      <c r="D3691" s="4">
        <v>0.69247328612507297</v>
      </c>
      <c r="E3691" s="3" t="s">
        <v>12141</v>
      </c>
      <c r="F3691" s="3" t="s">
        <v>12142</v>
      </c>
      <c r="G3691" s="3">
        <v>209239</v>
      </c>
      <c r="H3691" s="7" t="str">
        <f>HYPERLINK("http://www.ensembl.org/Mus_musculus/Gene/Summary?db=core;g=ENSMUSG00000052557","ENSMUSG00000052557")</f>
        <v>ENSMUSG00000052557</v>
      </c>
      <c r="I3691" s="7" t="str">
        <f>HYPERLINK("http://www.informatics.jax.org/marker/MGI:1890619","MGI:1890619")</f>
        <v>MGI:1890619</v>
      </c>
      <c r="J3691" s="4" t="s">
        <v>12</v>
      </c>
    </row>
    <row r="3692" spans="1:10" x14ac:dyDescent="0.25">
      <c r="A3692" s="2">
        <v>1773.9986188612099</v>
      </c>
      <c r="B3692" s="3">
        <v>-7.3349296088946303E-2</v>
      </c>
      <c r="C3692" s="3">
        <v>0.16490731409888101</v>
      </c>
      <c r="D3692" s="4">
        <v>0.30336831456992902</v>
      </c>
      <c r="E3692" s="3" t="s">
        <v>12091</v>
      </c>
      <c r="F3692" s="3" t="s">
        <v>12092</v>
      </c>
      <c r="G3692" s="3">
        <v>22247</v>
      </c>
      <c r="H3692" s="7" t="str">
        <f>HYPERLINK("http://www.ensembl.org/Mus_musculus/Gene/Summary?db=core;g=ENSMUSG00000022814","ENSMUSG00000022814")</f>
        <v>ENSMUSG00000022814</v>
      </c>
      <c r="I3692" s="7" t="str">
        <f>HYPERLINK("http://www.informatics.jax.org/marker/MGI:1298388","MGI:1298388")</f>
        <v>MGI:1298388</v>
      </c>
      <c r="J3692" s="4" t="s">
        <v>12</v>
      </c>
    </row>
    <row r="3693" spans="1:10" x14ac:dyDescent="0.25">
      <c r="A3693" s="2">
        <v>779.68797174107101</v>
      </c>
      <c r="B3693" s="3">
        <v>-7.40593049268118E-2</v>
      </c>
      <c r="C3693" s="3">
        <v>0.28080160079097399</v>
      </c>
      <c r="D3693" s="4">
        <v>0.45224542014983299</v>
      </c>
      <c r="E3693" s="3" t="s">
        <v>13801</v>
      </c>
      <c r="F3693" s="3" t="s">
        <v>13802</v>
      </c>
      <c r="G3693" s="3">
        <v>13011</v>
      </c>
      <c r="H3693" s="7" t="str">
        <f>HYPERLINK("http://www.ensembl.org/Mus_musculus/Gene/Summary?db=core;g=ENSMUSG00000068129","ENSMUSG00000068129")</f>
        <v>ENSMUSG00000068129</v>
      </c>
      <c r="I3693" s="7" t="str">
        <f>HYPERLINK("http://www.informatics.jax.org/marker/MGI:1298217","MGI:1298217")</f>
        <v>MGI:1298217</v>
      </c>
      <c r="J3693" s="4" t="s">
        <v>12</v>
      </c>
    </row>
    <row r="3694" spans="1:10" x14ac:dyDescent="0.25">
      <c r="A3694" s="2">
        <v>743.39309409146597</v>
      </c>
      <c r="B3694" s="3">
        <v>-7.4373825968542098E-2</v>
      </c>
      <c r="C3694" s="3">
        <v>0.39377589573123301</v>
      </c>
      <c r="D3694" s="4">
        <v>0.57215703577307797</v>
      </c>
      <c r="E3694" s="3" t="s">
        <v>9439</v>
      </c>
      <c r="F3694" s="3" t="s">
        <v>9440</v>
      </c>
      <c r="G3694" s="3">
        <v>56452</v>
      </c>
      <c r="H3694" s="7" t="str">
        <f>HYPERLINK("http://www.ensembl.org/Mus_musculus/Gene/Summary?db=core;g=ENSMUSG00000031697","ENSMUSG00000031697")</f>
        <v>ENSMUSG00000031697</v>
      </c>
      <c r="I3694" s="7" t="str">
        <f>HYPERLINK("http://www.informatics.jax.org/marker/MGI:1929285","MGI:1929285")</f>
        <v>MGI:1929285</v>
      </c>
      <c r="J3694" s="4" t="s">
        <v>12</v>
      </c>
    </row>
    <row r="3695" spans="1:10" x14ac:dyDescent="0.25">
      <c r="A3695" s="2">
        <v>596.05293864421697</v>
      </c>
      <c r="B3695" s="3">
        <v>-7.4999496407760893E-2</v>
      </c>
      <c r="C3695" s="3">
        <v>0.180471102326553</v>
      </c>
      <c r="D3695" s="4">
        <v>0.32488007110839801</v>
      </c>
      <c r="E3695" s="3" t="s">
        <v>11327</v>
      </c>
      <c r="F3695" s="3" t="s">
        <v>11328</v>
      </c>
      <c r="G3695" s="3">
        <v>233545</v>
      </c>
      <c r="H3695" s="7" t="str">
        <f>HYPERLINK("http://www.ensembl.org/Mus_musculus/Gene/Summary?db=core;g=ENSMUSG00000035401","ENSMUSG00000035401")</f>
        <v>ENSMUSG00000035401</v>
      </c>
      <c r="I3695" s="7" t="str">
        <f>HYPERLINK("http://www.informatics.jax.org/marker/MGI:1924203","MGI:1924203")</f>
        <v>MGI:1924203</v>
      </c>
      <c r="J3695" s="4" t="s">
        <v>12</v>
      </c>
    </row>
    <row r="3696" spans="1:10" x14ac:dyDescent="0.25">
      <c r="A3696" s="2">
        <v>123.755612260177</v>
      </c>
      <c r="B3696" s="3">
        <v>-7.5351113581181503E-2</v>
      </c>
      <c r="C3696" s="3">
        <v>0.47160125190586599</v>
      </c>
      <c r="D3696" s="4">
        <v>0.64837195952447602</v>
      </c>
      <c r="E3696" s="3" t="s">
        <v>13753</v>
      </c>
      <c r="F3696" s="3" t="s">
        <v>13754</v>
      </c>
      <c r="G3696" s="3">
        <v>77652</v>
      </c>
      <c r="H3696" s="7" t="str">
        <f>HYPERLINK("http://www.ensembl.org/Mus_musculus/Gene/Summary?db=core;g=ENSMUSG00000094441","ENSMUSG00000094441")</f>
        <v>ENSMUSG00000094441</v>
      </c>
      <c r="I3696" s="7" t="str">
        <f>HYPERLINK("http://www.informatics.jax.org/marker/MGI:4834570","MGI:4834570")</f>
        <v>MGI:4834570</v>
      </c>
      <c r="J3696" s="4" t="s">
        <v>12</v>
      </c>
    </row>
    <row r="3697" spans="1:10" x14ac:dyDescent="0.25">
      <c r="A3697" s="2">
        <v>1292.2278220271501</v>
      </c>
      <c r="B3697" s="3">
        <v>-7.5483481564576793E-2</v>
      </c>
      <c r="C3697" s="3">
        <v>0.14783385121852399</v>
      </c>
      <c r="D3697" s="4">
        <v>0.27867934820620499</v>
      </c>
      <c r="E3697" s="3" t="s">
        <v>13701</v>
      </c>
      <c r="F3697" s="3" t="s">
        <v>13702</v>
      </c>
      <c r="G3697" s="3">
        <v>56384</v>
      </c>
      <c r="H3697" s="7" t="str">
        <f>HYPERLINK("http://www.ensembl.org/Mus_musculus/Gene/Summary?db=core;g=ENSMUSG00000005299","ENSMUSG00000005299")</f>
        <v>ENSMUSG00000005299</v>
      </c>
      <c r="I3697" s="7" t="str">
        <f>HYPERLINK("http://www.informatics.jax.org/marker/MGI:1932557","MGI:1932557")</f>
        <v>MGI:1932557</v>
      </c>
      <c r="J3697" s="4" t="s">
        <v>12</v>
      </c>
    </row>
    <row r="3698" spans="1:10" x14ac:dyDescent="0.25">
      <c r="A3698" s="2">
        <v>322.93119080770498</v>
      </c>
      <c r="B3698" s="3">
        <v>-7.5824736832876494E-2</v>
      </c>
      <c r="C3698" s="3">
        <v>0.38831338904426999</v>
      </c>
      <c r="D3698" s="4">
        <v>0.56670495798621301</v>
      </c>
      <c r="E3698" s="3" t="s">
        <v>13085</v>
      </c>
      <c r="F3698" s="3" t="s">
        <v>13086</v>
      </c>
      <c r="G3698" s="3">
        <v>225523</v>
      </c>
      <c r="H3698" s="7" t="str">
        <f>HYPERLINK("http://www.ensembl.org/Mus_musculus/Gene/Summary?db=core;g=ENSMUSG00000048799","ENSMUSG00000048799")</f>
        <v>ENSMUSG00000048799</v>
      </c>
      <c r="I3698" s="7" t="str">
        <f>HYPERLINK("http://www.informatics.jax.org/marker/MGI:2147298","MGI:2147298")</f>
        <v>MGI:2147298</v>
      </c>
      <c r="J3698" s="4" t="s">
        <v>12</v>
      </c>
    </row>
    <row r="3699" spans="1:10" x14ac:dyDescent="0.25">
      <c r="A3699" s="2">
        <v>327.64294661500998</v>
      </c>
      <c r="B3699" s="3">
        <v>-7.7339500976629699E-2</v>
      </c>
      <c r="C3699" s="3">
        <v>0.63131278090866205</v>
      </c>
      <c r="D3699" s="4">
        <v>0.77842000716932402</v>
      </c>
      <c r="E3699" s="3" t="s">
        <v>13053</v>
      </c>
      <c r="F3699" s="3" t="s">
        <v>13054</v>
      </c>
      <c r="G3699" s="3">
        <v>76580</v>
      </c>
      <c r="H3699" s="7" t="str">
        <f>HYPERLINK("http://www.ensembl.org/Mus_musculus/Gene/Summary?db=core;g=ENSMUSG00000029060","ENSMUSG00000029060")</f>
        <v>ENSMUSG00000029060</v>
      </c>
      <c r="I3699" s="7" t="str">
        <f>HYPERLINK("http://www.informatics.jax.org/marker/MGI:2679684","MGI:2679684")</f>
        <v>MGI:2679684</v>
      </c>
      <c r="J3699" s="4" t="s">
        <v>12</v>
      </c>
    </row>
    <row r="3700" spans="1:10" x14ac:dyDescent="0.25">
      <c r="A3700" s="2">
        <v>619.97538210413597</v>
      </c>
      <c r="B3700" s="3">
        <v>-7.8540816728447302E-2</v>
      </c>
      <c r="C3700" s="3">
        <v>0.199234332337759</v>
      </c>
      <c r="D3700" s="4">
        <v>0.34998030909452099</v>
      </c>
      <c r="E3700" s="3" t="s">
        <v>7572</v>
      </c>
      <c r="F3700" s="3" t="s">
        <v>7573</v>
      </c>
      <c r="G3700" s="3">
        <v>231801</v>
      </c>
      <c r="H3700" s="7" t="str">
        <f>HYPERLINK("http://www.ensembl.org/Mus_musculus/Gene/Summary?db=core;g=ENSMUSG00000029722","ENSMUSG00000029722")</f>
        <v>ENSMUSG00000029722</v>
      </c>
      <c r="I3700" s="7" t="str">
        <f>HYPERLINK("http://www.informatics.jax.org/marker/MGI:2443267","MGI:2443267")</f>
        <v>MGI:2443267</v>
      </c>
      <c r="J3700" s="4" t="s">
        <v>12</v>
      </c>
    </row>
    <row r="3701" spans="1:10" x14ac:dyDescent="0.25">
      <c r="A3701" s="2">
        <v>68.289809802529106</v>
      </c>
      <c r="B3701" s="3">
        <v>-7.9906044029320306E-2</v>
      </c>
      <c r="C3701" s="3">
        <v>0.59890033861340997</v>
      </c>
      <c r="D3701" s="4">
        <v>0.75572655758702501</v>
      </c>
      <c r="E3701" s="3" t="s">
        <v>12396</v>
      </c>
      <c r="F3701" s="3" t="s">
        <v>12397</v>
      </c>
      <c r="G3701" s="3">
        <v>67164</v>
      </c>
      <c r="H3701" s="7" t="str">
        <f>HYPERLINK("http://www.ensembl.org/Mus_musculus/Gene/Summary?db=core;g=ENSMUSG00000030725","ENSMUSG00000030725")</f>
        <v>ENSMUSG00000030725</v>
      </c>
      <c r="I3701" s="7" t="str">
        <f>HYPERLINK("http://www.informatics.jax.org/marker/MGI:1914414","MGI:1914414")</f>
        <v>MGI:1914414</v>
      </c>
      <c r="J3701" s="4" t="s">
        <v>12</v>
      </c>
    </row>
    <row r="3702" spans="1:10" x14ac:dyDescent="0.25">
      <c r="A3702" s="2">
        <v>551.17079433666697</v>
      </c>
      <c r="B3702" s="3">
        <v>-8.0935724897817002E-2</v>
      </c>
      <c r="C3702" s="3">
        <v>0.242910488388735</v>
      </c>
      <c r="D3702" s="4">
        <v>0.40629989453787502</v>
      </c>
      <c r="E3702" s="3" t="s">
        <v>13015</v>
      </c>
      <c r="F3702" s="3" t="s">
        <v>13016</v>
      </c>
      <c r="G3702" s="3" t="s">
        <v>83</v>
      </c>
      <c r="H3702" s="7" t="str">
        <f>HYPERLINK("http://www.ensembl.org/Mus_musculus/Gene/Summary?db=core;g=ENSMUSG00000117942","ENSMUSG00000117942")</f>
        <v>ENSMUSG00000117942</v>
      </c>
      <c r="I3702" s="7" t="str">
        <f>HYPERLINK("http://www.informatics.jax.org/marker/MGI:3845902","MGI:3845902")</f>
        <v>MGI:3845902</v>
      </c>
      <c r="J3702" s="4" t="s">
        <v>12</v>
      </c>
    </row>
    <row r="3703" spans="1:10" x14ac:dyDescent="0.25">
      <c r="A3703" s="2">
        <v>5083.5259229889898</v>
      </c>
      <c r="B3703" s="3">
        <v>-8.1173935698993602E-2</v>
      </c>
      <c r="C3703" s="3">
        <v>5.6639639421480301E-2</v>
      </c>
      <c r="D3703" s="4">
        <v>0.12678180157903199</v>
      </c>
      <c r="E3703" s="3" t="s">
        <v>12653</v>
      </c>
      <c r="F3703" s="3" t="s">
        <v>12654</v>
      </c>
      <c r="G3703" s="3">
        <v>245688</v>
      </c>
      <c r="H3703" s="7" t="str">
        <f>HYPERLINK("http://www.ensembl.org/Mus_musculus/Gene/Summary?db=core;g=ENSMUSG00000031353","ENSMUSG00000031353")</f>
        <v>ENSMUSG00000031353</v>
      </c>
      <c r="I3703" s="7" t="str">
        <f>HYPERLINK("http://www.informatics.jax.org/marker/MGI:1194910","MGI:1194910")</f>
        <v>MGI:1194910</v>
      </c>
      <c r="J3703" s="4" t="s">
        <v>12</v>
      </c>
    </row>
    <row r="3704" spans="1:10" x14ac:dyDescent="0.25">
      <c r="A3704" s="2">
        <v>3043.2800186986601</v>
      </c>
      <c r="B3704" s="3">
        <v>-8.14071682188688E-2</v>
      </c>
      <c r="C3704" s="3">
        <v>0.14890189720948199</v>
      </c>
      <c r="D3704" s="4">
        <v>0.28025788254082501</v>
      </c>
      <c r="E3704" s="3" t="s">
        <v>12057</v>
      </c>
      <c r="F3704" s="3" t="s">
        <v>12058</v>
      </c>
      <c r="G3704" s="3">
        <v>24061</v>
      </c>
      <c r="H3704" s="7" t="str">
        <f>HYPERLINK("http://www.ensembl.org/Mus_musculus/Gene/Summary?db=core;g=ENSMUSG00000041133","ENSMUSG00000041133")</f>
        <v>ENSMUSG00000041133</v>
      </c>
      <c r="I3704" s="7" t="str">
        <f>HYPERLINK("http://www.informatics.jax.org/marker/MGI:1344345","MGI:1344345")</f>
        <v>MGI:1344345</v>
      </c>
      <c r="J3704" s="4" t="s">
        <v>12</v>
      </c>
    </row>
    <row r="3705" spans="1:10" x14ac:dyDescent="0.25">
      <c r="A3705" s="2">
        <v>2236.0377760307101</v>
      </c>
      <c r="B3705" s="3">
        <v>-8.1454557961788604E-2</v>
      </c>
      <c r="C3705" s="3">
        <v>0.12806212518407301</v>
      </c>
      <c r="D3705" s="4">
        <v>0.248714005912163</v>
      </c>
      <c r="E3705" s="3" t="s">
        <v>11425</v>
      </c>
      <c r="F3705" s="3" t="s">
        <v>11426</v>
      </c>
      <c r="G3705" s="3">
        <v>72674</v>
      </c>
      <c r="H3705" s="7" t="str">
        <f>HYPERLINK("http://www.ensembl.org/Mus_musculus/Gene/Summary?db=core;g=ENSMUSG00000026457","ENSMUSG00000026457")</f>
        <v>ENSMUSG00000026457</v>
      </c>
      <c r="I3705" s="7" t="str">
        <f>HYPERLINK("http://www.informatics.jax.org/marker/MGI:1919924","MGI:1919924")</f>
        <v>MGI:1919924</v>
      </c>
      <c r="J3705" s="4" t="s">
        <v>12</v>
      </c>
    </row>
    <row r="3706" spans="1:10" x14ac:dyDescent="0.25">
      <c r="A3706" s="2">
        <v>226.826978911596</v>
      </c>
      <c r="B3706" s="3">
        <v>-8.1595489296897999E-2</v>
      </c>
      <c r="C3706" s="3">
        <v>0.28717331683754799</v>
      </c>
      <c r="D3706" s="4">
        <v>0.45958321912226102</v>
      </c>
      <c r="E3706" s="3" t="s">
        <v>8761</v>
      </c>
      <c r="F3706" s="3" t="s">
        <v>8762</v>
      </c>
      <c r="G3706" s="3">
        <v>191578</v>
      </c>
      <c r="H3706" s="7" t="str">
        <f>HYPERLINK("http://www.ensembl.org/Mus_musculus/Gene/Summary?db=core;g=ENSMUSG00000035266","ENSMUSG00000035266")</f>
        <v>ENSMUSG00000035266</v>
      </c>
      <c r="I3706" s="7" t="str">
        <f>HYPERLINK("http://www.informatics.jax.org/marker/MGI:2176740","MGI:2176740")</f>
        <v>MGI:2176740</v>
      </c>
      <c r="J3706" s="4" t="s">
        <v>12</v>
      </c>
    </row>
    <row r="3707" spans="1:10" x14ac:dyDescent="0.25">
      <c r="A3707" s="2">
        <v>542.421030848756</v>
      </c>
      <c r="B3707" s="3">
        <v>-8.3582008645374004E-2</v>
      </c>
      <c r="C3707" s="3">
        <v>0.203266979598697</v>
      </c>
      <c r="D3707" s="4">
        <v>0.35504511243878101</v>
      </c>
      <c r="E3707" s="3" t="s">
        <v>13857</v>
      </c>
      <c r="F3707" s="3" t="s">
        <v>13858</v>
      </c>
      <c r="G3707" s="3">
        <v>66350</v>
      </c>
      <c r="H3707" s="7" t="str">
        <f>HYPERLINK("http://www.ensembl.org/Mus_musculus/Gene/Summary?db=core;g=ENSMUSG00000027999","ENSMUSG00000027999")</f>
        <v>ENSMUSG00000027999</v>
      </c>
      <c r="I3707" s="7" t="str">
        <f>HYPERLINK("http://www.informatics.jax.org/marker/MGI:1913600","MGI:1913600")</f>
        <v>MGI:1913600</v>
      </c>
      <c r="J3707" s="4" t="s">
        <v>12</v>
      </c>
    </row>
    <row r="3708" spans="1:10" x14ac:dyDescent="0.25">
      <c r="A3708" s="2">
        <v>347.12983136438402</v>
      </c>
      <c r="B3708" s="3">
        <v>-8.3877207086018701E-2</v>
      </c>
      <c r="C3708" s="3">
        <v>0.29618359395821803</v>
      </c>
      <c r="D3708" s="4">
        <v>0.46991782013480698</v>
      </c>
      <c r="E3708" s="3" t="s">
        <v>8437</v>
      </c>
      <c r="F3708" s="3" t="s">
        <v>8438</v>
      </c>
      <c r="G3708" s="3">
        <v>215445</v>
      </c>
      <c r="H3708" s="7" t="str">
        <f>HYPERLINK("http://www.ensembl.org/Mus_musculus/Gene/Summary?db=core;g=ENSMUSG00000037098","ENSMUSG00000037098")</f>
        <v>ENSMUSG00000037098</v>
      </c>
      <c r="I3708" s="7" t="str">
        <f>HYPERLINK("http://www.informatics.jax.org/marker/MGI:2444431","MGI:2444431")</f>
        <v>MGI:2444431</v>
      </c>
      <c r="J3708" s="4" t="s">
        <v>12</v>
      </c>
    </row>
    <row r="3709" spans="1:10" x14ac:dyDescent="0.25">
      <c r="A3709" s="2">
        <v>313.963422235667</v>
      </c>
      <c r="B3709" s="3">
        <v>-8.4778384598868606E-2</v>
      </c>
      <c r="C3709" s="3">
        <v>0.31695632445593602</v>
      </c>
      <c r="D3709" s="4">
        <v>0.493371881424712</v>
      </c>
      <c r="E3709" s="3" t="s">
        <v>11647</v>
      </c>
      <c r="F3709" s="3" t="s">
        <v>11648</v>
      </c>
      <c r="G3709" s="3">
        <v>54343</v>
      </c>
      <c r="H3709" s="7" t="str">
        <f>HYPERLINK("http://www.ensembl.org/Mus_musculus/Gene/Summary?db=core;g=ENSMUSG00000030213","ENSMUSG00000030213")</f>
        <v>ENSMUSG00000030213</v>
      </c>
      <c r="I3709" s="7" t="str">
        <f>HYPERLINK("http://www.informatics.jax.org/marker/MGI:1858965","MGI:1858965")</f>
        <v>MGI:1858965</v>
      </c>
      <c r="J3709" s="4" t="s">
        <v>12</v>
      </c>
    </row>
    <row r="3710" spans="1:10" x14ac:dyDescent="0.25">
      <c r="A3710" s="2">
        <v>901.01207387409897</v>
      </c>
      <c r="B3710" s="3">
        <v>-8.4794454006538997E-2</v>
      </c>
      <c r="C3710" s="3">
        <v>0.28366301650180797</v>
      </c>
      <c r="D3710" s="4">
        <v>0.45556560413689201</v>
      </c>
      <c r="E3710" s="3" t="s">
        <v>11445</v>
      </c>
      <c r="F3710" s="3" t="s">
        <v>11446</v>
      </c>
      <c r="G3710" s="3">
        <v>269878</v>
      </c>
      <c r="H3710" s="7" t="str">
        <f>HYPERLINK("http://www.ensembl.org/Mus_musculus/Gene/Summary?db=core;g=ENSMUSG00000045039","ENSMUSG00000045039")</f>
        <v>ENSMUSG00000045039</v>
      </c>
      <c r="I3710" s="7" t="str">
        <f>HYPERLINK("http://www.informatics.jax.org/marker/MGI:2446294","MGI:2446294")</f>
        <v>MGI:2446294</v>
      </c>
      <c r="J3710" s="4" t="s">
        <v>12</v>
      </c>
    </row>
    <row r="3711" spans="1:10" x14ac:dyDescent="0.25">
      <c r="A3711" s="2">
        <v>2804.1754005805501</v>
      </c>
      <c r="B3711" s="3">
        <v>-8.50467687328164E-2</v>
      </c>
      <c r="C3711" s="3">
        <v>3.7432716375004699E-2</v>
      </c>
      <c r="D3711" s="4">
        <v>8.9224595335399004E-2</v>
      </c>
      <c r="E3711" s="3" t="s">
        <v>13177</v>
      </c>
      <c r="F3711" s="3" t="s">
        <v>13178</v>
      </c>
      <c r="G3711" s="3">
        <v>94230</v>
      </c>
      <c r="H3711" s="7" t="str">
        <f>HYPERLINK("http://www.ensembl.org/Mus_musculus/Gene/Summary?db=core;g=ENSMUSG00000034022","ENSMUSG00000034022")</f>
        <v>ENSMUSG00000034022</v>
      </c>
      <c r="I3711" s="7" t="str">
        <f>HYPERLINK("http://www.informatics.jax.org/marker/MGI:2679722","MGI:2679722")</f>
        <v>MGI:2679722</v>
      </c>
      <c r="J3711" s="4" t="s">
        <v>12</v>
      </c>
    </row>
    <row r="3712" spans="1:10" x14ac:dyDescent="0.25">
      <c r="A3712" s="2">
        <v>687.98815476226105</v>
      </c>
      <c r="B3712" s="3">
        <v>-8.5302754552317298E-2</v>
      </c>
      <c r="C3712" s="3">
        <v>0.313819032072719</v>
      </c>
      <c r="D3712" s="4">
        <v>0.48958670257877901</v>
      </c>
      <c r="E3712" s="3" t="s">
        <v>11030</v>
      </c>
      <c r="F3712" s="3" t="s">
        <v>11031</v>
      </c>
      <c r="G3712" s="3">
        <v>12144</v>
      </c>
      <c r="H3712" s="7" t="str">
        <f>HYPERLINK("http://www.ensembl.org/Mus_musculus/Gene/Summary?db=core;g=ENSMUSG00000030528","ENSMUSG00000030528")</f>
        <v>ENSMUSG00000030528</v>
      </c>
      <c r="I3712" s="7" t="str">
        <f>HYPERLINK("http://www.informatics.jax.org/marker/MGI:1328362","MGI:1328362")</f>
        <v>MGI:1328362</v>
      </c>
      <c r="J3712" s="4" t="s">
        <v>12</v>
      </c>
    </row>
    <row r="3713" spans="1:10" x14ac:dyDescent="0.25">
      <c r="A3713" s="2">
        <v>1885.97617104243</v>
      </c>
      <c r="B3713" s="3">
        <v>-8.6130579247577804E-2</v>
      </c>
      <c r="C3713" s="3">
        <v>7.9496826140135202E-2</v>
      </c>
      <c r="D3713" s="4">
        <v>0.168429395071374</v>
      </c>
      <c r="E3713" s="3" t="s">
        <v>12651</v>
      </c>
      <c r="F3713" s="3" t="s">
        <v>12652</v>
      </c>
      <c r="G3713" s="3">
        <v>228850</v>
      </c>
      <c r="H3713" s="7" t="str">
        <f>HYPERLINK("http://www.ensembl.org/Mus_musculus/Gene/Summary?db=core;g=ENSMUSG00000027652","ENSMUSG00000027652")</f>
        <v>ENSMUSG00000027652</v>
      </c>
      <c r="I3713" s="7" t="str">
        <f>HYPERLINK("http://www.informatics.jax.org/marker/MGI:2444531","MGI:2444531")</f>
        <v>MGI:2444531</v>
      </c>
      <c r="J3713" s="4" t="s">
        <v>12</v>
      </c>
    </row>
    <row r="3714" spans="1:10" x14ac:dyDescent="0.25">
      <c r="A3714" s="2">
        <v>88.5798693883157</v>
      </c>
      <c r="B3714" s="3">
        <v>-8.6349158055985503E-2</v>
      </c>
      <c r="C3714" s="3">
        <v>0.52126871690634402</v>
      </c>
      <c r="D3714" s="4">
        <v>0.69089100744431597</v>
      </c>
      <c r="E3714" s="3" t="s">
        <v>10730</v>
      </c>
      <c r="F3714" s="3" t="s">
        <v>10731</v>
      </c>
      <c r="G3714" s="3" t="s">
        <v>83</v>
      </c>
      <c r="H3714" s="7" t="str">
        <f>HYPERLINK("http://www.ensembl.org/Mus_musculus/Gene/Summary?db=core;g=ENSMUSG00000100679","ENSMUSG00000100679")</f>
        <v>ENSMUSG00000100679</v>
      </c>
      <c r="I3714" s="7" t="str">
        <f>HYPERLINK("http://www.informatics.jax.org/marker/MGI:5579484","MGI:5579484")</f>
        <v>MGI:5579484</v>
      </c>
      <c r="J3714" s="4" t="s">
        <v>12</v>
      </c>
    </row>
    <row r="3715" spans="1:10" x14ac:dyDescent="0.25">
      <c r="A3715" s="2">
        <v>3875.72903160336</v>
      </c>
      <c r="B3715" s="3">
        <v>-8.6630301253649594E-2</v>
      </c>
      <c r="C3715" s="3">
        <v>7.3806751649963503E-2</v>
      </c>
      <c r="D3715" s="4">
        <v>0.15815732496420701</v>
      </c>
      <c r="E3715" s="3" t="s">
        <v>13471</v>
      </c>
      <c r="F3715" s="3" t="s">
        <v>13472</v>
      </c>
      <c r="G3715" s="3">
        <v>28000</v>
      </c>
      <c r="H3715" s="7" t="str">
        <f>HYPERLINK("http://www.ensembl.org/Mus_musculus/Gene/Summary?db=core;g=ENSMUSG00000024735","ENSMUSG00000024735")</f>
        <v>ENSMUSG00000024735</v>
      </c>
      <c r="I3715" s="7" t="str">
        <f>HYPERLINK("http://www.informatics.jax.org/marker/MGI:106247","MGI:106247")</f>
        <v>MGI:106247</v>
      </c>
      <c r="J3715" s="4" t="s">
        <v>12</v>
      </c>
    </row>
    <row r="3716" spans="1:10" x14ac:dyDescent="0.25">
      <c r="A3716" s="2">
        <v>562.02993018480004</v>
      </c>
      <c r="B3716" s="3">
        <v>-8.7298865862393202E-2</v>
      </c>
      <c r="C3716" s="3">
        <v>0.20073668235248299</v>
      </c>
      <c r="D3716" s="4">
        <v>0.35197479660130898</v>
      </c>
      <c r="E3716" s="3" t="s">
        <v>8339</v>
      </c>
      <c r="F3716" s="3" t="s">
        <v>8340</v>
      </c>
      <c r="G3716" s="3">
        <v>66934</v>
      </c>
      <c r="H3716" s="7" t="str">
        <f>HYPERLINK("http://www.ensembl.org/Mus_musculus/Gene/Summary?db=core;g=ENSMUSG00000027635","ENSMUSG00000027635")</f>
        <v>ENSMUSG00000027635</v>
      </c>
      <c r="I3716" s="7" t="str">
        <f>HYPERLINK("http://www.informatics.jax.org/marker/MGI:1914184","MGI:1914184")</f>
        <v>MGI:1914184</v>
      </c>
      <c r="J3716" s="4" t="s">
        <v>12</v>
      </c>
    </row>
    <row r="3717" spans="1:10" x14ac:dyDescent="0.25">
      <c r="A3717" s="2">
        <v>967.670356059293</v>
      </c>
      <c r="B3717" s="3">
        <v>-8.8517621966095694E-2</v>
      </c>
      <c r="C3717" s="3">
        <v>0.25754932617137499</v>
      </c>
      <c r="D3717" s="4">
        <v>0.42420573605723599</v>
      </c>
      <c r="E3717" s="3" t="s">
        <v>13485</v>
      </c>
      <c r="F3717" s="3" t="s">
        <v>13486</v>
      </c>
      <c r="G3717" s="3">
        <v>98910</v>
      </c>
      <c r="H3717" s="7" t="str">
        <f>HYPERLINK("http://www.ensembl.org/Mus_musculus/Gene/Summary?db=core;g=ENSMUSG00000039046","ENSMUSG00000039046")</f>
        <v>ENSMUSG00000039046</v>
      </c>
      <c r="I3717" s="7" t="str">
        <f>HYPERLINK("http://www.informatics.jax.org/marker/MGI:2138893","MGI:2138893")</f>
        <v>MGI:2138893</v>
      </c>
      <c r="J3717" s="4" t="s">
        <v>12</v>
      </c>
    </row>
    <row r="3718" spans="1:10" x14ac:dyDescent="0.25">
      <c r="A3718" s="2">
        <v>2646.7045307375101</v>
      </c>
      <c r="B3718" s="3">
        <v>-8.9672948906656197E-2</v>
      </c>
      <c r="C3718" s="3">
        <v>2.4414172321569099E-2</v>
      </c>
      <c r="D3718" s="4">
        <v>6.1439973841562599E-2</v>
      </c>
      <c r="E3718" s="3" t="s">
        <v>12269</v>
      </c>
      <c r="F3718" s="3" t="s">
        <v>12270</v>
      </c>
      <c r="G3718" s="3">
        <v>54451</v>
      </c>
      <c r="H3718" s="7" t="str">
        <f>HYPERLINK("http://www.ensembl.org/Mus_musculus/Gene/Summary?db=core;g=ENSMUSG00000054309","ENSMUSG00000054309")</f>
        <v>ENSMUSG00000054309</v>
      </c>
      <c r="I3718" s="7" t="str">
        <f>HYPERLINK("http://www.informatics.jax.org/marker/MGI:1859328","MGI:1859328")</f>
        <v>MGI:1859328</v>
      </c>
      <c r="J3718" s="4" t="s">
        <v>12</v>
      </c>
    </row>
    <row r="3719" spans="1:10" x14ac:dyDescent="0.25">
      <c r="A3719" s="2">
        <v>1555.61720507972</v>
      </c>
      <c r="B3719" s="3">
        <v>-9.0004479782514704E-2</v>
      </c>
      <c r="C3719" s="3">
        <v>8.01733278439727E-2</v>
      </c>
      <c r="D3719" s="4">
        <v>0.16962606221922499</v>
      </c>
      <c r="E3719" s="3" t="s">
        <v>11801</v>
      </c>
      <c r="F3719" s="3" t="s">
        <v>11802</v>
      </c>
      <c r="G3719" s="3">
        <v>11855</v>
      </c>
      <c r="H3719" s="7" t="str">
        <f>HYPERLINK("http://www.ensembl.org/Mus_musculus/Gene/Summary?db=core;g=ENSMUSG00000035133","ENSMUSG00000035133")</f>
        <v>ENSMUSG00000035133</v>
      </c>
      <c r="I3719" s="7" t="str">
        <f>HYPERLINK("http://www.informatics.jax.org/marker/MGI:1332637","MGI:1332637")</f>
        <v>MGI:1332637</v>
      </c>
      <c r="J3719" s="4" t="s">
        <v>12</v>
      </c>
    </row>
    <row r="3720" spans="1:10" x14ac:dyDescent="0.25">
      <c r="A3720" s="2">
        <v>1658.3871080492199</v>
      </c>
      <c r="B3720" s="3">
        <v>-9.0218231301829793E-2</v>
      </c>
      <c r="C3720" s="3">
        <v>8.4961429904214403E-2</v>
      </c>
      <c r="D3720" s="4">
        <v>0.17800000689784001</v>
      </c>
      <c r="E3720" s="3" t="s">
        <v>11313</v>
      </c>
      <c r="F3720" s="3" t="s">
        <v>11314</v>
      </c>
      <c r="G3720" s="3">
        <v>108857</v>
      </c>
      <c r="H3720" s="7" t="str">
        <f>HYPERLINK("http://www.ensembl.org/Mus_musculus/Gene/Summary?db=core;g=ENSMUSG00000024483","ENSMUSG00000024483")</f>
        <v>ENSMUSG00000024483</v>
      </c>
      <c r="I3720" s="7" t="str">
        <f>HYPERLINK("http://www.informatics.jax.org/marker/MGI:1921733","MGI:1921733")</f>
        <v>MGI:1921733</v>
      </c>
      <c r="J3720" s="4" t="s">
        <v>12</v>
      </c>
    </row>
    <row r="3721" spans="1:10" x14ac:dyDescent="0.25">
      <c r="A3721" s="2">
        <v>809.16564902624702</v>
      </c>
      <c r="B3721" s="3">
        <v>-9.06487014306957E-2</v>
      </c>
      <c r="C3721" s="3">
        <v>8.6838285132057894E-2</v>
      </c>
      <c r="D3721" s="4">
        <v>0.18122383448205101</v>
      </c>
      <c r="E3721" s="3" t="s">
        <v>12761</v>
      </c>
      <c r="F3721" s="3" t="s">
        <v>12762</v>
      </c>
      <c r="G3721" s="3">
        <v>102058</v>
      </c>
      <c r="H3721" s="7" t="str">
        <f>HYPERLINK("http://www.ensembl.org/Mus_musculus/Gene/Summary?db=core;g=ENSMUSG00000074030","ENSMUSG00000074030")</f>
        <v>ENSMUSG00000074030</v>
      </c>
      <c r="I3721" s="7" t="str">
        <f>HYPERLINK("http://www.informatics.jax.org/marker/MGI:2142527","MGI:2142527")</f>
        <v>MGI:2142527</v>
      </c>
      <c r="J3721" s="4" t="s">
        <v>12</v>
      </c>
    </row>
    <row r="3722" spans="1:10" x14ac:dyDescent="0.25">
      <c r="A3722" s="2">
        <v>481.57158060622601</v>
      </c>
      <c r="B3722" s="3">
        <v>-9.0777313249299704E-2</v>
      </c>
      <c r="C3722" s="3">
        <v>0.16590997387916301</v>
      </c>
      <c r="D3722" s="4">
        <v>0.30474796149443201</v>
      </c>
      <c r="E3722" s="3" t="s">
        <v>10158</v>
      </c>
      <c r="F3722" s="3" t="s">
        <v>10159</v>
      </c>
      <c r="G3722" s="3">
        <v>74533</v>
      </c>
      <c r="H3722" s="7" t="str">
        <f>HYPERLINK("http://www.ensembl.org/Mus_musculus/Gene/Summary?db=core;g=ENSMUSG00000027439","ENSMUSG00000027439")</f>
        <v>ENSMUSG00000027439</v>
      </c>
      <c r="I3722" s="7" t="str">
        <f>HYPERLINK("http://www.informatics.jax.org/marker/MGI:1921783","MGI:1921783")</f>
        <v>MGI:1921783</v>
      </c>
      <c r="J3722" s="4" t="s">
        <v>12</v>
      </c>
    </row>
    <row r="3723" spans="1:10" x14ac:dyDescent="0.25">
      <c r="A3723" s="2">
        <v>1753.06631323022</v>
      </c>
      <c r="B3723" s="3">
        <v>-9.0886083038508397E-2</v>
      </c>
      <c r="C3723" s="3">
        <v>9.6911975126790298E-2</v>
      </c>
      <c r="D3723" s="4">
        <v>0.198407183406623</v>
      </c>
      <c r="E3723" s="3" t="s">
        <v>10418</v>
      </c>
      <c r="F3723" s="3" t="s">
        <v>10419</v>
      </c>
      <c r="G3723" s="3">
        <v>11640</v>
      </c>
      <c r="H3723" s="7" t="str">
        <f>HYPERLINK("http://www.ensembl.org/Mus_musculus/Gene/Summary?db=core;g=ENSMUSG00000018428","ENSMUSG00000018428")</f>
        <v>ENSMUSG00000018428</v>
      </c>
      <c r="I3723" s="7" t="str">
        <f>HYPERLINK("http://www.informatics.jax.org/marker/MGI:104729","MGI:104729")</f>
        <v>MGI:104729</v>
      </c>
      <c r="J3723" s="4" t="s">
        <v>12</v>
      </c>
    </row>
    <row r="3724" spans="1:10" x14ac:dyDescent="0.25">
      <c r="A3724" s="2">
        <v>550.94455816764298</v>
      </c>
      <c r="B3724" s="3">
        <v>-9.0920383156352702E-2</v>
      </c>
      <c r="C3724" s="3">
        <v>0.13911124993712301</v>
      </c>
      <c r="D3724" s="4">
        <v>0.26597802455980502</v>
      </c>
      <c r="E3724" s="3" t="s">
        <v>12499</v>
      </c>
      <c r="F3724" s="3" t="s">
        <v>12500</v>
      </c>
      <c r="G3724" s="3">
        <v>218214</v>
      </c>
      <c r="H3724" s="7" t="str">
        <f>HYPERLINK("http://www.ensembl.org/Mus_musculus/Gene/Summary?db=core;g=ENSMUSG00000038080","ENSMUSG00000038080")</f>
        <v>ENSMUSG00000038080</v>
      </c>
      <c r="I3724" s="7" t="str">
        <f>HYPERLINK("http://www.informatics.jax.org/marker/MGI:2145261","MGI:2145261")</f>
        <v>MGI:2145261</v>
      </c>
      <c r="J3724" s="4" t="s">
        <v>12</v>
      </c>
    </row>
    <row r="3725" spans="1:10" x14ac:dyDescent="0.25">
      <c r="A3725" s="2">
        <v>4034.1130869523799</v>
      </c>
      <c r="B3725" s="3">
        <v>-9.1154413527449504E-2</v>
      </c>
      <c r="C3725" s="3">
        <v>0.12096264760808501</v>
      </c>
      <c r="D3725" s="4">
        <v>0.23750746096286801</v>
      </c>
      <c r="E3725" s="3" t="s">
        <v>13103</v>
      </c>
      <c r="F3725" s="3" t="s">
        <v>13104</v>
      </c>
      <c r="G3725" s="3">
        <v>68693</v>
      </c>
      <c r="H3725" s="7" t="str">
        <f>HYPERLINK("http://www.ensembl.org/Mus_musculus/Gene/Summary?db=core;g=ENSMUSG00000071659","ENSMUSG00000071659")</f>
        <v>ENSMUSG00000071659</v>
      </c>
      <c r="I3725" s="7" t="str">
        <f>HYPERLINK("http://www.informatics.jax.org/marker/MGI:1915943","MGI:1915943")</f>
        <v>MGI:1915943</v>
      </c>
      <c r="J3725" s="4" t="s">
        <v>12</v>
      </c>
    </row>
    <row r="3726" spans="1:10" x14ac:dyDescent="0.25">
      <c r="A3726" s="2">
        <v>367.85688305679702</v>
      </c>
      <c r="B3726" s="3">
        <v>-9.1173563784917699E-2</v>
      </c>
      <c r="C3726" s="3">
        <v>0.19041532000911601</v>
      </c>
      <c r="D3726" s="4">
        <v>0.33850167842041901</v>
      </c>
      <c r="E3726" s="3" t="s">
        <v>12455</v>
      </c>
      <c r="F3726" s="3" t="s">
        <v>12456</v>
      </c>
      <c r="G3726" s="3">
        <v>53332</v>
      </c>
      <c r="H3726" s="7" t="str">
        <f>HYPERLINK("http://www.ensembl.org/Mus_musculus/Gene/Summary?db=core;g=ENSMUSG00000015214","ENSMUSG00000015214")</f>
        <v>ENSMUSG00000015214</v>
      </c>
      <c r="I3726" s="7" t="str">
        <f>HYPERLINK("http://www.informatics.jax.org/marker/MGI:1858271","MGI:1858271")</f>
        <v>MGI:1858271</v>
      </c>
      <c r="J3726" s="4" t="s">
        <v>12</v>
      </c>
    </row>
    <row r="3727" spans="1:10" x14ac:dyDescent="0.25">
      <c r="A3727" s="2">
        <v>1436.8141900026701</v>
      </c>
      <c r="B3727" s="3">
        <v>-9.2091428377232706E-2</v>
      </c>
      <c r="C3727" s="3">
        <v>0.22893271261574999</v>
      </c>
      <c r="D3727" s="4">
        <v>0.38844601875263401</v>
      </c>
      <c r="E3727" s="3" t="s">
        <v>5613</v>
      </c>
      <c r="F3727" s="3" t="s">
        <v>5614</v>
      </c>
      <c r="G3727" s="3">
        <v>666938</v>
      </c>
      <c r="H3727" s="7" t="str">
        <f>HYPERLINK("http://www.ensembl.org/Mus_musculus/Gene/Summary?db=core;g=ENSMUSG00000092060","ENSMUSG00000092060")</f>
        <v>ENSMUSG00000092060</v>
      </c>
      <c r="I3727" s="7" t="str">
        <f>HYPERLINK("http://www.informatics.jax.org/marker/MGI:3648414","MGI:3648414")</f>
        <v>MGI:3648414</v>
      </c>
      <c r="J3727" s="4" t="s">
        <v>12</v>
      </c>
    </row>
    <row r="3728" spans="1:10" x14ac:dyDescent="0.25">
      <c r="A3728" s="2">
        <v>490.27182993717201</v>
      </c>
      <c r="B3728" s="3">
        <v>-9.2149561711904804E-2</v>
      </c>
      <c r="C3728" s="3">
        <v>0.22412336484871601</v>
      </c>
      <c r="D3728" s="4">
        <v>0.38247996056366002</v>
      </c>
      <c r="E3728" s="3" t="s">
        <v>10374</v>
      </c>
      <c r="F3728" s="3" t="s">
        <v>10375</v>
      </c>
      <c r="G3728" s="3">
        <v>230789</v>
      </c>
      <c r="H3728" s="7" t="str">
        <f>HYPERLINK("http://www.ensembl.org/Mus_musculus/Gene/Summary?db=core;g=ENSMUSG00000028878","ENSMUSG00000028878")</f>
        <v>ENSMUSG00000028878</v>
      </c>
      <c r="I3728" s="7" t="str">
        <f>HYPERLINK("http://www.informatics.jax.org/marker/MGI:2385211","MGI:2385211")</f>
        <v>MGI:2385211</v>
      </c>
      <c r="J3728" s="4" t="s">
        <v>12</v>
      </c>
    </row>
    <row r="3729" spans="1:10" x14ac:dyDescent="0.25">
      <c r="A3729" s="2">
        <v>857.56197460109001</v>
      </c>
      <c r="B3729" s="3">
        <v>-9.2258637029388996E-2</v>
      </c>
      <c r="C3729" s="3">
        <v>0.26933199341597602</v>
      </c>
      <c r="D3729" s="4">
        <v>0.438070109772973</v>
      </c>
      <c r="E3729" s="3" t="s">
        <v>12215</v>
      </c>
      <c r="F3729" s="3" t="s">
        <v>12216</v>
      </c>
      <c r="G3729" s="3">
        <v>52150</v>
      </c>
      <c r="H3729" s="7" t="str">
        <f>HYPERLINK("http://www.ensembl.org/Mus_musculus/Gene/Summary?db=core;g=ENSMUSG00000046410","ENSMUSG00000046410")</f>
        <v>ENSMUSG00000046410</v>
      </c>
      <c r="I3729" s="7" t="str">
        <f>HYPERLINK("http://www.informatics.jax.org/marker/MGI:1891291","MGI:1891291")</f>
        <v>MGI:1891291</v>
      </c>
      <c r="J3729" s="4" t="s">
        <v>12</v>
      </c>
    </row>
    <row r="3730" spans="1:10" x14ac:dyDescent="0.25">
      <c r="A3730" s="2">
        <v>2147.8313966268302</v>
      </c>
      <c r="B3730" s="3">
        <v>-9.2784889110033103E-2</v>
      </c>
      <c r="C3730" s="3">
        <v>0.100855441707651</v>
      </c>
      <c r="D3730" s="4">
        <v>0.20496101975043801</v>
      </c>
      <c r="E3730" s="3" t="s">
        <v>11605</v>
      </c>
      <c r="F3730" s="3" t="s">
        <v>11606</v>
      </c>
      <c r="G3730" s="3">
        <v>105722</v>
      </c>
      <c r="H3730" s="7" t="str">
        <f>HYPERLINK("http://www.ensembl.org/Mus_musculus/Gene/Summary?db=core;g=ENSMUSG00000064210","ENSMUSG00000064210")</f>
        <v>ENSMUSG00000064210</v>
      </c>
      <c r="I3730" s="7" t="str">
        <f>HYPERLINK("http://www.informatics.jax.org/marker/MGI:2145890","MGI:2145890")</f>
        <v>MGI:2145890</v>
      </c>
      <c r="J3730" s="4" t="s">
        <v>12</v>
      </c>
    </row>
    <row r="3731" spans="1:10" x14ac:dyDescent="0.25">
      <c r="A3731" s="2">
        <v>1563.8657383126999</v>
      </c>
      <c r="B3731" s="3">
        <v>-9.2995359002134098E-2</v>
      </c>
      <c r="C3731" s="3">
        <v>5.8101874440216701E-2</v>
      </c>
      <c r="D3731" s="4">
        <v>0.12956156388999801</v>
      </c>
      <c r="E3731" s="3" t="s">
        <v>11257</v>
      </c>
      <c r="F3731" s="3" t="s">
        <v>11258</v>
      </c>
      <c r="G3731" s="3">
        <v>52690</v>
      </c>
      <c r="H3731" s="7" t="str">
        <f>HYPERLINK("http://www.ensembl.org/Mus_musculus/Gene/Summary?db=core;g=ENSMUSG00000056770","ENSMUSG00000056770")</f>
        <v>ENSMUSG00000056770</v>
      </c>
      <c r="I3731" s="7" t="str">
        <f>HYPERLINK("http://www.informatics.jax.org/marker/MGI:1289184","MGI:1289184")</f>
        <v>MGI:1289184</v>
      </c>
      <c r="J3731" s="4" t="s">
        <v>12</v>
      </c>
    </row>
    <row r="3732" spans="1:10" x14ac:dyDescent="0.25">
      <c r="A3732" s="2">
        <v>1043.6995693189499</v>
      </c>
      <c r="B3732" s="3">
        <v>-9.3014500551521606E-2</v>
      </c>
      <c r="C3732" s="3">
        <v>0.52743262774834199</v>
      </c>
      <c r="D3732" s="4">
        <v>0.69558923783633997</v>
      </c>
      <c r="E3732" s="3" t="s">
        <v>11861</v>
      </c>
      <c r="F3732" s="3" t="s">
        <v>11862</v>
      </c>
      <c r="G3732" s="3">
        <v>14129</v>
      </c>
      <c r="H3732" s="7" t="str">
        <f>HYPERLINK("http://www.ensembl.org/Mus_musculus/Gene/Summary?db=core;g=ENSMUSG00000015947","ENSMUSG00000015947")</f>
        <v>ENSMUSG00000015947</v>
      </c>
      <c r="I3732" s="7" t="str">
        <f>HYPERLINK("http://www.informatics.jax.org/marker/MGI:95498","MGI:95498")</f>
        <v>MGI:95498</v>
      </c>
      <c r="J3732" s="4" t="s">
        <v>12</v>
      </c>
    </row>
    <row r="3733" spans="1:10" x14ac:dyDescent="0.25">
      <c r="A3733" s="2">
        <v>199.633005832896</v>
      </c>
      <c r="B3733" s="3">
        <v>-9.36308509081306E-2</v>
      </c>
      <c r="C3733" s="3">
        <v>0.404167335938732</v>
      </c>
      <c r="D3733" s="4">
        <v>0.58251875820351096</v>
      </c>
      <c r="E3733" s="3" t="s">
        <v>13353</v>
      </c>
      <c r="F3733" s="3" t="s">
        <v>13354</v>
      </c>
      <c r="G3733" s="3">
        <v>75894</v>
      </c>
      <c r="H3733" s="7" t="str">
        <f>HYPERLINK("http://www.ensembl.org/Mus_musculus/Gene/Summary?db=core;g=ENSMUSG00000027259","ENSMUSG00000027259")</f>
        <v>ENSMUSG00000027259</v>
      </c>
      <c r="I3733" s="7" t="str">
        <f>HYPERLINK("http://www.informatics.jax.org/marker/MGI:1923144","MGI:1923144")</f>
        <v>MGI:1923144</v>
      </c>
      <c r="J3733" s="4" t="s">
        <v>12</v>
      </c>
    </row>
    <row r="3734" spans="1:10" x14ac:dyDescent="0.25">
      <c r="A3734" s="2">
        <v>634.41479971436502</v>
      </c>
      <c r="B3734" s="3">
        <v>-9.4462751670165407E-2</v>
      </c>
      <c r="C3734" s="3">
        <v>0.100848489048111</v>
      </c>
      <c r="D3734" s="4">
        <v>0.20496101975043801</v>
      </c>
      <c r="E3734" s="3" t="s">
        <v>9603</v>
      </c>
      <c r="F3734" s="3" t="s">
        <v>9604</v>
      </c>
      <c r="G3734" s="3">
        <v>99889</v>
      </c>
      <c r="H3734" s="7" t="str">
        <f>HYPERLINK("http://www.ensembl.org/Mus_musculus/Gene/Summary?db=core;g=ENSMUSG00000102805","ENSMUSG00000102805")</f>
        <v>ENSMUSG00000102805</v>
      </c>
      <c r="I3734" s="7" t="str">
        <f>HYPERLINK("http://www.informatics.jax.org/marker/MGI:5610468","MGI:5610468")</f>
        <v>MGI:5610468</v>
      </c>
      <c r="J3734" s="4" t="s">
        <v>12</v>
      </c>
    </row>
    <row r="3735" spans="1:10" x14ac:dyDescent="0.25">
      <c r="A3735" s="2">
        <v>1.39001616948027</v>
      </c>
      <c r="B3735" s="3">
        <v>-9.4495495816486599E-2</v>
      </c>
      <c r="C3735" s="3">
        <v>0.83077692736916398</v>
      </c>
      <c r="D3735" s="4">
        <v>0.90794498921008104</v>
      </c>
      <c r="E3735" s="3" t="s">
        <v>14025</v>
      </c>
      <c r="F3735" s="3" t="s">
        <v>14026</v>
      </c>
      <c r="G3735" s="3">
        <v>620078</v>
      </c>
      <c r="H3735" s="7" t="str">
        <f>HYPERLINK("http://www.ensembl.org/Mus_musculus/Gene/Summary?db=core;g=ENSMUSG00000052477","ENSMUSG00000052477")</f>
        <v>ENSMUSG00000052477</v>
      </c>
      <c r="I3735" s="7" t="str">
        <f>HYPERLINK("http://www.informatics.jax.org/marker/MGI:3612702","MGI:3612702")</f>
        <v>MGI:3612702</v>
      </c>
      <c r="J3735" s="4" t="s">
        <v>12</v>
      </c>
    </row>
    <row r="3736" spans="1:10" x14ac:dyDescent="0.25">
      <c r="A3736" s="2">
        <v>1475.6307904858299</v>
      </c>
      <c r="B3736" s="3">
        <v>-9.4520242827474996E-2</v>
      </c>
      <c r="C3736" s="3">
        <v>0.26564712916387501</v>
      </c>
      <c r="D3736" s="4">
        <v>0.43417271570368099</v>
      </c>
      <c r="E3736" s="3" t="s">
        <v>8225</v>
      </c>
      <c r="F3736" s="3" t="s">
        <v>8226</v>
      </c>
      <c r="G3736" s="3">
        <v>18029</v>
      </c>
      <c r="H3736" s="7" t="str">
        <f>HYPERLINK("http://www.ensembl.org/Mus_musculus/Gene/Summary?db=core;g=ENSMUSG00000055053","ENSMUSG00000055053")</f>
        <v>ENSMUSG00000055053</v>
      </c>
      <c r="I3736" s="7" t="str">
        <f>HYPERLINK("http://www.informatics.jax.org/marker/MGI:109591","MGI:109591")</f>
        <v>MGI:109591</v>
      </c>
      <c r="J3736" s="4" t="s">
        <v>12</v>
      </c>
    </row>
    <row r="3737" spans="1:10" x14ac:dyDescent="0.25">
      <c r="A3737" s="2">
        <v>952.20317623287303</v>
      </c>
      <c r="B3737" s="3">
        <v>-9.4608711529440406E-2</v>
      </c>
      <c r="C3737" s="3">
        <v>0.234035199887909</v>
      </c>
      <c r="D3737" s="4">
        <v>0.395153929771831</v>
      </c>
      <c r="E3737" s="3" t="s">
        <v>9003</v>
      </c>
      <c r="F3737" s="3" t="s">
        <v>9004</v>
      </c>
      <c r="G3737" s="3">
        <v>17966</v>
      </c>
      <c r="H3737" s="7" t="str">
        <f>HYPERLINK("http://www.ensembl.org/Mus_musculus/Gene/Summary?db=core;g=ENSMUSG00000017119","ENSMUSG00000017119")</f>
        <v>ENSMUSG00000017119</v>
      </c>
      <c r="I3737" s="7" t="str">
        <f>HYPERLINK("http://www.informatics.jax.org/marker/MGI:108498","MGI:108498")</f>
        <v>MGI:108498</v>
      </c>
      <c r="J3737" s="4" t="s">
        <v>12</v>
      </c>
    </row>
    <row r="3738" spans="1:10" x14ac:dyDescent="0.25">
      <c r="A3738" s="2">
        <v>1044.85860403163</v>
      </c>
      <c r="B3738" s="3">
        <v>-9.4792360712380896E-2</v>
      </c>
      <c r="C3738" s="3">
        <v>8.5499827784893706E-2</v>
      </c>
      <c r="D3738" s="4">
        <v>0.17886069345496899</v>
      </c>
      <c r="E3738" s="3" t="s">
        <v>11239</v>
      </c>
      <c r="F3738" s="3" t="s">
        <v>11240</v>
      </c>
      <c r="G3738" s="3">
        <v>76719</v>
      </c>
      <c r="H3738" s="7" t="str">
        <f>HYPERLINK("http://www.ensembl.org/Mus_musculus/Gene/Summary?db=core;g=ENSMUSG00000018412","ENSMUSG00000018412")</f>
        <v>ENSMUSG00000018412</v>
      </c>
      <c r="I3738" s="7" t="str">
        <f>HYPERLINK("http://www.informatics.jax.org/marker/MGI:1923969","MGI:1923969")</f>
        <v>MGI:1923969</v>
      </c>
      <c r="J3738" s="4" t="s">
        <v>12</v>
      </c>
    </row>
    <row r="3739" spans="1:10" x14ac:dyDescent="0.25">
      <c r="A3739" s="2">
        <v>12.4478504245591</v>
      </c>
      <c r="B3739" s="3">
        <v>-9.4948465501714902E-2</v>
      </c>
      <c r="C3739" s="3">
        <v>0.75568481600255999</v>
      </c>
      <c r="D3739" s="4">
        <v>0.86379552004808402</v>
      </c>
      <c r="E3739" s="3" t="s">
        <v>12927</v>
      </c>
      <c r="F3739" s="3" t="s">
        <v>12928</v>
      </c>
      <c r="G3739" s="3" t="s">
        <v>83</v>
      </c>
      <c r="H3739" s="7" t="str">
        <f>HYPERLINK("http://www.ensembl.org/Mus_musculus/Gene/Summary?db=core;g=ENSMUSG00000093677","ENSMUSG00000093677")</f>
        <v>ENSMUSG00000093677</v>
      </c>
      <c r="I3739" s="7" t="str">
        <f>HYPERLINK("http://www.informatics.jax.org/marker/MGI:5313159","MGI:5313159")</f>
        <v>MGI:5313159</v>
      </c>
      <c r="J3739" s="4" t="s">
        <v>7950</v>
      </c>
    </row>
    <row r="3740" spans="1:10" x14ac:dyDescent="0.25">
      <c r="A3740" s="2">
        <v>1607.18850200316</v>
      </c>
      <c r="B3740" s="3">
        <v>-9.5622645146172497E-2</v>
      </c>
      <c r="C3740" s="3">
        <v>6.3842973321786206E-2</v>
      </c>
      <c r="D3740" s="4">
        <v>0.13996609993859699</v>
      </c>
      <c r="E3740" s="3" t="s">
        <v>13467</v>
      </c>
      <c r="F3740" s="3" t="s">
        <v>13468</v>
      </c>
      <c r="G3740" s="3">
        <v>72634</v>
      </c>
      <c r="H3740" s="7" t="str">
        <f>HYPERLINK("http://www.ensembl.org/Mus_musculus/Gene/Summary?db=core;g=ENSMUSG00000041912","ENSMUSG00000041912")</f>
        <v>ENSMUSG00000041912</v>
      </c>
      <c r="I3740" s="7" t="str">
        <f>HYPERLINK("http://www.informatics.jax.org/marker/MGI:1919884","MGI:1919884")</f>
        <v>MGI:1919884</v>
      </c>
      <c r="J3740" s="4" t="s">
        <v>12</v>
      </c>
    </row>
    <row r="3741" spans="1:10" x14ac:dyDescent="0.25">
      <c r="A3741" s="2">
        <v>1235.0253282773201</v>
      </c>
      <c r="B3741" s="3">
        <v>-9.5670653628055602E-2</v>
      </c>
      <c r="C3741" s="3">
        <v>0.51772991465321105</v>
      </c>
      <c r="D3741" s="4">
        <v>0.68833000397977595</v>
      </c>
      <c r="E3741" s="3" t="s">
        <v>11381</v>
      </c>
      <c r="F3741" s="3" t="s">
        <v>11382</v>
      </c>
      <c r="G3741" s="3">
        <v>64009</v>
      </c>
      <c r="H3741" s="7" t="str">
        <f>HYPERLINK("http://www.ensembl.org/Mus_musculus/Gene/Summary?db=core;g=ENSMUSG00000096054","ENSMUSG00000096054")</f>
        <v>ENSMUSG00000096054</v>
      </c>
      <c r="I3741" s="7" t="str">
        <f>HYPERLINK("http://www.informatics.jax.org/marker/MGI:1927152","MGI:1927152")</f>
        <v>MGI:1927152</v>
      </c>
      <c r="J3741" s="4" t="s">
        <v>12</v>
      </c>
    </row>
    <row r="3742" spans="1:10" x14ac:dyDescent="0.25">
      <c r="A3742" s="2">
        <v>958.62533724721902</v>
      </c>
      <c r="B3742" s="3">
        <v>-9.5677501019742206E-2</v>
      </c>
      <c r="C3742" s="3">
        <v>0.21902648060202201</v>
      </c>
      <c r="D3742" s="4">
        <v>0.376048762032204</v>
      </c>
      <c r="E3742" s="3" t="s">
        <v>10170</v>
      </c>
      <c r="F3742" s="3" t="s">
        <v>10171</v>
      </c>
      <c r="G3742" s="3">
        <v>192678</v>
      </c>
      <c r="H3742" s="7" t="str">
        <f>HYPERLINK("http://www.ensembl.org/Mus_musculus/Gene/Summary?db=core;g=ENSMUSG00000025795","ENSMUSG00000025795")</f>
        <v>ENSMUSG00000025795</v>
      </c>
      <c r="I3742" s="7" t="str">
        <f>HYPERLINK("http://www.informatics.jax.org/marker/MGI:2179722","MGI:2179722")</f>
        <v>MGI:2179722</v>
      </c>
      <c r="J3742" s="4" t="s">
        <v>12</v>
      </c>
    </row>
    <row r="3743" spans="1:10" x14ac:dyDescent="0.25">
      <c r="A3743" s="2">
        <v>4046.4739451229302</v>
      </c>
      <c r="B3743" s="3">
        <v>-9.5918651351418499E-2</v>
      </c>
      <c r="C3743" s="3">
        <v>1.4833275955138499E-2</v>
      </c>
      <c r="D3743" s="4">
        <v>3.9837379057235403E-2</v>
      </c>
      <c r="E3743" s="3" t="s">
        <v>13685</v>
      </c>
      <c r="F3743" s="3" t="s">
        <v>13686</v>
      </c>
      <c r="G3743" s="3">
        <v>14873</v>
      </c>
      <c r="H3743" s="7" t="str">
        <f>HYPERLINK("http://www.ensembl.org/Mus_musculus/Gene/Summary?db=core;g=ENSMUSG00000025068","ENSMUSG00000025068")</f>
        <v>ENSMUSG00000025068</v>
      </c>
      <c r="I3743" s="7" t="str">
        <f>HYPERLINK("http://www.informatics.jax.org/marker/MGI:1342273","MGI:1342273")</f>
        <v>MGI:1342273</v>
      </c>
      <c r="J3743" s="4" t="s">
        <v>12</v>
      </c>
    </row>
    <row r="3744" spans="1:10" x14ac:dyDescent="0.25">
      <c r="A3744" s="2">
        <v>1312.26461287693</v>
      </c>
      <c r="B3744" s="3">
        <v>-9.6146859863277395E-2</v>
      </c>
      <c r="C3744" s="3">
        <v>5.4613194083792102E-2</v>
      </c>
      <c r="D3744" s="4">
        <v>0.122970776152349</v>
      </c>
      <c r="E3744" s="3" t="s">
        <v>9039</v>
      </c>
      <c r="F3744" s="3" t="s">
        <v>9040</v>
      </c>
      <c r="G3744" s="3">
        <v>68183</v>
      </c>
      <c r="H3744" s="7" t="str">
        <f>HYPERLINK("http://www.ensembl.org/Mus_musculus/Gene/Summary?db=core;g=ENSMUSG00000005687","ENSMUSG00000005687")</f>
        <v>ENSMUSG00000005687</v>
      </c>
      <c r="I3744" s="7" t="str">
        <f>HYPERLINK("http://www.informatics.jax.org/marker/MGI:1915433","MGI:1915433")</f>
        <v>MGI:1915433</v>
      </c>
      <c r="J3744" s="4" t="s">
        <v>12</v>
      </c>
    </row>
    <row r="3745" spans="1:10" x14ac:dyDescent="0.25">
      <c r="A3745" s="2">
        <v>7055.2691293807302</v>
      </c>
      <c r="B3745" s="3">
        <v>-9.6183493149732499E-2</v>
      </c>
      <c r="C3745" s="3">
        <v>2.5407260563025901E-2</v>
      </c>
      <c r="D3745" s="4">
        <v>6.3640368851174606E-2</v>
      </c>
      <c r="E3745" s="3" t="s">
        <v>12685</v>
      </c>
      <c r="F3745" s="3" t="s">
        <v>12686</v>
      </c>
      <c r="G3745" s="3">
        <v>66945</v>
      </c>
      <c r="H3745" s="7" t="str">
        <f>HYPERLINK("http://www.ensembl.org/Mus_musculus/Gene/Summary?db=core;g=ENSMUSG00000021577","ENSMUSG00000021577")</f>
        <v>ENSMUSG00000021577</v>
      </c>
      <c r="I3745" s="7" t="str">
        <f>HYPERLINK("http://www.informatics.jax.org/marker/MGI:1914195","MGI:1914195")</f>
        <v>MGI:1914195</v>
      </c>
      <c r="J3745" s="4" t="s">
        <v>12</v>
      </c>
    </row>
    <row r="3746" spans="1:10" x14ac:dyDescent="0.25">
      <c r="A3746" s="2">
        <v>200.67611119673899</v>
      </c>
      <c r="B3746" s="3">
        <v>-9.6255671712148896E-2</v>
      </c>
      <c r="C3746" s="3">
        <v>0.40707508709055501</v>
      </c>
      <c r="D3746" s="4">
        <v>0.58509017840893995</v>
      </c>
      <c r="E3746" s="3" t="s">
        <v>13135</v>
      </c>
      <c r="F3746" s="3" t="s">
        <v>13136</v>
      </c>
      <c r="G3746" s="3">
        <v>69228</v>
      </c>
      <c r="H3746" s="7" t="str">
        <f>HYPERLINK("http://www.ensembl.org/Mus_musculus/Gene/Summary?db=core;g=ENSMUSG00000057691","ENSMUSG00000057691")</f>
        <v>ENSMUSG00000057691</v>
      </c>
      <c r="I3746" s="7" t="str">
        <f>HYPERLINK("http://www.informatics.jax.org/marker/MGI:1916478","MGI:1916478")</f>
        <v>MGI:1916478</v>
      </c>
      <c r="J3746" s="4" t="s">
        <v>12</v>
      </c>
    </row>
    <row r="3747" spans="1:10" x14ac:dyDescent="0.25">
      <c r="A3747" s="2">
        <v>5346.2970255763003</v>
      </c>
      <c r="B3747" s="3">
        <v>-9.6679801222999295E-2</v>
      </c>
      <c r="C3747" s="3">
        <v>7.35581315057761E-2</v>
      </c>
      <c r="D3747" s="4">
        <v>0.157772972424711</v>
      </c>
      <c r="E3747" s="3" t="s">
        <v>12279</v>
      </c>
      <c r="F3747" s="3" t="s">
        <v>12280</v>
      </c>
      <c r="G3747" s="3">
        <v>14228</v>
      </c>
      <c r="H3747" s="7" t="str">
        <f>HYPERLINK("http://www.ensembl.org/Mus_musculus/Gene/Summary?db=core;g=ENSMUSG00000030357","ENSMUSG00000030357")</f>
        <v>ENSMUSG00000030357</v>
      </c>
      <c r="I3747" s="7" t="str">
        <f>HYPERLINK("http://www.informatics.jax.org/marker/MGI:95543","MGI:95543")</f>
        <v>MGI:95543</v>
      </c>
      <c r="J3747" s="4" t="s">
        <v>12</v>
      </c>
    </row>
    <row r="3748" spans="1:10" x14ac:dyDescent="0.25">
      <c r="A3748" s="2">
        <v>59.583430990120398</v>
      </c>
      <c r="B3748" s="3">
        <v>-9.71843190834044E-2</v>
      </c>
      <c r="C3748" s="3">
        <v>0.51475319882132797</v>
      </c>
      <c r="D3748" s="4">
        <v>0.68585177445937495</v>
      </c>
      <c r="E3748" s="3" t="s">
        <v>12665</v>
      </c>
      <c r="F3748" s="3" t="s">
        <v>12666</v>
      </c>
      <c r="G3748" s="3">
        <v>70348</v>
      </c>
      <c r="H3748" s="7" t="str">
        <f>HYPERLINK("http://www.ensembl.org/Mus_musculus/Gene/Summary?db=core;g=ENSMUSG00000032415","ENSMUSG00000032415")</f>
        <v>ENSMUSG00000032415</v>
      </c>
      <c r="I3748" s="7" t="str">
        <f>HYPERLINK("http://www.informatics.jax.org/marker/MGI:1917598","MGI:1917598")</f>
        <v>MGI:1917598</v>
      </c>
      <c r="J3748" s="4" t="s">
        <v>12</v>
      </c>
    </row>
    <row r="3749" spans="1:10" x14ac:dyDescent="0.25">
      <c r="A3749" s="2">
        <v>305.32649636122801</v>
      </c>
      <c r="B3749" s="3">
        <v>-9.74583328444701E-2</v>
      </c>
      <c r="C3749" s="3">
        <v>0.33399949705820597</v>
      </c>
      <c r="D3749" s="4">
        <v>0.51182551365389795</v>
      </c>
      <c r="E3749" s="3" t="s">
        <v>8821</v>
      </c>
      <c r="F3749" s="3" t="s">
        <v>8822</v>
      </c>
      <c r="G3749" s="3">
        <v>433586</v>
      </c>
      <c r="H3749" s="7" t="str">
        <f>HYPERLINK("http://www.ensembl.org/Mus_musculus/Gene/Summary?db=core;g=ENSMUSG00000061143","ENSMUSG00000061143")</f>
        <v>ENSMUSG00000061143</v>
      </c>
      <c r="I3749" s="7" t="str">
        <f>HYPERLINK("http://www.informatics.jax.org/marker/MGI:2389461","MGI:2389461")</f>
        <v>MGI:2389461</v>
      </c>
      <c r="J3749" s="4" t="s">
        <v>12</v>
      </c>
    </row>
    <row r="3750" spans="1:10" x14ac:dyDescent="0.25">
      <c r="A3750" s="2">
        <v>1302.94705715758</v>
      </c>
      <c r="B3750" s="3">
        <v>-9.8136248769552001E-2</v>
      </c>
      <c r="C3750" s="3">
        <v>6.4009780509186903E-2</v>
      </c>
      <c r="D3750" s="4">
        <v>0.140298045674075</v>
      </c>
      <c r="E3750" s="3" t="s">
        <v>10144</v>
      </c>
      <c r="F3750" s="3" t="s">
        <v>10145</v>
      </c>
      <c r="G3750" s="3">
        <v>71952</v>
      </c>
      <c r="H3750" s="7" t="str">
        <f>HYPERLINK("http://www.ensembl.org/Mus_musculus/Gene/Summary?db=core;g=ENSMUSG00000046791","ENSMUSG00000046791")</f>
        <v>ENSMUSG00000046791</v>
      </c>
      <c r="I3750" s="7" t="str">
        <f>HYPERLINK("http://www.informatics.jax.org/marker/MGI:1919202","MGI:1919202")</f>
        <v>MGI:1919202</v>
      </c>
      <c r="J3750" s="4" t="s">
        <v>12</v>
      </c>
    </row>
    <row r="3751" spans="1:10" x14ac:dyDescent="0.25">
      <c r="A3751" s="2">
        <v>355.621608933728</v>
      </c>
      <c r="B3751" s="3">
        <v>-0.100251068727787</v>
      </c>
      <c r="C3751" s="3">
        <v>0.15937727317287101</v>
      </c>
      <c r="D3751" s="4">
        <v>0.29566885215549399</v>
      </c>
      <c r="E3751" s="3" t="s">
        <v>12217</v>
      </c>
      <c r="F3751" s="3" t="s">
        <v>12218</v>
      </c>
      <c r="G3751" s="3">
        <v>217201</v>
      </c>
      <c r="H3751" s="7" t="str">
        <f>HYPERLINK("http://www.ensembl.org/Mus_musculus/Gene/Summary?db=core;g=ENSMUSG00000035007","ENSMUSG00000035007")</f>
        <v>ENSMUSG00000035007</v>
      </c>
      <c r="I3751" s="7" t="str">
        <f>HYPERLINK("http://www.informatics.jax.org/marker/MGI:2144506","MGI:2144506")</f>
        <v>MGI:2144506</v>
      </c>
      <c r="J3751" s="4" t="s">
        <v>12</v>
      </c>
    </row>
    <row r="3752" spans="1:10" x14ac:dyDescent="0.25">
      <c r="A3752" s="2">
        <v>2132.4231567771899</v>
      </c>
      <c r="B3752" s="3">
        <v>-0.10083301078889401</v>
      </c>
      <c r="C3752" s="3">
        <v>6.8822694415099903E-2</v>
      </c>
      <c r="D3752" s="4">
        <v>0.14923183887152799</v>
      </c>
      <c r="E3752" s="3" t="s">
        <v>12151</v>
      </c>
      <c r="F3752" s="3" t="s">
        <v>12152</v>
      </c>
      <c r="G3752" s="3">
        <v>229363</v>
      </c>
      <c r="H3752" s="7" t="str">
        <f>HYPERLINK("http://www.ensembl.org/Mus_musculus/Gene/Summary?db=core;g=ENSMUSG00000027823","ENSMUSG00000027823")</f>
        <v>ENSMUSG00000027823</v>
      </c>
      <c r="I3752" s="7" t="str">
        <f>HYPERLINK("http://www.informatics.jax.org/marker/MGI:2448526","MGI:2448526")</f>
        <v>MGI:2448526</v>
      </c>
      <c r="J3752" s="4" t="s">
        <v>12</v>
      </c>
    </row>
    <row r="3753" spans="1:10" x14ac:dyDescent="0.25">
      <c r="A3753" s="2">
        <v>1472.5866042554701</v>
      </c>
      <c r="B3753" s="3">
        <v>-0.10125104481795</v>
      </c>
      <c r="C3753" s="3">
        <v>1.26860473537921E-2</v>
      </c>
      <c r="D3753" s="4">
        <v>3.4626677673714003E-2</v>
      </c>
      <c r="E3753" s="3" t="s">
        <v>9391</v>
      </c>
      <c r="F3753" s="3" t="s">
        <v>9392</v>
      </c>
      <c r="G3753" s="3">
        <v>26926</v>
      </c>
      <c r="H3753" s="7" t="str">
        <f>HYPERLINK("http://www.ensembl.org/Mus_musculus/Gene/Summary?db=core;g=ENSMUSG00000036932","ENSMUSG00000036932")</f>
        <v>ENSMUSG00000036932</v>
      </c>
      <c r="I3753" s="7" t="str">
        <f>HYPERLINK("http://www.informatics.jax.org/marker/MGI:1349419","MGI:1349419")</f>
        <v>MGI:1349419</v>
      </c>
      <c r="J3753" s="4" t="s">
        <v>12</v>
      </c>
    </row>
    <row r="3754" spans="1:10" x14ac:dyDescent="0.25">
      <c r="A3754" s="2">
        <v>4157.6171492486001</v>
      </c>
      <c r="B3754" s="3">
        <v>-0.10128242004945701</v>
      </c>
      <c r="C3754" s="3">
        <v>2.0867799942679999E-2</v>
      </c>
      <c r="D3754" s="4">
        <v>5.3523561727739699E-2</v>
      </c>
      <c r="E3754" s="3" t="s">
        <v>5521</v>
      </c>
      <c r="F3754" s="3" t="s">
        <v>5522</v>
      </c>
      <c r="G3754" s="3">
        <v>19646</v>
      </c>
      <c r="H3754" s="7" t="str">
        <f>HYPERLINK("http://www.ensembl.org/Mus_musculus/Gene/Summary?db=core;g=ENSMUSG00000057236","ENSMUSG00000057236")</f>
        <v>ENSMUSG00000057236</v>
      </c>
      <c r="I3754" s="7" t="str">
        <f>HYPERLINK("http://www.informatics.jax.org/marker/MGI:1194912","MGI:1194912")</f>
        <v>MGI:1194912</v>
      </c>
      <c r="J3754" s="4" t="s">
        <v>12</v>
      </c>
    </row>
    <row r="3755" spans="1:10" x14ac:dyDescent="0.25">
      <c r="A3755" s="2">
        <v>2120.5846142343698</v>
      </c>
      <c r="B3755" s="3">
        <v>-0.10198591995649001</v>
      </c>
      <c r="C3755" s="3">
        <v>0.15272993162679699</v>
      </c>
      <c r="D3755" s="4">
        <v>0.28565318238700499</v>
      </c>
      <c r="E3755" s="3" t="s">
        <v>11361</v>
      </c>
      <c r="F3755" s="3" t="s">
        <v>11362</v>
      </c>
      <c r="G3755" s="3">
        <v>68539</v>
      </c>
      <c r="H3755" s="7" t="str">
        <f>HYPERLINK("http://www.ensembl.org/Mus_musculus/Gene/Summary?db=core;g=ENSMUSG00000034659","ENSMUSG00000034659")</f>
        <v>ENSMUSG00000034659</v>
      </c>
      <c r="I3755" s="7" t="str">
        <f>HYPERLINK("http://www.informatics.jax.org/marker/MGI:1915789","MGI:1915789")</f>
        <v>MGI:1915789</v>
      </c>
      <c r="J3755" s="4" t="s">
        <v>12</v>
      </c>
    </row>
    <row r="3756" spans="1:10" x14ac:dyDescent="0.25">
      <c r="A3756" s="2">
        <v>1812.9835976822201</v>
      </c>
      <c r="B3756" s="3">
        <v>-0.102109429860128</v>
      </c>
      <c r="C3756" s="3">
        <v>6.2046311305897002E-2</v>
      </c>
      <c r="D3756" s="4">
        <v>0.13678408413571699</v>
      </c>
      <c r="E3756" s="3" t="s">
        <v>5599</v>
      </c>
      <c r="F3756" s="3" t="s">
        <v>5600</v>
      </c>
      <c r="G3756" s="3">
        <v>239667</v>
      </c>
      <c r="H3756" s="7" t="str">
        <f>HYPERLINK("http://www.ensembl.org/Mus_musculus/Gene/Summary?db=core;g=ENSMUSG00000023026","ENSMUSG00000023026")</f>
        <v>ENSMUSG00000023026</v>
      </c>
      <c r="I3756" s="7" t="str">
        <f>HYPERLINK("http://www.informatics.jax.org/marker/MGI:2145977","MGI:2145977")</f>
        <v>MGI:2145977</v>
      </c>
      <c r="J3756" s="4" t="s">
        <v>12</v>
      </c>
    </row>
    <row r="3757" spans="1:10" x14ac:dyDescent="0.25">
      <c r="A3757" s="2">
        <v>654.95015443097304</v>
      </c>
      <c r="B3757" s="3">
        <v>-0.102616206417389</v>
      </c>
      <c r="C3757" s="3">
        <v>0.10722132964969699</v>
      </c>
      <c r="D3757" s="4">
        <v>0.21537625183133699</v>
      </c>
      <c r="E3757" s="3" t="s">
        <v>12987</v>
      </c>
      <c r="F3757" s="3" t="s">
        <v>12988</v>
      </c>
      <c r="G3757" s="3">
        <v>15461</v>
      </c>
      <c r="H3757" s="7" t="str">
        <f>HYPERLINK("http://www.ensembl.org/Mus_musculus/Gene/Summary?db=core;g=ENSMUSG00000025499","ENSMUSG00000025499")</f>
        <v>ENSMUSG00000025499</v>
      </c>
      <c r="I3757" s="7" t="str">
        <f>HYPERLINK("http://www.informatics.jax.org/marker/MGI:96224","MGI:96224")</f>
        <v>MGI:96224</v>
      </c>
      <c r="J3757" s="4" t="s">
        <v>12</v>
      </c>
    </row>
    <row r="3758" spans="1:10" x14ac:dyDescent="0.25">
      <c r="A3758" s="2">
        <v>789.74975196864705</v>
      </c>
      <c r="B3758" s="3">
        <v>-0.102863087170285</v>
      </c>
      <c r="C3758" s="3">
        <v>2.6012953865330601E-2</v>
      </c>
      <c r="D3758" s="4">
        <v>6.4952196766084505E-2</v>
      </c>
      <c r="E3758" s="3" t="s">
        <v>13613</v>
      </c>
      <c r="F3758" s="3" t="s">
        <v>13614</v>
      </c>
      <c r="G3758" s="3">
        <v>103784</v>
      </c>
      <c r="H3758" s="7" t="str">
        <f>HYPERLINK("http://www.ensembl.org/Mus_musculus/Gene/Summary?db=core;g=ENSMUSG00000078970","ENSMUSG00000078970")</f>
        <v>ENSMUSG00000078970</v>
      </c>
      <c r="I3758" s="7" t="str">
        <f>HYPERLINK("http://www.informatics.jax.org/marker/MGI:2144224","MGI:2144224")</f>
        <v>MGI:2144224</v>
      </c>
      <c r="J3758" s="4" t="s">
        <v>12</v>
      </c>
    </row>
    <row r="3759" spans="1:10" x14ac:dyDescent="0.25">
      <c r="A3759" s="2">
        <v>788.80785551034603</v>
      </c>
      <c r="B3759" s="3">
        <v>-0.102926472498446</v>
      </c>
      <c r="C3759" s="3">
        <v>5.7295792744939698E-2</v>
      </c>
      <c r="D3759" s="4">
        <v>0.12807749574101901</v>
      </c>
      <c r="E3759" s="3" t="s">
        <v>11201</v>
      </c>
      <c r="F3759" s="3" t="s">
        <v>11202</v>
      </c>
      <c r="G3759" s="3">
        <v>75425</v>
      </c>
      <c r="H3759" s="7" t="str">
        <f>HYPERLINK("http://www.ensembl.org/Mus_musculus/Gene/Summary?db=core;g=ENSMUSG00000027650","ENSMUSG00000027650")</f>
        <v>ENSMUSG00000027650</v>
      </c>
      <c r="I3759" s="7" t="str">
        <f>HYPERLINK("http://www.informatics.jax.org/marker/MGI:1922675","MGI:1922675")</f>
        <v>MGI:1922675</v>
      </c>
      <c r="J3759" s="4" t="s">
        <v>12</v>
      </c>
    </row>
    <row r="3760" spans="1:10" x14ac:dyDescent="0.25">
      <c r="A3760" s="2">
        <v>372.163540210424</v>
      </c>
      <c r="B3760" s="3">
        <v>-0.10322913696247001</v>
      </c>
      <c r="C3760" s="3">
        <v>0.15900700930897399</v>
      </c>
      <c r="D3760" s="4">
        <v>0.29516242153250599</v>
      </c>
      <c r="E3760" s="3" t="s">
        <v>11113</v>
      </c>
      <c r="F3760" s="3" t="s">
        <v>11114</v>
      </c>
      <c r="G3760" s="3">
        <v>73692</v>
      </c>
      <c r="H3760" s="7" t="str">
        <f>HYPERLINK("http://www.ensembl.org/Mus_musculus/Gene/Summary?db=core;g=ENSMUSG00000039801","ENSMUSG00000039801")</f>
        <v>ENSMUSG00000039801</v>
      </c>
      <c r="I3760" s="7" t="str">
        <f>HYPERLINK("http://www.informatics.jax.org/marker/MGI:1920942","MGI:1920942")</f>
        <v>MGI:1920942</v>
      </c>
      <c r="J3760" s="4" t="s">
        <v>12</v>
      </c>
    </row>
    <row r="3761" spans="1:10" x14ac:dyDescent="0.25">
      <c r="A3761" s="2">
        <v>58.994799277091502</v>
      </c>
      <c r="B3761" s="3">
        <v>-0.103430310850756</v>
      </c>
      <c r="C3761" s="3">
        <v>0.62179738671930496</v>
      </c>
      <c r="D3761" s="4">
        <v>0.77274172335215396</v>
      </c>
      <c r="E3761" s="3" t="s">
        <v>9745</v>
      </c>
      <c r="F3761" s="3" t="s">
        <v>9746</v>
      </c>
      <c r="G3761" s="3">
        <v>329795</v>
      </c>
      <c r="H3761" s="7" t="str">
        <f>HYPERLINK("http://www.ensembl.org/Mus_musculus/Gene/Summary?db=core;g=ENSMUSG00000049488","ENSMUSG00000049488")</f>
        <v>ENSMUSG00000049488</v>
      </c>
      <c r="I3761" s="7" t="str">
        <f>HYPERLINK("http://www.informatics.jax.org/marker/MGI:1923928","MGI:1923928")</f>
        <v>MGI:1923928</v>
      </c>
      <c r="J3761" s="4" t="s">
        <v>12</v>
      </c>
    </row>
    <row r="3762" spans="1:10" x14ac:dyDescent="0.25">
      <c r="A3762" s="2">
        <v>1927.01061065096</v>
      </c>
      <c r="B3762" s="3">
        <v>-0.103706742790154</v>
      </c>
      <c r="C3762" s="3">
        <v>8.0673115104977003E-2</v>
      </c>
      <c r="D3762" s="4">
        <v>0.17043859568664901</v>
      </c>
      <c r="E3762" s="3" t="s">
        <v>13655</v>
      </c>
      <c r="F3762" s="3" t="s">
        <v>13656</v>
      </c>
      <c r="G3762" s="3">
        <v>75553</v>
      </c>
      <c r="H3762" s="7" t="str">
        <f>HYPERLINK("http://www.ensembl.org/Mus_musculus/Gene/Summary?db=core;g=ENSMUSG00000021012","ENSMUSG00000021012")</f>
        <v>ENSMUSG00000021012</v>
      </c>
      <c r="I3762" s="7" t="str">
        <f>HYPERLINK("http://www.informatics.jax.org/marker/MGI:1919824","MGI:1919824")</f>
        <v>MGI:1919824</v>
      </c>
      <c r="J3762" s="4" t="s">
        <v>12</v>
      </c>
    </row>
    <row r="3763" spans="1:10" x14ac:dyDescent="0.25">
      <c r="A3763" s="2">
        <v>856.03550318274097</v>
      </c>
      <c r="B3763" s="3">
        <v>-0.103800541687492</v>
      </c>
      <c r="C3763" s="3">
        <v>0.14972995398806799</v>
      </c>
      <c r="D3763" s="4">
        <v>0.28132251664253</v>
      </c>
      <c r="E3763" s="3" t="s">
        <v>10386</v>
      </c>
      <c r="F3763" s="3" t="s">
        <v>10387</v>
      </c>
      <c r="G3763" s="3">
        <v>74206</v>
      </c>
      <c r="H3763" s="7" t="str">
        <f>HYPERLINK("http://www.ensembl.org/Mus_musculus/Gene/Summary?db=core;g=ENSMUSG00000030583","ENSMUSG00000030583")</f>
        <v>ENSMUSG00000030583</v>
      </c>
      <c r="I3763" s="7" t="str">
        <f>HYPERLINK("http://www.informatics.jax.org/marker/MGI:1921456","MGI:1921456")</f>
        <v>MGI:1921456</v>
      </c>
      <c r="J3763" s="4" t="s">
        <v>12</v>
      </c>
    </row>
    <row r="3764" spans="1:10" x14ac:dyDescent="0.25">
      <c r="A3764" s="2">
        <v>1064.0096138619199</v>
      </c>
      <c r="B3764" s="3">
        <v>-0.103901510257756</v>
      </c>
      <c r="C3764" s="3">
        <v>5.5560885582614801E-2</v>
      </c>
      <c r="D3764" s="4">
        <v>0.124750171213891</v>
      </c>
      <c r="E3764" s="3" t="s">
        <v>13535</v>
      </c>
      <c r="F3764" s="3" t="s">
        <v>13536</v>
      </c>
      <c r="G3764" s="3">
        <v>13859</v>
      </c>
      <c r="H3764" s="7" t="str">
        <f>HYPERLINK("http://www.ensembl.org/Mus_musculus/Gene/Summary?db=core;g=ENSMUSG00000006276","ENSMUSG00000006276")</f>
        <v>ENSMUSG00000006276</v>
      </c>
      <c r="I3764" s="7" t="str">
        <f>HYPERLINK("http://www.informatics.jax.org/marker/MGI:104582","MGI:104582")</f>
        <v>MGI:104582</v>
      </c>
      <c r="J3764" s="4" t="s">
        <v>12</v>
      </c>
    </row>
    <row r="3765" spans="1:10" x14ac:dyDescent="0.25">
      <c r="A3765" s="2">
        <v>31.583749817508799</v>
      </c>
      <c r="B3765" s="3">
        <v>-0.104094654118996</v>
      </c>
      <c r="C3765" s="3">
        <v>0.59578856592887897</v>
      </c>
      <c r="D3765" s="4">
        <v>0.75316609721185201</v>
      </c>
      <c r="E3765" s="3" t="s">
        <v>9393</v>
      </c>
      <c r="F3765" s="3" t="s">
        <v>9394</v>
      </c>
      <c r="G3765" s="3">
        <v>99470</v>
      </c>
      <c r="H3765" s="7" t="str">
        <f>HYPERLINK("http://www.ensembl.org/Mus_musculus/Gene/Summary?db=core;g=ENSMUSG00000052539","ENSMUSG00000052539")</f>
        <v>ENSMUSG00000052539</v>
      </c>
      <c r="I3765" s="7" t="str">
        <f>HYPERLINK("http://www.informatics.jax.org/marker/MGI:1923484","MGI:1923484")</f>
        <v>MGI:1923484</v>
      </c>
      <c r="J3765" s="4" t="s">
        <v>12</v>
      </c>
    </row>
    <row r="3766" spans="1:10" x14ac:dyDescent="0.25">
      <c r="A3766" s="2">
        <v>448.58959726178102</v>
      </c>
      <c r="B3766" s="3">
        <v>-0.104526894632768</v>
      </c>
      <c r="C3766" s="3">
        <v>9.85021119647147E-2</v>
      </c>
      <c r="D3766" s="4">
        <v>0.200985332574667</v>
      </c>
      <c r="E3766" s="3" t="s">
        <v>9773</v>
      </c>
      <c r="F3766" s="3" t="s">
        <v>9774</v>
      </c>
      <c r="G3766" s="3">
        <v>226252</v>
      </c>
      <c r="H3766" s="7" t="str">
        <f>HYPERLINK("http://www.ensembl.org/Mus_musculus/Gene/Summary?db=core;g=ENSMUSG00000033478","ENSMUSG00000033478")</f>
        <v>ENSMUSG00000033478</v>
      </c>
      <c r="I3766" s="7" t="str">
        <f>HYPERLINK("http://www.informatics.jax.org/marker/MGI:2147545","MGI:2147545")</f>
        <v>MGI:2147545</v>
      </c>
      <c r="J3766" s="4" t="s">
        <v>12</v>
      </c>
    </row>
    <row r="3767" spans="1:10" x14ac:dyDescent="0.25">
      <c r="A3767" s="2">
        <v>103.14919266443</v>
      </c>
      <c r="B3767" s="3">
        <v>-0.104627450176328</v>
      </c>
      <c r="C3767" s="3">
        <v>0.39950693647071001</v>
      </c>
      <c r="D3767" s="4">
        <v>0.57802957120422604</v>
      </c>
      <c r="E3767" s="3" t="s">
        <v>11607</v>
      </c>
      <c r="F3767" s="3" t="s">
        <v>11608</v>
      </c>
      <c r="G3767" s="3">
        <v>231668</v>
      </c>
      <c r="H3767" s="7" t="str">
        <f>HYPERLINK("http://www.ensembl.org/Mus_musculus/Gene/Summary?db=core;g=ENSMUSG00000066894","ENSMUSG00000066894")</f>
        <v>ENSMUSG00000066894</v>
      </c>
      <c r="I3767" s="7" t="str">
        <f>HYPERLINK("http://www.informatics.jax.org/marker/MGI:2448533","MGI:2448533")</f>
        <v>MGI:2448533</v>
      </c>
      <c r="J3767" s="4" t="s">
        <v>12</v>
      </c>
    </row>
    <row r="3768" spans="1:10" x14ac:dyDescent="0.25">
      <c r="A3768" s="2">
        <v>213.317883377529</v>
      </c>
      <c r="B3768" s="3">
        <v>-0.10530368360339901</v>
      </c>
      <c r="C3768" s="3">
        <v>0.32954006514994899</v>
      </c>
      <c r="D3768" s="4">
        <v>0.50712384424198498</v>
      </c>
      <c r="E3768" s="3" t="s">
        <v>12352</v>
      </c>
      <c r="F3768" s="3" t="s">
        <v>12353</v>
      </c>
      <c r="G3768" s="3">
        <v>20365</v>
      </c>
      <c r="H3768" s="7" t="str">
        <f>HYPERLINK("http://www.ensembl.org/Mus_musculus/Gene/Summary?db=core;g=ENSMUSG00000021643","ENSMUSG00000021643")</f>
        <v>ENSMUSG00000021643</v>
      </c>
      <c r="I3768" s="7" t="str">
        <f>HYPERLINK("http://www.informatics.jax.org/marker/MGI:1337114","MGI:1337114")</f>
        <v>MGI:1337114</v>
      </c>
      <c r="J3768" s="4" t="s">
        <v>12</v>
      </c>
    </row>
    <row r="3769" spans="1:10" x14ac:dyDescent="0.25">
      <c r="A3769" s="2">
        <v>699.49094248165898</v>
      </c>
      <c r="B3769" s="3">
        <v>-0.105523165395479</v>
      </c>
      <c r="C3769" s="3">
        <v>0.19555949264720701</v>
      </c>
      <c r="D3769" s="4">
        <v>0.345335976322107</v>
      </c>
      <c r="E3769" s="3" t="s">
        <v>9731</v>
      </c>
      <c r="F3769" s="3" t="s">
        <v>9732</v>
      </c>
      <c r="G3769" s="3">
        <v>75296</v>
      </c>
      <c r="H3769" s="7" t="str">
        <f>HYPERLINK("http://www.ensembl.org/Mus_musculus/Gene/Summary?db=core;g=ENSMUSG00000069135","ENSMUSG00000069135")</f>
        <v>ENSMUSG00000069135</v>
      </c>
      <c r="I3769" s="7" t="str">
        <f>HYPERLINK("http://www.informatics.jax.org/marker/MGI:1922546","MGI:1922546")</f>
        <v>MGI:1922546</v>
      </c>
      <c r="J3769" s="4" t="s">
        <v>12</v>
      </c>
    </row>
    <row r="3770" spans="1:10" x14ac:dyDescent="0.25">
      <c r="A3770" s="2">
        <v>539.55006450042504</v>
      </c>
      <c r="B3770" s="3">
        <v>-0.10583485063894001</v>
      </c>
      <c r="C3770" s="3">
        <v>0.192575851637943</v>
      </c>
      <c r="D3770" s="4">
        <v>0.34137680148833</v>
      </c>
      <c r="E3770" s="3" t="s">
        <v>9057</v>
      </c>
      <c r="F3770" s="3" t="s">
        <v>9058</v>
      </c>
      <c r="G3770" s="3">
        <v>100043272</v>
      </c>
      <c r="H3770" s="7" t="str">
        <f>HYPERLINK("http://www.ensembl.org/Mus_musculus/Gene/Summary?db=core;g=ENSMUSG00000074918","ENSMUSG00000074918")</f>
        <v>ENSMUSG00000074918</v>
      </c>
      <c r="I3770" s="7" t="str">
        <f>HYPERLINK("http://www.informatics.jax.org/marker/MGI:1915354","MGI:1915354")</f>
        <v>MGI:1915354</v>
      </c>
      <c r="J3770" s="4" t="s">
        <v>12</v>
      </c>
    </row>
    <row r="3771" spans="1:10" x14ac:dyDescent="0.25">
      <c r="A3771" s="2">
        <v>406.49490462002098</v>
      </c>
      <c r="B3771" s="3">
        <v>-0.106043161633539</v>
      </c>
      <c r="C3771" s="3">
        <v>0.19674436160449499</v>
      </c>
      <c r="D3771" s="4">
        <v>0.34704471450270202</v>
      </c>
      <c r="E3771" s="3" t="s">
        <v>8465</v>
      </c>
      <c r="F3771" s="3" t="s">
        <v>8466</v>
      </c>
      <c r="G3771" s="3">
        <v>14628</v>
      </c>
      <c r="H3771" s="7" t="str">
        <f>HYPERLINK("http://www.ensembl.org/Mus_musculus/Gene/Summary?db=core;g=ENSMUSG00000038280","ENSMUSG00000038280")</f>
        <v>ENSMUSG00000038280</v>
      </c>
      <c r="I3771" s="7" t="str">
        <f>HYPERLINK("http://www.informatics.jax.org/marker/MGI:2655574","MGI:2655574")</f>
        <v>MGI:2655574</v>
      </c>
      <c r="J3771" s="4" t="s">
        <v>12</v>
      </c>
    </row>
    <row r="3772" spans="1:10" x14ac:dyDescent="0.25">
      <c r="A3772" s="2">
        <v>1383.1608721033399</v>
      </c>
      <c r="B3772" s="3">
        <v>-0.10612320023392301</v>
      </c>
      <c r="C3772" s="3">
        <v>4.5121644789580702E-2</v>
      </c>
      <c r="D3772" s="4">
        <v>0.10482370634673099</v>
      </c>
      <c r="E3772" s="3" t="s">
        <v>12259</v>
      </c>
      <c r="F3772" s="3" t="s">
        <v>12260</v>
      </c>
      <c r="G3772" s="3">
        <v>26572</v>
      </c>
      <c r="H3772" s="7" t="str">
        <f>HYPERLINK("http://www.ensembl.org/Mus_musculus/Gene/Summary?db=core;g=ENSMUSG00000019373","ENSMUSG00000019373")</f>
        <v>ENSMUSG00000019373</v>
      </c>
      <c r="I3772" s="7" t="str">
        <f>HYPERLINK("http://www.informatics.jax.org/marker/MGI:1349409","MGI:1349409")</f>
        <v>MGI:1349409</v>
      </c>
      <c r="J3772" s="4" t="s">
        <v>12</v>
      </c>
    </row>
    <row r="3773" spans="1:10" x14ac:dyDescent="0.25">
      <c r="A3773" s="2">
        <v>3424.1687554960799</v>
      </c>
      <c r="B3773" s="3">
        <v>-0.10641920134578101</v>
      </c>
      <c r="C3773" s="3">
        <v>2.4021741877177298E-3</v>
      </c>
      <c r="D3773" s="4">
        <v>7.8024638337472196E-3</v>
      </c>
      <c r="E3773" s="3" t="s">
        <v>12753</v>
      </c>
      <c r="F3773" s="3" t="s">
        <v>12754</v>
      </c>
      <c r="G3773" s="3">
        <v>170718</v>
      </c>
      <c r="H3773" s="7" t="str">
        <f>HYPERLINK("http://www.ensembl.org/Mus_musculus/Gene/Summary?db=core;g=ENSMUSG00000027406","ENSMUSG00000027406")</f>
        <v>ENSMUSG00000027406</v>
      </c>
      <c r="I3773" s="7" t="str">
        <f>HYPERLINK("http://www.informatics.jax.org/marker/MGI:2158650","MGI:2158650")</f>
        <v>MGI:2158650</v>
      </c>
      <c r="J3773" s="4" t="s">
        <v>12</v>
      </c>
    </row>
    <row r="3774" spans="1:10" x14ac:dyDescent="0.25">
      <c r="A3774" s="2">
        <v>461.19436217984497</v>
      </c>
      <c r="B3774" s="3">
        <v>-0.106431677355699</v>
      </c>
      <c r="C3774" s="3">
        <v>7.8652202296650403E-2</v>
      </c>
      <c r="D3774" s="4">
        <v>0.166911549470943</v>
      </c>
      <c r="E3774" s="3" t="s">
        <v>11931</v>
      </c>
      <c r="F3774" s="3" t="s">
        <v>11932</v>
      </c>
      <c r="G3774" s="3">
        <v>14356</v>
      </c>
      <c r="H3774" s="7" t="str">
        <f>HYPERLINK("http://www.ensembl.org/Mus_musculus/Gene/Summary?db=core;g=ENSMUSG00000089847","ENSMUSG00000089847")</f>
        <v>ENSMUSG00000089847</v>
      </c>
      <c r="I3774" s="7" t="str">
        <f>HYPERLINK("http://www.informatics.jax.org/marker/MGI:1315196","MGI:1315196")</f>
        <v>MGI:1315196</v>
      </c>
      <c r="J3774" s="4" t="s">
        <v>12</v>
      </c>
    </row>
    <row r="3775" spans="1:10" x14ac:dyDescent="0.25">
      <c r="A3775" s="2">
        <v>194.87655114275799</v>
      </c>
      <c r="B3775" s="3">
        <v>-0.106791583576131</v>
      </c>
      <c r="C3775" s="3">
        <v>0.32084755489615902</v>
      </c>
      <c r="D3775" s="4">
        <v>0.49748568044772001</v>
      </c>
      <c r="E3775" s="3" t="s">
        <v>14013</v>
      </c>
      <c r="F3775" s="3" t="s">
        <v>14014</v>
      </c>
      <c r="G3775" s="3">
        <v>320162</v>
      </c>
      <c r="H3775" s="7" t="str">
        <f>HYPERLINK("http://www.ensembl.org/Mus_musculus/Gene/Summary?db=core;g=ENSMUSG00000018372","ENSMUSG00000018372")</f>
        <v>ENSMUSG00000018372</v>
      </c>
      <c r="I3775" s="7" t="str">
        <f>HYPERLINK("http://www.informatics.jax.org/marker/MGI:2443502","MGI:2443502")</f>
        <v>MGI:2443502</v>
      </c>
      <c r="J3775" s="4" t="s">
        <v>12</v>
      </c>
    </row>
    <row r="3776" spans="1:10" x14ac:dyDescent="0.25">
      <c r="A3776" s="2">
        <v>806.66436015594695</v>
      </c>
      <c r="B3776" s="3">
        <v>-0.106880449094196</v>
      </c>
      <c r="C3776" s="3">
        <v>5.1682504494454898E-2</v>
      </c>
      <c r="D3776" s="4">
        <v>0.117357792725074</v>
      </c>
      <c r="E3776" s="3" t="s">
        <v>10194</v>
      </c>
      <c r="F3776" s="3" t="s">
        <v>10195</v>
      </c>
      <c r="G3776" s="3">
        <v>52846</v>
      </c>
      <c r="H3776" s="7" t="str">
        <f>HYPERLINK("http://www.ensembl.org/Mus_musculus/Gene/Summary?db=core;g=ENSMUSG00000003135","ENSMUSG00000003135")</f>
        <v>ENSMUSG00000003135</v>
      </c>
      <c r="I3776" s="7" t="str">
        <f>HYPERLINK("http://www.informatics.jax.org/marker/MGI:106580","MGI:106580")</f>
        <v>MGI:106580</v>
      </c>
      <c r="J3776" s="4" t="s">
        <v>12</v>
      </c>
    </row>
    <row r="3777" spans="1:10" x14ac:dyDescent="0.25">
      <c r="A3777" s="2">
        <v>101.070738956751</v>
      </c>
      <c r="B3777" s="3">
        <v>-0.107096142988027</v>
      </c>
      <c r="C3777" s="3">
        <v>0.37105123060974698</v>
      </c>
      <c r="D3777" s="4">
        <v>0.54996817484243898</v>
      </c>
      <c r="E3777" s="3" t="s">
        <v>13799</v>
      </c>
      <c r="F3777" s="3" t="s">
        <v>13800</v>
      </c>
      <c r="G3777" s="3">
        <v>170763</v>
      </c>
      <c r="H3777" s="7" t="str">
        <f>HYPERLINK("http://www.ensembl.org/Mus_musculus/Gene/Summary?db=core;g=ENSMUSG00000097333","ENSMUSG00000097333")</f>
        <v>ENSMUSG00000097333</v>
      </c>
      <c r="I3777" s="7" t="str">
        <f>HYPERLINK("http://www.informatics.jax.org/marker/MGI:107768","MGI:107768")</f>
        <v>MGI:107768</v>
      </c>
      <c r="J3777" s="4" t="s">
        <v>12</v>
      </c>
    </row>
    <row r="3778" spans="1:10" x14ac:dyDescent="0.25">
      <c r="A3778" s="2">
        <v>2486.7320315514798</v>
      </c>
      <c r="B3778" s="3">
        <v>-0.107185156819518</v>
      </c>
      <c r="C3778" s="3">
        <v>3.6116403952462101E-2</v>
      </c>
      <c r="D3778" s="4">
        <v>8.6505646212856002E-2</v>
      </c>
      <c r="E3778" s="3" t="s">
        <v>10070</v>
      </c>
      <c r="F3778" s="3" t="s">
        <v>10071</v>
      </c>
      <c r="G3778" s="3">
        <v>22099</v>
      </c>
      <c r="H3778" s="7" t="str">
        <f>HYPERLINK("http://www.ensembl.org/Mus_musculus/Gene/Summary?db=core;g=ENSMUSG00000026374","ENSMUSG00000026374")</f>
        <v>ENSMUSG00000026374</v>
      </c>
      <c r="I3778" s="7" t="str">
        <f>HYPERLINK("http://www.informatics.jax.org/marker/MGI:109263","MGI:109263")</f>
        <v>MGI:109263</v>
      </c>
      <c r="J3778" s="4" t="s">
        <v>12</v>
      </c>
    </row>
    <row r="3779" spans="1:10" x14ac:dyDescent="0.25">
      <c r="A3779" s="2">
        <v>366.17859704713999</v>
      </c>
      <c r="B3779" s="3">
        <v>-0.10746262973816</v>
      </c>
      <c r="C3779" s="3">
        <v>0.27304514476125502</v>
      </c>
      <c r="D3779" s="4">
        <v>0.44293264837768997</v>
      </c>
      <c r="E3779" s="3" t="s">
        <v>11799</v>
      </c>
      <c r="F3779" s="3" t="s">
        <v>11800</v>
      </c>
      <c r="G3779" s="3">
        <v>57170</v>
      </c>
      <c r="H3779" s="7" t="str">
        <f>HYPERLINK("http://www.ensembl.org/Mus_musculus/Gene/Summary?db=core;g=ENSMUSG00000026856","ENSMUSG00000026856")</f>
        <v>ENSMUSG00000026856</v>
      </c>
      <c r="I3779" s="7" t="str">
        <f>HYPERLINK("http://www.informatics.jax.org/marker/MGI:1914093","MGI:1914093")</f>
        <v>MGI:1914093</v>
      </c>
      <c r="J3779" s="4" t="s">
        <v>12</v>
      </c>
    </row>
    <row r="3780" spans="1:10" x14ac:dyDescent="0.25">
      <c r="A3780" s="2">
        <v>10949.749507901201</v>
      </c>
      <c r="B3780" s="3">
        <v>-0.107552067001879</v>
      </c>
      <c r="C3780" s="3">
        <v>6.6201175536928199E-3</v>
      </c>
      <c r="D3780" s="4">
        <v>1.9363126691711099E-2</v>
      </c>
      <c r="E3780" s="3" t="s">
        <v>11997</v>
      </c>
      <c r="F3780" s="3" t="s">
        <v>11998</v>
      </c>
      <c r="G3780" s="3">
        <v>20402</v>
      </c>
      <c r="H3780" s="7" t="str">
        <f>HYPERLINK("http://www.ensembl.org/Mus_musculus/Gene/Summary?db=core;g=ENSMUSG00000027288","ENSMUSG00000027288")</f>
        <v>ENSMUSG00000027288</v>
      </c>
      <c r="I3780" s="7" t="str">
        <f>HYPERLINK("http://www.informatics.jax.org/marker/MGI:1270153","MGI:1270153")</f>
        <v>MGI:1270153</v>
      </c>
      <c r="J3780" s="4" t="s">
        <v>12</v>
      </c>
    </row>
    <row r="3781" spans="1:10" x14ac:dyDescent="0.25">
      <c r="A3781" s="2">
        <v>423.80059724988803</v>
      </c>
      <c r="B3781" s="3">
        <v>-0.107897103203554</v>
      </c>
      <c r="C3781" s="3">
        <v>0.13231859680159599</v>
      </c>
      <c r="D3781" s="4">
        <v>0.25569867687861197</v>
      </c>
      <c r="E3781" s="3" t="s">
        <v>8845</v>
      </c>
      <c r="F3781" s="3" t="s">
        <v>8846</v>
      </c>
      <c r="G3781" s="3">
        <v>224008</v>
      </c>
      <c r="H3781" s="7" t="str">
        <f>HYPERLINK("http://www.ensembl.org/Mus_musculus/Gene/Summary?db=core;g=ENSMUSG00000041974","ENSMUSG00000041974")</f>
        <v>ENSMUSG00000041974</v>
      </c>
      <c r="I3781" s="7" t="str">
        <f>HYPERLINK("http://www.informatics.jax.org/marker/MGI:1924834","MGI:1924834")</f>
        <v>MGI:1924834</v>
      </c>
      <c r="J3781" s="4" t="s">
        <v>12</v>
      </c>
    </row>
    <row r="3782" spans="1:10" x14ac:dyDescent="0.25">
      <c r="A3782" s="2">
        <v>561.91365336281604</v>
      </c>
      <c r="B3782" s="3">
        <v>-0.10801151455621</v>
      </c>
      <c r="C3782" s="3">
        <v>0.32997626681237102</v>
      </c>
      <c r="D3782" s="4">
        <v>0.50762365684607502</v>
      </c>
      <c r="E3782" s="3" t="s">
        <v>13079</v>
      </c>
      <c r="F3782" s="3" t="s">
        <v>13080</v>
      </c>
      <c r="G3782" s="3">
        <v>11906</v>
      </c>
      <c r="H3782" s="7" t="str">
        <f>HYPERLINK("http://www.ensembl.org/Mus_musculus/Gene/Summary?db=core;g=ENSMUSG00000038872","ENSMUSG00000038872")</f>
        <v>ENSMUSG00000038872</v>
      </c>
      <c r="I3782" s="7" t="str">
        <f>HYPERLINK("http://www.informatics.jax.org/marker/MGI:99948","MGI:99948")</f>
        <v>MGI:99948</v>
      </c>
      <c r="J3782" s="4" t="s">
        <v>12</v>
      </c>
    </row>
    <row r="3783" spans="1:10" x14ac:dyDescent="0.25">
      <c r="A3783" s="2">
        <v>364.48694636387597</v>
      </c>
      <c r="B3783" s="3">
        <v>-0.108333607136986</v>
      </c>
      <c r="C3783" s="3">
        <v>0.19391834511959799</v>
      </c>
      <c r="D3783" s="4">
        <v>0.34312250871890099</v>
      </c>
      <c r="E3783" s="3" t="s">
        <v>9409</v>
      </c>
      <c r="F3783" s="3" t="s">
        <v>9410</v>
      </c>
      <c r="G3783" s="3">
        <v>22032</v>
      </c>
      <c r="H3783" s="7" t="str">
        <f>HYPERLINK("http://www.ensembl.org/Mus_musculus/Gene/Summary?db=core;g=ENSMUSG00000017386","ENSMUSG00000017386")</f>
        <v>ENSMUSG00000017386</v>
      </c>
      <c r="I3783" s="7" t="str">
        <f>HYPERLINK("http://www.informatics.jax.org/marker/MGI:1202880","MGI:1202880")</f>
        <v>MGI:1202880</v>
      </c>
      <c r="J3783" s="4" t="s">
        <v>12</v>
      </c>
    </row>
    <row r="3784" spans="1:10" x14ac:dyDescent="0.25">
      <c r="A3784" s="2">
        <v>981.223156341552</v>
      </c>
      <c r="B3784" s="3">
        <v>-0.108876284081624</v>
      </c>
      <c r="C3784" s="3">
        <v>3.1895952228177399E-2</v>
      </c>
      <c r="D3784" s="4">
        <v>7.7641742935559296E-2</v>
      </c>
      <c r="E3784" s="3" t="s">
        <v>9663</v>
      </c>
      <c r="F3784" s="3" t="s">
        <v>9664</v>
      </c>
      <c r="G3784" s="3">
        <v>242291</v>
      </c>
      <c r="H3784" s="7" t="str">
        <f>HYPERLINK("http://www.ensembl.org/Mus_musculus/Gene/Summary?db=core;g=ENSMUSG00000066324","ENSMUSG00000066324")</f>
        <v>ENSMUSG00000066324</v>
      </c>
      <c r="I3784" s="7" t="str">
        <f>HYPERLINK("http://www.informatics.jax.org/marker/MGI:1915720","MGI:1915720")</f>
        <v>MGI:1915720</v>
      </c>
      <c r="J3784" s="4" t="s">
        <v>12</v>
      </c>
    </row>
    <row r="3785" spans="1:10" x14ac:dyDescent="0.25">
      <c r="A3785" s="2">
        <v>790.14116377144398</v>
      </c>
      <c r="B3785" s="3">
        <v>-0.109025690919568</v>
      </c>
      <c r="C3785" s="3">
        <v>0.333653739185506</v>
      </c>
      <c r="D3785" s="4">
        <v>0.51142467591722796</v>
      </c>
      <c r="E3785" s="3" t="s">
        <v>10256</v>
      </c>
      <c r="F3785" s="3" t="s">
        <v>10257</v>
      </c>
      <c r="G3785" s="3">
        <v>242785</v>
      </c>
      <c r="H3785" s="7" t="str">
        <f>HYPERLINK("http://www.ensembl.org/Mus_musculus/Gene/Summary?db=core;g=ENSMUSG00000073700","ENSMUSG00000073700")</f>
        <v>ENSMUSG00000073700</v>
      </c>
      <c r="I3785" s="7" t="str">
        <f>HYPERLINK("http://www.informatics.jax.org/marker/MGI:1919288","MGI:1919288")</f>
        <v>MGI:1919288</v>
      </c>
      <c r="J3785" s="4" t="s">
        <v>12</v>
      </c>
    </row>
    <row r="3786" spans="1:10" x14ac:dyDescent="0.25">
      <c r="A3786" s="2">
        <v>1181.97464905992</v>
      </c>
      <c r="B3786" s="3">
        <v>-0.10939510600956</v>
      </c>
      <c r="C3786" s="3">
        <v>0.102321655099814</v>
      </c>
      <c r="D3786" s="4">
        <v>0.20724740655635801</v>
      </c>
      <c r="E3786" s="3" t="s">
        <v>9747</v>
      </c>
      <c r="F3786" s="3" t="s">
        <v>9748</v>
      </c>
      <c r="G3786" s="3">
        <v>103468</v>
      </c>
      <c r="H3786" s="7" t="str">
        <f>HYPERLINK("http://www.ensembl.org/Mus_musculus/Gene/Summary?db=core;g=ENSMUSG00000052798","ENSMUSG00000052798")</f>
        <v>ENSMUSG00000052798</v>
      </c>
      <c r="I3786" s="7" t="str">
        <f>HYPERLINK("http://www.informatics.jax.org/marker/MGI:2143854","MGI:2143854")</f>
        <v>MGI:2143854</v>
      </c>
      <c r="J3786" s="4" t="s">
        <v>12</v>
      </c>
    </row>
    <row r="3787" spans="1:10" x14ac:dyDescent="0.25">
      <c r="A3787" s="2">
        <v>207.48607466862799</v>
      </c>
      <c r="B3787" s="3">
        <v>-0.109414729111201</v>
      </c>
      <c r="C3787" s="3">
        <v>0.35416043793761298</v>
      </c>
      <c r="D3787" s="4">
        <v>0.53199865637858601</v>
      </c>
      <c r="E3787" s="3" t="s">
        <v>14047</v>
      </c>
      <c r="F3787" s="3" t="s">
        <v>14048</v>
      </c>
      <c r="G3787" s="3">
        <v>76438</v>
      </c>
      <c r="H3787" s="7" t="str">
        <f>HYPERLINK("http://www.ensembl.org/Mus_musculus/Gene/Summary?db=core;g=ENSMUSG00000039316","ENSMUSG00000039316")</f>
        <v>ENSMUSG00000039316</v>
      </c>
      <c r="I3787" s="7" t="str">
        <f>HYPERLINK("http://www.informatics.jax.org/marker/MGI:1923688","MGI:1923688")</f>
        <v>MGI:1923688</v>
      </c>
      <c r="J3787" s="4" t="s">
        <v>12</v>
      </c>
    </row>
    <row r="3788" spans="1:10" x14ac:dyDescent="0.25">
      <c r="A3788" s="2">
        <v>1134.03121700574</v>
      </c>
      <c r="B3788" s="3">
        <v>-0.109666998402749</v>
      </c>
      <c r="C3788" s="3">
        <v>2.05806989000808E-2</v>
      </c>
      <c r="D3788" s="4">
        <v>5.2850956383538497E-2</v>
      </c>
      <c r="E3788" s="3" t="s">
        <v>7938</v>
      </c>
      <c r="F3788" s="3" t="s">
        <v>7939</v>
      </c>
      <c r="G3788" s="3">
        <v>12764</v>
      </c>
      <c r="H3788" s="7" t="str">
        <f>HYPERLINK("http://www.ensembl.org/Mus_musculus/Gene/Summary?db=core;g=ENSMUSG00000030282","ENSMUSG00000030282")</f>
        <v>ENSMUSG00000030282</v>
      </c>
      <c r="I3788" s="7" t="str">
        <f>HYPERLINK("http://www.informatics.jax.org/marker/MGI:1337124","MGI:1337124")</f>
        <v>MGI:1337124</v>
      </c>
      <c r="J3788" s="4" t="s">
        <v>12</v>
      </c>
    </row>
    <row r="3789" spans="1:10" x14ac:dyDescent="0.25">
      <c r="A3789" s="2">
        <v>814.32827079595597</v>
      </c>
      <c r="B3789" s="3">
        <v>-0.109716978496605</v>
      </c>
      <c r="C3789" s="3">
        <v>0.13296068588516</v>
      </c>
      <c r="D3789" s="4">
        <v>0.25647846107716399</v>
      </c>
      <c r="E3789" s="3" t="s">
        <v>12171</v>
      </c>
      <c r="F3789" s="3" t="s">
        <v>12172</v>
      </c>
      <c r="G3789" s="3">
        <v>14731</v>
      </c>
      <c r="H3789" s="7" t="str">
        <f>HYPERLINK("http://www.ensembl.org/Mus_musculus/Gene/Summary?db=core;g=ENSMUSG00000022561","ENSMUSG00000022561")</f>
        <v>ENSMUSG00000022561</v>
      </c>
      <c r="I3789" s="7" t="str">
        <f>HYPERLINK("http://www.informatics.jax.org/marker/MGI:1202392","MGI:1202392")</f>
        <v>MGI:1202392</v>
      </c>
      <c r="J3789" s="4" t="s">
        <v>12</v>
      </c>
    </row>
    <row r="3790" spans="1:10" x14ac:dyDescent="0.25">
      <c r="A3790" s="2">
        <v>1568.57628835791</v>
      </c>
      <c r="B3790" s="3">
        <v>-0.11027421435586</v>
      </c>
      <c r="C3790" s="3">
        <v>3.6565832212758102E-2</v>
      </c>
      <c r="D3790" s="4">
        <v>8.7478641648400607E-2</v>
      </c>
      <c r="E3790" s="3" t="s">
        <v>14043</v>
      </c>
      <c r="F3790" s="3" t="s">
        <v>14044</v>
      </c>
      <c r="G3790" s="3">
        <v>76952</v>
      </c>
      <c r="H3790" s="7" t="str">
        <f>HYPERLINK("http://www.ensembl.org/Mus_musculus/Gene/Summary?db=core;g=ENSMUSG00000025041","ENSMUSG00000025041")</f>
        <v>ENSMUSG00000025041</v>
      </c>
      <c r="I3790" s="7" t="str">
        <f>HYPERLINK("http://www.informatics.jax.org/marker/MGI:2178563","MGI:2178563")</f>
        <v>MGI:2178563</v>
      </c>
      <c r="J3790" s="4" t="s">
        <v>12</v>
      </c>
    </row>
    <row r="3791" spans="1:10" x14ac:dyDescent="0.25">
      <c r="A3791" s="2">
        <v>204.78409515207301</v>
      </c>
      <c r="B3791" s="3">
        <v>-0.110434144587283</v>
      </c>
      <c r="C3791" s="3">
        <v>0.26988220641112498</v>
      </c>
      <c r="D3791" s="4">
        <v>0.43876833437727297</v>
      </c>
      <c r="E3791" s="3" t="s">
        <v>12535</v>
      </c>
      <c r="F3791" s="3" t="s">
        <v>12536</v>
      </c>
      <c r="G3791" s="3">
        <v>330361</v>
      </c>
      <c r="H3791" s="7" t="str">
        <f>HYPERLINK("http://www.ensembl.org/Mus_musculus/Gene/Summary?db=core;g=ENSMUSG00000035125","ENSMUSG00000035125")</f>
        <v>ENSMUSG00000035125</v>
      </c>
      <c r="I3791" s="7" t="str">
        <f>HYPERLINK("http://www.informatics.jax.org/marker/MGI:2141656","MGI:2141656")</f>
        <v>MGI:2141656</v>
      </c>
      <c r="J3791" s="4" t="s">
        <v>12</v>
      </c>
    </row>
    <row r="3792" spans="1:10" x14ac:dyDescent="0.25">
      <c r="A3792" s="2">
        <v>455.81747146943002</v>
      </c>
      <c r="B3792" s="3">
        <v>-0.110621801362689</v>
      </c>
      <c r="C3792" s="3">
        <v>0.21478499429268999</v>
      </c>
      <c r="D3792" s="4">
        <v>0.37079250932881402</v>
      </c>
      <c r="E3792" s="3" t="s">
        <v>13687</v>
      </c>
      <c r="F3792" s="3" t="s">
        <v>13688</v>
      </c>
      <c r="G3792" s="3">
        <v>56395</v>
      </c>
      <c r="H3792" s="7" t="str">
        <f>HYPERLINK("http://www.ensembl.org/Mus_musculus/Gene/Summary?db=core;g=ENSMUSG00000010045","ENSMUSG00000010045")</f>
        <v>ENSMUSG00000010045</v>
      </c>
      <c r="I3792" s="7" t="str">
        <f>HYPERLINK("http://www.informatics.jax.org/marker/MGI:1930765","MGI:1930765")</f>
        <v>MGI:1930765</v>
      </c>
      <c r="J3792" s="4" t="s">
        <v>12</v>
      </c>
    </row>
    <row r="3793" spans="1:10" x14ac:dyDescent="0.25">
      <c r="A3793" s="2">
        <v>1102.43014389838</v>
      </c>
      <c r="B3793" s="3">
        <v>-0.111657006416196</v>
      </c>
      <c r="C3793" s="3">
        <v>2.2200898586695699E-2</v>
      </c>
      <c r="D3793" s="4">
        <v>5.6462653745817798E-2</v>
      </c>
      <c r="E3793" s="3" t="s">
        <v>11719</v>
      </c>
      <c r="F3793" s="3" t="s">
        <v>11720</v>
      </c>
      <c r="G3793" s="3">
        <v>320165</v>
      </c>
      <c r="H3793" s="7" t="str">
        <f>HYPERLINK("http://www.ensembl.org/Mus_musculus/Gene/Summary?db=core;g=ENSMUSG00000065954","ENSMUSG00000065954")</f>
        <v>ENSMUSG00000065954</v>
      </c>
      <c r="I3793" s="7" t="str">
        <f>HYPERLINK("http://www.informatics.jax.org/marker/MGI:2443510","MGI:2443510")</f>
        <v>MGI:2443510</v>
      </c>
      <c r="J3793" s="4" t="s">
        <v>12</v>
      </c>
    </row>
    <row r="3794" spans="1:10" x14ac:dyDescent="0.25">
      <c r="A3794" s="2">
        <v>3310.18904467417</v>
      </c>
      <c r="B3794" s="3">
        <v>-0.11167640105344701</v>
      </c>
      <c r="C3794" s="3">
        <v>2.7191806822318001E-2</v>
      </c>
      <c r="D3794" s="4">
        <v>6.7495284354153903E-2</v>
      </c>
      <c r="E3794" s="3" t="s">
        <v>9277</v>
      </c>
      <c r="F3794" s="3" t="s">
        <v>9278</v>
      </c>
      <c r="G3794" s="3">
        <v>15312</v>
      </c>
      <c r="H3794" s="7" t="str">
        <f>HYPERLINK("http://www.ensembl.org/Mus_musculus/Gene/Summary?db=core;g=ENSMUSG00000040681","ENSMUSG00000040681")</f>
        <v>ENSMUSG00000040681</v>
      </c>
      <c r="I3794" s="7" t="str">
        <f>HYPERLINK("http://www.informatics.jax.org/marker/MGI:96120","MGI:96120")</f>
        <v>MGI:96120</v>
      </c>
      <c r="J3794" s="4" t="s">
        <v>12</v>
      </c>
    </row>
    <row r="3795" spans="1:10" x14ac:dyDescent="0.25">
      <c r="A3795" s="2">
        <v>239.208480738248</v>
      </c>
      <c r="B3795" s="3">
        <v>-0.111738638799875</v>
      </c>
      <c r="C3795" s="3">
        <v>0.20096246426602299</v>
      </c>
      <c r="D3795" s="4">
        <v>0.35226901137330802</v>
      </c>
      <c r="E3795" s="3" t="s">
        <v>12412</v>
      </c>
      <c r="F3795" s="3" t="s">
        <v>12413</v>
      </c>
      <c r="G3795" s="3">
        <v>66606</v>
      </c>
      <c r="H3795" s="7" t="str">
        <f>HYPERLINK("http://www.ensembl.org/Mus_musculus/Gene/Summary?db=core;g=ENSMUSG00000027286","ENSMUSG00000027286")</f>
        <v>ENSMUSG00000027286</v>
      </c>
      <c r="I3795" s="7" t="str">
        <f>HYPERLINK("http://www.informatics.jax.org/marker/MGI:1913856","MGI:1913856")</f>
        <v>MGI:1913856</v>
      </c>
      <c r="J3795" s="4" t="s">
        <v>12</v>
      </c>
    </row>
    <row r="3796" spans="1:10" x14ac:dyDescent="0.25">
      <c r="A3796" s="2">
        <v>3196.6942553696799</v>
      </c>
      <c r="B3796" s="3">
        <v>-0.112267393646776</v>
      </c>
      <c r="C3796" s="3">
        <v>1.33912379374245E-3</v>
      </c>
      <c r="D3796" s="4">
        <v>4.6048171964068402E-3</v>
      </c>
      <c r="E3796" s="3" t="s">
        <v>5275</v>
      </c>
      <c r="F3796" s="3" t="s">
        <v>5276</v>
      </c>
      <c r="G3796" s="3">
        <v>14421</v>
      </c>
      <c r="H3796" s="7" t="str">
        <f>HYPERLINK("http://www.ensembl.org/Mus_musculus/Gene/Summary?db=core;g=ENSMUSG00000006731","ENSMUSG00000006731")</f>
        <v>ENSMUSG00000006731</v>
      </c>
      <c r="I3796" s="7" t="str">
        <f>HYPERLINK("http://www.informatics.jax.org/marker/MGI:1342057","MGI:1342057")</f>
        <v>MGI:1342057</v>
      </c>
      <c r="J3796" s="4" t="s">
        <v>12</v>
      </c>
    </row>
    <row r="3797" spans="1:10" x14ac:dyDescent="0.25">
      <c r="A3797" s="2">
        <v>959.12120573214099</v>
      </c>
      <c r="B3797" s="3">
        <v>-0.112590320526927</v>
      </c>
      <c r="C3797" s="3">
        <v>0.15732130727777799</v>
      </c>
      <c r="D3797" s="4">
        <v>0.29265611710330203</v>
      </c>
      <c r="E3797" s="3" t="s">
        <v>12121</v>
      </c>
      <c r="F3797" s="3" t="s">
        <v>12122</v>
      </c>
      <c r="G3797" s="3">
        <v>218294</v>
      </c>
      <c r="H3797" s="7" t="str">
        <f>HYPERLINK("http://www.ensembl.org/Mus_musculus/Gene/Summary?db=core;g=ENSMUSG00000033102","ENSMUSG00000033102")</f>
        <v>ENSMUSG00000033102</v>
      </c>
      <c r="I3797" s="7" t="str">
        <f>HYPERLINK("http://www.informatics.jax.org/marker/MGI:2441808","MGI:2441808")</f>
        <v>MGI:2441808</v>
      </c>
      <c r="J3797" s="4" t="s">
        <v>12</v>
      </c>
    </row>
    <row r="3798" spans="1:10" x14ac:dyDescent="0.25">
      <c r="A3798" s="2">
        <v>566.18507039203598</v>
      </c>
      <c r="B3798" s="3">
        <v>-0.112781334968598</v>
      </c>
      <c r="C3798" s="3">
        <v>0.151916823586738</v>
      </c>
      <c r="D3798" s="4">
        <v>0.28449281852325298</v>
      </c>
      <c r="E3798" s="3" t="s">
        <v>9954</v>
      </c>
      <c r="F3798" s="3" t="s">
        <v>9955</v>
      </c>
      <c r="G3798" s="3">
        <v>70369</v>
      </c>
      <c r="H3798" s="7" t="str">
        <f>HYPERLINK("http://www.ensembl.org/Mus_musculus/Gene/Summary?db=core;g=ENSMUSG00000049792","ENSMUSG00000049792")</f>
        <v>ENSMUSG00000049792</v>
      </c>
      <c r="I3798" s="7" t="str">
        <f>HYPERLINK("http://www.informatics.jax.org/marker/MGI:1917619","MGI:1917619")</f>
        <v>MGI:1917619</v>
      </c>
      <c r="J3798" s="4" t="s">
        <v>12</v>
      </c>
    </row>
    <row r="3799" spans="1:10" x14ac:dyDescent="0.25">
      <c r="A3799" s="2">
        <v>1226.9679644734299</v>
      </c>
      <c r="B3799" s="3">
        <v>-0.112959658018595</v>
      </c>
      <c r="C3799" s="3">
        <v>6.7171917047249702E-2</v>
      </c>
      <c r="D3799" s="4">
        <v>0.14624395988366101</v>
      </c>
      <c r="E3799" s="3" t="s">
        <v>13693</v>
      </c>
      <c r="F3799" s="3" t="s">
        <v>13694</v>
      </c>
      <c r="G3799" s="3">
        <v>56412</v>
      </c>
      <c r="H3799" s="7" t="str">
        <f>HYPERLINK("http://www.ensembl.org/Mus_musculus/Gene/Summary?db=core;g=ENSMUSG00000036285","ENSMUSG00000036285")</f>
        <v>ENSMUSG00000036285</v>
      </c>
      <c r="I3799" s="7" t="str">
        <f>HYPERLINK("http://www.informatics.jax.org/marker/MGI:1914306","MGI:1914306")</f>
        <v>MGI:1914306</v>
      </c>
      <c r="J3799" s="4" t="s">
        <v>12</v>
      </c>
    </row>
    <row r="3800" spans="1:10" x14ac:dyDescent="0.25">
      <c r="A3800" s="2">
        <v>1158.44256981802</v>
      </c>
      <c r="B3800" s="3">
        <v>-0.112970867829599</v>
      </c>
      <c r="C3800" s="3">
        <v>4.0152109984558003E-2</v>
      </c>
      <c r="D3800" s="4">
        <v>9.4752324804942403E-2</v>
      </c>
      <c r="E3800" s="3" t="s">
        <v>11393</v>
      </c>
      <c r="F3800" s="3" t="s">
        <v>11394</v>
      </c>
      <c r="G3800" s="3">
        <v>14755</v>
      </c>
      <c r="H3800" s="7" t="str">
        <f>HYPERLINK("http://www.ensembl.org/Mus_musculus/Gene/Summary?db=core;g=ENSMUSG00000025728","ENSMUSG00000025728")</f>
        <v>ENSMUSG00000025728</v>
      </c>
      <c r="I3800" s="7" t="str">
        <f>HYPERLINK("http://www.informatics.jax.org/marker/MGI:1333114","MGI:1333114")</f>
        <v>MGI:1333114</v>
      </c>
      <c r="J3800" s="4" t="s">
        <v>12</v>
      </c>
    </row>
    <row r="3801" spans="1:10" x14ac:dyDescent="0.25">
      <c r="A3801" s="2">
        <v>1547.10655146573</v>
      </c>
      <c r="B3801" s="3">
        <v>-0.112983813075203</v>
      </c>
      <c r="C3801" s="3">
        <v>8.8630087863594605E-3</v>
      </c>
      <c r="D3801" s="4">
        <v>2.51956781842924E-2</v>
      </c>
      <c r="E3801" s="3" t="s">
        <v>9355</v>
      </c>
      <c r="F3801" s="3" t="s">
        <v>9356</v>
      </c>
      <c r="G3801" s="3">
        <v>11772</v>
      </c>
      <c r="H3801" s="7" t="str">
        <f>HYPERLINK("http://www.ensembl.org/Mus_musculus/Gene/Summary?db=core;g=ENSMUSG00000002957","ENSMUSG00000002957")</f>
        <v>ENSMUSG00000002957</v>
      </c>
      <c r="I3801" s="7" t="str">
        <f>HYPERLINK("http://www.informatics.jax.org/marker/MGI:101920","MGI:101920")</f>
        <v>MGI:101920</v>
      </c>
      <c r="J3801" s="4" t="s">
        <v>12</v>
      </c>
    </row>
    <row r="3802" spans="1:10" x14ac:dyDescent="0.25">
      <c r="A3802" s="2">
        <v>1648.47329779137</v>
      </c>
      <c r="B3802" s="3">
        <v>-0.11300589817055</v>
      </c>
      <c r="C3802" s="3">
        <v>6.5055395336584401E-2</v>
      </c>
      <c r="D3802" s="4">
        <v>0.14238114703558299</v>
      </c>
      <c r="E3802" s="3" t="s">
        <v>9467</v>
      </c>
      <c r="F3802" s="3" t="s">
        <v>9468</v>
      </c>
      <c r="G3802" s="3">
        <v>16443</v>
      </c>
      <c r="H3802" s="7" t="str">
        <f>HYPERLINK("http://www.ensembl.org/Mus_musculus/Gene/Summary?db=core;g=ENSMUSG00000022957","ENSMUSG00000022957")</f>
        <v>ENSMUSG00000022957</v>
      </c>
      <c r="I3802" s="7" t="str">
        <f>HYPERLINK("http://www.informatics.jax.org/marker/MGI:1338069","MGI:1338069")</f>
        <v>MGI:1338069</v>
      </c>
      <c r="J3802" s="4" t="s">
        <v>12</v>
      </c>
    </row>
    <row r="3803" spans="1:10" x14ac:dyDescent="0.25">
      <c r="A3803" s="2">
        <v>659.59777787237203</v>
      </c>
      <c r="B3803" s="3">
        <v>-0.11324048218937501</v>
      </c>
      <c r="C3803" s="3">
        <v>6.7907624180166701E-2</v>
      </c>
      <c r="D3803" s="4">
        <v>0.14763407499505399</v>
      </c>
      <c r="E3803" s="3" t="s">
        <v>10440</v>
      </c>
      <c r="F3803" s="3" t="s">
        <v>10441</v>
      </c>
      <c r="G3803" s="3">
        <v>13544</v>
      </c>
      <c r="H3803" s="7" t="str">
        <f>HYPERLINK("http://www.ensembl.org/Mus_musculus/Gene/Summary?db=core;g=ENSMUSG00000003233","ENSMUSG00000003233")</f>
        <v>ENSMUSG00000003233</v>
      </c>
      <c r="I3803" s="7" t="str">
        <f>HYPERLINK("http://www.informatics.jax.org/marker/MGI:108100","MGI:108100")</f>
        <v>MGI:108100</v>
      </c>
      <c r="J3803" s="4" t="s">
        <v>12</v>
      </c>
    </row>
    <row r="3804" spans="1:10" x14ac:dyDescent="0.25">
      <c r="A3804" s="2">
        <v>549.10868997443697</v>
      </c>
      <c r="B3804" s="3">
        <v>-0.113525039771882</v>
      </c>
      <c r="C3804" s="3">
        <v>0.16307601014552001</v>
      </c>
      <c r="D3804" s="4">
        <v>0.30093765541738499</v>
      </c>
      <c r="E3804" s="3" t="s">
        <v>6659</v>
      </c>
      <c r="F3804" s="3" t="s">
        <v>6660</v>
      </c>
      <c r="G3804" s="3">
        <v>106068</v>
      </c>
      <c r="H3804" s="7" t="str">
        <f>HYPERLINK("http://www.ensembl.org/Mus_musculus/Gene/Summary?db=core;g=ENSMUSG00000079020","ENSMUSG00000079020")</f>
        <v>ENSMUSG00000079020</v>
      </c>
      <c r="I3804" s="7" t="str">
        <f>HYPERLINK("http://www.informatics.jax.org/marker/MGI:2146236","MGI:2146236")</f>
        <v>MGI:2146236</v>
      </c>
      <c r="J3804" s="4" t="s">
        <v>12</v>
      </c>
    </row>
    <row r="3805" spans="1:10" x14ac:dyDescent="0.25">
      <c r="A3805" s="2">
        <v>753.51610985370098</v>
      </c>
      <c r="B3805" s="3">
        <v>-0.113601361939015</v>
      </c>
      <c r="C3805" s="3">
        <v>5.90186064564307E-2</v>
      </c>
      <c r="D3805" s="4">
        <v>0.13115645685507299</v>
      </c>
      <c r="E3805" s="3" t="s">
        <v>9613</v>
      </c>
      <c r="F3805" s="3" t="s">
        <v>9614</v>
      </c>
      <c r="G3805" s="3">
        <v>22764</v>
      </c>
      <c r="H3805" s="7" t="str">
        <f>HYPERLINK("http://www.ensembl.org/Mus_musculus/Gene/Summary?db=core;g=ENSMUSG00000079509","ENSMUSG00000079509")</f>
        <v>ENSMUSG00000079509</v>
      </c>
      <c r="I3805" s="7" t="str">
        <f>HYPERLINK("http://www.informatics.jax.org/marker/MGI:99211","MGI:99211")</f>
        <v>MGI:99211</v>
      </c>
      <c r="J3805" s="4" t="s">
        <v>12</v>
      </c>
    </row>
    <row r="3806" spans="1:10" x14ac:dyDescent="0.25">
      <c r="A3806" s="2">
        <v>262.21415917712</v>
      </c>
      <c r="B3806" s="3">
        <v>-0.11366096114394</v>
      </c>
      <c r="C3806" s="3">
        <v>0.15238171002786299</v>
      </c>
      <c r="D3806" s="4">
        <v>0.28515829810635601</v>
      </c>
      <c r="E3806" s="3" t="s">
        <v>6832</v>
      </c>
      <c r="F3806" s="3" t="s">
        <v>6833</v>
      </c>
      <c r="G3806" s="3">
        <v>101095</v>
      </c>
      <c r="H3806" s="7" t="str">
        <f>HYPERLINK("http://www.ensembl.org/Mus_musculus/Gene/Summary?db=core;g=ENSMUSG00000025821","ENSMUSG00000025821")</f>
        <v>ENSMUSG00000025821</v>
      </c>
      <c r="I3806" s="7" t="str">
        <f>HYPERLINK("http://www.informatics.jax.org/marker/MGI:2141413","MGI:2141413")</f>
        <v>MGI:2141413</v>
      </c>
      <c r="J3806" s="4" t="s">
        <v>12</v>
      </c>
    </row>
    <row r="3807" spans="1:10" x14ac:dyDescent="0.25">
      <c r="A3807" s="2">
        <v>863.22795010743801</v>
      </c>
      <c r="B3807" s="3">
        <v>-0.113902010271204</v>
      </c>
      <c r="C3807" s="3">
        <v>3.0269641241400701E-2</v>
      </c>
      <c r="D3807" s="4">
        <v>7.4158383065536598E-2</v>
      </c>
      <c r="E3807" s="3" t="s">
        <v>12909</v>
      </c>
      <c r="F3807" s="3" t="s">
        <v>12910</v>
      </c>
      <c r="G3807" s="3">
        <v>231086</v>
      </c>
      <c r="H3807" s="7" t="str">
        <f>HYPERLINK("http://www.ensembl.org/Mus_musculus/Gene/Summary?db=core;g=ENSMUSG00000059447","ENSMUSG00000059447")</f>
        <v>ENSMUSG00000059447</v>
      </c>
      <c r="I3807" s="7" t="str">
        <f>HYPERLINK("http://www.informatics.jax.org/marker/MGI:2136381","MGI:2136381")</f>
        <v>MGI:2136381</v>
      </c>
      <c r="J3807" s="4" t="s">
        <v>12</v>
      </c>
    </row>
    <row r="3808" spans="1:10" x14ac:dyDescent="0.25">
      <c r="A3808" s="2">
        <v>424.58634455997998</v>
      </c>
      <c r="B3808" s="3">
        <v>-0.11456574210738101</v>
      </c>
      <c r="C3808" s="3">
        <v>0.23563457788049699</v>
      </c>
      <c r="D3808" s="4">
        <v>0.39716093786902901</v>
      </c>
      <c r="E3808" s="3" t="s">
        <v>10824</v>
      </c>
      <c r="F3808" s="3" t="s">
        <v>10825</v>
      </c>
      <c r="G3808" s="3">
        <v>20170</v>
      </c>
      <c r="H3808" s="7" t="str">
        <f>HYPERLINK("http://www.ensembl.org/Mus_musculus/Gene/Summary?db=core;g=ENSMUSG00000074811","ENSMUSG00000074811")</f>
        <v>ENSMUSG00000074811</v>
      </c>
      <c r="I3808" s="7" t="str">
        <f>HYPERLINK("http://www.informatics.jax.org/marker/MGI:2181763","MGI:2181763")</f>
        <v>MGI:2181763</v>
      </c>
      <c r="J3808" s="4" t="s">
        <v>12</v>
      </c>
    </row>
    <row r="3809" spans="1:10" x14ac:dyDescent="0.25">
      <c r="A3809" s="2">
        <v>2644.69661805034</v>
      </c>
      <c r="B3809" s="3">
        <v>-0.114732514566855</v>
      </c>
      <c r="C3809" s="3">
        <v>7.9097951457506199E-2</v>
      </c>
      <c r="D3809" s="4">
        <v>0.16768176867663701</v>
      </c>
      <c r="E3809" s="3" t="s">
        <v>10420</v>
      </c>
      <c r="F3809" s="3" t="s">
        <v>10421</v>
      </c>
      <c r="G3809" s="3">
        <v>17913</v>
      </c>
      <c r="H3809" s="7" t="str">
        <f>HYPERLINK("http://www.ensembl.org/Mus_musculus/Gene/Summary?db=core;g=ENSMUSG00000017774","ENSMUSG00000017774")</f>
        <v>ENSMUSG00000017774</v>
      </c>
      <c r="I3809" s="7" t="str">
        <f>HYPERLINK("http://www.informatics.jax.org/marker/MGI:106612","MGI:106612")</f>
        <v>MGI:106612</v>
      </c>
      <c r="J3809" s="4" t="s">
        <v>12</v>
      </c>
    </row>
    <row r="3810" spans="1:10" x14ac:dyDescent="0.25">
      <c r="A3810" s="2">
        <v>91.440504771652002</v>
      </c>
      <c r="B3810" s="3">
        <v>-0.11610288620452799</v>
      </c>
      <c r="C3810" s="3">
        <v>0.34688048520794401</v>
      </c>
      <c r="D3810" s="4">
        <v>0.52490010319783997</v>
      </c>
      <c r="E3810" s="3" t="s">
        <v>11879</v>
      </c>
      <c r="F3810" s="3" t="s">
        <v>11880</v>
      </c>
      <c r="G3810" s="3">
        <v>72085</v>
      </c>
      <c r="H3810" s="7" t="str">
        <f>HYPERLINK("http://www.ensembl.org/Mus_musculus/Gene/Summary?db=core;g=ENSMUSG00000026096","ENSMUSG00000026096")</f>
        <v>ENSMUSG00000026096</v>
      </c>
      <c r="I3810" s="7" t="str">
        <f>HYPERLINK("http://www.informatics.jax.org/marker/MGI:1919335","MGI:1919335")</f>
        <v>MGI:1919335</v>
      </c>
      <c r="J3810" s="4" t="s">
        <v>12</v>
      </c>
    </row>
    <row r="3811" spans="1:10" x14ac:dyDescent="0.25">
      <c r="A3811" s="2">
        <v>4691.3084001679199</v>
      </c>
      <c r="B3811" s="3">
        <v>-0.116196335693998</v>
      </c>
      <c r="C3811" s="3">
        <v>0.10106121627514</v>
      </c>
      <c r="D3811" s="4">
        <v>0.205249265390027</v>
      </c>
      <c r="E3811" s="3" t="s">
        <v>10573</v>
      </c>
      <c r="F3811" s="3" t="s">
        <v>10574</v>
      </c>
      <c r="G3811" s="3">
        <v>14718</v>
      </c>
      <c r="H3811" s="7" t="str">
        <f>HYPERLINK("http://www.ensembl.org/Mus_musculus/Gene/Summary?db=core;g=ENSMUSG00000025190","ENSMUSG00000025190")</f>
        <v>ENSMUSG00000025190</v>
      </c>
      <c r="I3811" s="7" t="str">
        <f>HYPERLINK("http://www.informatics.jax.org/marker/MGI:95791","MGI:95791")</f>
        <v>MGI:95791</v>
      </c>
      <c r="J3811" s="4" t="s">
        <v>12</v>
      </c>
    </row>
    <row r="3812" spans="1:10" x14ac:dyDescent="0.25">
      <c r="A3812" s="2">
        <v>3998.1903744470601</v>
      </c>
      <c r="B3812" s="3">
        <v>-0.116329472164668</v>
      </c>
      <c r="C3812" s="3">
        <v>1.85453881186434E-2</v>
      </c>
      <c r="D3812" s="4">
        <v>4.8339487766343898E-2</v>
      </c>
      <c r="E3812" s="3" t="s">
        <v>11969</v>
      </c>
      <c r="F3812" s="3" t="s">
        <v>11970</v>
      </c>
      <c r="G3812" s="3">
        <v>11949</v>
      </c>
      <c r="H3812" s="7" t="str">
        <f>HYPERLINK("http://www.ensembl.org/Mus_musculus/Gene/Summary?db=core;g=ENSMUSG00000025781","ENSMUSG00000025781")</f>
        <v>ENSMUSG00000025781</v>
      </c>
      <c r="I3812" s="7" t="str">
        <f>HYPERLINK("http://www.informatics.jax.org/marker/MGI:1261437","MGI:1261437")</f>
        <v>MGI:1261437</v>
      </c>
      <c r="J3812" s="4" t="s">
        <v>12</v>
      </c>
    </row>
    <row r="3813" spans="1:10" x14ac:dyDescent="0.25">
      <c r="A3813" s="2">
        <v>4280.46610774702</v>
      </c>
      <c r="B3813" s="3">
        <v>-0.116480317631094</v>
      </c>
      <c r="C3813" s="3">
        <v>1.4409700680033601E-3</v>
      </c>
      <c r="D3813" s="4">
        <v>4.9206819354246298E-3</v>
      </c>
      <c r="E3813" s="3" t="s">
        <v>13201</v>
      </c>
      <c r="F3813" s="3" t="s">
        <v>13202</v>
      </c>
      <c r="G3813" s="3">
        <v>14057</v>
      </c>
      <c r="H3813" s="7" t="str">
        <f>HYPERLINK("http://www.ensembl.org/Mus_musculus/Gene/Summary?db=core;g=ENSMUSG00000021474","ENSMUSG00000021474")</f>
        <v>ENSMUSG00000021474</v>
      </c>
      <c r="I3813" s="7" t="str">
        <f>HYPERLINK("http://www.informatics.jax.org/marker/MGI:2137677","MGI:2137677")</f>
        <v>MGI:2137677</v>
      </c>
      <c r="J3813" s="4" t="s">
        <v>12</v>
      </c>
    </row>
    <row r="3814" spans="1:10" x14ac:dyDescent="0.25">
      <c r="A3814" s="2">
        <v>594.87344983533205</v>
      </c>
      <c r="B3814" s="3">
        <v>-0.116488029101048</v>
      </c>
      <c r="C3814" s="3">
        <v>0.31331075441751199</v>
      </c>
      <c r="D3814" s="4">
        <v>0.48891929953413399</v>
      </c>
      <c r="E3814" s="3" t="s">
        <v>9187</v>
      </c>
      <c r="F3814" s="3" t="s">
        <v>9188</v>
      </c>
      <c r="G3814" s="3">
        <v>98952</v>
      </c>
      <c r="H3814" s="7" t="str">
        <f>HYPERLINK("http://www.ensembl.org/Mus_musculus/Gene/Summary?db=core;g=ENSMUSG00000039157","ENSMUSG00000039157")</f>
        <v>ENSMUSG00000039157</v>
      </c>
      <c r="I3814" s="7" t="str">
        <f>HYPERLINK("http://www.informatics.jax.org/marker/MGI:2138935","MGI:2138935")</f>
        <v>MGI:2138935</v>
      </c>
      <c r="J3814" s="4" t="s">
        <v>12</v>
      </c>
    </row>
    <row r="3815" spans="1:10" x14ac:dyDescent="0.25">
      <c r="A3815" s="2">
        <v>1374.8917717660499</v>
      </c>
      <c r="B3815" s="3">
        <v>-0.116746507460306</v>
      </c>
      <c r="C3815" s="3">
        <v>4.4482095478181098E-2</v>
      </c>
      <c r="D3815" s="4">
        <v>0.1034566347741</v>
      </c>
      <c r="E3815" s="3" t="s">
        <v>12313</v>
      </c>
      <c r="F3815" s="3" t="s">
        <v>12314</v>
      </c>
      <c r="G3815" s="3">
        <v>56398</v>
      </c>
      <c r="H3815" s="7" t="str">
        <f>HYPERLINK("http://www.ensembl.org/Mus_musculus/Gene/Summary?db=core;g=ENSMUSG00000014077","ENSMUSG00000014077")</f>
        <v>ENSMUSG00000014077</v>
      </c>
      <c r="I3815" s="7" t="str">
        <f>HYPERLINK("http://www.informatics.jax.org/marker/MGI:1927185","MGI:1927185")</f>
        <v>MGI:1927185</v>
      </c>
      <c r="J3815" s="4" t="s">
        <v>12</v>
      </c>
    </row>
    <row r="3816" spans="1:10" x14ac:dyDescent="0.25">
      <c r="A3816" s="2">
        <v>1390.93335100123</v>
      </c>
      <c r="B3816" s="3">
        <v>-0.11733014424079601</v>
      </c>
      <c r="C3816" s="3">
        <v>3.7244818929993102E-2</v>
      </c>
      <c r="D3816" s="4">
        <v>8.8834815469064896E-2</v>
      </c>
      <c r="E3816" s="3" t="s">
        <v>7726</v>
      </c>
      <c r="F3816" s="3" t="s">
        <v>7727</v>
      </c>
      <c r="G3816" s="3">
        <v>71435</v>
      </c>
      <c r="H3816" s="7" t="str">
        <f>HYPERLINK("http://www.ensembl.org/Mus_musculus/Gene/Summary?db=core;g=ENSMUSG00000036591","ENSMUSG00000036591")</f>
        <v>ENSMUSG00000036591</v>
      </c>
      <c r="I3816" s="7" t="str">
        <f>HYPERLINK("http://www.informatics.jax.org/marker/MGI:1918685","MGI:1918685")</f>
        <v>MGI:1918685</v>
      </c>
      <c r="J3816" s="4" t="s">
        <v>12</v>
      </c>
    </row>
    <row r="3817" spans="1:10" x14ac:dyDescent="0.25">
      <c r="A3817" s="2">
        <v>551.91850530753402</v>
      </c>
      <c r="B3817" s="3">
        <v>-0.11792303593539701</v>
      </c>
      <c r="C3817" s="3">
        <v>8.3852061917415899E-2</v>
      </c>
      <c r="D3817" s="4">
        <v>0.1761618246046</v>
      </c>
      <c r="E3817" s="3" t="s">
        <v>13981</v>
      </c>
      <c r="F3817" s="3" t="s">
        <v>13982</v>
      </c>
      <c r="G3817" s="3">
        <v>11416</v>
      </c>
      <c r="H3817" s="7" t="str">
        <f>HYPERLINK("http://www.ensembl.org/Mus_musculus/Gene/Summary?db=core;g=ENSMUSG00000027822","ENSMUSG00000027822")</f>
        <v>ENSMUSG00000027822</v>
      </c>
      <c r="I3817" s="7" t="str">
        <f>HYPERLINK("http://www.informatics.jax.org/marker/MGI:1332247","MGI:1332247")</f>
        <v>MGI:1332247</v>
      </c>
      <c r="J3817" s="4" t="s">
        <v>12</v>
      </c>
    </row>
    <row r="3818" spans="1:10" x14ac:dyDescent="0.25">
      <c r="A3818" s="2">
        <v>809.05712797124295</v>
      </c>
      <c r="B3818" s="3">
        <v>-0.11815902847302601</v>
      </c>
      <c r="C3818" s="3">
        <v>2.0878719375372501E-2</v>
      </c>
      <c r="D3818" s="4">
        <v>5.3525764610516703E-2</v>
      </c>
      <c r="E3818" s="3" t="s">
        <v>9145</v>
      </c>
      <c r="F3818" s="3" t="s">
        <v>9146</v>
      </c>
      <c r="G3818" s="3">
        <v>99889</v>
      </c>
      <c r="H3818" s="7" t="str">
        <f>HYPERLINK("http://www.ensembl.org/Mus_musculus/Gene/Summary?db=core;g=ENSMUSG00000074513","ENSMUSG00000074513")</f>
        <v>ENSMUSG00000074513</v>
      </c>
      <c r="I3818" s="7" t="str">
        <f>HYPERLINK("http://www.informatics.jax.org/marker/MGI:1277120","MGI:1277120")</f>
        <v>MGI:1277120</v>
      </c>
      <c r="J3818" s="4" t="s">
        <v>12</v>
      </c>
    </row>
    <row r="3819" spans="1:10" x14ac:dyDescent="0.25">
      <c r="A3819" s="2">
        <v>7029.8229348770501</v>
      </c>
      <c r="B3819" s="3">
        <v>-0.118885701395102</v>
      </c>
      <c r="C3819" s="3">
        <v>4.0285654677884399E-2</v>
      </c>
      <c r="D3819" s="4">
        <v>9.4993667551357505E-2</v>
      </c>
      <c r="E3819" s="3" t="s">
        <v>11107</v>
      </c>
      <c r="F3819" s="3" t="s">
        <v>11108</v>
      </c>
      <c r="G3819" s="3">
        <v>69719</v>
      </c>
      <c r="H3819" s="7" t="str">
        <f>HYPERLINK("http://www.ensembl.org/Mus_musculus/Gene/Summary?db=core;g=ENSMUSG00000013629","ENSMUSG00000013629")</f>
        <v>ENSMUSG00000013629</v>
      </c>
      <c r="I3819" s="7" t="str">
        <f>HYPERLINK("http://www.informatics.jax.org/marker/MGI:1916969","MGI:1916969")</f>
        <v>MGI:1916969</v>
      </c>
      <c r="J3819" s="4" t="s">
        <v>12</v>
      </c>
    </row>
    <row r="3820" spans="1:10" x14ac:dyDescent="0.25">
      <c r="A3820" s="2">
        <v>663.60343248353604</v>
      </c>
      <c r="B3820" s="3">
        <v>-0.11983476463656501</v>
      </c>
      <c r="C3820" s="3">
        <v>0.118167178221638</v>
      </c>
      <c r="D3820" s="4">
        <v>0.23308899974009001</v>
      </c>
      <c r="E3820" s="3" t="s">
        <v>11985</v>
      </c>
      <c r="F3820" s="3" t="s">
        <v>11986</v>
      </c>
      <c r="G3820" s="3">
        <v>66493</v>
      </c>
      <c r="H3820" s="7" t="str">
        <f>HYPERLINK("http://www.ensembl.org/Mus_musculus/Gene/Summary?db=core;g=ENSMUSG00000030335","ENSMUSG00000030335")</f>
        <v>ENSMUSG00000030335</v>
      </c>
      <c r="I3820" s="7" t="str">
        <f>HYPERLINK("http://www.informatics.jax.org/marker/MGI:1913743","MGI:1913743")</f>
        <v>MGI:1913743</v>
      </c>
      <c r="J3820" s="4" t="s">
        <v>12</v>
      </c>
    </row>
    <row r="3821" spans="1:10" x14ac:dyDescent="0.25">
      <c r="A3821" s="2">
        <v>1142.11173866739</v>
      </c>
      <c r="B3821" s="3">
        <v>-0.120031740246119</v>
      </c>
      <c r="C3821" s="3">
        <v>3.8176712680147301E-2</v>
      </c>
      <c r="D3821" s="4">
        <v>9.0736905137674101E-2</v>
      </c>
      <c r="E3821" s="3" t="s">
        <v>12372</v>
      </c>
      <c r="F3821" s="3" t="s">
        <v>12373</v>
      </c>
      <c r="G3821" s="3">
        <v>66505</v>
      </c>
      <c r="H3821" s="7" t="str">
        <f>HYPERLINK("http://www.ensembl.org/Mus_musculus/Gene/Summary?db=core;g=ENSMUSG00000021156","ENSMUSG00000021156")</f>
        <v>ENSMUSG00000021156</v>
      </c>
      <c r="I3821" s="7" t="str">
        <f>HYPERLINK("http://www.informatics.jax.org/marker/MGI:1913755","MGI:1913755")</f>
        <v>MGI:1913755</v>
      </c>
      <c r="J3821" s="4" t="s">
        <v>12</v>
      </c>
    </row>
    <row r="3822" spans="1:10" x14ac:dyDescent="0.25">
      <c r="A3822" s="2">
        <v>849.879935302729</v>
      </c>
      <c r="B3822" s="3">
        <v>-0.12072366873957401</v>
      </c>
      <c r="C3822" s="3">
        <v>4.55947485805661E-2</v>
      </c>
      <c r="D3822" s="4">
        <v>0.105734100124802</v>
      </c>
      <c r="E3822" s="3" t="s">
        <v>12795</v>
      </c>
      <c r="F3822" s="3" t="s">
        <v>12796</v>
      </c>
      <c r="G3822" s="3">
        <v>71735</v>
      </c>
      <c r="H3822" s="7" t="str">
        <f>HYPERLINK("http://www.ensembl.org/Mus_musculus/Gene/Summary?db=core;g=ENSMUSG00000029703","ENSMUSG00000029703")</f>
        <v>ENSMUSG00000029703</v>
      </c>
      <c r="I3822" s="7" t="str">
        <f>HYPERLINK("http://www.informatics.jax.org/marker/MGI:1918985","MGI:1918985")</f>
        <v>MGI:1918985</v>
      </c>
      <c r="J3822" s="4" t="s">
        <v>12</v>
      </c>
    </row>
    <row r="3823" spans="1:10" x14ac:dyDescent="0.25">
      <c r="A3823" s="2">
        <v>1789.313822909</v>
      </c>
      <c r="B3823" s="3">
        <v>-0.12077235892352001</v>
      </c>
      <c r="C3823" s="3">
        <v>9.85527085401996E-3</v>
      </c>
      <c r="D3823" s="4">
        <v>2.7649678465904201E-2</v>
      </c>
      <c r="E3823" s="3" t="s">
        <v>7002</v>
      </c>
      <c r="F3823" s="3" t="s">
        <v>7003</v>
      </c>
      <c r="G3823" s="3">
        <v>16195</v>
      </c>
      <c r="H3823" s="7" t="str">
        <f>HYPERLINK("http://www.ensembl.org/Mus_musculus/Gene/Summary?db=core;g=ENSMUSG00000021756","ENSMUSG00000021756")</f>
        <v>ENSMUSG00000021756</v>
      </c>
      <c r="I3823" s="7" t="str">
        <f>HYPERLINK("http://www.informatics.jax.org/marker/MGI:96560","MGI:96560")</f>
        <v>MGI:96560</v>
      </c>
      <c r="J3823" s="4" t="s">
        <v>12</v>
      </c>
    </row>
    <row r="3824" spans="1:10" x14ac:dyDescent="0.25">
      <c r="A3824" s="2">
        <v>380.43579177970503</v>
      </c>
      <c r="B3824" s="3">
        <v>-0.121082756304668</v>
      </c>
      <c r="C3824" s="3">
        <v>7.6070504283863097E-2</v>
      </c>
      <c r="D3824" s="4">
        <v>0.162207200254289</v>
      </c>
      <c r="E3824" s="3" t="s">
        <v>13302</v>
      </c>
      <c r="F3824" s="3" t="s">
        <v>13303</v>
      </c>
      <c r="G3824" s="3">
        <v>13929</v>
      </c>
      <c r="H3824" s="7" t="str">
        <f>HYPERLINK("http://www.ensembl.org/Mus_musculus/Gene/Summary?db=core;g=ENSMUSG00000020610","ENSMUSG00000020610")</f>
        <v>ENSMUSG00000020610</v>
      </c>
      <c r="I3824" s="7" t="str">
        <f>HYPERLINK("http://www.informatics.jax.org/marker/MGI:104837","MGI:104837")</f>
        <v>MGI:104837</v>
      </c>
      <c r="J3824" s="4" t="s">
        <v>12</v>
      </c>
    </row>
    <row r="3825" spans="1:10" x14ac:dyDescent="0.25">
      <c r="A3825" s="2">
        <v>1980.0257697519901</v>
      </c>
      <c r="B3825" s="3">
        <v>-0.122700865781719</v>
      </c>
      <c r="C3825" s="3">
        <v>1.9331877730619701E-2</v>
      </c>
      <c r="D3825" s="4">
        <v>5.0131398924380101E-2</v>
      </c>
      <c r="E3825" s="3" t="s">
        <v>12843</v>
      </c>
      <c r="F3825" s="3" t="s">
        <v>12844</v>
      </c>
      <c r="G3825" s="3">
        <v>330836</v>
      </c>
      <c r="H3825" s="7" t="str">
        <f>HYPERLINK("http://www.ensembl.org/Mus_musculus/Gene/Summary?db=core;g=ENSMUSG00000031904","ENSMUSG00000031904")</f>
        <v>ENSMUSG00000031904</v>
      </c>
      <c r="I3825" s="7" t="str">
        <f>HYPERLINK("http://www.informatics.jax.org/marker/MGI:2142598","MGI:2142598")</f>
        <v>MGI:2142598</v>
      </c>
      <c r="J3825" s="4" t="s">
        <v>12</v>
      </c>
    </row>
    <row r="3826" spans="1:10" x14ac:dyDescent="0.25">
      <c r="A3826" s="2">
        <v>1632.62574202992</v>
      </c>
      <c r="B3826" s="3">
        <v>-0.122721116738039</v>
      </c>
      <c r="C3826" s="3">
        <v>5.3903568241658196E-3</v>
      </c>
      <c r="D3826" s="4">
        <v>1.6096879095595901E-2</v>
      </c>
      <c r="E3826" s="3" t="s">
        <v>12931</v>
      </c>
      <c r="F3826" s="3" t="s">
        <v>12932</v>
      </c>
      <c r="G3826" s="3">
        <v>217127</v>
      </c>
      <c r="H3826" s="7" t="str">
        <f>HYPERLINK("http://www.ensembl.org/Mus_musculus/Gene/Summary?db=core;g=ENSMUSG00000038909","ENSMUSG00000038909")</f>
        <v>ENSMUSG00000038909</v>
      </c>
      <c r="I3826" s="7" t="str">
        <f>HYPERLINK("http://www.informatics.jax.org/marker/MGI:2182799","MGI:2182799")</f>
        <v>MGI:2182799</v>
      </c>
      <c r="J3826" s="4" t="s">
        <v>12</v>
      </c>
    </row>
    <row r="3827" spans="1:10" x14ac:dyDescent="0.25">
      <c r="A3827" s="2">
        <v>4110.4936332123298</v>
      </c>
      <c r="B3827" s="3">
        <v>-0.122734675155125</v>
      </c>
      <c r="C3827" s="3">
        <v>9.7056835831203697E-2</v>
      </c>
      <c r="D3827" s="4">
        <v>0.198594914950628</v>
      </c>
      <c r="E3827" s="3" t="s">
        <v>13637</v>
      </c>
      <c r="F3827" s="3" t="s">
        <v>13638</v>
      </c>
      <c r="G3827" s="3">
        <v>328365</v>
      </c>
      <c r="H3827" s="7" t="str">
        <f>HYPERLINK("http://www.ensembl.org/Mus_musculus/Gene/Summary?db=core;g=ENSMUSG00000007817","ENSMUSG00000007817")</f>
        <v>ENSMUSG00000007817</v>
      </c>
      <c r="I3827" s="7" t="str">
        <f>HYPERLINK("http://www.informatics.jax.org/marker/MGI:3040693","MGI:3040693")</f>
        <v>MGI:3040693</v>
      </c>
      <c r="J3827" s="4" t="s">
        <v>12</v>
      </c>
    </row>
    <row r="3828" spans="1:10" x14ac:dyDescent="0.25">
      <c r="A3828" s="2">
        <v>2215.73314135396</v>
      </c>
      <c r="B3828" s="3">
        <v>-0.122988495625943</v>
      </c>
      <c r="C3828" s="3">
        <v>1.4959709548685699E-2</v>
      </c>
      <c r="D3828" s="4">
        <v>4.0123724286210097E-2</v>
      </c>
      <c r="E3828" s="3" t="s">
        <v>7488</v>
      </c>
      <c r="F3828" s="3" t="s">
        <v>7489</v>
      </c>
      <c r="G3828" s="3">
        <v>226641</v>
      </c>
      <c r="H3828" s="7" t="str">
        <f>HYPERLINK("http://www.ensembl.org/Mus_musculus/Gene/Summary?db=core;g=ENSMUSG00000026663","ENSMUSG00000026663")</f>
        <v>ENSMUSG00000026663</v>
      </c>
      <c r="I3828" s="7" t="str">
        <f>HYPERLINK("http://www.informatics.jax.org/marker/MGI:1926157","MGI:1926157")</f>
        <v>MGI:1926157</v>
      </c>
      <c r="J3828" s="4" t="s">
        <v>12</v>
      </c>
    </row>
    <row r="3829" spans="1:10" x14ac:dyDescent="0.25">
      <c r="A3829" s="2">
        <v>1517.74524724619</v>
      </c>
      <c r="B3829" s="3">
        <v>-0.12299324254447699</v>
      </c>
      <c r="C3829" s="3">
        <v>2.0048460068745302E-2</v>
      </c>
      <c r="D3829" s="4">
        <v>5.1702728845745401E-2</v>
      </c>
      <c r="E3829" s="3" t="s">
        <v>9513</v>
      </c>
      <c r="F3829" s="3" t="s">
        <v>9514</v>
      </c>
      <c r="G3829" s="3">
        <v>74412</v>
      </c>
      <c r="H3829" s="7" t="str">
        <f>HYPERLINK("http://www.ensembl.org/Mus_musculus/Gene/Summary?db=core;g=ENSMUSG00000019715","ENSMUSG00000019715")</f>
        <v>ENSMUSG00000019715</v>
      </c>
      <c r="I3829" s="7" t="str">
        <f>HYPERLINK("http://www.informatics.jax.org/marker/MGI:1921662","MGI:1921662")</f>
        <v>MGI:1921662</v>
      </c>
      <c r="J3829" s="4" t="s">
        <v>12</v>
      </c>
    </row>
    <row r="3830" spans="1:10" x14ac:dyDescent="0.25">
      <c r="A3830" s="2">
        <v>622.03642658721503</v>
      </c>
      <c r="B3830" s="3">
        <v>-0.123012961711168</v>
      </c>
      <c r="C3830" s="3">
        <v>4.8386934111865398E-2</v>
      </c>
      <c r="D3830" s="4">
        <v>0.111162469959504</v>
      </c>
      <c r="E3830" s="3" t="s">
        <v>9994</v>
      </c>
      <c r="F3830" s="3" t="s">
        <v>9995</v>
      </c>
      <c r="G3830" s="3">
        <v>497652</v>
      </c>
      <c r="H3830" s="7" t="str">
        <f>HYPERLINK("http://www.ensembl.org/Mus_musculus/Gene/Summary?db=core;g=ENSMUSG00000038000","ENSMUSG00000038000")</f>
        <v>ENSMUSG00000038000</v>
      </c>
      <c r="I3830" s="7" t="str">
        <f>HYPERLINK("http://www.informatics.jax.org/marker/MGI:87873","MGI:87873")</f>
        <v>MGI:87873</v>
      </c>
      <c r="J3830" s="4" t="s">
        <v>12</v>
      </c>
    </row>
    <row r="3831" spans="1:10" x14ac:dyDescent="0.25">
      <c r="A3831" s="2">
        <v>1829.67497036706</v>
      </c>
      <c r="B3831" s="3">
        <v>-0.123220255392477</v>
      </c>
      <c r="C3831" s="3">
        <v>2.11460361886502E-2</v>
      </c>
      <c r="D3831" s="4">
        <v>5.41349219747366E-2</v>
      </c>
      <c r="E3831" s="3" t="s">
        <v>8433</v>
      </c>
      <c r="F3831" s="3" t="s">
        <v>8434</v>
      </c>
      <c r="G3831" s="3">
        <v>192119</v>
      </c>
      <c r="H3831" s="7" t="str">
        <f>HYPERLINK("http://www.ensembl.org/Mus_musculus/Gene/Summary?db=core;g=ENSMUSG00000041415","ENSMUSG00000041415")</f>
        <v>ENSMUSG00000041415</v>
      </c>
      <c r="I3831" s="7" t="str">
        <f>HYPERLINK("http://www.informatics.jax.org/marker/MGI:2177178","MGI:2177178")</f>
        <v>MGI:2177178</v>
      </c>
      <c r="J3831" s="4" t="s">
        <v>12</v>
      </c>
    </row>
    <row r="3832" spans="1:10" x14ac:dyDescent="0.25">
      <c r="A3832" s="2">
        <v>4461.22154081798</v>
      </c>
      <c r="B3832" s="3">
        <v>-0.123444391879957</v>
      </c>
      <c r="C3832" s="3">
        <v>3.3382071316567001E-2</v>
      </c>
      <c r="D3832" s="4">
        <v>8.0720213578934996E-2</v>
      </c>
      <c r="E3832" s="3" t="s">
        <v>12873</v>
      </c>
      <c r="F3832" s="3" t="s">
        <v>12874</v>
      </c>
      <c r="G3832" s="3">
        <v>71521</v>
      </c>
      <c r="H3832" s="7" t="str">
        <f>HYPERLINK("http://www.ensembl.org/Mus_musculus/Gene/Summary?db=core;g=ENSMUSG00000029202","ENSMUSG00000029202")</f>
        <v>ENSMUSG00000029202</v>
      </c>
      <c r="I3832" s="7" t="str">
        <f>HYPERLINK("http://www.informatics.jax.org/marker/MGI:1918771","MGI:1918771")</f>
        <v>MGI:1918771</v>
      </c>
      <c r="J3832" s="4" t="s">
        <v>12</v>
      </c>
    </row>
    <row r="3833" spans="1:10" x14ac:dyDescent="0.25">
      <c r="A3833" s="2">
        <v>1548.2614479526801</v>
      </c>
      <c r="B3833" s="3">
        <v>-0.12353976562897299</v>
      </c>
      <c r="C3833" s="3">
        <v>5.3853789223339997E-3</v>
      </c>
      <c r="D3833" s="4">
        <v>1.6084649436174599E-2</v>
      </c>
      <c r="E3833" s="3" t="s">
        <v>8755</v>
      </c>
      <c r="F3833" s="3" t="s">
        <v>8756</v>
      </c>
      <c r="G3833" s="3">
        <v>100336</v>
      </c>
      <c r="H3833" s="7" t="str">
        <f>HYPERLINK("http://www.ensembl.org/Mus_musculus/Gene/Summary?db=core;g=ENSMUSG00000028882","ENSMUSG00000028882")</f>
        <v>ENSMUSG00000028882</v>
      </c>
      <c r="I3833" s="7" t="str">
        <f>HYPERLINK("http://www.informatics.jax.org/marker/MGI:2140494","MGI:2140494")</f>
        <v>MGI:2140494</v>
      </c>
      <c r="J3833" s="4" t="s">
        <v>12</v>
      </c>
    </row>
    <row r="3834" spans="1:10" x14ac:dyDescent="0.25">
      <c r="A3834" s="2">
        <v>1745.5722115569599</v>
      </c>
      <c r="B3834" s="3">
        <v>-0.123890378648564</v>
      </c>
      <c r="C3834" s="3">
        <v>6.9172118252464596E-2</v>
      </c>
      <c r="D3834" s="4">
        <v>0.149882517554532</v>
      </c>
      <c r="E3834" s="3" t="s">
        <v>13737</v>
      </c>
      <c r="F3834" s="3" t="s">
        <v>13738</v>
      </c>
      <c r="G3834" s="3">
        <v>64540</v>
      </c>
      <c r="H3834" s="7" t="str">
        <f>HYPERLINK("http://www.ensembl.org/Mus_musculus/Gene/Summary?db=core;g=ENSMUSG00000025511","ENSMUSG00000025511")</f>
        <v>ENSMUSG00000025511</v>
      </c>
      <c r="I3834" s="7" t="str">
        <f>HYPERLINK("http://www.informatics.jax.org/marker/MGI:1928097","MGI:1928097")</f>
        <v>MGI:1928097</v>
      </c>
      <c r="J3834" s="4" t="s">
        <v>12</v>
      </c>
    </row>
    <row r="3835" spans="1:10" x14ac:dyDescent="0.25">
      <c r="A3835" s="2">
        <v>3406.1597529311898</v>
      </c>
      <c r="B3835" s="3">
        <v>-0.12427070822519901</v>
      </c>
      <c r="C3835" s="3">
        <v>8.03666905391957E-3</v>
      </c>
      <c r="D3835" s="4">
        <v>2.30513524563557E-2</v>
      </c>
      <c r="E3835" s="3" t="s">
        <v>11767</v>
      </c>
      <c r="F3835" s="3" t="s">
        <v>11768</v>
      </c>
      <c r="G3835" s="3">
        <v>66890</v>
      </c>
      <c r="H3835" s="7" t="str">
        <f>HYPERLINK("http://www.ensembl.org/Mus_musculus/Gene/Summary?db=core;g=ENSMUSG00000021484","ENSMUSG00000021484")</f>
        <v>ENSMUSG00000021484</v>
      </c>
      <c r="I3835" s="7" t="str">
        <f>HYPERLINK("http://www.informatics.jax.org/marker/MGI:1914140","MGI:1914140")</f>
        <v>MGI:1914140</v>
      </c>
      <c r="J3835" s="4" t="s">
        <v>12</v>
      </c>
    </row>
    <row r="3836" spans="1:10" x14ac:dyDescent="0.25">
      <c r="A3836" s="2">
        <v>1652.47208111706</v>
      </c>
      <c r="B3836" s="3">
        <v>-0.12501622328279199</v>
      </c>
      <c r="C3836" s="3">
        <v>9.6572676652766407E-2</v>
      </c>
      <c r="D3836" s="4">
        <v>0.197881626387752</v>
      </c>
      <c r="E3836" s="3" t="s">
        <v>10482</v>
      </c>
      <c r="F3836" s="3" t="s">
        <v>10483</v>
      </c>
      <c r="G3836" s="3">
        <v>270110</v>
      </c>
      <c r="H3836" s="7" t="str">
        <f>HYPERLINK("http://www.ensembl.org/Mus_musculus/Gene/Summary?db=core;g=ENSMUSG00000051495","ENSMUSG00000051495")</f>
        <v>ENSMUSG00000051495</v>
      </c>
      <c r="I3836" s="7" t="str">
        <f>HYPERLINK("http://www.informatics.jax.org/marker/MGI:2443921","MGI:2443921")</f>
        <v>MGI:2443921</v>
      </c>
      <c r="J3836" s="4" t="s">
        <v>12</v>
      </c>
    </row>
    <row r="3837" spans="1:10" x14ac:dyDescent="0.25">
      <c r="A3837" s="2">
        <v>710.59148905324503</v>
      </c>
      <c r="B3837" s="3">
        <v>-0.126334780589273</v>
      </c>
      <c r="C3837" s="3">
        <v>2.15358702721897E-2</v>
      </c>
      <c r="D3837" s="4">
        <v>5.5009283211024197E-2</v>
      </c>
      <c r="E3837" s="3" t="s">
        <v>12749</v>
      </c>
      <c r="F3837" s="3" t="s">
        <v>12750</v>
      </c>
      <c r="G3837" s="3">
        <v>18100</v>
      </c>
      <c r="H3837" s="7" t="str">
        <f>HYPERLINK("http://www.ensembl.org/Mus_musculus/Gene/Summary?db=core;g=ENSMUSG00000022706","ENSMUSG00000022706")</f>
        <v>ENSMUSG00000022706</v>
      </c>
      <c r="I3837" s="7" t="str">
        <f>HYPERLINK("http://www.informatics.jax.org/marker/MGI:1332635","MGI:1332635")</f>
        <v>MGI:1332635</v>
      </c>
      <c r="J3837" s="4" t="s">
        <v>12</v>
      </c>
    </row>
    <row r="3838" spans="1:10" x14ac:dyDescent="0.25">
      <c r="A3838" s="2">
        <v>824.33815679297095</v>
      </c>
      <c r="B3838" s="3">
        <v>-0.12667334975533801</v>
      </c>
      <c r="C3838" s="3">
        <v>2.35876213441755E-2</v>
      </c>
      <c r="D3838" s="4">
        <v>5.9590296506459403E-2</v>
      </c>
      <c r="E3838" s="3" t="s">
        <v>8363</v>
      </c>
      <c r="F3838" s="3" t="s">
        <v>8364</v>
      </c>
      <c r="G3838" s="3">
        <v>66967</v>
      </c>
      <c r="H3838" s="7" t="str">
        <f>HYPERLINK("http://www.ensembl.org/Mus_musculus/Gene/Summary?db=core;g=ENSMUSG00000043019","ENSMUSG00000043019")</f>
        <v>ENSMUSG00000043019</v>
      </c>
      <c r="I3838" s="7" t="str">
        <f>HYPERLINK("http://www.informatics.jax.org/marker/MGI:1914217","MGI:1914217")</f>
        <v>MGI:1914217</v>
      </c>
      <c r="J3838" s="4" t="s">
        <v>12</v>
      </c>
    </row>
    <row r="3839" spans="1:10" x14ac:dyDescent="0.25">
      <c r="A3839" s="2">
        <v>423.63875354362102</v>
      </c>
      <c r="B3839" s="3">
        <v>-0.12670690113204799</v>
      </c>
      <c r="C3839" s="3">
        <v>0.13098011695030901</v>
      </c>
      <c r="D3839" s="4">
        <v>0.25365132625856801</v>
      </c>
      <c r="E3839" s="3" t="s">
        <v>12977</v>
      </c>
      <c r="F3839" s="3" t="s">
        <v>12978</v>
      </c>
      <c r="G3839" s="3">
        <v>56367</v>
      </c>
      <c r="H3839" s="7" t="str">
        <f>HYPERLINK("http://www.ensembl.org/Mus_musculus/Gene/Summary?db=core;g=ENSMUSG00000063253","ENSMUSG00000063253")</f>
        <v>ENSMUSG00000063253</v>
      </c>
      <c r="I3839" s="7" t="str">
        <f>HYPERLINK("http://www.informatics.jax.org/marker/MGI:1927654","MGI:1927654")</f>
        <v>MGI:1927654</v>
      </c>
      <c r="J3839" s="4" t="s">
        <v>12</v>
      </c>
    </row>
    <row r="3840" spans="1:10" x14ac:dyDescent="0.25">
      <c r="A3840" s="2">
        <v>1091.8968855291801</v>
      </c>
      <c r="B3840" s="3">
        <v>-0.12677444962628501</v>
      </c>
      <c r="C3840" s="3">
        <v>0.16083022478307599</v>
      </c>
      <c r="D3840" s="4">
        <v>0.297797131019988</v>
      </c>
      <c r="E3840" s="3" t="s">
        <v>13119</v>
      </c>
      <c r="F3840" s="3" t="s">
        <v>13120</v>
      </c>
      <c r="G3840" s="3">
        <v>226844</v>
      </c>
      <c r="H3840" s="7" t="str">
        <f>HYPERLINK("http://www.ensembl.org/Mus_musculus/Gene/Summary?db=core;g=ENSMUSG00000066595","ENSMUSG00000066595")</f>
        <v>ENSMUSG00000066595</v>
      </c>
      <c r="I3840" s="7" t="str">
        <f>HYPERLINK("http://www.informatics.jax.org/marker/MGI:2444881","MGI:2444881")</f>
        <v>MGI:2444881</v>
      </c>
      <c r="J3840" s="4" t="s">
        <v>12</v>
      </c>
    </row>
    <row r="3841" spans="1:10" x14ac:dyDescent="0.25">
      <c r="A3841" s="2">
        <v>1617.92687680634</v>
      </c>
      <c r="B3841" s="3">
        <v>-0.12718512215428501</v>
      </c>
      <c r="C3841" s="3">
        <v>3.2562867887905203E-2</v>
      </c>
      <c r="D3841" s="4">
        <v>7.9042017781277105E-2</v>
      </c>
      <c r="E3841" s="3" t="s">
        <v>13373</v>
      </c>
      <c r="F3841" s="3" t="s">
        <v>13374</v>
      </c>
      <c r="G3841" s="3">
        <v>68795</v>
      </c>
      <c r="H3841" s="7" t="str">
        <f>HYPERLINK("http://www.ensembl.org/Mus_musculus/Gene/Summary?db=core;g=ENSMUSG00000044308","ENSMUSG00000044308")</f>
        <v>ENSMUSG00000044308</v>
      </c>
      <c r="I3841" s="7" t="str">
        <f>HYPERLINK("http://www.informatics.jax.org/marker/MGI:1861100","MGI:1861100")</f>
        <v>MGI:1861100</v>
      </c>
      <c r="J3841" s="4" t="s">
        <v>12</v>
      </c>
    </row>
    <row r="3842" spans="1:10" x14ac:dyDescent="0.25">
      <c r="A3842" s="2">
        <v>198.791522508198</v>
      </c>
      <c r="B3842" s="3">
        <v>-0.127334858951203</v>
      </c>
      <c r="C3842" s="3">
        <v>0.21069087288681501</v>
      </c>
      <c r="D3842" s="4">
        <v>0.36531644547257103</v>
      </c>
      <c r="E3842" s="3" t="s">
        <v>9809</v>
      </c>
      <c r="F3842" s="3" t="s">
        <v>9810</v>
      </c>
      <c r="G3842" s="3">
        <v>210172</v>
      </c>
      <c r="H3842" s="7" t="str">
        <f>HYPERLINK("http://www.ensembl.org/Mus_musculus/Gene/Summary?db=core;g=ENSMUSG00000046541","ENSMUSG00000046541")</f>
        <v>ENSMUSG00000046541</v>
      </c>
      <c r="I3842" s="7" t="str">
        <f>HYPERLINK("http://www.informatics.jax.org/marker/MGI:2445181","MGI:2445181")</f>
        <v>MGI:2445181</v>
      </c>
      <c r="J3842" s="4" t="s">
        <v>12</v>
      </c>
    </row>
    <row r="3843" spans="1:10" x14ac:dyDescent="0.25">
      <c r="A3843" s="2">
        <v>880.46852213410898</v>
      </c>
      <c r="B3843" s="3">
        <v>-0.12762471727275301</v>
      </c>
      <c r="C3843" s="3">
        <v>7.8352833740467198E-2</v>
      </c>
      <c r="D3843" s="4">
        <v>0.16645068130551499</v>
      </c>
      <c r="E3843" s="3" t="s">
        <v>12147</v>
      </c>
      <c r="F3843" s="3" t="s">
        <v>12148</v>
      </c>
      <c r="G3843" s="3">
        <v>66156</v>
      </c>
      <c r="H3843" s="7" t="str">
        <f>HYPERLINK("http://www.ensembl.org/Mus_musculus/Gene/Summary?db=core;g=ENSMUSG00000025135","ENSMUSG00000025135")</f>
        <v>ENSMUSG00000025135</v>
      </c>
      <c r="I3843" s="7" t="str">
        <f>HYPERLINK("http://www.informatics.jax.org/marker/MGI:1913406","MGI:1913406")</f>
        <v>MGI:1913406</v>
      </c>
      <c r="J3843" s="4" t="s">
        <v>12</v>
      </c>
    </row>
    <row r="3844" spans="1:10" x14ac:dyDescent="0.25">
      <c r="A3844" s="2">
        <v>167.88773894654301</v>
      </c>
      <c r="B3844" s="3">
        <v>-0.12771851076839599</v>
      </c>
      <c r="C3844" s="3">
        <v>0.30010479649460298</v>
      </c>
      <c r="D3844" s="4">
        <v>0.473788698127934</v>
      </c>
      <c r="E3844" s="3" t="s">
        <v>11635</v>
      </c>
      <c r="F3844" s="3" t="s">
        <v>11636</v>
      </c>
      <c r="G3844" s="3">
        <v>19183</v>
      </c>
      <c r="H3844" s="7" t="str">
        <f>HYPERLINK("http://www.ensembl.org/Mus_musculus/Gene/Summary?db=core;g=ENSMUSG00000019303","ENSMUSG00000019303")</f>
        <v>ENSMUSG00000019303</v>
      </c>
      <c r="I3844" s="7" t="str">
        <f>HYPERLINK("http://www.informatics.jax.org/marker/MGI:1098610","MGI:1098610")</f>
        <v>MGI:1098610</v>
      </c>
      <c r="J3844" s="4" t="s">
        <v>12</v>
      </c>
    </row>
    <row r="3845" spans="1:10" x14ac:dyDescent="0.25">
      <c r="A3845" s="2">
        <v>156.50639878659999</v>
      </c>
      <c r="B3845" s="3">
        <v>-0.127763138119216</v>
      </c>
      <c r="C3845" s="3">
        <v>0.25929492531059101</v>
      </c>
      <c r="D3845" s="4">
        <v>0.42599190294061601</v>
      </c>
      <c r="E3845" s="3" t="s">
        <v>11235</v>
      </c>
      <c r="F3845" s="3" t="s">
        <v>11236</v>
      </c>
      <c r="G3845" s="3">
        <v>236900</v>
      </c>
      <c r="H3845" s="7" t="str">
        <f>HYPERLINK("http://www.ensembl.org/Mus_musculus/Gene/Summary?db=core;g=ENSMUSG00000035232","ENSMUSG00000035232")</f>
        <v>ENSMUSG00000035232</v>
      </c>
      <c r="I3845" s="7" t="str">
        <f>HYPERLINK("http://www.informatics.jax.org/marker/MGI:2384308","MGI:2384308")</f>
        <v>MGI:2384308</v>
      </c>
      <c r="J3845" s="4" t="s">
        <v>12</v>
      </c>
    </row>
    <row r="3846" spans="1:10" x14ac:dyDescent="0.25">
      <c r="A3846" s="2">
        <v>1751.8317966351001</v>
      </c>
      <c r="B3846" s="3">
        <v>-0.12831408208834799</v>
      </c>
      <c r="C3846" s="3">
        <v>0.17233646466587299</v>
      </c>
      <c r="D3846" s="4">
        <v>0.31360242622302398</v>
      </c>
      <c r="E3846" s="3" t="s">
        <v>10682</v>
      </c>
      <c r="F3846" s="3" t="s">
        <v>10683</v>
      </c>
      <c r="G3846" s="3">
        <v>235439</v>
      </c>
      <c r="H3846" s="7" t="str">
        <f>HYPERLINK("http://www.ensembl.org/Mus_musculus/Gene/Summary?db=core;g=ENSMUSG00000038664","ENSMUSG00000038664")</f>
        <v>ENSMUSG00000038664</v>
      </c>
      <c r="I3846" s="7" t="str">
        <f>HYPERLINK("http://www.informatics.jax.org/marker/MGI:2384589","MGI:2384589")</f>
        <v>MGI:2384589</v>
      </c>
      <c r="J3846" s="4" t="s">
        <v>12</v>
      </c>
    </row>
    <row r="3847" spans="1:10" x14ac:dyDescent="0.25">
      <c r="A3847" s="2">
        <v>1112.50581999888</v>
      </c>
      <c r="B3847" s="3">
        <v>-0.12841267868947501</v>
      </c>
      <c r="C3847" s="3">
        <v>4.4590469561906203E-2</v>
      </c>
      <c r="D3847" s="4">
        <v>0.10368222859986501</v>
      </c>
      <c r="E3847" s="3" t="s">
        <v>13943</v>
      </c>
      <c r="F3847" s="3" t="s">
        <v>13944</v>
      </c>
      <c r="G3847" s="3">
        <v>116905</v>
      </c>
      <c r="H3847" s="7" t="str">
        <f>HYPERLINK("http://www.ensembl.org/Mus_musculus/Gene/Summary?db=core;g=ENSMUSG00000078789","ENSMUSG00000078789")</f>
        <v>ENSMUSG00000078789</v>
      </c>
      <c r="I3847" s="7" t="str">
        <f>HYPERLINK("http://www.informatics.jax.org/marker/MGI:2151233","MGI:2151233")</f>
        <v>MGI:2151233</v>
      </c>
      <c r="J3847" s="4" t="s">
        <v>12</v>
      </c>
    </row>
    <row r="3848" spans="1:10" x14ac:dyDescent="0.25">
      <c r="A3848" s="2">
        <v>968.317660286879</v>
      </c>
      <c r="B3848" s="3">
        <v>-0.12841565377939201</v>
      </c>
      <c r="C3848" s="3">
        <v>6.0324999751489798E-2</v>
      </c>
      <c r="D3848" s="4">
        <v>0.13357102666394099</v>
      </c>
      <c r="E3848" s="3" t="s">
        <v>13563</v>
      </c>
      <c r="F3848" s="3" t="s">
        <v>13564</v>
      </c>
      <c r="G3848" s="3">
        <v>68944</v>
      </c>
      <c r="H3848" s="7" t="str">
        <f>HYPERLINK("http://www.ensembl.org/Mus_musculus/Gene/Summary?db=core;g=ENSMUSG00000052428","ENSMUSG00000052428")</f>
        <v>ENSMUSG00000052428</v>
      </c>
      <c r="I3848" s="7" t="str">
        <f>HYPERLINK("http://www.informatics.jax.org/marker/MGI:1921173","MGI:1921173")</f>
        <v>MGI:1921173</v>
      </c>
      <c r="J3848" s="4" t="s">
        <v>12</v>
      </c>
    </row>
    <row r="3849" spans="1:10" x14ac:dyDescent="0.25">
      <c r="A3849" s="2">
        <v>633.23352345296303</v>
      </c>
      <c r="B3849" s="3">
        <v>-0.128806227257316</v>
      </c>
      <c r="C3849" s="3">
        <v>6.8207512935898107E-2</v>
      </c>
      <c r="D3849" s="4">
        <v>0.14819765417939201</v>
      </c>
      <c r="E3849" s="3" t="s">
        <v>13733</v>
      </c>
      <c r="F3849" s="3" t="s">
        <v>13734</v>
      </c>
      <c r="G3849" s="3">
        <v>212123</v>
      </c>
      <c r="H3849" s="7" t="str">
        <f>HYPERLINK("http://www.ensembl.org/Mus_musculus/Gene/Summary?db=core;g=ENSMUSG00000037103","ENSMUSG00000037103")</f>
        <v>ENSMUSG00000037103</v>
      </c>
      <c r="I3849" s="7" t="str">
        <f>HYPERLINK("http://www.informatics.jax.org/marker/MGI:2684420","MGI:2684420")</f>
        <v>MGI:2684420</v>
      </c>
      <c r="J3849" s="4" t="s">
        <v>12</v>
      </c>
    </row>
    <row r="3850" spans="1:10" x14ac:dyDescent="0.25">
      <c r="A3850" s="2">
        <v>831.22194400174703</v>
      </c>
      <c r="B3850" s="3">
        <v>-0.128925548462892</v>
      </c>
      <c r="C3850" s="3">
        <v>3.8003913714938803E-2</v>
      </c>
      <c r="D3850" s="4">
        <v>9.0408736125148104E-2</v>
      </c>
      <c r="E3850" s="3" t="s">
        <v>11535</v>
      </c>
      <c r="F3850" s="3" t="s">
        <v>11536</v>
      </c>
      <c r="G3850" s="3">
        <v>241915</v>
      </c>
      <c r="H3850" s="7" t="str">
        <f>HYPERLINK("http://www.ensembl.org/Mus_musculus/Gene/Summary?db=core;g=ENSMUSG00000037652","ENSMUSG00000037652")</f>
        <v>ENSMUSG00000037652</v>
      </c>
      <c r="I3850" s="7" t="str">
        <f>HYPERLINK("http://www.informatics.jax.org/marker/MGI:2181434","MGI:2181434")</f>
        <v>MGI:2181434</v>
      </c>
      <c r="J3850" s="4" t="s">
        <v>12</v>
      </c>
    </row>
    <row r="3851" spans="1:10" x14ac:dyDescent="0.25">
      <c r="A3851" s="2">
        <v>1874.02456517992</v>
      </c>
      <c r="B3851" s="3">
        <v>-0.12902611229935901</v>
      </c>
      <c r="C3851" s="3">
        <v>2.4213691305123498E-2</v>
      </c>
      <c r="D3851" s="4">
        <v>6.09944055336386E-2</v>
      </c>
      <c r="E3851" s="3" t="s">
        <v>10740</v>
      </c>
      <c r="F3851" s="3" t="s">
        <v>10741</v>
      </c>
      <c r="G3851" s="3">
        <v>66154</v>
      </c>
      <c r="H3851" s="7" t="str">
        <f>HYPERLINK("http://www.ensembl.org/Mus_musculus/Gene/Summary?db=core;g=ENSMUSG00000021361","ENSMUSG00000021361")</f>
        <v>ENSMUSG00000021361</v>
      </c>
      <c r="I3851" s="7" t="str">
        <f>HYPERLINK("http://www.informatics.jax.org/marker/MGI:1913404","MGI:1913404")</f>
        <v>MGI:1913404</v>
      </c>
      <c r="J3851" s="4" t="s">
        <v>12</v>
      </c>
    </row>
    <row r="3852" spans="1:10" x14ac:dyDescent="0.25">
      <c r="A3852" s="2">
        <v>2553.1530566393799</v>
      </c>
      <c r="B3852" s="3">
        <v>-0.12917701252078601</v>
      </c>
      <c r="C3852" s="3">
        <v>1.5857133695514801E-2</v>
      </c>
      <c r="D3852" s="4">
        <v>4.2226221741782199E-2</v>
      </c>
      <c r="E3852" s="3" t="s">
        <v>11527</v>
      </c>
      <c r="F3852" s="3" t="s">
        <v>11528</v>
      </c>
      <c r="G3852" s="3">
        <v>20338</v>
      </c>
      <c r="H3852" s="7" t="str">
        <f>HYPERLINK("http://www.ensembl.org/Mus_musculus/Gene/Summary?db=core;g=ENSMUSG00000020964","ENSMUSG00000020964")</f>
        <v>ENSMUSG00000020964</v>
      </c>
      <c r="I3852" s="7" t="str">
        <f>HYPERLINK("http://www.informatics.jax.org/marker/MGI:1329016","MGI:1329016")</f>
        <v>MGI:1329016</v>
      </c>
      <c r="J3852" s="4" t="s">
        <v>12</v>
      </c>
    </row>
    <row r="3853" spans="1:10" x14ac:dyDescent="0.25">
      <c r="A3853" s="2">
        <v>102.481228848302</v>
      </c>
      <c r="B3853" s="3">
        <v>-0.12925388794963799</v>
      </c>
      <c r="C3853" s="3">
        <v>0.49115253898378802</v>
      </c>
      <c r="D3853" s="4">
        <v>0.66539379462286097</v>
      </c>
      <c r="E3853" s="3" t="s">
        <v>11849</v>
      </c>
      <c r="F3853" s="3" t="s">
        <v>11850</v>
      </c>
      <c r="G3853" s="3">
        <v>232174</v>
      </c>
      <c r="H3853" s="7" t="str">
        <f>HYPERLINK("http://www.ensembl.org/Mus_musculus/Gene/Summary?db=core;g=ENSMUSG00000063415","ENSMUSG00000063415")</f>
        <v>ENSMUSG00000063415</v>
      </c>
      <c r="I3853" s="7" t="str">
        <f>HYPERLINK("http://www.informatics.jax.org/marker/MGI:2176159","MGI:2176159")</f>
        <v>MGI:2176159</v>
      </c>
      <c r="J3853" s="4" t="s">
        <v>12</v>
      </c>
    </row>
    <row r="3854" spans="1:10" x14ac:dyDescent="0.25">
      <c r="A3854" s="2">
        <v>2062.1587573605598</v>
      </c>
      <c r="B3854" s="3">
        <v>-0.12972139326517201</v>
      </c>
      <c r="C3854" s="3">
        <v>1.4949112530967801E-3</v>
      </c>
      <c r="D3854" s="4">
        <v>5.0896240589741798E-3</v>
      </c>
      <c r="E3854" s="3" t="s">
        <v>11329</v>
      </c>
      <c r="F3854" s="3" t="s">
        <v>11330</v>
      </c>
      <c r="G3854" s="3">
        <v>71810</v>
      </c>
      <c r="H3854" s="7" t="str">
        <f>HYPERLINK("http://www.ensembl.org/Mus_musculus/Gene/Summary?db=core;g=ENSMUSG00000002372","ENSMUSG00000002372")</f>
        <v>ENSMUSG00000002372</v>
      </c>
      <c r="I3854" s="7" t="str">
        <f>HYPERLINK("http://www.informatics.jax.org/marker/MGI:1919060","MGI:1919060")</f>
        <v>MGI:1919060</v>
      </c>
      <c r="J3854" s="4" t="s">
        <v>12</v>
      </c>
    </row>
    <row r="3855" spans="1:10" x14ac:dyDescent="0.25">
      <c r="A3855" s="2">
        <v>798.60308632805197</v>
      </c>
      <c r="B3855" s="3">
        <v>-0.129755105548192</v>
      </c>
      <c r="C3855" s="3">
        <v>1.9918592677513301E-2</v>
      </c>
      <c r="D3855" s="4">
        <v>5.14333170229073E-2</v>
      </c>
      <c r="E3855" s="3" t="s">
        <v>12485</v>
      </c>
      <c r="F3855" s="3" t="s">
        <v>12486</v>
      </c>
      <c r="G3855" s="3">
        <v>66394</v>
      </c>
      <c r="H3855" s="7" t="str">
        <f>HYPERLINK("http://www.ensembl.org/Mus_musculus/Gene/Summary?db=core;g=ENSMUSG00000003421","ENSMUSG00000003421")</f>
        <v>ENSMUSG00000003421</v>
      </c>
      <c r="I3855" s="7" t="str">
        <f>HYPERLINK("http://www.informatics.jax.org/marker/MGI:1913644","MGI:1913644")</f>
        <v>MGI:1913644</v>
      </c>
      <c r="J3855" s="4" t="s">
        <v>12</v>
      </c>
    </row>
    <row r="3856" spans="1:10" x14ac:dyDescent="0.25">
      <c r="A3856" s="2">
        <v>4247.9325850637897</v>
      </c>
      <c r="B3856" s="3">
        <v>-0.1307591234112</v>
      </c>
      <c r="C3856" s="5">
        <v>2.0269509816864701E-5</v>
      </c>
      <c r="D3856" s="6">
        <v>9.4648172280901695E-5</v>
      </c>
      <c r="E3856" s="3" t="s">
        <v>13691</v>
      </c>
      <c r="F3856" s="3" t="s">
        <v>13692</v>
      </c>
      <c r="G3856" s="3">
        <v>68365</v>
      </c>
      <c r="H3856" s="7" t="str">
        <f>HYPERLINK("http://www.ensembl.org/Mus_musculus/Gene/Summary?db=core;g=ENSMUSG00000026878","ENSMUSG00000026878")</f>
        <v>ENSMUSG00000026878</v>
      </c>
      <c r="I3856" s="7" t="str">
        <f>HYPERLINK("http://www.informatics.jax.org/marker/MGI:1915615","MGI:1915615")</f>
        <v>MGI:1915615</v>
      </c>
      <c r="J3856" s="4" t="s">
        <v>12</v>
      </c>
    </row>
    <row r="3857" spans="1:10" x14ac:dyDescent="0.25">
      <c r="A3857" s="2">
        <v>2657.08185147418</v>
      </c>
      <c r="B3857" s="3">
        <v>-0.130923417323766</v>
      </c>
      <c r="C3857" s="3">
        <v>1.5181732032032101E-2</v>
      </c>
      <c r="D3857" s="4">
        <v>4.0659377852135997E-2</v>
      </c>
      <c r="E3857" s="3" t="s">
        <v>13791</v>
      </c>
      <c r="F3857" s="3" t="s">
        <v>13792</v>
      </c>
      <c r="G3857" s="3">
        <v>26914</v>
      </c>
      <c r="H3857" s="7" t="str">
        <f>HYPERLINK("http://www.ensembl.org/Mus_musculus/Gene/Summary?db=core;g=ENSMUSG00000015937","ENSMUSG00000015937")</f>
        <v>ENSMUSG00000015937</v>
      </c>
      <c r="I3857" s="7" t="str">
        <f>HYPERLINK("http://www.informatics.jax.org/marker/MGI:1349392","MGI:1349392")</f>
        <v>MGI:1349392</v>
      </c>
      <c r="J3857" s="4" t="s">
        <v>12</v>
      </c>
    </row>
    <row r="3858" spans="1:10" x14ac:dyDescent="0.25">
      <c r="A3858" s="2">
        <v>779.774543742883</v>
      </c>
      <c r="B3858" s="3">
        <v>-0.13128648669916201</v>
      </c>
      <c r="C3858" s="3">
        <v>1.8028118631928599E-2</v>
      </c>
      <c r="D3858" s="4">
        <v>4.7153051387327602E-2</v>
      </c>
      <c r="E3858" s="3" t="s">
        <v>12783</v>
      </c>
      <c r="F3858" s="3" t="s">
        <v>12784</v>
      </c>
      <c r="G3858" s="3">
        <v>67826</v>
      </c>
      <c r="H3858" s="7" t="str">
        <f>HYPERLINK("http://www.ensembl.org/Mus_musculus/Gene/Summary?db=core;g=ENSMUSG00000009894","ENSMUSG00000009894")</f>
        <v>ENSMUSG00000009894</v>
      </c>
      <c r="I3858" s="7" t="str">
        <f>HYPERLINK("http://www.informatics.jax.org/marker/MGI:1915076","MGI:1915076")</f>
        <v>MGI:1915076</v>
      </c>
      <c r="J3858" s="4" t="s">
        <v>12</v>
      </c>
    </row>
    <row r="3859" spans="1:10" x14ac:dyDescent="0.25">
      <c r="A3859" s="2">
        <v>983.76759759737502</v>
      </c>
      <c r="B3859" s="3">
        <v>-0.131394321911947</v>
      </c>
      <c r="C3859" s="3">
        <v>3.0214332247435402E-3</v>
      </c>
      <c r="D3859" s="4">
        <v>9.5683093867855902E-3</v>
      </c>
      <c r="E3859" s="3" t="s">
        <v>9071</v>
      </c>
      <c r="F3859" s="3" t="s">
        <v>9072</v>
      </c>
      <c r="G3859" s="3">
        <v>75710</v>
      </c>
      <c r="H3859" s="7" t="str">
        <f>HYPERLINK("http://www.ensembl.org/Mus_musculus/Gene/Summary?db=core;g=ENSMUSG00000089824","ENSMUSG00000089824")</f>
        <v>ENSMUSG00000089824</v>
      </c>
      <c r="I3859" s="7" t="str">
        <f>HYPERLINK("http://www.informatics.jax.org/marker/MGI:1922960","MGI:1922960")</f>
        <v>MGI:1922960</v>
      </c>
      <c r="J3859" s="4" t="s">
        <v>12</v>
      </c>
    </row>
    <row r="3860" spans="1:10" x14ac:dyDescent="0.25">
      <c r="A3860" s="2">
        <v>2170.9754120285102</v>
      </c>
      <c r="B3860" s="3">
        <v>-0.13165214850794699</v>
      </c>
      <c r="C3860" s="3">
        <v>7.8077613848862304E-3</v>
      </c>
      <c r="D3860" s="4">
        <v>2.24690433032609E-2</v>
      </c>
      <c r="E3860" s="3" t="s">
        <v>9153</v>
      </c>
      <c r="F3860" s="3" t="s">
        <v>9154</v>
      </c>
      <c r="G3860" s="3">
        <v>76559</v>
      </c>
      <c r="H3860" s="7" t="str">
        <f>HYPERLINK("http://www.ensembl.org/Mus_musculus/Gene/Summary?db=core;g=ENSMUSG00000041341","ENSMUSG00000041341")</f>
        <v>ENSMUSG00000041341</v>
      </c>
      <c r="I3860" s="7" t="str">
        <f>HYPERLINK("http://www.informatics.jax.org/marker/MGI:1923809","MGI:1923809")</f>
        <v>MGI:1923809</v>
      </c>
      <c r="J3860" s="4" t="s">
        <v>12</v>
      </c>
    </row>
    <row r="3861" spans="1:10" x14ac:dyDescent="0.25">
      <c r="A3861" s="2">
        <v>828.56232748077002</v>
      </c>
      <c r="B3861" s="3">
        <v>-0.131795845538282</v>
      </c>
      <c r="C3861" s="3">
        <v>1.7855464922822899E-2</v>
      </c>
      <c r="D3861" s="4">
        <v>4.67887632233569E-2</v>
      </c>
      <c r="E3861" s="3" t="s">
        <v>12261</v>
      </c>
      <c r="F3861" s="3" t="s">
        <v>12262</v>
      </c>
      <c r="G3861" s="3">
        <v>16993</v>
      </c>
      <c r="H3861" s="7" t="str">
        <f>HYPERLINK("http://www.ensembl.org/Mus_musculus/Gene/Summary?db=core;g=ENSMUSG00000015889","ENSMUSG00000015889")</f>
        <v>ENSMUSG00000015889</v>
      </c>
      <c r="I3861" s="7" t="str">
        <f>HYPERLINK("http://www.informatics.jax.org/marker/MGI:96836","MGI:96836")</f>
        <v>MGI:96836</v>
      </c>
      <c r="J3861" s="4" t="s">
        <v>12</v>
      </c>
    </row>
    <row r="3862" spans="1:10" x14ac:dyDescent="0.25">
      <c r="A3862" s="2">
        <v>7863.0138806476498</v>
      </c>
      <c r="B3862" s="3">
        <v>-0.132207144013886</v>
      </c>
      <c r="C3862" s="3">
        <v>2.5049994413921001E-2</v>
      </c>
      <c r="D3862" s="4">
        <v>6.2864813008584694E-2</v>
      </c>
      <c r="E3862" s="3" t="s">
        <v>13427</v>
      </c>
      <c r="F3862" s="3" t="s">
        <v>13428</v>
      </c>
      <c r="G3862" s="3">
        <v>238799</v>
      </c>
      <c r="H3862" s="7" t="str">
        <f>HYPERLINK("http://www.ensembl.org/Mus_musculus/Gene/Summary?db=core;g=ENSMUSG00000009470","ENSMUSG00000009470")</f>
        <v>ENSMUSG00000009470</v>
      </c>
      <c r="I3862" s="7" t="str">
        <f>HYPERLINK("http://www.informatics.jax.org/marker/MGI:2681523","MGI:2681523")</f>
        <v>MGI:2681523</v>
      </c>
      <c r="J3862" s="4" t="s">
        <v>12</v>
      </c>
    </row>
    <row r="3863" spans="1:10" x14ac:dyDescent="0.25">
      <c r="A3863" s="2">
        <v>516.727640122499</v>
      </c>
      <c r="B3863" s="3">
        <v>-0.13225389032361001</v>
      </c>
      <c r="C3863" s="3">
        <v>4.1727646065330803E-2</v>
      </c>
      <c r="D3863" s="4">
        <v>9.7912495112740194E-2</v>
      </c>
      <c r="E3863" s="3" t="s">
        <v>12127</v>
      </c>
      <c r="F3863" s="3" t="s">
        <v>12128</v>
      </c>
      <c r="G3863" s="3">
        <v>107371</v>
      </c>
      <c r="H3863" s="7" t="str">
        <f>HYPERLINK("http://www.ensembl.org/Mus_musculus/Gene/Summary?db=core;g=ENSMUSG00000053799","ENSMUSG00000053799")</f>
        <v>ENSMUSG00000053799</v>
      </c>
      <c r="I3863" s="7" t="str">
        <f>HYPERLINK("http://www.informatics.jax.org/marker/MGI:1351611","MGI:1351611")</f>
        <v>MGI:1351611</v>
      </c>
      <c r="J3863" s="4" t="s">
        <v>12</v>
      </c>
    </row>
    <row r="3864" spans="1:10" x14ac:dyDescent="0.25">
      <c r="A3864" s="2">
        <v>5456.7323618296296</v>
      </c>
      <c r="B3864" s="3">
        <v>-0.13275824166504699</v>
      </c>
      <c r="C3864" s="3">
        <v>1.9538371435165198E-3</v>
      </c>
      <c r="D3864" s="4">
        <v>6.4790178203399697E-3</v>
      </c>
      <c r="E3864" s="3" t="s">
        <v>6782</v>
      </c>
      <c r="F3864" s="3" t="s">
        <v>6783</v>
      </c>
      <c r="G3864" s="3">
        <v>17918</v>
      </c>
      <c r="H3864" s="7" t="str">
        <f>HYPERLINK("http://www.ensembl.org/Mus_musculus/Gene/Summary?db=core;g=ENSMUSG00000034593","ENSMUSG00000034593")</f>
        <v>ENSMUSG00000034593</v>
      </c>
      <c r="I3864" s="7" t="str">
        <f>HYPERLINK("http://www.informatics.jax.org/marker/MGI:105976","MGI:105976")</f>
        <v>MGI:105976</v>
      </c>
      <c r="J3864" s="4" t="s">
        <v>12</v>
      </c>
    </row>
    <row r="3865" spans="1:10" x14ac:dyDescent="0.25">
      <c r="A3865" s="2">
        <v>257.19094834850603</v>
      </c>
      <c r="B3865" s="3">
        <v>-0.132820219994952</v>
      </c>
      <c r="C3865" s="3">
        <v>8.5484443270474594E-2</v>
      </c>
      <c r="D3865" s="4">
        <v>0.17884903898569601</v>
      </c>
      <c r="E3865" s="3" t="s">
        <v>13347</v>
      </c>
      <c r="F3865" s="3" t="s">
        <v>13348</v>
      </c>
      <c r="G3865" s="3">
        <v>70564</v>
      </c>
      <c r="H3865" s="7" t="str">
        <f>HYPERLINK("http://www.ensembl.org/Mus_musculus/Gene/Summary?db=core;g=ENSMUSG00000021792","ENSMUSG00000021792")</f>
        <v>ENSMUSG00000021792</v>
      </c>
      <c r="I3865" s="7" t="str">
        <f>HYPERLINK("http://www.informatics.jax.org/marker/MGI:1917814","MGI:1917814")</f>
        <v>MGI:1917814</v>
      </c>
      <c r="J3865" s="4" t="s">
        <v>12</v>
      </c>
    </row>
    <row r="3866" spans="1:10" x14ac:dyDescent="0.25">
      <c r="A3866" s="2">
        <v>920.25167694193203</v>
      </c>
      <c r="B3866" s="3">
        <v>-0.13420707653071901</v>
      </c>
      <c r="C3866" s="3">
        <v>0.145113939382218</v>
      </c>
      <c r="D3866" s="4">
        <v>0.27484791798637997</v>
      </c>
      <c r="E3866" s="3" t="s">
        <v>10866</v>
      </c>
      <c r="F3866" s="3" t="s">
        <v>10867</v>
      </c>
      <c r="G3866" s="3">
        <v>234776</v>
      </c>
      <c r="H3866" s="7" t="str">
        <f>HYPERLINK("http://www.ensembl.org/Mus_musculus/Gene/Summary?db=core;g=ENSMUSG00000047388","ENSMUSG00000047388")</f>
        <v>ENSMUSG00000047388</v>
      </c>
      <c r="I3866" s="7" t="str">
        <f>HYPERLINK("http://www.informatics.jax.org/marker/MGI:2682328","MGI:2682328")</f>
        <v>MGI:2682328</v>
      </c>
      <c r="J3866" s="4" t="s">
        <v>12</v>
      </c>
    </row>
    <row r="3867" spans="1:10" x14ac:dyDescent="0.25">
      <c r="A3867" s="2">
        <v>1230.81608304927</v>
      </c>
      <c r="B3867" s="3">
        <v>-0.13425736571866301</v>
      </c>
      <c r="C3867" s="3">
        <v>9.2037866451010301E-3</v>
      </c>
      <c r="D3867" s="4">
        <v>2.6042386524913301E-2</v>
      </c>
      <c r="E3867" s="3" t="s">
        <v>11487</v>
      </c>
      <c r="F3867" s="3" t="s">
        <v>11488</v>
      </c>
      <c r="G3867" s="3">
        <v>227634</v>
      </c>
      <c r="H3867" s="7" t="str">
        <f>HYPERLINK("http://www.ensembl.org/Mus_musculus/Gene/Summary?db=core;g=ENSMUSG00000026933","ENSMUSG00000026933")</f>
        <v>ENSMUSG00000026933</v>
      </c>
      <c r="I3867" s="7" t="str">
        <f>HYPERLINK("http://www.informatics.jax.org/marker/MGI:3036242","MGI:3036242")</f>
        <v>MGI:3036242</v>
      </c>
      <c r="J3867" s="4" t="s">
        <v>12</v>
      </c>
    </row>
    <row r="3868" spans="1:10" x14ac:dyDescent="0.25">
      <c r="A3868" s="2">
        <v>401.84933450113402</v>
      </c>
      <c r="B3868" s="3">
        <v>-0.134463118327702</v>
      </c>
      <c r="C3868" s="3">
        <v>0.18809860795137601</v>
      </c>
      <c r="D3868" s="4">
        <v>0.335660151758919</v>
      </c>
      <c r="E3868" s="3" t="s">
        <v>11457</v>
      </c>
      <c r="F3868" s="3" t="s">
        <v>11458</v>
      </c>
      <c r="G3868" s="3">
        <v>74182</v>
      </c>
      <c r="H3868" s="7" t="str">
        <f>HYPERLINK("http://www.ensembl.org/Mus_musculus/Gene/Summary?db=core;g=ENSMUSG00000027346","ENSMUSG00000027346")</f>
        <v>ENSMUSG00000027346</v>
      </c>
      <c r="I3868" s="7" t="str">
        <f>HYPERLINK("http://www.informatics.jax.org/marker/MGI:104898","MGI:104898")</f>
        <v>MGI:104898</v>
      </c>
      <c r="J3868" s="4" t="s">
        <v>12</v>
      </c>
    </row>
    <row r="3869" spans="1:10" x14ac:dyDescent="0.25">
      <c r="A3869" s="2">
        <v>2573.3458890359798</v>
      </c>
      <c r="B3869" s="3">
        <v>-0.13494294196958401</v>
      </c>
      <c r="C3869" s="3">
        <v>1.3840426352099201E-3</v>
      </c>
      <c r="D3869" s="4">
        <v>4.7431698056977596E-3</v>
      </c>
      <c r="E3869" s="3" t="s">
        <v>6239</v>
      </c>
      <c r="F3869" s="3" t="s">
        <v>6240</v>
      </c>
      <c r="G3869" s="3">
        <v>18141</v>
      </c>
      <c r="H3869" s="7" t="str">
        <f>HYPERLINK("http://www.ensembl.org/Mus_musculus/Gene/Summary?db=core;g=ENSMUSG00000016619","ENSMUSG00000016619")</f>
        <v>ENSMUSG00000016619</v>
      </c>
      <c r="I3869" s="7" t="str">
        <f>HYPERLINK("http://www.informatics.jax.org/marker/MGI:1351502","MGI:1351502")</f>
        <v>MGI:1351502</v>
      </c>
      <c r="J3869" s="4" t="s">
        <v>12</v>
      </c>
    </row>
    <row r="3870" spans="1:10" x14ac:dyDescent="0.25">
      <c r="A3870" s="2">
        <v>798.09253789647903</v>
      </c>
      <c r="B3870" s="3">
        <v>-0.13554940078069699</v>
      </c>
      <c r="C3870" s="3">
        <v>2.5170165848271302E-2</v>
      </c>
      <c r="D3870" s="4">
        <v>6.3124573081704202E-2</v>
      </c>
      <c r="E3870" s="3" t="s">
        <v>5413</v>
      </c>
      <c r="F3870" s="3" t="s">
        <v>5414</v>
      </c>
      <c r="G3870" s="3">
        <v>14423</v>
      </c>
      <c r="H3870" s="7" t="str">
        <f>HYPERLINK("http://www.ensembl.org/Mus_musculus/Gene/Summary?db=core;g=ENSMUSG00000000420","ENSMUSG00000000420")</f>
        <v>ENSMUSG00000000420</v>
      </c>
      <c r="I3870" s="7" t="str">
        <f>HYPERLINK("http://www.informatics.jax.org/marker/MGI:894693","MGI:894693")</f>
        <v>MGI:894693</v>
      </c>
      <c r="J3870" s="4" t="s">
        <v>12</v>
      </c>
    </row>
    <row r="3871" spans="1:10" x14ac:dyDescent="0.25">
      <c r="A3871" s="2">
        <v>2083.1514658454298</v>
      </c>
      <c r="B3871" s="3">
        <v>-0.135860816822092</v>
      </c>
      <c r="C3871" s="3">
        <v>1.6283965484121499E-3</v>
      </c>
      <c r="D3871" s="4">
        <v>5.5039924137261402E-3</v>
      </c>
      <c r="E3871" s="3" t="s">
        <v>5621</v>
      </c>
      <c r="F3871" s="3" t="s">
        <v>5622</v>
      </c>
      <c r="G3871" s="3">
        <v>105239</v>
      </c>
      <c r="H3871" s="7" t="str">
        <f>HYPERLINK("http://www.ensembl.org/Mus_musculus/Gene/Summary?db=core;g=ENSMUSG00000034928","ENSMUSG00000034928")</f>
        <v>ENSMUSG00000034928</v>
      </c>
      <c r="I3871" s="7" t="str">
        <f>HYPERLINK("http://www.informatics.jax.org/marker/MGI:2145310","MGI:2145310")</f>
        <v>MGI:2145310</v>
      </c>
      <c r="J3871" s="4" t="s">
        <v>12</v>
      </c>
    </row>
    <row r="3872" spans="1:10" x14ac:dyDescent="0.25">
      <c r="A3872" s="2">
        <v>626.00558064725499</v>
      </c>
      <c r="B3872" s="3">
        <v>-0.136148588326331</v>
      </c>
      <c r="C3872" s="3">
        <v>8.6684380171346206E-2</v>
      </c>
      <c r="D3872" s="4">
        <v>0.18098554572376899</v>
      </c>
      <c r="E3872" s="3" t="s">
        <v>13523</v>
      </c>
      <c r="F3872" s="3" t="s">
        <v>13524</v>
      </c>
      <c r="G3872" s="3">
        <v>55936</v>
      </c>
      <c r="H3872" s="7" t="str">
        <f>HYPERLINK("http://www.ensembl.org/Mus_musculus/Gene/Summary?db=core;g=ENSMUSG00000031360","ENSMUSG00000031360")</f>
        <v>ENSMUSG00000031360</v>
      </c>
      <c r="I3872" s="7" t="str">
        <f>HYPERLINK("http://www.informatics.jax.org/marker/MGI:1933185","MGI:1933185")</f>
        <v>MGI:1933185</v>
      </c>
      <c r="J3872" s="4" t="s">
        <v>12</v>
      </c>
    </row>
    <row r="3873" spans="1:10" x14ac:dyDescent="0.25">
      <c r="A3873" s="2">
        <v>1242.5911074340399</v>
      </c>
      <c r="B3873" s="3">
        <v>-0.13626399388993801</v>
      </c>
      <c r="C3873" s="3">
        <v>1.8001740673210601E-2</v>
      </c>
      <c r="D3873" s="4">
        <v>4.7090817248351298E-2</v>
      </c>
      <c r="E3873" s="3" t="s">
        <v>13697</v>
      </c>
      <c r="F3873" s="3" t="s">
        <v>13698</v>
      </c>
      <c r="G3873" s="3">
        <v>27756</v>
      </c>
      <c r="H3873" s="7" t="str">
        <f>HYPERLINK("http://www.ensembl.org/Mus_musculus/Gene/Summary?db=core;g=ENSMUSG00000007050","ENSMUSG00000007050")</f>
        <v>ENSMUSG00000007050</v>
      </c>
      <c r="I3873" s="7" t="str">
        <f>HYPERLINK("http://www.informatics.jax.org/marker/MGI:90676","MGI:90676")</f>
        <v>MGI:90676</v>
      </c>
      <c r="J3873" s="4" t="s">
        <v>12</v>
      </c>
    </row>
    <row r="3874" spans="1:10" x14ac:dyDescent="0.25">
      <c r="A3874" s="2">
        <v>5092.5606244907704</v>
      </c>
      <c r="B3874" s="3">
        <v>-0.136505704117102</v>
      </c>
      <c r="C3874" s="3">
        <v>1.12902310020181E-2</v>
      </c>
      <c r="D3874" s="4">
        <v>3.12474502675445E-2</v>
      </c>
      <c r="E3874" s="3" t="s">
        <v>10974</v>
      </c>
      <c r="F3874" s="3" t="s">
        <v>10975</v>
      </c>
      <c r="G3874" s="3">
        <v>16549</v>
      </c>
      <c r="H3874" s="7" t="str">
        <f>HYPERLINK("http://www.ensembl.org/Mus_musculus/Gene/Summary?db=core;g=ENSMUSG00000007670","ENSMUSG00000007670")</f>
        <v>ENSMUSG00000007670</v>
      </c>
      <c r="I3874" s="7" t="str">
        <f>HYPERLINK("http://www.informatics.jax.org/marker/MGI:1336214","MGI:1336214")</f>
        <v>MGI:1336214</v>
      </c>
      <c r="J3874" s="4" t="s">
        <v>12</v>
      </c>
    </row>
    <row r="3875" spans="1:10" x14ac:dyDescent="0.25">
      <c r="A3875" s="2">
        <v>772.97442866767699</v>
      </c>
      <c r="B3875" s="3">
        <v>-0.13662814971957599</v>
      </c>
      <c r="C3875" s="3">
        <v>1.1848643804405E-2</v>
      </c>
      <c r="D3875" s="4">
        <v>3.2624495140547098E-2</v>
      </c>
      <c r="E3875" s="3" t="s">
        <v>10992</v>
      </c>
      <c r="F3875" s="3" t="s">
        <v>10993</v>
      </c>
      <c r="G3875" s="3">
        <v>217463</v>
      </c>
      <c r="H3875" s="7" t="str">
        <f>HYPERLINK("http://www.ensembl.org/Mus_musculus/Gene/Summary?db=core;g=ENSMUSG00000020590","ENSMUSG00000020590")</f>
        <v>ENSMUSG00000020590</v>
      </c>
      <c r="I3875" s="7" t="str">
        <f>HYPERLINK("http://www.informatics.jax.org/marker/MGI:2661416","MGI:2661416")</f>
        <v>MGI:2661416</v>
      </c>
      <c r="J3875" s="4" t="s">
        <v>12</v>
      </c>
    </row>
    <row r="3876" spans="1:10" x14ac:dyDescent="0.25">
      <c r="A3876" s="2">
        <v>188.11853422203799</v>
      </c>
      <c r="B3876" s="3">
        <v>-0.136691969149348</v>
      </c>
      <c r="C3876" s="3">
        <v>0.30053598352199901</v>
      </c>
      <c r="D3876" s="4">
        <v>0.47430144191508899</v>
      </c>
      <c r="E3876" s="3" t="s">
        <v>10958</v>
      </c>
      <c r="F3876" s="3" t="s">
        <v>10959</v>
      </c>
      <c r="G3876" s="3">
        <v>24083</v>
      </c>
      <c r="H3876" s="7" t="str">
        <f>HYPERLINK("http://www.ensembl.org/Mus_musculus/Gene/Summary?db=core;g=ENSMUSG00000018931","ENSMUSG00000018931")</f>
        <v>ENSMUSG00000018931</v>
      </c>
      <c r="I3876" s="7" t="str">
        <f>HYPERLINK("http://www.informatics.jax.org/marker/MGI:1344388","MGI:1344388")</f>
        <v>MGI:1344388</v>
      </c>
      <c r="J3876" s="4" t="s">
        <v>12</v>
      </c>
    </row>
    <row r="3877" spans="1:10" x14ac:dyDescent="0.25">
      <c r="A3877" s="2">
        <v>3389.5567687273001</v>
      </c>
      <c r="B3877" s="3">
        <v>-0.136817457542627</v>
      </c>
      <c r="C3877" s="3">
        <v>2.6739130479337899E-2</v>
      </c>
      <c r="D3877" s="4">
        <v>6.6528416789888606E-2</v>
      </c>
      <c r="E3877" s="3" t="s">
        <v>13298</v>
      </c>
      <c r="F3877" s="3" t="s">
        <v>13299</v>
      </c>
      <c r="G3877" s="3">
        <v>74493</v>
      </c>
      <c r="H3877" s="7" t="str">
        <f>HYPERLINK("http://www.ensembl.org/Mus_musculus/Gene/Summary?db=core;g=ENSMUSG00000024811","ENSMUSG00000024811")</f>
        <v>ENSMUSG00000024811</v>
      </c>
      <c r="I3877" s="7" t="str">
        <f>HYPERLINK("http://www.informatics.jax.org/marker/MGI:1921743","MGI:1921743")</f>
        <v>MGI:1921743</v>
      </c>
      <c r="J3877" s="4" t="s">
        <v>12</v>
      </c>
    </row>
    <row r="3878" spans="1:10" x14ac:dyDescent="0.25">
      <c r="A3878" s="2">
        <v>1229.31795183497</v>
      </c>
      <c r="B3878" s="3">
        <v>-0.136820736549574</v>
      </c>
      <c r="C3878" s="3">
        <v>3.3974153758175099E-2</v>
      </c>
      <c r="D3878" s="4">
        <v>8.1967031009099994E-2</v>
      </c>
      <c r="E3878" s="3" t="s">
        <v>12641</v>
      </c>
      <c r="F3878" s="3" t="s">
        <v>12642</v>
      </c>
      <c r="G3878" s="3">
        <v>56409</v>
      </c>
      <c r="H3878" s="7" t="str">
        <f>HYPERLINK("http://www.ensembl.org/Mus_musculus/Gene/Summary?db=core;g=ENSMUSG00000024213","ENSMUSG00000024213")</f>
        <v>ENSMUSG00000024213</v>
      </c>
      <c r="I3878" s="7" t="str">
        <f>HYPERLINK("http://www.informatics.jax.org/marker/MGI:1928484","MGI:1928484")</f>
        <v>MGI:1928484</v>
      </c>
      <c r="J3878" s="4" t="s">
        <v>12</v>
      </c>
    </row>
    <row r="3879" spans="1:10" x14ac:dyDescent="0.25">
      <c r="A3879" s="2">
        <v>339.46566995349099</v>
      </c>
      <c r="B3879" s="3">
        <v>-0.13691163077891</v>
      </c>
      <c r="C3879" s="3">
        <v>6.8569857761108702E-2</v>
      </c>
      <c r="D3879" s="4">
        <v>0.148807532471565</v>
      </c>
      <c r="E3879" s="3" t="s">
        <v>11339</v>
      </c>
      <c r="F3879" s="3" t="s">
        <v>11340</v>
      </c>
      <c r="G3879" s="3">
        <v>320615</v>
      </c>
      <c r="H3879" s="7" t="str">
        <f>HYPERLINK("http://www.ensembl.org/Mus_musculus/Gene/Summary?db=core;g=ENSMUSG00000034973","ENSMUSG00000034973")</f>
        <v>ENSMUSG00000034973</v>
      </c>
      <c r="I3879" s="7" t="str">
        <f>HYPERLINK("http://www.informatics.jax.org/marker/MGI:1289294","MGI:1289294")</f>
        <v>MGI:1289294</v>
      </c>
      <c r="J3879" s="4" t="s">
        <v>12</v>
      </c>
    </row>
    <row r="3880" spans="1:10" x14ac:dyDescent="0.25">
      <c r="A3880" s="2">
        <v>437.14191231656099</v>
      </c>
      <c r="B3880" s="3">
        <v>-0.13692417805113799</v>
      </c>
      <c r="C3880" s="3">
        <v>0.38597062639535501</v>
      </c>
      <c r="D3880" s="4">
        <v>0.56409901091061299</v>
      </c>
      <c r="E3880" s="3" t="s">
        <v>13673</v>
      </c>
      <c r="F3880" s="3" t="s">
        <v>13674</v>
      </c>
      <c r="G3880" s="3">
        <v>68041</v>
      </c>
      <c r="H3880" s="7" t="str">
        <f>HYPERLINK("http://www.ensembl.org/Mus_musculus/Gene/Summary?db=core;g=ENSMUSG00000008035","ENSMUSG00000008035")</f>
        <v>ENSMUSG00000008035</v>
      </c>
      <c r="I3880" s="7" t="str">
        <f>HYPERLINK("http://www.informatics.jax.org/marker/MGI:1915291","MGI:1915291")</f>
        <v>MGI:1915291</v>
      </c>
      <c r="J3880" s="4" t="s">
        <v>12</v>
      </c>
    </row>
    <row r="3881" spans="1:10" x14ac:dyDescent="0.25">
      <c r="A3881" s="2">
        <v>2332.2329526713402</v>
      </c>
      <c r="B3881" s="3">
        <v>-0.137645319795106</v>
      </c>
      <c r="C3881" s="3">
        <v>1.37481993421639E-3</v>
      </c>
      <c r="D3881" s="4">
        <v>4.7133358354201696E-3</v>
      </c>
      <c r="E3881" s="3" t="s">
        <v>11399</v>
      </c>
      <c r="F3881" s="3" t="s">
        <v>11400</v>
      </c>
      <c r="G3881" s="3">
        <v>20610</v>
      </c>
      <c r="H3881" s="7" t="str">
        <f>HYPERLINK("http://www.ensembl.org/Mus_musculus/Gene/Summary?db=core;g=ENSMUSG00000020265","ENSMUSG00000020265")</f>
        <v>ENSMUSG00000020265</v>
      </c>
      <c r="I3881" s="7" t="str">
        <f>HYPERLINK("http://www.informatics.jax.org/marker/MGI:1336201","MGI:1336201")</f>
        <v>MGI:1336201</v>
      </c>
      <c r="J3881" s="4" t="s">
        <v>12</v>
      </c>
    </row>
    <row r="3882" spans="1:10" x14ac:dyDescent="0.25">
      <c r="A3882" s="2">
        <v>3353.74853330817</v>
      </c>
      <c r="B3882" s="3">
        <v>-0.13860072311723801</v>
      </c>
      <c r="C3882" s="3">
        <v>1.6446430654796201E-3</v>
      </c>
      <c r="D3882" s="4">
        <v>5.5471538899096E-3</v>
      </c>
      <c r="E3882" s="3" t="s">
        <v>5163</v>
      </c>
      <c r="F3882" s="3" t="s">
        <v>5164</v>
      </c>
      <c r="G3882" s="3">
        <v>19087</v>
      </c>
      <c r="H3882" s="7" t="str">
        <f>HYPERLINK("http://www.ensembl.org/Mus_musculus/Gene/Summary?db=core;g=ENSMUSG00000032601","ENSMUSG00000032601")</f>
        <v>ENSMUSG00000032601</v>
      </c>
      <c r="I3882" s="7" t="str">
        <f>HYPERLINK("http://www.informatics.jax.org/marker/MGI:108025","MGI:108025")</f>
        <v>MGI:108025</v>
      </c>
      <c r="J3882" s="4" t="s">
        <v>12</v>
      </c>
    </row>
    <row r="3883" spans="1:10" x14ac:dyDescent="0.25">
      <c r="A3883" s="2">
        <v>745.67837764815897</v>
      </c>
      <c r="B3883" s="3">
        <v>-0.13860654493177901</v>
      </c>
      <c r="C3883" s="3">
        <v>1.5802398915387799E-2</v>
      </c>
      <c r="D3883" s="4">
        <v>4.2123551299245603E-2</v>
      </c>
      <c r="E3883" s="3" t="s">
        <v>10736</v>
      </c>
      <c r="F3883" s="3" t="s">
        <v>10737</v>
      </c>
      <c r="G3883" s="3">
        <v>69091</v>
      </c>
      <c r="H3883" s="7" t="str">
        <f>HYPERLINK("http://www.ensembl.org/Mus_musculus/Gene/Summary?db=core;g=ENSMUSG00000031988","ENSMUSG00000031988")</f>
        <v>ENSMUSG00000031988</v>
      </c>
      <c r="I3883" s="7" t="str">
        <f>HYPERLINK("http://www.informatics.jax.org/marker/MGI:1917656","MGI:1917656")</f>
        <v>MGI:1917656</v>
      </c>
      <c r="J3883" s="4" t="s">
        <v>12</v>
      </c>
    </row>
    <row r="3884" spans="1:10" x14ac:dyDescent="0.25">
      <c r="A3884" s="2">
        <v>844.12876092485203</v>
      </c>
      <c r="B3884" s="3">
        <v>-0.13878578950085499</v>
      </c>
      <c r="C3884" s="3">
        <v>4.6147087579607596E-3</v>
      </c>
      <c r="D3884" s="4">
        <v>1.3979898123975199E-2</v>
      </c>
      <c r="E3884" s="3" t="s">
        <v>8389</v>
      </c>
      <c r="F3884" s="3" t="s">
        <v>8390</v>
      </c>
      <c r="G3884" s="3">
        <v>67276</v>
      </c>
      <c r="H3884" s="7" t="str">
        <f>HYPERLINK("http://www.ensembl.org/Mus_musculus/Gene/Summary?db=core;g=ENSMUSG00000031527","ENSMUSG00000031527")</f>
        <v>ENSMUSG00000031527</v>
      </c>
      <c r="I3884" s="7" t="str">
        <f>HYPERLINK("http://www.informatics.jax.org/marker/MGI:1914526","MGI:1914526")</f>
        <v>MGI:1914526</v>
      </c>
      <c r="J3884" s="4" t="s">
        <v>12</v>
      </c>
    </row>
    <row r="3885" spans="1:10" x14ac:dyDescent="0.25">
      <c r="A3885" s="2">
        <v>393.73990949474199</v>
      </c>
      <c r="B3885" s="3">
        <v>-0.138880976859658</v>
      </c>
      <c r="C3885" s="3">
        <v>0.11261945496598</v>
      </c>
      <c r="D3885" s="4">
        <v>0.22389981092559999</v>
      </c>
      <c r="E3885" s="3" t="s">
        <v>13705</v>
      </c>
      <c r="F3885" s="3" t="s">
        <v>13706</v>
      </c>
      <c r="G3885" s="3">
        <v>229589</v>
      </c>
      <c r="H3885" s="7" t="str">
        <f>HYPERLINK("http://www.ensembl.org/Mus_musculus/Gene/Summary?db=core;g=ENSMUSG00000015711","ENSMUSG00000015711")</f>
        <v>ENSMUSG00000015711</v>
      </c>
      <c r="I3885" s="7" t="str">
        <f>HYPERLINK("http://www.informatics.jax.org/marker/MGI:1925152","MGI:1925152")</f>
        <v>MGI:1925152</v>
      </c>
      <c r="J3885" s="4" t="s">
        <v>12</v>
      </c>
    </row>
    <row r="3886" spans="1:10" x14ac:dyDescent="0.25">
      <c r="A3886" s="2">
        <v>177.79810602584001</v>
      </c>
      <c r="B3886" s="3">
        <v>-0.13893892511208</v>
      </c>
      <c r="C3886" s="3">
        <v>0.121848762118693</v>
      </c>
      <c r="D3886" s="4">
        <v>0.238964133176926</v>
      </c>
      <c r="E3886" s="3" t="s">
        <v>11249</v>
      </c>
      <c r="F3886" s="3" t="s">
        <v>11250</v>
      </c>
      <c r="G3886" s="3">
        <v>105651</v>
      </c>
      <c r="H3886" s="7" t="str">
        <f>HYPERLINK("http://www.ensembl.org/Mus_musculus/Gene/Summary?db=core;g=ENSMUSG00000072494","ENSMUSG00000072494")</f>
        <v>ENSMUSG00000072494</v>
      </c>
      <c r="I3886" s="7" t="str">
        <f>HYPERLINK("http://www.informatics.jax.org/marker/MGI:2145790","MGI:2145790")</f>
        <v>MGI:2145790</v>
      </c>
      <c r="J3886" s="4" t="s">
        <v>12</v>
      </c>
    </row>
    <row r="3887" spans="1:10" x14ac:dyDescent="0.25">
      <c r="A3887" s="2">
        <v>122.028706368088</v>
      </c>
      <c r="B3887" s="3">
        <v>-0.13933299374894401</v>
      </c>
      <c r="C3887" s="3">
        <v>0.32980812852603297</v>
      </c>
      <c r="D3887" s="4">
        <v>0.50745066630535696</v>
      </c>
      <c r="E3887" s="3" t="s">
        <v>10430</v>
      </c>
      <c r="F3887" s="3" t="s">
        <v>10431</v>
      </c>
      <c r="G3887" s="3">
        <v>17864</v>
      </c>
      <c r="H3887" s="7" t="str">
        <f>HYPERLINK("http://www.ensembl.org/Mus_musculus/Gene/Summary?db=core;g=ENSMUSG00000025912","ENSMUSG00000025912")</f>
        <v>ENSMUSG00000025912</v>
      </c>
      <c r="I3887" s="7" t="str">
        <f>HYPERLINK("http://www.informatics.jax.org/marker/MGI:99925","MGI:99925")</f>
        <v>MGI:99925</v>
      </c>
      <c r="J3887" s="4" t="s">
        <v>12</v>
      </c>
    </row>
    <row r="3888" spans="1:10" x14ac:dyDescent="0.25">
      <c r="A3888" s="2">
        <v>29.601621685430299</v>
      </c>
      <c r="B3888" s="3">
        <v>-0.14029757242266799</v>
      </c>
      <c r="C3888" s="3">
        <v>0.54486090248982399</v>
      </c>
      <c r="D3888" s="4">
        <v>0.71086620000551504</v>
      </c>
      <c r="E3888" s="3" t="s">
        <v>13657</v>
      </c>
      <c r="F3888" s="3" t="s">
        <v>13658</v>
      </c>
      <c r="G3888" s="3" t="s">
        <v>83</v>
      </c>
      <c r="H3888" s="7" t="str">
        <f>HYPERLINK("http://www.ensembl.org/Mus_musculus/Gene/Summary?db=core;g=ENSMUSG00000087523","ENSMUSG00000087523")</f>
        <v>ENSMUSG00000087523</v>
      </c>
      <c r="I3888" s="7" t="str">
        <f>HYPERLINK("http://www.informatics.jax.org/marker/MGI:3649749","MGI:3649749")</f>
        <v>MGI:3649749</v>
      </c>
      <c r="J3888" s="4" t="s">
        <v>939</v>
      </c>
    </row>
    <row r="3889" spans="1:10" x14ac:dyDescent="0.25">
      <c r="A3889" s="2">
        <v>1002.47691629961</v>
      </c>
      <c r="B3889" s="3">
        <v>-0.14049526974968701</v>
      </c>
      <c r="C3889" s="3">
        <v>3.8584756777295899E-2</v>
      </c>
      <c r="D3889" s="4">
        <v>9.1611150633952407E-2</v>
      </c>
      <c r="E3889" s="3" t="s">
        <v>12469</v>
      </c>
      <c r="F3889" s="3" t="s">
        <v>12470</v>
      </c>
      <c r="G3889" s="3">
        <v>319965</v>
      </c>
      <c r="H3889" s="7" t="str">
        <f>HYPERLINK("http://www.ensembl.org/Mus_musculus/Gene/Summary?db=core;g=ENSMUSG00000028582","ENSMUSG00000028582")</f>
        <v>ENSMUSG00000028582</v>
      </c>
      <c r="I3889" s="7" t="str">
        <f>HYPERLINK("http://www.informatics.jax.org/marker/MGI:2443076","MGI:2443076")</f>
        <v>MGI:2443076</v>
      </c>
      <c r="J3889" s="4" t="s">
        <v>12</v>
      </c>
    </row>
    <row r="3890" spans="1:10" x14ac:dyDescent="0.25">
      <c r="A3890" s="2">
        <v>2763.1410599230699</v>
      </c>
      <c r="B3890" s="3">
        <v>-0.140973979392888</v>
      </c>
      <c r="C3890" s="3">
        <v>4.1629786839423597E-3</v>
      </c>
      <c r="D3890" s="4">
        <v>1.27620330554835E-2</v>
      </c>
      <c r="E3890" s="3" t="s">
        <v>11963</v>
      </c>
      <c r="F3890" s="3" t="s">
        <v>11964</v>
      </c>
      <c r="G3890" s="3">
        <v>116870</v>
      </c>
      <c r="H3890" s="7" t="str">
        <f>HYPERLINK("http://www.ensembl.org/Mus_musculus/Gene/Summary?db=core;g=ENSMUSG00000021144","ENSMUSG00000021144")</f>
        <v>ENSMUSG00000021144</v>
      </c>
      <c r="I3890" s="7" t="str">
        <f>HYPERLINK("http://www.informatics.jax.org/marker/MGI:2150037","MGI:2150037")</f>
        <v>MGI:2150037</v>
      </c>
      <c r="J3890" s="4" t="s">
        <v>12</v>
      </c>
    </row>
    <row r="3891" spans="1:10" x14ac:dyDescent="0.25">
      <c r="A3891" s="2">
        <v>760.68160981261803</v>
      </c>
      <c r="B3891" s="3">
        <v>-0.14115191431423799</v>
      </c>
      <c r="C3891" s="3">
        <v>3.25766224941837E-2</v>
      </c>
      <c r="D3891" s="4">
        <v>7.9055784947603E-2</v>
      </c>
      <c r="E3891" s="3" t="s">
        <v>11137</v>
      </c>
      <c r="F3891" s="3" t="s">
        <v>11138</v>
      </c>
      <c r="G3891" s="3">
        <v>56749</v>
      </c>
      <c r="H3891" s="7" t="str">
        <f>HYPERLINK("http://www.ensembl.org/Mus_musculus/Gene/Summary?db=core;g=ENSMUSG00000031730","ENSMUSG00000031730")</f>
        <v>ENSMUSG00000031730</v>
      </c>
      <c r="I3891" s="7" t="str">
        <f>HYPERLINK("http://www.informatics.jax.org/marker/MGI:1928378","MGI:1928378")</f>
        <v>MGI:1928378</v>
      </c>
      <c r="J3891" s="4" t="s">
        <v>12</v>
      </c>
    </row>
    <row r="3892" spans="1:10" x14ac:dyDescent="0.25">
      <c r="A3892" s="2">
        <v>3391.1313468776798</v>
      </c>
      <c r="B3892" s="3">
        <v>-0.14122414770989999</v>
      </c>
      <c r="C3892" s="3">
        <v>4.0544287258649399E-3</v>
      </c>
      <c r="D3892" s="4">
        <v>1.2464906128355E-2</v>
      </c>
      <c r="E3892" s="3" t="s">
        <v>11909</v>
      </c>
      <c r="F3892" s="3" t="s">
        <v>11910</v>
      </c>
      <c r="G3892" s="3">
        <v>11758</v>
      </c>
      <c r="H3892" s="7" t="str">
        <f>HYPERLINK("http://www.ensembl.org/Mus_musculus/Gene/Summary?db=core;g=ENSMUSG00000026701","ENSMUSG00000026701")</f>
        <v>ENSMUSG00000026701</v>
      </c>
      <c r="I3892" s="7" t="str">
        <f>HYPERLINK("http://www.informatics.jax.org/marker/MGI:894320","MGI:894320")</f>
        <v>MGI:894320</v>
      </c>
      <c r="J3892" s="4" t="s">
        <v>12</v>
      </c>
    </row>
    <row r="3893" spans="1:10" x14ac:dyDescent="0.25">
      <c r="A3893" s="2">
        <v>1517.3045738941</v>
      </c>
      <c r="B3893" s="3">
        <v>-0.141453004333296</v>
      </c>
      <c r="C3893" s="3">
        <v>2.0467257578430202E-3</v>
      </c>
      <c r="D3893" s="4">
        <v>6.7561736434513702E-3</v>
      </c>
      <c r="E3893" s="3" t="s">
        <v>13071</v>
      </c>
      <c r="F3893" s="3" t="s">
        <v>13072</v>
      </c>
      <c r="G3893" s="3">
        <v>104416</v>
      </c>
      <c r="H3893" s="7" t="str">
        <f>HYPERLINK("http://www.ensembl.org/Mus_musculus/Gene/Summary?db=core;g=ENSMUSG00000021901","ENSMUSG00000021901")</f>
        <v>ENSMUSG00000021901</v>
      </c>
      <c r="I3893" s="7" t="str">
        <f>HYPERLINK("http://www.informatics.jax.org/marker/MGI:1206586","MGI:1206586")</f>
        <v>MGI:1206586</v>
      </c>
      <c r="J3893" s="4" t="s">
        <v>12</v>
      </c>
    </row>
    <row r="3894" spans="1:10" x14ac:dyDescent="0.25">
      <c r="A3894" s="2">
        <v>1531.20877255556</v>
      </c>
      <c r="B3894" s="3">
        <v>-0.141645366685345</v>
      </c>
      <c r="C3894" s="3">
        <v>2.34731511547038E-2</v>
      </c>
      <c r="D3894" s="4">
        <v>5.9329460071410899E-2</v>
      </c>
      <c r="E3894" s="3" t="s">
        <v>8893</v>
      </c>
      <c r="F3894" s="3" t="s">
        <v>8894</v>
      </c>
      <c r="G3894" s="3">
        <v>20425</v>
      </c>
      <c r="H3894" s="7" t="str">
        <f>HYPERLINK("http://www.ensembl.org/Mus_musculus/Gene/Summary?db=core;g=ENSMUSG00000020534","ENSMUSG00000020534")</f>
        <v>ENSMUSG00000020534</v>
      </c>
      <c r="I3894" s="7" t="str">
        <f>HYPERLINK("http://www.informatics.jax.org/marker/MGI:98299","MGI:98299")</f>
        <v>MGI:98299</v>
      </c>
      <c r="J3894" s="4" t="s">
        <v>12</v>
      </c>
    </row>
    <row r="3895" spans="1:10" x14ac:dyDescent="0.25">
      <c r="A3895" s="2">
        <v>1129.4808346831701</v>
      </c>
      <c r="B3895" s="3">
        <v>-0.141774336971738</v>
      </c>
      <c r="C3895" s="3">
        <v>2.3625329975800701E-2</v>
      </c>
      <c r="D3895" s="4">
        <v>5.96690186819522E-2</v>
      </c>
      <c r="E3895" s="3" t="s">
        <v>9473</v>
      </c>
      <c r="F3895" s="3" t="s">
        <v>9474</v>
      </c>
      <c r="G3895" s="3">
        <v>66743</v>
      </c>
      <c r="H3895" s="7" t="str">
        <f>HYPERLINK("http://www.ensembl.org/Mus_musculus/Gene/Summary?db=core;g=ENSMUSG00000028677","ENSMUSG00000028677")</f>
        <v>ENSMUSG00000028677</v>
      </c>
      <c r="I3895" s="7" t="str">
        <f>HYPERLINK("http://www.informatics.jax.org/marker/MGI:1913993","MGI:1913993")</f>
        <v>MGI:1913993</v>
      </c>
      <c r="J3895" s="4" t="s">
        <v>12</v>
      </c>
    </row>
    <row r="3896" spans="1:10" x14ac:dyDescent="0.25">
      <c r="A3896" s="2">
        <v>365.97151238356099</v>
      </c>
      <c r="B3896" s="3">
        <v>-0.141824885074777</v>
      </c>
      <c r="C3896" s="3">
        <v>3.7362485433131302E-2</v>
      </c>
      <c r="D3896" s="4">
        <v>8.9080494115491696E-2</v>
      </c>
      <c r="E3896" s="3" t="s">
        <v>9551</v>
      </c>
      <c r="F3896" s="3" t="s">
        <v>9552</v>
      </c>
      <c r="G3896" s="3">
        <v>238831</v>
      </c>
      <c r="H3896" s="7" t="str">
        <f>HYPERLINK("http://www.ensembl.org/Mus_musculus/Gene/Summary?db=core;g=ENSMUSG00000021713","ENSMUSG00000021713")</f>
        <v>ENSMUSG00000021713</v>
      </c>
      <c r="I3896" s="7" t="str">
        <f>HYPERLINK("http://www.informatics.jax.org/marker/MGI:2443069","MGI:2443069")</f>
        <v>MGI:2443069</v>
      </c>
      <c r="J3896" s="4" t="s">
        <v>12</v>
      </c>
    </row>
    <row r="3897" spans="1:10" x14ac:dyDescent="0.25">
      <c r="A3897" s="2">
        <v>261.97862253219802</v>
      </c>
      <c r="B3897" s="3">
        <v>-0.14184774684812901</v>
      </c>
      <c r="C3897" s="3">
        <v>0.14934261244491201</v>
      </c>
      <c r="D3897" s="4">
        <v>0.28073944421735197</v>
      </c>
      <c r="E3897" s="3" t="s">
        <v>7332</v>
      </c>
      <c r="F3897" s="3" t="s">
        <v>7333</v>
      </c>
      <c r="G3897" s="3">
        <v>320100</v>
      </c>
      <c r="H3897" s="7" t="str">
        <f>HYPERLINK("http://www.ensembl.org/Mus_musculus/Gene/Summary?db=core;g=ENSMUSG00000008318","ENSMUSG00000008318")</f>
        <v>ENSMUSG00000008318</v>
      </c>
      <c r="I3897" s="7" t="str">
        <f>HYPERLINK("http://www.informatics.jax.org/marker/MGI:2443373","MGI:2443373")</f>
        <v>MGI:2443373</v>
      </c>
      <c r="J3897" s="4" t="s">
        <v>12</v>
      </c>
    </row>
    <row r="3898" spans="1:10" x14ac:dyDescent="0.25">
      <c r="A3898" s="2">
        <v>118.069319503545</v>
      </c>
      <c r="B3898" s="3">
        <v>-0.142209268289965</v>
      </c>
      <c r="C3898" s="3">
        <v>0.22045404307152699</v>
      </c>
      <c r="D3898" s="4">
        <v>0.37800121695160199</v>
      </c>
      <c r="E3898" s="3" t="s">
        <v>11058</v>
      </c>
      <c r="F3898" s="3" t="s">
        <v>11059</v>
      </c>
      <c r="G3898" s="3" t="s">
        <v>83</v>
      </c>
      <c r="H3898" s="7" t="str">
        <f>HYPERLINK("http://www.ensembl.org/Mus_musculus/Gene/Summary?db=core;g=ENSMUSG00000096687","ENSMUSG00000096687")</f>
        <v>ENSMUSG00000096687</v>
      </c>
      <c r="I3898" s="7" t="str">
        <f>HYPERLINK("http://www.informatics.jax.org/marker/MGI:3035041","MGI:3035041")</f>
        <v>MGI:3035041</v>
      </c>
      <c r="J3898" s="4" t="s">
        <v>12</v>
      </c>
    </row>
    <row r="3899" spans="1:10" x14ac:dyDescent="0.25">
      <c r="A3899" s="2">
        <v>460.22336692339599</v>
      </c>
      <c r="B3899" s="3">
        <v>-0.14229466085266201</v>
      </c>
      <c r="C3899" s="3">
        <v>7.0795720651182295E-2</v>
      </c>
      <c r="D3899" s="4">
        <v>0.15274677505242101</v>
      </c>
      <c r="E3899" s="3" t="s">
        <v>11289</v>
      </c>
      <c r="F3899" s="3" t="s">
        <v>11290</v>
      </c>
      <c r="G3899" s="3">
        <v>72050</v>
      </c>
      <c r="H3899" s="7" t="str">
        <f>HYPERLINK("http://www.ensembl.org/Mus_musculus/Gene/Summary?db=core;g=ENSMUSG00000026047","ENSMUSG00000026047")</f>
        <v>ENSMUSG00000026047</v>
      </c>
      <c r="I3899" s="7" t="str">
        <f>HYPERLINK("http://www.informatics.jax.org/marker/MGI:1919300","MGI:1919300")</f>
        <v>MGI:1919300</v>
      </c>
      <c r="J3899" s="4" t="s">
        <v>12</v>
      </c>
    </row>
    <row r="3900" spans="1:10" x14ac:dyDescent="0.25">
      <c r="A3900" s="2">
        <v>1127.86544351105</v>
      </c>
      <c r="B3900" s="3">
        <v>-0.142380678152564</v>
      </c>
      <c r="C3900" s="3">
        <v>5.1479025097261903E-3</v>
      </c>
      <c r="D3900" s="4">
        <v>1.54462501217912E-2</v>
      </c>
      <c r="E3900" s="3" t="s">
        <v>8977</v>
      </c>
      <c r="F3900" s="3" t="s">
        <v>8978</v>
      </c>
      <c r="G3900" s="3">
        <v>52335</v>
      </c>
      <c r="H3900" s="7" t="str">
        <f>HYPERLINK("http://www.ensembl.org/Mus_musculus/Gene/Summary?db=core;g=ENSMUSG00000069895","ENSMUSG00000069895")</f>
        <v>ENSMUSG00000069895</v>
      </c>
      <c r="I3900" s="7" t="str">
        <f>HYPERLINK("http://www.informatics.jax.org/marker/MGI:3694797","MGI:3694797")</f>
        <v>MGI:3694797</v>
      </c>
      <c r="J3900" s="4" t="s">
        <v>12</v>
      </c>
    </row>
    <row r="3901" spans="1:10" x14ac:dyDescent="0.25">
      <c r="A3901" s="2">
        <v>1798.82136599572</v>
      </c>
      <c r="B3901" s="3">
        <v>-0.142458398289982</v>
      </c>
      <c r="C3901" s="3">
        <v>1.7498583654370001E-3</v>
      </c>
      <c r="D3901" s="4">
        <v>5.86558188524726E-3</v>
      </c>
      <c r="E3901" s="3" t="s">
        <v>8863</v>
      </c>
      <c r="F3901" s="3" t="s">
        <v>8864</v>
      </c>
      <c r="G3901" s="3">
        <v>72265</v>
      </c>
      <c r="H3901" s="7" t="str">
        <f>HYPERLINK("http://www.ensembl.org/Mus_musculus/Gene/Summary?db=core;g=ENSMUSG00000025935","ENSMUSG00000025935")</f>
        <v>ENSMUSG00000025935</v>
      </c>
      <c r="I3901" s="7" t="str">
        <f>HYPERLINK("http://www.informatics.jax.org/marker/MGI:1919515","MGI:1919515")</f>
        <v>MGI:1919515</v>
      </c>
      <c r="J3901" s="4" t="s">
        <v>12</v>
      </c>
    </row>
    <row r="3902" spans="1:10" x14ac:dyDescent="0.25">
      <c r="A3902" s="2">
        <v>1692.41892575986</v>
      </c>
      <c r="B3902" s="3">
        <v>-0.14277513114023199</v>
      </c>
      <c r="C3902" s="3">
        <v>7.7561210772056799E-4</v>
      </c>
      <c r="D3902" s="4">
        <v>2.7798487046622098E-3</v>
      </c>
      <c r="E3902" s="3" t="s">
        <v>7818</v>
      </c>
      <c r="F3902" s="3" t="s">
        <v>7819</v>
      </c>
      <c r="G3902" s="3">
        <v>229543</v>
      </c>
      <c r="H3902" s="7" t="str">
        <f>HYPERLINK("http://www.ensembl.org/Mus_musculus/Gene/Summary?db=core;g=ENSMUSG00000027933","ENSMUSG00000027933")</f>
        <v>ENSMUSG00000027933</v>
      </c>
      <c r="I3902" s="7" t="str">
        <f>HYPERLINK("http://www.informatics.jax.org/marker/MGI:2140050","MGI:2140050")</f>
        <v>MGI:2140050</v>
      </c>
      <c r="J3902" s="4" t="s">
        <v>12</v>
      </c>
    </row>
    <row r="3903" spans="1:10" x14ac:dyDescent="0.25">
      <c r="A3903" s="2">
        <v>2798.0042698472298</v>
      </c>
      <c r="B3903" s="3">
        <v>-0.14328626100470701</v>
      </c>
      <c r="C3903" s="3">
        <v>8.6697534504990806E-2</v>
      </c>
      <c r="D3903" s="4">
        <v>0.18099227564186199</v>
      </c>
      <c r="E3903" s="3" t="s">
        <v>12515</v>
      </c>
      <c r="F3903" s="3" t="s">
        <v>12516</v>
      </c>
      <c r="G3903" s="3">
        <v>74355</v>
      </c>
      <c r="H3903" s="7" t="str">
        <f>HYPERLINK("http://www.ensembl.org/Mus_musculus/Gene/Summary?db=core;g=ENSMUSG00000024054","ENSMUSG00000024054")</f>
        <v>ENSMUSG00000024054</v>
      </c>
      <c r="I3903" s="7" t="str">
        <f>HYPERLINK("http://www.informatics.jax.org/marker/MGI:1921605","MGI:1921605")</f>
        <v>MGI:1921605</v>
      </c>
      <c r="J3903" s="4" t="s">
        <v>12</v>
      </c>
    </row>
    <row r="3904" spans="1:10" x14ac:dyDescent="0.25">
      <c r="A3904" s="2">
        <v>1023.47232859363</v>
      </c>
      <c r="B3904" s="3">
        <v>-0.14348197223289799</v>
      </c>
      <c r="C3904" s="3">
        <v>5.7364504098083698E-2</v>
      </c>
      <c r="D3904" s="4">
        <v>0.12818392437317</v>
      </c>
      <c r="E3904" s="3" t="s">
        <v>13913</v>
      </c>
      <c r="F3904" s="3" t="s">
        <v>13914</v>
      </c>
      <c r="G3904" s="3">
        <v>72544</v>
      </c>
      <c r="H3904" s="7" t="str">
        <f>HYPERLINK("http://www.ensembl.org/Mus_musculus/Gene/Summary?db=core;g=ENSMUSG00000109941","ENSMUSG00000109941")</f>
        <v>ENSMUSG00000109941</v>
      </c>
      <c r="I3904" s="7" t="str">
        <f>HYPERLINK("http://www.informatics.jax.org/marker/MGI:1919794","MGI:1919794")</f>
        <v>MGI:1919794</v>
      </c>
      <c r="J3904" s="4" t="s">
        <v>12</v>
      </c>
    </row>
    <row r="3905" spans="1:10" x14ac:dyDescent="0.25">
      <c r="A3905" s="2">
        <v>1265.9941926251699</v>
      </c>
      <c r="B3905" s="3">
        <v>-0.14355847108393999</v>
      </c>
      <c r="C3905" s="3">
        <v>0.22923822465215499</v>
      </c>
      <c r="D3905" s="4">
        <v>0.38885579339962101</v>
      </c>
      <c r="E3905" s="3" t="s">
        <v>12633</v>
      </c>
      <c r="F3905" s="3" t="s">
        <v>12634</v>
      </c>
      <c r="G3905" s="3">
        <v>20351</v>
      </c>
      <c r="H3905" s="7" t="str">
        <f>HYPERLINK("http://www.ensembl.org/Mus_musculus/Gene/Summary?db=core;g=ENSMUSG00000028064","ENSMUSG00000028064")</f>
        <v>ENSMUSG00000028064</v>
      </c>
      <c r="I3905" s="7" t="str">
        <f>HYPERLINK("http://www.informatics.jax.org/marker/MGI:107560","MGI:107560")</f>
        <v>MGI:107560</v>
      </c>
      <c r="J3905" s="4" t="s">
        <v>12</v>
      </c>
    </row>
    <row r="3906" spans="1:10" x14ac:dyDescent="0.25">
      <c r="A3906" s="2">
        <v>91.327156636217396</v>
      </c>
      <c r="B3906" s="3">
        <v>-0.14368730824673301</v>
      </c>
      <c r="C3906" s="3">
        <v>0.26008110121565903</v>
      </c>
      <c r="D3906" s="4">
        <v>0.427063525511793</v>
      </c>
      <c r="E3906" s="3" t="s">
        <v>10710</v>
      </c>
      <c r="F3906" s="3" t="s">
        <v>10711</v>
      </c>
      <c r="G3906" s="3">
        <v>72899</v>
      </c>
      <c r="H3906" s="7" t="str">
        <f>HYPERLINK("http://www.ensembl.org/Mus_musculus/Gene/Summary?db=core;g=ENSMUSG00000068205","ENSMUSG00000068205")</f>
        <v>ENSMUSG00000068205</v>
      </c>
      <c r="I3906" s="7" t="str">
        <f>HYPERLINK("http://www.informatics.jax.org/marker/MGI:1920149","MGI:1920149")</f>
        <v>MGI:1920149</v>
      </c>
      <c r="J3906" s="4" t="s">
        <v>12</v>
      </c>
    </row>
    <row r="3907" spans="1:10" x14ac:dyDescent="0.25">
      <c r="A3907" s="2">
        <v>1148.0320390054901</v>
      </c>
      <c r="B3907" s="3">
        <v>-0.14373512824839299</v>
      </c>
      <c r="C3907" s="3">
        <v>0.28626730486790503</v>
      </c>
      <c r="D3907" s="4">
        <v>0.45877784305465802</v>
      </c>
      <c r="E3907" s="3" t="s">
        <v>13275</v>
      </c>
      <c r="F3907" s="3" t="s">
        <v>13276</v>
      </c>
      <c r="G3907" s="3">
        <v>208628</v>
      </c>
      <c r="H3907" s="7" t="str">
        <f>HYPERLINK("http://www.ensembl.org/Mus_musculus/Gene/Summary?db=core;g=ENSMUSG00000029414","ENSMUSG00000029414")</f>
        <v>ENSMUSG00000029414</v>
      </c>
      <c r="I3907" s="7" t="str">
        <f>HYPERLINK("http://www.informatics.jax.org/marker/MGI:2673709","MGI:2673709")</f>
        <v>MGI:2673709</v>
      </c>
      <c r="J3907" s="4" t="s">
        <v>12</v>
      </c>
    </row>
    <row r="3908" spans="1:10" x14ac:dyDescent="0.25">
      <c r="A3908" s="2">
        <v>587.42028081572096</v>
      </c>
      <c r="B3908" s="3">
        <v>-0.144103518112427</v>
      </c>
      <c r="C3908" s="3">
        <v>2.6079979722832099E-2</v>
      </c>
      <c r="D3908" s="4">
        <v>6.5092800664012004E-2</v>
      </c>
      <c r="E3908" s="3" t="s">
        <v>13787</v>
      </c>
      <c r="F3908" s="3" t="s">
        <v>13788</v>
      </c>
      <c r="G3908" s="3">
        <v>219150</v>
      </c>
      <c r="H3908" s="7" t="str">
        <f>HYPERLINK("http://www.ensembl.org/Mus_musculus/Gene/Summary?db=core;g=ENSMUSG00000021972","ENSMUSG00000021972")</f>
        <v>ENSMUSG00000021972</v>
      </c>
      <c r="I3908" s="7" t="str">
        <f>HYPERLINK("http://www.informatics.jax.org/marker/MGI:2445066","MGI:2445066")</f>
        <v>MGI:2445066</v>
      </c>
      <c r="J3908" s="4" t="s">
        <v>12</v>
      </c>
    </row>
    <row r="3909" spans="1:10" x14ac:dyDescent="0.25">
      <c r="A3909" s="2">
        <v>30.694025514488398</v>
      </c>
      <c r="B3909" s="3">
        <v>-0.14454052808024001</v>
      </c>
      <c r="C3909" s="3">
        <v>0.433061436834703</v>
      </c>
      <c r="D3909" s="4">
        <v>0.61134935961849102</v>
      </c>
      <c r="E3909" s="3" t="s">
        <v>12408</v>
      </c>
      <c r="F3909" s="3" t="s">
        <v>12409</v>
      </c>
      <c r="G3909" s="3">
        <v>54648</v>
      </c>
      <c r="H3909" s="7" t="str">
        <f>HYPERLINK("http://www.ensembl.org/Mus_musculus/Gene/Summary?db=core;g=ENSMUSG00000031150","ENSMUSG00000031150")</f>
        <v>ENSMUSG00000031150</v>
      </c>
      <c r="I3909" s="7" t="str">
        <f>HYPERLINK("http://www.informatics.jax.org/marker/MGI:1859619","MGI:1859619")</f>
        <v>MGI:1859619</v>
      </c>
      <c r="J3909" s="4" t="s">
        <v>12</v>
      </c>
    </row>
    <row r="3910" spans="1:10" x14ac:dyDescent="0.25">
      <c r="A3910" s="2">
        <v>547.56229233657996</v>
      </c>
      <c r="B3910" s="3">
        <v>-0.14471760349646901</v>
      </c>
      <c r="C3910" s="3">
        <v>5.8365389103823599E-2</v>
      </c>
      <c r="D3910" s="4">
        <v>0.13003780151799299</v>
      </c>
      <c r="E3910" s="3" t="s">
        <v>7456</v>
      </c>
      <c r="F3910" s="3" t="s">
        <v>7457</v>
      </c>
      <c r="G3910" s="3">
        <v>14020</v>
      </c>
      <c r="H3910" s="7" t="str">
        <f>HYPERLINK("http://www.ensembl.org/Mus_musculus/Gene/Summary?db=core;g=ENSMUSG00000011831","ENSMUSG00000011831")</f>
        <v>ENSMUSG00000011831</v>
      </c>
      <c r="I3910" s="7" t="str">
        <f>HYPERLINK("http://www.informatics.jax.org/marker/MGI:104736","MGI:104736")</f>
        <v>MGI:104736</v>
      </c>
      <c r="J3910" s="4" t="s">
        <v>12</v>
      </c>
    </row>
    <row r="3911" spans="1:10" x14ac:dyDescent="0.25">
      <c r="A3911" s="2">
        <v>1228.7997595760201</v>
      </c>
      <c r="B3911" s="3">
        <v>-0.14480528510402399</v>
      </c>
      <c r="C3911" s="3">
        <v>1.9928004336645901E-2</v>
      </c>
      <c r="D3911" s="4">
        <v>5.1450329938429101E-2</v>
      </c>
      <c r="E3911" s="3" t="s">
        <v>10318</v>
      </c>
      <c r="F3911" s="3" t="s">
        <v>10319</v>
      </c>
      <c r="G3911" s="3">
        <v>71330</v>
      </c>
      <c r="H3911" s="7" t="str">
        <f>HYPERLINK("http://www.ensembl.org/Mus_musculus/Gene/Summary?db=core;g=ENSMUSG00000035469","ENSMUSG00000035469")</f>
        <v>ENSMUSG00000035469</v>
      </c>
      <c r="I3911" s="7" t="str">
        <f>HYPERLINK("http://www.informatics.jax.org/marker/MGI:1918580","MGI:1918580")</f>
        <v>MGI:1918580</v>
      </c>
      <c r="J3911" s="4" t="s">
        <v>12</v>
      </c>
    </row>
    <row r="3912" spans="1:10" x14ac:dyDescent="0.25">
      <c r="A3912" s="2">
        <v>167.51900533806401</v>
      </c>
      <c r="B3912" s="3">
        <v>-0.145409898239755</v>
      </c>
      <c r="C3912" s="3">
        <v>0.227047489039922</v>
      </c>
      <c r="D3912" s="4">
        <v>0.38629018743022597</v>
      </c>
      <c r="E3912" s="3" t="s">
        <v>8983</v>
      </c>
      <c r="F3912" s="3" t="s">
        <v>8984</v>
      </c>
      <c r="G3912" s="3">
        <v>240084</v>
      </c>
      <c r="H3912" s="7" t="str">
        <f>HYPERLINK("http://www.ensembl.org/Mus_musculus/Gene/Summary?db=core;g=ENSMUSG00000040312","ENSMUSG00000040312")</f>
        <v>ENSMUSG00000040312</v>
      </c>
      <c r="I3912" s="7" t="str">
        <f>HYPERLINK("http://www.informatics.jax.org/marker/MGI:2385321","MGI:2385321")</f>
        <v>MGI:2385321</v>
      </c>
      <c r="J3912" s="4" t="s">
        <v>12</v>
      </c>
    </row>
    <row r="3913" spans="1:10" x14ac:dyDescent="0.25">
      <c r="A3913" s="2">
        <v>1426.87074746501</v>
      </c>
      <c r="B3913" s="3">
        <v>-0.14592719389794401</v>
      </c>
      <c r="C3913" s="3">
        <v>7.0777693766284995E-4</v>
      </c>
      <c r="D3913" s="4">
        <v>2.55480980172419E-3</v>
      </c>
      <c r="E3913" s="3" t="s">
        <v>8495</v>
      </c>
      <c r="F3913" s="3" t="s">
        <v>8496</v>
      </c>
      <c r="G3913" s="3">
        <v>13356</v>
      </c>
      <c r="H3913" s="7" t="str">
        <f>HYPERLINK("http://www.ensembl.org/Mus_musculus/Gene/Summary?db=core;g=ENSMUSG00000003166","ENSMUSG00000003166")</f>
        <v>ENSMUSG00000003166</v>
      </c>
      <c r="I3913" s="7" t="str">
        <f>HYPERLINK("http://www.informatics.jax.org/marker/MGI:892866","MGI:892866")</f>
        <v>MGI:892866</v>
      </c>
      <c r="J3913" s="4" t="s">
        <v>12</v>
      </c>
    </row>
    <row r="3914" spans="1:10" x14ac:dyDescent="0.25">
      <c r="A3914" s="2">
        <v>821.32211280868796</v>
      </c>
      <c r="B3914" s="3">
        <v>-0.146284957242832</v>
      </c>
      <c r="C3914" s="3">
        <v>6.6539465429944905E-2</v>
      </c>
      <c r="D3914" s="4">
        <v>0.145179188011582</v>
      </c>
      <c r="E3914" s="3" t="s">
        <v>11589</v>
      </c>
      <c r="F3914" s="3" t="s">
        <v>11590</v>
      </c>
      <c r="G3914" s="3">
        <v>235627</v>
      </c>
      <c r="H3914" s="7" t="str">
        <f>HYPERLINK("http://www.ensembl.org/Mus_musculus/Gene/Summary?db=core;g=ENSMUSG00000056724","ENSMUSG00000056724")</f>
        <v>ENSMUSG00000056724</v>
      </c>
      <c r="I3914" s="7" t="str">
        <f>HYPERLINK("http://www.informatics.jax.org/marker/MGI:2448554","MGI:2448554")</f>
        <v>MGI:2448554</v>
      </c>
      <c r="J3914" s="4" t="s">
        <v>12</v>
      </c>
    </row>
    <row r="3915" spans="1:10" x14ac:dyDescent="0.25">
      <c r="A3915" s="2">
        <v>1743.7170773929799</v>
      </c>
      <c r="B3915" s="3">
        <v>-0.146672053836466</v>
      </c>
      <c r="C3915" s="3">
        <v>8.8540404126193906E-2</v>
      </c>
      <c r="D3915" s="4">
        <v>0.184174783078703</v>
      </c>
      <c r="E3915" s="3" t="s">
        <v>13127</v>
      </c>
      <c r="F3915" s="3" t="s">
        <v>13128</v>
      </c>
      <c r="G3915" s="3">
        <v>18005</v>
      </c>
      <c r="H3915" s="7" t="str">
        <f>HYPERLINK("http://www.ensembl.org/Mus_musculus/Gene/Summary?db=core;g=ENSMUSG00000026622","ENSMUSG00000026622")</f>
        <v>ENSMUSG00000026622</v>
      </c>
      <c r="I3915" s="7" t="str">
        <f>HYPERLINK("http://www.informatics.jax.org/marker/MGI:109359","MGI:109359")</f>
        <v>MGI:109359</v>
      </c>
      <c r="J3915" s="4" t="s">
        <v>12</v>
      </c>
    </row>
    <row r="3916" spans="1:10" x14ac:dyDescent="0.25">
      <c r="A3916" s="2">
        <v>2485.55834067257</v>
      </c>
      <c r="B3916" s="3">
        <v>-0.146932460546954</v>
      </c>
      <c r="C3916" s="3">
        <v>7.6525225133417798E-3</v>
      </c>
      <c r="D3916" s="4">
        <v>2.2071090806401902E-2</v>
      </c>
      <c r="E3916" s="3" t="s">
        <v>6874</v>
      </c>
      <c r="F3916" s="3" t="s">
        <v>6875</v>
      </c>
      <c r="G3916" s="3">
        <v>223739</v>
      </c>
      <c r="H3916" s="7" t="str">
        <f>HYPERLINK("http://www.ensembl.org/Mus_musculus/Gene/Summary?db=core;g=ENSMUSG00000036046","ENSMUSG00000036046")</f>
        <v>ENSMUSG00000036046</v>
      </c>
      <c r="I3916" s="7" t="str">
        <f>HYPERLINK("http://www.informatics.jax.org/marker/MGI:2444899","MGI:2444899")</f>
        <v>MGI:2444899</v>
      </c>
      <c r="J3916" s="4" t="s">
        <v>12</v>
      </c>
    </row>
    <row r="3917" spans="1:10" x14ac:dyDescent="0.25">
      <c r="A3917" s="2">
        <v>1437.5719220543001</v>
      </c>
      <c r="B3917" s="3">
        <v>-0.14697049872907</v>
      </c>
      <c r="C3917" s="3">
        <v>8.2294598541994807E-2</v>
      </c>
      <c r="D3917" s="4">
        <v>0.173449642468816</v>
      </c>
      <c r="E3917" s="3" t="s">
        <v>10306</v>
      </c>
      <c r="F3917" s="3" t="s">
        <v>10307</v>
      </c>
      <c r="G3917" s="3">
        <v>231051</v>
      </c>
      <c r="H3917" s="7" t="str">
        <f>HYPERLINK("http://www.ensembl.org/Mus_musculus/Gene/Summary?db=core;g=ENSMUSG00000038056","ENSMUSG00000038056")</f>
        <v>ENSMUSG00000038056</v>
      </c>
      <c r="I3917" s="7" t="str">
        <f>HYPERLINK("http://www.informatics.jax.org/marker/MGI:2444959","MGI:2444959")</f>
        <v>MGI:2444959</v>
      </c>
      <c r="J3917" s="4" t="s">
        <v>12</v>
      </c>
    </row>
    <row r="3918" spans="1:10" x14ac:dyDescent="0.25">
      <c r="A3918" s="2">
        <v>2276.3033054153502</v>
      </c>
      <c r="B3918" s="3">
        <v>-0.147158295296309</v>
      </c>
      <c r="C3918" s="3">
        <v>0.10711311791076</v>
      </c>
      <c r="D3918" s="4">
        <v>0.215182602945723</v>
      </c>
      <c r="E3918" s="3" t="s">
        <v>8731</v>
      </c>
      <c r="F3918" s="3" t="s">
        <v>8732</v>
      </c>
      <c r="G3918" s="3">
        <v>18080</v>
      </c>
      <c r="H3918" s="7" t="str">
        <f>HYPERLINK("http://www.ensembl.org/Mus_musculus/Gene/Summary?db=core;g=ENSMUSG00000021068","ENSMUSG00000021068")</f>
        <v>ENSMUSG00000021068</v>
      </c>
      <c r="I3918" s="7" t="str">
        <f>HYPERLINK("http://www.informatics.jax.org/marker/MGI:105108","MGI:105108")</f>
        <v>MGI:105108</v>
      </c>
      <c r="J3918" s="4" t="s">
        <v>12</v>
      </c>
    </row>
    <row r="3919" spans="1:10" x14ac:dyDescent="0.25">
      <c r="A3919" s="2">
        <v>1014.94689832264</v>
      </c>
      <c r="B3919" s="3">
        <v>-0.14876468057921699</v>
      </c>
      <c r="C3919" s="3">
        <v>1.9500955353047801E-3</v>
      </c>
      <c r="D3919" s="4">
        <v>6.4685903997018304E-3</v>
      </c>
      <c r="E3919" s="3" t="s">
        <v>11539</v>
      </c>
      <c r="F3919" s="3" t="s">
        <v>11540</v>
      </c>
      <c r="G3919" s="3">
        <v>28075</v>
      </c>
      <c r="H3919" s="7" t="str">
        <f>HYPERLINK("http://www.ensembl.org/Mus_musculus/Gene/Summary?db=core;g=ENSMUSG00000022472","ENSMUSG00000022472")</f>
        <v>ENSMUSG00000022472</v>
      </c>
      <c r="I3919" s="7" t="str">
        <f>HYPERLINK("http://www.informatics.jax.org/marker/MGI:106313","MGI:106313")</f>
        <v>MGI:106313</v>
      </c>
      <c r="J3919" s="4" t="s">
        <v>12</v>
      </c>
    </row>
    <row r="3920" spans="1:10" x14ac:dyDescent="0.25">
      <c r="A3920" s="2">
        <v>3051.99217837285</v>
      </c>
      <c r="B3920" s="3">
        <v>-0.148773406996419</v>
      </c>
      <c r="C3920" s="3">
        <v>4.5884894991680102E-4</v>
      </c>
      <c r="D3920" s="4">
        <v>1.71538915122743E-3</v>
      </c>
      <c r="E3920" s="3" t="s">
        <v>4341</v>
      </c>
      <c r="F3920" s="3" t="s">
        <v>4342</v>
      </c>
      <c r="G3920" s="3">
        <v>108156</v>
      </c>
      <c r="H3920" s="7" t="str">
        <f>HYPERLINK("http://www.ensembl.org/Mus_musculus/Gene/Summary?db=core;g=ENSMUSG00000021048","ENSMUSG00000021048")</f>
        <v>ENSMUSG00000021048</v>
      </c>
      <c r="I3920" s="7" t="str">
        <f>HYPERLINK("http://www.informatics.jax.org/marker/MGI:1342005","MGI:1342005")</f>
        <v>MGI:1342005</v>
      </c>
      <c r="J3920" s="4" t="s">
        <v>12</v>
      </c>
    </row>
    <row r="3921" spans="1:10" x14ac:dyDescent="0.25">
      <c r="A3921" s="2">
        <v>1203.1457678709901</v>
      </c>
      <c r="B3921" s="3">
        <v>-0.148990747510656</v>
      </c>
      <c r="C3921" s="3">
        <v>2.50527921471249E-2</v>
      </c>
      <c r="D3921" s="4">
        <v>6.2864813008584694E-2</v>
      </c>
      <c r="E3921" s="3" t="s">
        <v>8519</v>
      </c>
      <c r="F3921" s="3" t="s">
        <v>8520</v>
      </c>
      <c r="G3921" s="3">
        <v>665775</v>
      </c>
      <c r="H3921" s="7" t="str">
        <f>HYPERLINK("http://www.ensembl.org/Mus_musculus/Gene/Summary?db=core;g=ENSMUSG00000061755","ENSMUSG00000061755")</f>
        <v>ENSMUSG00000061755</v>
      </c>
      <c r="I3921" s="7" t="str">
        <f>HYPERLINK("http://www.informatics.jax.org/marker/MGI:2444804","MGI:2444804")</f>
        <v>MGI:2444804</v>
      </c>
      <c r="J3921" s="4" t="s">
        <v>12</v>
      </c>
    </row>
    <row r="3922" spans="1:10" x14ac:dyDescent="0.25">
      <c r="A3922" s="2">
        <v>1121.7319356066801</v>
      </c>
      <c r="B3922" s="3">
        <v>-0.14962500185170499</v>
      </c>
      <c r="C3922" s="3">
        <v>5.9982559253393599E-3</v>
      </c>
      <c r="D3922" s="4">
        <v>1.77234458883446E-2</v>
      </c>
      <c r="E3922" s="3" t="s">
        <v>10862</v>
      </c>
      <c r="F3922" s="3" t="s">
        <v>10863</v>
      </c>
      <c r="G3922" s="3">
        <v>338366</v>
      </c>
      <c r="H3922" s="7" t="str">
        <f>HYPERLINK("http://www.ensembl.org/Mus_musculus/Gene/Summary?db=core;g=ENSMUSG00000056050","ENSMUSG00000056050")</f>
        <v>ENSMUSG00000056050</v>
      </c>
      <c r="I3922" s="7" t="str">
        <f>HYPERLINK("http://www.informatics.jax.org/marker/MGI:2443183","MGI:2443183")</f>
        <v>MGI:2443183</v>
      </c>
      <c r="J3922" s="4" t="s">
        <v>12</v>
      </c>
    </row>
    <row r="3923" spans="1:10" x14ac:dyDescent="0.25">
      <c r="A3923" s="2">
        <v>404.99294788786699</v>
      </c>
      <c r="B3923" s="3">
        <v>-0.149772486420859</v>
      </c>
      <c r="C3923" s="3">
        <v>0.14834762172332699</v>
      </c>
      <c r="D3923" s="4">
        <v>0.27942935076534198</v>
      </c>
      <c r="E3923" s="3" t="s">
        <v>12237</v>
      </c>
      <c r="F3923" s="3" t="s">
        <v>12238</v>
      </c>
      <c r="G3923" s="3">
        <v>20689</v>
      </c>
      <c r="H3923" s="7" t="str">
        <f>HYPERLINK("http://www.ensembl.org/Mus_musculus/Gene/Summary?db=core;g=ENSMUSG00000024565","ENSMUSG00000024565")</f>
        <v>ENSMUSG00000024565</v>
      </c>
      <c r="I3923" s="7" t="str">
        <f>HYPERLINK("http://www.informatics.jax.org/marker/MGI:109295","MGI:109295")</f>
        <v>MGI:109295</v>
      </c>
      <c r="J3923" s="4" t="s">
        <v>12</v>
      </c>
    </row>
    <row r="3924" spans="1:10" x14ac:dyDescent="0.25">
      <c r="A3924" s="2">
        <v>1047.66824404972</v>
      </c>
      <c r="B3924" s="3">
        <v>-0.149851098036451</v>
      </c>
      <c r="C3924" s="3">
        <v>5.6042727074785602E-2</v>
      </c>
      <c r="D3924" s="4">
        <v>0.12569267793969599</v>
      </c>
      <c r="E3924" s="3" t="s">
        <v>11619</v>
      </c>
      <c r="F3924" s="3" t="s">
        <v>11620</v>
      </c>
      <c r="G3924" s="3">
        <v>71207</v>
      </c>
      <c r="H3924" s="7" t="str">
        <f>HYPERLINK("http://www.ensembl.org/Mus_musculus/Gene/Summary?db=core;g=ENSMUSG00000020029","ENSMUSG00000020029")</f>
        <v>ENSMUSG00000020029</v>
      </c>
      <c r="I3924" s="7" t="str">
        <f>HYPERLINK("http://www.informatics.jax.org/marker/MGI:1918457","MGI:1918457")</f>
        <v>MGI:1918457</v>
      </c>
      <c r="J3924" s="4" t="s">
        <v>12</v>
      </c>
    </row>
    <row r="3925" spans="1:10" x14ac:dyDescent="0.25">
      <c r="A3925" s="2">
        <v>73.797413673393706</v>
      </c>
      <c r="B3925" s="3">
        <v>-0.149881231174812</v>
      </c>
      <c r="C3925" s="3">
        <v>0.27865597636960399</v>
      </c>
      <c r="D3925" s="4">
        <v>0.44989798558361499</v>
      </c>
      <c r="E3925" s="3" t="s">
        <v>12376</v>
      </c>
      <c r="F3925" s="3" t="s">
        <v>12377</v>
      </c>
      <c r="G3925" s="3">
        <v>319535</v>
      </c>
      <c r="H3925" s="7" t="str">
        <f>HYPERLINK("http://www.ensembl.org/Mus_musculus/Gene/Summary?db=core;g=ENSMUSG00000054737","ENSMUSG00000054737")</f>
        <v>ENSMUSG00000054737</v>
      </c>
      <c r="I3925" s="7" t="str">
        <f>HYPERLINK("http://www.informatics.jax.org/marker/MGI:2442220","MGI:2442220")</f>
        <v>MGI:2442220</v>
      </c>
      <c r="J3925" s="4" t="s">
        <v>12</v>
      </c>
    </row>
    <row r="3926" spans="1:10" x14ac:dyDescent="0.25">
      <c r="A3926" s="2">
        <v>798.10761198136095</v>
      </c>
      <c r="B3926" s="3">
        <v>-0.14994342223350501</v>
      </c>
      <c r="C3926" s="3">
        <v>5.7233162348977297E-3</v>
      </c>
      <c r="D3926" s="4">
        <v>1.69594513078043E-2</v>
      </c>
      <c r="E3926" s="3" t="s">
        <v>12331</v>
      </c>
      <c r="F3926" s="3" t="s">
        <v>12332</v>
      </c>
      <c r="G3926" s="3">
        <v>69527</v>
      </c>
      <c r="H3926" s="7" t="str">
        <f>HYPERLINK("http://www.ensembl.org/Mus_musculus/Gene/Summary?db=core;g=ENSMUSG00000060679","ENSMUSG00000060679")</f>
        <v>ENSMUSG00000060679</v>
      </c>
      <c r="I3926" s="7" t="str">
        <f>HYPERLINK("http://www.informatics.jax.org/marker/MGI:1916777","MGI:1916777")</f>
        <v>MGI:1916777</v>
      </c>
      <c r="J3926" s="4" t="s">
        <v>12</v>
      </c>
    </row>
    <row r="3927" spans="1:10" x14ac:dyDescent="0.25">
      <c r="A3927" s="2">
        <v>1159.8166808518999</v>
      </c>
      <c r="B3927" s="3">
        <v>-0.150256491120315</v>
      </c>
      <c r="C3927" s="3">
        <v>9.0412424708245908E-3</v>
      </c>
      <c r="D3927" s="4">
        <v>2.5642179276498301E-2</v>
      </c>
      <c r="E3927" s="3" t="s">
        <v>10640</v>
      </c>
      <c r="F3927" s="3" t="s">
        <v>10641</v>
      </c>
      <c r="G3927" s="3">
        <v>223870</v>
      </c>
      <c r="H3927" s="7" t="str">
        <f>HYPERLINK("http://www.ensembl.org/Mus_musculus/Gene/Summary?db=core;g=ENSMUSG00000033075","ENSMUSG00000033075")</f>
        <v>ENSMUSG00000033075</v>
      </c>
      <c r="I3927" s="7" t="str">
        <f>HYPERLINK("http://www.informatics.jax.org/marker/MGI:2445054","MGI:2445054")</f>
        <v>MGI:2445054</v>
      </c>
      <c r="J3927" s="4" t="s">
        <v>12</v>
      </c>
    </row>
    <row r="3928" spans="1:10" x14ac:dyDescent="0.25">
      <c r="A3928" s="2">
        <v>255.17859307549401</v>
      </c>
      <c r="B3928" s="3">
        <v>-0.15053776763745699</v>
      </c>
      <c r="C3928" s="3">
        <v>8.3163698436710107E-2</v>
      </c>
      <c r="D3928" s="4">
        <v>0.174998083825083</v>
      </c>
      <c r="E3928" s="3" t="s">
        <v>8997</v>
      </c>
      <c r="F3928" s="3" t="s">
        <v>8998</v>
      </c>
      <c r="G3928" s="3">
        <v>50505</v>
      </c>
      <c r="H3928" s="7" t="str">
        <f>HYPERLINK("http://www.ensembl.org/Mus_musculus/Gene/Summary?db=core;g=ENSMUSG00000022545","ENSMUSG00000022545")</f>
        <v>ENSMUSG00000022545</v>
      </c>
      <c r="I3928" s="7" t="str">
        <f>HYPERLINK("http://www.informatics.jax.org/marker/MGI:1354163","MGI:1354163")</f>
        <v>MGI:1354163</v>
      </c>
      <c r="J3928" s="4" t="s">
        <v>12</v>
      </c>
    </row>
    <row r="3929" spans="1:10" x14ac:dyDescent="0.25">
      <c r="A3929" s="2">
        <v>1159.4401601501099</v>
      </c>
      <c r="B3929" s="3">
        <v>-0.15072369594996701</v>
      </c>
      <c r="C3929" s="3">
        <v>8.4513097141171202E-3</v>
      </c>
      <c r="D3929" s="4">
        <v>2.4138084867541799E-2</v>
      </c>
      <c r="E3929" s="3" t="s">
        <v>12414</v>
      </c>
      <c r="F3929" s="3" t="s">
        <v>12415</v>
      </c>
      <c r="G3929" s="3">
        <v>22367</v>
      </c>
      <c r="H3929" s="7" t="str">
        <f>HYPERLINK("http://www.ensembl.org/Mus_musculus/Gene/Summary?db=core;g=ENSMUSG00000021115","ENSMUSG00000021115")</f>
        <v>ENSMUSG00000021115</v>
      </c>
      <c r="I3929" s="7" t="str">
        <f>HYPERLINK("http://www.informatics.jax.org/marker/MGI:1261847","MGI:1261847")</f>
        <v>MGI:1261847</v>
      </c>
      <c r="J3929" s="4" t="s">
        <v>12</v>
      </c>
    </row>
    <row r="3930" spans="1:10" x14ac:dyDescent="0.25">
      <c r="A3930" s="2">
        <v>3012.83622378985</v>
      </c>
      <c r="B3930" s="3">
        <v>-0.150938319268033</v>
      </c>
      <c r="C3930" s="3">
        <v>1.47903443964164E-4</v>
      </c>
      <c r="D3930" s="4">
        <v>6.0003879896290105E-4</v>
      </c>
      <c r="E3930" s="3" t="s">
        <v>7908</v>
      </c>
      <c r="F3930" s="3" t="s">
        <v>7909</v>
      </c>
      <c r="G3930" s="3">
        <v>56459</v>
      </c>
      <c r="H3930" s="7" t="str">
        <f>HYPERLINK("http://www.ensembl.org/Mus_musculus/Gene/Summary?db=core;g=ENSMUSG00000052833","ENSMUSG00000052833")</f>
        <v>ENSMUSG00000052833</v>
      </c>
      <c r="I3930" s="7" t="str">
        <f>HYPERLINK("http://www.informatics.jax.org/marker/MGI:1929264","MGI:1929264")</f>
        <v>MGI:1929264</v>
      </c>
      <c r="J3930" s="4" t="s">
        <v>12</v>
      </c>
    </row>
    <row r="3931" spans="1:10" x14ac:dyDescent="0.25">
      <c r="A3931" s="2">
        <v>1593.60751700779</v>
      </c>
      <c r="B3931" s="3">
        <v>-0.15116023950889601</v>
      </c>
      <c r="C3931" s="3">
        <v>1.27431589249397E-2</v>
      </c>
      <c r="D3931" s="4">
        <v>3.4767076557937898E-2</v>
      </c>
      <c r="E3931" s="3" t="s">
        <v>10652</v>
      </c>
      <c r="F3931" s="3" t="s">
        <v>10653</v>
      </c>
      <c r="G3931" s="3">
        <v>235574</v>
      </c>
      <c r="H3931" s="7" t="str">
        <f>HYPERLINK("http://www.ensembl.org/Mus_musculus/Gene/Summary?db=core;g=ENSMUSG00000032570","ENSMUSG00000032570")</f>
        <v>ENSMUSG00000032570</v>
      </c>
      <c r="I3931" s="7" t="str">
        <f>HYPERLINK("http://www.informatics.jax.org/marker/MGI:1889008","MGI:1889008")</f>
        <v>MGI:1889008</v>
      </c>
      <c r="J3931" s="4" t="s">
        <v>12</v>
      </c>
    </row>
    <row r="3932" spans="1:10" x14ac:dyDescent="0.25">
      <c r="A3932" s="2">
        <v>34.998717241567398</v>
      </c>
      <c r="B3932" s="3">
        <v>-0.15133686171078201</v>
      </c>
      <c r="C3932" s="3">
        <v>0.38549004076267801</v>
      </c>
      <c r="D3932" s="4">
        <v>0.56364989606578297</v>
      </c>
      <c r="E3932" s="3" t="s">
        <v>12137</v>
      </c>
      <c r="F3932" s="3" t="s">
        <v>12138</v>
      </c>
      <c r="G3932" s="3">
        <v>216858</v>
      </c>
      <c r="H3932" s="7" t="str">
        <f>HYPERLINK("http://www.ensembl.org/Mus_musculus/Gene/Summary?db=core;g=ENSMUSG00000046731","ENSMUSG00000046731")</f>
        <v>ENSMUSG00000046731</v>
      </c>
      <c r="I3932" s="7" t="str">
        <f>HYPERLINK("http://www.informatics.jax.org/marker/MGI:2448712","MGI:2448712")</f>
        <v>MGI:2448712</v>
      </c>
      <c r="J3932" s="4" t="s">
        <v>12</v>
      </c>
    </row>
    <row r="3933" spans="1:10" x14ac:dyDescent="0.25">
      <c r="A3933" s="2">
        <v>808.26136658998098</v>
      </c>
      <c r="B3933" s="3">
        <v>-0.151361808227782</v>
      </c>
      <c r="C3933" s="3">
        <v>9.1157964098944801E-3</v>
      </c>
      <c r="D3933" s="4">
        <v>2.58330841450151E-2</v>
      </c>
      <c r="E3933" s="3" t="s">
        <v>12437</v>
      </c>
      <c r="F3933" s="3" t="s">
        <v>12438</v>
      </c>
      <c r="G3933" s="3">
        <v>66185</v>
      </c>
      <c r="H3933" s="7" t="str">
        <f>HYPERLINK("http://www.ensembl.org/Mus_musculus/Gene/Summary?db=core;g=ENSMUSG00000040720","ENSMUSG00000040720")</f>
        <v>ENSMUSG00000040720</v>
      </c>
      <c r="I3933" s="7" t="str">
        <f>HYPERLINK("http://www.informatics.jax.org/marker/MGI:1913435","MGI:1913435")</f>
        <v>MGI:1913435</v>
      </c>
      <c r="J3933" s="4" t="s">
        <v>12</v>
      </c>
    </row>
    <row r="3934" spans="1:10" x14ac:dyDescent="0.25">
      <c r="A3934" s="2">
        <v>950.15005092747697</v>
      </c>
      <c r="B3934" s="3">
        <v>-0.151501974113815</v>
      </c>
      <c r="C3934" s="3">
        <v>9.3916187611360908E-3</v>
      </c>
      <c r="D3934" s="4">
        <v>2.65121208057164E-2</v>
      </c>
      <c r="E3934" s="3" t="s">
        <v>9397</v>
      </c>
      <c r="F3934" s="3" t="s">
        <v>9398</v>
      </c>
      <c r="G3934" s="3">
        <v>236732</v>
      </c>
      <c r="H3934" s="7" t="str">
        <f>HYPERLINK("http://www.ensembl.org/Mus_musculus/Gene/Summary?db=core;g=ENSMUSG00000031060","ENSMUSG00000031060")</f>
        <v>ENSMUSG00000031060</v>
      </c>
      <c r="I3934" s="7" t="str">
        <f>HYPERLINK("http://www.informatics.jax.org/marker/MGI:2384310","MGI:2384310")</f>
        <v>MGI:2384310</v>
      </c>
      <c r="J3934" s="4" t="s">
        <v>12</v>
      </c>
    </row>
    <row r="3935" spans="1:10" x14ac:dyDescent="0.25">
      <c r="A3935" s="2">
        <v>810.20934636386096</v>
      </c>
      <c r="B3935" s="3">
        <v>-0.15152346039352901</v>
      </c>
      <c r="C3935" s="3">
        <v>2.1185501359285E-2</v>
      </c>
      <c r="D3935" s="4">
        <v>5.4228337397888897E-2</v>
      </c>
      <c r="E3935" s="3" t="s">
        <v>8137</v>
      </c>
      <c r="F3935" s="3" t="s">
        <v>8138</v>
      </c>
      <c r="G3935" s="3">
        <v>19063</v>
      </c>
      <c r="H3935" s="7" t="str">
        <f>HYPERLINK("http://www.ensembl.org/Mus_musculus/Gene/Summary?db=core;g=ENSMUSG00000028657","ENSMUSG00000028657")</f>
        <v>ENSMUSG00000028657</v>
      </c>
      <c r="I3935" s="7" t="str">
        <f>HYPERLINK("http://www.informatics.jax.org/marker/MGI:1298204","MGI:1298204")</f>
        <v>MGI:1298204</v>
      </c>
      <c r="J3935" s="4" t="s">
        <v>12</v>
      </c>
    </row>
    <row r="3936" spans="1:10" x14ac:dyDescent="0.25">
      <c r="A3936" s="2">
        <v>1711.88712043583</v>
      </c>
      <c r="B3936" s="3">
        <v>-0.151734253728219</v>
      </c>
      <c r="C3936" s="3">
        <v>4.6102741820376998E-2</v>
      </c>
      <c r="D3936" s="4">
        <v>0.106776270132974</v>
      </c>
      <c r="E3936" s="3" t="s">
        <v>8833</v>
      </c>
      <c r="F3936" s="3" t="s">
        <v>8834</v>
      </c>
      <c r="G3936" s="3">
        <v>20683</v>
      </c>
      <c r="H3936" s="7" t="str">
        <f>HYPERLINK("http://www.ensembl.org/Mus_musculus/Gene/Summary?db=core;g=ENSMUSG00000001280","ENSMUSG00000001280")</f>
        <v>ENSMUSG00000001280</v>
      </c>
      <c r="I3936" s="7" t="str">
        <f>HYPERLINK("http://www.informatics.jax.org/marker/MGI:98372","MGI:98372")</f>
        <v>MGI:98372</v>
      </c>
      <c r="J3936" s="4" t="s">
        <v>12</v>
      </c>
    </row>
    <row r="3937" spans="1:10" x14ac:dyDescent="0.25">
      <c r="A3937" s="2">
        <v>704.64452298585195</v>
      </c>
      <c r="B3937" s="3">
        <v>-0.15227036672921199</v>
      </c>
      <c r="C3937" s="3">
        <v>6.5542442382670693E-2</v>
      </c>
      <c r="D3937" s="4">
        <v>0.14329546694147999</v>
      </c>
      <c r="E3937" s="3" t="s">
        <v>13121</v>
      </c>
      <c r="F3937" s="3" t="s">
        <v>13122</v>
      </c>
      <c r="G3937" s="3">
        <v>74450</v>
      </c>
      <c r="H3937" s="7" t="str">
        <f>HYPERLINK("http://www.ensembl.org/Mus_musculus/Gene/Summary?db=core;g=ENSMUSG00000037514","ENSMUSG00000037514")</f>
        <v>ENSMUSG00000037514</v>
      </c>
      <c r="I3937" s="7" t="str">
        <f>HYPERLINK("http://www.informatics.jax.org/marker/MGI:1921700","MGI:1921700")</f>
        <v>MGI:1921700</v>
      </c>
      <c r="J3937" s="4" t="s">
        <v>12</v>
      </c>
    </row>
    <row r="3938" spans="1:10" x14ac:dyDescent="0.25">
      <c r="A3938" s="2">
        <v>1213.7654429731199</v>
      </c>
      <c r="B3938" s="3">
        <v>-0.15243693782463999</v>
      </c>
      <c r="C3938" s="3">
        <v>1.39455955723711E-3</v>
      </c>
      <c r="D3938" s="4">
        <v>4.7765171829818398E-3</v>
      </c>
      <c r="E3938" s="3" t="s">
        <v>10092</v>
      </c>
      <c r="F3938" s="3" t="s">
        <v>10093</v>
      </c>
      <c r="G3938" s="3">
        <v>76303</v>
      </c>
      <c r="H3938" s="7" t="str">
        <f>HYPERLINK("http://www.ensembl.org/Mus_musculus/Gene/Summary?db=core;g=ENSMUSG00000024687","ENSMUSG00000024687")</f>
        <v>ENSMUSG00000024687</v>
      </c>
      <c r="I3938" s="7" t="str">
        <f>HYPERLINK("http://www.informatics.jax.org/marker/MGI:97447","MGI:97447")</f>
        <v>MGI:97447</v>
      </c>
      <c r="J3938" s="4" t="s">
        <v>12</v>
      </c>
    </row>
    <row r="3939" spans="1:10" x14ac:dyDescent="0.25">
      <c r="A3939" s="2">
        <v>4365.17236388731</v>
      </c>
      <c r="B3939" s="3">
        <v>-0.152732139350579</v>
      </c>
      <c r="C3939" s="3">
        <v>5.5218154509261097E-2</v>
      </c>
      <c r="D3939" s="4">
        <v>0.12410295547309</v>
      </c>
      <c r="E3939" s="3" t="s">
        <v>13741</v>
      </c>
      <c r="F3939" s="3" t="s">
        <v>13742</v>
      </c>
      <c r="G3939" s="3">
        <v>98415</v>
      </c>
      <c r="H3939" s="7" t="str">
        <f>HYPERLINK("http://www.ensembl.org/Mus_musculus/Gene/Summary?db=core;g=ENSMUSG00000026434","ENSMUSG00000026434")</f>
        <v>ENSMUSG00000026434</v>
      </c>
      <c r="I3939" s="7" t="str">
        <f>HYPERLINK("http://www.informatics.jax.org/marker/MGI:1934811","MGI:1934811")</f>
        <v>MGI:1934811</v>
      </c>
      <c r="J3939" s="4" t="s">
        <v>12</v>
      </c>
    </row>
    <row r="3940" spans="1:10" x14ac:dyDescent="0.25">
      <c r="A3940" s="2">
        <v>385.53239410724098</v>
      </c>
      <c r="B3940" s="3">
        <v>-0.15332846140016801</v>
      </c>
      <c r="C3940" s="3">
        <v>6.2472915526095699E-2</v>
      </c>
      <c r="D3940" s="4">
        <v>0.13751560340251001</v>
      </c>
      <c r="E3940" s="3" t="s">
        <v>7282</v>
      </c>
      <c r="F3940" s="3" t="s">
        <v>7283</v>
      </c>
      <c r="G3940" s="3">
        <v>246221</v>
      </c>
      <c r="H3940" s="7" t="str">
        <f>HYPERLINK("http://www.ensembl.org/Mus_musculus/Gene/Summary?db=core;g=ENSMUSG00000071711","ENSMUSG00000071711")</f>
        <v>ENSMUSG00000071711</v>
      </c>
      <c r="I3940" s="7" t="str">
        <f>HYPERLINK("http://www.informatics.jax.org/marker/MGI:2179733","MGI:2179733")</f>
        <v>MGI:2179733</v>
      </c>
      <c r="J3940" s="4" t="s">
        <v>12</v>
      </c>
    </row>
    <row r="3941" spans="1:10" x14ac:dyDescent="0.25">
      <c r="A3941" s="2">
        <v>505.93249457983302</v>
      </c>
      <c r="B3941" s="3">
        <v>-0.153423111380879</v>
      </c>
      <c r="C3941" s="3">
        <v>7.3800887996195205E-2</v>
      </c>
      <c r="D3941" s="4">
        <v>0.15815732496420701</v>
      </c>
      <c r="E3941" s="3" t="s">
        <v>13639</v>
      </c>
      <c r="F3941" s="3" t="s">
        <v>13640</v>
      </c>
      <c r="G3941" s="3">
        <v>72972</v>
      </c>
      <c r="H3941" s="7" t="str">
        <f>HYPERLINK("http://www.ensembl.org/Mus_musculus/Gene/Summary?db=core;g=ENSMUSG00000058690","ENSMUSG00000058690")</f>
        <v>ENSMUSG00000058690</v>
      </c>
      <c r="I3941" s="7" t="str">
        <f>HYPERLINK("http://www.informatics.jax.org/marker/MGI:101859","MGI:101859")</f>
        <v>MGI:101859</v>
      </c>
      <c r="J3941" s="4" t="s">
        <v>12</v>
      </c>
    </row>
    <row r="3942" spans="1:10" x14ac:dyDescent="0.25">
      <c r="A3942" s="2">
        <v>1406.79152676546</v>
      </c>
      <c r="B3942" s="3">
        <v>-0.15396526555905901</v>
      </c>
      <c r="C3942" s="3">
        <v>4.6014772318857403E-3</v>
      </c>
      <c r="D3942" s="4">
        <v>1.39514095077554E-2</v>
      </c>
      <c r="E3942" s="3" t="s">
        <v>8133</v>
      </c>
      <c r="F3942" s="3" t="s">
        <v>8134</v>
      </c>
      <c r="G3942" s="3">
        <v>229542</v>
      </c>
      <c r="H3942" s="7" t="str">
        <f>HYPERLINK("http://www.ensembl.org/Mus_musculus/Gene/Summary?db=core;g=ENSMUSG00000042390","ENSMUSG00000042390")</f>
        <v>ENSMUSG00000042390</v>
      </c>
      <c r="I3942" s="7" t="str">
        <f>HYPERLINK("http://www.informatics.jax.org/marker/MGI:2443225","MGI:2443225")</f>
        <v>MGI:2443225</v>
      </c>
      <c r="J3942" s="4" t="s">
        <v>12</v>
      </c>
    </row>
    <row r="3943" spans="1:10" x14ac:dyDescent="0.25">
      <c r="A3943" s="2">
        <v>282.10185799449903</v>
      </c>
      <c r="B3943" s="3">
        <v>-0.154418438504345</v>
      </c>
      <c r="C3943" s="3">
        <v>5.8948234477665798E-2</v>
      </c>
      <c r="D3943" s="4">
        <v>0.13106399577350999</v>
      </c>
      <c r="E3943" s="3" t="s">
        <v>8095</v>
      </c>
      <c r="F3943" s="3" t="s">
        <v>8096</v>
      </c>
      <c r="G3943" s="3">
        <v>227102</v>
      </c>
      <c r="H3943" s="7" t="str">
        <f>HYPERLINK("http://www.ensembl.org/Mus_musculus/Gene/Summary?db=core;g=ENSMUSG00000026097","ENSMUSG00000026097")</f>
        <v>ENSMUSG00000026097</v>
      </c>
      <c r="I3943" s="7" t="str">
        <f>HYPERLINK("http://www.informatics.jax.org/marker/MGI:2181669","MGI:2181669")</f>
        <v>MGI:2181669</v>
      </c>
      <c r="J3943" s="4" t="s">
        <v>12</v>
      </c>
    </row>
    <row r="3944" spans="1:10" x14ac:dyDescent="0.25">
      <c r="A3944" s="2">
        <v>1110.10361023921</v>
      </c>
      <c r="B3944" s="3">
        <v>-0.154510946523747</v>
      </c>
      <c r="C3944" s="3">
        <v>1.1290768574108399E-3</v>
      </c>
      <c r="D3944" s="4">
        <v>3.9382632969019197E-3</v>
      </c>
      <c r="E3944" s="3" t="s">
        <v>11191</v>
      </c>
      <c r="F3944" s="3" t="s">
        <v>11192</v>
      </c>
      <c r="G3944" s="3">
        <v>58202</v>
      </c>
      <c r="H3944" s="7" t="str">
        <f>HYPERLINK("http://www.ensembl.org/Mus_musculus/Gene/Summary?db=core;g=ENSMUSG00000013465","ENSMUSG00000013465")</f>
        <v>ENSMUSG00000013465</v>
      </c>
      <c r="I3944" s="7" t="str">
        <f>HYPERLINK("http://www.informatics.jax.org/marker/MGI:1931035","MGI:1931035")</f>
        <v>MGI:1931035</v>
      </c>
      <c r="J3944" s="4" t="s">
        <v>12</v>
      </c>
    </row>
    <row r="3945" spans="1:10" x14ac:dyDescent="0.25">
      <c r="A3945" s="2">
        <v>355.34394267173201</v>
      </c>
      <c r="B3945" s="3">
        <v>-0.15464920049683201</v>
      </c>
      <c r="C3945" s="3">
        <v>2.68196105122393E-2</v>
      </c>
      <c r="D3945" s="4">
        <v>6.6655857300635599E-2</v>
      </c>
      <c r="E3945" s="3" t="s">
        <v>11781</v>
      </c>
      <c r="F3945" s="3" t="s">
        <v>11782</v>
      </c>
      <c r="G3945" s="3">
        <v>209416</v>
      </c>
      <c r="H3945" s="7" t="str">
        <f>HYPERLINK("http://www.ensembl.org/Mus_musculus/Gene/Summary?db=core;g=ENSMUSG00000031148","ENSMUSG00000031148")</f>
        <v>ENSMUSG00000031148</v>
      </c>
      <c r="I3945" s="7" t="str">
        <f>HYPERLINK("http://www.informatics.jax.org/marker/MGI:1859610","MGI:1859610")</f>
        <v>MGI:1859610</v>
      </c>
      <c r="J3945" s="4" t="s">
        <v>12</v>
      </c>
    </row>
    <row r="3946" spans="1:10" x14ac:dyDescent="0.25">
      <c r="A3946" s="2">
        <v>597.002677243373</v>
      </c>
      <c r="B3946" s="3">
        <v>-0.15509952398089399</v>
      </c>
      <c r="C3946" s="3">
        <v>0.16083496080272899</v>
      </c>
      <c r="D3946" s="4">
        <v>0.297797131019988</v>
      </c>
      <c r="E3946" s="3" t="s">
        <v>12961</v>
      </c>
      <c r="F3946" s="3" t="s">
        <v>12962</v>
      </c>
      <c r="G3946" s="3">
        <v>100502766</v>
      </c>
      <c r="H3946" s="7" t="str">
        <f>HYPERLINK("http://www.ensembl.org/Mus_musculus/Gene/Summary?db=core;g=ENSMUSG00000079553","ENSMUSG00000079553")</f>
        <v>ENSMUSG00000079553</v>
      </c>
      <c r="I3946" s="7" t="str">
        <f>HYPERLINK("http://www.informatics.jax.org/marker/MGI:109596","MGI:109596")</f>
        <v>MGI:109596</v>
      </c>
      <c r="J3946" s="4" t="s">
        <v>12</v>
      </c>
    </row>
    <row r="3947" spans="1:10" x14ac:dyDescent="0.25">
      <c r="A3947" s="2">
        <v>612.72232683195602</v>
      </c>
      <c r="B3947" s="3">
        <v>-0.15514334421579701</v>
      </c>
      <c r="C3947" s="3">
        <v>0.133719794442208</v>
      </c>
      <c r="D3947" s="4">
        <v>0.257697288115602</v>
      </c>
      <c r="E3947" s="3" t="s">
        <v>12055</v>
      </c>
      <c r="F3947" s="3" t="s">
        <v>12056</v>
      </c>
      <c r="G3947" s="3">
        <v>20744</v>
      </c>
      <c r="H3947" s="7" t="str">
        <f>HYPERLINK("http://www.ensembl.org/Mus_musculus/Gene/Summary?db=core;g=ENSMUSG00000026915","ENSMUSG00000026915")</f>
        <v>ENSMUSG00000026915</v>
      </c>
      <c r="I3947" s="7" t="str">
        <f>HYPERLINK("http://www.informatics.jax.org/marker/MGI:104626","MGI:104626")</f>
        <v>MGI:104626</v>
      </c>
      <c r="J3947" s="4" t="s">
        <v>12</v>
      </c>
    </row>
    <row r="3948" spans="1:10" x14ac:dyDescent="0.25">
      <c r="A3948" s="2">
        <v>976.57018088174402</v>
      </c>
      <c r="B3948" s="3">
        <v>-0.15556367073909499</v>
      </c>
      <c r="C3948" s="3">
        <v>3.32710850655729E-2</v>
      </c>
      <c r="D3948" s="4">
        <v>8.0494560642515103E-2</v>
      </c>
      <c r="E3948" s="3" t="s">
        <v>12382</v>
      </c>
      <c r="F3948" s="3" t="s">
        <v>12383</v>
      </c>
      <c r="G3948" s="3">
        <v>66853</v>
      </c>
      <c r="H3948" s="7" t="str">
        <f>HYPERLINK("http://www.ensembl.org/Mus_musculus/Gene/Summary?db=core;g=ENSMUSG00000025509","ENSMUSG00000025509")</f>
        <v>ENSMUSG00000025509</v>
      </c>
      <c r="I3948" s="7" t="str">
        <f>HYPERLINK("http://www.informatics.jax.org/marker/MGI:1914103","MGI:1914103")</f>
        <v>MGI:1914103</v>
      </c>
      <c r="J3948" s="4" t="s">
        <v>12</v>
      </c>
    </row>
    <row r="3949" spans="1:10" x14ac:dyDescent="0.25">
      <c r="A3949" s="2">
        <v>631.19928955507203</v>
      </c>
      <c r="B3949" s="3">
        <v>-0.15607711629656601</v>
      </c>
      <c r="C3949" s="3">
        <v>2.09881493368883E-2</v>
      </c>
      <c r="D3949" s="4">
        <v>5.3783608220583402E-2</v>
      </c>
      <c r="E3949" s="3" t="s">
        <v>9863</v>
      </c>
      <c r="F3949" s="3" t="s">
        <v>9864</v>
      </c>
      <c r="G3949" s="3">
        <v>268882</v>
      </c>
      <c r="H3949" s="7" t="str">
        <f>HYPERLINK("http://www.ensembl.org/Mus_musculus/Gene/Summary?db=core;g=ENSMUSG00000035764","ENSMUSG00000035764")</f>
        <v>ENSMUSG00000035764</v>
      </c>
      <c r="I3949" s="7" t="str">
        <f>HYPERLINK("http://www.informatics.jax.org/marker/MGI:2447775","MGI:2447775")</f>
        <v>MGI:2447775</v>
      </c>
      <c r="J3949" s="4" t="s">
        <v>12</v>
      </c>
    </row>
    <row r="3950" spans="1:10" x14ac:dyDescent="0.25">
      <c r="A3950" s="2">
        <v>1680.1224922096101</v>
      </c>
      <c r="B3950" s="3">
        <v>-0.156464173863646</v>
      </c>
      <c r="C3950" s="3">
        <v>8.3593690943589094E-2</v>
      </c>
      <c r="D3950" s="4">
        <v>0.175720301896991</v>
      </c>
      <c r="E3950" s="3" t="s">
        <v>12025</v>
      </c>
      <c r="F3950" s="3" t="s">
        <v>12026</v>
      </c>
      <c r="G3950" s="3">
        <v>27214</v>
      </c>
      <c r="H3950" s="7" t="str">
        <f>HYPERLINK("http://www.ensembl.org/Mus_musculus/Gene/Summary?db=core;g=ENSMUSG00000002297","ENSMUSG00000002297")</f>
        <v>ENSMUSG00000002297</v>
      </c>
      <c r="I3950" s="7" t="str">
        <f>HYPERLINK("http://www.informatics.jax.org/marker/MGI:1351328","MGI:1351328")</f>
        <v>MGI:1351328</v>
      </c>
      <c r="J3950" s="4" t="s">
        <v>12</v>
      </c>
    </row>
    <row r="3951" spans="1:10" x14ac:dyDescent="0.25">
      <c r="A3951" s="2">
        <v>935.13393227545498</v>
      </c>
      <c r="B3951" s="3">
        <v>-0.15646421566560501</v>
      </c>
      <c r="C3951" s="3">
        <v>5.6905121843070602E-2</v>
      </c>
      <c r="D3951" s="4">
        <v>0.12728225890893</v>
      </c>
      <c r="E3951" s="3" t="s">
        <v>11129</v>
      </c>
      <c r="F3951" s="3" t="s">
        <v>11130</v>
      </c>
      <c r="G3951" s="3">
        <v>66146</v>
      </c>
      <c r="H3951" s="7" t="str">
        <f>HYPERLINK("http://www.ensembl.org/Mus_musculus/Gene/Summary?db=core;g=ENSMUSG00000028826","ENSMUSG00000028826")</f>
        <v>ENSMUSG00000028826</v>
      </c>
      <c r="I3951" s="7" t="str">
        <f>HYPERLINK("http://www.informatics.jax.org/marker/MGI:1913396","MGI:1913396")</f>
        <v>MGI:1913396</v>
      </c>
      <c r="J3951" s="4" t="s">
        <v>12</v>
      </c>
    </row>
    <row r="3952" spans="1:10" x14ac:dyDescent="0.25">
      <c r="A3952" s="2">
        <v>850.10901389151002</v>
      </c>
      <c r="B3952" s="3">
        <v>-0.15653588615420899</v>
      </c>
      <c r="C3952" s="3">
        <v>6.9288539605637002E-3</v>
      </c>
      <c r="D3952" s="4">
        <v>2.0201305940053298E-2</v>
      </c>
      <c r="E3952" s="3" t="s">
        <v>9317</v>
      </c>
      <c r="F3952" s="3" t="s">
        <v>9318</v>
      </c>
      <c r="G3952" s="3">
        <v>17344</v>
      </c>
      <c r="H3952" s="7" t="str">
        <f>HYPERLINK("http://www.ensembl.org/Mus_musculus/Gene/Summary?db=core;g=ENSMUSG00000025423","ENSMUSG00000025423")</f>
        <v>ENSMUSG00000025423</v>
      </c>
      <c r="I3952" s="7" t="str">
        <f>HYPERLINK("http://www.informatics.jax.org/marker/MGI:1096566","MGI:1096566")</f>
        <v>MGI:1096566</v>
      </c>
      <c r="J3952" s="4" t="s">
        <v>12</v>
      </c>
    </row>
    <row r="3953" spans="1:10" x14ac:dyDescent="0.25">
      <c r="A3953" s="2">
        <v>3085.5519461414701</v>
      </c>
      <c r="B3953" s="3">
        <v>-0.15657389185263901</v>
      </c>
      <c r="C3953" s="3">
        <v>7.3337590318674998E-4</v>
      </c>
      <c r="D3953" s="4">
        <v>2.63832922139331E-3</v>
      </c>
      <c r="E3953" s="3" t="s">
        <v>6718</v>
      </c>
      <c r="F3953" s="3" t="s">
        <v>6719</v>
      </c>
      <c r="G3953" s="3">
        <v>20322</v>
      </c>
      <c r="H3953" s="7" t="str">
        <f>HYPERLINK("http://www.ensembl.org/Mus_musculus/Gene/Summary?db=core;g=ENSMUSG00000027227","ENSMUSG00000027227")</f>
        <v>ENSMUSG00000027227</v>
      </c>
      <c r="I3953" s="7" t="str">
        <f>HYPERLINK("http://www.informatics.jax.org/marker/MGI:98266","MGI:98266")</f>
        <v>MGI:98266</v>
      </c>
      <c r="J3953" s="4" t="s">
        <v>12</v>
      </c>
    </row>
    <row r="3954" spans="1:10" x14ac:dyDescent="0.25">
      <c r="A3954" s="2">
        <v>1997.4069944548501</v>
      </c>
      <c r="B3954" s="3">
        <v>-0.15678673698513201</v>
      </c>
      <c r="C3954" s="3">
        <v>6.1817963425153197E-3</v>
      </c>
      <c r="D3954" s="4">
        <v>1.8203787096839799E-2</v>
      </c>
      <c r="E3954" s="3" t="s">
        <v>11325</v>
      </c>
      <c r="F3954" s="3" t="s">
        <v>11326</v>
      </c>
      <c r="G3954" s="3">
        <v>228012</v>
      </c>
      <c r="H3954" s="7" t="str">
        <f>HYPERLINK("http://www.ensembl.org/Mus_musculus/Gene/Summary?db=core;g=ENSMUSG00000041997","ENSMUSG00000041997")</f>
        <v>ENSMUSG00000041997</v>
      </c>
      <c r="I3954" s="7" t="str">
        <f>HYPERLINK("http://www.informatics.jax.org/marker/MGI:2441683","MGI:2441683")</f>
        <v>MGI:2441683</v>
      </c>
      <c r="J3954" s="4" t="s">
        <v>12</v>
      </c>
    </row>
    <row r="3955" spans="1:10" x14ac:dyDescent="0.25">
      <c r="A3955" s="2">
        <v>1924.81760168805</v>
      </c>
      <c r="B3955" s="3">
        <v>-0.15698222860310601</v>
      </c>
      <c r="C3955" s="3">
        <v>2.4110737004140299E-4</v>
      </c>
      <c r="D3955" s="4">
        <v>9.4255294272942505E-4</v>
      </c>
      <c r="E3955" s="3" t="s">
        <v>8255</v>
      </c>
      <c r="F3955" s="3" t="s">
        <v>8256</v>
      </c>
      <c r="G3955" s="3">
        <v>233863</v>
      </c>
      <c r="H3955" s="7" t="str">
        <f>HYPERLINK("http://www.ensembl.org/Mus_musculus/Gene/Summary?db=core;g=ENSMUSG00000032777","ENSMUSG00000032777")</f>
        <v>ENSMUSG00000032777</v>
      </c>
      <c r="I3955" s="7" t="str">
        <f>HYPERLINK("http://www.informatics.jax.org/marker/MGI:107887","MGI:107887")</f>
        <v>MGI:107887</v>
      </c>
      <c r="J3955" s="4" t="s">
        <v>12</v>
      </c>
    </row>
    <row r="3956" spans="1:10" x14ac:dyDescent="0.25">
      <c r="A3956" s="2">
        <v>1078.7063343181801</v>
      </c>
      <c r="B3956" s="3">
        <v>-0.15755578960639999</v>
      </c>
      <c r="C3956" s="3">
        <v>1.9173129637848E-3</v>
      </c>
      <c r="D3956" s="4">
        <v>6.37413877507807E-3</v>
      </c>
      <c r="E3956" s="3" t="s">
        <v>8497</v>
      </c>
      <c r="F3956" s="3" t="s">
        <v>8498</v>
      </c>
      <c r="G3956" s="3">
        <v>69994</v>
      </c>
      <c r="H3956" s="7" t="str">
        <f>HYPERLINK("http://www.ensembl.org/Mus_musculus/Gene/Summary?db=core;g=ENSMUSG00000040715","ENSMUSG00000040715")</f>
        <v>ENSMUSG00000040715</v>
      </c>
      <c r="I3956" s="7" t="str">
        <f>HYPERLINK("http://www.informatics.jax.org/marker/MGI:3526447","MGI:3526447")</f>
        <v>MGI:3526447</v>
      </c>
      <c r="J3956" s="4" t="s">
        <v>12</v>
      </c>
    </row>
    <row r="3957" spans="1:10" x14ac:dyDescent="0.25">
      <c r="A3957" s="2">
        <v>2608.1500633393998</v>
      </c>
      <c r="B3957" s="3">
        <v>-0.157745232497599</v>
      </c>
      <c r="C3957" s="3">
        <v>4.0346072122004004E-3</v>
      </c>
      <c r="D3957" s="4">
        <v>1.2410247500819E-2</v>
      </c>
      <c r="E3957" s="3" t="s">
        <v>8451</v>
      </c>
      <c r="F3957" s="3" t="s">
        <v>8452</v>
      </c>
      <c r="G3957" s="3">
        <v>100683</v>
      </c>
      <c r="H3957" s="7" t="str">
        <f>HYPERLINK("http://www.ensembl.org/Mus_musculus/Gene/Summary?db=core;g=ENSMUSG00000045482","ENSMUSG00000045482")</f>
        <v>ENSMUSG00000045482</v>
      </c>
      <c r="I3957" s="7" t="str">
        <f>HYPERLINK("http://www.informatics.jax.org/marker/MGI:2153272","MGI:2153272")</f>
        <v>MGI:2153272</v>
      </c>
      <c r="J3957" s="4" t="s">
        <v>12</v>
      </c>
    </row>
    <row r="3958" spans="1:10" x14ac:dyDescent="0.25">
      <c r="A3958" s="2">
        <v>664.48462970771197</v>
      </c>
      <c r="B3958" s="3">
        <v>-0.15791005784291101</v>
      </c>
      <c r="C3958" s="3">
        <v>2.4726188519154101E-2</v>
      </c>
      <c r="D3958" s="4">
        <v>6.20965668680699E-2</v>
      </c>
      <c r="E3958" s="3" t="s">
        <v>8957</v>
      </c>
      <c r="F3958" s="3" t="s">
        <v>8958</v>
      </c>
      <c r="G3958" s="3">
        <v>69190</v>
      </c>
      <c r="H3958" s="7" t="str">
        <f>HYPERLINK("http://www.ensembl.org/Mus_musculus/Gene/Summary?db=core;g=ENSMUSG00000035765","ENSMUSG00000035765")</f>
        <v>ENSMUSG00000035765</v>
      </c>
      <c r="I3958" s="7" t="str">
        <f>HYPERLINK("http://www.informatics.jax.org/marker/MGI:1918480","MGI:1918480")</f>
        <v>MGI:1918480</v>
      </c>
      <c r="J3958" s="4" t="s">
        <v>12</v>
      </c>
    </row>
    <row r="3959" spans="1:10" x14ac:dyDescent="0.25">
      <c r="A3959" s="2">
        <v>664.87643083577098</v>
      </c>
      <c r="B3959" s="3">
        <v>-0.158211079274656</v>
      </c>
      <c r="C3959" s="3">
        <v>2.7589264747472099E-3</v>
      </c>
      <c r="D3959" s="4">
        <v>8.8368075575163199E-3</v>
      </c>
      <c r="E3959" s="3" t="s">
        <v>7102</v>
      </c>
      <c r="F3959" s="3" t="s">
        <v>7103</v>
      </c>
      <c r="G3959" s="3">
        <v>218885</v>
      </c>
      <c r="H3959" s="7" t="str">
        <f>HYPERLINK("http://www.ensembl.org/Mus_musculus/Gene/Summary?db=core;g=ENSMUSG00000021906","ENSMUSG00000021906")</f>
        <v>ENSMUSG00000021906</v>
      </c>
      <c r="I3959" s="7" t="str">
        <f>HYPERLINK("http://www.informatics.jax.org/marker/MGI:1916953","MGI:1916953")</f>
        <v>MGI:1916953</v>
      </c>
      <c r="J3959" s="4" t="s">
        <v>12</v>
      </c>
    </row>
    <row r="3960" spans="1:10" x14ac:dyDescent="0.25">
      <c r="A3960" s="2">
        <v>342.17685014115102</v>
      </c>
      <c r="B3960" s="3">
        <v>-0.15827615034866199</v>
      </c>
      <c r="C3960" s="3">
        <v>4.6642060333943802E-2</v>
      </c>
      <c r="D3960" s="4">
        <v>0.10773783898430001</v>
      </c>
      <c r="E3960" s="3" t="s">
        <v>12017</v>
      </c>
      <c r="F3960" s="3" t="s">
        <v>12018</v>
      </c>
      <c r="G3960" s="3">
        <v>223665</v>
      </c>
      <c r="H3960" s="7" t="str">
        <f>HYPERLINK("http://www.ensembl.org/Mus_musculus/Gene/Summary?db=core;g=ENSMUSG00000116138","ENSMUSG00000116138")</f>
        <v>ENSMUSG00000116138</v>
      </c>
      <c r="I3960" s="7" t="str">
        <f>HYPERLINK("http://www.informatics.jax.org/marker/MGI:1925941","MGI:1925941")</f>
        <v>MGI:1925941</v>
      </c>
      <c r="J3960" s="4" t="s">
        <v>12</v>
      </c>
    </row>
    <row r="3961" spans="1:10" x14ac:dyDescent="0.25">
      <c r="A3961" s="2">
        <v>691.02866813042795</v>
      </c>
      <c r="B3961" s="3">
        <v>-0.158388144154926</v>
      </c>
      <c r="C3961" s="3">
        <v>1.7436877741259401E-2</v>
      </c>
      <c r="D3961" s="4">
        <v>4.5836881124253902E-2</v>
      </c>
      <c r="E3961" s="3" t="s">
        <v>12075</v>
      </c>
      <c r="F3961" s="3" t="s">
        <v>12076</v>
      </c>
      <c r="G3961" s="3">
        <v>242860</v>
      </c>
      <c r="H3961" s="7" t="str">
        <f>HYPERLINK("http://www.ensembl.org/Mus_musculus/Gene/Summary?db=core;g=ENSMUSG00000039968","ENSMUSG00000039968")</f>
        <v>ENSMUSG00000039968</v>
      </c>
      <c r="I3961" s="7" t="str">
        <f>HYPERLINK("http://www.informatics.jax.org/marker/MGI:3036237","MGI:3036237")</f>
        <v>MGI:3036237</v>
      </c>
      <c r="J3961" s="4" t="s">
        <v>12</v>
      </c>
    </row>
    <row r="3962" spans="1:10" x14ac:dyDescent="0.25">
      <c r="A3962" s="2">
        <v>3517.7955677597802</v>
      </c>
      <c r="B3962" s="3">
        <v>-0.158491988952005</v>
      </c>
      <c r="C3962" s="3">
        <v>4.1689246369973403E-4</v>
      </c>
      <c r="D3962" s="4">
        <v>1.5677366680168501E-3</v>
      </c>
      <c r="E3962" s="3" t="s">
        <v>10716</v>
      </c>
      <c r="F3962" s="3" t="s">
        <v>10717</v>
      </c>
      <c r="G3962" s="3">
        <v>63958</v>
      </c>
      <c r="H3962" s="7" t="str">
        <f>HYPERLINK("http://www.ensembl.org/Mus_musculus/Gene/Summary?db=core;g=ENSMUSG00000028960","ENSMUSG00000028960")</f>
        <v>ENSMUSG00000028960</v>
      </c>
      <c r="I3962" s="7" t="str">
        <f>HYPERLINK("http://www.informatics.jax.org/marker/MGI:1927086","MGI:1927086")</f>
        <v>MGI:1927086</v>
      </c>
      <c r="J3962" s="4" t="s">
        <v>12</v>
      </c>
    </row>
    <row r="3963" spans="1:10" x14ac:dyDescent="0.25">
      <c r="A3963" s="2">
        <v>428.436718529215</v>
      </c>
      <c r="B3963" s="3">
        <v>-0.15849514025511699</v>
      </c>
      <c r="C3963" s="3">
        <v>1.5891774645615801E-2</v>
      </c>
      <c r="D3963" s="4">
        <v>4.2293748965588303E-2</v>
      </c>
      <c r="E3963" s="3" t="s">
        <v>12895</v>
      </c>
      <c r="F3963" s="3" t="s">
        <v>12896</v>
      </c>
      <c r="G3963" s="3">
        <v>30840</v>
      </c>
      <c r="H3963" s="7" t="str">
        <f>HYPERLINK("http://www.ensembl.org/Mus_musculus/Gene/Summary?db=core;g=ENSMUSG00000022559","ENSMUSG00000022559")</f>
        <v>ENSMUSG00000022559</v>
      </c>
      <c r="I3963" s="7" t="str">
        <f>HYPERLINK("http://www.informatics.jax.org/marker/MGI:1354705","MGI:1354705")</f>
        <v>MGI:1354705</v>
      </c>
      <c r="J3963" s="4" t="s">
        <v>12</v>
      </c>
    </row>
    <row r="3964" spans="1:10" x14ac:dyDescent="0.25">
      <c r="A3964" s="2">
        <v>2193.65224950116</v>
      </c>
      <c r="B3964" s="3">
        <v>-0.15877515352441601</v>
      </c>
      <c r="C3964" s="3">
        <v>2.26573992930841E-2</v>
      </c>
      <c r="D3964" s="4">
        <v>5.7511295559395298E-2</v>
      </c>
      <c r="E3964" s="3" t="s">
        <v>6445</v>
      </c>
      <c r="F3964" s="3" t="s">
        <v>6446</v>
      </c>
      <c r="G3964" s="3">
        <v>230484</v>
      </c>
      <c r="H3964" s="7" t="str">
        <f>HYPERLINK("http://www.ensembl.org/Mus_musculus/Gene/Summary?db=core;g=ENSMUSG00000028560","ENSMUSG00000028560")</f>
        <v>ENSMUSG00000028560</v>
      </c>
      <c r="I3964" s="7" t="str">
        <f>HYPERLINK("http://www.informatics.jax.org/marker/MGI:2385198","MGI:2385198")</f>
        <v>MGI:2385198</v>
      </c>
      <c r="J3964" s="4" t="s">
        <v>12</v>
      </c>
    </row>
    <row r="3965" spans="1:10" x14ac:dyDescent="0.25">
      <c r="A3965" s="2">
        <v>4167.5227131316797</v>
      </c>
      <c r="B3965" s="3">
        <v>-0.160017109169976</v>
      </c>
      <c r="C3965" s="3">
        <v>1.3089563485088799E-4</v>
      </c>
      <c r="D3965" s="4">
        <v>5.3620430324959197E-4</v>
      </c>
      <c r="E3965" s="3" t="s">
        <v>10518</v>
      </c>
      <c r="F3965" s="3" t="s">
        <v>10519</v>
      </c>
      <c r="G3965" s="3">
        <v>71780</v>
      </c>
      <c r="H3965" s="7" t="str">
        <f>HYPERLINK("http://www.ensembl.org/Mus_musculus/Gene/Summary?db=core;g=ENSMUSG00000019139","ENSMUSG00000019139")</f>
        <v>ENSMUSG00000019139</v>
      </c>
      <c r="I3965" s="7" t="str">
        <f>HYPERLINK("http://www.informatics.jax.org/marker/MGI:1919030","MGI:1919030")</f>
        <v>MGI:1919030</v>
      </c>
      <c r="J3965" s="4" t="s">
        <v>12</v>
      </c>
    </row>
    <row r="3966" spans="1:10" x14ac:dyDescent="0.25">
      <c r="A3966" s="2">
        <v>44.291091634628302</v>
      </c>
      <c r="B3966" s="3">
        <v>-0.16017230382441</v>
      </c>
      <c r="C3966" s="3">
        <v>0.34056125854907099</v>
      </c>
      <c r="D3966" s="4">
        <v>0.51839379746570002</v>
      </c>
      <c r="E3966" s="3" t="s">
        <v>13479</v>
      </c>
      <c r="F3966" s="3" t="s">
        <v>13480</v>
      </c>
      <c r="G3966" s="3">
        <v>231474</v>
      </c>
      <c r="H3966" s="7" t="str">
        <f>HYPERLINK("http://www.ensembl.org/Mus_musculus/Gene/Summary?db=core;g=ENSMUSG00000055725","ENSMUSG00000055725")</f>
        <v>ENSMUSG00000055725</v>
      </c>
      <c r="I3966" s="7" t="str">
        <f>HYPERLINK("http://www.informatics.jax.org/marker/MGI:2679683","MGI:2679683")</f>
        <v>MGI:2679683</v>
      </c>
      <c r="J3966" s="4" t="s">
        <v>12</v>
      </c>
    </row>
    <row r="3967" spans="1:10" x14ac:dyDescent="0.25">
      <c r="A3967" s="2">
        <v>895.06945989023495</v>
      </c>
      <c r="B3967" s="3">
        <v>-0.16024189331364899</v>
      </c>
      <c r="C3967" s="3">
        <v>9.1248691081874493E-3</v>
      </c>
      <c r="D3967" s="4">
        <v>2.58511953204906E-2</v>
      </c>
      <c r="E3967" s="3" t="s">
        <v>13953</v>
      </c>
      <c r="F3967" s="3" t="s">
        <v>13954</v>
      </c>
      <c r="G3967" s="3">
        <v>269003</v>
      </c>
      <c r="H3967" s="7" t="str">
        <f>HYPERLINK("http://www.ensembl.org/Mus_musculus/Gene/Summary?db=core;g=ENSMUSG00000024260","ENSMUSG00000024260")</f>
        <v>ENSMUSG00000024260</v>
      </c>
      <c r="I3967" s="7" t="str">
        <f>HYPERLINK("http://www.informatics.jax.org/marker/MGI:1919782","MGI:1919782")</f>
        <v>MGI:1919782</v>
      </c>
      <c r="J3967" s="4" t="s">
        <v>12</v>
      </c>
    </row>
    <row r="3968" spans="1:10" x14ac:dyDescent="0.25">
      <c r="A3968" s="2">
        <v>439.69098889529101</v>
      </c>
      <c r="B3968" s="3">
        <v>-0.160274440022519</v>
      </c>
      <c r="C3968" s="3">
        <v>4.25579976886276E-2</v>
      </c>
      <c r="D3968" s="4">
        <v>9.9566047224035698E-2</v>
      </c>
      <c r="E3968" s="3" t="s">
        <v>13849</v>
      </c>
      <c r="F3968" s="3" t="s">
        <v>13850</v>
      </c>
      <c r="G3968" s="3">
        <v>211986</v>
      </c>
      <c r="H3968" s="7" t="str">
        <f>HYPERLINK("http://www.ensembl.org/Mus_musculus/Gene/Summary?db=core;g=ENSMUSG00000043061","ENSMUSG00000043061")</f>
        <v>ENSMUSG00000043061</v>
      </c>
      <c r="I3968" s="7" t="str">
        <f>HYPERLINK("http://www.informatics.jax.org/marker/MGI:2387176","MGI:2387176")</f>
        <v>MGI:2387176</v>
      </c>
      <c r="J3968" s="4" t="s">
        <v>12</v>
      </c>
    </row>
    <row r="3969" spans="1:10" x14ac:dyDescent="0.25">
      <c r="A3969" s="2">
        <v>714.21622126293698</v>
      </c>
      <c r="B3969" s="3">
        <v>-0.16043328080652799</v>
      </c>
      <c r="C3969" s="3">
        <v>5.0108401627470898E-2</v>
      </c>
      <c r="D3969" s="4">
        <v>0.11445026869953701</v>
      </c>
      <c r="E3969" s="3" t="s">
        <v>6545</v>
      </c>
      <c r="F3969" s="3" t="s">
        <v>6546</v>
      </c>
      <c r="G3969" s="3">
        <v>26417</v>
      </c>
      <c r="H3969" s="7" t="str">
        <f>HYPERLINK("http://www.ensembl.org/Mus_musculus/Gene/Summary?db=core;g=ENSMUSG00000063065","ENSMUSG00000063065")</f>
        <v>ENSMUSG00000063065</v>
      </c>
      <c r="I3969" s="7" t="str">
        <f>HYPERLINK("http://www.informatics.jax.org/marker/MGI:1346859","MGI:1346859")</f>
        <v>MGI:1346859</v>
      </c>
      <c r="J3969" s="4" t="s">
        <v>12</v>
      </c>
    </row>
    <row r="3970" spans="1:10" x14ac:dyDescent="0.25">
      <c r="A3970" s="2">
        <v>1016.19865772131</v>
      </c>
      <c r="B3970" s="3">
        <v>-0.16056737037379701</v>
      </c>
      <c r="C3970" s="3">
        <v>8.4338395831584005E-4</v>
      </c>
      <c r="D3970" s="4">
        <v>3.00678259786897E-3</v>
      </c>
      <c r="E3970" s="3" t="s">
        <v>10500</v>
      </c>
      <c r="F3970" s="3" t="s">
        <v>10501</v>
      </c>
      <c r="G3970" s="3">
        <v>67439</v>
      </c>
      <c r="H3970" s="7" t="str">
        <f>HYPERLINK("http://www.ensembl.org/Mus_musculus/Gene/Summary?db=core;g=ENSMUSG00000019470","ENSMUSG00000019470")</f>
        <v>ENSMUSG00000019470</v>
      </c>
      <c r="I3970" s="7" t="str">
        <f>HYPERLINK("http://www.informatics.jax.org/marker/MGI:1914689","MGI:1914689")</f>
        <v>MGI:1914689</v>
      </c>
      <c r="J3970" s="4" t="s">
        <v>12</v>
      </c>
    </row>
    <row r="3971" spans="1:10" x14ac:dyDescent="0.25">
      <c r="A3971" s="2">
        <v>580.207926999699</v>
      </c>
      <c r="B3971" s="3">
        <v>-0.16083747499380899</v>
      </c>
      <c r="C3971" s="3">
        <v>3.1703004153940798E-2</v>
      </c>
      <c r="D3971" s="4">
        <v>7.7275745295625503E-2</v>
      </c>
      <c r="E3971" s="3" t="s">
        <v>7606</v>
      </c>
      <c r="F3971" s="3" t="s">
        <v>7607</v>
      </c>
      <c r="G3971" s="3">
        <v>57354</v>
      </c>
      <c r="H3971" s="7" t="str">
        <f>HYPERLINK("http://www.ensembl.org/Mus_musculus/Gene/Summary?db=core;g=ENSMUSG00000038002","ENSMUSG00000038002")</f>
        <v>ENSMUSG00000038002</v>
      </c>
      <c r="I3971" s="7" t="str">
        <f>HYPERLINK("http://www.informatics.jax.org/marker/MGI:1930190","MGI:1930190")</f>
        <v>MGI:1930190</v>
      </c>
      <c r="J3971" s="4" t="s">
        <v>12</v>
      </c>
    </row>
    <row r="3972" spans="1:10" x14ac:dyDescent="0.25">
      <c r="A3972" s="2">
        <v>852.04181949771396</v>
      </c>
      <c r="B3972" s="3">
        <v>-0.16130586019448601</v>
      </c>
      <c r="C3972" s="3">
        <v>5.2000877334490098E-3</v>
      </c>
      <c r="D3972" s="4">
        <v>1.55851054422335E-2</v>
      </c>
      <c r="E3972" s="3" t="s">
        <v>12416</v>
      </c>
      <c r="F3972" s="3" t="s">
        <v>12417</v>
      </c>
      <c r="G3972" s="3">
        <v>69773</v>
      </c>
      <c r="H3972" s="7" t="str">
        <f>HYPERLINK("http://www.ensembl.org/Mus_musculus/Gene/Summary?db=core;g=ENSMUSG00000048429","ENSMUSG00000048429")</f>
        <v>ENSMUSG00000048429</v>
      </c>
      <c r="I3972" s="7" t="str">
        <f>HYPERLINK("http://www.informatics.jax.org/marker/MGI:1917023","MGI:1917023")</f>
        <v>MGI:1917023</v>
      </c>
      <c r="J3972" s="4" t="s">
        <v>12</v>
      </c>
    </row>
    <row r="3973" spans="1:10" x14ac:dyDescent="0.25">
      <c r="A3973" s="2">
        <v>75.421588211766405</v>
      </c>
      <c r="B3973" s="3">
        <v>-0.162151383656429</v>
      </c>
      <c r="C3973" s="3">
        <v>0.27108460990266198</v>
      </c>
      <c r="D3973" s="4">
        <v>0.44036326527700098</v>
      </c>
      <c r="E3973" s="3" t="s">
        <v>13023</v>
      </c>
      <c r="F3973" s="3" t="s">
        <v>13024</v>
      </c>
      <c r="G3973" s="3">
        <v>100036521</v>
      </c>
      <c r="H3973" s="7" t="str">
        <f>HYPERLINK("http://www.ensembl.org/Mus_musculus/Gene/Summary?db=core;g=ENSMUSG00000089862","ENSMUSG00000089862")</f>
        <v>ENSMUSG00000089862</v>
      </c>
      <c r="I3973" s="7" t="str">
        <f>HYPERLINK("http://www.informatics.jax.org/marker/MGI:3840148","MGI:3840148")</f>
        <v>MGI:3840148</v>
      </c>
      <c r="J3973" s="4" t="s">
        <v>12</v>
      </c>
    </row>
    <row r="3974" spans="1:10" x14ac:dyDescent="0.25">
      <c r="A3974" s="2">
        <v>379.07053542336701</v>
      </c>
      <c r="B3974" s="3">
        <v>-0.16264158928547001</v>
      </c>
      <c r="C3974" s="3">
        <v>4.87650438454423E-2</v>
      </c>
      <c r="D3974" s="4">
        <v>0.111904170748324</v>
      </c>
      <c r="E3974" s="3" t="s">
        <v>13531</v>
      </c>
      <c r="F3974" s="3" t="s">
        <v>13532</v>
      </c>
      <c r="G3974" s="3">
        <v>19302</v>
      </c>
      <c r="H3974" s="7" t="str">
        <f>HYPERLINK("http://www.ensembl.org/Mus_musculus/Gene/Summary?db=core;g=ENSMUSG00000040374","ENSMUSG00000040374")</f>
        <v>ENSMUSG00000040374</v>
      </c>
      <c r="I3974" s="7" t="str">
        <f>HYPERLINK("http://www.informatics.jax.org/marker/MGI:107486","MGI:107486")</f>
        <v>MGI:107486</v>
      </c>
      <c r="J3974" s="4" t="s">
        <v>12</v>
      </c>
    </row>
    <row r="3975" spans="1:10" x14ac:dyDescent="0.25">
      <c r="A3975" s="2">
        <v>213.596094555001</v>
      </c>
      <c r="B3975" s="3">
        <v>-0.16273948562924001</v>
      </c>
      <c r="C3975" s="3">
        <v>0.141853580871975</v>
      </c>
      <c r="D3975" s="4">
        <v>0.27011613325585099</v>
      </c>
      <c r="E3975" s="3" t="s">
        <v>12667</v>
      </c>
      <c r="F3975" s="3" t="s">
        <v>12668</v>
      </c>
      <c r="G3975" s="3">
        <v>69742</v>
      </c>
      <c r="H3975" s="7" t="str">
        <f>HYPERLINK("http://www.ensembl.org/Mus_musculus/Gene/Summary?db=core;g=ENSMUSG00000031556","ENSMUSG00000031556")</f>
        <v>ENSMUSG00000031556</v>
      </c>
      <c r="I3975" s="7" t="str">
        <f>HYPERLINK("http://www.informatics.jax.org/marker/MGI:1916992","MGI:1916992")</f>
        <v>MGI:1916992</v>
      </c>
      <c r="J3975" s="4" t="s">
        <v>12</v>
      </c>
    </row>
    <row r="3976" spans="1:10" x14ac:dyDescent="0.25">
      <c r="A3976" s="2">
        <v>575.21314647675797</v>
      </c>
      <c r="B3976" s="3">
        <v>-0.16347487153319701</v>
      </c>
      <c r="C3976" s="3">
        <v>1.01495560263386E-2</v>
      </c>
      <c r="D3976" s="4">
        <v>2.8403922272286702E-2</v>
      </c>
      <c r="E3976" s="3" t="s">
        <v>10078</v>
      </c>
      <c r="F3976" s="3" t="s">
        <v>10079</v>
      </c>
      <c r="G3976" s="3">
        <v>74108</v>
      </c>
      <c r="H3976" s="7" t="str">
        <f>HYPERLINK("http://www.ensembl.org/Mus_musculus/Gene/Summary?db=core;g=ENSMUSG00000022685","ENSMUSG00000022685")</f>
        <v>ENSMUSG00000022685</v>
      </c>
      <c r="I3976" s="7" t="str">
        <f>HYPERLINK("http://www.informatics.jax.org/marker/MGI:1921358","MGI:1921358")</f>
        <v>MGI:1921358</v>
      </c>
      <c r="J3976" s="4" t="s">
        <v>12</v>
      </c>
    </row>
    <row r="3977" spans="1:10" x14ac:dyDescent="0.25">
      <c r="A3977" s="2">
        <v>1626.83778738915</v>
      </c>
      <c r="B3977" s="3">
        <v>-0.16365246345009099</v>
      </c>
      <c r="C3977" s="3">
        <v>0.14904775600732401</v>
      </c>
      <c r="D3977" s="4">
        <v>0.28035869060104002</v>
      </c>
      <c r="E3977" s="3" t="s">
        <v>10172</v>
      </c>
      <c r="F3977" s="3" t="s">
        <v>10173</v>
      </c>
      <c r="G3977" s="3">
        <v>98386</v>
      </c>
      <c r="H3977" s="7" t="str">
        <f>HYPERLINK("http://www.ensembl.org/Mus_musculus/Gene/Summary?db=core;g=ENSMUSG00000004880","ENSMUSG00000004880")</f>
        <v>ENSMUSG00000004880</v>
      </c>
      <c r="I3977" s="7" t="str">
        <f>HYPERLINK("http://www.informatics.jax.org/marker/MGI:2138281","MGI:2138281")</f>
        <v>MGI:2138281</v>
      </c>
      <c r="J3977" s="4" t="s">
        <v>12</v>
      </c>
    </row>
    <row r="3978" spans="1:10" x14ac:dyDescent="0.25">
      <c r="A3978" s="2">
        <v>1776.3437005528599</v>
      </c>
      <c r="B3978" s="3">
        <v>-0.16395453919139599</v>
      </c>
      <c r="C3978" s="3">
        <v>1.11586722785708E-3</v>
      </c>
      <c r="D3978" s="4">
        <v>3.89666223945109E-3</v>
      </c>
      <c r="E3978" s="3" t="s">
        <v>13423</v>
      </c>
      <c r="F3978" s="3" t="s">
        <v>13424</v>
      </c>
      <c r="G3978" s="3">
        <v>64704</v>
      </c>
      <c r="H3978" s="7" t="str">
        <f>HYPERLINK("http://www.ensembl.org/Mus_musculus/Gene/Summary?db=core;g=ENSMUSG00000068329","ENSMUSG00000068329")</f>
        <v>ENSMUSG00000068329</v>
      </c>
      <c r="I3978" s="7" t="str">
        <f>HYPERLINK("http://www.informatics.jax.org/marker/MGI:1928676","MGI:1928676")</f>
        <v>MGI:1928676</v>
      </c>
      <c r="J3978" s="4" t="s">
        <v>12</v>
      </c>
    </row>
    <row r="3979" spans="1:10" x14ac:dyDescent="0.25">
      <c r="A3979" s="2">
        <v>951.07282959645602</v>
      </c>
      <c r="B3979" s="3">
        <v>-0.164268835157722</v>
      </c>
      <c r="C3979" s="3">
        <v>3.4325406832198002E-3</v>
      </c>
      <c r="D3979" s="4">
        <v>1.0738949401674599E-2</v>
      </c>
      <c r="E3979" s="3" t="s">
        <v>12197</v>
      </c>
      <c r="F3979" s="3" t="s">
        <v>12198</v>
      </c>
      <c r="G3979" s="3">
        <v>116733</v>
      </c>
      <c r="H3979" s="7" t="str">
        <f>HYPERLINK("http://www.ensembl.org/Mus_musculus/Gene/Summary?db=core;g=ENSMUSG00000031913","ENSMUSG00000031913")</f>
        <v>ENSMUSG00000031913</v>
      </c>
      <c r="I3979" s="7" t="str">
        <f>HYPERLINK("http://www.informatics.jax.org/marker/MGI:1890520","MGI:1890520")</f>
        <v>MGI:1890520</v>
      </c>
      <c r="J3979" s="4" t="s">
        <v>12</v>
      </c>
    </row>
    <row r="3980" spans="1:10" x14ac:dyDescent="0.25">
      <c r="A3980" s="2">
        <v>569.60547892244199</v>
      </c>
      <c r="B3980" s="3">
        <v>-0.164269608729634</v>
      </c>
      <c r="C3980" s="3">
        <v>2.77366750224533E-3</v>
      </c>
      <c r="D3980" s="4">
        <v>8.87778191577469E-3</v>
      </c>
      <c r="E3980" s="3" t="s">
        <v>8899</v>
      </c>
      <c r="F3980" s="3" t="s">
        <v>8900</v>
      </c>
      <c r="G3980" s="3">
        <v>11546</v>
      </c>
      <c r="H3980" s="7" t="str">
        <f>HYPERLINK("http://www.ensembl.org/Mus_musculus/Gene/Summary?db=core;g=ENSMUSG00000036023","ENSMUSG00000036023")</f>
        <v>ENSMUSG00000036023</v>
      </c>
      <c r="I3980" s="7" t="str">
        <f>HYPERLINK("http://www.informatics.jax.org/marker/MGI:1341112","MGI:1341112")</f>
        <v>MGI:1341112</v>
      </c>
      <c r="J3980" s="4" t="s">
        <v>12</v>
      </c>
    </row>
    <row r="3981" spans="1:10" x14ac:dyDescent="0.25">
      <c r="A3981" s="2">
        <v>1506.4835587283201</v>
      </c>
      <c r="B3981" s="3">
        <v>-0.16453647701508001</v>
      </c>
      <c r="C3981" s="3">
        <v>3.0609977853087899E-2</v>
      </c>
      <c r="D3981" s="4">
        <v>7.4831233584510604E-2</v>
      </c>
      <c r="E3981" s="3" t="s">
        <v>12941</v>
      </c>
      <c r="F3981" s="3" t="s">
        <v>12942</v>
      </c>
      <c r="G3981" s="3">
        <v>233876</v>
      </c>
      <c r="H3981" s="7" t="str">
        <f>HYPERLINK("http://www.ensembl.org/Mus_musculus/Gene/Summary?db=core;g=ENSMUSG00000042606","ENSMUSG00000042606")</f>
        <v>ENSMUSG00000042606</v>
      </c>
      <c r="I3981" s="7" t="str">
        <f>HYPERLINK("http://www.informatics.jax.org/marker/MGI:2142364","MGI:2142364")</f>
        <v>MGI:2142364</v>
      </c>
      <c r="J3981" s="4" t="s">
        <v>12</v>
      </c>
    </row>
    <row r="3982" spans="1:10" x14ac:dyDescent="0.25">
      <c r="A3982" s="2">
        <v>240.33381277610101</v>
      </c>
      <c r="B3982" s="3">
        <v>-0.16467827496766199</v>
      </c>
      <c r="C3982" s="3">
        <v>5.4191782511525302E-2</v>
      </c>
      <c r="D3982" s="4">
        <v>0.12218795450606799</v>
      </c>
      <c r="E3982" s="3" t="s">
        <v>11367</v>
      </c>
      <c r="F3982" s="3" t="s">
        <v>11368</v>
      </c>
      <c r="G3982" s="3">
        <v>218989</v>
      </c>
      <c r="H3982" s="7" t="str">
        <f>HYPERLINK("http://www.ensembl.org/Mus_musculus/Gene/Summary?db=core;g=ENSMUSG00000036339","ENSMUSG00000036339")</f>
        <v>ENSMUSG00000036339</v>
      </c>
      <c r="I3982" s="7" t="str">
        <f>HYPERLINK("http://www.informatics.jax.org/marker/MGI:2443219","MGI:2443219")</f>
        <v>MGI:2443219</v>
      </c>
      <c r="J3982" s="4" t="s">
        <v>12</v>
      </c>
    </row>
    <row r="3983" spans="1:10" x14ac:dyDescent="0.25">
      <c r="A3983" s="2">
        <v>736.49702610257896</v>
      </c>
      <c r="B3983" s="3">
        <v>-0.164692387756425</v>
      </c>
      <c r="C3983" s="3">
        <v>1.7179666474485499E-2</v>
      </c>
      <c r="D3983" s="4">
        <v>4.5245581141256902E-2</v>
      </c>
      <c r="E3983" s="3" t="s">
        <v>11048</v>
      </c>
      <c r="F3983" s="3" t="s">
        <v>11049</v>
      </c>
      <c r="G3983" s="3">
        <v>104884</v>
      </c>
      <c r="H3983" s="7" t="str">
        <f>HYPERLINK("http://www.ensembl.org/Mus_musculus/Gene/Summary?db=core;g=ENSMUSG00000021177","ENSMUSG00000021177")</f>
        <v>ENSMUSG00000021177</v>
      </c>
      <c r="I3983" s="7" t="str">
        <f>HYPERLINK("http://www.informatics.jax.org/marker/MGI:1920036","MGI:1920036")</f>
        <v>MGI:1920036</v>
      </c>
      <c r="J3983" s="4" t="s">
        <v>12</v>
      </c>
    </row>
    <row r="3984" spans="1:10" x14ac:dyDescent="0.25">
      <c r="A3984" s="2">
        <v>171.770815898363</v>
      </c>
      <c r="B3984" s="3">
        <v>-0.164749713706378</v>
      </c>
      <c r="C3984" s="3">
        <v>0.10330222690664401</v>
      </c>
      <c r="D3984" s="4">
        <v>0.208723180196628</v>
      </c>
      <c r="E3984" s="3" t="s">
        <v>11545</v>
      </c>
      <c r="F3984" s="3" t="s">
        <v>11546</v>
      </c>
      <c r="G3984" s="3">
        <v>208194</v>
      </c>
      <c r="H3984" s="7" t="str">
        <f>HYPERLINK("http://www.ensembl.org/Mus_musculus/Gene/Summary?db=core;g=ENSMUSG00000042787","ENSMUSG00000042787")</f>
        <v>ENSMUSG00000042787</v>
      </c>
      <c r="I3984" s="7" t="str">
        <f>HYPERLINK("http://www.informatics.jax.org/marker/MGI:2143333","MGI:2143333")</f>
        <v>MGI:2143333</v>
      </c>
      <c r="J3984" s="4" t="s">
        <v>12</v>
      </c>
    </row>
    <row r="3985" spans="1:10" x14ac:dyDescent="0.25">
      <c r="A3985" s="2">
        <v>6032.09565520254</v>
      </c>
      <c r="B3985" s="3">
        <v>-0.16511314267935001</v>
      </c>
      <c r="C3985" s="3">
        <v>5.7910187229968902E-4</v>
      </c>
      <c r="D3985" s="4">
        <v>2.1287074672573301E-3</v>
      </c>
      <c r="E3985" s="3" t="s">
        <v>9237</v>
      </c>
      <c r="F3985" s="3" t="s">
        <v>9238</v>
      </c>
      <c r="G3985" s="3">
        <v>103573</v>
      </c>
      <c r="H3985" s="7" t="str">
        <f>HYPERLINK("http://www.ensembl.org/Mus_musculus/Gene/Summary?db=core;g=ENSMUSG00000020290","ENSMUSG00000020290")</f>
        <v>ENSMUSG00000020290</v>
      </c>
      <c r="I3985" s="7" t="str">
        <f>HYPERLINK("http://www.informatics.jax.org/marker/MGI:2144013","MGI:2144013")</f>
        <v>MGI:2144013</v>
      </c>
      <c r="J3985" s="4" t="s">
        <v>12</v>
      </c>
    </row>
    <row r="3986" spans="1:10" x14ac:dyDescent="0.25">
      <c r="A3986" s="2">
        <v>232.54361363796801</v>
      </c>
      <c r="B3986" s="3">
        <v>-0.16536253455844199</v>
      </c>
      <c r="C3986" s="3">
        <v>0.14581597487496201</v>
      </c>
      <c r="D3986" s="4">
        <v>0.27573107927953799</v>
      </c>
      <c r="E3986" s="3" t="s">
        <v>12989</v>
      </c>
      <c r="F3986" s="3" t="s">
        <v>12990</v>
      </c>
      <c r="G3986" s="3">
        <v>20411</v>
      </c>
      <c r="H3986" s="7" t="str">
        <f>HYPERLINK("http://www.ensembl.org/Mus_musculus/Gene/Summary?db=core;g=ENSMUSG00000025006","ENSMUSG00000025006")</f>
        <v>ENSMUSG00000025006</v>
      </c>
      <c r="I3986" s="7" t="str">
        <f>HYPERLINK("http://www.informatics.jax.org/marker/MGI:700014","MGI:700014")</f>
        <v>MGI:700014</v>
      </c>
      <c r="J3986" s="4" t="s">
        <v>12</v>
      </c>
    </row>
    <row r="3987" spans="1:10" x14ac:dyDescent="0.25">
      <c r="A3987" s="2">
        <v>5731.2446228805502</v>
      </c>
      <c r="B3987" s="3">
        <v>-0.16540058194336901</v>
      </c>
      <c r="C3987" s="3">
        <v>4.6618448121832799E-3</v>
      </c>
      <c r="D3987" s="4">
        <v>1.4113309252830599E-2</v>
      </c>
      <c r="E3987" s="3" t="s">
        <v>12325</v>
      </c>
      <c r="F3987" s="3" t="s">
        <v>12326</v>
      </c>
      <c r="G3987" s="3">
        <v>20501</v>
      </c>
      <c r="H3987" s="7" t="str">
        <f>HYPERLINK("http://www.ensembl.org/Mus_musculus/Gene/Summary?db=core;g=ENSMUSG00000032902","ENSMUSG00000032902")</f>
        <v>ENSMUSG00000032902</v>
      </c>
      <c r="I3987" s="7" t="str">
        <f>HYPERLINK("http://www.informatics.jax.org/marker/MGI:106013","MGI:106013")</f>
        <v>MGI:106013</v>
      </c>
      <c r="J3987" s="4" t="s">
        <v>12</v>
      </c>
    </row>
    <row r="3988" spans="1:10" x14ac:dyDescent="0.25">
      <c r="A3988" s="2">
        <v>10939.852041527</v>
      </c>
      <c r="B3988" s="3">
        <v>-0.16597892543346099</v>
      </c>
      <c r="C3988" s="3">
        <v>1.1355195071187599E-3</v>
      </c>
      <c r="D3988" s="4">
        <v>3.9584627041391197E-3</v>
      </c>
      <c r="E3988" s="3" t="s">
        <v>7226</v>
      </c>
      <c r="F3988" s="3" t="s">
        <v>7227</v>
      </c>
      <c r="G3988" s="3">
        <v>108911</v>
      </c>
      <c r="H3988" s="7" t="str">
        <f>HYPERLINK("http://www.ensembl.org/Mus_musculus/Gene/Summary?db=core;g=ENSMUSG00000040945","ENSMUSG00000040945")</f>
        <v>ENSMUSG00000040945</v>
      </c>
      <c r="I3988" s="7" t="str">
        <f>HYPERLINK("http://www.informatics.jax.org/marker/MGI:1919784","MGI:1919784")</f>
        <v>MGI:1919784</v>
      </c>
      <c r="J3988" s="4" t="s">
        <v>12</v>
      </c>
    </row>
    <row r="3989" spans="1:10" x14ac:dyDescent="0.25">
      <c r="A3989" s="2">
        <v>1100.1844956805301</v>
      </c>
      <c r="B3989" s="3">
        <v>-0.16598529045063001</v>
      </c>
      <c r="C3989" s="3">
        <v>2.1398947627801999E-3</v>
      </c>
      <c r="D3989" s="4">
        <v>7.0370952817880097E-3</v>
      </c>
      <c r="E3989" s="3" t="s">
        <v>6950</v>
      </c>
      <c r="F3989" s="3" t="s">
        <v>6951</v>
      </c>
      <c r="G3989" s="3">
        <v>70470</v>
      </c>
      <c r="H3989" s="7" t="str">
        <f>HYPERLINK("http://www.ensembl.org/Mus_musculus/Gene/Summary?db=core;g=ENSMUSG00000027651","ENSMUSG00000027651")</f>
        <v>ENSMUSG00000027651</v>
      </c>
      <c r="I3989" s="7" t="str">
        <f>HYPERLINK("http://www.informatics.jax.org/marker/MGI:1917720","MGI:1917720")</f>
        <v>MGI:1917720</v>
      </c>
      <c r="J3989" s="4" t="s">
        <v>12</v>
      </c>
    </row>
    <row r="3990" spans="1:10" x14ac:dyDescent="0.25">
      <c r="A3990" s="2">
        <v>926.18111251667801</v>
      </c>
      <c r="B3990" s="3">
        <v>-0.16609411000461699</v>
      </c>
      <c r="C3990" s="3">
        <v>6.9442312456746797E-3</v>
      </c>
      <c r="D3990" s="4">
        <v>2.0236426999107899E-2</v>
      </c>
      <c r="E3990" s="3" t="s">
        <v>6533</v>
      </c>
      <c r="F3990" s="3" t="s">
        <v>6534</v>
      </c>
      <c r="G3990" s="3">
        <v>223921</v>
      </c>
      <c r="H3990" s="7" t="str">
        <f>HYPERLINK("http://www.ensembl.org/Mus_musculus/Gene/Summary?db=core;g=ENSMUSG00000036678","ENSMUSG00000036678")</f>
        <v>ENSMUSG00000036678</v>
      </c>
      <c r="I3990" s="7" t="str">
        <f>HYPERLINK("http://www.informatics.jax.org/marker/MGI:2443767","MGI:2443767")</f>
        <v>MGI:2443767</v>
      </c>
      <c r="J3990" s="4" t="s">
        <v>12</v>
      </c>
    </row>
    <row r="3991" spans="1:10" x14ac:dyDescent="0.25">
      <c r="A3991" s="2">
        <v>594.56799143948297</v>
      </c>
      <c r="B3991" s="3">
        <v>-0.166149748098182</v>
      </c>
      <c r="C3991" s="3">
        <v>7.69548233802102E-3</v>
      </c>
      <c r="D3991" s="4">
        <v>2.21704340199863E-2</v>
      </c>
      <c r="E3991" s="3" t="s">
        <v>10230</v>
      </c>
      <c r="F3991" s="3" t="s">
        <v>10231</v>
      </c>
      <c r="G3991" s="3">
        <v>60315</v>
      </c>
      <c r="H3991" s="7" t="str">
        <f>HYPERLINK("http://www.ensembl.org/Mus_musculus/Gene/Summary?db=core;g=ENSMUSG00000001285","ENSMUSG00000001285")</f>
        <v>ENSMUSG00000001285</v>
      </c>
      <c r="I3991" s="7" t="str">
        <f>HYPERLINK("http://www.informatics.jax.org/marker/MGI:1929864","MGI:1929864")</f>
        <v>MGI:1929864</v>
      </c>
      <c r="J3991" s="4" t="s">
        <v>12</v>
      </c>
    </row>
    <row r="3992" spans="1:10" x14ac:dyDescent="0.25">
      <c r="A3992" s="2">
        <v>750.14904940643805</v>
      </c>
      <c r="B3992" s="3">
        <v>-0.16623650288849301</v>
      </c>
      <c r="C3992" s="3">
        <v>5.0744667491847598E-2</v>
      </c>
      <c r="D3992" s="4">
        <v>0.115674992500178</v>
      </c>
      <c r="E3992" s="3" t="s">
        <v>6603</v>
      </c>
      <c r="F3992" s="3" t="s">
        <v>6604</v>
      </c>
      <c r="G3992" s="3">
        <v>76454</v>
      </c>
      <c r="H3992" s="7" t="str">
        <f>HYPERLINK("http://www.ensembl.org/Mus_musculus/Gene/Summary?db=core;g=ENSMUSG00000052934","ENSMUSG00000052934")</f>
        <v>ENSMUSG00000052934</v>
      </c>
      <c r="I3992" s="7" t="str">
        <f>HYPERLINK("http://www.informatics.jax.org/marker/MGI:1354708","MGI:1354708")</f>
        <v>MGI:1354708</v>
      </c>
      <c r="J3992" s="4" t="s">
        <v>12</v>
      </c>
    </row>
    <row r="3993" spans="1:10" x14ac:dyDescent="0.25">
      <c r="A3993" s="2">
        <v>573.10021368418802</v>
      </c>
      <c r="B3993" s="3">
        <v>-0.166390490896584</v>
      </c>
      <c r="C3993" s="3">
        <v>2.1895798700052999E-2</v>
      </c>
      <c r="D3993" s="4">
        <v>5.5803514376795697E-2</v>
      </c>
      <c r="E3993" s="3" t="s">
        <v>13318</v>
      </c>
      <c r="F3993" s="3" t="s">
        <v>13319</v>
      </c>
      <c r="G3993" s="3">
        <v>70456</v>
      </c>
      <c r="H3993" s="7" t="str">
        <f>HYPERLINK("http://www.ensembl.org/Mus_musculus/Gene/Summary?db=core;g=ENSMUSG00000026568","ENSMUSG00000026568")</f>
        <v>ENSMUSG00000026568</v>
      </c>
      <c r="I3993" s="7" t="str">
        <f>HYPERLINK("http://www.informatics.jax.org/marker/MGI:1917706","MGI:1917706")</f>
        <v>MGI:1917706</v>
      </c>
      <c r="J3993" s="4" t="s">
        <v>12</v>
      </c>
    </row>
    <row r="3994" spans="1:10" x14ac:dyDescent="0.25">
      <c r="A3994" s="2">
        <v>287.51442062449598</v>
      </c>
      <c r="B3994" s="3">
        <v>-0.16718652912285201</v>
      </c>
      <c r="C3994" s="3">
        <v>3.5874878940139202E-2</v>
      </c>
      <c r="D3994" s="4">
        <v>8.6062875962095095E-2</v>
      </c>
      <c r="E3994" s="3" t="s">
        <v>11583</v>
      </c>
      <c r="F3994" s="3" t="s">
        <v>11584</v>
      </c>
      <c r="G3994" s="3">
        <v>380664</v>
      </c>
      <c r="H3994" s="7" t="str">
        <f>HYPERLINK("http://www.ensembl.org/Mus_musculus/Gene/Summary?db=core;g=ENSMUSG00000048661","ENSMUSG00000048661")</f>
        <v>ENSMUSG00000048661</v>
      </c>
      <c r="I3994" s="7" t="str">
        <f>HYPERLINK("http://www.informatics.jax.org/marker/MGI:3580376","MGI:3580376")</f>
        <v>MGI:3580376</v>
      </c>
      <c r="J3994" s="4" t="s">
        <v>12</v>
      </c>
    </row>
    <row r="3995" spans="1:10" x14ac:dyDescent="0.25">
      <c r="A3995" s="2">
        <v>2021.1640710163699</v>
      </c>
      <c r="B3995" s="3">
        <v>-0.16737602256298401</v>
      </c>
      <c r="C3995" s="3">
        <v>2.7499368431071501E-2</v>
      </c>
      <c r="D3995" s="4">
        <v>6.8159389318139196E-2</v>
      </c>
      <c r="E3995" s="3" t="s">
        <v>14033</v>
      </c>
      <c r="F3995" s="3" t="s">
        <v>14034</v>
      </c>
      <c r="G3995" s="3">
        <v>13875</v>
      </c>
      <c r="H3995" s="7" t="str">
        <f>HYPERLINK("http://www.ensembl.org/Mus_musculus/Gene/Summary?db=core;g=ENSMUSG00000040857","ENSMUSG00000040857")</f>
        <v>ENSMUSG00000040857</v>
      </c>
      <c r="I3995" s="7" t="str">
        <f>HYPERLINK("http://www.informatics.jax.org/marker/MGI:109637","MGI:109637")</f>
        <v>MGI:109637</v>
      </c>
      <c r="J3995" s="4" t="s">
        <v>12</v>
      </c>
    </row>
    <row r="3996" spans="1:10" x14ac:dyDescent="0.25">
      <c r="A3996" s="2">
        <v>881.53303185915502</v>
      </c>
      <c r="B3996" s="3">
        <v>-0.16739117400022099</v>
      </c>
      <c r="C3996" s="3">
        <v>4.0462617164173601E-3</v>
      </c>
      <c r="D3996" s="4">
        <v>1.2443995913214E-2</v>
      </c>
      <c r="E3996" s="3" t="s">
        <v>11561</v>
      </c>
      <c r="F3996" s="3" t="s">
        <v>11562</v>
      </c>
      <c r="G3996" s="3">
        <v>12005</v>
      </c>
      <c r="H3996" s="7" t="str">
        <f>HYPERLINK("http://www.ensembl.org/Mus_musculus/Gene/Summary?db=core;g=ENSMUSG00000024182","ENSMUSG00000024182")</f>
        <v>ENSMUSG00000024182</v>
      </c>
      <c r="I3996" s="7" t="str">
        <f>HYPERLINK("http://www.informatics.jax.org/marker/MGI:1096327","MGI:1096327")</f>
        <v>MGI:1096327</v>
      </c>
      <c r="J3996" s="4" t="s">
        <v>12</v>
      </c>
    </row>
    <row r="3997" spans="1:10" x14ac:dyDescent="0.25">
      <c r="A3997" s="2">
        <v>1205.1996287011</v>
      </c>
      <c r="B3997" s="3">
        <v>-0.16762932363967001</v>
      </c>
      <c r="C3997" s="3">
        <v>5.4409949122986704E-4</v>
      </c>
      <c r="D3997" s="4">
        <v>2.0109943678086298E-3</v>
      </c>
      <c r="E3997" s="3" t="s">
        <v>7997</v>
      </c>
      <c r="F3997" s="3" t="s">
        <v>7998</v>
      </c>
      <c r="G3997" s="3">
        <v>13858</v>
      </c>
      <c r="H3997" s="7" t="str">
        <f>HYPERLINK("http://www.ensembl.org/Mus_musculus/Gene/Summary?db=core;g=ENSMUSG00000028552","ENSMUSG00000028552")</f>
        <v>ENSMUSG00000028552</v>
      </c>
      <c r="I3997" s="7" t="str">
        <f>HYPERLINK("http://www.informatics.jax.org/marker/MGI:104583","MGI:104583")</f>
        <v>MGI:104583</v>
      </c>
      <c r="J3997" s="4" t="s">
        <v>12</v>
      </c>
    </row>
    <row r="3998" spans="1:10" x14ac:dyDescent="0.25">
      <c r="A3998" s="2">
        <v>272.546136749813</v>
      </c>
      <c r="B3998" s="3">
        <v>-0.167656612022312</v>
      </c>
      <c r="C3998" s="3">
        <v>7.5003430063180401E-2</v>
      </c>
      <c r="D3998" s="4">
        <v>0.16032576975151999</v>
      </c>
      <c r="E3998" s="3" t="s">
        <v>13294</v>
      </c>
      <c r="F3998" s="3" t="s">
        <v>13295</v>
      </c>
      <c r="G3998" s="3">
        <v>214048</v>
      </c>
      <c r="H3998" s="7" t="str">
        <f>HYPERLINK("http://www.ensembl.org/Mus_musculus/Gene/Summary?db=core;g=ENSMUSG00000025762","ENSMUSG00000025762")</f>
        <v>ENSMUSG00000025762</v>
      </c>
      <c r="I3998" s="7" t="str">
        <f>HYPERLINK("http://www.informatics.jax.org/marker/MGI:1914604","MGI:1914604")</f>
        <v>MGI:1914604</v>
      </c>
      <c r="J3998" s="4" t="s">
        <v>12</v>
      </c>
    </row>
    <row r="3999" spans="1:10" x14ac:dyDescent="0.25">
      <c r="A3999" s="2">
        <v>2455.8103151115802</v>
      </c>
      <c r="B3999" s="3">
        <v>-0.168238514589161</v>
      </c>
      <c r="C3999" s="3">
        <v>1.8832426889123499E-3</v>
      </c>
      <c r="D3999" s="4">
        <v>6.2711671853512797E-3</v>
      </c>
      <c r="E3999" s="3" t="s">
        <v>4893</v>
      </c>
      <c r="F3999" s="3" t="s">
        <v>4894</v>
      </c>
      <c r="G3999" s="3">
        <v>51869</v>
      </c>
      <c r="H3999" s="7" t="str">
        <f>HYPERLINK("http://www.ensembl.org/Mus_musculus/Gene/Summary?db=core;g=ENSMUSG00000036202","ENSMUSG00000036202")</f>
        <v>ENSMUSG00000036202</v>
      </c>
      <c r="I3999" s="7" t="str">
        <f>HYPERLINK("http://www.informatics.jax.org/marker/MGI:1098622","MGI:1098622")</f>
        <v>MGI:1098622</v>
      </c>
      <c r="J3999" s="4" t="s">
        <v>12</v>
      </c>
    </row>
    <row r="4000" spans="1:10" x14ac:dyDescent="0.25">
      <c r="A4000" s="2">
        <v>99.879196109367896</v>
      </c>
      <c r="B4000" s="3">
        <v>-0.16844225551702799</v>
      </c>
      <c r="C4000" s="3">
        <v>0.19551442467708</v>
      </c>
      <c r="D4000" s="4">
        <v>0.345335976322107</v>
      </c>
      <c r="E4000" s="3" t="s">
        <v>14041</v>
      </c>
      <c r="F4000" s="3" t="s">
        <v>14042</v>
      </c>
      <c r="G4000" s="3">
        <v>19341</v>
      </c>
      <c r="H4000" s="7" t="str">
        <f>HYPERLINK("http://www.ensembl.org/Mus_musculus/Gene/Summary?db=core;g=ENSMUSG00000019478","ENSMUSG00000019478")</f>
        <v>ENSMUSG00000019478</v>
      </c>
      <c r="I4000" s="7" t="str">
        <f>HYPERLINK("http://www.informatics.jax.org/marker/MGI:105069","MGI:105069")</f>
        <v>MGI:105069</v>
      </c>
      <c r="J4000" s="4" t="s">
        <v>12</v>
      </c>
    </row>
    <row r="4001" spans="1:10" x14ac:dyDescent="0.25">
      <c r="A4001" s="2">
        <v>1171.3181735886301</v>
      </c>
      <c r="B4001" s="3">
        <v>-0.16871546898176601</v>
      </c>
      <c r="C4001" s="3">
        <v>4.7099525680643697E-3</v>
      </c>
      <c r="D4001" s="4">
        <v>1.4240027463996901E-2</v>
      </c>
      <c r="E4001" s="3" t="s">
        <v>11443</v>
      </c>
      <c r="F4001" s="3" t="s">
        <v>11444</v>
      </c>
      <c r="G4001" s="3">
        <v>15467</v>
      </c>
      <c r="H4001" s="7" t="str">
        <f>HYPERLINK("http://www.ensembl.org/Mus_musculus/Gene/Summary?db=core;g=ENSMUSG00000029613","ENSMUSG00000029613")</f>
        <v>ENSMUSG00000029613</v>
      </c>
      <c r="I4001" s="7" t="str">
        <f>HYPERLINK("http://www.informatics.jax.org/marker/MGI:1353448","MGI:1353448")</f>
        <v>MGI:1353448</v>
      </c>
      <c r="J4001" s="4" t="s">
        <v>12</v>
      </c>
    </row>
    <row r="4002" spans="1:10" x14ac:dyDescent="0.25">
      <c r="A4002" s="2">
        <v>585.09939016387602</v>
      </c>
      <c r="B4002" s="3">
        <v>-0.16880984832516799</v>
      </c>
      <c r="C4002" s="3">
        <v>5.7045589003252304E-3</v>
      </c>
      <c r="D4002" s="4">
        <v>1.6913223679587999E-2</v>
      </c>
      <c r="E4002" s="3" t="s">
        <v>7620</v>
      </c>
      <c r="F4002" s="3" t="s">
        <v>7621</v>
      </c>
      <c r="G4002" s="3">
        <v>67296</v>
      </c>
      <c r="H4002" s="7" t="str">
        <f>HYPERLINK("http://www.ensembl.org/Mus_musculus/Gene/Summary?db=core;g=ENSMUSG00000048379","ENSMUSG00000048379")</f>
        <v>ENSMUSG00000048379</v>
      </c>
      <c r="I4002" s="7" t="str">
        <f>HYPERLINK("http://www.informatics.jax.org/marker/MGI:1914546","MGI:1914546")</f>
        <v>MGI:1914546</v>
      </c>
      <c r="J4002" s="4" t="s">
        <v>12</v>
      </c>
    </row>
    <row r="4003" spans="1:10" x14ac:dyDescent="0.25">
      <c r="A4003" s="2">
        <v>703.16443433084703</v>
      </c>
      <c r="B4003" s="3">
        <v>-0.16909859874944899</v>
      </c>
      <c r="C4003" s="3">
        <v>1.2830526359355899E-2</v>
      </c>
      <c r="D4003" s="4">
        <v>3.4968796605243303E-2</v>
      </c>
      <c r="E4003" s="3" t="s">
        <v>8559</v>
      </c>
      <c r="F4003" s="3" t="s">
        <v>8560</v>
      </c>
      <c r="G4003" s="3">
        <v>26406</v>
      </c>
      <c r="H4003" s="7" t="str">
        <f>HYPERLINK("http://www.ensembl.org/Mus_musculus/Gene/Summary?db=core;g=ENSMUSG00000020700","ENSMUSG00000020700")</f>
        <v>ENSMUSG00000020700</v>
      </c>
      <c r="I4003" s="7" t="str">
        <f>HYPERLINK("http://www.informatics.jax.org/marker/MGI:1346874","MGI:1346874")</f>
        <v>MGI:1346874</v>
      </c>
      <c r="J4003" s="4" t="s">
        <v>12</v>
      </c>
    </row>
    <row r="4004" spans="1:10" x14ac:dyDescent="0.25">
      <c r="A4004" s="2">
        <v>1301.82926433547</v>
      </c>
      <c r="B4004" s="3">
        <v>-0.16914847970742899</v>
      </c>
      <c r="C4004" s="3">
        <v>1.2824782071572101E-2</v>
      </c>
      <c r="D4004" s="4">
        <v>3.49583687188754E-2</v>
      </c>
      <c r="E4004" s="3" t="s">
        <v>7036</v>
      </c>
      <c r="F4004" s="3" t="s">
        <v>7037</v>
      </c>
      <c r="G4004" s="3">
        <v>54486</v>
      </c>
      <c r="H4004" s="7" t="str">
        <f>HYPERLINK("http://www.ensembl.org/Mus_musculus/Gene/Summary?db=core;g=ENSMUSG00000029919","ENSMUSG00000029919")</f>
        <v>ENSMUSG00000029919</v>
      </c>
      <c r="I4004" s="7" t="str">
        <f>HYPERLINK("http://www.informatics.jax.org/marker/MGI:1859384","MGI:1859384")</f>
        <v>MGI:1859384</v>
      </c>
      <c r="J4004" s="4" t="s">
        <v>12</v>
      </c>
    </row>
    <row r="4005" spans="1:10" x14ac:dyDescent="0.25">
      <c r="A4005" s="2">
        <v>1043.5066998935999</v>
      </c>
      <c r="B4005" s="3">
        <v>-0.16928451789457</v>
      </c>
      <c r="C4005" s="3">
        <v>2.0827511515128801E-2</v>
      </c>
      <c r="D4005" s="4">
        <v>5.34395885348758E-2</v>
      </c>
      <c r="E4005" s="3" t="s">
        <v>11723</v>
      </c>
      <c r="F4005" s="3" t="s">
        <v>11724</v>
      </c>
      <c r="G4005" s="3">
        <v>15488</v>
      </c>
      <c r="H4005" s="7" t="str">
        <f>HYPERLINK("http://www.ensembl.org/Mus_musculus/Gene/Summary?db=core;g=ENSMUSG00000024507","ENSMUSG00000024507")</f>
        <v>ENSMUSG00000024507</v>
      </c>
      <c r="I4005" s="7" t="str">
        <f>HYPERLINK("http://www.informatics.jax.org/marker/MGI:105089","MGI:105089")</f>
        <v>MGI:105089</v>
      </c>
      <c r="J4005" s="4" t="s">
        <v>12</v>
      </c>
    </row>
    <row r="4006" spans="1:10" x14ac:dyDescent="0.25">
      <c r="A4006" s="2">
        <v>2863.1176010668501</v>
      </c>
      <c r="B4006" s="3">
        <v>-0.16946929911589101</v>
      </c>
      <c r="C4006" s="3">
        <v>3.9471020847772802E-4</v>
      </c>
      <c r="D4006" s="4">
        <v>1.4896652618568199E-3</v>
      </c>
      <c r="E4006" s="3" t="s">
        <v>5421</v>
      </c>
      <c r="F4006" s="3" t="s">
        <v>5422</v>
      </c>
      <c r="G4006" s="3">
        <v>68817</v>
      </c>
      <c r="H4006" s="7" t="str">
        <f>HYPERLINK("http://www.ensembl.org/Mus_musculus/Gene/Summary?db=core;g=ENSMUSG00000078515","ENSMUSG00000078515")</f>
        <v>ENSMUSG00000078515</v>
      </c>
      <c r="I4006" s="7" t="str">
        <f>HYPERLINK("http://www.informatics.jax.org/marker/MGI:1917244","MGI:1917244")</f>
        <v>MGI:1917244</v>
      </c>
      <c r="J4006" s="4" t="s">
        <v>12</v>
      </c>
    </row>
    <row r="4007" spans="1:10" x14ac:dyDescent="0.25">
      <c r="A4007" s="2">
        <v>1999.9919160080999</v>
      </c>
      <c r="B4007" s="3">
        <v>-0.17026601566822899</v>
      </c>
      <c r="C4007" s="3">
        <v>6.1725224513306195E-4</v>
      </c>
      <c r="D4007" s="4">
        <v>2.25832541787655E-3</v>
      </c>
      <c r="E4007" s="3" t="s">
        <v>12211</v>
      </c>
      <c r="F4007" s="3" t="s">
        <v>12212</v>
      </c>
      <c r="G4007" s="3">
        <v>53424</v>
      </c>
      <c r="H4007" s="7" t="str">
        <f>HYPERLINK("http://www.ensembl.org/Mus_musculus/Gene/Summary?db=core;g=ENSMUSG00000056820","ENSMUSG00000056820")</f>
        <v>ENSMUSG00000056820</v>
      </c>
      <c r="I4007" s="7" t="str">
        <f>HYPERLINK("http://www.informatics.jax.org/marker/MGI:1855672","MGI:1855672")</f>
        <v>MGI:1855672</v>
      </c>
      <c r="J4007" s="4" t="s">
        <v>12</v>
      </c>
    </row>
    <row r="4008" spans="1:10" x14ac:dyDescent="0.25">
      <c r="A4008" s="2">
        <v>917.75329332465401</v>
      </c>
      <c r="B4008" s="3">
        <v>-0.17122783226229099</v>
      </c>
      <c r="C4008" s="3">
        <v>6.5529478572905102E-3</v>
      </c>
      <c r="D4008" s="4">
        <v>1.9191302378132699E-2</v>
      </c>
      <c r="E4008" s="3" t="s">
        <v>13571</v>
      </c>
      <c r="F4008" s="3" t="s">
        <v>13572</v>
      </c>
      <c r="G4008" s="3">
        <v>66194</v>
      </c>
      <c r="H4008" s="7" t="str">
        <f>HYPERLINK("http://www.ensembl.org/Mus_musculus/Gene/Summary?db=core;g=ENSMUSG00000022571","ENSMUSG00000022571")</f>
        <v>ENSMUSG00000022571</v>
      </c>
      <c r="I4008" s="7" t="str">
        <f>HYPERLINK("http://www.informatics.jax.org/marker/MGI:1913444","MGI:1913444")</f>
        <v>MGI:1913444</v>
      </c>
      <c r="J4008" s="4" t="s">
        <v>12</v>
      </c>
    </row>
    <row r="4009" spans="1:10" x14ac:dyDescent="0.25">
      <c r="A4009" s="2">
        <v>147.02587529870399</v>
      </c>
      <c r="B4009" s="3">
        <v>-0.171619265798445</v>
      </c>
      <c r="C4009" s="3">
        <v>0.27401673374975299</v>
      </c>
      <c r="D4009" s="4">
        <v>0.44409787369880399</v>
      </c>
      <c r="E4009" s="3" t="s">
        <v>11195</v>
      </c>
      <c r="F4009" s="3" t="s">
        <v>11196</v>
      </c>
      <c r="G4009" s="3">
        <v>69440</v>
      </c>
      <c r="H4009" s="7" t="str">
        <f>HYPERLINK("http://www.ensembl.org/Mus_musculus/Gene/Summary?db=core;g=ENSMUSG00000015377","ENSMUSG00000015377")</f>
        <v>ENSMUSG00000015377</v>
      </c>
      <c r="I4009" s="7" t="str">
        <f>HYPERLINK("http://www.informatics.jax.org/marker/MGI:1916690","MGI:1916690")</f>
        <v>MGI:1916690</v>
      </c>
      <c r="J4009" s="4" t="s">
        <v>12</v>
      </c>
    </row>
    <row r="4010" spans="1:10" x14ac:dyDescent="0.25">
      <c r="A4010" s="2">
        <v>959.648460096495</v>
      </c>
      <c r="B4010" s="3">
        <v>-0.17165438144998801</v>
      </c>
      <c r="C4010" s="3">
        <v>7.1012007374125594E-2</v>
      </c>
      <c r="D4010" s="4">
        <v>0.153086566642233</v>
      </c>
      <c r="E4010" s="3" t="s">
        <v>9609</v>
      </c>
      <c r="F4010" s="3" t="s">
        <v>9610</v>
      </c>
      <c r="G4010" s="3">
        <v>54609</v>
      </c>
      <c r="H4010" s="7" t="str">
        <f>HYPERLINK("http://www.ensembl.org/Mus_musculus/Gene/Summary?db=core;g=ENSMUSG00000050148","ENSMUSG00000050148")</f>
        <v>ENSMUSG00000050148</v>
      </c>
      <c r="I4010" s="7" t="str">
        <f>HYPERLINK("http://www.informatics.jax.org/marker/MGI:1860283","MGI:1860283")</f>
        <v>MGI:1860283</v>
      </c>
      <c r="J4010" s="4" t="s">
        <v>12</v>
      </c>
    </row>
    <row r="4011" spans="1:10" x14ac:dyDescent="0.25">
      <c r="A4011" s="2">
        <v>2130.7524932342399</v>
      </c>
      <c r="B4011" s="3">
        <v>-0.17205112855056001</v>
      </c>
      <c r="C4011" s="3">
        <v>5.4503144742264397E-3</v>
      </c>
      <c r="D4011" s="4">
        <v>1.6252354919402402E-2</v>
      </c>
      <c r="E4011" s="3" t="s">
        <v>12609</v>
      </c>
      <c r="F4011" s="3" t="s">
        <v>12610</v>
      </c>
      <c r="G4011" s="3">
        <v>18717</v>
      </c>
      <c r="H4011" s="7" t="str">
        <f>HYPERLINK("http://www.ensembl.org/Mus_musculus/Gene/Summary?db=core;g=ENSMUSG00000034902","ENSMUSG00000034902")</f>
        <v>ENSMUSG00000034902</v>
      </c>
      <c r="I4011" s="7" t="str">
        <f>HYPERLINK("http://www.informatics.jax.org/marker/MGI:1298224","MGI:1298224")</f>
        <v>MGI:1298224</v>
      </c>
      <c r="J4011" s="4" t="s">
        <v>12</v>
      </c>
    </row>
    <row r="4012" spans="1:10" x14ac:dyDescent="0.25">
      <c r="A4012" s="2">
        <v>995.42397314186405</v>
      </c>
      <c r="B4012" s="3">
        <v>-0.17231896027566701</v>
      </c>
      <c r="C4012" s="3">
        <v>3.0979054361046698E-2</v>
      </c>
      <c r="D4012" s="4">
        <v>7.5611793990903606E-2</v>
      </c>
      <c r="E4012" s="3" t="s">
        <v>13909</v>
      </c>
      <c r="F4012" s="3" t="s">
        <v>13910</v>
      </c>
      <c r="G4012" s="3">
        <v>18824</v>
      </c>
      <c r="H4012" s="7" t="str">
        <f>HYPERLINK("http://www.ensembl.org/Mus_musculus/Gene/Summary?db=core;g=ENSMUSG00000031146","ENSMUSG00000031146")</f>
        <v>ENSMUSG00000031146</v>
      </c>
      <c r="I4012" s="7" t="str">
        <f>HYPERLINK("http://www.informatics.jax.org/marker/MGI:1298382","MGI:1298382")</f>
        <v>MGI:1298382</v>
      </c>
      <c r="J4012" s="4" t="s">
        <v>12</v>
      </c>
    </row>
    <row r="4013" spans="1:10" x14ac:dyDescent="0.25">
      <c r="A4013" s="2">
        <v>1382.97621922744</v>
      </c>
      <c r="B4013" s="3">
        <v>-0.17239497197606099</v>
      </c>
      <c r="C4013" s="3">
        <v>1.6448186349010401E-3</v>
      </c>
      <c r="D4013" s="4">
        <v>5.5471538899096E-3</v>
      </c>
      <c r="E4013" s="3" t="s">
        <v>11569</v>
      </c>
      <c r="F4013" s="3" t="s">
        <v>11570</v>
      </c>
      <c r="G4013" s="3">
        <v>68092</v>
      </c>
      <c r="H4013" s="7" t="str">
        <f>HYPERLINK("http://www.ensembl.org/Mus_musculus/Gene/Summary?db=core;g=ENSMUSG00000022774","ENSMUSG00000022774")</f>
        <v>ENSMUSG00000022774</v>
      </c>
      <c r="I4013" s="7" t="str">
        <f>HYPERLINK("http://www.informatics.jax.org/marker/MGI:1915342","MGI:1915342")</f>
        <v>MGI:1915342</v>
      </c>
      <c r="J4013" s="4" t="s">
        <v>12</v>
      </c>
    </row>
    <row r="4014" spans="1:10" x14ac:dyDescent="0.25">
      <c r="A4014" s="2">
        <v>1209.5538395645101</v>
      </c>
      <c r="B4014" s="3">
        <v>-0.172982299547186</v>
      </c>
      <c r="C4014" s="3">
        <v>8.8231932954057897E-4</v>
      </c>
      <c r="D4014" s="4">
        <v>3.1345555128415299E-3</v>
      </c>
      <c r="E4014" s="3" t="s">
        <v>9495</v>
      </c>
      <c r="F4014" s="3" t="s">
        <v>9496</v>
      </c>
      <c r="G4014" s="3">
        <v>224023</v>
      </c>
      <c r="H4014" s="7" t="str">
        <f>HYPERLINK("http://www.ensembl.org/Mus_musculus/Gene/Summary?db=core;g=ENSMUSG00000022750","ENSMUSG00000022750")</f>
        <v>ENSMUSG00000022750</v>
      </c>
      <c r="I4014" s="7" t="str">
        <f>HYPERLINK("http://www.informatics.jax.org/marker/MGI:1337995","MGI:1337995")</f>
        <v>MGI:1337995</v>
      </c>
      <c r="J4014" s="4" t="s">
        <v>12</v>
      </c>
    </row>
    <row r="4015" spans="1:10" x14ac:dyDescent="0.25">
      <c r="A4015" s="2">
        <v>2207.71852251665</v>
      </c>
      <c r="B4015" s="3">
        <v>-0.173171877130228</v>
      </c>
      <c r="C4015" s="3">
        <v>1.59813915328267E-2</v>
      </c>
      <c r="D4015" s="4">
        <v>4.2482622620444499E-2</v>
      </c>
      <c r="E4015" s="3" t="s">
        <v>11455</v>
      </c>
      <c r="F4015" s="3" t="s">
        <v>11456</v>
      </c>
      <c r="G4015" s="3">
        <v>56462</v>
      </c>
      <c r="H4015" s="7" t="str">
        <f>HYPERLINK("http://www.ensembl.org/Mus_musculus/Gene/Summary?db=core;g=ENSMUSG00000024012","ENSMUSG00000024012")</f>
        <v>ENSMUSG00000024012</v>
      </c>
      <c r="I4015" s="7" t="str">
        <f>HYPERLINK("http://www.informatics.jax.org/marker/MGI:1929261","MGI:1929261")</f>
        <v>MGI:1929261</v>
      </c>
      <c r="J4015" s="4" t="s">
        <v>12</v>
      </c>
    </row>
    <row r="4016" spans="1:10" x14ac:dyDescent="0.25">
      <c r="A4016" s="2">
        <v>287.17701044380101</v>
      </c>
      <c r="B4016" s="3">
        <v>-0.173196964568197</v>
      </c>
      <c r="C4016" s="3">
        <v>7.1681226567453293E-2</v>
      </c>
      <c r="D4016" s="4">
        <v>0.154273778246556</v>
      </c>
      <c r="E4016" s="3" t="s">
        <v>5635</v>
      </c>
      <c r="F4016" s="3" t="s">
        <v>5636</v>
      </c>
      <c r="G4016" s="3">
        <v>94220</v>
      </c>
      <c r="H4016" s="7" t="str">
        <f>HYPERLINK("http://www.ensembl.org/Mus_musculus/Gene/Summary?db=core;g=ENSMUSG00000037408","ENSMUSG00000037408")</f>
        <v>ENSMUSG00000037408</v>
      </c>
      <c r="I4016" s="7" t="str">
        <f>HYPERLINK("http://www.informatics.jax.org/marker/MGI:2151060","MGI:2151060")</f>
        <v>MGI:2151060</v>
      </c>
      <c r="J4016" s="4" t="s">
        <v>12</v>
      </c>
    </row>
    <row r="4017" spans="1:10" x14ac:dyDescent="0.25">
      <c r="A4017" s="2">
        <v>2169.7361286609798</v>
      </c>
      <c r="B4017" s="3">
        <v>-0.17349957844175701</v>
      </c>
      <c r="C4017" s="3">
        <v>1.9087245052505E-2</v>
      </c>
      <c r="D4017" s="4">
        <v>4.9567546463651101E-2</v>
      </c>
      <c r="E4017" s="3" t="s">
        <v>13725</v>
      </c>
      <c r="F4017" s="3" t="s">
        <v>13726</v>
      </c>
      <c r="G4017" s="3">
        <v>231834</v>
      </c>
      <c r="H4017" s="7" t="str">
        <f>HYPERLINK("http://www.ensembl.org/Mus_musculus/Gene/Summary?db=core;g=ENSMUSG00000029560","ENSMUSG00000029560")</f>
        <v>ENSMUSG00000029560</v>
      </c>
      <c r="I4017" s="7" t="str">
        <f>HYPERLINK("http://www.informatics.jax.org/marker/MGI:2443816","MGI:2443816")</f>
        <v>MGI:2443816</v>
      </c>
      <c r="J4017" s="4" t="s">
        <v>12</v>
      </c>
    </row>
    <row r="4018" spans="1:10" x14ac:dyDescent="0.25">
      <c r="A4018" s="2">
        <v>835.34316369887699</v>
      </c>
      <c r="B4018" s="3">
        <v>-0.17411776417965699</v>
      </c>
      <c r="C4018" s="3">
        <v>1.868886203328E-3</v>
      </c>
      <c r="D4018" s="4">
        <v>6.2291648814783796E-3</v>
      </c>
      <c r="E4018" s="3" t="s">
        <v>9523</v>
      </c>
      <c r="F4018" s="3" t="s">
        <v>9524</v>
      </c>
      <c r="G4018" s="3">
        <v>75406</v>
      </c>
      <c r="H4018" s="7" t="str">
        <f>HYPERLINK("http://www.ensembl.org/Mus_musculus/Gene/Summary?db=core;g=ENSMUSG00000020153","ENSMUSG00000020153")</f>
        <v>ENSMUSG00000020153</v>
      </c>
      <c r="I4018" s="7" t="str">
        <f>HYPERLINK("http://www.informatics.jax.org/marker/MGI:1922656","MGI:1922656")</f>
        <v>MGI:1922656</v>
      </c>
      <c r="J4018" s="4" t="s">
        <v>12</v>
      </c>
    </row>
    <row r="4019" spans="1:10" x14ac:dyDescent="0.25">
      <c r="A4019" s="2">
        <v>5339.3833402662804</v>
      </c>
      <c r="B4019" s="3">
        <v>-0.174376991266006</v>
      </c>
      <c r="C4019" s="3">
        <v>7.2094169878151898E-2</v>
      </c>
      <c r="D4019" s="4">
        <v>0.15503436531319401</v>
      </c>
      <c r="E4019" s="3" t="s">
        <v>12143</v>
      </c>
      <c r="F4019" s="3" t="s">
        <v>12144</v>
      </c>
      <c r="G4019" s="3">
        <v>67041</v>
      </c>
      <c r="H4019" s="7" t="str">
        <f>HYPERLINK("http://www.ensembl.org/Mus_musculus/Gene/Summary?db=core;g=ENSMUSG00000022186","ENSMUSG00000022186")</f>
        <v>ENSMUSG00000022186</v>
      </c>
      <c r="I4019" s="7" t="str">
        <f>HYPERLINK("http://www.informatics.jax.org/marker/MGI:1914291","MGI:1914291")</f>
        <v>MGI:1914291</v>
      </c>
      <c r="J4019" s="4" t="s">
        <v>12</v>
      </c>
    </row>
    <row r="4020" spans="1:10" x14ac:dyDescent="0.25">
      <c r="A4020" s="2">
        <v>622.52859739006601</v>
      </c>
      <c r="B4020" s="3">
        <v>-0.17503797515774699</v>
      </c>
      <c r="C4020" s="3">
        <v>2.8814995938452898E-3</v>
      </c>
      <c r="D4020" s="4">
        <v>9.1810017653549698E-3</v>
      </c>
      <c r="E4020" s="3" t="s">
        <v>9619</v>
      </c>
      <c r="F4020" s="3" t="s">
        <v>9620</v>
      </c>
      <c r="G4020" s="3">
        <v>94223</v>
      </c>
      <c r="H4020" s="7" t="str">
        <f>HYPERLINK("http://www.ensembl.org/Mus_musculus/Gene/Summary?db=core;g=ENSMUSG00000022718","ENSMUSG00000022718")</f>
        <v>ENSMUSG00000022718</v>
      </c>
      <c r="I4020" s="7" t="str">
        <f>HYPERLINK("http://www.informatics.jax.org/marker/MGI:2151114","MGI:2151114")</f>
        <v>MGI:2151114</v>
      </c>
      <c r="J4020" s="4" t="s">
        <v>12</v>
      </c>
    </row>
    <row r="4021" spans="1:10" x14ac:dyDescent="0.25">
      <c r="A4021" s="2">
        <v>152.77718492572501</v>
      </c>
      <c r="B4021" s="3">
        <v>-0.175038146931871</v>
      </c>
      <c r="C4021" s="3">
        <v>8.2526444040135399E-2</v>
      </c>
      <c r="D4021" s="4">
        <v>0.17387797024641199</v>
      </c>
      <c r="E4021" s="3" t="s">
        <v>10392</v>
      </c>
      <c r="F4021" s="3" t="s">
        <v>10393</v>
      </c>
      <c r="G4021" s="3" t="s">
        <v>83</v>
      </c>
      <c r="H4021" s="7" t="str">
        <f>HYPERLINK("http://www.ensembl.org/Mus_musculus/Gene/Summary?db=core;g=ENSMUSG00000116024","ENSMUSG00000116024")</f>
        <v>ENSMUSG00000116024</v>
      </c>
      <c r="I4021" s="7" t="str">
        <f>HYPERLINK("http://www.informatics.jax.org/marker/MGI:6155227","MGI:6155227")</f>
        <v>MGI:6155227</v>
      </c>
      <c r="J4021" s="4" t="s">
        <v>12</v>
      </c>
    </row>
    <row r="4022" spans="1:10" x14ac:dyDescent="0.25">
      <c r="A4022" s="2">
        <v>1261.00541054272</v>
      </c>
      <c r="B4022" s="3">
        <v>-0.17527328703043099</v>
      </c>
      <c r="C4022" s="3">
        <v>7.0234822922601305E-4</v>
      </c>
      <c r="D4022" s="4">
        <v>2.53823051311602E-3</v>
      </c>
      <c r="E4022" s="3" t="s">
        <v>11002</v>
      </c>
      <c r="F4022" s="3" t="s">
        <v>11003</v>
      </c>
      <c r="G4022" s="3">
        <v>67074</v>
      </c>
      <c r="H4022" s="7" t="str">
        <f>HYPERLINK("http://www.ensembl.org/Mus_musculus/Gene/Summary?db=core;g=ENSMUSG00000034602","ENSMUSG00000034602")</f>
        <v>ENSMUSG00000034602</v>
      </c>
      <c r="I4022" s="7" t="str">
        <f>HYPERLINK("http://www.informatics.jax.org/marker/MGI:1914324","MGI:1914324")</f>
        <v>MGI:1914324</v>
      </c>
      <c r="J4022" s="4" t="s">
        <v>12</v>
      </c>
    </row>
    <row r="4023" spans="1:10" x14ac:dyDescent="0.25">
      <c r="A4023" s="2">
        <v>401.14327632342599</v>
      </c>
      <c r="B4023" s="3">
        <v>-0.17544668758051099</v>
      </c>
      <c r="C4023" s="3">
        <v>2.4593312338592702E-2</v>
      </c>
      <c r="D4023" s="4">
        <v>6.1796927805163701E-2</v>
      </c>
      <c r="E4023" s="3" t="s">
        <v>10786</v>
      </c>
      <c r="F4023" s="3" t="s">
        <v>10787</v>
      </c>
      <c r="G4023" s="3">
        <v>83703</v>
      </c>
      <c r="H4023" s="7" t="str">
        <f>HYPERLINK("http://www.ensembl.org/Mus_musculus/Gene/Summary?db=core;g=ENSMUSG00000032469","ENSMUSG00000032469")</f>
        <v>ENSMUSG00000032469</v>
      </c>
      <c r="I4023" s="7" t="str">
        <f>HYPERLINK("http://www.informatics.jax.org/marker/MGI:1931520","MGI:1931520")</f>
        <v>MGI:1931520</v>
      </c>
      <c r="J4023" s="4" t="s">
        <v>12</v>
      </c>
    </row>
    <row r="4024" spans="1:10" x14ac:dyDescent="0.25">
      <c r="A4024" s="2">
        <v>656.44705480829703</v>
      </c>
      <c r="B4024" s="3">
        <v>-0.17569269132738</v>
      </c>
      <c r="C4024" s="3">
        <v>1.15116224327378E-2</v>
      </c>
      <c r="D4024" s="4">
        <v>3.1802297899132498E-2</v>
      </c>
      <c r="E4024" s="3" t="s">
        <v>11961</v>
      </c>
      <c r="F4024" s="3" t="s">
        <v>11962</v>
      </c>
      <c r="G4024" s="3">
        <v>70359</v>
      </c>
      <c r="H4024" s="7" t="str">
        <f>HYPERLINK("http://www.ensembl.org/Mus_musculus/Gene/Summary?db=core;g=ENSMUSG00000007610","ENSMUSG00000007610")</f>
        <v>ENSMUSG00000007610</v>
      </c>
      <c r="I4024" s="7" t="str">
        <f>HYPERLINK("http://www.informatics.jax.org/marker/MGI:1917609","MGI:1917609")</f>
        <v>MGI:1917609</v>
      </c>
      <c r="J4024" s="4" t="s">
        <v>12</v>
      </c>
    </row>
    <row r="4025" spans="1:10" x14ac:dyDescent="0.25">
      <c r="A4025" s="2">
        <v>310.85283878217399</v>
      </c>
      <c r="B4025" s="3">
        <v>-0.175742983879523</v>
      </c>
      <c r="C4025" s="3">
        <v>2.8637409932355602E-2</v>
      </c>
      <c r="D4025" s="4">
        <v>7.0662983484589798E-2</v>
      </c>
      <c r="E4025" s="3" t="s">
        <v>8453</v>
      </c>
      <c r="F4025" s="3" t="s">
        <v>8454</v>
      </c>
      <c r="G4025" s="3">
        <v>230936</v>
      </c>
      <c r="H4025" s="7" t="str">
        <f>HYPERLINK("http://www.ensembl.org/Mus_musculus/Gene/Summary?db=core;g=ENSMUSG00000047777","ENSMUSG00000047777")</f>
        <v>ENSMUSG00000047777</v>
      </c>
      <c r="I4025" s="7" t="str">
        <f>HYPERLINK("http://www.informatics.jax.org/marker/MGI:2446217","MGI:2446217")</f>
        <v>MGI:2446217</v>
      </c>
      <c r="J4025" s="4" t="s">
        <v>12</v>
      </c>
    </row>
    <row r="4026" spans="1:10" x14ac:dyDescent="0.25">
      <c r="A4026" s="2">
        <v>1138.6984657492101</v>
      </c>
      <c r="B4026" s="3">
        <v>-0.17574867854738899</v>
      </c>
      <c r="C4026" s="3">
        <v>1.11380593437001E-3</v>
      </c>
      <c r="D4026" s="4">
        <v>3.8902094967216399E-3</v>
      </c>
      <c r="E4026" s="3" t="s">
        <v>6663</v>
      </c>
      <c r="F4026" s="3" t="s">
        <v>6664</v>
      </c>
      <c r="G4026" s="3">
        <v>18969</v>
      </c>
      <c r="H4026" s="7" t="str">
        <f>HYPERLINK("http://www.ensembl.org/Mus_musculus/Gene/Summary?db=core;g=ENSMUSG00000024833","ENSMUSG00000024833")</f>
        <v>ENSMUSG00000024833</v>
      </c>
      <c r="I4026" s="7" t="str">
        <f>HYPERLINK("http://www.informatics.jax.org/marker/MGI:99690","MGI:99690")</f>
        <v>MGI:99690</v>
      </c>
      <c r="J4026" s="4" t="s">
        <v>12</v>
      </c>
    </row>
    <row r="4027" spans="1:10" x14ac:dyDescent="0.25">
      <c r="A4027" s="2">
        <v>2843.9245840426702</v>
      </c>
      <c r="B4027" s="3">
        <v>-0.17615532790315799</v>
      </c>
      <c r="C4027" s="3">
        <v>1.3274180611408401E-4</v>
      </c>
      <c r="D4027" s="4">
        <v>5.4315658204516905E-4</v>
      </c>
      <c r="E4027" s="3" t="s">
        <v>7598</v>
      </c>
      <c r="F4027" s="3" t="s">
        <v>7599</v>
      </c>
      <c r="G4027" s="3">
        <v>227624</v>
      </c>
      <c r="H4027" s="7" t="str">
        <f>HYPERLINK("http://www.ensembl.org/Mus_musculus/Gene/Summary?db=core;g=ENSMUSG00000015087","ENSMUSG00000015087")</f>
        <v>ENSMUSG00000015087</v>
      </c>
      <c r="I4027" s="7" t="str">
        <f>HYPERLINK("http://www.informatics.jax.org/marker/MGI:2442633","MGI:2442633")</f>
        <v>MGI:2442633</v>
      </c>
      <c r="J4027" s="4" t="s">
        <v>12</v>
      </c>
    </row>
    <row r="4028" spans="1:10" x14ac:dyDescent="0.25">
      <c r="A4028" s="2">
        <v>1476.7003291979199</v>
      </c>
      <c r="B4028" s="3">
        <v>-0.176241008842903</v>
      </c>
      <c r="C4028" s="3">
        <v>3.59881042225576E-4</v>
      </c>
      <c r="D4028" s="4">
        <v>1.3658542262726199E-3</v>
      </c>
      <c r="E4028" s="3" t="s">
        <v>8903</v>
      </c>
      <c r="F4028" s="3" t="s">
        <v>8904</v>
      </c>
      <c r="G4028" s="3">
        <v>70804</v>
      </c>
      <c r="H4028" s="7" t="str">
        <f>HYPERLINK("http://www.ensembl.org/Mus_musculus/Gene/Summary?db=core;g=ENSMUSG00000049940","ENSMUSG00000049940")</f>
        <v>ENSMUSG00000049940</v>
      </c>
      <c r="I4028" s="7" t="str">
        <f>HYPERLINK("http://www.informatics.jax.org/marker/MGI:1918054","MGI:1918054")</f>
        <v>MGI:1918054</v>
      </c>
      <c r="J4028" s="4" t="s">
        <v>12</v>
      </c>
    </row>
    <row r="4029" spans="1:10" x14ac:dyDescent="0.25">
      <c r="A4029" s="2">
        <v>7096.2528682780503</v>
      </c>
      <c r="B4029" s="3">
        <v>-0.17640175530323399</v>
      </c>
      <c r="C4029" s="5">
        <v>3.1750867799381201E-8</v>
      </c>
      <c r="D4029" s="6">
        <v>2.0950744592459199E-7</v>
      </c>
      <c r="E4029" s="3" t="s">
        <v>4437</v>
      </c>
      <c r="F4029" s="3" t="s">
        <v>4438</v>
      </c>
      <c r="G4029" s="3">
        <v>17222</v>
      </c>
      <c r="H4029" s="7" t="str">
        <f>HYPERLINK("http://www.ensembl.org/Mus_musculus/Gene/Summary?db=core;g=ENSMUSG00000014355","ENSMUSG00000014355")</f>
        <v>ENSMUSG00000014355</v>
      </c>
      <c r="I4029" s="7" t="str">
        <f>HYPERLINK("http://www.informatics.jax.org/marker/MGI:103097","MGI:103097")</f>
        <v>MGI:103097</v>
      </c>
      <c r="J4029" s="4" t="s">
        <v>12</v>
      </c>
    </row>
    <row r="4030" spans="1:10" x14ac:dyDescent="0.25">
      <c r="A4030" s="2">
        <v>565.17165653718996</v>
      </c>
      <c r="B4030" s="3">
        <v>-0.17644664791614501</v>
      </c>
      <c r="C4030" s="3">
        <v>2.2500563337708298E-3</v>
      </c>
      <c r="D4030" s="4">
        <v>7.3648126226604502E-3</v>
      </c>
      <c r="E4030" s="3" t="s">
        <v>13381</v>
      </c>
      <c r="F4030" s="3" t="s">
        <v>13382</v>
      </c>
      <c r="G4030" s="3">
        <v>69568</v>
      </c>
      <c r="H4030" s="7" t="str">
        <f>HYPERLINK("http://www.ensembl.org/Mus_musculus/Gene/Summary?db=core;g=ENSMUSG00000066735","ENSMUSG00000066735")</f>
        <v>ENSMUSG00000066735</v>
      </c>
      <c r="I4030" s="7" t="str">
        <f>HYPERLINK("http://www.informatics.jax.org/marker/MGI:1916818","MGI:1916818")</f>
        <v>MGI:1916818</v>
      </c>
      <c r="J4030" s="4" t="s">
        <v>12</v>
      </c>
    </row>
    <row r="4031" spans="1:10" x14ac:dyDescent="0.25">
      <c r="A4031" s="2">
        <v>41.3395831760539</v>
      </c>
      <c r="B4031" s="3">
        <v>-0.17683381182541</v>
      </c>
      <c r="C4031" s="3">
        <v>0.39538149515593901</v>
      </c>
      <c r="D4031" s="4">
        <v>0.57394088006507205</v>
      </c>
      <c r="E4031" s="3" t="s">
        <v>12529</v>
      </c>
      <c r="F4031" s="3" t="s">
        <v>12530</v>
      </c>
      <c r="G4031" s="3" t="s">
        <v>83</v>
      </c>
      <c r="H4031" s="7" t="str">
        <f>HYPERLINK("http://www.ensembl.org/Mus_musculus/Gene/Summary?db=core;g=ENSMUSG00000067608","ENSMUSG00000067608")</f>
        <v>ENSMUSG00000067608</v>
      </c>
      <c r="I4031" s="7" t="str">
        <f>HYPERLINK("http://www.informatics.jax.org/marker/MGI:97505","MGI:97505")</f>
        <v>MGI:97505</v>
      </c>
      <c r="J4031" s="4" t="s">
        <v>1043</v>
      </c>
    </row>
    <row r="4032" spans="1:10" x14ac:dyDescent="0.25">
      <c r="A4032" s="2">
        <v>228.178446324178</v>
      </c>
      <c r="B4032" s="3">
        <v>-0.177280816912778</v>
      </c>
      <c r="C4032" s="3">
        <v>4.67355821744279E-2</v>
      </c>
      <c r="D4032" s="4">
        <v>0.107926505971737</v>
      </c>
      <c r="E4032" s="3" t="s">
        <v>12997</v>
      </c>
      <c r="F4032" s="3" t="s">
        <v>12998</v>
      </c>
      <c r="G4032" s="3">
        <v>226791</v>
      </c>
      <c r="H4032" s="7" t="str">
        <f>HYPERLINK("http://www.ensembl.org/Mus_musculus/Gene/Summary?db=core;g=ENSMUSG00000039246","ENSMUSG00000039246")</f>
        <v>ENSMUSG00000039246</v>
      </c>
      <c r="I4032" s="7" t="str">
        <f>HYPERLINK("http://www.informatics.jax.org/marker/MGI:2385115","MGI:2385115")</f>
        <v>MGI:2385115</v>
      </c>
      <c r="J4032" s="4" t="s">
        <v>12</v>
      </c>
    </row>
    <row r="4033" spans="1:10" x14ac:dyDescent="0.25">
      <c r="A4033" s="2">
        <v>302.932819337848</v>
      </c>
      <c r="B4033" s="3">
        <v>-0.17736379523203599</v>
      </c>
      <c r="C4033" s="3">
        <v>9.4459474017272907E-2</v>
      </c>
      <c r="D4033" s="4">
        <v>0.19434679543517699</v>
      </c>
      <c r="E4033" s="3" t="s">
        <v>11865</v>
      </c>
      <c r="F4033" s="3" t="s">
        <v>11866</v>
      </c>
      <c r="G4033" s="3">
        <v>17025</v>
      </c>
      <c r="H4033" s="7" t="str">
        <f>HYPERLINK("http://www.ensembl.org/Mus_musculus/Gene/Summary?db=core;g=ENSMUSG00000028393","ENSMUSG00000028393")</f>
        <v>ENSMUSG00000028393</v>
      </c>
      <c r="I4033" s="7" t="str">
        <f>HYPERLINK("http://www.informatics.jax.org/marker/MGI:96853","MGI:96853")</f>
        <v>MGI:96853</v>
      </c>
      <c r="J4033" s="4" t="s">
        <v>12</v>
      </c>
    </row>
    <row r="4034" spans="1:10" x14ac:dyDescent="0.25">
      <c r="A4034" s="2">
        <v>432.129785144138</v>
      </c>
      <c r="B4034" s="3">
        <v>-0.17795054338987701</v>
      </c>
      <c r="C4034" s="3">
        <v>1.1956705683120799E-2</v>
      </c>
      <c r="D4034" s="4">
        <v>3.2897186152608199E-2</v>
      </c>
      <c r="E4034" s="3" t="s">
        <v>8673</v>
      </c>
      <c r="F4034" s="3" t="s">
        <v>8674</v>
      </c>
      <c r="G4034" s="3">
        <v>271981</v>
      </c>
      <c r="H4034" s="7" t="str">
        <f>HYPERLINK("http://www.ensembl.org/Mus_musculus/Gene/Summary?db=core;g=ENSMUSG00000028030","ENSMUSG00000028030")</f>
        <v>ENSMUSG00000028030</v>
      </c>
      <c r="I4034" s="7" t="str">
        <f>HYPERLINK("http://www.informatics.jax.org/marker/MGI:2445052","MGI:2445052")</f>
        <v>MGI:2445052</v>
      </c>
      <c r="J4034" s="4" t="s">
        <v>12</v>
      </c>
    </row>
    <row r="4035" spans="1:10" x14ac:dyDescent="0.25">
      <c r="A4035" s="2">
        <v>1926.7443578652901</v>
      </c>
      <c r="B4035" s="3">
        <v>-0.178005283352863</v>
      </c>
      <c r="C4035" s="3">
        <v>2.2576434112087499E-3</v>
      </c>
      <c r="D4035" s="4">
        <v>7.3830165385392896E-3</v>
      </c>
      <c r="E4035" s="3" t="s">
        <v>9385</v>
      </c>
      <c r="F4035" s="3" t="s">
        <v>9386</v>
      </c>
      <c r="G4035" s="3">
        <v>13018</v>
      </c>
      <c r="H4035" s="7" t="str">
        <f>HYPERLINK("http://www.ensembl.org/Mus_musculus/Gene/Summary?db=core;g=ENSMUSG00000005698","ENSMUSG00000005698")</f>
        <v>ENSMUSG00000005698</v>
      </c>
      <c r="I4035" s="7" t="str">
        <f>HYPERLINK("http://www.informatics.jax.org/marker/MGI:109447","MGI:109447")</f>
        <v>MGI:109447</v>
      </c>
      <c r="J4035" s="4" t="s">
        <v>12</v>
      </c>
    </row>
    <row r="4036" spans="1:10" x14ac:dyDescent="0.25">
      <c r="A4036" s="2">
        <v>1028.58715298168</v>
      </c>
      <c r="B4036" s="3">
        <v>-0.178531933156894</v>
      </c>
      <c r="C4036" s="3">
        <v>2.84211048084817E-3</v>
      </c>
      <c r="D4036" s="4">
        <v>9.0729485923030095E-3</v>
      </c>
      <c r="E4036" s="3" t="s">
        <v>7850</v>
      </c>
      <c r="F4036" s="3" t="s">
        <v>7851</v>
      </c>
      <c r="G4036" s="3">
        <v>20662</v>
      </c>
      <c r="H4036" s="7" t="str">
        <f>HYPERLINK("http://www.ensembl.org/Mus_musculus/Gene/Summary?db=core;g=ENSMUSG00000024241","ENSMUSG00000024241")</f>
        <v>ENSMUSG00000024241</v>
      </c>
      <c r="I4036" s="7" t="str">
        <f>HYPERLINK("http://www.informatics.jax.org/marker/MGI:98354","MGI:98354")</f>
        <v>MGI:98354</v>
      </c>
      <c r="J4036" s="4" t="s">
        <v>12</v>
      </c>
    </row>
    <row r="4037" spans="1:10" x14ac:dyDescent="0.25">
      <c r="A4037" s="2">
        <v>236.15731853939599</v>
      </c>
      <c r="B4037" s="3">
        <v>-0.17898771839132599</v>
      </c>
      <c r="C4037" s="3">
        <v>6.4364697579281302E-2</v>
      </c>
      <c r="D4037" s="4">
        <v>0.141042035996441</v>
      </c>
      <c r="E4037" s="3" t="s">
        <v>11585</v>
      </c>
      <c r="F4037" s="3" t="s">
        <v>11586</v>
      </c>
      <c r="G4037" s="3">
        <v>66812</v>
      </c>
      <c r="H4037" s="7" t="str">
        <f>HYPERLINK("http://www.ensembl.org/Mus_musculus/Gene/Summary?db=core;g=ENSMUSG00000063849","ENSMUSG00000063849")</f>
        <v>ENSMUSG00000063849</v>
      </c>
      <c r="I4037" s="7" t="str">
        <f>HYPERLINK("http://www.informatics.jax.org/marker/MGI:1914062","MGI:1914062")</f>
        <v>MGI:1914062</v>
      </c>
      <c r="J4037" s="4" t="s">
        <v>12</v>
      </c>
    </row>
    <row r="4038" spans="1:10" x14ac:dyDescent="0.25">
      <c r="A4038" s="2">
        <v>1669.64795763794</v>
      </c>
      <c r="B4038" s="3">
        <v>-0.17903851126555501</v>
      </c>
      <c r="C4038" s="3">
        <v>1.9147339204167601E-4</v>
      </c>
      <c r="D4038" s="4">
        <v>7.6258797420444499E-4</v>
      </c>
      <c r="E4038" s="3" t="s">
        <v>11179</v>
      </c>
      <c r="F4038" s="3" t="s">
        <v>11180</v>
      </c>
      <c r="G4038" s="3">
        <v>216156</v>
      </c>
      <c r="H4038" s="7" t="str">
        <f>HYPERLINK("http://www.ensembl.org/Mus_musculus/Gene/Summary?db=core;g=ENSMUSG00000035754","ENSMUSG00000035754")</f>
        <v>ENSMUSG00000035754</v>
      </c>
      <c r="I4038" s="7" t="str">
        <f>HYPERLINK("http://www.informatics.jax.org/marker/MGI:2158400","MGI:2158400")</f>
        <v>MGI:2158400</v>
      </c>
      <c r="J4038" s="4" t="s">
        <v>12</v>
      </c>
    </row>
    <row r="4039" spans="1:10" x14ac:dyDescent="0.25">
      <c r="A4039" s="2">
        <v>406.637897797324</v>
      </c>
      <c r="B4039" s="3">
        <v>-0.17915787629281099</v>
      </c>
      <c r="C4039" s="3">
        <v>1.5851166461678501E-2</v>
      </c>
      <c r="D4039" s="4">
        <v>4.2226221741782199E-2</v>
      </c>
      <c r="E4039" s="3" t="s">
        <v>13825</v>
      </c>
      <c r="F4039" s="3" t="s">
        <v>13826</v>
      </c>
      <c r="G4039" s="3">
        <v>72290</v>
      </c>
      <c r="H4039" s="7" t="str">
        <f>HYPERLINK("http://www.ensembl.org/Mus_musculus/Gene/Summary?db=core;g=ENSMUSG00000044847","ENSMUSG00000044847")</f>
        <v>ENSMUSG00000044847</v>
      </c>
      <c r="I4039" s="7" t="str">
        <f>HYPERLINK("http://www.informatics.jax.org/marker/MGI:1919540","MGI:1919540")</f>
        <v>MGI:1919540</v>
      </c>
      <c r="J4039" s="4" t="s">
        <v>12</v>
      </c>
    </row>
    <row r="4040" spans="1:10" x14ac:dyDescent="0.25">
      <c r="A4040" s="2">
        <v>784.55040891478404</v>
      </c>
      <c r="B4040" s="3">
        <v>-0.17917972316845199</v>
      </c>
      <c r="C4040" s="3">
        <v>1.2545477427306801E-3</v>
      </c>
      <c r="D4040" s="4">
        <v>4.3352545717229097E-3</v>
      </c>
      <c r="E4040" s="3" t="s">
        <v>13093</v>
      </c>
      <c r="F4040" s="3" t="s">
        <v>13094</v>
      </c>
      <c r="G4040" s="3">
        <v>67467</v>
      </c>
      <c r="H4040" s="7" t="str">
        <f>HYPERLINK("http://www.ensembl.org/Mus_musculus/Gene/Summary?db=core;g=ENSMUSG00000022008","ENSMUSG00000022008")</f>
        <v>ENSMUSG00000022008</v>
      </c>
      <c r="I4040" s="7" t="str">
        <f>HYPERLINK("http://www.informatics.jax.org/marker/MGI:1914717","MGI:1914717")</f>
        <v>MGI:1914717</v>
      </c>
      <c r="J4040" s="4" t="s">
        <v>12</v>
      </c>
    </row>
    <row r="4041" spans="1:10" x14ac:dyDescent="0.25">
      <c r="A4041" s="2">
        <v>428.90215763100701</v>
      </c>
      <c r="B4041" s="3">
        <v>-0.179234210870063</v>
      </c>
      <c r="C4041" s="3">
        <v>2.81970903632251E-2</v>
      </c>
      <c r="D4041" s="4">
        <v>6.9718080568413707E-2</v>
      </c>
      <c r="E4041" s="3" t="s">
        <v>11587</v>
      </c>
      <c r="F4041" s="3" t="s">
        <v>11588</v>
      </c>
      <c r="G4041" s="3">
        <v>223918</v>
      </c>
      <c r="H4041" s="7" t="str">
        <f>HYPERLINK("http://www.ensembl.org/Mus_musculus/Gene/Summary?db=core;g=ENSMUSG00000036966","ENSMUSG00000036966")</f>
        <v>ENSMUSG00000036966</v>
      </c>
      <c r="I4041" s="7" t="str">
        <f>HYPERLINK("http://www.informatics.jax.org/marker/MGI:2446175","MGI:2446175")</f>
        <v>MGI:2446175</v>
      </c>
      <c r="J4041" s="4" t="s">
        <v>12</v>
      </c>
    </row>
    <row r="4042" spans="1:10" x14ac:dyDescent="0.25">
      <c r="A4042" s="2">
        <v>351.33975510206398</v>
      </c>
      <c r="B4042" s="3">
        <v>-0.17934503161955401</v>
      </c>
      <c r="C4042" s="3">
        <v>4.2962846825478698E-2</v>
      </c>
      <c r="D4042" s="4">
        <v>0.100371475886982</v>
      </c>
      <c r="E4042" s="3" t="s">
        <v>12461</v>
      </c>
      <c r="F4042" s="3" t="s">
        <v>12462</v>
      </c>
      <c r="G4042" s="3">
        <v>244329</v>
      </c>
      <c r="H4042" s="7" t="str">
        <f>HYPERLINK("http://www.ensembl.org/Mus_musculus/Gene/Summary?db=core;g=ENSMUSG00000039842","ENSMUSG00000039842")</f>
        <v>ENSMUSG00000039842</v>
      </c>
      <c r="I4042" s="7" t="str">
        <f>HYPERLINK("http://www.informatics.jax.org/marker/MGI:2443308","MGI:2443308")</f>
        <v>MGI:2443308</v>
      </c>
      <c r="J4042" s="4" t="s">
        <v>12</v>
      </c>
    </row>
    <row r="4043" spans="1:10" x14ac:dyDescent="0.25">
      <c r="A4043" s="2">
        <v>2474.144002643</v>
      </c>
      <c r="B4043" s="3">
        <v>-0.179398055451712</v>
      </c>
      <c r="C4043" s="3">
        <v>3.48902796960161E-3</v>
      </c>
      <c r="D4043" s="4">
        <v>1.08957393327603E-2</v>
      </c>
      <c r="E4043" s="3" t="s">
        <v>10032</v>
      </c>
      <c r="F4043" s="3" t="s">
        <v>10033</v>
      </c>
      <c r="G4043" s="3">
        <v>69860</v>
      </c>
      <c r="H4043" s="7" t="str">
        <f>HYPERLINK("http://www.ensembl.org/Mus_musculus/Gene/Summary?db=core;g=ENSMUSG00000024841","ENSMUSG00000024841")</f>
        <v>ENSMUSG00000024841</v>
      </c>
      <c r="I4043" s="7" t="str">
        <f>HYPERLINK("http://www.informatics.jax.org/marker/MGI:1917110","MGI:1917110")</f>
        <v>MGI:1917110</v>
      </c>
      <c r="J4043" s="4" t="s">
        <v>12</v>
      </c>
    </row>
    <row r="4044" spans="1:10" x14ac:dyDescent="0.25">
      <c r="A4044" s="2">
        <v>654.44307491515201</v>
      </c>
      <c r="B4044" s="3">
        <v>-0.17943299264183399</v>
      </c>
      <c r="C4044" s="3">
        <v>2.86366345926702E-3</v>
      </c>
      <c r="D4044" s="4">
        <v>9.1327712185236797E-3</v>
      </c>
      <c r="E4044" s="3" t="s">
        <v>9137</v>
      </c>
      <c r="F4044" s="3" t="s">
        <v>9138</v>
      </c>
      <c r="G4044" s="3">
        <v>68675</v>
      </c>
      <c r="H4044" s="7" t="str">
        <f>HYPERLINK("http://www.ensembl.org/Mus_musculus/Gene/Summary?db=core;g=ENSMUSG00000064138","ENSMUSG00000064138")</f>
        <v>ENSMUSG00000064138</v>
      </c>
      <c r="I4044" s="7" t="str">
        <f>HYPERLINK("http://www.informatics.jax.org/marker/MGI:1915925","MGI:1915925")</f>
        <v>MGI:1915925</v>
      </c>
      <c r="J4044" s="4" t="s">
        <v>12</v>
      </c>
    </row>
    <row r="4045" spans="1:10" x14ac:dyDescent="0.25">
      <c r="A4045" s="2">
        <v>4871.6132395311797</v>
      </c>
      <c r="B4045" s="3">
        <v>-0.179573405026104</v>
      </c>
      <c r="C4045" s="5">
        <v>4.1016731823059898E-9</v>
      </c>
      <c r="D4045" s="6">
        <v>2.9949116084746298E-8</v>
      </c>
      <c r="E4045" s="3" t="s">
        <v>4297</v>
      </c>
      <c r="F4045" s="3" t="s">
        <v>4298</v>
      </c>
      <c r="G4045" s="3">
        <v>214469</v>
      </c>
      <c r="H4045" s="7" t="str">
        <f>HYPERLINK("http://www.ensembl.org/Mus_musculus/Gene/Summary?db=core;g=ENSMUSG00000037503","ENSMUSG00000037503")</f>
        <v>ENSMUSG00000037503</v>
      </c>
      <c r="I4045" s="7" t="str">
        <f>HYPERLINK("http://www.informatics.jax.org/marker/MGI:2448487","MGI:2448487")</f>
        <v>MGI:2448487</v>
      </c>
      <c r="J4045" s="4" t="s">
        <v>12</v>
      </c>
    </row>
    <row r="4046" spans="1:10" x14ac:dyDescent="0.25">
      <c r="A4046" s="2">
        <v>6293.1658153284397</v>
      </c>
      <c r="B4046" s="3">
        <v>-0.17996674178171901</v>
      </c>
      <c r="C4046" s="3">
        <v>5.5900460376519397E-4</v>
      </c>
      <c r="D4046" s="4">
        <v>2.0610679554158699E-3</v>
      </c>
      <c r="E4046" s="3" t="s">
        <v>9463</v>
      </c>
      <c r="F4046" s="3" t="s">
        <v>9464</v>
      </c>
      <c r="G4046" s="3">
        <v>110911</v>
      </c>
      <c r="H4046" s="7" t="str">
        <f>HYPERLINK("http://www.ensembl.org/Mus_musculus/Gene/Summary?db=core;g=ENSMUSG00000058793","ENSMUSG00000058793")</f>
        <v>ENSMUSG00000058793</v>
      </c>
      <c r="I4046" s="7" t="str">
        <f>HYPERLINK("http://www.informatics.jax.org/marker/MGI:1332236","MGI:1332236")</f>
        <v>MGI:1332236</v>
      </c>
      <c r="J4046" s="4" t="s">
        <v>12</v>
      </c>
    </row>
    <row r="4047" spans="1:10" x14ac:dyDescent="0.25">
      <c r="A4047" s="2">
        <v>645.36670797363001</v>
      </c>
      <c r="B4047" s="3">
        <v>-0.180076961952678</v>
      </c>
      <c r="C4047" s="3">
        <v>4.6764129603917796E-3</v>
      </c>
      <c r="D4047" s="4">
        <v>1.41527110931817E-2</v>
      </c>
      <c r="E4047" s="3" t="s">
        <v>9843</v>
      </c>
      <c r="F4047" s="3" t="s">
        <v>9844</v>
      </c>
      <c r="G4047" s="3">
        <v>72981</v>
      </c>
      <c r="H4047" s="7" t="str">
        <f>HYPERLINK("http://www.ensembl.org/Mus_musculus/Gene/Summary?db=core;g=ENSMUSG00000030753","ENSMUSG00000030753")</f>
        <v>ENSMUSG00000030753</v>
      </c>
      <c r="I4047" s="7" t="str">
        <f>HYPERLINK("http://www.informatics.jax.org/marker/MGI:1920231","MGI:1920231")</f>
        <v>MGI:1920231</v>
      </c>
      <c r="J4047" s="4" t="s">
        <v>12</v>
      </c>
    </row>
    <row r="4048" spans="1:10" x14ac:dyDescent="0.25">
      <c r="A4048" s="2">
        <v>1127.30427782276</v>
      </c>
      <c r="B4048" s="3">
        <v>-0.18010644640370299</v>
      </c>
      <c r="C4048" s="3">
        <v>4.1883980420875298E-4</v>
      </c>
      <c r="D4048" s="4">
        <v>1.57421229773243E-3</v>
      </c>
      <c r="E4048" s="3" t="s">
        <v>12825</v>
      </c>
      <c r="F4048" s="3" t="s">
        <v>12826</v>
      </c>
      <c r="G4048" s="3">
        <v>66053</v>
      </c>
      <c r="H4048" s="7" t="str">
        <f>HYPERLINK("http://www.ensembl.org/Mus_musculus/Gene/Summary?db=core;g=ENSMUSG00000022771","ENSMUSG00000022771")</f>
        <v>ENSMUSG00000022771</v>
      </c>
      <c r="I4048" s="7" t="str">
        <f>HYPERLINK("http://www.informatics.jax.org/marker/MGI:2447857","MGI:2447857")</f>
        <v>MGI:2447857</v>
      </c>
      <c r="J4048" s="4" t="s">
        <v>12</v>
      </c>
    </row>
    <row r="4049" spans="1:10" x14ac:dyDescent="0.25">
      <c r="A4049" s="2">
        <v>668.90817381472198</v>
      </c>
      <c r="B4049" s="3">
        <v>-0.180155179400804</v>
      </c>
      <c r="C4049" s="3">
        <v>6.9073468869400799E-4</v>
      </c>
      <c r="D4049" s="4">
        <v>2.5002263557990698E-3</v>
      </c>
      <c r="E4049" s="3" t="s">
        <v>13647</v>
      </c>
      <c r="F4049" s="3" t="s">
        <v>13648</v>
      </c>
      <c r="G4049" s="3" t="s">
        <v>83</v>
      </c>
      <c r="H4049" s="7" t="str">
        <f>HYPERLINK("http://www.ensembl.org/Mus_musculus/Gene/Summary?db=core;g=ENSMUSG00000092470","ENSMUSG00000092470")</f>
        <v>ENSMUSG00000092470</v>
      </c>
      <c r="I4049" s="7" t="str">
        <f>HYPERLINK("http://www.informatics.jax.org/marker/MGI:5141983","MGI:5141983")</f>
        <v>MGI:5141983</v>
      </c>
      <c r="J4049" s="4" t="s">
        <v>12</v>
      </c>
    </row>
    <row r="4050" spans="1:10" x14ac:dyDescent="0.25">
      <c r="A4050" s="2">
        <v>58.833097771434701</v>
      </c>
      <c r="B4050" s="3">
        <v>-0.18025999294314299</v>
      </c>
      <c r="C4050" s="3">
        <v>0.30152656103891001</v>
      </c>
      <c r="D4050" s="4">
        <v>0.47545609750252099</v>
      </c>
      <c r="E4050" s="3" t="s">
        <v>7548</v>
      </c>
      <c r="F4050" s="3" t="s">
        <v>7549</v>
      </c>
      <c r="G4050" s="3">
        <v>194655</v>
      </c>
      <c r="H4050" s="7" t="str">
        <f>HYPERLINK("http://www.ensembl.org/Mus_musculus/Gene/Summary?db=core;g=ENSMUSG00000020653","ENSMUSG00000020653")</f>
        <v>ENSMUSG00000020653</v>
      </c>
      <c r="I4050" s="7" t="str">
        <f>HYPERLINK("http://www.informatics.jax.org/marker/MGI:2653368","MGI:2653368")</f>
        <v>MGI:2653368</v>
      </c>
      <c r="J4050" s="4" t="s">
        <v>12</v>
      </c>
    </row>
    <row r="4051" spans="1:10" x14ac:dyDescent="0.25">
      <c r="A4051" s="2">
        <v>2272.33807116041</v>
      </c>
      <c r="B4051" s="3">
        <v>-0.18076686015848301</v>
      </c>
      <c r="C4051" s="3">
        <v>3.4941757594953999E-4</v>
      </c>
      <c r="D4051" s="4">
        <v>1.3289097081970701E-3</v>
      </c>
      <c r="E4051" s="3" t="s">
        <v>11553</v>
      </c>
      <c r="F4051" s="3" t="s">
        <v>11554</v>
      </c>
      <c r="G4051" s="3">
        <v>56282</v>
      </c>
      <c r="H4051" s="7" t="str">
        <f>HYPERLINK("http://www.ensembl.org/Mus_musculus/Gene/Summary?db=core;g=ENSMUSG00000039640","ENSMUSG00000039640")</f>
        <v>ENSMUSG00000039640</v>
      </c>
      <c r="I4051" s="7" t="str">
        <f>HYPERLINK("http://www.informatics.jax.org/marker/MGI:1926273","MGI:1926273")</f>
        <v>MGI:1926273</v>
      </c>
      <c r="J4051" s="4" t="s">
        <v>12</v>
      </c>
    </row>
    <row r="4052" spans="1:10" x14ac:dyDescent="0.25">
      <c r="A4052" s="2">
        <v>5129.65807354348</v>
      </c>
      <c r="B4052" s="3">
        <v>-0.18117588025675399</v>
      </c>
      <c r="C4052" s="3">
        <v>1.6888379056518001E-2</v>
      </c>
      <c r="D4052" s="4">
        <v>4.4613814799976899E-2</v>
      </c>
      <c r="E4052" s="3" t="s">
        <v>13631</v>
      </c>
      <c r="F4052" s="3" t="s">
        <v>13632</v>
      </c>
      <c r="G4052" s="3">
        <v>246707</v>
      </c>
      <c r="H4052" s="7" t="str">
        <f>HYPERLINK("http://www.ensembl.org/Mus_musculus/Gene/Summary?db=core;g=ENSMUSG00000024053","ENSMUSG00000024053")</f>
        <v>ENSMUSG00000024053</v>
      </c>
      <c r="I4052" s="7" t="str">
        <f>HYPERLINK("http://www.informatics.jax.org/marker/MGI:2389136","MGI:2389136")</f>
        <v>MGI:2389136</v>
      </c>
      <c r="J4052" s="4" t="s">
        <v>12</v>
      </c>
    </row>
    <row r="4053" spans="1:10" x14ac:dyDescent="0.25">
      <c r="A4053" s="2">
        <v>1825.0188853255199</v>
      </c>
      <c r="B4053" s="3">
        <v>-0.18178789689159999</v>
      </c>
      <c r="C4053" s="5">
        <v>9.6151874161761798E-5</v>
      </c>
      <c r="D4053" s="4">
        <v>4.0335930194517302E-4</v>
      </c>
      <c r="E4053" s="3" t="s">
        <v>11537</v>
      </c>
      <c r="F4053" s="3" t="s">
        <v>11538</v>
      </c>
      <c r="G4053" s="3">
        <v>83997</v>
      </c>
      <c r="H4053" s="7" t="str">
        <f>HYPERLINK("http://www.ensembl.org/Mus_musculus/Gene/Summary?db=core;g=ENSMUSG00000021870","ENSMUSG00000021870")</f>
        <v>ENSMUSG00000021870</v>
      </c>
      <c r="I4053" s="7" t="str">
        <f>HYPERLINK("http://www.informatics.jax.org/marker/MGI:1933549","MGI:1933549")</f>
        <v>MGI:1933549</v>
      </c>
      <c r="J4053" s="4" t="s">
        <v>12</v>
      </c>
    </row>
    <row r="4054" spans="1:10" x14ac:dyDescent="0.25">
      <c r="A4054" s="2">
        <v>92.318051704645697</v>
      </c>
      <c r="B4054" s="3">
        <v>-0.18197032902954699</v>
      </c>
      <c r="C4054" s="3">
        <v>0.17203098119743301</v>
      </c>
      <c r="D4054" s="4">
        <v>0.31327584255827401</v>
      </c>
      <c r="E4054" s="3" t="s">
        <v>13839</v>
      </c>
      <c r="F4054" s="3" t="s">
        <v>13840</v>
      </c>
      <c r="G4054" s="3">
        <v>231724</v>
      </c>
      <c r="H4054" s="7" t="str">
        <f>HYPERLINK("http://www.ensembl.org/Mus_musculus/Gene/Summary?db=core;g=ENSMUSG00000038569","ENSMUSG00000038569")</f>
        <v>ENSMUSG00000038569</v>
      </c>
      <c r="I4054" s="7" t="str">
        <f>HYPERLINK("http://www.informatics.jax.org/marker/MGI:2385231","MGI:2385231")</f>
        <v>MGI:2385231</v>
      </c>
      <c r="J4054" s="4" t="s">
        <v>12</v>
      </c>
    </row>
    <row r="4055" spans="1:10" x14ac:dyDescent="0.25">
      <c r="A4055" s="2">
        <v>348.87922202949898</v>
      </c>
      <c r="B4055" s="3">
        <v>-0.182044320373274</v>
      </c>
      <c r="C4055" s="3">
        <v>9.1170588324135694E-3</v>
      </c>
      <c r="D4055" s="4">
        <v>2.58330841450151E-2</v>
      </c>
      <c r="E4055" s="3" t="s">
        <v>11335</v>
      </c>
      <c r="F4055" s="3" t="s">
        <v>11336</v>
      </c>
      <c r="G4055" s="3">
        <v>217707</v>
      </c>
      <c r="H4055" s="7" t="str">
        <f>HYPERLINK("http://www.ensembl.org/Mus_musculus/Gene/Summary?db=core;g=ENSMUSG00000021235","ENSMUSG00000021235")</f>
        <v>ENSMUSG00000021235</v>
      </c>
      <c r="I4055" s="7" t="str">
        <f>HYPERLINK("http://www.informatics.jax.org/marker/MGI:1924408","MGI:1924408")</f>
        <v>MGI:1924408</v>
      </c>
      <c r="J4055" s="4" t="s">
        <v>12</v>
      </c>
    </row>
    <row r="4056" spans="1:10" x14ac:dyDescent="0.25">
      <c r="A4056" s="2">
        <v>547.19567034159604</v>
      </c>
      <c r="B4056" s="3">
        <v>-0.18213618795360501</v>
      </c>
      <c r="C4056" s="3">
        <v>8.6814638309476097E-3</v>
      </c>
      <c r="D4056" s="4">
        <v>2.47334185272816E-2</v>
      </c>
      <c r="E4056" s="3" t="s">
        <v>11579</v>
      </c>
      <c r="F4056" s="3" t="s">
        <v>11580</v>
      </c>
      <c r="G4056" s="3">
        <v>52004</v>
      </c>
      <c r="H4056" s="7" t="str">
        <f>HYPERLINK("http://www.ensembl.org/Mus_musculus/Gene/Summary?db=core;g=ENSMUSG00000024856","ENSMUSG00000024856")</f>
        <v>ENSMUSG00000024856</v>
      </c>
      <c r="I4056" s="7" t="str">
        <f>HYPERLINK("http://www.informatics.jax.org/marker/MGI:1098779","MGI:1098779")</f>
        <v>MGI:1098779</v>
      </c>
      <c r="J4056" s="4" t="s">
        <v>12</v>
      </c>
    </row>
    <row r="4057" spans="1:10" x14ac:dyDescent="0.25">
      <c r="A4057" s="2">
        <v>1434.88411326348</v>
      </c>
      <c r="B4057" s="3">
        <v>-0.18248161802278001</v>
      </c>
      <c r="C4057" s="3">
        <v>2.9974994406709501E-2</v>
      </c>
      <c r="D4057" s="4">
        <v>7.3535371256195997E-2</v>
      </c>
      <c r="E4057" s="3" t="s">
        <v>13893</v>
      </c>
      <c r="F4057" s="3" t="s">
        <v>13894</v>
      </c>
      <c r="G4057" s="3">
        <v>269400</v>
      </c>
      <c r="H4057" s="7" t="str">
        <f>HYPERLINK("http://www.ensembl.org/Mus_musculus/Gene/Summary?db=core;g=ENSMUSG00000038685","ENSMUSG00000038685")</f>
        <v>ENSMUSG00000038685</v>
      </c>
      <c r="I4057" s="7" t="str">
        <f>HYPERLINK("http://www.informatics.jax.org/marker/MGI:2139369","MGI:2139369")</f>
        <v>MGI:2139369</v>
      </c>
      <c r="J4057" s="4" t="s">
        <v>12</v>
      </c>
    </row>
    <row r="4058" spans="1:10" x14ac:dyDescent="0.25">
      <c r="A4058" s="2">
        <v>496.10615064415401</v>
      </c>
      <c r="B4058" s="3">
        <v>-0.18252207930573899</v>
      </c>
      <c r="C4058" s="3">
        <v>7.2228169898913702E-2</v>
      </c>
      <c r="D4058" s="4">
        <v>0.155304199670564</v>
      </c>
      <c r="E4058" s="3" t="s">
        <v>10042</v>
      </c>
      <c r="F4058" s="3" t="s">
        <v>10043</v>
      </c>
      <c r="G4058" s="3">
        <v>74253</v>
      </c>
      <c r="H4058" s="7" t="str">
        <f>HYPERLINK("http://www.ensembl.org/Mus_musculus/Gene/Summary?db=core;g=ENSMUSG00000071537","ENSMUSG00000071537")</f>
        <v>ENSMUSG00000071537</v>
      </c>
      <c r="I4058" s="7" t="str">
        <f>HYPERLINK("http://www.informatics.jax.org/marker/MGI:1921503","MGI:1921503")</f>
        <v>MGI:1921503</v>
      </c>
      <c r="J4058" s="4" t="s">
        <v>12</v>
      </c>
    </row>
    <row r="4059" spans="1:10" x14ac:dyDescent="0.25">
      <c r="A4059" s="2">
        <v>2114.31509724639</v>
      </c>
      <c r="B4059" s="3">
        <v>-0.183556566613963</v>
      </c>
      <c r="C4059" s="3">
        <v>5.5815145000720403E-3</v>
      </c>
      <c r="D4059" s="4">
        <v>1.6580782683588102E-2</v>
      </c>
      <c r="E4059" s="3" t="s">
        <v>8529</v>
      </c>
      <c r="F4059" s="3" t="s">
        <v>8530</v>
      </c>
      <c r="G4059" s="3">
        <v>16498</v>
      </c>
      <c r="H4059" s="7" t="str">
        <f>HYPERLINK("http://www.ensembl.org/Mus_musculus/Gene/Summary?db=core;g=ENSMUSG00000028931","ENSMUSG00000028931")</f>
        <v>ENSMUSG00000028931</v>
      </c>
      <c r="I4059" s="7" t="str">
        <f>HYPERLINK("http://www.informatics.jax.org/marker/MGI:109239","MGI:109239")</f>
        <v>MGI:109239</v>
      </c>
      <c r="J4059" s="4" t="s">
        <v>12</v>
      </c>
    </row>
    <row r="4060" spans="1:10" x14ac:dyDescent="0.25">
      <c r="A4060" s="2">
        <v>659.27439897816805</v>
      </c>
      <c r="B4060" s="3">
        <v>-0.18355831896004801</v>
      </c>
      <c r="C4060" s="3">
        <v>3.2107136431413101E-2</v>
      </c>
      <c r="D4060" s="4">
        <v>7.8093228541639401E-2</v>
      </c>
      <c r="E4060" s="3" t="s">
        <v>12229</v>
      </c>
      <c r="F4060" s="3" t="s">
        <v>12230</v>
      </c>
      <c r="G4060" s="3">
        <v>319675</v>
      </c>
      <c r="H4060" s="7" t="str">
        <f>HYPERLINK("http://www.ensembl.org/Mus_musculus/Gene/Summary?db=core;g=ENSMUSG00000046111","ENSMUSG00000046111")</f>
        <v>ENSMUSG00000046111</v>
      </c>
      <c r="I4060" s="7" t="str">
        <f>HYPERLINK("http://www.informatics.jax.org/marker/MGI:2442521","MGI:2442521")</f>
        <v>MGI:2442521</v>
      </c>
      <c r="J4060" s="4" t="s">
        <v>12</v>
      </c>
    </row>
    <row r="4061" spans="1:10" x14ac:dyDescent="0.25">
      <c r="A4061" s="2">
        <v>557.08828326923401</v>
      </c>
      <c r="B4061" s="3">
        <v>-0.18356666533406099</v>
      </c>
      <c r="C4061" s="3">
        <v>1.72895290112254E-3</v>
      </c>
      <c r="D4061" s="4">
        <v>5.8029772786294996E-3</v>
      </c>
      <c r="E4061" s="3" t="s">
        <v>11817</v>
      </c>
      <c r="F4061" s="3" t="s">
        <v>11818</v>
      </c>
      <c r="G4061" s="3">
        <v>216154</v>
      </c>
      <c r="H4061" s="7" t="str">
        <f>HYPERLINK("http://www.ensembl.org/Mus_musculus/Gene/Summary?db=core;g=ENSMUSG00000013833","ENSMUSG00000013833")</f>
        <v>ENSMUSG00000013833</v>
      </c>
      <c r="I4061" s="7" t="str">
        <f>HYPERLINK("http://www.informatics.jax.org/marker/MGI:2158394","MGI:2158394")</f>
        <v>MGI:2158394</v>
      </c>
      <c r="J4061" s="4" t="s">
        <v>12</v>
      </c>
    </row>
    <row r="4062" spans="1:10" x14ac:dyDescent="0.25">
      <c r="A4062" s="2">
        <v>2585.84355230657</v>
      </c>
      <c r="B4062" s="3">
        <v>-0.18361584962470601</v>
      </c>
      <c r="C4062" s="5">
        <v>7.2290242876928698E-6</v>
      </c>
      <c r="D4062" s="6">
        <v>3.6075839989924002E-5</v>
      </c>
      <c r="E4062" s="3" t="s">
        <v>7294</v>
      </c>
      <c r="F4062" s="3" t="s">
        <v>7295</v>
      </c>
      <c r="G4062" s="3">
        <v>224020</v>
      </c>
      <c r="H4062" s="7" t="str">
        <f>HYPERLINK("http://www.ensembl.org/Mus_musculus/Gene/Summary?db=core;g=ENSMUSG00000041720","ENSMUSG00000041720")</f>
        <v>ENSMUSG00000041720</v>
      </c>
      <c r="I4062" s="7" t="str">
        <f>HYPERLINK("http://www.informatics.jax.org/marker/MGI:2448506","MGI:2448506")</f>
        <v>MGI:2448506</v>
      </c>
      <c r="J4062" s="4" t="s">
        <v>12</v>
      </c>
    </row>
    <row r="4063" spans="1:10" x14ac:dyDescent="0.25">
      <c r="A4063" s="2">
        <v>1156.4356496171199</v>
      </c>
      <c r="B4063" s="3">
        <v>-0.18397997035800201</v>
      </c>
      <c r="C4063" s="3">
        <v>3.8031885483980799E-3</v>
      </c>
      <c r="D4063" s="4">
        <v>1.17799305395233E-2</v>
      </c>
      <c r="E4063" s="3" t="s">
        <v>8789</v>
      </c>
      <c r="F4063" s="3" t="s">
        <v>8790</v>
      </c>
      <c r="G4063" s="3">
        <v>12041</v>
      </c>
      <c r="H4063" s="7" t="str">
        <f>HYPERLINK("http://www.ensembl.org/Mus_musculus/Gene/Summary?db=core;g=ENSMUSG00000030802","ENSMUSG00000030802")</f>
        <v>ENSMUSG00000030802</v>
      </c>
      <c r="I4063" s="7" t="str">
        <f>HYPERLINK("http://www.informatics.jax.org/marker/MGI:1276121","MGI:1276121")</f>
        <v>MGI:1276121</v>
      </c>
      <c r="J4063" s="4" t="s">
        <v>12</v>
      </c>
    </row>
    <row r="4064" spans="1:10" x14ac:dyDescent="0.25">
      <c r="A4064" s="2">
        <v>129.385840101887</v>
      </c>
      <c r="B4064" s="3">
        <v>-0.18412311074630899</v>
      </c>
      <c r="C4064" s="3">
        <v>7.8646609388843797E-2</v>
      </c>
      <c r="D4064" s="4">
        <v>0.166911549470943</v>
      </c>
      <c r="E4064" s="3" t="s">
        <v>12293</v>
      </c>
      <c r="F4064" s="3" t="s">
        <v>12294</v>
      </c>
      <c r="G4064" s="3">
        <v>76915</v>
      </c>
      <c r="H4064" s="7" t="str">
        <f>HYPERLINK("http://www.ensembl.org/Mus_musculus/Gene/Summary?db=core;g=ENSMUSG00000033752","ENSMUSG00000033752")</f>
        <v>ENSMUSG00000033752</v>
      </c>
      <c r="I4064" s="7" t="str">
        <f>HYPERLINK("http://www.informatics.jax.org/marker/MGI:1924165","MGI:1924165")</f>
        <v>MGI:1924165</v>
      </c>
      <c r="J4064" s="4" t="s">
        <v>12</v>
      </c>
    </row>
    <row r="4065" spans="1:10" x14ac:dyDescent="0.25">
      <c r="A4065" s="2">
        <v>192.555974839562</v>
      </c>
      <c r="B4065" s="3">
        <v>-0.18425142405884001</v>
      </c>
      <c r="C4065" s="3">
        <v>4.8882908500414497E-2</v>
      </c>
      <c r="D4065" s="4">
        <v>0.112146400732635</v>
      </c>
      <c r="E4065" s="3" t="s">
        <v>13761</v>
      </c>
      <c r="F4065" s="3" t="s">
        <v>13762</v>
      </c>
      <c r="G4065" s="3">
        <v>53859</v>
      </c>
      <c r="H4065" s="7" t="str">
        <f>HYPERLINK("http://www.ensembl.org/Mus_musculus/Gene/Summary?db=core;g=ENSMUSG00000020941","ENSMUSG00000020941")</f>
        <v>ENSMUSG00000020941</v>
      </c>
      <c r="I4065" s="7" t="str">
        <f>HYPERLINK("http://www.informatics.jax.org/marker/MGI:1858204","MGI:1858204")</f>
        <v>MGI:1858204</v>
      </c>
      <c r="J4065" s="4" t="s">
        <v>12</v>
      </c>
    </row>
    <row r="4066" spans="1:10" x14ac:dyDescent="0.25">
      <c r="A4066" s="2">
        <v>141.84623600716199</v>
      </c>
      <c r="B4066" s="3">
        <v>-0.184267736183541</v>
      </c>
      <c r="C4066" s="3">
        <v>0.10798523041020699</v>
      </c>
      <c r="D4066" s="4">
        <v>0.21645741577496999</v>
      </c>
      <c r="E4066" s="3" t="s">
        <v>10108</v>
      </c>
      <c r="F4066" s="3" t="s">
        <v>10109</v>
      </c>
      <c r="G4066" s="3">
        <v>116972</v>
      </c>
      <c r="H4066" s="7" t="str">
        <f>HYPERLINK("http://www.ensembl.org/Mus_musculus/Gene/Summary?db=core;g=ENSMUSG00000069808","ENSMUSG00000069808")</f>
        <v>ENSMUSG00000069808</v>
      </c>
      <c r="I4066" s="7" t="str">
        <f>HYPERLINK("http://www.informatics.jax.org/marker/MGI:2151840","MGI:2151840")</f>
        <v>MGI:2151840</v>
      </c>
      <c r="J4066" s="4" t="s">
        <v>12</v>
      </c>
    </row>
    <row r="4067" spans="1:10" x14ac:dyDescent="0.25">
      <c r="A4067" s="2">
        <v>352.14302799229603</v>
      </c>
      <c r="B4067" s="3">
        <v>-0.184450187021961</v>
      </c>
      <c r="C4067" s="3">
        <v>9.5261067335358496E-3</v>
      </c>
      <c r="D4067" s="4">
        <v>2.6841882377657798E-2</v>
      </c>
      <c r="E4067" s="3" t="s">
        <v>12959</v>
      </c>
      <c r="F4067" s="3" t="s">
        <v>12960</v>
      </c>
      <c r="G4067" s="3">
        <v>100756</v>
      </c>
      <c r="H4067" s="7" t="str">
        <f>HYPERLINK("http://www.ensembl.org/Mus_musculus/Gene/Summary?db=core;g=ENSMUSG00000029592","ENSMUSG00000029592")</f>
        <v>ENSMUSG00000029592</v>
      </c>
      <c r="I4067" s="7" t="str">
        <f>HYPERLINK("http://www.informatics.jax.org/marker/MGI:2140991","MGI:2140991")</f>
        <v>MGI:2140991</v>
      </c>
      <c r="J4067" s="4" t="s">
        <v>12</v>
      </c>
    </row>
    <row r="4068" spans="1:10" x14ac:dyDescent="0.25">
      <c r="A4068" s="2">
        <v>1051.48127932331</v>
      </c>
      <c r="B4068" s="3">
        <v>-0.18468207627795499</v>
      </c>
      <c r="C4068" s="3">
        <v>1.5332447705001301E-3</v>
      </c>
      <c r="D4068" s="4">
        <v>5.2065187148061997E-3</v>
      </c>
      <c r="E4068" s="3" t="s">
        <v>10601</v>
      </c>
      <c r="F4068" s="3" t="s">
        <v>10602</v>
      </c>
      <c r="G4068" s="3">
        <v>227695</v>
      </c>
      <c r="H4068" s="7" t="str">
        <f>HYPERLINK("http://www.ensembl.org/Mus_musculus/Gene/Summary?db=core;g=ENSMUSG00000039660","ENSMUSG00000039660")</f>
        <v>ENSMUSG00000039660</v>
      </c>
      <c r="I4068" s="7" t="str">
        <f>HYPERLINK("http://www.informatics.jax.org/marker/MGI:106544","MGI:106544")</f>
        <v>MGI:106544</v>
      </c>
      <c r="J4068" s="4" t="s">
        <v>12</v>
      </c>
    </row>
    <row r="4069" spans="1:10" x14ac:dyDescent="0.25">
      <c r="A4069" s="2">
        <v>205.05838277051799</v>
      </c>
      <c r="B4069" s="3">
        <v>-0.18477238458674</v>
      </c>
      <c r="C4069" s="3">
        <v>3.6089645840300201E-2</v>
      </c>
      <c r="D4069" s="4">
        <v>8.6452917381633895E-2</v>
      </c>
      <c r="E4069" s="3" t="s">
        <v>11439</v>
      </c>
      <c r="F4069" s="3" t="s">
        <v>11440</v>
      </c>
      <c r="G4069" s="3">
        <v>117589</v>
      </c>
      <c r="H4069" s="7" t="str">
        <f>HYPERLINK("http://www.ensembl.org/Mus_musculus/Gene/Summary?db=core;g=ENSMUSG00000030509","ENSMUSG00000030509")</f>
        <v>ENSMUSG00000030509</v>
      </c>
      <c r="I4069" s="7" t="str">
        <f>HYPERLINK("http://www.informatics.jax.org/marker/MGI:2152835","MGI:2152835")</f>
        <v>MGI:2152835</v>
      </c>
      <c r="J4069" s="4" t="s">
        <v>12</v>
      </c>
    </row>
    <row r="4070" spans="1:10" x14ac:dyDescent="0.25">
      <c r="A4070" s="2">
        <v>2718.4056096090699</v>
      </c>
      <c r="B4070" s="3">
        <v>-0.18481429328971499</v>
      </c>
      <c r="C4070" s="3">
        <v>1.06925651866039E-4</v>
      </c>
      <c r="D4070" s="4">
        <v>4.4501484477244902E-4</v>
      </c>
      <c r="E4070" s="3" t="s">
        <v>5773</v>
      </c>
      <c r="F4070" s="3" t="s">
        <v>5774</v>
      </c>
      <c r="G4070" s="3">
        <v>12400</v>
      </c>
      <c r="H4070" s="7" t="str">
        <f>HYPERLINK("http://www.ensembl.org/Mus_musculus/Gene/Summary?db=core;g=ENSMUSG00000031885","ENSMUSG00000031885")</f>
        <v>ENSMUSG00000031885</v>
      </c>
      <c r="I4070" s="7" t="str">
        <f>HYPERLINK("http://www.informatics.jax.org/marker/MGI:99851","MGI:99851")</f>
        <v>MGI:99851</v>
      </c>
      <c r="J4070" s="4" t="s">
        <v>12</v>
      </c>
    </row>
    <row r="4071" spans="1:10" x14ac:dyDescent="0.25">
      <c r="A4071" s="2">
        <v>314.98778084360902</v>
      </c>
      <c r="B4071" s="3">
        <v>-0.18521420569177299</v>
      </c>
      <c r="C4071" s="3">
        <v>5.1830903062745001E-2</v>
      </c>
      <c r="D4071" s="4">
        <v>0.117592208181069</v>
      </c>
      <c r="E4071" s="3" t="s">
        <v>7214</v>
      </c>
      <c r="F4071" s="3" t="s">
        <v>7215</v>
      </c>
      <c r="G4071" s="3">
        <v>64707</v>
      </c>
      <c r="H4071" s="7" t="str">
        <f>HYPERLINK("http://www.ensembl.org/Mus_musculus/Gene/Summary?db=core;g=ENSMUSG00000026646","ENSMUSG00000026646")</f>
        <v>ENSMUSG00000026646</v>
      </c>
      <c r="I4071" s="7" t="str">
        <f>HYPERLINK("http://www.informatics.jax.org/marker/MGI:1890396","MGI:1890396")</f>
        <v>MGI:1890396</v>
      </c>
      <c r="J4071" s="4" t="s">
        <v>12</v>
      </c>
    </row>
    <row r="4072" spans="1:10" x14ac:dyDescent="0.25">
      <c r="A4072" s="2">
        <v>742.439064991382</v>
      </c>
      <c r="B4072" s="3">
        <v>-0.18528548930351299</v>
      </c>
      <c r="C4072" s="3">
        <v>9.7074006019480501E-3</v>
      </c>
      <c r="D4072" s="4">
        <v>2.72726030477113E-2</v>
      </c>
      <c r="E4072" s="3" t="s">
        <v>13883</v>
      </c>
      <c r="F4072" s="3" t="s">
        <v>13884</v>
      </c>
      <c r="G4072" s="3">
        <v>67785</v>
      </c>
      <c r="H4072" s="7" t="str">
        <f>HYPERLINK("http://www.ensembl.org/Mus_musculus/Gene/Summary?db=core;g=ENSMUSG00000042446","ENSMUSG00000042446")</f>
        <v>ENSMUSG00000042446</v>
      </c>
      <c r="I4072" s="7" t="str">
        <f>HYPERLINK("http://www.informatics.jax.org/marker/MGI:1915035","MGI:1915035")</f>
        <v>MGI:1915035</v>
      </c>
      <c r="J4072" s="4" t="s">
        <v>12</v>
      </c>
    </row>
    <row r="4073" spans="1:10" x14ac:dyDescent="0.25">
      <c r="A4073" s="2">
        <v>156.83816795680599</v>
      </c>
      <c r="B4073" s="3">
        <v>-0.18542987625990001</v>
      </c>
      <c r="C4073" s="3">
        <v>8.0862711165592904E-2</v>
      </c>
      <c r="D4073" s="4">
        <v>0.170727862719292</v>
      </c>
      <c r="E4073" s="3" t="s">
        <v>11691</v>
      </c>
      <c r="F4073" s="3" t="s">
        <v>11692</v>
      </c>
      <c r="G4073" s="3">
        <v>70394</v>
      </c>
      <c r="H4073" s="7" t="str">
        <f>HYPERLINK("http://www.ensembl.org/Mus_musculus/Gene/Summary?db=core;g=ENSMUSG00000006021","ENSMUSG00000006021")</f>
        <v>ENSMUSG00000006021</v>
      </c>
      <c r="I4073" s="7" t="str">
        <f>HYPERLINK("http://www.informatics.jax.org/marker/MGI:1890380","MGI:1890380")</f>
        <v>MGI:1890380</v>
      </c>
      <c r="J4073" s="4" t="s">
        <v>12</v>
      </c>
    </row>
    <row r="4074" spans="1:10" x14ac:dyDescent="0.25">
      <c r="A4074" s="2">
        <v>1820.49572331113</v>
      </c>
      <c r="B4074" s="3">
        <v>-0.18555439173907101</v>
      </c>
      <c r="C4074" s="5">
        <v>5.7903103180782397E-5</v>
      </c>
      <c r="D4074" s="4">
        <v>2.5155758175679602E-4</v>
      </c>
      <c r="E4074" s="3" t="s">
        <v>6872</v>
      </c>
      <c r="F4074" s="3" t="s">
        <v>6873</v>
      </c>
      <c r="G4074" s="3">
        <v>228875</v>
      </c>
      <c r="H4074" s="7" t="str">
        <f>HYPERLINK("http://www.ensembl.org/Mus_musculus/Gene/Summary?db=core;g=ENSMUSG00000017664","ENSMUSG00000017664")</f>
        <v>ENSMUSG00000017664</v>
      </c>
      <c r="I4074" s="7" t="str">
        <f>HYPERLINK("http://www.informatics.jax.org/marker/MGI:2385166","MGI:2385166")</f>
        <v>MGI:2385166</v>
      </c>
      <c r="J4074" s="4" t="s">
        <v>12</v>
      </c>
    </row>
    <row r="4075" spans="1:10" x14ac:dyDescent="0.25">
      <c r="A4075" s="2">
        <v>599.27488135418798</v>
      </c>
      <c r="B4075" s="3">
        <v>-0.18567882729763099</v>
      </c>
      <c r="C4075" s="3">
        <v>1.75336313275034E-3</v>
      </c>
      <c r="D4075" s="4">
        <v>5.8762491898445898E-3</v>
      </c>
      <c r="E4075" s="3" t="s">
        <v>13769</v>
      </c>
      <c r="F4075" s="3" t="s">
        <v>13770</v>
      </c>
      <c r="G4075" s="3">
        <v>13347</v>
      </c>
      <c r="H4075" s="7" t="str">
        <f>HYPERLINK("http://www.ensembl.org/Mus_musculus/Gene/Summary?db=core;g=ENSMUSG00000028974","ENSMUSG00000028974")</f>
        <v>ENSMUSG00000028974</v>
      </c>
      <c r="I4075" s="7" t="str">
        <f>HYPERLINK("http://www.informatics.jax.org/marker/MGI:1196227","MGI:1196227")</f>
        <v>MGI:1196227</v>
      </c>
      <c r="J4075" s="4" t="s">
        <v>12</v>
      </c>
    </row>
    <row r="4076" spans="1:10" x14ac:dyDescent="0.25">
      <c r="A4076" s="2">
        <v>668.68837423273806</v>
      </c>
      <c r="B4076" s="3">
        <v>-0.18573160626394</v>
      </c>
      <c r="C4076" s="3">
        <v>4.24555343004588E-3</v>
      </c>
      <c r="D4076" s="4">
        <v>1.2986775975593501E-2</v>
      </c>
      <c r="E4076" s="3" t="s">
        <v>13397</v>
      </c>
      <c r="F4076" s="3" t="s">
        <v>13398</v>
      </c>
      <c r="G4076" s="3">
        <v>218693</v>
      </c>
      <c r="H4076" s="7" t="str">
        <f>HYPERLINK("http://www.ensembl.org/Mus_musculus/Gene/Summary?db=core;g=ENSMUSG00000025451","ENSMUSG00000025451")</f>
        <v>ENSMUSG00000025451</v>
      </c>
      <c r="I4076" s="7" t="str">
        <f>HYPERLINK("http://www.informatics.jax.org/marker/MGI:2384993","MGI:2384993")</f>
        <v>MGI:2384993</v>
      </c>
      <c r="J4076" s="4" t="s">
        <v>12</v>
      </c>
    </row>
    <row r="4077" spans="1:10" x14ac:dyDescent="0.25">
      <c r="A4077" s="2">
        <v>2010.36392325718</v>
      </c>
      <c r="B4077" s="3">
        <v>-0.18583798976786101</v>
      </c>
      <c r="C4077" s="3">
        <v>9.0087558538467297E-3</v>
      </c>
      <c r="D4077" s="4">
        <v>2.5561976558673E-2</v>
      </c>
      <c r="E4077" s="3" t="s">
        <v>8595</v>
      </c>
      <c r="F4077" s="3" t="s">
        <v>8596</v>
      </c>
      <c r="G4077" s="3">
        <v>224826</v>
      </c>
      <c r="H4077" s="7" t="str">
        <f>HYPERLINK("http://www.ensembl.org/Mus_musculus/Gene/Summary?db=core;g=ENSMUSG00000023977","ENSMUSG00000023977")</f>
        <v>ENSMUSG00000023977</v>
      </c>
      <c r="I4077" s="7" t="str">
        <f>HYPERLINK("http://www.informatics.jax.org/marker/MGI:1861099","MGI:1861099")</f>
        <v>MGI:1861099</v>
      </c>
      <c r="J4077" s="4" t="s">
        <v>12</v>
      </c>
    </row>
    <row r="4078" spans="1:10" x14ac:dyDescent="0.25">
      <c r="A4078" s="2">
        <v>562.61848131575903</v>
      </c>
      <c r="B4078" s="3">
        <v>-0.18619118773520901</v>
      </c>
      <c r="C4078" s="3">
        <v>1.7558214436057901E-2</v>
      </c>
      <c r="D4078" s="4">
        <v>4.6093036740883699E-2</v>
      </c>
      <c r="E4078" s="3" t="s">
        <v>13316</v>
      </c>
      <c r="F4078" s="3" t="s">
        <v>13317</v>
      </c>
      <c r="G4078" s="3">
        <v>66296</v>
      </c>
      <c r="H4078" s="7" t="str">
        <f>HYPERLINK("http://www.ensembl.org/Mus_musculus/Gene/Summary?db=core;g=ENSMUSG00000027285","ENSMUSG00000027285")</f>
        <v>ENSMUSG00000027285</v>
      </c>
      <c r="I4078" s="7" t="str">
        <f>HYPERLINK("http://www.informatics.jax.org/marker/MGI:1913546","MGI:1913546")</f>
        <v>MGI:1913546</v>
      </c>
      <c r="J4078" s="4" t="s">
        <v>12</v>
      </c>
    </row>
    <row r="4079" spans="1:10" x14ac:dyDescent="0.25">
      <c r="A4079" s="2">
        <v>1104.79473199519</v>
      </c>
      <c r="B4079" s="3">
        <v>-0.186422373683787</v>
      </c>
      <c r="C4079" s="3">
        <v>9.3126655310310901E-3</v>
      </c>
      <c r="D4079" s="4">
        <v>2.63055377097089E-2</v>
      </c>
      <c r="E4079" s="3" t="s">
        <v>8843</v>
      </c>
      <c r="F4079" s="3" t="s">
        <v>8844</v>
      </c>
      <c r="G4079" s="3">
        <v>22340</v>
      </c>
      <c r="H4079" s="7" t="str">
        <f>HYPERLINK("http://www.ensembl.org/Mus_musculus/Gene/Summary?db=core;g=ENSMUSG00000024962","ENSMUSG00000024962")</f>
        <v>ENSMUSG00000024962</v>
      </c>
      <c r="I4079" s="7" t="str">
        <f>HYPERLINK("http://www.informatics.jax.org/marker/MGI:106199","MGI:106199")</f>
        <v>MGI:106199</v>
      </c>
      <c r="J4079" s="4" t="s">
        <v>12</v>
      </c>
    </row>
    <row r="4080" spans="1:10" x14ac:dyDescent="0.25">
      <c r="A4080" s="2">
        <v>796.91041671353605</v>
      </c>
      <c r="B4080" s="3">
        <v>-0.186425288710478</v>
      </c>
      <c r="C4080" s="3">
        <v>6.3405172068582098E-3</v>
      </c>
      <c r="D4080" s="4">
        <v>1.8626035798676801E-2</v>
      </c>
      <c r="E4080" s="3" t="s">
        <v>13751</v>
      </c>
      <c r="F4080" s="3" t="s">
        <v>13752</v>
      </c>
      <c r="G4080" s="3">
        <v>74648</v>
      </c>
      <c r="H4080" s="7" t="str">
        <f>HYPERLINK("http://www.ensembl.org/Mus_musculus/Gene/Summary?db=core;g=ENSMUSG00000040928","ENSMUSG00000040928")</f>
        <v>ENSMUSG00000040928</v>
      </c>
      <c r="I4080" s="7" t="str">
        <f>HYPERLINK("http://www.informatics.jax.org/marker/MGI:1921898","MGI:1921898")</f>
        <v>MGI:1921898</v>
      </c>
      <c r="J4080" s="4" t="s">
        <v>12</v>
      </c>
    </row>
    <row r="4081" spans="1:10" x14ac:dyDescent="0.25">
      <c r="A4081" s="2">
        <v>1551.2704770990499</v>
      </c>
      <c r="B4081" s="3">
        <v>-0.186543212807743</v>
      </c>
      <c r="C4081" s="3">
        <v>2.8788675880619999E-3</v>
      </c>
      <c r="D4081" s="4">
        <v>9.1742195825196601E-3</v>
      </c>
      <c r="E4081" s="3" t="s">
        <v>10396</v>
      </c>
      <c r="F4081" s="3" t="s">
        <v>10397</v>
      </c>
      <c r="G4081" s="3">
        <v>77034</v>
      </c>
      <c r="H4081" s="7" t="str">
        <f>HYPERLINK("http://www.ensembl.org/Mus_musculus/Gene/Summary?db=core;g=ENSMUSG00000044496","ENSMUSG00000044496")</f>
        <v>ENSMUSG00000044496</v>
      </c>
      <c r="I4081" s="7" t="str">
        <f>HYPERLINK("http://www.informatics.jax.org/marker/MGI:1924284","MGI:1924284")</f>
        <v>MGI:1924284</v>
      </c>
      <c r="J4081" s="4" t="s">
        <v>12</v>
      </c>
    </row>
    <row r="4082" spans="1:10" x14ac:dyDescent="0.25">
      <c r="A4082" s="2">
        <v>470.587134514507</v>
      </c>
      <c r="B4082" s="3">
        <v>-0.18654690454534101</v>
      </c>
      <c r="C4082" s="3">
        <v>0.183299362429657</v>
      </c>
      <c r="D4082" s="4">
        <v>0.328931752686146</v>
      </c>
      <c r="E4082" s="3" t="s">
        <v>11671</v>
      </c>
      <c r="F4082" s="3" t="s">
        <v>11672</v>
      </c>
      <c r="G4082" s="3">
        <v>20856</v>
      </c>
      <c r="H4082" s="7" t="str">
        <f>HYPERLINK("http://www.ensembl.org/Mus_musculus/Gene/Summary?db=core;g=ENSMUSG00000020303","ENSMUSG00000020303")</f>
        <v>ENSMUSG00000020303</v>
      </c>
      <c r="I4082" s="7" t="str">
        <f>HYPERLINK("http://www.informatics.jax.org/marker/MGI:1316731","MGI:1316731")</f>
        <v>MGI:1316731</v>
      </c>
      <c r="J4082" s="4" t="s">
        <v>12</v>
      </c>
    </row>
    <row r="4083" spans="1:10" x14ac:dyDescent="0.25">
      <c r="A4083" s="2">
        <v>336.89996688178297</v>
      </c>
      <c r="B4083" s="3">
        <v>-0.18665254597907199</v>
      </c>
      <c r="C4083" s="3">
        <v>1.07916434045619E-2</v>
      </c>
      <c r="D4083" s="4">
        <v>3.0022546336153401E-2</v>
      </c>
      <c r="E4083" s="3" t="s">
        <v>12901</v>
      </c>
      <c r="F4083" s="3" t="s">
        <v>12902</v>
      </c>
      <c r="G4083" s="3">
        <v>117109</v>
      </c>
      <c r="H4083" s="7" t="str">
        <f>HYPERLINK("http://www.ensembl.org/Mus_musculus/Gene/Summary?db=core;g=ENSMUSG00000060152","ENSMUSG00000060152")</f>
        <v>ENSMUSG00000060152</v>
      </c>
      <c r="I4083" s="7" t="str">
        <f>HYPERLINK("http://www.informatics.jax.org/marker/MGI:2151221","MGI:2151221")</f>
        <v>MGI:2151221</v>
      </c>
      <c r="J4083" s="4" t="s">
        <v>12</v>
      </c>
    </row>
    <row r="4084" spans="1:10" x14ac:dyDescent="0.25">
      <c r="A4084" s="2">
        <v>2482.4671812061601</v>
      </c>
      <c r="B4084" s="3">
        <v>-0.18705573614294199</v>
      </c>
      <c r="C4084" s="3">
        <v>5.22409465139341E-3</v>
      </c>
      <c r="D4084" s="4">
        <v>1.56516726979525E-2</v>
      </c>
      <c r="E4084" s="3" t="s">
        <v>11743</v>
      </c>
      <c r="F4084" s="3" t="s">
        <v>11744</v>
      </c>
      <c r="G4084" s="3">
        <v>228790</v>
      </c>
      <c r="H4084" s="7" t="str">
        <f>HYPERLINK("http://www.ensembl.org/Mus_musculus/Gene/Summary?db=core;g=ENSMUSG00000042548","ENSMUSG00000042548")</f>
        <v>ENSMUSG00000042548</v>
      </c>
      <c r="I4084" s="7" t="str">
        <f>HYPERLINK("http://www.informatics.jax.org/marker/MGI:2684063","MGI:2684063")</f>
        <v>MGI:2684063</v>
      </c>
      <c r="J4084" s="4" t="s">
        <v>12</v>
      </c>
    </row>
    <row r="4085" spans="1:10" x14ac:dyDescent="0.25">
      <c r="A4085" s="2">
        <v>1117.0666532827099</v>
      </c>
      <c r="B4085" s="3">
        <v>-0.18707995598732499</v>
      </c>
      <c r="C4085" s="3">
        <v>3.3840934764105398E-3</v>
      </c>
      <c r="D4085" s="4">
        <v>1.0597096839790701E-2</v>
      </c>
      <c r="E4085" s="3" t="s">
        <v>8445</v>
      </c>
      <c r="F4085" s="3" t="s">
        <v>8446</v>
      </c>
      <c r="G4085" s="3">
        <v>13498</v>
      </c>
      <c r="H4085" s="7" t="str">
        <f>HYPERLINK("http://www.ensembl.org/Mus_musculus/Gene/Summary?db=core;g=ENSMUSG00000004263","ENSMUSG00000004263")</f>
        <v>ENSMUSG00000004263</v>
      </c>
      <c r="I4085" s="7" t="str">
        <f>HYPERLINK("http://www.informatics.jax.org/marker/MGI:104725","MGI:104725")</f>
        <v>MGI:104725</v>
      </c>
      <c r="J4085" s="4" t="s">
        <v>12</v>
      </c>
    </row>
    <row r="4086" spans="1:10" x14ac:dyDescent="0.25">
      <c r="A4086" s="2">
        <v>660.78792306790899</v>
      </c>
      <c r="B4086" s="3">
        <v>-0.187222465027161</v>
      </c>
      <c r="C4086" s="3">
        <v>2.0344605149674299E-3</v>
      </c>
      <c r="D4086" s="4">
        <v>6.7228438335229998E-3</v>
      </c>
      <c r="E4086" s="3" t="s">
        <v>8205</v>
      </c>
      <c r="F4086" s="3" t="s">
        <v>8206</v>
      </c>
      <c r="G4086" s="3">
        <v>26429</v>
      </c>
      <c r="H4086" s="7" t="str">
        <f>HYPERLINK("http://www.ensembl.org/Mus_musculus/Gene/Summary?db=core;g=ENSMUSG00000029012","ENSMUSG00000029012")</f>
        <v>ENSMUSG00000029012</v>
      </c>
      <c r="I4086" s="7" t="str">
        <f>HYPERLINK("http://www.informatics.jax.org/marker/MGI:1347044","MGI:1347044")</f>
        <v>MGI:1347044</v>
      </c>
      <c r="J4086" s="4" t="s">
        <v>12</v>
      </c>
    </row>
    <row r="4087" spans="1:10" x14ac:dyDescent="0.25">
      <c r="A4087" s="2">
        <v>1759.15274169945</v>
      </c>
      <c r="B4087" s="3">
        <v>-0.18724248822383799</v>
      </c>
      <c r="C4087" s="3">
        <v>3.5251566566216099E-4</v>
      </c>
      <c r="D4087" s="4">
        <v>1.3392949774218999E-3</v>
      </c>
      <c r="E4087" s="3" t="s">
        <v>9859</v>
      </c>
      <c r="F4087" s="3" t="s">
        <v>9860</v>
      </c>
      <c r="G4087" s="3">
        <v>240028</v>
      </c>
      <c r="H4087" s="7" t="str">
        <f>HYPERLINK("http://www.ensembl.org/Mus_musculus/Gene/Summary?db=core;g=ENSMUSG00000023845","ENSMUSG00000023845")</f>
        <v>ENSMUSG00000023845</v>
      </c>
      <c r="I4087" s="7" t="str">
        <f>HYPERLINK("http://www.informatics.jax.org/marker/MGI:2387123","MGI:2387123")</f>
        <v>MGI:2387123</v>
      </c>
      <c r="J4087" s="4" t="s">
        <v>12</v>
      </c>
    </row>
    <row r="4088" spans="1:10" x14ac:dyDescent="0.25">
      <c r="A4088" s="2">
        <v>1132.04702773554</v>
      </c>
      <c r="B4088" s="3">
        <v>-0.187432608161266</v>
      </c>
      <c r="C4088" s="3">
        <v>1.8650645667407199E-2</v>
      </c>
      <c r="D4088" s="4">
        <v>4.8581664566003602E-2</v>
      </c>
      <c r="E4088" s="3" t="s">
        <v>12273</v>
      </c>
      <c r="F4088" s="3" t="s">
        <v>12274</v>
      </c>
      <c r="G4088" s="3">
        <v>219189</v>
      </c>
      <c r="H4088" s="7" t="str">
        <f>HYPERLINK("http://www.ensembl.org/Mus_musculus/Gene/Summary?db=core;g=ENSMUSG00000058997","ENSMUSG00000058997")</f>
        <v>ENSMUSG00000058997</v>
      </c>
      <c r="I4088" s="7" t="str">
        <f>HYPERLINK("http://www.informatics.jax.org/marker/MGI:1919008","MGI:1919008")</f>
        <v>MGI:1919008</v>
      </c>
      <c r="J4088" s="4" t="s">
        <v>12</v>
      </c>
    </row>
    <row r="4089" spans="1:10" x14ac:dyDescent="0.25">
      <c r="A4089" s="2">
        <v>946.04459502804798</v>
      </c>
      <c r="B4089" s="3">
        <v>-0.18747756685572101</v>
      </c>
      <c r="C4089" s="3">
        <v>7.0549330863155398E-4</v>
      </c>
      <c r="D4089" s="4">
        <v>2.54808076690648E-3</v>
      </c>
      <c r="E4089" s="3" t="s">
        <v>10595</v>
      </c>
      <c r="F4089" s="3" t="s">
        <v>10596</v>
      </c>
      <c r="G4089" s="3">
        <v>94315</v>
      </c>
      <c r="H4089" s="7" t="str">
        <f>HYPERLINK("http://www.ensembl.org/Mus_musculus/Gene/Summary?db=core;g=ENSMUSG00000004895","ENSMUSG00000004895")</f>
        <v>ENSMUSG00000004895</v>
      </c>
      <c r="I4089" s="7" t="str">
        <f>HYPERLINK("http://www.informatics.jax.org/marker/MGI:2137738","MGI:2137738")</f>
        <v>MGI:2137738</v>
      </c>
      <c r="J4089" s="4" t="s">
        <v>12</v>
      </c>
    </row>
    <row r="4090" spans="1:10" x14ac:dyDescent="0.25">
      <c r="A4090" s="2">
        <v>428.79634768484698</v>
      </c>
      <c r="B4090" s="3">
        <v>-0.187669837170341</v>
      </c>
      <c r="C4090" s="3">
        <v>7.1811464413122899E-3</v>
      </c>
      <c r="D4090" s="4">
        <v>2.08900868145118E-2</v>
      </c>
      <c r="E4090" s="3" t="s">
        <v>11477</v>
      </c>
      <c r="F4090" s="3" t="s">
        <v>11478</v>
      </c>
      <c r="G4090" s="3">
        <v>235469</v>
      </c>
      <c r="H4090" s="7" t="str">
        <f>HYPERLINK("http://www.ensembl.org/Mus_musculus/Gene/Summary?db=core;g=ENSMUSG00000038535","ENSMUSG00000038535")</f>
        <v>ENSMUSG00000038535</v>
      </c>
      <c r="I4090" s="7" t="str">
        <f>HYPERLINK("http://www.informatics.jax.org/marker/MGI:2384583","MGI:2384583")</f>
        <v>MGI:2384583</v>
      </c>
      <c r="J4090" s="4" t="s">
        <v>12</v>
      </c>
    </row>
    <row r="4091" spans="1:10" x14ac:dyDescent="0.25">
      <c r="A4091" s="2">
        <v>271.152444752924</v>
      </c>
      <c r="B4091" s="3">
        <v>-0.188131694155421</v>
      </c>
      <c r="C4091" s="3">
        <v>6.0519692480447099E-2</v>
      </c>
      <c r="D4091" s="4">
        <v>0.13395329067963899</v>
      </c>
      <c r="E4091" s="3" t="s">
        <v>12601</v>
      </c>
      <c r="F4091" s="3" t="s">
        <v>12602</v>
      </c>
      <c r="G4091" s="3">
        <v>67836</v>
      </c>
      <c r="H4091" s="7" t="str">
        <f>HYPERLINK("http://www.ensembl.org/Mus_musculus/Gene/Summary?db=core;g=ENSMUSG00000005150","ENSMUSG00000005150")</f>
        <v>ENSMUSG00000005150</v>
      </c>
      <c r="I4091" s="7" t="str">
        <f>HYPERLINK("http://www.informatics.jax.org/marker/MGI:1915086","MGI:1915086")</f>
        <v>MGI:1915086</v>
      </c>
      <c r="J4091" s="4" t="s">
        <v>12</v>
      </c>
    </row>
    <row r="4092" spans="1:10" x14ac:dyDescent="0.25">
      <c r="A4092" s="2">
        <v>209.96542269490399</v>
      </c>
      <c r="B4092" s="3">
        <v>-0.18823403391027099</v>
      </c>
      <c r="C4092" s="3">
        <v>6.3547683737680202E-2</v>
      </c>
      <c r="D4092" s="4">
        <v>0.13945292427684799</v>
      </c>
      <c r="E4092" s="3" t="s">
        <v>11341</v>
      </c>
      <c r="F4092" s="3" t="s">
        <v>11342</v>
      </c>
      <c r="G4092" s="3">
        <v>68563</v>
      </c>
      <c r="H4092" s="7" t="str">
        <f>HYPERLINK("http://www.ensembl.org/Mus_musculus/Gene/Summary?db=core;g=ENSMUSG00000042737","ENSMUSG00000042737")</f>
        <v>ENSMUSG00000042737</v>
      </c>
      <c r="I4092" s="7" t="str">
        <f>HYPERLINK("http://www.informatics.jax.org/marker/MGI:1915813","MGI:1915813")</f>
        <v>MGI:1915813</v>
      </c>
      <c r="J4092" s="4" t="s">
        <v>12</v>
      </c>
    </row>
    <row r="4093" spans="1:10" x14ac:dyDescent="0.25">
      <c r="A4093" s="2">
        <v>1697.79757479822</v>
      </c>
      <c r="B4093" s="3">
        <v>-0.18841417652266601</v>
      </c>
      <c r="C4093" s="3">
        <v>1.6351108507731301E-3</v>
      </c>
      <c r="D4093" s="4">
        <v>5.5193884527461601E-3</v>
      </c>
      <c r="E4093" s="3" t="s">
        <v>7444</v>
      </c>
      <c r="F4093" s="3" t="s">
        <v>7445</v>
      </c>
      <c r="G4093" s="3">
        <v>67187</v>
      </c>
      <c r="H4093" s="7" t="str">
        <f>HYPERLINK("http://www.ensembl.org/Mus_musculus/Gene/Summary?db=core;g=ENSMUSG00000026974","ENSMUSG00000026974")</f>
        <v>ENSMUSG00000026974</v>
      </c>
      <c r="I4093" s="7" t="str">
        <f>HYPERLINK("http://www.informatics.jax.org/marker/MGI:1914437","MGI:1914437")</f>
        <v>MGI:1914437</v>
      </c>
      <c r="J4093" s="4" t="s">
        <v>12</v>
      </c>
    </row>
    <row r="4094" spans="1:10" x14ac:dyDescent="0.25">
      <c r="A4094" s="2">
        <v>1166.03701144553</v>
      </c>
      <c r="B4094" s="3">
        <v>-0.18843021559282699</v>
      </c>
      <c r="C4094" s="3">
        <v>4.5635678306673996E-3</v>
      </c>
      <c r="D4094" s="4">
        <v>1.3845683987666601E-2</v>
      </c>
      <c r="E4094" s="3" t="s">
        <v>6193</v>
      </c>
      <c r="F4094" s="3" t="s">
        <v>6194</v>
      </c>
      <c r="G4094" s="3">
        <v>69257</v>
      </c>
      <c r="H4094" s="7" t="str">
        <f>HYPERLINK("http://www.ensembl.org/Mus_musculus/Gene/Summary?db=core;g=ENSMUSG00000037174","ENSMUSG00000037174")</f>
        <v>ENSMUSG00000037174</v>
      </c>
      <c r="I4094" s="7" t="str">
        <f>HYPERLINK("http://www.informatics.jax.org/marker/MGI:1916507","MGI:1916507")</f>
        <v>MGI:1916507</v>
      </c>
      <c r="J4094" s="4" t="s">
        <v>12</v>
      </c>
    </row>
    <row r="4095" spans="1:10" x14ac:dyDescent="0.25">
      <c r="A4095" s="2">
        <v>486.44908879760197</v>
      </c>
      <c r="B4095" s="3">
        <v>-0.18849276290772099</v>
      </c>
      <c r="C4095" s="3">
        <v>5.2561591448053698E-3</v>
      </c>
      <c r="D4095" s="4">
        <v>1.5732222107748099E-2</v>
      </c>
      <c r="E4095" s="3" t="s">
        <v>11167</v>
      </c>
      <c r="F4095" s="3" t="s">
        <v>11168</v>
      </c>
      <c r="G4095" s="3">
        <v>12617</v>
      </c>
      <c r="H4095" s="7" t="str">
        <f>HYPERLINK("http://www.ensembl.org/Mus_musculus/Gene/Summary?db=core;g=ENSMUSG00000029253","ENSMUSG00000029253")</f>
        <v>ENSMUSG00000029253</v>
      </c>
      <c r="I4095" s="7" t="str">
        <f>HYPERLINK("http://www.informatics.jax.org/marker/MGI:99700","MGI:99700")</f>
        <v>MGI:99700</v>
      </c>
      <c r="J4095" s="4" t="s">
        <v>12</v>
      </c>
    </row>
    <row r="4096" spans="1:10" x14ac:dyDescent="0.25">
      <c r="A4096" s="2">
        <v>498.56253209207</v>
      </c>
      <c r="B4096" s="3">
        <v>-0.18861666302895</v>
      </c>
      <c r="C4096" s="3">
        <v>3.54729971291153E-3</v>
      </c>
      <c r="D4096" s="4">
        <v>1.10568731431183E-2</v>
      </c>
      <c r="E4096" s="3" t="s">
        <v>12745</v>
      </c>
      <c r="F4096" s="3" t="s">
        <v>12746</v>
      </c>
      <c r="G4096" s="3">
        <v>74570</v>
      </c>
      <c r="H4096" s="7" t="str">
        <f>HYPERLINK("http://www.ensembl.org/Mus_musculus/Gene/Summary?db=core;g=ENSMUSG00000029729","ENSMUSG00000029729")</f>
        <v>ENSMUSG00000029729</v>
      </c>
      <c r="I4096" s="7" t="str">
        <f>HYPERLINK("http://www.informatics.jax.org/marker/MGI:1921820","MGI:1921820")</f>
        <v>MGI:1921820</v>
      </c>
      <c r="J4096" s="4" t="s">
        <v>12</v>
      </c>
    </row>
    <row r="4097" spans="1:10" x14ac:dyDescent="0.25">
      <c r="A4097" s="2">
        <v>101.86322700345799</v>
      </c>
      <c r="B4097" s="3">
        <v>-0.18878764560614</v>
      </c>
      <c r="C4097" s="3">
        <v>0.120562620826873</v>
      </c>
      <c r="D4097" s="4">
        <v>0.23690067542530999</v>
      </c>
      <c r="E4097" s="3" t="s">
        <v>13243</v>
      </c>
      <c r="F4097" s="3" t="s">
        <v>13244</v>
      </c>
      <c r="G4097" s="3">
        <v>68146</v>
      </c>
      <c r="H4097" s="7" t="str">
        <f>HYPERLINK("http://www.ensembl.org/Mus_musculus/Gene/Summary?db=core;g=ENSMUSG00000022911","ENSMUSG00000022911")</f>
        <v>ENSMUSG00000022911</v>
      </c>
      <c r="I4097" s="7" t="str">
        <f>HYPERLINK("http://www.informatics.jax.org/marker/MGI:1915396","MGI:1915396")</f>
        <v>MGI:1915396</v>
      </c>
      <c r="J4097" s="4" t="s">
        <v>12</v>
      </c>
    </row>
    <row r="4098" spans="1:10" x14ac:dyDescent="0.25">
      <c r="A4098" s="2">
        <v>1755.28384721835</v>
      </c>
      <c r="B4098" s="3">
        <v>-0.18957282364396899</v>
      </c>
      <c r="C4098" s="3">
        <v>6.0140043314965599E-4</v>
      </c>
      <c r="D4098" s="4">
        <v>2.2062244150870499E-3</v>
      </c>
      <c r="E4098" s="3" t="s">
        <v>7754</v>
      </c>
      <c r="F4098" s="3" t="s">
        <v>7755</v>
      </c>
      <c r="G4098" s="3">
        <v>11764</v>
      </c>
      <c r="H4098" s="7" t="str">
        <f>HYPERLINK("http://www.ensembl.org/Mus_musculus/Gene/Summary?db=core;g=ENSMUSG00000009090","ENSMUSG00000009090")</f>
        <v>ENSMUSG00000009090</v>
      </c>
      <c r="I4098" s="7" t="str">
        <f>HYPERLINK("http://www.informatics.jax.org/marker/MGI:1096368","MGI:1096368")</f>
        <v>MGI:1096368</v>
      </c>
      <c r="J4098" s="4" t="s">
        <v>12</v>
      </c>
    </row>
    <row r="4099" spans="1:10" x14ac:dyDescent="0.25">
      <c r="A4099" s="2">
        <v>2276.9500164207102</v>
      </c>
      <c r="B4099" s="3">
        <v>-0.18971074627583601</v>
      </c>
      <c r="C4099" s="3">
        <v>2.1736769355931398E-2</v>
      </c>
      <c r="D4099" s="4">
        <v>5.5436974742772101E-2</v>
      </c>
      <c r="E4099" s="3" t="s">
        <v>8705</v>
      </c>
      <c r="F4099" s="3" t="s">
        <v>8706</v>
      </c>
      <c r="G4099" s="3">
        <v>15270</v>
      </c>
      <c r="H4099" s="7" t="str">
        <f>HYPERLINK("http://www.ensembl.org/Mus_musculus/Gene/Summary?db=core;g=ENSMUSG00000049932","ENSMUSG00000049932")</f>
        <v>ENSMUSG00000049932</v>
      </c>
      <c r="I4099" s="7" t="str">
        <f>HYPERLINK("http://www.informatics.jax.org/marker/MGI:102688","MGI:102688")</f>
        <v>MGI:102688</v>
      </c>
      <c r="J4099" s="4" t="s">
        <v>12</v>
      </c>
    </row>
    <row r="4100" spans="1:10" x14ac:dyDescent="0.25">
      <c r="A4100" s="2">
        <v>393.260980510769</v>
      </c>
      <c r="B4100" s="3">
        <v>-0.19007613300779</v>
      </c>
      <c r="C4100" s="3">
        <v>1.1926261048471699E-2</v>
      </c>
      <c r="D4100" s="4">
        <v>3.2818376507382799E-2</v>
      </c>
      <c r="E4100" s="3" t="s">
        <v>12303</v>
      </c>
      <c r="F4100" s="3" t="s">
        <v>12304</v>
      </c>
      <c r="G4100" s="3">
        <v>71986</v>
      </c>
      <c r="H4100" s="7" t="str">
        <f>HYPERLINK("http://www.ensembl.org/Mus_musculus/Gene/Summary?db=core;g=ENSMUSG00000045538","ENSMUSG00000045538")</f>
        <v>ENSMUSG00000045538</v>
      </c>
      <c r="I4100" s="7" t="str">
        <f>HYPERLINK("http://www.informatics.jax.org/marker/MGI:1919236","MGI:1919236")</f>
        <v>MGI:1919236</v>
      </c>
      <c r="J4100" s="4" t="s">
        <v>12</v>
      </c>
    </row>
    <row r="4101" spans="1:10" x14ac:dyDescent="0.25">
      <c r="A4101" s="2">
        <v>1306.2071220656201</v>
      </c>
      <c r="B4101" s="3">
        <v>-0.190763843096006</v>
      </c>
      <c r="C4101" s="5">
        <v>1.3182470514106901E-5</v>
      </c>
      <c r="D4101" s="6">
        <v>6.3354839362442497E-5</v>
      </c>
      <c r="E4101" s="3" t="s">
        <v>6812</v>
      </c>
      <c r="F4101" s="3" t="s">
        <v>6813</v>
      </c>
      <c r="G4101" s="3">
        <v>223723</v>
      </c>
      <c r="H4101" s="7" t="str">
        <f>HYPERLINK("http://www.ensembl.org/Mus_musculus/Gene/Summary?db=core;g=ENSMUSG00000016757","ENSMUSG00000016757")</f>
        <v>ENSMUSG00000016757</v>
      </c>
      <c r="I4101" s="7" t="str">
        <f>HYPERLINK("http://www.informatics.jax.org/marker/MGI:3039573","MGI:3039573")</f>
        <v>MGI:3039573</v>
      </c>
      <c r="J4101" s="4" t="s">
        <v>12</v>
      </c>
    </row>
    <row r="4102" spans="1:10" x14ac:dyDescent="0.25">
      <c r="A4102" s="2">
        <v>357.48065539669699</v>
      </c>
      <c r="B4102" s="3">
        <v>-0.190940543616678</v>
      </c>
      <c r="C4102" s="3">
        <v>2.6616016872505698E-3</v>
      </c>
      <c r="D4102" s="4">
        <v>8.5521316555256695E-3</v>
      </c>
      <c r="E4102" s="3" t="s">
        <v>9759</v>
      </c>
      <c r="F4102" s="3" t="s">
        <v>9760</v>
      </c>
      <c r="G4102" s="3">
        <v>12333</v>
      </c>
      <c r="H4102" s="7" t="str">
        <f>HYPERLINK("http://www.ensembl.org/Mus_musculus/Gene/Summary?db=core;g=ENSMUSG00000024942","ENSMUSG00000024942")</f>
        <v>ENSMUSG00000024942</v>
      </c>
      <c r="I4102" s="7" t="str">
        <f>HYPERLINK("http://www.informatics.jax.org/marker/MGI:88263","MGI:88263")</f>
        <v>MGI:88263</v>
      </c>
      <c r="J4102" s="4" t="s">
        <v>12</v>
      </c>
    </row>
    <row r="4103" spans="1:10" x14ac:dyDescent="0.25">
      <c r="A4103" s="2">
        <v>1300.6831278775401</v>
      </c>
      <c r="B4103" s="3">
        <v>-0.190980035979322</v>
      </c>
      <c r="C4103" s="3">
        <v>6.1192442836160304E-4</v>
      </c>
      <c r="D4103" s="4">
        <v>2.2412224089409598E-3</v>
      </c>
      <c r="E4103" s="3" t="s">
        <v>8513</v>
      </c>
      <c r="F4103" s="3" t="s">
        <v>8514</v>
      </c>
      <c r="G4103" s="3">
        <v>170707</v>
      </c>
      <c r="H4103" s="7" t="str">
        <f>HYPERLINK("http://www.ensembl.org/Mus_musculus/Gene/Summary?db=core;g=ENSMUSG00000043411","ENSMUSG00000043411")</f>
        <v>ENSMUSG00000043411</v>
      </c>
      <c r="I4103" s="7" t="str">
        <f>HYPERLINK("http://www.informatics.jax.org/marker/MGI:2158502","MGI:2158502")</f>
        <v>MGI:2158502</v>
      </c>
      <c r="J4103" s="4" t="s">
        <v>12</v>
      </c>
    </row>
    <row r="4104" spans="1:10" x14ac:dyDescent="0.25">
      <c r="A4104" s="2">
        <v>824.50113883265396</v>
      </c>
      <c r="B4104" s="3">
        <v>-0.191139001760815</v>
      </c>
      <c r="C4104" s="3">
        <v>3.9233592021184699E-4</v>
      </c>
      <c r="D4104" s="4">
        <v>1.4819320509556299E-3</v>
      </c>
      <c r="E4104" s="3" t="s">
        <v>10150</v>
      </c>
      <c r="F4104" s="3" t="s">
        <v>10151</v>
      </c>
      <c r="G4104" s="3">
        <v>78689</v>
      </c>
      <c r="H4104" s="7" t="str">
        <f>HYPERLINK("http://www.ensembl.org/Mus_musculus/Gene/Summary?db=core;g=ENSMUSG00000021555","ENSMUSG00000021555")</f>
        <v>ENSMUSG00000021555</v>
      </c>
      <c r="I4104" s="7" t="str">
        <f>HYPERLINK("http://www.informatics.jax.org/marker/MGI:1925939","MGI:1925939")</f>
        <v>MGI:1925939</v>
      </c>
      <c r="J4104" s="4" t="s">
        <v>12</v>
      </c>
    </row>
    <row r="4105" spans="1:10" x14ac:dyDescent="0.25">
      <c r="A4105" s="2">
        <v>318.23755564230299</v>
      </c>
      <c r="B4105" s="3">
        <v>-0.19126843024902601</v>
      </c>
      <c r="C4105" s="3">
        <v>3.3174371587193698E-2</v>
      </c>
      <c r="D4105" s="4">
        <v>8.0313884454915704E-2</v>
      </c>
      <c r="E4105" s="3" t="s">
        <v>13149</v>
      </c>
      <c r="F4105" s="3" t="s">
        <v>13150</v>
      </c>
      <c r="G4105" s="3">
        <v>17279</v>
      </c>
      <c r="H4105" s="7" t="str">
        <f>HYPERLINK("http://www.ensembl.org/Mus_musculus/Gene/Summary?db=core;g=ENSMUSG00000035683","ENSMUSG00000035683")</f>
        <v>ENSMUSG00000035683</v>
      </c>
      <c r="I4105" s="7" t="str">
        <f>HYPERLINK("http://www.informatics.jax.org/marker/MGI:106924","MGI:106924")</f>
        <v>MGI:106924</v>
      </c>
      <c r="J4105" s="4" t="s">
        <v>12</v>
      </c>
    </row>
    <row r="4106" spans="1:10" x14ac:dyDescent="0.25">
      <c r="A4106" s="2">
        <v>845.723640678945</v>
      </c>
      <c r="B4106" s="3">
        <v>-0.191298690963943</v>
      </c>
      <c r="C4106" s="3">
        <v>8.46900336746781E-4</v>
      </c>
      <c r="D4106" s="4">
        <v>3.0163686998651699E-3</v>
      </c>
      <c r="E4106" s="3" t="s">
        <v>11593</v>
      </c>
      <c r="F4106" s="3" t="s">
        <v>11594</v>
      </c>
      <c r="G4106" s="3">
        <v>320727</v>
      </c>
      <c r="H4106" s="7" t="str">
        <f>HYPERLINK("http://www.ensembl.org/Mus_musculus/Gene/Summary?db=core;g=ENSMUSG00000040029","ENSMUSG00000040029")</f>
        <v>ENSMUSG00000040029</v>
      </c>
      <c r="I4106" s="7" t="str">
        <f>HYPERLINK("http://www.informatics.jax.org/marker/MGI:2444611","MGI:2444611")</f>
        <v>MGI:2444611</v>
      </c>
      <c r="J4106" s="4" t="s">
        <v>12</v>
      </c>
    </row>
    <row r="4107" spans="1:10" x14ac:dyDescent="0.25">
      <c r="A4107" s="2">
        <v>69.374287305506499</v>
      </c>
      <c r="B4107" s="3">
        <v>-0.19145227059568101</v>
      </c>
      <c r="C4107" s="3">
        <v>0.17865870513121199</v>
      </c>
      <c r="D4107" s="4">
        <v>0.32234975755037498</v>
      </c>
      <c r="E4107" s="3" t="s">
        <v>12418</v>
      </c>
      <c r="F4107" s="3" t="s">
        <v>12419</v>
      </c>
      <c r="G4107" s="3" t="s">
        <v>83</v>
      </c>
      <c r="H4107" s="7" t="str">
        <f>HYPERLINK("http://www.ensembl.org/Mus_musculus/Gene/Summary?db=core;g=ENSMUSG00000097412","ENSMUSG00000097412")</f>
        <v>ENSMUSG00000097412</v>
      </c>
      <c r="I4107" s="7" t="str">
        <f>HYPERLINK("http://www.informatics.jax.org/marker/MGI:1913513","MGI:1913513")</f>
        <v>MGI:1913513</v>
      </c>
      <c r="J4107" s="4" t="s">
        <v>320</v>
      </c>
    </row>
    <row r="4108" spans="1:10" x14ac:dyDescent="0.25">
      <c r="A4108" s="2">
        <v>3167.53995243806</v>
      </c>
      <c r="B4108" s="3">
        <v>-0.19161019805207499</v>
      </c>
      <c r="C4108" s="3">
        <v>3.0217228069481198E-4</v>
      </c>
      <c r="D4108" s="4">
        <v>1.1613432761836699E-3</v>
      </c>
      <c r="E4108" s="3" t="s">
        <v>9429</v>
      </c>
      <c r="F4108" s="3" t="s">
        <v>9430</v>
      </c>
      <c r="G4108" s="3">
        <v>58521</v>
      </c>
      <c r="H4108" s="7" t="str">
        <f>HYPERLINK("http://www.ensembl.org/Mus_musculus/Gene/Summary?db=core;g=ENSMUSG00000091337","ENSMUSG00000091337")</f>
        <v>ENSMUSG00000091337</v>
      </c>
      <c r="I4108" s="7" t="str">
        <f>HYPERLINK("http://www.informatics.jax.org/marker/MGI:1889651","MGI:1889651")</f>
        <v>MGI:1889651</v>
      </c>
      <c r="J4108" s="4" t="s">
        <v>12</v>
      </c>
    </row>
    <row r="4109" spans="1:10" x14ac:dyDescent="0.25">
      <c r="A4109" s="2">
        <v>3103.7784108544602</v>
      </c>
      <c r="B4109" s="3">
        <v>-0.19181203747591599</v>
      </c>
      <c r="C4109" s="5">
        <v>1.6379044639863299E-7</v>
      </c>
      <c r="D4109" s="6">
        <v>1.0037259198436699E-6</v>
      </c>
      <c r="E4109" s="3" t="s">
        <v>7092</v>
      </c>
      <c r="F4109" s="3" t="s">
        <v>7093</v>
      </c>
      <c r="G4109" s="3">
        <v>58231</v>
      </c>
      <c r="H4109" s="7" t="str">
        <f>HYPERLINK("http://www.ensembl.org/Mus_musculus/Gene/Summary?db=core;g=ENSMUSG00000018209","ENSMUSG00000018209")</f>
        <v>ENSMUSG00000018209</v>
      </c>
      <c r="I4109" s="7" t="str">
        <f>HYPERLINK("http://www.informatics.jax.org/marker/MGI:1929004","MGI:1929004")</f>
        <v>MGI:1929004</v>
      </c>
      <c r="J4109" s="4" t="s">
        <v>12</v>
      </c>
    </row>
    <row r="4110" spans="1:10" x14ac:dyDescent="0.25">
      <c r="A4110" s="2">
        <v>1411.8026544550501</v>
      </c>
      <c r="B4110" s="3">
        <v>-0.19215356602405301</v>
      </c>
      <c r="C4110" s="3">
        <v>2.8790616557750798E-2</v>
      </c>
      <c r="D4110" s="4">
        <v>7.1031404733316303E-2</v>
      </c>
      <c r="E4110" s="3" t="s">
        <v>9889</v>
      </c>
      <c r="F4110" s="3" t="s">
        <v>9890</v>
      </c>
      <c r="G4110" s="3">
        <v>12453</v>
      </c>
      <c r="H4110" s="7" t="str">
        <f>HYPERLINK("http://www.ensembl.org/Mus_musculus/Gene/Summary?db=core;g=ENSMUSG00000063015","ENSMUSG00000063015")</f>
        <v>ENSMUSG00000063015</v>
      </c>
      <c r="I4110" s="7" t="str">
        <f>HYPERLINK("http://www.informatics.jax.org/marker/MGI:1341077","MGI:1341077")</f>
        <v>MGI:1341077</v>
      </c>
      <c r="J4110" s="4" t="s">
        <v>12</v>
      </c>
    </row>
    <row r="4111" spans="1:10" x14ac:dyDescent="0.25">
      <c r="A4111" s="2">
        <v>204.20034181625601</v>
      </c>
      <c r="B4111" s="3">
        <v>-0.192172794424119</v>
      </c>
      <c r="C4111" s="3">
        <v>3.6830824634661301E-2</v>
      </c>
      <c r="D4111" s="4">
        <v>8.8006459255872999E-2</v>
      </c>
      <c r="E4111" s="3" t="s">
        <v>12637</v>
      </c>
      <c r="F4111" s="3" t="s">
        <v>12638</v>
      </c>
      <c r="G4111" s="3">
        <v>71843</v>
      </c>
      <c r="H4111" s="7" t="str">
        <f>HYPERLINK("http://www.ensembl.org/Mus_musculus/Gene/Summary?db=core;g=ENSMUSG00000034194","ENSMUSG00000034194")</f>
        <v>ENSMUSG00000034194</v>
      </c>
      <c r="I4111" s="7" t="str">
        <f>HYPERLINK("http://www.informatics.jax.org/marker/MGI:1919093","MGI:1919093")</f>
        <v>MGI:1919093</v>
      </c>
      <c r="J4111" s="4" t="s">
        <v>12</v>
      </c>
    </row>
    <row r="4112" spans="1:10" x14ac:dyDescent="0.25">
      <c r="A4112" s="2">
        <v>549.52155689217795</v>
      </c>
      <c r="B4112" s="3">
        <v>-0.193087562825911</v>
      </c>
      <c r="C4112" s="3">
        <v>1.5399332076291E-3</v>
      </c>
      <c r="D4112" s="4">
        <v>5.2282568384948401E-3</v>
      </c>
      <c r="E4112" s="3" t="s">
        <v>8279</v>
      </c>
      <c r="F4112" s="3" t="s">
        <v>8280</v>
      </c>
      <c r="G4112" s="3">
        <v>111173</v>
      </c>
      <c r="H4112" s="7" t="str">
        <f>HYPERLINK("http://www.ensembl.org/Mus_musculus/Gene/Summary?db=core;g=ENSMUSG00000030172","ENSMUSG00000030172")</f>
        <v>ENSMUSG00000030172</v>
      </c>
      <c r="I4112" s="7" t="str">
        <f>HYPERLINK("http://www.informatics.jax.org/marker/MGI:2151013","MGI:2151013")</f>
        <v>MGI:2151013</v>
      </c>
      <c r="J4112" s="4" t="s">
        <v>12</v>
      </c>
    </row>
    <row r="4113" spans="1:10" x14ac:dyDescent="0.25">
      <c r="A4113" s="2">
        <v>1123.6489669887501</v>
      </c>
      <c r="B4113" s="3">
        <v>-0.19319200817676199</v>
      </c>
      <c r="C4113" s="3">
        <v>9.2282714335510697E-3</v>
      </c>
      <c r="D4113" s="4">
        <v>2.6099510688465E-2</v>
      </c>
      <c r="E4113" s="3" t="s">
        <v>12537</v>
      </c>
      <c r="F4113" s="3" t="s">
        <v>12538</v>
      </c>
      <c r="G4113" s="3">
        <v>54124</v>
      </c>
      <c r="H4113" s="7" t="str">
        <f>HYPERLINK("http://www.ensembl.org/Mus_musculus/Gene/Summary?db=core;g=ENSMUSG00000028044","ENSMUSG00000028044")</f>
        <v>ENSMUSG00000028044</v>
      </c>
      <c r="I4113" s="7" t="str">
        <f>HYPERLINK("http://www.informatics.jax.org/marker/MGI:1889208","MGI:1889208")</f>
        <v>MGI:1889208</v>
      </c>
      <c r="J4113" s="4" t="s">
        <v>12</v>
      </c>
    </row>
    <row r="4114" spans="1:10" x14ac:dyDescent="0.25">
      <c r="A4114" s="2">
        <v>302.52552428732901</v>
      </c>
      <c r="B4114" s="3">
        <v>-0.193197913091949</v>
      </c>
      <c r="C4114" s="3">
        <v>1.1992701478113699E-2</v>
      </c>
      <c r="D4114" s="4">
        <v>3.2986263875433498E-2</v>
      </c>
      <c r="E4114" s="3" t="s">
        <v>10956</v>
      </c>
      <c r="F4114" s="3" t="s">
        <v>10957</v>
      </c>
      <c r="G4114" s="3">
        <v>66406</v>
      </c>
      <c r="H4114" s="7" t="str">
        <f>HYPERLINK("http://www.ensembl.org/Mus_musculus/Gene/Summary?db=core;g=ENSMUSG00000024790","ENSMUSG00000024790")</f>
        <v>ENSMUSG00000024790</v>
      </c>
      <c r="I4114" s="7" t="str">
        <f>HYPERLINK("http://www.informatics.jax.org/marker/MGI:1913656","MGI:1913656")</f>
        <v>MGI:1913656</v>
      </c>
      <c r="J4114" s="4" t="s">
        <v>12</v>
      </c>
    </row>
    <row r="4115" spans="1:10" x14ac:dyDescent="0.25">
      <c r="A4115" s="2">
        <v>1900.2910633947199</v>
      </c>
      <c r="B4115" s="3">
        <v>-0.193521907193378</v>
      </c>
      <c r="C4115" s="3">
        <v>2.4116944473266701E-2</v>
      </c>
      <c r="D4115" s="4">
        <v>6.0775900584248699E-2</v>
      </c>
      <c r="E4115" s="3" t="s">
        <v>7644</v>
      </c>
      <c r="F4115" s="3" t="s">
        <v>7645</v>
      </c>
      <c r="G4115" s="3">
        <v>320024</v>
      </c>
      <c r="H4115" s="7" t="str">
        <f>HYPERLINK("http://www.ensembl.org/Mus_musculus/Gene/Summary?db=core;g=ENSMUSG00000027698","ENSMUSG00000027698")</f>
        <v>ENSMUSG00000027698</v>
      </c>
      <c r="I4115" s="7" t="str">
        <f>HYPERLINK("http://www.informatics.jax.org/marker/MGI:2443191","MGI:2443191")</f>
        <v>MGI:2443191</v>
      </c>
      <c r="J4115" s="4" t="s">
        <v>12</v>
      </c>
    </row>
    <row r="4116" spans="1:10" x14ac:dyDescent="0.25">
      <c r="A4116" s="2">
        <v>183.165920880817</v>
      </c>
      <c r="B4116" s="3">
        <v>-0.19448514181512599</v>
      </c>
      <c r="C4116" s="3">
        <v>5.4761197661645097E-2</v>
      </c>
      <c r="D4116" s="4">
        <v>0.123182279361081</v>
      </c>
      <c r="E4116" s="3" t="s">
        <v>10472</v>
      </c>
      <c r="F4116" s="3" t="s">
        <v>10473</v>
      </c>
      <c r="G4116" s="3">
        <v>20353</v>
      </c>
      <c r="H4116" s="7" t="str">
        <f>HYPERLINK("http://www.ensembl.org/Mus_musculus/Gene/Summary?db=core;g=ENSMUSG00000026121","ENSMUSG00000026121")</f>
        <v>ENSMUSG00000026121</v>
      </c>
      <c r="I4116" s="7" t="str">
        <f>HYPERLINK("http://www.informatics.jax.org/marker/MGI:109252","MGI:109252")</f>
        <v>MGI:109252</v>
      </c>
      <c r="J4116" s="4" t="s">
        <v>12</v>
      </c>
    </row>
    <row r="4117" spans="1:10" x14ac:dyDescent="0.25">
      <c r="A4117" s="2">
        <v>8623.6819471638992</v>
      </c>
      <c r="B4117" s="3">
        <v>-0.19449215120939201</v>
      </c>
      <c r="C4117" s="5">
        <v>3.5245404258096401E-6</v>
      </c>
      <c r="D4117" s="6">
        <v>1.8347543347723699E-5</v>
      </c>
      <c r="E4117" s="3" t="s">
        <v>5971</v>
      </c>
      <c r="F4117" s="3" t="s">
        <v>5972</v>
      </c>
      <c r="G4117" s="3">
        <v>72503</v>
      </c>
      <c r="H4117" s="7" t="str">
        <f>HYPERLINK("http://www.ensembl.org/Mus_musculus/Gene/Summary?db=core;g=ENSMUSG00000010277","ENSMUSG00000010277")</f>
        <v>ENSMUSG00000010277</v>
      </c>
      <c r="I4117" s="7" t="str">
        <f>HYPERLINK("http://www.informatics.jax.org/marker/MGI:1919753","MGI:1919753")</f>
        <v>MGI:1919753</v>
      </c>
      <c r="J4117" s="4" t="s">
        <v>12</v>
      </c>
    </row>
    <row r="4118" spans="1:10" x14ac:dyDescent="0.25">
      <c r="A4118" s="2">
        <v>3605.2980413789501</v>
      </c>
      <c r="B4118" s="3">
        <v>-0.19453336522144599</v>
      </c>
      <c r="C4118" s="5">
        <v>7.3380812199700594E-5</v>
      </c>
      <c r="D4118" s="4">
        <v>3.1283398885135501E-4</v>
      </c>
      <c r="E4118" s="3" t="s">
        <v>8853</v>
      </c>
      <c r="F4118" s="3" t="s">
        <v>8854</v>
      </c>
      <c r="G4118" s="3">
        <v>20660</v>
      </c>
      <c r="H4118" s="7" t="str">
        <f>HYPERLINK("http://www.ensembl.org/Mus_musculus/Gene/Summary?db=core;g=ENSMUSG00000049313","ENSMUSG00000049313")</f>
        <v>ENSMUSG00000049313</v>
      </c>
      <c r="I4118" s="7" t="str">
        <f>HYPERLINK("http://www.informatics.jax.org/marker/MGI:1202296","MGI:1202296")</f>
        <v>MGI:1202296</v>
      </c>
      <c r="J4118" s="4" t="s">
        <v>12</v>
      </c>
    </row>
    <row r="4119" spans="1:10" x14ac:dyDescent="0.25">
      <c r="A4119" s="2">
        <v>3621.7578405890499</v>
      </c>
      <c r="B4119" s="3">
        <v>-0.19455239497575499</v>
      </c>
      <c r="C4119" s="3">
        <v>3.81988885374802E-2</v>
      </c>
      <c r="D4119" s="4">
        <v>9.0765937887298198E-2</v>
      </c>
      <c r="E4119" s="3" t="s">
        <v>10370</v>
      </c>
      <c r="F4119" s="3" t="s">
        <v>10371</v>
      </c>
      <c r="G4119" s="3">
        <v>16319</v>
      </c>
      <c r="H4119" s="7" t="str">
        <f>HYPERLINK("http://www.ensembl.org/Mus_musculus/Gene/Summary?db=core;g=ENSMUSG00000024660","ENSMUSG00000024660")</f>
        <v>ENSMUSG00000024660</v>
      </c>
      <c r="I4119" s="7" t="str">
        <f>HYPERLINK("http://www.informatics.jax.org/marker/MGI:1313288","MGI:1313288")</f>
        <v>MGI:1313288</v>
      </c>
      <c r="J4119" s="4" t="s">
        <v>12</v>
      </c>
    </row>
    <row r="4120" spans="1:10" x14ac:dyDescent="0.25">
      <c r="A4120" s="2">
        <v>496.98568409509699</v>
      </c>
      <c r="B4120" s="3">
        <v>-0.194789291980795</v>
      </c>
      <c r="C4120" s="3">
        <v>3.5087009804017099E-3</v>
      </c>
      <c r="D4120" s="4">
        <v>1.09496704396954E-2</v>
      </c>
      <c r="E4120" s="3" t="s">
        <v>10603</v>
      </c>
      <c r="F4120" s="3" t="s">
        <v>10604</v>
      </c>
      <c r="G4120" s="3">
        <v>24030</v>
      </c>
      <c r="H4120" s="7" t="str">
        <f>HYPERLINK("http://www.ensembl.org/Mus_musculus/Gene/Summary?db=core;g=ENSMUSG00000045948","ENSMUSG00000045948")</f>
        <v>ENSMUSG00000045948</v>
      </c>
      <c r="I4120" s="7" t="str">
        <f>HYPERLINK("http://www.informatics.jax.org/marker/MGI:1346333","MGI:1346333")</f>
        <v>MGI:1346333</v>
      </c>
      <c r="J4120" s="4" t="s">
        <v>12</v>
      </c>
    </row>
    <row r="4121" spans="1:10" x14ac:dyDescent="0.25">
      <c r="A4121" s="2">
        <v>137.59535290461301</v>
      </c>
      <c r="B4121" s="3">
        <v>-0.19532433843959501</v>
      </c>
      <c r="C4121" s="3">
        <v>9.8879702391450094E-2</v>
      </c>
      <c r="D4121" s="4">
        <v>0.201575232224181</v>
      </c>
      <c r="E4121" s="3" t="s">
        <v>9869</v>
      </c>
      <c r="F4121" s="3" t="s">
        <v>9870</v>
      </c>
      <c r="G4121" s="3">
        <v>72103</v>
      </c>
      <c r="H4121" s="7" t="str">
        <f>HYPERLINK("http://www.ensembl.org/Mus_musculus/Gene/Summary?db=core;g=ENSMUSG00000030051","ENSMUSG00000030051")</f>
        <v>ENSMUSG00000030051</v>
      </c>
      <c r="I4121" s="7" t="str">
        <f>HYPERLINK("http://www.informatics.jax.org/marker/MGI:1919353","MGI:1919353")</f>
        <v>MGI:1919353</v>
      </c>
      <c r="J4121" s="4" t="s">
        <v>12</v>
      </c>
    </row>
    <row r="4122" spans="1:10" x14ac:dyDescent="0.25">
      <c r="A4122" s="2">
        <v>531.94818208673098</v>
      </c>
      <c r="B4122" s="3">
        <v>-0.19550139771924599</v>
      </c>
      <c r="C4122" s="3">
        <v>2.9793659614052E-2</v>
      </c>
      <c r="D4122" s="4">
        <v>7.3139742250282705E-2</v>
      </c>
      <c r="E4122" s="3" t="s">
        <v>8753</v>
      </c>
      <c r="F4122" s="3" t="s">
        <v>8754</v>
      </c>
      <c r="G4122" s="3">
        <v>65103</v>
      </c>
      <c r="H4122" s="7" t="str">
        <f>HYPERLINK("http://www.ensembl.org/Mus_musculus/Gene/Summary?db=core;g=ENSMUSG00000026960","ENSMUSG00000026960")</f>
        <v>ENSMUSG00000026960</v>
      </c>
      <c r="I4122" s="7" t="str">
        <f>HYPERLINK("http://www.informatics.jax.org/marker/MGI:1929507","MGI:1929507")</f>
        <v>MGI:1929507</v>
      </c>
      <c r="J4122" s="4" t="s">
        <v>12</v>
      </c>
    </row>
    <row r="4123" spans="1:10" x14ac:dyDescent="0.25">
      <c r="A4123" s="2">
        <v>507.53743734193301</v>
      </c>
      <c r="B4123" s="3">
        <v>-0.19572307815998499</v>
      </c>
      <c r="C4123" s="3">
        <v>1.7503219667387201E-2</v>
      </c>
      <c r="D4123" s="4">
        <v>4.5984745342097601E-2</v>
      </c>
      <c r="E4123" s="3" t="s">
        <v>13611</v>
      </c>
      <c r="F4123" s="3" t="s">
        <v>13612</v>
      </c>
      <c r="G4123" s="3">
        <v>71723</v>
      </c>
      <c r="H4123" s="7" t="str">
        <f>HYPERLINK("http://www.ensembl.org/Mus_musculus/Gene/Summary?db=core;g=ENSMUSG00000006019","ENSMUSG00000006019")</f>
        <v>ENSMUSG00000006019</v>
      </c>
      <c r="I4123" s="7" t="str">
        <f>HYPERLINK("http://www.informatics.jax.org/marker/MGI:1918973","MGI:1918973")</f>
        <v>MGI:1918973</v>
      </c>
      <c r="J4123" s="4" t="s">
        <v>12</v>
      </c>
    </row>
    <row r="4124" spans="1:10" x14ac:dyDescent="0.25">
      <c r="A4124" s="2">
        <v>3239.5110771704199</v>
      </c>
      <c r="B4124" s="3">
        <v>-0.19586486714781101</v>
      </c>
      <c r="C4124" s="5">
        <v>9.7348826726112296E-5</v>
      </c>
      <c r="D4124" s="4">
        <v>4.0795179744387101E-4</v>
      </c>
      <c r="E4124" s="3" t="s">
        <v>6882</v>
      </c>
      <c r="F4124" s="3" t="s">
        <v>6883</v>
      </c>
      <c r="G4124" s="3">
        <v>64099</v>
      </c>
      <c r="H4124" s="7" t="str">
        <f>HYPERLINK("http://www.ensembl.org/Mus_musculus/Gene/Summary?db=core;g=ENSMUSG00000022439","ENSMUSG00000022439")</f>
        <v>ENSMUSG00000022439</v>
      </c>
      <c r="I4124" s="7" t="str">
        <f>HYPERLINK("http://www.informatics.jax.org/marker/MGI:2158329","MGI:2158329")</f>
        <v>MGI:2158329</v>
      </c>
      <c r="J4124" s="4" t="s">
        <v>12</v>
      </c>
    </row>
    <row r="4125" spans="1:10" x14ac:dyDescent="0.25">
      <c r="A4125" s="2">
        <v>1203.74968149131</v>
      </c>
      <c r="B4125" s="3">
        <v>-0.19594846266947499</v>
      </c>
      <c r="C4125" s="3">
        <v>4.3223665532269497E-3</v>
      </c>
      <c r="D4125" s="4">
        <v>1.31998326504287E-2</v>
      </c>
      <c r="E4125" s="3" t="s">
        <v>9729</v>
      </c>
      <c r="F4125" s="3" t="s">
        <v>9730</v>
      </c>
      <c r="G4125" s="3">
        <v>18041</v>
      </c>
      <c r="H4125" s="7" t="str">
        <f>HYPERLINK("http://www.ensembl.org/Mus_musculus/Gene/Summary?db=core;g=ENSMUSG00000027618","ENSMUSG00000027618")</f>
        <v>ENSMUSG00000027618</v>
      </c>
      <c r="I4125" s="7" t="str">
        <f>HYPERLINK("http://www.informatics.jax.org/marker/MGI:1316706","MGI:1316706")</f>
        <v>MGI:1316706</v>
      </c>
      <c r="J4125" s="4" t="s">
        <v>12</v>
      </c>
    </row>
    <row r="4126" spans="1:10" x14ac:dyDescent="0.25">
      <c r="A4126" s="2">
        <v>368.78122688688097</v>
      </c>
      <c r="B4126" s="3">
        <v>-0.195964645172365</v>
      </c>
      <c r="C4126" s="3">
        <v>8.5787502430542603E-3</v>
      </c>
      <c r="D4126" s="4">
        <v>2.4463733872580801E-2</v>
      </c>
      <c r="E4126" s="3" t="s">
        <v>13278</v>
      </c>
      <c r="F4126" s="3" t="s">
        <v>13279</v>
      </c>
      <c r="G4126" s="3">
        <v>71382</v>
      </c>
      <c r="H4126" s="7" t="str">
        <f>HYPERLINK("http://www.ensembl.org/Mus_musculus/Gene/Summary?db=core;g=ENSMUSG00000005907","ENSMUSG00000005907")</f>
        <v>ENSMUSG00000005907</v>
      </c>
      <c r="I4126" s="7" t="str">
        <f>HYPERLINK("http://www.informatics.jax.org/marker/MGI:1918632","MGI:1918632")</f>
        <v>MGI:1918632</v>
      </c>
      <c r="J4126" s="4" t="s">
        <v>12</v>
      </c>
    </row>
    <row r="4127" spans="1:10" x14ac:dyDescent="0.25">
      <c r="A4127" s="2">
        <v>2082.4610778687802</v>
      </c>
      <c r="B4127" s="3">
        <v>-0.19611800975978999</v>
      </c>
      <c r="C4127" s="3">
        <v>1.20596988640073E-3</v>
      </c>
      <c r="D4127" s="4">
        <v>4.1792738504760098E-3</v>
      </c>
      <c r="E4127" s="3" t="s">
        <v>10030</v>
      </c>
      <c r="F4127" s="3" t="s">
        <v>10031</v>
      </c>
      <c r="G4127" s="3">
        <v>15289</v>
      </c>
      <c r="H4127" s="7" t="str">
        <f>HYPERLINK("http://www.ensembl.org/Mus_musculus/Gene/Summary?db=core;g=ENSMUSG00000066551","ENSMUSG00000066551")</f>
        <v>ENSMUSG00000066551</v>
      </c>
      <c r="I4127" s="7" t="str">
        <f>HYPERLINK("http://www.informatics.jax.org/marker/MGI:96113","MGI:96113")</f>
        <v>MGI:96113</v>
      </c>
      <c r="J4127" s="4" t="s">
        <v>12</v>
      </c>
    </row>
    <row r="4128" spans="1:10" x14ac:dyDescent="0.25">
      <c r="A4128" s="2">
        <v>1054.00740521633</v>
      </c>
      <c r="B4128" s="3">
        <v>-0.19624409944233001</v>
      </c>
      <c r="C4128" s="3">
        <v>1.8490079124005201E-3</v>
      </c>
      <c r="D4128" s="4">
        <v>6.1673076873168904E-3</v>
      </c>
      <c r="E4128" s="3" t="s">
        <v>9239</v>
      </c>
      <c r="F4128" s="3" t="s">
        <v>9240</v>
      </c>
      <c r="G4128" s="3">
        <v>27398</v>
      </c>
      <c r="H4128" s="7" t="str">
        <f>HYPERLINK("http://www.ensembl.org/Mus_musculus/Gene/Summary?db=core;g=ENSMUSG00000002767","ENSMUSG00000002767")</f>
        <v>ENSMUSG00000002767</v>
      </c>
      <c r="I4128" s="7" t="str">
        <f>HYPERLINK("http://www.informatics.jax.org/marker/MGI:1351622","MGI:1351622")</f>
        <v>MGI:1351622</v>
      </c>
      <c r="J4128" s="4" t="s">
        <v>12</v>
      </c>
    </row>
    <row r="4129" spans="1:10" x14ac:dyDescent="0.25">
      <c r="A4129" s="2">
        <v>671.21791090844704</v>
      </c>
      <c r="B4129" s="3">
        <v>-0.19627957064104801</v>
      </c>
      <c r="C4129" s="3">
        <v>8.2635566697592097E-4</v>
      </c>
      <c r="D4129" s="4">
        <v>2.9472274032556101E-3</v>
      </c>
      <c r="E4129" s="3" t="s">
        <v>4433</v>
      </c>
      <c r="F4129" s="3" t="s">
        <v>4434</v>
      </c>
      <c r="G4129" s="3">
        <v>21343</v>
      </c>
      <c r="H4129" s="7" t="str">
        <f>HYPERLINK("http://www.ensembl.org/Mus_musculus/Gene/Summary?db=core;g=ENSMUSG00000036980","ENSMUSG00000036980")</f>
        <v>ENSMUSG00000036980</v>
      </c>
      <c r="I4129" s="7" t="str">
        <f>HYPERLINK("http://www.informatics.jax.org/marker/MGI:109129","MGI:109129")</f>
        <v>MGI:109129</v>
      </c>
      <c r="J4129" s="4" t="s">
        <v>12</v>
      </c>
    </row>
    <row r="4130" spans="1:10" x14ac:dyDescent="0.25">
      <c r="A4130" s="2">
        <v>226.94569564445499</v>
      </c>
      <c r="B4130" s="3">
        <v>-0.19633202138599801</v>
      </c>
      <c r="C4130" s="3">
        <v>5.2695819396913202E-2</v>
      </c>
      <c r="D4130" s="4">
        <v>0.119227971261172</v>
      </c>
      <c r="E4130" s="3" t="s">
        <v>13865</v>
      </c>
      <c r="F4130" s="3" t="s">
        <v>13866</v>
      </c>
      <c r="G4130" s="3">
        <v>242620</v>
      </c>
      <c r="H4130" s="7" t="str">
        <f>HYPERLINK("http://www.ensembl.org/Mus_musculus/Gene/Summary?db=core;g=ENSMUSG00000047143","ENSMUSG00000047143")</f>
        <v>ENSMUSG00000047143</v>
      </c>
      <c r="I4130" s="7" t="str">
        <f>HYPERLINK("http://www.informatics.jax.org/marker/MGI:2653629","MGI:2653629")</f>
        <v>MGI:2653629</v>
      </c>
      <c r="J4130" s="4" t="s">
        <v>12</v>
      </c>
    </row>
    <row r="4131" spans="1:10" x14ac:dyDescent="0.25">
      <c r="A4131" s="2">
        <v>517.27575846828699</v>
      </c>
      <c r="B4131" s="3">
        <v>-0.19634761731254699</v>
      </c>
      <c r="C4131" s="3">
        <v>2.4561254843755299E-2</v>
      </c>
      <c r="D4131" s="4">
        <v>6.1750430339004E-2</v>
      </c>
      <c r="E4131" s="3" t="s">
        <v>12475</v>
      </c>
      <c r="F4131" s="3" t="s">
        <v>12476</v>
      </c>
      <c r="G4131" s="3">
        <v>672284</v>
      </c>
      <c r="H4131" s="7" t="str">
        <f>HYPERLINK("http://www.ensembl.org/Mus_musculus/Gene/Summary?db=core;g=ENSMUSG00000029112","ENSMUSG00000029112")</f>
        <v>ENSMUSG00000029112</v>
      </c>
      <c r="I4131" s="7" t="str">
        <f>HYPERLINK("http://www.informatics.jax.org/marker/MGI:109346","MGI:109346")</f>
        <v>MGI:109346</v>
      </c>
      <c r="J4131" s="4" t="s">
        <v>12</v>
      </c>
    </row>
    <row r="4132" spans="1:10" x14ac:dyDescent="0.25">
      <c r="A4132" s="2">
        <v>3194.9057067173399</v>
      </c>
      <c r="B4132" s="3">
        <v>-0.19635650961884399</v>
      </c>
      <c r="C4132" s="3">
        <v>1.4899455285585599E-2</v>
      </c>
      <c r="D4132" s="4">
        <v>3.9991542353431102E-2</v>
      </c>
      <c r="E4132" s="3" t="s">
        <v>11094</v>
      </c>
      <c r="F4132" s="3" t="s">
        <v>11095</v>
      </c>
      <c r="G4132" s="3">
        <v>17188</v>
      </c>
      <c r="H4132" s="7" t="str">
        <f>HYPERLINK("http://www.ensembl.org/Mus_musculus/Gene/Summary?db=core;g=ENSMUSG00000030678","ENSMUSG00000030678")</f>
        <v>ENSMUSG00000030678</v>
      </c>
      <c r="I4132" s="7" t="str">
        <f>HYPERLINK("http://www.informatics.jax.org/marker/MGI:1338823","MGI:1338823")</f>
        <v>MGI:1338823</v>
      </c>
      <c r="J4132" s="4" t="s">
        <v>12</v>
      </c>
    </row>
    <row r="4133" spans="1:10" x14ac:dyDescent="0.25">
      <c r="A4133" s="2">
        <v>1228.0778561725001</v>
      </c>
      <c r="B4133" s="3">
        <v>-0.196357270509218</v>
      </c>
      <c r="C4133" s="3">
        <v>2.5397185029140202E-3</v>
      </c>
      <c r="D4133" s="4">
        <v>8.2038939588103595E-3</v>
      </c>
      <c r="E4133" s="3" t="s">
        <v>13203</v>
      </c>
      <c r="F4133" s="3" t="s">
        <v>13204</v>
      </c>
      <c r="G4133" s="3">
        <v>67903</v>
      </c>
      <c r="H4133" s="7" t="str">
        <f>HYPERLINK("http://www.ensembl.org/Mus_musculus/Gene/Summary?db=core;g=ENSMUSG00000019433","ENSMUSG00000019433")</f>
        <v>ENSMUSG00000019433</v>
      </c>
      <c r="I4133" s="7" t="str">
        <f>HYPERLINK("http://www.informatics.jax.org/marker/MGI:1926252","MGI:1926252")</f>
        <v>MGI:1926252</v>
      </c>
      <c r="J4133" s="4" t="s">
        <v>12</v>
      </c>
    </row>
    <row r="4134" spans="1:10" x14ac:dyDescent="0.25">
      <c r="A4134" s="2">
        <v>593.74434015505994</v>
      </c>
      <c r="B4134" s="3">
        <v>-0.19650032979478299</v>
      </c>
      <c r="C4134" s="3">
        <v>1.27704732206475E-3</v>
      </c>
      <c r="D4134" s="4">
        <v>4.4096603722300204E-3</v>
      </c>
      <c r="E4134" s="3" t="s">
        <v>13519</v>
      </c>
      <c r="F4134" s="3" t="s">
        <v>13520</v>
      </c>
      <c r="G4134" s="3">
        <v>19305</v>
      </c>
      <c r="H4134" s="7" t="str">
        <f>HYPERLINK("http://www.ensembl.org/Mus_musculus/Gene/Summary?db=core;g=ENSMUSG00000005069","ENSMUSG00000005069")</f>
        <v>ENSMUSG00000005069</v>
      </c>
      <c r="I4134" s="7" t="str">
        <f>HYPERLINK("http://www.informatics.jax.org/marker/MGI:1098808","MGI:1098808")</f>
        <v>MGI:1098808</v>
      </c>
      <c r="J4134" s="4" t="s">
        <v>12</v>
      </c>
    </row>
    <row r="4135" spans="1:10" x14ac:dyDescent="0.25">
      <c r="A4135" s="2">
        <v>74.274297956412397</v>
      </c>
      <c r="B4135" s="3">
        <v>-0.196953878190987</v>
      </c>
      <c r="C4135" s="3">
        <v>0.158173006515264</v>
      </c>
      <c r="D4135" s="4">
        <v>0.293973388103272</v>
      </c>
      <c r="E4135" s="3" t="s">
        <v>13929</v>
      </c>
      <c r="F4135" s="3" t="s">
        <v>13930</v>
      </c>
      <c r="G4135" s="3" t="s">
        <v>83</v>
      </c>
      <c r="H4135" s="7" t="str">
        <f>HYPERLINK("http://www.ensembl.org/Mus_musculus/Gene/Summary?db=core;g=ENSMUSG00000086965","ENSMUSG00000086965")</f>
        <v>ENSMUSG00000086965</v>
      </c>
      <c r="I4135" s="7" t="str">
        <f>HYPERLINK("http://www.informatics.jax.org/marker/MGI:3833934","MGI:3833934")</f>
        <v>MGI:3833934</v>
      </c>
      <c r="J4135" s="4" t="s">
        <v>12</v>
      </c>
    </row>
    <row r="4136" spans="1:10" x14ac:dyDescent="0.25">
      <c r="A4136" s="2">
        <v>2358.4985722393199</v>
      </c>
      <c r="B4136" s="3">
        <v>-0.197156546256787</v>
      </c>
      <c r="C4136" s="3">
        <v>2.93310186876981E-3</v>
      </c>
      <c r="D4136" s="4">
        <v>9.3209732446956906E-3</v>
      </c>
      <c r="E4136" s="3" t="s">
        <v>11285</v>
      </c>
      <c r="F4136" s="3" t="s">
        <v>11286</v>
      </c>
      <c r="G4136" s="3">
        <v>26931</v>
      </c>
      <c r="H4136" s="7" t="str">
        <f>HYPERLINK("http://www.ensembl.org/Mus_musculus/Gene/Summary?db=core;g=ENSMUSG00000017843","ENSMUSG00000017843")</f>
        <v>ENSMUSG00000017843</v>
      </c>
      <c r="I4136" s="7" t="str">
        <f>HYPERLINK("http://www.informatics.jax.org/marker/MGI:1349475","MGI:1349475")</f>
        <v>MGI:1349475</v>
      </c>
      <c r="J4136" s="4" t="s">
        <v>12</v>
      </c>
    </row>
    <row r="4137" spans="1:10" x14ac:dyDescent="0.25">
      <c r="A4137" s="2">
        <v>1359.1660975126799</v>
      </c>
      <c r="B4137" s="3">
        <v>-0.19718241968742201</v>
      </c>
      <c r="C4137" s="3">
        <v>1.34559128706086E-2</v>
      </c>
      <c r="D4137" s="4">
        <v>3.6482298730562697E-2</v>
      </c>
      <c r="E4137" s="3" t="s">
        <v>9389</v>
      </c>
      <c r="F4137" s="3" t="s">
        <v>9390</v>
      </c>
      <c r="G4137" s="3">
        <v>666173</v>
      </c>
      <c r="H4137" s="7" t="str">
        <f>HYPERLINK("http://www.ensembl.org/Mus_musculus/Gene/Summary?db=core;g=ENSMUSG00000037646","ENSMUSG00000037646")</f>
        <v>ENSMUSG00000037646</v>
      </c>
      <c r="I4137" s="7" t="str">
        <f>HYPERLINK("http://www.informatics.jax.org/marker/MGI:1916380","MGI:1916380")</f>
        <v>MGI:1916380</v>
      </c>
      <c r="J4137" s="4" t="s">
        <v>12</v>
      </c>
    </row>
    <row r="4138" spans="1:10" x14ac:dyDescent="0.25">
      <c r="A4138" s="2">
        <v>2309.69477077597</v>
      </c>
      <c r="B4138" s="3">
        <v>-0.197258416258831</v>
      </c>
      <c r="C4138" s="5">
        <v>3.4264903173251597E-5</v>
      </c>
      <c r="D4138" s="4">
        <v>1.5415400156319699E-4</v>
      </c>
      <c r="E4138" s="3" t="s">
        <v>7942</v>
      </c>
      <c r="F4138" s="3" t="s">
        <v>7943</v>
      </c>
      <c r="G4138" s="3">
        <v>269252</v>
      </c>
      <c r="H4138" s="7" t="str">
        <f>HYPERLINK("http://www.ensembl.org/Mus_musculus/Gene/Summary?db=core;g=ENSMUSG00000035666","ENSMUSG00000035666")</f>
        <v>ENSMUSG00000035666</v>
      </c>
      <c r="I4138" s="7" t="str">
        <f>HYPERLINK("http://www.informatics.jax.org/marker/MGI:2138937","MGI:2138937")</f>
        <v>MGI:2138937</v>
      </c>
      <c r="J4138" s="4" t="s">
        <v>12</v>
      </c>
    </row>
    <row r="4139" spans="1:10" x14ac:dyDescent="0.25">
      <c r="A4139" s="2">
        <v>1087.1900013544</v>
      </c>
      <c r="B4139" s="3">
        <v>-0.19728906831009499</v>
      </c>
      <c r="C4139" s="3">
        <v>2.0382381667647599E-3</v>
      </c>
      <c r="D4139" s="4">
        <v>6.7331684954300801E-3</v>
      </c>
      <c r="E4139" s="3" t="s">
        <v>6956</v>
      </c>
      <c r="F4139" s="3" t="s">
        <v>6957</v>
      </c>
      <c r="G4139" s="3">
        <v>75146</v>
      </c>
      <c r="H4139" s="7" t="str">
        <f>HYPERLINK("http://www.ensembl.org/Mus_musculus/Gene/Summary?db=core;g=ENSMUSG00000025227","ENSMUSG00000025227")</f>
        <v>ENSMUSG00000025227</v>
      </c>
      <c r="I4139" s="7" t="str">
        <f>HYPERLINK("http://www.informatics.jax.org/marker/MGI:1922396","MGI:1922396")</f>
        <v>MGI:1922396</v>
      </c>
      <c r="J4139" s="4" t="s">
        <v>12</v>
      </c>
    </row>
    <row r="4140" spans="1:10" x14ac:dyDescent="0.25">
      <c r="A4140" s="2">
        <v>842.927429167235</v>
      </c>
      <c r="B4140" s="3">
        <v>-0.19731043961306299</v>
      </c>
      <c r="C4140" s="3">
        <v>6.7140876229010701E-2</v>
      </c>
      <c r="D4140" s="4">
        <v>0.14619384340187799</v>
      </c>
      <c r="E4140" s="3" t="s">
        <v>12201</v>
      </c>
      <c r="F4140" s="3" t="s">
        <v>12202</v>
      </c>
      <c r="G4140" s="3">
        <v>68014</v>
      </c>
      <c r="H4140" s="7" t="str">
        <f>HYPERLINK("http://www.ensembl.org/Mus_musculus/Gene/Summary?db=core;g=ENSMUSG00000032400","ENSMUSG00000032400")</f>
        <v>ENSMUSG00000032400</v>
      </c>
      <c r="I4140" s="7" t="str">
        <f>HYPERLINK("http://www.informatics.jax.org/marker/MGI:1915264","MGI:1915264")</f>
        <v>MGI:1915264</v>
      </c>
      <c r="J4140" s="4" t="s">
        <v>12</v>
      </c>
    </row>
    <row r="4141" spans="1:10" x14ac:dyDescent="0.25">
      <c r="A4141" s="2">
        <v>802.01683210589204</v>
      </c>
      <c r="B4141" s="3">
        <v>-0.19764692463084799</v>
      </c>
      <c r="C4141" s="3">
        <v>2.2241857160769402E-2</v>
      </c>
      <c r="D4141" s="4">
        <v>5.65589293644514E-2</v>
      </c>
      <c r="E4141" s="3" t="s">
        <v>7622</v>
      </c>
      <c r="F4141" s="3" t="s">
        <v>7623</v>
      </c>
      <c r="G4141" s="3">
        <v>16568</v>
      </c>
      <c r="H4141" s="7" t="str">
        <f>HYPERLINK("http://www.ensembl.org/Mus_musculus/Gene/Summary?db=core;g=ENSMUSG00000018395","ENSMUSG00000018395")</f>
        <v>ENSMUSG00000018395</v>
      </c>
      <c r="I4141" s="7" t="str">
        <f>HYPERLINK("http://www.informatics.jax.org/marker/MGI:107689","MGI:107689")</f>
        <v>MGI:107689</v>
      </c>
      <c r="J4141" s="4" t="s">
        <v>12</v>
      </c>
    </row>
    <row r="4142" spans="1:10" x14ac:dyDescent="0.25">
      <c r="A4142" s="2">
        <v>985.93623448420794</v>
      </c>
      <c r="B4142" s="3">
        <v>-0.197910092205177</v>
      </c>
      <c r="C4142" s="3">
        <v>5.4521678202252796E-4</v>
      </c>
      <c r="D4142" s="4">
        <v>2.0147152985321502E-3</v>
      </c>
      <c r="E4142" s="3" t="s">
        <v>12513</v>
      </c>
      <c r="F4142" s="3" t="s">
        <v>12514</v>
      </c>
      <c r="G4142" s="3">
        <v>78929</v>
      </c>
      <c r="H4142" s="7" t="str">
        <f>HYPERLINK("http://www.ensembl.org/Mus_musculus/Gene/Summary?db=core;g=ENSMUSG00000022476","ENSMUSG00000022476")</f>
        <v>ENSMUSG00000022476</v>
      </c>
      <c r="I4142" s="7" t="str">
        <f>HYPERLINK("http://www.informatics.jax.org/marker/MGI:1926179","MGI:1926179")</f>
        <v>MGI:1926179</v>
      </c>
      <c r="J4142" s="4" t="s">
        <v>12</v>
      </c>
    </row>
    <row r="4143" spans="1:10" x14ac:dyDescent="0.25">
      <c r="A4143" s="2">
        <v>562.25558662405399</v>
      </c>
      <c r="B4143" s="3">
        <v>-0.19810237201002301</v>
      </c>
      <c r="C4143" s="3">
        <v>1.1998354872680301E-2</v>
      </c>
      <c r="D4143" s="4">
        <v>3.2996833794265698E-2</v>
      </c>
      <c r="E4143" s="3" t="s">
        <v>12297</v>
      </c>
      <c r="F4143" s="3" t="s">
        <v>12298</v>
      </c>
      <c r="G4143" s="3">
        <v>69727</v>
      </c>
      <c r="H4143" s="7" t="str">
        <f>HYPERLINK("http://www.ensembl.org/Mus_musculus/Gene/Summary?db=core;g=ENSMUSG00000054814","ENSMUSG00000054814")</f>
        <v>ENSMUSG00000054814</v>
      </c>
      <c r="I4143" s="7" t="str">
        <f>HYPERLINK("http://www.informatics.jax.org/marker/MGI:1916977","MGI:1916977")</f>
        <v>MGI:1916977</v>
      </c>
      <c r="J4143" s="4" t="s">
        <v>12</v>
      </c>
    </row>
    <row r="4144" spans="1:10" x14ac:dyDescent="0.25">
      <c r="A4144" s="2">
        <v>1089.8609380105199</v>
      </c>
      <c r="B4144" s="3">
        <v>-0.198538013724497</v>
      </c>
      <c r="C4144" s="3">
        <v>3.3855742305262101E-2</v>
      </c>
      <c r="D4144" s="4">
        <v>8.1702979808448303E-2</v>
      </c>
      <c r="E4144" s="3" t="s">
        <v>14029</v>
      </c>
      <c r="F4144" s="3" t="s">
        <v>14030</v>
      </c>
      <c r="G4144" s="3">
        <v>12286</v>
      </c>
      <c r="H4144" s="7" t="str">
        <f>HYPERLINK("http://www.ensembl.org/Mus_musculus/Gene/Summary?db=core;g=ENSMUSG00000034656","ENSMUSG00000034656")</f>
        <v>ENSMUSG00000034656</v>
      </c>
      <c r="I4144" s="7" t="str">
        <f>HYPERLINK("http://www.informatics.jax.org/marker/MGI:109482","MGI:109482")</f>
        <v>MGI:109482</v>
      </c>
      <c r="J4144" s="4" t="s">
        <v>12</v>
      </c>
    </row>
    <row r="4145" spans="1:10" x14ac:dyDescent="0.25">
      <c r="A4145" s="2">
        <v>425.98861329676498</v>
      </c>
      <c r="B4145" s="3">
        <v>-0.19858212280676699</v>
      </c>
      <c r="C4145" s="3">
        <v>8.8100337259310393E-3</v>
      </c>
      <c r="D4145" s="4">
        <v>2.5064449680782599E-2</v>
      </c>
      <c r="E4145" s="3" t="s">
        <v>11507</v>
      </c>
      <c r="F4145" s="3" t="s">
        <v>11508</v>
      </c>
      <c r="G4145" s="3">
        <v>67106</v>
      </c>
      <c r="H4145" s="7" t="str">
        <f>HYPERLINK("http://www.ensembl.org/Mus_musculus/Gene/Summary?db=core;g=ENSMUSG00000057572","ENSMUSG00000057572")</f>
        <v>ENSMUSG00000057572</v>
      </c>
      <c r="I4145" s="7" t="str">
        <f>HYPERLINK("http://www.informatics.jax.org/marker/MGI:1914356","MGI:1914356")</f>
        <v>MGI:1914356</v>
      </c>
      <c r="J4145" s="4" t="s">
        <v>12</v>
      </c>
    </row>
    <row r="4146" spans="1:10" x14ac:dyDescent="0.25">
      <c r="A4146" s="2">
        <v>235.61311714055799</v>
      </c>
      <c r="B4146" s="3">
        <v>-0.19865385199504901</v>
      </c>
      <c r="C4146" s="3">
        <v>1.59281060835328E-2</v>
      </c>
      <c r="D4146" s="4">
        <v>4.2371877590481E-2</v>
      </c>
      <c r="E4146" s="3" t="s">
        <v>13699</v>
      </c>
      <c r="F4146" s="3" t="s">
        <v>13700</v>
      </c>
      <c r="G4146" s="3">
        <v>66170</v>
      </c>
      <c r="H4146" s="7" t="str">
        <f>HYPERLINK("http://www.ensembl.org/Mus_musculus/Gene/Summary?db=core;g=ENSMUSG00000037938","ENSMUSG00000037938")</f>
        <v>ENSMUSG00000037938</v>
      </c>
      <c r="I4146" s="7" t="str">
        <f>HYPERLINK("http://www.informatics.jax.org/marker/MGI:1913420","MGI:1913420")</f>
        <v>MGI:1913420</v>
      </c>
      <c r="J4146" s="4" t="s">
        <v>12</v>
      </c>
    </row>
    <row r="4147" spans="1:10" x14ac:dyDescent="0.25">
      <c r="A4147" s="2">
        <v>2538.3072912365501</v>
      </c>
      <c r="B4147" s="3">
        <v>-0.199136315095303</v>
      </c>
      <c r="C4147" s="3">
        <v>4.3294250226711796E-3</v>
      </c>
      <c r="D4147" s="4">
        <v>1.32167120666972E-2</v>
      </c>
      <c r="E4147" s="3" t="s">
        <v>10532</v>
      </c>
      <c r="F4147" s="3" t="s">
        <v>10533</v>
      </c>
      <c r="G4147" s="3">
        <v>217718</v>
      </c>
      <c r="H4147" s="7" t="str">
        <f>HYPERLINK("http://www.ensembl.org/Mus_musculus/Gene/Summary?db=core;g=ENSMUSG00000034290","ENSMUSG00000034290")</f>
        <v>ENSMUSG00000034290</v>
      </c>
      <c r="I4147" s="7" t="str">
        <f>HYPERLINK("http://www.informatics.jax.org/marker/MGI:2387995","MGI:2387995")</f>
        <v>MGI:2387995</v>
      </c>
      <c r="J4147" s="4" t="s">
        <v>12</v>
      </c>
    </row>
    <row r="4148" spans="1:10" x14ac:dyDescent="0.25">
      <c r="A4148" s="2">
        <v>1016.56193667946</v>
      </c>
      <c r="B4148" s="3">
        <v>-0.19920769767047999</v>
      </c>
      <c r="C4148" s="3">
        <v>2.8629681392267601E-2</v>
      </c>
      <c r="D4148" s="4">
        <v>7.0653479129868302E-2</v>
      </c>
      <c r="E4148" s="3" t="s">
        <v>12433</v>
      </c>
      <c r="F4148" s="3" t="s">
        <v>12434</v>
      </c>
      <c r="G4148" s="3">
        <v>18439</v>
      </c>
      <c r="H4148" s="7" t="str">
        <f>HYPERLINK("http://www.ensembl.org/Mus_musculus/Gene/Summary?db=core;g=ENSMUSG00000029468","ENSMUSG00000029468")</f>
        <v>ENSMUSG00000029468</v>
      </c>
      <c r="I4148" s="7" t="str">
        <f>HYPERLINK("http://www.informatics.jax.org/marker/MGI:1339957","MGI:1339957")</f>
        <v>MGI:1339957</v>
      </c>
      <c r="J4148" s="4" t="s">
        <v>12</v>
      </c>
    </row>
    <row r="4149" spans="1:10" x14ac:dyDescent="0.25">
      <c r="A4149" s="2">
        <v>582.26338952680896</v>
      </c>
      <c r="B4149" s="3">
        <v>-0.19924151039004601</v>
      </c>
      <c r="C4149" s="3">
        <v>4.2025953495824303E-2</v>
      </c>
      <c r="D4149" s="4">
        <v>9.8516141043040295E-2</v>
      </c>
      <c r="E4149" s="3" t="s">
        <v>12851</v>
      </c>
      <c r="F4149" s="3" t="s">
        <v>12852</v>
      </c>
      <c r="G4149" s="3">
        <v>26896</v>
      </c>
      <c r="H4149" s="7" t="str">
        <f>HYPERLINK("http://www.ensembl.org/Mus_musculus/Gene/Summary?db=core;g=ENSMUSG00000064127","ENSMUSG00000064127")</f>
        <v>ENSMUSG00000064127</v>
      </c>
      <c r="I4149" s="7" t="str">
        <f>HYPERLINK("http://www.informatics.jax.org/marker/MGI:1349442","MGI:1349442")</f>
        <v>MGI:1349442</v>
      </c>
      <c r="J4149" s="4" t="s">
        <v>12</v>
      </c>
    </row>
    <row r="4150" spans="1:10" x14ac:dyDescent="0.25">
      <c r="A4150" s="2">
        <v>522.99743534903098</v>
      </c>
      <c r="B4150" s="3">
        <v>-0.19924158452677601</v>
      </c>
      <c r="C4150" s="3">
        <v>5.1855665667442701E-2</v>
      </c>
      <c r="D4150" s="4">
        <v>0.117604468241556</v>
      </c>
      <c r="E4150" s="3" t="s">
        <v>10543</v>
      </c>
      <c r="F4150" s="3" t="s">
        <v>10544</v>
      </c>
      <c r="G4150" s="3">
        <v>103551</v>
      </c>
      <c r="H4150" s="7" t="str">
        <f>HYPERLINK("http://www.ensembl.org/Mus_musculus/Gene/Summary?db=core;g=ENSMUSG00000043439","ENSMUSG00000043439")</f>
        <v>ENSMUSG00000043439</v>
      </c>
      <c r="I4150" s="7" t="str">
        <f>HYPERLINK("http://www.informatics.jax.org/marker/MGI:2143991","MGI:2143991")</f>
        <v>MGI:2143991</v>
      </c>
      <c r="J4150" s="4" t="s">
        <v>12</v>
      </c>
    </row>
    <row r="4151" spans="1:10" x14ac:dyDescent="0.25">
      <c r="A4151" s="2">
        <v>713.01062346651997</v>
      </c>
      <c r="B4151" s="3">
        <v>-0.199264545135412</v>
      </c>
      <c r="C4151" s="3">
        <v>3.0631398804606899E-3</v>
      </c>
      <c r="D4151" s="4">
        <v>9.6869207567926597E-3</v>
      </c>
      <c r="E4151" s="3" t="s">
        <v>12629</v>
      </c>
      <c r="F4151" s="3" t="s">
        <v>12630</v>
      </c>
      <c r="G4151" s="3">
        <v>67153</v>
      </c>
      <c r="H4151" s="7" t="str">
        <f>HYPERLINK("http://www.ensembl.org/Mus_musculus/Gene/Summary?db=core;g=ENSMUSG00000021932","ENSMUSG00000021932")</f>
        <v>ENSMUSG00000021932</v>
      </c>
      <c r="I4151" s="7" t="str">
        <f>HYPERLINK("http://www.informatics.jax.org/marker/MGI:1914403","MGI:1914403")</f>
        <v>MGI:1914403</v>
      </c>
      <c r="J4151" s="4" t="s">
        <v>12</v>
      </c>
    </row>
    <row r="4152" spans="1:10" x14ac:dyDescent="0.25">
      <c r="A4152" s="2">
        <v>1053.0011716491999</v>
      </c>
      <c r="B4152" s="3">
        <v>-0.20017663897263899</v>
      </c>
      <c r="C4152" s="3">
        <v>3.9577739024360001E-4</v>
      </c>
      <c r="D4152" s="4">
        <v>1.49338363088812E-3</v>
      </c>
      <c r="E4152" s="3" t="s">
        <v>4953</v>
      </c>
      <c r="F4152" s="3" t="s">
        <v>4954</v>
      </c>
      <c r="G4152" s="3">
        <v>21915</v>
      </c>
      <c r="H4152" s="7" t="str">
        <f>HYPERLINK("http://www.ensembl.org/Mus_musculus/Gene/Summary?db=core;g=ENSMUSG00000026281","ENSMUSG00000026281")</f>
        <v>ENSMUSG00000026281</v>
      </c>
      <c r="I4152" s="7" t="str">
        <f>HYPERLINK("http://www.informatics.jax.org/marker/MGI:108396","MGI:108396")</f>
        <v>MGI:108396</v>
      </c>
      <c r="J4152" s="4" t="s">
        <v>12</v>
      </c>
    </row>
    <row r="4153" spans="1:10" x14ac:dyDescent="0.25">
      <c r="A4153" s="2">
        <v>166.38946128465901</v>
      </c>
      <c r="B4153" s="3">
        <v>-0.200210360704486</v>
      </c>
      <c r="C4153" s="3">
        <v>2.9718964553920701E-2</v>
      </c>
      <c r="D4153" s="4">
        <v>7.2985868345937802E-2</v>
      </c>
      <c r="E4153" s="3" t="s">
        <v>14005</v>
      </c>
      <c r="F4153" s="3" t="s">
        <v>14006</v>
      </c>
      <c r="G4153" s="3">
        <v>68916</v>
      </c>
      <c r="H4153" s="7" t="str">
        <f>HYPERLINK("http://www.ensembl.org/Mus_musculus/Gene/Summary?db=core;g=ENSMUSG00000006191","ENSMUSG00000006191")</f>
        <v>ENSMUSG00000006191</v>
      </c>
      <c r="I4153" s="7" t="str">
        <f>HYPERLINK("http://www.informatics.jax.org/marker/MGI:1921765","MGI:1921765")</f>
        <v>MGI:1921765</v>
      </c>
      <c r="J4153" s="4" t="s">
        <v>12</v>
      </c>
    </row>
    <row r="4154" spans="1:10" x14ac:dyDescent="0.25">
      <c r="A4154" s="2">
        <v>391.48763714743899</v>
      </c>
      <c r="B4154" s="3">
        <v>-0.200281975073555</v>
      </c>
      <c r="C4154" s="3">
        <v>2.8269366195152299E-3</v>
      </c>
      <c r="D4154" s="4">
        <v>9.0319166859614795E-3</v>
      </c>
      <c r="E4154" s="3" t="s">
        <v>8017</v>
      </c>
      <c r="F4154" s="3" t="s">
        <v>8018</v>
      </c>
      <c r="G4154" s="3">
        <v>259279</v>
      </c>
      <c r="H4154" s="7" t="str">
        <f>HYPERLINK("http://www.ensembl.org/Mus_musculus/Gene/Summary?db=core;g=ENSMUSG00000000759","ENSMUSG00000000759")</f>
        <v>ENSMUSG00000000759</v>
      </c>
      <c r="I4154" s="7" t="str">
        <f>HYPERLINK("http://www.informatics.jax.org/marker/MGI:2183752","MGI:2183752")</f>
        <v>MGI:2183752</v>
      </c>
      <c r="J4154" s="4" t="s">
        <v>12</v>
      </c>
    </row>
    <row r="4155" spans="1:10" x14ac:dyDescent="0.25">
      <c r="A4155" s="2">
        <v>432.371123834863</v>
      </c>
      <c r="B4155" s="3">
        <v>-0.200324057979644</v>
      </c>
      <c r="C4155" s="3">
        <v>2.64450366142093E-3</v>
      </c>
      <c r="D4155" s="4">
        <v>8.5016897564643406E-3</v>
      </c>
      <c r="E4155" s="3" t="s">
        <v>10130</v>
      </c>
      <c r="F4155" s="3" t="s">
        <v>10131</v>
      </c>
      <c r="G4155" s="3">
        <v>65967</v>
      </c>
      <c r="H4155" s="7" t="str">
        <f>HYPERLINK("http://www.ensembl.org/Mus_musculus/Gene/Summary?db=core;g=ENSMUSG00000033216","ENSMUSG00000033216")</f>
        <v>ENSMUSG00000033216</v>
      </c>
      <c r="I4155" s="7" t="str">
        <f>HYPERLINK("http://www.informatics.jax.org/marker/MGI:2137092","MGI:2137092")</f>
        <v>MGI:2137092</v>
      </c>
      <c r="J4155" s="4" t="s">
        <v>12</v>
      </c>
    </row>
    <row r="4156" spans="1:10" x14ac:dyDescent="0.25">
      <c r="A4156" s="2">
        <v>912.72065155437201</v>
      </c>
      <c r="B4156" s="3">
        <v>-0.20060302818426801</v>
      </c>
      <c r="C4156" s="3">
        <v>1.5222806427729501E-3</v>
      </c>
      <c r="D4156" s="4">
        <v>5.1741075558629302E-3</v>
      </c>
      <c r="E4156" s="3" t="s">
        <v>11115</v>
      </c>
      <c r="F4156" s="3" t="s">
        <v>11116</v>
      </c>
      <c r="G4156" s="3">
        <v>225467</v>
      </c>
      <c r="H4156" s="7" t="str">
        <f>HYPERLINK("http://www.ensembl.org/Mus_musculus/Gene/Summary?db=core;g=ENSMUSG00000024477","ENSMUSG00000024477")</f>
        <v>ENSMUSG00000024477</v>
      </c>
      <c r="I4156" s="7" t="str">
        <f>HYPERLINK("http://www.informatics.jax.org/marker/MGI:1917514","MGI:1917514")</f>
        <v>MGI:1917514</v>
      </c>
      <c r="J4156" s="4" t="s">
        <v>12</v>
      </c>
    </row>
    <row r="4157" spans="1:10" x14ac:dyDescent="0.25">
      <c r="A4157" s="2">
        <v>1844.47092422165</v>
      </c>
      <c r="B4157" s="3">
        <v>-0.20074294166629</v>
      </c>
      <c r="C4157" s="5">
        <v>2.2029947102073199E-5</v>
      </c>
      <c r="D4157" s="4">
        <v>1.0231798826077601E-4</v>
      </c>
      <c r="E4157" s="3" t="s">
        <v>5743</v>
      </c>
      <c r="F4157" s="3" t="s">
        <v>5744</v>
      </c>
      <c r="G4157" s="3">
        <v>20687</v>
      </c>
      <c r="H4157" s="7" t="str">
        <f>HYPERLINK("http://www.ensembl.org/Mus_musculus/Gene/Summary?db=core;g=ENSMUSG00000027109","ENSMUSG00000027109")</f>
        <v>ENSMUSG00000027109</v>
      </c>
      <c r="I4157" s="7" t="str">
        <f>HYPERLINK("http://www.informatics.jax.org/marker/MGI:1277166","MGI:1277166")</f>
        <v>MGI:1277166</v>
      </c>
      <c r="J4157" s="4" t="s">
        <v>12</v>
      </c>
    </row>
    <row r="4158" spans="1:10" x14ac:dyDescent="0.25">
      <c r="A4158" s="2">
        <v>420.58896717574299</v>
      </c>
      <c r="B4158" s="3">
        <v>-0.20076608972107299</v>
      </c>
      <c r="C4158" s="3">
        <v>7.9567437383698897E-2</v>
      </c>
      <c r="D4158" s="4">
        <v>0.168539812449781</v>
      </c>
      <c r="E4158" s="3" t="s">
        <v>10798</v>
      </c>
      <c r="F4158" s="3" t="s">
        <v>10799</v>
      </c>
      <c r="G4158" s="3">
        <v>66073</v>
      </c>
      <c r="H4158" s="7" t="str">
        <f>HYPERLINK("http://www.ensembl.org/Mus_musculus/Gene/Summary?db=core;g=ENSMUSG00000028567","ENSMUSG00000028567")</f>
        <v>ENSMUSG00000028567</v>
      </c>
      <c r="I4158" s="7" t="str">
        <f>HYPERLINK("http://www.informatics.jax.org/marker/MGI:1913323","MGI:1913323")</f>
        <v>MGI:1913323</v>
      </c>
      <c r="J4158" s="4" t="s">
        <v>12</v>
      </c>
    </row>
    <row r="4159" spans="1:10" x14ac:dyDescent="0.25">
      <c r="A4159" s="2">
        <v>1050.3582336249201</v>
      </c>
      <c r="B4159" s="3">
        <v>-0.20077317604809</v>
      </c>
      <c r="C4159" s="3">
        <v>2.06901264033263E-4</v>
      </c>
      <c r="D4159" s="4">
        <v>8.1991205414355596E-4</v>
      </c>
      <c r="E4159" s="3" t="s">
        <v>8071</v>
      </c>
      <c r="F4159" s="3" t="s">
        <v>8072</v>
      </c>
      <c r="G4159" s="3">
        <v>268996</v>
      </c>
      <c r="H4159" s="7" t="str">
        <f>HYPERLINK("http://www.ensembl.org/Mus_musculus/Gene/Summary?db=core;g=ENSMUSG00000037013","ENSMUSG00000037013")</f>
        <v>ENSMUSG00000037013</v>
      </c>
      <c r="I4159" s="7" t="str">
        <f>HYPERLINK("http://www.informatics.jax.org/marker/MGI:107708","MGI:107708")</f>
        <v>MGI:107708</v>
      </c>
      <c r="J4159" s="4" t="s">
        <v>12</v>
      </c>
    </row>
    <row r="4160" spans="1:10" x14ac:dyDescent="0.25">
      <c r="A4160" s="2">
        <v>634.58597412656502</v>
      </c>
      <c r="B4160" s="3">
        <v>-0.200933977468602</v>
      </c>
      <c r="C4160" s="3">
        <v>7.9920379697974496E-4</v>
      </c>
      <c r="D4160" s="4">
        <v>2.8576592505308702E-3</v>
      </c>
      <c r="E4160" s="3" t="s">
        <v>8779</v>
      </c>
      <c r="F4160" s="3" t="s">
        <v>8780</v>
      </c>
      <c r="G4160" s="3">
        <v>234678</v>
      </c>
      <c r="H4160" s="7" t="str">
        <f>HYPERLINK("http://www.ensembl.org/Mus_musculus/Gene/Summary?db=core;g=ENSMUSG00000031889","ENSMUSG00000031889")</f>
        <v>ENSMUSG00000031889</v>
      </c>
      <c r="I4160" s="7" t="str">
        <f>HYPERLINK("http://www.informatics.jax.org/marker/MGI:2443049","MGI:2443049")</f>
        <v>MGI:2443049</v>
      </c>
      <c r="J4160" s="4" t="s">
        <v>12</v>
      </c>
    </row>
    <row r="4161" spans="1:10" x14ac:dyDescent="0.25">
      <c r="A4161" s="2">
        <v>1093.5187516788401</v>
      </c>
      <c r="B4161" s="3">
        <v>-0.20137532809577299</v>
      </c>
      <c r="C4161" s="3">
        <v>1.4948522166467E-2</v>
      </c>
      <c r="D4161" s="4">
        <v>4.00996197356287E-2</v>
      </c>
      <c r="E4161" s="3" t="s">
        <v>12591</v>
      </c>
      <c r="F4161" s="3" t="s">
        <v>12592</v>
      </c>
      <c r="G4161" s="3">
        <v>22222</v>
      </c>
      <c r="H4161" s="7" t="str">
        <f>HYPERLINK("http://www.ensembl.org/Mus_musculus/Gene/Summary?db=core;g=ENSMUSG00000027272","ENSMUSG00000027272")</f>
        <v>ENSMUSG00000027272</v>
      </c>
      <c r="I4161" s="7" t="str">
        <f>HYPERLINK("http://www.informatics.jax.org/marker/MGI:1277977","MGI:1277977")</f>
        <v>MGI:1277977</v>
      </c>
      <c r="J4161" s="4" t="s">
        <v>12</v>
      </c>
    </row>
    <row r="4162" spans="1:10" x14ac:dyDescent="0.25">
      <c r="A4162" s="2">
        <v>387.27392212074199</v>
      </c>
      <c r="B4162" s="3">
        <v>-0.201661526348448</v>
      </c>
      <c r="C4162" s="3">
        <v>2.3274606840467699E-2</v>
      </c>
      <c r="D4162" s="4">
        <v>5.8897488151558403E-2</v>
      </c>
      <c r="E4162" s="3" t="s">
        <v>9789</v>
      </c>
      <c r="F4162" s="3" t="s">
        <v>9790</v>
      </c>
      <c r="G4162" s="3">
        <v>26356</v>
      </c>
      <c r="H4162" s="7" t="str">
        <f>HYPERLINK("http://www.ensembl.org/Mus_musculus/Gene/Summary?db=core;g=ENSMUSG00000045969","ENSMUSG00000045969")</f>
        <v>ENSMUSG00000045969</v>
      </c>
      <c r="I4162" s="7" t="str">
        <f>HYPERLINK("http://www.informatics.jax.org/marker/MGI:1349481","MGI:1349481")</f>
        <v>MGI:1349481</v>
      </c>
      <c r="J4162" s="4" t="s">
        <v>12</v>
      </c>
    </row>
    <row r="4163" spans="1:10" x14ac:dyDescent="0.25">
      <c r="A4163" s="2">
        <v>1645.64549605151</v>
      </c>
      <c r="B4163" s="3">
        <v>-0.20208879424099399</v>
      </c>
      <c r="C4163" s="3">
        <v>1.60838609962197E-3</v>
      </c>
      <c r="D4163" s="4">
        <v>5.4414027595341401E-3</v>
      </c>
      <c r="E4163" s="3" t="s">
        <v>9491</v>
      </c>
      <c r="F4163" s="3" t="s">
        <v>9492</v>
      </c>
      <c r="G4163" s="3">
        <v>15900</v>
      </c>
      <c r="H4163" s="7" t="str">
        <f>HYPERLINK("http://www.ensembl.org/Mus_musculus/Gene/Summary?db=core;g=ENSMUSG00000041515","ENSMUSG00000041515")</f>
        <v>ENSMUSG00000041515</v>
      </c>
      <c r="I4163" s="7" t="str">
        <f>HYPERLINK("http://www.informatics.jax.org/marker/MGI:96395","MGI:96395")</f>
        <v>MGI:96395</v>
      </c>
      <c r="J4163" s="4" t="s">
        <v>12</v>
      </c>
    </row>
    <row r="4164" spans="1:10" x14ac:dyDescent="0.25">
      <c r="A4164" s="2">
        <v>782.017697529423</v>
      </c>
      <c r="B4164" s="3">
        <v>-0.20214044830884401</v>
      </c>
      <c r="C4164" s="3">
        <v>2.5898032989361899E-3</v>
      </c>
      <c r="D4164" s="4">
        <v>8.3420228213347703E-3</v>
      </c>
      <c r="E4164" s="3" t="s">
        <v>9597</v>
      </c>
      <c r="F4164" s="3" t="s">
        <v>9598</v>
      </c>
      <c r="G4164" s="3">
        <v>17535</v>
      </c>
      <c r="H4164" s="7" t="str">
        <f>HYPERLINK("http://www.ensembl.org/Mus_musculus/Gene/Summary?db=core;g=ENSMUSG00000031928","ENSMUSG00000031928")</f>
        <v>ENSMUSG00000031928</v>
      </c>
      <c r="I4164" s="7" t="str">
        <f>HYPERLINK("http://www.informatics.jax.org/marker/MGI:1100512","MGI:1100512")</f>
        <v>MGI:1100512</v>
      </c>
      <c r="J4164" s="4" t="s">
        <v>12</v>
      </c>
    </row>
    <row r="4165" spans="1:10" x14ac:dyDescent="0.25">
      <c r="A4165" s="2">
        <v>6132.9164642474798</v>
      </c>
      <c r="B4165" s="3">
        <v>-0.202151126927302</v>
      </c>
      <c r="C4165" s="5">
        <v>1.0019573631211499E-5</v>
      </c>
      <c r="D4165" s="6">
        <v>4.8995634405373999E-5</v>
      </c>
      <c r="E4165" s="3" t="s">
        <v>7562</v>
      </c>
      <c r="F4165" s="3" t="s">
        <v>7563</v>
      </c>
      <c r="G4165" s="3">
        <v>15388</v>
      </c>
      <c r="H4165" s="7" t="str">
        <f>HYPERLINK("http://www.ensembl.org/Mus_musculus/Gene/Summary?db=core;g=ENSMUSG00000015165","ENSMUSG00000015165")</f>
        <v>ENSMUSG00000015165</v>
      </c>
      <c r="I4165" s="7" t="str">
        <f>HYPERLINK("http://www.informatics.jax.org/marker/MGI:104816","MGI:104816")</f>
        <v>MGI:104816</v>
      </c>
      <c r="J4165" s="4" t="s">
        <v>12</v>
      </c>
    </row>
    <row r="4166" spans="1:10" x14ac:dyDescent="0.25">
      <c r="A4166" s="2">
        <v>1329.15779640204</v>
      </c>
      <c r="B4166" s="3">
        <v>-0.202192703028617</v>
      </c>
      <c r="C4166" s="3">
        <v>0.149329476917824</v>
      </c>
      <c r="D4166" s="4">
        <v>0.28073944421735197</v>
      </c>
      <c r="E4166" s="3" t="s">
        <v>11076</v>
      </c>
      <c r="F4166" s="3" t="s">
        <v>11077</v>
      </c>
      <c r="G4166" s="3">
        <v>17428</v>
      </c>
      <c r="H4166" s="7" t="str">
        <f>HYPERLINK("http://www.ensembl.org/Mus_musculus/Gene/Summary?db=core;g=ENSMUSG00000000282","ENSMUSG00000000282")</f>
        <v>ENSMUSG00000000282</v>
      </c>
      <c r="I4166" s="7" t="str">
        <f>HYPERLINK("http://www.informatics.jax.org/marker/MGI:109150","MGI:109150")</f>
        <v>MGI:109150</v>
      </c>
      <c r="J4166" s="4" t="s">
        <v>12</v>
      </c>
    </row>
    <row r="4167" spans="1:10" x14ac:dyDescent="0.25">
      <c r="A4167" s="2">
        <v>5828.5697832771602</v>
      </c>
      <c r="B4167" s="3">
        <v>-0.20255453163373</v>
      </c>
      <c r="C4167" s="3">
        <v>2.6453122456248903E-4</v>
      </c>
      <c r="D4167" s="4">
        <v>1.0259803293575999E-3</v>
      </c>
      <c r="E4167" s="3" t="s">
        <v>5445</v>
      </c>
      <c r="F4167" s="3" t="s">
        <v>5446</v>
      </c>
      <c r="G4167" s="3">
        <v>20874</v>
      </c>
      <c r="H4167" s="7" t="str">
        <f>HYPERLINK("http://www.ensembl.org/Mus_musculus/Gene/Summary?db=core;g=ENSMUSG00000025060","ENSMUSG00000025060")</f>
        <v>ENSMUSG00000025060</v>
      </c>
      <c r="I4167" s="7" t="str">
        <f>HYPERLINK("http://www.informatics.jax.org/marker/MGI:103241","MGI:103241")</f>
        <v>MGI:103241</v>
      </c>
      <c r="J4167" s="4" t="s">
        <v>12</v>
      </c>
    </row>
    <row r="4168" spans="1:10" x14ac:dyDescent="0.25">
      <c r="A4168" s="2">
        <v>1759.7778880450801</v>
      </c>
      <c r="B4168" s="3">
        <v>-0.202822366709805</v>
      </c>
      <c r="C4168" s="3">
        <v>8.81848332735557E-3</v>
      </c>
      <c r="D4168" s="4">
        <v>2.50806583397402E-2</v>
      </c>
      <c r="E4168" s="3" t="s">
        <v>10288</v>
      </c>
      <c r="F4168" s="3" t="s">
        <v>10289</v>
      </c>
      <c r="G4168" s="3">
        <v>16558</v>
      </c>
      <c r="H4168" s="7" t="str">
        <f>HYPERLINK("http://www.ensembl.org/Mus_musculus/Gene/Summary?db=core;g=ENSMUSG00000038844","ENSMUSG00000038844")</f>
        <v>ENSMUSG00000038844</v>
      </c>
      <c r="I4168" s="7" t="str">
        <f>HYPERLINK("http://www.informatics.jax.org/marker/MGI:1098240","MGI:1098240")</f>
        <v>MGI:1098240</v>
      </c>
      <c r="J4168" s="4" t="s">
        <v>12</v>
      </c>
    </row>
    <row r="4169" spans="1:10" x14ac:dyDescent="0.25">
      <c r="A4169" s="2">
        <v>176.54909824020001</v>
      </c>
      <c r="B4169" s="3">
        <v>-0.203182316166406</v>
      </c>
      <c r="C4169" s="3">
        <v>4.3892133169841301E-2</v>
      </c>
      <c r="D4169" s="4">
        <v>0.102258924649891</v>
      </c>
      <c r="E4169" s="3" t="s">
        <v>13131</v>
      </c>
      <c r="F4169" s="3" t="s">
        <v>13132</v>
      </c>
      <c r="G4169" s="3">
        <v>103850</v>
      </c>
      <c r="H4169" s="7" t="str">
        <f>HYPERLINK("http://www.ensembl.org/Mus_musculus/Gene/Summary?db=core;g=ENSMUSG00000032615","ENSMUSG00000032615")</f>
        <v>ENSMUSG00000032615</v>
      </c>
      <c r="I4169" s="7" t="str">
        <f>HYPERLINK("http://www.informatics.jax.org/marker/MGI:1917127","MGI:1917127")</f>
        <v>MGI:1917127</v>
      </c>
      <c r="J4169" s="4" t="s">
        <v>12</v>
      </c>
    </row>
    <row r="4170" spans="1:10" x14ac:dyDescent="0.25">
      <c r="A4170" s="2">
        <v>169.540293678919</v>
      </c>
      <c r="B4170" s="3">
        <v>-0.20319250455001001</v>
      </c>
      <c r="C4170" s="3">
        <v>0.113590607747559</v>
      </c>
      <c r="D4170" s="4">
        <v>0.22560906998684199</v>
      </c>
      <c r="E4170" s="3" t="s">
        <v>10936</v>
      </c>
      <c r="F4170" s="3" t="s">
        <v>10937</v>
      </c>
      <c r="G4170" s="3">
        <v>16580</v>
      </c>
      <c r="H4170" s="7" t="str">
        <f>HYPERLINK("http://www.ensembl.org/Mus_musculus/Gene/Summary?db=core;g=ENSMUSG00000024301","ENSMUSG00000024301")</f>
        <v>ENSMUSG00000024301</v>
      </c>
      <c r="I4170" s="7" t="str">
        <f>HYPERLINK("http://www.informatics.jax.org/marker/MGI:2137414","MGI:2137414")</f>
        <v>MGI:2137414</v>
      </c>
      <c r="J4170" s="4" t="s">
        <v>12</v>
      </c>
    </row>
    <row r="4171" spans="1:10" x14ac:dyDescent="0.25">
      <c r="A4171" s="2">
        <v>1883.7730338479</v>
      </c>
      <c r="B4171" s="3">
        <v>-0.203317636568628</v>
      </c>
      <c r="C4171" s="3">
        <v>4.6951349849353E-4</v>
      </c>
      <c r="D4171" s="4">
        <v>1.7523824513710001E-3</v>
      </c>
      <c r="E4171" s="3" t="s">
        <v>10972</v>
      </c>
      <c r="F4171" s="3" t="s">
        <v>10973</v>
      </c>
      <c r="G4171" s="3">
        <v>23856</v>
      </c>
      <c r="H4171" s="7" t="str">
        <f>HYPERLINK("http://www.ensembl.org/Mus_musculus/Gene/Summary?db=core;g=ENSMUSG00000038914","ENSMUSG00000038914")</f>
        <v>ENSMUSG00000038914</v>
      </c>
      <c r="I4171" s="7" t="str">
        <f>HYPERLINK("http://www.informatics.jax.org/marker/MGI:1344352","MGI:1344352")</f>
        <v>MGI:1344352</v>
      </c>
      <c r="J4171" s="4" t="s">
        <v>12</v>
      </c>
    </row>
    <row r="4172" spans="1:10" x14ac:dyDescent="0.25">
      <c r="A4172" s="2">
        <v>1062.9338053507699</v>
      </c>
      <c r="B4172" s="3">
        <v>-0.203404955795567</v>
      </c>
      <c r="C4172" s="3">
        <v>1.72893040563215E-4</v>
      </c>
      <c r="D4172" s="4">
        <v>6.9404750314197897E-4</v>
      </c>
      <c r="E4172" s="3" t="s">
        <v>9251</v>
      </c>
      <c r="F4172" s="3" t="s">
        <v>9252</v>
      </c>
      <c r="G4172" s="3">
        <v>29812</v>
      </c>
      <c r="H4172" s="7" t="str">
        <f>HYPERLINK("http://www.ensembl.org/Mus_musculus/Gene/Summary?db=core;g=ENSMUSG00000027634","ENSMUSG00000027634")</f>
        <v>ENSMUSG00000027634</v>
      </c>
      <c r="I4172" s="7" t="str">
        <f>HYPERLINK("http://www.informatics.jax.org/marker/MGI:1352499","MGI:1352499")</f>
        <v>MGI:1352499</v>
      </c>
      <c r="J4172" s="4" t="s">
        <v>12</v>
      </c>
    </row>
    <row r="4173" spans="1:10" x14ac:dyDescent="0.25">
      <c r="A4173" s="2">
        <v>3586.9282263007799</v>
      </c>
      <c r="B4173" s="3">
        <v>-0.20381160446792801</v>
      </c>
      <c r="C4173" s="3">
        <v>1.0100702214895501E-3</v>
      </c>
      <c r="D4173" s="4">
        <v>3.5530843054713298E-3</v>
      </c>
      <c r="E4173" s="3" t="s">
        <v>4891</v>
      </c>
      <c r="F4173" s="3" t="s">
        <v>4892</v>
      </c>
      <c r="G4173" s="3">
        <v>67177</v>
      </c>
      <c r="H4173" s="7" t="str">
        <f>HYPERLINK("http://www.ensembl.org/Mus_musculus/Gene/Summary?db=core;g=ENSMUSG00000006585","ENSMUSG00000006585")</f>
        <v>ENSMUSG00000006585</v>
      </c>
      <c r="I4173" s="7" t="str">
        <f>HYPERLINK("http://www.informatics.jax.org/marker/MGI:1914427","MGI:1914427")</f>
        <v>MGI:1914427</v>
      </c>
      <c r="J4173" s="4" t="s">
        <v>12</v>
      </c>
    </row>
    <row r="4174" spans="1:10" x14ac:dyDescent="0.25">
      <c r="A4174" s="2">
        <v>1082.32394047466</v>
      </c>
      <c r="B4174" s="3">
        <v>-0.20399272671239499</v>
      </c>
      <c r="C4174" s="3">
        <v>7.35359485363521E-3</v>
      </c>
      <c r="D4174" s="4">
        <v>2.13338532644861E-2</v>
      </c>
      <c r="E4174" s="3" t="s">
        <v>10186</v>
      </c>
      <c r="F4174" s="3" t="s">
        <v>10187</v>
      </c>
      <c r="G4174" s="3">
        <v>72313</v>
      </c>
      <c r="H4174" s="7" t="str">
        <f>HYPERLINK("http://www.ensembl.org/Mus_musculus/Gene/Summary?db=core;g=ENSMUSG00000070733","ENSMUSG00000070733")</f>
        <v>ENSMUSG00000070733</v>
      </c>
      <c r="I4174" s="7" t="str">
        <f>HYPERLINK("http://www.informatics.jax.org/marker/MGI:1919563","MGI:1919563")</f>
        <v>MGI:1919563</v>
      </c>
      <c r="J4174" s="4" t="s">
        <v>12</v>
      </c>
    </row>
    <row r="4175" spans="1:10" x14ac:dyDescent="0.25">
      <c r="A4175" s="2">
        <v>651.55306723691695</v>
      </c>
      <c r="B4175" s="3">
        <v>-0.20423863970962</v>
      </c>
      <c r="C4175" s="3">
        <v>3.9165257387196398E-3</v>
      </c>
      <c r="D4175" s="4">
        <v>1.20878376948629E-2</v>
      </c>
      <c r="E4175" s="3" t="s">
        <v>8079</v>
      </c>
      <c r="F4175" s="3" t="s">
        <v>8080</v>
      </c>
      <c r="G4175" s="3">
        <v>57908</v>
      </c>
      <c r="H4175" s="7" t="str">
        <f>HYPERLINK("http://www.ensembl.org/Mus_musculus/Gene/Summary?db=core;g=ENSMUSG00000015597","ENSMUSG00000015597")</f>
        <v>ENSMUSG00000015597</v>
      </c>
      <c r="I4175" s="7" t="str">
        <f>HYPERLINK("http://www.informatics.jax.org/marker/MGI:1889348","MGI:1889348")</f>
        <v>MGI:1889348</v>
      </c>
      <c r="J4175" s="4" t="s">
        <v>12</v>
      </c>
    </row>
    <row r="4176" spans="1:10" x14ac:dyDescent="0.25">
      <c r="A4176" s="2">
        <v>1096.7746711272</v>
      </c>
      <c r="B4176" s="3">
        <v>-0.20456045628835101</v>
      </c>
      <c r="C4176" s="3">
        <v>2.97778101431764E-3</v>
      </c>
      <c r="D4176" s="4">
        <v>9.4432149278301895E-3</v>
      </c>
      <c r="E4176" s="3" t="s">
        <v>9263</v>
      </c>
      <c r="F4176" s="3" t="s">
        <v>9264</v>
      </c>
      <c r="G4176" s="3">
        <v>14904</v>
      </c>
      <c r="H4176" s="7" t="str">
        <f>HYPERLINK("http://www.ensembl.org/Mus_musculus/Gene/Summary?db=core;g=ENSMUSG00000042535","ENSMUSG00000042535")</f>
        <v>ENSMUSG00000042535</v>
      </c>
      <c r="I4176" s="7" t="str">
        <f>HYPERLINK("http://www.informatics.jax.org/marker/MGI:109443","MGI:109443")</f>
        <v>MGI:109443</v>
      </c>
      <c r="J4176" s="4" t="s">
        <v>12</v>
      </c>
    </row>
    <row r="4177" spans="1:10" x14ac:dyDescent="0.25">
      <c r="A4177" s="2">
        <v>936.43325318274196</v>
      </c>
      <c r="B4177" s="3">
        <v>-0.20478004330272501</v>
      </c>
      <c r="C4177" s="3">
        <v>9.7462792441263698E-4</v>
      </c>
      <c r="D4177" s="4">
        <v>3.4363694955349801E-3</v>
      </c>
      <c r="E4177" s="3" t="s">
        <v>9483</v>
      </c>
      <c r="F4177" s="3" t="s">
        <v>9484</v>
      </c>
      <c r="G4177" s="3">
        <v>68611</v>
      </c>
      <c r="H4177" s="7" t="str">
        <f>HYPERLINK("http://www.ensembl.org/Mus_musculus/Gene/Summary?db=core;g=ENSMUSG00000024181","ENSMUSG00000024181")</f>
        <v>ENSMUSG00000024181</v>
      </c>
      <c r="I4177" s="7" t="str">
        <f>HYPERLINK("http://www.informatics.jax.org/marker/MGI:1915861","MGI:1915861")</f>
        <v>MGI:1915861</v>
      </c>
      <c r="J4177" s="4" t="s">
        <v>12</v>
      </c>
    </row>
    <row r="4178" spans="1:10" x14ac:dyDescent="0.25">
      <c r="A4178" s="2">
        <v>163.046101131862</v>
      </c>
      <c r="B4178" s="3">
        <v>-0.20484679748385901</v>
      </c>
      <c r="C4178" s="3">
        <v>4.3443761635596802E-2</v>
      </c>
      <c r="D4178" s="4">
        <v>0.10133912143974801</v>
      </c>
      <c r="E4178" s="3" t="s">
        <v>12787</v>
      </c>
      <c r="F4178" s="3" t="s">
        <v>12788</v>
      </c>
      <c r="G4178" s="3">
        <v>76547</v>
      </c>
      <c r="H4178" s="7" t="str">
        <f>HYPERLINK("http://www.ensembl.org/Mus_musculus/Gene/Summary?db=core;g=ENSMUSG00000020921","ENSMUSG00000020921")</f>
        <v>ENSMUSG00000020921</v>
      </c>
      <c r="I4178" s="7" t="str">
        <f>HYPERLINK("http://www.informatics.jax.org/marker/MGI:1923797","MGI:1923797")</f>
        <v>MGI:1923797</v>
      </c>
      <c r="J4178" s="4" t="s">
        <v>12</v>
      </c>
    </row>
    <row r="4179" spans="1:10" x14ac:dyDescent="0.25">
      <c r="A4179" s="2">
        <v>1774.2870867644101</v>
      </c>
      <c r="B4179" s="3">
        <v>-0.204907403713247</v>
      </c>
      <c r="C4179" s="3">
        <v>5.1282048831771297E-4</v>
      </c>
      <c r="D4179" s="4">
        <v>1.9015571514934501E-3</v>
      </c>
      <c r="E4179" s="3" t="s">
        <v>4607</v>
      </c>
      <c r="F4179" s="3" t="s">
        <v>4608</v>
      </c>
      <c r="G4179" s="3">
        <v>66953</v>
      </c>
      <c r="H4179" s="7" t="str">
        <f>HYPERLINK("http://www.ensembl.org/Mus_musculus/Gene/Summary?db=core;g=ENSMUSG00000055612","ENSMUSG00000055612")</f>
        <v>ENSMUSG00000055612</v>
      </c>
      <c r="I4179" s="7" t="str">
        <f>HYPERLINK("http://www.informatics.jax.org/marker/MGI:1914203","MGI:1914203")</f>
        <v>MGI:1914203</v>
      </c>
      <c r="J4179" s="4" t="s">
        <v>12</v>
      </c>
    </row>
    <row r="4180" spans="1:10" x14ac:dyDescent="0.25">
      <c r="A4180" s="2">
        <v>543.624385548703</v>
      </c>
      <c r="B4180" s="3">
        <v>-0.20501965198807801</v>
      </c>
      <c r="C4180" s="3">
        <v>0.22447441916286801</v>
      </c>
      <c r="D4180" s="4">
        <v>0.38287751888097998</v>
      </c>
      <c r="E4180" s="3" t="s">
        <v>12735</v>
      </c>
      <c r="F4180" s="3" t="s">
        <v>12736</v>
      </c>
      <c r="G4180" s="3">
        <v>50708</v>
      </c>
      <c r="H4180" s="7" t="str">
        <f>HYPERLINK("http://www.ensembl.org/Mus_musculus/Gene/Summary?db=core;g=ENSMUSG00000036181","ENSMUSG00000036181")</f>
        <v>ENSMUSG00000036181</v>
      </c>
      <c r="I4180" s="7" t="str">
        <f>HYPERLINK("http://www.informatics.jax.org/marker/MGI:1931526","MGI:1931526")</f>
        <v>MGI:1931526</v>
      </c>
      <c r="J4180" s="4" t="s">
        <v>12</v>
      </c>
    </row>
    <row r="4181" spans="1:10" x14ac:dyDescent="0.25">
      <c r="A4181" s="2">
        <v>789.44952604451805</v>
      </c>
      <c r="B4181" s="3">
        <v>-0.20510426000238599</v>
      </c>
      <c r="C4181" s="3">
        <v>3.7202038380641497E-2</v>
      </c>
      <c r="D4181" s="4">
        <v>8.8756008572744002E-2</v>
      </c>
      <c r="E4181" s="3" t="s">
        <v>12267</v>
      </c>
      <c r="F4181" s="3" t="s">
        <v>12268</v>
      </c>
      <c r="G4181" s="3">
        <v>218977</v>
      </c>
      <c r="H4181" s="7" t="str">
        <f>HYPERLINK("http://www.ensembl.org/Mus_musculus/Gene/Summary?db=core;g=ENSMUSG00000037544","ENSMUSG00000037544")</f>
        <v>ENSMUSG00000037544</v>
      </c>
      <c r="I4181" s="7" t="str">
        <f>HYPERLINK("http://www.informatics.jax.org/marker/MGI:2183453","MGI:2183453")</f>
        <v>MGI:2183453</v>
      </c>
      <c r="J4181" s="4" t="s">
        <v>12</v>
      </c>
    </row>
    <row r="4182" spans="1:10" x14ac:dyDescent="0.25">
      <c r="A4182" s="2">
        <v>187.21837876114299</v>
      </c>
      <c r="B4182" s="3">
        <v>-0.20597256972005801</v>
      </c>
      <c r="C4182" s="3">
        <v>5.7818061895109497E-2</v>
      </c>
      <c r="D4182" s="4">
        <v>0.12903920867479399</v>
      </c>
      <c r="E4182" s="3" t="s">
        <v>7912</v>
      </c>
      <c r="F4182" s="3" t="s">
        <v>7913</v>
      </c>
      <c r="G4182" s="3">
        <v>18516</v>
      </c>
      <c r="H4182" s="7" t="str">
        <f>HYPERLINK("http://www.ensembl.org/Mus_musculus/Gene/Summary?db=core;g=ENSMUSG00000038718","ENSMUSG00000038718")</f>
        <v>ENSMUSG00000038718</v>
      </c>
      <c r="I4182" s="7" t="str">
        <f>HYPERLINK("http://www.informatics.jax.org/marker/MGI:97496","MGI:97496")</f>
        <v>MGI:97496</v>
      </c>
      <c r="J4182" s="4" t="s">
        <v>12</v>
      </c>
    </row>
    <row r="4183" spans="1:10" x14ac:dyDescent="0.25">
      <c r="A4183" s="2">
        <v>224.423158335051</v>
      </c>
      <c r="B4183" s="3">
        <v>-0.206034868815166</v>
      </c>
      <c r="C4183" s="3">
        <v>9.3825820392168996E-2</v>
      </c>
      <c r="D4183" s="4">
        <v>0.193217579282179</v>
      </c>
      <c r="E4183" s="3" t="s">
        <v>10670</v>
      </c>
      <c r="F4183" s="3" t="s">
        <v>10671</v>
      </c>
      <c r="G4183" s="3">
        <v>210146</v>
      </c>
      <c r="H4183" s="7" t="str">
        <f>HYPERLINK("http://www.ensembl.org/Mus_musculus/Gene/Summary?db=core;g=ENSMUSG00000041037","ENSMUSG00000041037")</f>
        <v>ENSMUSG00000041037</v>
      </c>
      <c r="I4183" s="7" t="str">
        <f>HYPERLINK("http://www.informatics.jax.org/marker/MGI:2667176","MGI:2667176")</f>
        <v>MGI:2667176</v>
      </c>
      <c r="J4183" s="4" t="s">
        <v>12</v>
      </c>
    </row>
    <row r="4184" spans="1:10" x14ac:dyDescent="0.25">
      <c r="A4184" s="2">
        <v>2299.7389515994601</v>
      </c>
      <c r="B4184" s="3">
        <v>-0.206220183791024</v>
      </c>
      <c r="C4184" s="3">
        <v>9.6885520205038404E-4</v>
      </c>
      <c r="D4184" s="4">
        <v>3.4166768686858099E-3</v>
      </c>
      <c r="E4184" s="3" t="s">
        <v>7070</v>
      </c>
      <c r="F4184" s="3" t="s">
        <v>7071</v>
      </c>
      <c r="G4184" s="3">
        <v>56190</v>
      </c>
      <c r="H4184" s="7" t="str">
        <f>HYPERLINK("http://www.ensembl.org/Mus_musculus/Gene/Summary?db=core;g=ENSMUSG00000027510","ENSMUSG00000027510")</f>
        <v>ENSMUSG00000027510</v>
      </c>
      <c r="I4184" s="7" t="str">
        <f>HYPERLINK("http://www.informatics.jax.org/marker/MGI:1889294","MGI:1889294")</f>
        <v>MGI:1889294</v>
      </c>
      <c r="J4184" s="4" t="s">
        <v>12</v>
      </c>
    </row>
    <row r="4185" spans="1:10" x14ac:dyDescent="0.25">
      <c r="A4185" s="2">
        <v>224.38624990119999</v>
      </c>
      <c r="B4185" s="3">
        <v>-0.20624012800022901</v>
      </c>
      <c r="C4185" s="3">
        <v>3.0036880419866099E-2</v>
      </c>
      <c r="D4185" s="4">
        <v>7.3657446939189797E-2</v>
      </c>
      <c r="E4185" s="3" t="s">
        <v>12289</v>
      </c>
      <c r="F4185" s="3" t="s">
        <v>12290</v>
      </c>
      <c r="G4185" s="3">
        <v>73847</v>
      </c>
      <c r="H4185" s="7" t="str">
        <f>HYPERLINK("http://www.ensembl.org/Mus_musculus/Gene/Summary?db=core;g=ENSMUSG00000027459","ENSMUSG00000027459")</f>
        <v>ENSMUSG00000027459</v>
      </c>
      <c r="I4185" s="7" t="str">
        <f>HYPERLINK("http://www.informatics.jax.org/marker/MGI:1921097","MGI:1921097")</f>
        <v>MGI:1921097</v>
      </c>
      <c r="J4185" s="4" t="s">
        <v>12</v>
      </c>
    </row>
    <row r="4186" spans="1:10" x14ac:dyDescent="0.25">
      <c r="A4186" s="2">
        <v>359.37042584563102</v>
      </c>
      <c r="B4186" s="3">
        <v>-0.20641608800207001</v>
      </c>
      <c r="C4186" s="3">
        <v>6.0677127902201899E-3</v>
      </c>
      <c r="D4186" s="4">
        <v>1.7896757663337599E-2</v>
      </c>
      <c r="E4186" s="3" t="s">
        <v>11617</v>
      </c>
      <c r="F4186" s="3" t="s">
        <v>11618</v>
      </c>
      <c r="G4186" s="3">
        <v>19355</v>
      </c>
      <c r="H4186" s="7" t="str">
        <f>HYPERLINK("http://www.ensembl.org/Mus_musculus/Gene/Summary?db=core;g=ENSMUSG00000022248","ENSMUSG00000022248")</f>
        <v>ENSMUSG00000022248</v>
      </c>
      <c r="I4186" s="7" t="str">
        <f>HYPERLINK("http://www.informatics.jax.org/marker/MGI:1316678","MGI:1316678")</f>
        <v>MGI:1316678</v>
      </c>
      <c r="J4186" s="4" t="s">
        <v>12</v>
      </c>
    </row>
    <row r="4187" spans="1:10" x14ac:dyDescent="0.25">
      <c r="A4187" s="2">
        <v>1058.0788658879401</v>
      </c>
      <c r="B4187" s="3">
        <v>-0.20643363639456</v>
      </c>
      <c r="C4187" s="3">
        <v>3.3511030818919501E-3</v>
      </c>
      <c r="D4187" s="4">
        <v>1.05154706727756E-2</v>
      </c>
      <c r="E4187" s="3" t="s">
        <v>9629</v>
      </c>
      <c r="F4187" s="3" t="s">
        <v>9630</v>
      </c>
      <c r="G4187" s="3">
        <v>98828</v>
      </c>
      <c r="H4187" s="7" t="str">
        <f>HYPERLINK("http://www.ensembl.org/Mus_musculus/Gene/Summary?db=core;g=ENSMUSG00000039128","ENSMUSG00000039128")</f>
        <v>ENSMUSG00000039128</v>
      </c>
      <c r="I4187" s="7" t="str">
        <f>HYPERLINK("http://www.informatics.jax.org/marker/MGI:2138811","MGI:2138811")</f>
        <v>MGI:2138811</v>
      </c>
      <c r="J4187" s="4" t="s">
        <v>12</v>
      </c>
    </row>
    <row r="4188" spans="1:10" x14ac:dyDescent="0.25">
      <c r="A4188" s="2">
        <v>3319.5147918018502</v>
      </c>
      <c r="B4188" s="3">
        <v>-0.20656359477108999</v>
      </c>
      <c r="C4188" s="5">
        <v>5.9988606398167298E-6</v>
      </c>
      <c r="D4188" s="6">
        <v>3.0327111001569999E-5</v>
      </c>
      <c r="E4188" s="3" t="s">
        <v>7660</v>
      </c>
      <c r="F4188" s="3" t="s">
        <v>7661</v>
      </c>
      <c r="G4188" s="3">
        <v>105245</v>
      </c>
      <c r="H4188" s="7" t="str">
        <f>HYPERLINK("http://www.ensembl.org/Mus_musculus/Gene/Summary?db=core;g=ENSMUSG00000038991","ENSMUSG00000038991")</f>
        <v>ENSMUSG00000038991</v>
      </c>
      <c r="I4188" s="7" t="str">
        <f>HYPERLINK("http://www.informatics.jax.org/marker/MGI:2145316","MGI:2145316")</f>
        <v>MGI:2145316</v>
      </c>
      <c r="J4188" s="4" t="s">
        <v>12</v>
      </c>
    </row>
    <row r="4189" spans="1:10" x14ac:dyDescent="0.25">
      <c r="A4189" s="2">
        <v>370.00040247523498</v>
      </c>
      <c r="B4189" s="3">
        <v>-0.206787558168538</v>
      </c>
      <c r="C4189" s="3">
        <v>8.4196835768505507E-3</v>
      </c>
      <c r="D4189" s="4">
        <v>2.4059067605534799E-2</v>
      </c>
      <c r="E4189" s="3" t="s">
        <v>11867</v>
      </c>
      <c r="F4189" s="3" t="s">
        <v>11868</v>
      </c>
      <c r="G4189" s="3">
        <v>66867</v>
      </c>
      <c r="H4189" s="7" t="str">
        <f>HYPERLINK("http://www.ensembl.org/Mus_musculus/Gene/Summary?db=core;g=ENSMUSG00000032329","ENSMUSG00000032329")</f>
        <v>ENSMUSG00000032329</v>
      </c>
      <c r="I4189" s="7" t="str">
        <f>HYPERLINK("http://www.informatics.jax.org/marker/MGI:1914117","MGI:1914117")</f>
        <v>MGI:1914117</v>
      </c>
      <c r="J4189" s="4" t="s">
        <v>12</v>
      </c>
    </row>
    <row r="4190" spans="1:10" x14ac:dyDescent="0.25">
      <c r="A4190" s="2">
        <v>453.329458973714</v>
      </c>
      <c r="B4190" s="3">
        <v>-0.20708952735936501</v>
      </c>
      <c r="C4190" s="3">
        <v>2.1526843898611901E-2</v>
      </c>
      <c r="D4190" s="4">
        <v>5.4993934686319398E-2</v>
      </c>
      <c r="E4190" s="3" t="s">
        <v>8947</v>
      </c>
      <c r="F4190" s="3" t="s">
        <v>8948</v>
      </c>
      <c r="G4190" s="3">
        <v>20359</v>
      </c>
      <c r="H4190" s="7" t="str">
        <f>HYPERLINK("http://www.ensembl.org/Mus_musculus/Gene/Summary?db=core;g=ENSMUSG00000001227","ENSMUSG00000001227")</f>
        <v>ENSMUSG00000001227</v>
      </c>
      <c r="I4190" s="7" t="str">
        <f>HYPERLINK("http://www.informatics.jax.org/marker/MGI:1202889","MGI:1202889")</f>
        <v>MGI:1202889</v>
      </c>
      <c r="J4190" s="4" t="s">
        <v>12</v>
      </c>
    </row>
    <row r="4191" spans="1:10" x14ac:dyDescent="0.25">
      <c r="A4191" s="2">
        <v>974.45737631672296</v>
      </c>
      <c r="B4191" s="3">
        <v>-0.20724013731600799</v>
      </c>
      <c r="C4191" s="3">
        <v>6.21030471079108E-2</v>
      </c>
      <c r="D4191" s="4">
        <v>0.13687604710868001</v>
      </c>
      <c r="E4191" s="3" t="s">
        <v>12177</v>
      </c>
      <c r="F4191" s="3" t="s">
        <v>12178</v>
      </c>
      <c r="G4191" s="3">
        <v>50794</v>
      </c>
      <c r="H4191" s="7" t="str">
        <f>HYPERLINK("http://www.ensembl.org/Mus_musculus/Gene/Summary?db=core;g=ENSMUSG00000052040","ENSMUSG00000052040")</f>
        <v>ENSMUSG00000052040</v>
      </c>
      <c r="I4191" s="7" t="str">
        <f>HYPERLINK("http://www.informatics.jax.org/marker/MGI:1354948","MGI:1354948")</f>
        <v>MGI:1354948</v>
      </c>
      <c r="J4191" s="4" t="s">
        <v>12</v>
      </c>
    </row>
    <row r="4192" spans="1:10" x14ac:dyDescent="0.25">
      <c r="A4192" s="2">
        <v>48.6458895275656</v>
      </c>
      <c r="B4192" s="3">
        <v>-0.20724554353215699</v>
      </c>
      <c r="C4192" s="3">
        <v>0.19283956422701301</v>
      </c>
      <c r="D4192" s="4">
        <v>0.34157560791876401</v>
      </c>
      <c r="E4192" s="3" t="s">
        <v>11971</v>
      </c>
      <c r="F4192" s="3" t="s">
        <v>11972</v>
      </c>
      <c r="G4192" s="3">
        <v>20523</v>
      </c>
      <c r="H4192" s="7" t="str">
        <f>HYPERLINK("http://www.ensembl.org/Mus_musculus/Gene/Summary?db=core;g=ENSMUSG00000031105","ENSMUSG00000031105")</f>
        <v>ENSMUSG00000031105</v>
      </c>
      <c r="I4192" s="7" t="str">
        <f>HYPERLINK("http://www.informatics.jax.org/marker/MGI:1330823","MGI:1330823")</f>
        <v>MGI:1330823</v>
      </c>
      <c r="J4192" s="4" t="s">
        <v>12</v>
      </c>
    </row>
    <row r="4193" spans="1:10" x14ac:dyDescent="0.25">
      <c r="A4193" s="2">
        <v>1595.2022664629401</v>
      </c>
      <c r="B4193" s="3">
        <v>-0.207283210786711</v>
      </c>
      <c r="C4193" s="5">
        <v>2.9569680120087199E-5</v>
      </c>
      <c r="D4193" s="4">
        <v>1.3462588563292201E-4</v>
      </c>
      <c r="E4193" s="3" t="s">
        <v>10591</v>
      </c>
      <c r="F4193" s="3" t="s">
        <v>10592</v>
      </c>
      <c r="G4193" s="3">
        <v>94067</v>
      </c>
      <c r="H4193" s="7" t="str">
        <f>HYPERLINK("http://www.ensembl.org/Mus_musculus/Gene/Summary?db=core;g=ENSMUSG00000025208","ENSMUSG00000025208")</f>
        <v>ENSMUSG00000025208</v>
      </c>
      <c r="I4193" s="7" t="str">
        <f>HYPERLINK("http://www.informatics.jax.org/marker/MGI:2137229","MGI:2137229")</f>
        <v>MGI:2137229</v>
      </c>
      <c r="J4193" s="4" t="s">
        <v>12</v>
      </c>
    </row>
    <row r="4194" spans="1:10" x14ac:dyDescent="0.25">
      <c r="A4194" s="2">
        <v>108.92650160090599</v>
      </c>
      <c r="B4194" s="3">
        <v>-0.20742116050436801</v>
      </c>
      <c r="C4194" s="3">
        <v>8.7388620655043894E-2</v>
      </c>
      <c r="D4194" s="4">
        <v>0.18222627133159899</v>
      </c>
      <c r="E4194" s="3" t="s">
        <v>11317</v>
      </c>
      <c r="F4194" s="3" t="s">
        <v>11318</v>
      </c>
      <c r="G4194" s="3">
        <v>72154</v>
      </c>
      <c r="H4194" s="7" t="str">
        <f>HYPERLINK("http://www.ensembl.org/Mus_musculus/Gene/Summary?db=core;g=ENSMUSG00000036898","ENSMUSG00000036898")</f>
        <v>ENSMUSG00000036898</v>
      </c>
      <c r="I4194" s="7" t="str">
        <f>HYPERLINK("http://www.informatics.jax.org/marker/MGI:1919404","MGI:1919404")</f>
        <v>MGI:1919404</v>
      </c>
      <c r="J4194" s="4" t="s">
        <v>12</v>
      </c>
    </row>
    <row r="4195" spans="1:10" x14ac:dyDescent="0.25">
      <c r="A4195" s="2">
        <v>3001.93970433201</v>
      </c>
      <c r="B4195" s="3">
        <v>-0.207718790531943</v>
      </c>
      <c r="C4195" s="3">
        <v>1.13664381242001E-4</v>
      </c>
      <c r="D4195" s="4">
        <v>4.7069605729049298E-4</v>
      </c>
      <c r="E4195" s="3" t="s">
        <v>12835</v>
      </c>
      <c r="F4195" s="3" t="s">
        <v>12836</v>
      </c>
      <c r="G4195" s="3">
        <v>226178</v>
      </c>
      <c r="H4195" s="7" t="str">
        <f>HYPERLINK("http://www.ensembl.org/Mus_musculus/Gene/Summary?db=core;g=ENSMUSG00000047731","ENSMUSG00000047731")</f>
        <v>ENSMUSG00000047731</v>
      </c>
      <c r="I4195" s="7" t="str">
        <f>HYPERLINK("http://www.informatics.jax.org/marker/MGI:107577","MGI:107577")</f>
        <v>MGI:107577</v>
      </c>
      <c r="J4195" s="4" t="s">
        <v>12</v>
      </c>
    </row>
    <row r="4196" spans="1:10" x14ac:dyDescent="0.25">
      <c r="A4196" s="2">
        <v>306.70203411995601</v>
      </c>
      <c r="B4196" s="3">
        <v>-0.20794936289236801</v>
      </c>
      <c r="C4196" s="3">
        <v>4.5304745007039796E-3</v>
      </c>
      <c r="D4196" s="4">
        <v>1.3761316295888301E-2</v>
      </c>
      <c r="E4196" s="3" t="s">
        <v>8243</v>
      </c>
      <c r="F4196" s="3" t="s">
        <v>8244</v>
      </c>
      <c r="G4196" s="3">
        <v>106947</v>
      </c>
      <c r="H4196" s="7" t="str">
        <f>HYPERLINK("http://www.ensembl.org/Mus_musculus/Gene/Summary?db=core;g=ENSMUSG00000046822","ENSMUSG00000046822")</f>
        <v>ENSMUSG00000046822</v>
      </c>
      <c r="I4196" s="7" t="str">
        <f>HYPERLINK("http://www.informatics.jax.org/marker/MGI:2147269","MGI:2147269")</f>
        <v>MGI:2147269</v>
      </c>
      <c r="J4196" s="4" t="s">
        <v>12</v>
      </c>
    </row>
    <row r="4197" spans="1:10" x14ac:dyDescent="0.25">
      <c r="A4197" s="2">
        <v>941.81844478051801</v>
      </c>
      <c r="B4197" s="3">
        <v>-0.20921418468829101</v>
      </c>
      <c r="C4197" s="3">
        <v>2.2480828640457199E-2</v>
      </c>
      <c r="D4197" s="4">
        <v>5.7086958613951903E-2</v>
      </c>
      <c r="E4197" s="3" t="s">
        <v>11333</v>
      </c>
      <c r="F4197" s="3" t="s">
        <v>11334</v>
      </c>
      <c r="G4197" s="3">
        <v>67549</v>
      </c>
      <c r="H4197" s="7" t="str">
        <f>HYPERLINK("http://www.ensembl.org/Mus_musculus/Gene/Summary?db=core;g=ENSMUSG00000028096","ENSMUSG00000028096")</f>
        <v>ENSMUSG00000028096</v>
      </c>
      <c r="I4197" s="7" t="str">
        <f>HYPERLINK("http://www.informatics.jax.org/marker/MGI:1914799","MGI:1914799")</f>
        <v>MGI:1914799</v>
      </c>
      <c r="J4197" s="4" t="s">
        <v>12</v>
      </c>
    </row>
    <row r="4198" spans="1:10" x14ac:dyDescent="0.25">
      <c r="A4198" s="2">
        <v>2932.3056532939299</v>
      </c>
      <c r="B4198" s="3">
        <v>-0.20923756511361699</v>
      </c>
      <c r="C4198" s="3">
        <v>3.9040408257392102E-3</v>
      </c>
      <c r="D4198" s="4">
        <v>1.20574723011519E-2</v>
      </c>
      <c r="E4198" s="3" t="s">
        <v>12348</v>
      </c>
      <c r="F4198" s="3" t="s">
        <v>12349</v>
      </c>
      <c r="G4198" s="3">
        <v>17979</v>
      </c>
      <c r="H4198" s="7" t="str">
        <f>HYPERLINK("http://www.ensembl.org/Mus_musculus/Gene/Summary?db=core;g=ENSMUSG00000027678","ENSMUSG00000027678")</f>
        <v>ENSMUSG00000027678</v>
      </c>
      <c r="I4198" s="7" t="str">
        <f>HYPERLINK("http://www.informatics.jax.org/marker/MGI:1276535","MGI:1276535")</f>
        <v>MGI:1276535</v>
      </c>
      <c r="J4198" s="4" t="s">
        <v>12</v>
      </c>
    </row>
    <row r="4199" spans="1:10" x14ac:dyDescent="0.25">
      <c r="A4199" s="2">
        <v>1737.5430038423201</v>
      </c>
      <c r="B4199" s="3">
        <v>-0.20927563232351501</v>
      </c>
      <c r="C4199" s="3">
        <v>2.79684623000699E-3</v>
      </c>
      <c r="D4199" s="4">
        <v>8.9456866517861298E-3</v>
      </c>
      <c r="E4199" s="3" t="s">
        <v>13973</v>
      </c>
      <c r="F4199" s="3" t="s">
        <v>13974</v>
      </c>
      <c r="G4199" s="3">
        <v>12168</v>
      </c>
      <c r="H4199" s="7" t="str">
        <f>HYPERLINK("http://www.ensembl.org/Mus_musculus/Gene/Summary?db=core;g=ENSMUSG00000067336","ENSMUSG00000067336")</f>
        <v>ENSMUSG00000067336</v>
      </c>
      <c r="I4199" s="7" t="str">
        <f>HYPERLINK("http://www.informatics.jax.org/marker/MGI:1095407","MGI:1095407")</f>
        <v>MGI:1095407</v>
      </c>
      <c r="J4199" s="4" t="s">
        <v>12</v>
      </c>
    </row>
    <row r="4200" spans="1:10" x14ac:dyDescent="0.25">
      <c r="A4200" s="2">
        <v>568.22622871628005</v>
      </c>
      <c r="B4200" s="3">
        <v>-0.20946741529041199</v>
      </c>
      <c r="C4200" s="3">
        <v>2.2588960424021099E-3</v>
      </c>
      <c r="D4200" s="4">
        <v>7.3844628471351403E-3</v>
      </c>
      <c r="E4200" s="3" t="s">
        <v>8487</v>
      </c>
      <c r="F4200" s="3" t="s">
        <v>8488</v>
      </c>
      <c r="G4200" s="3">
        <v>81489</v>
      </c>
      <c r="H4200" s="7" t="str">
        <f>HYPERLINK("http://www.ensembl.org/Mus_musculus/Gene/Summary?db=core;g=ENSMUSG00000005483","ENSMUSG00000005483")</f>
        <v>ENSMUSG00000005483</v>
      </c>
      <c r="I4200" s="7" t="str">
        <f>HYPERLINK("http://www.informatics.jax.org/marker/MGI:1931874","MGI:1931874")</f>
        <v>MGI:1931874</v>
      </c>
      <c r="J4200" s="4" t="s">
        <v>12</v>
      </c>
    </row>
    <row r="4201" spans="1:10" x14ac:dyDescent="0.25">
      <c r="A4201" s="2">
        <v>1527.0713407359001</v>
      </c>
      <c r="B4201" s="3">
        <v>-0.20952424500501601</v>
      </c>
      <c r="C4201" s="3">
        <v>6.9837840113539003E-4</v>
      </c>
      <c r="D4201" s="4">
        <v>2.5253861826770802E-3</v>
      </c>
      <c r="E4201" s="3" t="s">
        <v>5935</v>
      </c>
      <c r="F4201" s="3" t="s">
        <v>5936</v>
      </c>
      <c r="G4201" s="3">
        <v>219181</v>
      </c>
      <c r="H4201" s="7" t="str">
        <f>HYPERLINK("http://www.ensembl.org/Mus_musculus/Gene/Summary?db=core;g=ENSMUSG00000022016","ENSMUSG00000022016")</f>
        <v>ENSMUSG00000022016</v>
      </c>
      <c r="I4201" s="7" t="str">
        <f>HYPERLINK("http://www.informatics.jax.org/marker/MGI:2684060","MGI:2684060")</f>
        <v>MGI:2684060</v>
      </c>
      <c r="J4201" s="4" t="s">
        <v>12</v>
      </c>
    </row>
    <row r="4202" spans="1:10" x14ac:dyDescent="0.25">
      <c r="A4202" s="2">
        <v>116.277194318432</v>
      </c>
      <c r="B4202" s="3">
        <v>-0.20971448586742</v>
      </c>
      <c r="C4202" s="3">
        <v>0.101168590419297</v>
      </c>
      <c r="D4202" s="4">
        <v>0.20543705408263899</v>
      </c>
      <c r="E4202" s="3" t="s">
        <v>13821</v>
      </c>
      <c r="F4202" s="3" t="s">
        <v>13822</v>
      </c>
      <c r="G4202" s="3">
        <v>629016</v>
      </c>
      <c r="H4202" s="7" t="str">
        <f>HYPERLINK("http://www.ensembl.org/Mus_musculus/Gene/Summary?db=core;g=ENSMUSG00000098905","ENSMUSG00000098905")</f>
        <v>ENSMUSG00000098905</v>
      </c>
      <c r="I4202" s="7" t="str">
        <f>HYPERLINK("http://www.informatics.jax.org/marker/MGI:3612873","MGI:3612873")</f>
        <v>MGI:3612873</v>
      </c>
      <c r="J4202" s="4" t="s">
        <v>12</v>
      </c>
    </row>
    <row r="4203" spans="1:10" x14ac:dyDescent="0.25">
      <c r="A4203" s="2">
        <v>339.357765429008</v>
      </c>
      <c r="B4203" s="3">
        <v>-0.209718297035381</v>
      </c>
      <c r="C4203" s="3">
        <v>4.5859839900119102E-3</v>
      </c>
      <c r="D4203" s="4">
        <v>1.39067484555686E-2</v>
      </c>
      <c r="E4203" s="3" t="s">
        <v>7955</v>
      </c>
      <c r="F4203" s="3" t="s">
        <v>7956</v>
      </c>
      <c r="G4203" s="3">
        <v>103711</v>
      </c>
      <c r="H4203" s="7" t="str">
        <f>HYPERLINK("http://www.ensembl.org/Mus_musculus/Gene/Summary?db=core;g=ENSMUSG00000018659","ENSMUSG00000018659")</f>
        <v>ENSMUSG00000018659</v>
      </c>
      <c r="I4203" s="7" t="str">
        <f>HYPERLINK("http://www.informatics.jax.org/marker/MGI:2144151","MGI:2144151")</f>
        <v>MGI:2144151</v>
      </c>
      <c r="J4203" s="4" t="s">
        <v>12</v>
      </c>
    </row>
    <row r="4204" spans="1:10" x14ac:dyDescent="0.25">
      <c r="A4204" s="2">
        <v>547.57562573950599</v>
      </c>
      <c r="B4204" s="3">
        <v>-0.209727394752701</v>
      </c>
      <c r="C4204" s="3">
        <v>4.9493738108223797E-3</v>
      </c>
      <c r="D4204" s="4">
        <v>1.489767321713E-2</v>
      </c>
      <c r="E4204" s="3" t="s">
        <v>8927</v>
      </c>
      <c r="F4204" s="3" t="s">
        <v>8928</v>
      </c>
      <c r="G4204" s="3">
        <v>100502841</v>
      </c>
      <c r="H4204" s="7" t="str">
        <f>HYPERLINK("http://www.ensembl.org/Mus_musculus/Gene/Summary?db=core;g=ENSMUSG00000039840","ENSMUSG00000039840")</f>
        <v>ENSMUSG00000039840</v>
      </c>
      <c r="I4204" s="7" t="str">
        <f>HYPERLINK("http://www.informatics.jax.org/marker/MGI:1918673","MGI:1918673")</f>
        <v>MGI:1918673</v>
      </c>
      <c r="J4204" s="4" t="s">
        <v>12</v>
      </c>
    </row>
    <row r="4205" spans="1:10" x14ac:dyDescent="0.25">
      <c r="A4205" s="2">
        <v>445.49633964502198</v>
      </c>
      <c r="B4205" s="3">
        <v>-0.20985261383089601</v>
      </c>
      <c r="C4205" s="3">
        <v>5.4724449160409201E-3</v>
      </c>
      <c r="D4205" s="4">
        <v>1.6304611508066998E-2</v>
      </c>
      <c r="E4205" s="3" t="s">
        <v>10698</v>
      </c>
      <c r="F4205" s="3" t="s">
        <v>10699</v>
      </c>
      <c r="G4205" s="3">
        <v>12421</v>
      </c>
      <c r="H4205" s="7" t="str">
        <f>HYPERLINK("http://www.ensembl.org/Mus_musculus/Gene/Summary?db=core;g=ENSMUSG00000025907","ENSMUSG00000025907")</f>
        <v>ENSMUSG00000025907</v>
      </c>
      <c r="I4205" s="7" t="str">
        <f>HYPERLINK("http://www.informatics.jax.org/marker/MGI:1341850","MGI:1341850")</f>
        <v>MGI:1341850</v>
      </c>
      <c r="J4205" s="4" t="s">
        <v>12</v>
      </c>
    </row>
    <row r="4206" spans="1:10" x14ac:dyDescent="0.25">
      <c r="A4206" s="2">
        <v>646.47808965950196</v>
      </c>
      <c r="B4206" s="3">
        <v>-0.210041577774701</v>
      </c>
      <c r="C4206" s="3">
        <v>4.0935919874493399E-3</v>
      </c>
      <c r="D4206" s="4">
        <v>1.25747031807289E-2</v>
      </c>
      <c r="E4206" s="3" t="s">
        <v>8925</v>
      </c>
      <c r="F4206" s="3" t="s">
        <v>8926</v>
      </c>
      <c r="G4206" s="3">
        <v>71782</v>
      </c>
      <c r="H4206" s="7" t="str">
        <f>HYPERLINK("http://www.ensembl.org/Mus_musculus/Gene/Summary?db=core;g=ENSMUSG00000029501","ENSMUSG00000029501")</f>
        <v>ENSMUSG00000029501</v>
      </c>
      <c r="I4206" s="7" t="str">
        <f>HYPERLINK("http://www.informatics.jax.org/marker/MGI:1261856","MGI:1261856")</f>
        <v>MGI:1261856</v>
      </c>
      <c r="J4206" s="4" t="s">
        <v>12</v>
      </c>
    </row>
    <row r="4207" spans="1:10" x14ac:dyDescent="0.25">
      <c r="A4207" s="2">
        <v>1304.43107898686</v>
      </c>
      <c r="B4207" s="3">
        <v>-0.21006747644037699</v>
      </c>
      <c r="C4207" s="3">
        <v>1.7326412204871601E-4</v>
      </c>
      <c r="D4207" s="4">
        <v>6.95077839387596E-4</v>
      </c>
      <c r="E4207" s="3" t="s">
        <v>11953</v>
      </c>
      <c r="F4207" s="3" t="s">
        <v>11954</v>
      </c>
      <c r="G4207" s="3">
        <v>105675</v>
      </c>
      <c r="H4207" s="7" t="str">
        <f>HYPERLINK("http://www.ensembl.org/Mus_musculus/Gene/Summary?db=core;g=ENSMUSG00000021868","ENSMUSG00000021868")</f>
        <v>ENSMUSG00000021868</v>
      </c>
      <c r="I4207" s="7" t="str">
        <f>HYPERLINK("http://www.informatics.jax.org/marker/MGI:2145814","MGI:2145814")</f>
        <v>MGI:2145814</v>
      </c>
      <c r="J4207" s="4" t="s">
        <v>12</v>
      </c>
    </row>
    <row r="4208" spans="1:10" x14ac:dyDescent="0.25">
      <c r="A4208" s="2">
        <v>1036.66675394499</v>
      </c>
      <c r="B4208" s="3">
        <v>-0.21063087513741</v>
      </c>
      <c r="C4208" s="3">
        <v>3.6968742667062801E-3</v>
      </c>
      <c r="D4208" s="4">
        <v>1.14720813060994E-2</v>
      </c>
      <c r="E4208" s="3" t="s">
        <v>9757</v>
      </c>
      <c r="F4208" s="3" t="s">
        <v>9758</v>
      </c>
      <c r="G4208" s="3">
        <v>224648</v>
      </c>
      <c r="H4208" s="7" t="str">
        <f>HYPERLINK("http://www.ensembl.org/Mus_musculus/Gene/Summary?db=core;g=ENSMUSG00000039512","ENSMUSG00000039512")</f>
        <v>ENSMUSG00000039512</v>
      </c>
      <c r="I4208" s="7" t="str">
        <f>HYPERLINK("http://www.informatics.jax.org/marker/MGI:3041238","MGI:3041238")</f>
        <v>MGI:3041238</v>
      </c>
      <c r="J4208" s="4" t="s">
        <v>12</v>
      </c>
    </row>
    <row r="4209" spans="1:10" x14ac:dyDescent="0.25">
      <c r="A4209" s="2">
        <v>923.04720999532503</v>
      </c>
      <c r="B4209" s="3">
        <v>-0.21093169496557601</v>
      </c>
      <c r="C4209" s="5">
        <v>4.0934337108664801E-6</v>
      </c>
      <c r="D4209" s="6">
        <v>2.1139934650195999E-5</v>
      </c>
      <c r="E4209" s="3" t="s">
        <v>6589</v>
      </c>
      <c r="F4209" s="3" t="s">
        <v>6590</v>
      </c>
      <c r="G4209" s="3">
        <v>211922</v>
      </c>
      <c r="H4209" s="7" t="str">
        <f>HYPERLINK("http://www.ensembl.org/Mus_musculus/Gene/Summary?db=core;g=ENSMUSG00000040818","ENSMUSG00000040818")</f>
        <v>ENSMUSG00000040818</v>
      </c>
      <c r="I4209" s="7" t="str">
        <f>HYPERLINK("http://www.informatics.jax.org/marker/MGI:2442980","MGI:2442980")</f>
        <v>MGI:2442980</v>
      </c>
      <c r="J4209" s="4" t="s">
        <v>12</v>
      </c>
    </row>
    <row r="4210" spans="1:10" x14ac:dyDescent="0.25">
      <c r="A4210" s="2">
        <v>5582.4392075640599</v>
      </c>
      <c r="B4210" s="3">
        <v>-0.21117575735430899</v>
      </c>
      <c r="C4210" s="5">
        <v>6.1869951496531002E-7</v>
      </c>
      <c r="D4210" s="6">
        <v>3.5170925328268098E-6</v>
      </c>
      <c r="E4210" s="3" t="s">
        <v>6914</v>
      </c>
      <c r="F4210" s="3" t="s">
        <v>6915</v>
      </c>
      <c r="G4210" s="3">
        <v>14678</v>
      </c>
      <c r="H4210" s="7" t="str">
        <f>HYPERLINK("http://www.ensembl.org/Mus_musculus/Gene/Summary?db=core;g=ENSMUSG00000032562","ENSMUSG00000032562")</f>
        <v>ENSMUSG00000032562</v>
      </c>
      <c r="I4210" s="7" t="str">
        <f>HYPERLINK("http://www.informatics.jax.org/marker/MGI:95772","MGI:95772")</f>
        <v>MGI:95772</v>
      </c>
      <c r="J4210" s="4" t="s">
        <v>12</v>
      </c>
    </row>
    <row r="4211" spans="1:10" x14ac:dyDescent="0.25">
      <c r="A4211" s="2">
        <v>1841.61585451215</v>
      </c>
      <c r="B4211" s="3">
        <v>-0.211253222383955</v>
      </c>
      <c r="C4211" s="5">
        <v>2.0848474131040998E-6</v>
      </c>
      <c r="D4211" s="6">
        <v>1.11655433746172E-5</v>
      </c>
      <c r="E4211" s="3" t="s">
        <v>10414</v>
      </c>
      <c r="F4211" s="3" t="s">
        <v>10415</v>
      </c>
      <c r="G4211" s="3">
        <v>192196</v>
      </c>
      <c r="H4211" s="7" t="str">
        <f>HYPERLINK("http://www.ensembl.org/Mus_musculus/Gene/Summary?db=core;g=ENSMUSG00000029823","ENSMUSG00000029823")</f>
        <v>ENSMUSG00000029823</v>
      </c>
      <c r="I4211" s="7" t="str">
        <f>HYPERLINK("http://www.informatics.jax.org/marker/MGI:2183260","MGI:2183260")</f>
        <v>MGI:2183260</v>
      </c>
      <c r="J4211" s="4" t="s">
        <v>12</v>
      </c>
    </row>
    <row r="4212" spans="1:10" x14ac:dyDescent="0.25">
      <c r="A4212" s="2">
        <v>1569.81911432016</v>
      </c>
      <c r="B4212" s="3">
        <v>-0.211338203650493</v>
      </c>
      <c r="C4212" s="5">
        <v>8.9775631727619706E-6</v>
      </c>
      <c r="D4212" s="6">
        <v>4.4184739082794202E-5</v>
      </c>
      <c r="E4212" s="3" t="s">
        <v>12887</v>
      </c>
      <c r="F4212" s="3" t="s">
        <v>12888</v>
      </c>
      <c r="G4212" s="3">
        <v>116848</v>
      </c>
      <c r="H4212" s="7" t="str">
        <f>HYPERLINK("http://www.ensembl.org/Mus_musculus/Gene/Summary?db=core;g=ENSMUSG00000040054","ENSMUSG00000040054")</f>
        <v>ENSMUSG00000040054</v>
      </c>
      <c r="I4212" s="7" t="str">
        <f>HYPERLINK("http://www.informatics.jax.org/marker/MGI:2151152","MGI:2151152")</f>
        <v>MGI:2151152</v>
      </c>
      <c r="J4212" s="4" t="s">
        <v>12</v>
      </c>
    </row>
    <row r="4213" spans="1:10" x14ac:dyDescent="0.25">
      <c r="A4213" s="2">
        <v>517.67376551877601</v>
      </c>
      <c r="B4213" s="3">
        <v>-0.21138712933668199</v>
      </c>
      <c r="C4213" s="3">
        <v>5.4659641322594796E-3</v>
      </c>
      <c r="D4213" s="4">
        <v>1.6290628995981899E-2</v>
      </c>
      <c r="E4213" s="3" t="s">
        <v>11713</v>
      </c>
      <c r="F4213" s="3" t="s">
        <v>11714</v>
      </c>
      <c r="G4213" s="3">
        <v>67136</v>
      </c>
      <c r="H4213" s="7" t="str">
        <f>HYPERLINK("http://www.ensembl.org/Mus_musculus/Gene/Summary?db=core;g=ENSMUSG00000005505","ENSMUSG00000005505")</f>
        <v>ENSMUSG00000005505</v>
      </c>
      <c r="I4213" s="7" t="str">
        <f>HYPERLINK("http://www.informatics.jax.org/marker/MGI:1914386","MGI:1914386")</f>
        <v>MGI:1914386</v>
      </c>
      <c r="J4213" s="4" t="s">
        <v>12</v>
      </c>
    </row>
    <row r="4214" spans="1:10" x14ac:dyDescent="0.25">
      <c r="A4214" s="2">
        <v>1104.9640541680301</v>
      </c>
      <c r="B4214" s="3">
        <v>-0.211797408605018</v>
      </c>
      <c r="C4214" s="3">
        <v>7.5394354582125102E-3</v>
      </c>
      <c r="D4214" s="4">
        <v>2.1793213517196399E-2</v>
      </c>
      <c r="E4214" s="3" t="s">
        <v>6820</v>
      </c>
      <c r="F4214" s="3" t="s">
        <v>6821</v>
      </c>
      <c r="G4214" s="3">
        <v>26384</v>
      </c>
      <c r="H4214" s="7" t="str">
        <f>HYPERLINK("http://www.ensembl.org/Mus_musculus/Gene/Summary?db=core;g=ENSMUSG00000052102","ENSMUSG00000052102")</f>
        <v>ENSMUSG00000052102</v>
      </c>
      <c r="I4214" s="7" t="str">
        <f>HYPERLINK("http://www.informatics.jax.org/marker/MGI:1347054","MGI:1347054")</f>
        <v>MGI:1347054</v>
      </c>
      <c r="J4214" s="4" t="s">
        <v>12</v>
      </c>
    </row>
    <row r="4215" spans="1:10" x14ac:dyDescent="0.25">
      <c r="A4215" s="2">
        <v>3009.5500794065902</v>
      </c>
      <c r="B4215" s="3">
        <v>-0.21180721117221599</v>
      </c>
      <c r="C4215" s="3">
        <v>5.9298815155294198E-4</v>
      </c>
      <c r="D4215" s="4">
        <v>2.1775557247737999E-3</v>
      </c>
      <c r="E4215" s="3" t="s">
        <v>8067</v>
      </c>
      <c r="F4215" s="3" t="s">
        <v>8068</v>
      </c>
      <c r="G4215" s="3">
        <v>269951</v>
      </c>
      <c r="H4215" s="7" t="str">
        <f>HYPERLINK("http://www.ensembl.org/Mus_musculus/Gene/Summary?db=core;g=ENSMUSG00000030541","ENSMUSG00000030541")</f>
        <v>ENSMUSG00000030541</v>
      </c>
      <c r="I4215" s="7" t="str">
        <f>HYPERLINK("http://www.informatics.jax.org/marker/MGI:96414","MGI:96414")</f>
        <v>MGI:96414</v>
      </c>
      <c r="J4215" s="4" t="s">
        <v>12</v>
      </c>
    </row>
    <row r="4216" spans="1:10" x14ac:dyDescent="0.25">
      <c r="A4216" s="2">
        <v>254.74171006666299</v>
      </c>
      <c r="B4216" s="3">
        <v>-0.21183917161996799</v>
      </c>
      <c r="C4216" s="3">
        <v>6.6665859242828099E-2</v>
      </c>
      <c r="D4216" s="4">
        <v>0.14535055445633999</v>
      </c>
      <c r="E4216" s="3" t="s">
        <v>6541</v>
      </c>
      <c r="F4216" s="3" t="s">
        <v>6542</v>
      </c>
      <c r="G4216" s="3">
        <v>56707</v>
      </c>
      <c r="H4216" s="7" t="str">
        <f>HYPERLINK("http://www.ensembl.org/Mus_musculus/Gene/Summary?db=core;g=ENSMUSG00000087598","ENSMUSG00000087598")</f>
        <v>ENSMUSG00000087598</v>
      </c>
      <c r="I4216" s="7" t="str">
        <f>HYPERLINK("http://www.informatics.jax.org/marker/MGI:1929114","MGI:1929114")</f>
        <v>MGI:1929114</v>
      </c>
      <c r="J4216" s="4" t="s">
        <v>12</v>
      </c>
    </row>
    <row r="4217" spans="1:10" x14ac:dyDescent="0.25">
      <c r="A4217" s="2">
        <v>583.05349147254105</v>
      </c>
      <c r="B4217" s="3">
        <v>-0.21213406653912201</v>
      </c>
      <c r="C4217" s="3">
        <v>1.6280340571423399E-3</v>
      </c>
      <c r="D4217" s="4">
        <v>5.5037879227266204E-3</v>
      </c>
      <c r="E4217" s="3" t="s">
        <v>7482</v>
      </c>
      <c r="F4217" s="3" t="s">
        <v>7483</v>
      </c>
      <c r="G4217" s="3">
        <v>72486</v>
      </c>
      <c r="H4217" s="7" t="str">
        <f>HYPERLINK("http://www.ensembl.org/Mus_musculus/Gene/Summary?db=core;g=ENSMUSG00000022120","ENSMUSG00000022120")</f>
        <v>ENSMUSG00000022120</v>
      </c>
      <c r="I4217" s="7" t="str">
        <f>HYPERLINK("http://www.informatics.jax.org/marker/MGI:1919736","MGI:1919736")</f>
        <v>MGI:1919736</v>
      </c>
      <c r="J4217" s="4" t="s">
        <v>12</v>
      </c>
    </row>
    <row r="4218" spans="1:10" x14ac:dyDescent="0.25">
      <c r="A4218" s="2">
        <v>1232.3513519968801</v>
      </c>
      <c r="B4218" s="3">
        <v>-0.21219488632094199</v>
      </c>
      <c r="C4218" s="3">
        <v>1.9577330438852198E-3</v>
      </c>
      <c r="D4218" s="4">
        <v>6.4895752500560601E-3</v>
      </c>
      <c r="E4218" s="3" t="s">
        <v>8357</v>
      </c>
      <c r="F4218" s="3" t="s">
        <v>8358</v>
      </c>
      <c r="G4218" s="3">
        <v>102626</v>
      </c>
      <c r="H4218" s="7" t="str">
        <f>HYPERLINK("http://www.ensembl.org/Mus_musculus/Gene/Summary?db=core;g=ENSMUSG00000032577","ENSMUSG00000032577")</f>
        <v>ENSMUSG00000032577</v>
      </c>
      <c r="I4218" s="7" t="str">
        <f>HYPERLINK("http://www.informatics.jax.org/marker/MGI:2143163","MGI:2143163")</f>
        <v>MGI:2143163</v>
      </c>
      <c r="J4218" s="4" t="s">
        <v>12</v>
      </c>
    </row>
    <row r="4219" spans="1:10" x14ac:dyDescent="0.25">
      <c r="A4219" s="2">
        <v>820.98357188095702</v>
      </c>
      <c r="B4219" s="3">
        <v>-0.21232148730012201</v>
      </c>
      <c r="C4219" s="3">
        <v>7.4088045046433798E-3</v>
      </c>
      <c r="D4219" s="4">
        <v>2.1470100508367899E-2</v>
      </c>
      <c r="E4219" s="3" t="s">
        <v>4667</v>
      </c>
      <c r="F4219" s="3" t="s">
        <v>4668</v>
      </c>
      <c r="G4219" s="3">
        <v>241576</v>
      </c>
      <c r="H4219" s="7" t="str">
        <f>HYPERLINK("http://www.ensembl.org/Mus_musculus/Gene/Summary?db=core;g=ENSMUSG00000048058","ENSMUSG00000048058")</f>
        <v>ENSMUSG00000048058</v>
      </c>
      <c r="I4219" s="7" t="str">
        <f>HYPERLINK("http://www.informatics.jax.org/marker/MGI:2138856","MGI:2138856")</f>
        <v>MGI:2138856</v>
      </c>
      <c r="J4219" s="4" t="s">
        <v>12</v>
      </c>
    </row>
    <row r="4220" spans="1:10" x14ac:dyDescent="0.25">
      <c r="A4220" s="2">
        <v>2030.46903379685</v>
      </c>
      <c r="B4220" s="3">
        <v>-0.212707195299257</v>
      </c>
      <c r="C4220" s="3">
        <v>2.5366374318458798E-4</v>
      </c>
      <c r="D4220" s="4">
        <v>9.8719233814629896E-4</v>
      </c>
      <c r="E4220" s="3" t="s">
        <v>7884</v>
      </c>
      <c r="F4220" s="3" t="s">
        <v>7885</v>
      </c>
      <c r="G4220" s="3">
        <v>16801</v>
      </c>
      <c r="H4220" s="7" t="str">
        <f>HYPERLINK("http://www.ensembl.org/Mus_musculus/Gene/Summary?db=core;g=ENSMUSG00000040940","ENSMUSG00000040940")</f>
        <v>ENSMUSG00000040940</v>
      </c>
      <c r="I4220" s="7" t="str">
        <f>HYPERLINK("http://www.informatics.jax.org/marker/MGI:1353510","MGI:1353510")</f>
        <v>MGI:1353510</v>
      </c>
      <c r="J4220" s="4" t="s">
        <v>12</v>
      </c>
    </row>
    <row r="4221" spans="1:10" x14ac:dyDescent="0.25">
      <c r="A4221" s="2">
        <v>1005.93941826956</v>
      </c>
      <c r="B4221" s="3">
        <v>-0.21274969910980601</v>
      </c>
      <c r="C4221" s="3">
        <v>6.5855400148824301E-4</v>
      </c>
      <c r="D4221" s="4">
        <v>2.39277246354131E-3</v>
      </c>
      <c r="E4221" s="3" t="s">
        <v>12493</v>
      </c>
      <c r="F4221" s="3" t="s">
        <v>12494</v>
      </c>
      <c r="G4221" s="3">
        <v>75613</v>
      </c>
      <c r="H4221" s="7" t="str">
        <f>HYPERLINK("http://www.ensembl.org/Mus_musculus/Gene/Summary?db=core;g=ENSMUSG00000002968","ENSMUSG00000002968")</f>
        <v>ENSMUSG00000002968</v>
      </c>
      <c r="I4221" s="7" t="str">
        <f>HYPERLINK("http://www.informatics.jax.org/marker/MGI:1922863","MGI:1922863")</f>
        <v>MGI:1922863</v>
      </c>
      <c r="J4221" s="4" t="s">
        <v>12</v>
      </c>
    </row>
    <row r="4222" spans="1:10" x14ac:dyDescent="0.25">
      <c r="A4222" s="2">
        <v>445.00921791702501</v>
      </c>
      <c r="B4222" s="3">
        <v>-0.212773737147747</v>
      </c>
      <c r="C4222" s="3">
        <v>3.6213001838193599E-3</v>
      </c>
      <c r="D4222" s="4">
        <v>1.1264413014184601E-2</v>
      </c>
      <c r="E4222" s="3" t="s">
        <v>12635</v>
      </c>
      <c r="F4222" s="3" t="s">
        <v>12636</v>
      </c>
      <c r="G4222" s="3">
        <v>209456</v>
      </c>
      <c r="H4222" s="7" t="str">
        <f>HYPERLINK("http://www.ensembl.org/Mus_musculus/Gene/Summary?db=core;g=ENSMUSG00000026510","ENSMUSG00000026510")</f>
        <v>ENSMUSG00000026510</v>
      </c>
      <c r="I4222" s="7" t="str">
        <f>HYPERLINK("http://www.informatics.jax.org/marker/MGI:2138319","MGI:2138319")</f>
        <v>MGI:2138319</v>
      </c>
      <c r="J4222" s="4" t="s">
        <v>12</v>
      </c>
    </row>
    <row r="4223" spans="1:10" x14ac:dyDescent="0.25">
      <c r="A4223" s="2">
        <v>2903.4867506095002</v>
      </c>
      <c r="B4223" s="3">
        <v>-0.21278666998888801</v>
      </c>
      <c r="C4223" s="3">
        <v>1.27056483360295E-4</v>
      </c>
      <c r="D4223" s="4">
        <v>5.2188514970506695E-4</v>
      </c>
      <c r="E4223" s="3" t="s">
        <v>8613</v>
      </c>
      <c r="F4223" s="3" t="s">
        <v>8614</v>
      </c>
      <c r="G4223" s="3">
        <v>52615</v>
      </c>
      <c r="H4223" s="7" t="str">
        <f>HYPERLINK("http://www.ensembl.org/Mus_musculus/Gene/Summary?db=core;g=ENSMUSG00000017548","ENSMUSG00000017548")</f>
        <v>ENSMUSG00000017548</v>
      </c>
      <c r="I4223" s="7" t="str">
        <f>HYPERLINK("http://www.informatics.jax.org/marker/MGI:1261758","MGI:1261758")</f>
        <v>MGI:1261758</v>
      </c>
      <c r="J4223" s="4" t="s">
        <v>12</v>
      </c>
    </row>
    <row r="4224" spans="1:10" x14ac:dyDescent="0.25">
      <c r="A4224" s="2">
        <v>1366.7335370139999</v>
      </c>
      <c r="B4224" s="3">
        <v>-0.21297020735585501</v>
      </c>
      <c r="C4224" s="3">
        <v>1.1594949837551999E-4</v>
      </c>
      <c r="D4224" s="4">
        <v>4.7928773143430598E-4</v>
      </c>
      <c r="E4224" s="3" t="s">
        <v>4917</v>
      </c>
      <c r="F4224" s="3" t="s">
        <v>4918</v>
      </c>
      <c r="G4224" s="3">
        <v>27373</v>
      </c>
      <c r="H4224" s="7" t="str">
        <f>HYPERLINK("http://www.ensembl.org/Mus_musculus/Gene/Summary?db=core;g=ENSMUSG00000022433","ENSMUSG00000022433")</f>
        <v>ENSMUSG00000022433</v>
      </c>
      <c r="I4224" s="7" t="str">
        <f>HYPERLINK("http://www.informatics.jax.org/marker/MGI:1351660","MGI:1351660")</f>
        <v>MGI:1351660</v>
      </c>
      <c r="J4224" s="4" t="s">
        <v>12</v>
      </c>
    </row>
    <row r="4225" spans="1:10" x14ac:dyDescent="0.25">
      <c r="A4225" s="2">
        <v>284.66717551549101</v>
      </c>
      <c r="B4225" s="3">
        <v>-0.21300125520146801</v>
      </c>
      <c r="C4225" s="3">
        <v>6.5241890222062102E-2</v>
      </c>
      <c r="D4225" s="4">
        <v>0.14272397662910599</v>
      </c>
      <c r="E4225" s="3" t="s">
        <v>12233</v>
      </c>
      <c r="F4225" s="3" t="s">
        <v>12234</v>
      </c>
      <c r="G4225" s="3">
        <v>100177</v>
      </c>
      <c r="H4225" s="7" t="str">
        <f>HYPERLINK("http://www.ensembl.org/Mus_musculus/Gene/Summary?db=core;g=ENSMUSG00000042408","ENSMUSG00000042408")</f>
        <v>ENSMUSG00000042408</v>
      </c>
      <c r="I4225" s="7" t="str">
        <f>HYPERLINK("http://www.informatics.jax.org/marker/MGI:106505","MGI:106505")</f>
        <v>MGI:106505</v>
      </c>
      <c r="J4225" s="4" t="s">
        <v>12</v>
      </c>
    </row>
    <row r="4226" spans="1:10" x14ac:dyDescent="0.25">
      <c r="A4226" s="2">
        <v>115.305797085373</v>
      </c>
      <c r="B4226" s="3">
        <v>-0.21325018923629199</v>
      </c>
      <c r="C4226" s="3">
        <v>0.13877872493945401</v>
      </c>
      <c r="D4226" s="4">
        <v>0.26550937035708</v>
      </c>
      <c r="E4226" s="3" t="s">
        <v>11959</v>
      </c>
      <c r="F4226" s="3" t="s">
        <v>11960</v>
      </c>
      <c r="G4226" s="3">
        <v>218232</v>
      </c>
      <c r="H4226" s="7" t="str">
        <f>HYPERLINK("http://www.ensembl.org/Mus_musculus/Gene/Summary?db=core;g=ENSMUSG00000038042","ENSMUSG00000038042")</f>
        <v>ENSMUSG00000038042</v>
      </c>
      <c r="I4226" s="7" t="str">
        <f>HYPERLINK("http://www.informatics.jax.org/marker/MGI:2145430","MGI:2145430")</f>
        <v>MGI:2145430</v>
      </c>
      <c r="J4226" s="4" t="s">
        <v>12</v>
      </c>
    </row>
    <row r="4227" spans="1:10" x14ac:dyDescent="0.25">
      <c r="A4227" s="2">
        <v>789.95233322470403</v>
      </c>
      <c r="B4227" s="3">
        <v>-0.21360900095312799</v>
      </c>
      <c r="C4227" s="3">
        <v>3.2255720037225E-4</v>
      </c>
      <c r="D4227" s="4">
        <v>1.2337051367857801E-3</v>
      </c>
      <c r="E4227" s="3" t="s">
        <v>11685</v>
      </c>
      <c r="F4227" s="3" t="s">
        <v>11686</v>
      </c>
      <c r="G4227" s="3">
        <v>67444</v>
      </c>
      <c r="H4227" s="7" t="str">
        <f>HYPERLINK("http://www.ensembl.org/Mus_musculus/Gene/Summary?db=core;g=ENSMUSG00000026309","ENSMUSG00000026309")</f>
        <v>ENSMUSG00000026309</v>
      </c>
      <c r="I4227" s="7" t="str">
        <f>HYPERLINK("http://www.informatics.jax.org/marker/MGI:1914694","MGI:1914694")</f>
        <v>MGI:1914694</v>
      </c>
      <c r="J4227" s="4" t="s">
        <v>12</v>
      </c>
    </row>
    <row r="4228" spans="1:10" x14ac:dyDescent="0.25">
      <c r="A4228" s="2">
        <v>616.92949653362598</v>
      </c>
      <c r="B4228" s="3">
        <v>-0.21363150282216301</v>
      </c>
      <c r="C4228" s="3">
        <v>2.2069439334982499E-3</v>
      </c>
      <c r="D4228" s="4">
        <v>7.2366954278527598E-3</v>
      </c>
      <c r="E4228" s="3" t="s">
        <v>7778</v>
      </c>
      <c r="F4228" s="3" t="s">
        <v>7779</v>
      </c>
      <c r="G4228" s="3">
        <v>233905</v>
      </c>
      <c r="H4228" s="7" t="str">
        <f>HYPERLINK("http://www.ensembl.org/Mus_musculus/Gene/Summary?db=core;g=ENSMUSG00000049739","ENSMUSG00000049739")</f>
        <v>ENSMUSG00000049739</v>
      </c>
      <c r="I4228" s="7" t="str">
        <f>HYPERLINK("http://www.informatics.jax.org/marker/MGI:3665412","MGI:3665412")</f>
        <v>MGI:3665412</v>
      </c>
      <c r="J4228" s="4" t="s">
        <v>12</v>
      </c>
    </row>
    <row r="4229" spans="1:10" x14ac:dyDescent="0.25">
      <c r="A4229" s="2">
        <v>3360.6703067850899</v>
      </c>
      <c r="B4229" s="3">
        <v>-0.21435119059168101</v>
      </c>
      <c r="C4229" s="5">
        <v>4.0785482149771497E-6</v>
      </c>
      <c r="D4229" s="6">
        <v>2.10747191938178E-5</v>
      </c>
      <c r="E4229" s="3" t="s">
        <v>7682</v>
      </c>
      <c r="F4229" s="3" t="s">
        <v>7683</v>
      </c>
      <c r="G4229" s="3">
        <v>66912</v>
      </c>
      <c r="H4229" s="7" t="str">
        <f>HYPERLINK("http://www.ensembl.org/Mus_musculus/Gene/Summary?db=core;g=ENSMUSG00000020547","ENSMUSG00000020547")</f>
        <v>ENSMUSG00000020547</v>
      </c>
      <c r="I4229" s="7" t="str">
        <f>HYPERLINK("http://www.informatics.jax.org/marker/MGI:1914162","MGI:1914162")</f>
        <v>MGI:1914162</v>
      </c>
      <c r="J4229" s="4" t="s">
        <v>12</v>
      </c>
    </row>
    <row r="4230" spans="1:10" x14ac:dyDescent="0.25">
      <c r="A4230" s="2">
        <v>1648.54217213321</v>
      </c>
      <c r="B4230" s="3">
        <v>-0.21437257788588199</v>
      </c>
      <c r="C4230" s="3">
        <v>3.45104401093918E-4</v>
      </c>
      <c r="D4230" s="4">
        <v>1.3138766889360101E-3</v>
      </c>
      <c r="E4230" s="3" t="s">
        <v>12569</v>
      </c>
      <c r="F4230" s="3" t="s">
        <v>12570</v>
      </c>
      <c r="G4230" s="3">
        <v>53890</v>
      </c>
      <c r="H4230" s="7" t="str">
        <f>HYPERLINK("http://www.ensembl.org/Mus_musculus/Gene/Summary?db=core;g=ENSMUSG00000018974","ENSMUSG00000018974")</f>
        <v>ENSMUSG00000018974</v>
      </c>
      <c r="I4230" s="7" t="str">
        <f>HYPERLINK("http://www.informatics.jax.org/marker/MGI:1858230","MGI:1858230")</f>
        <v>MGI:1858230</v>
      </c>
      <c r="J4230" s="4" t="s">
        <v>12</v>
      </c>
    </row>
    <row r="4231" spans="1:10" x14ac:dyDescent="0.25">
      <c r="A4231" s="2">
        <v>418.70066556331301</v>
      </c>
      <c r="B4231" s="3">
        <v>-0.214440165514759</v>
      </c>
      <c r="C4231" s="3">
        <v>7.9673572303434303E-4</v>
      </c>
      <c r="D4231" s="4">
        <v>2.8499526108539501E-3</v>
      </c>
      <c r="E4231" s="3" t="s">
        <v>7108</v>
      </c>
      <c r="F4231" s="3" t="s">
        <v>7109</v>
      </c>
      <c r="G4231" s="3">
        <v>52592</v>
      </c>
      <c r="H4231" s="7" t="str">
        <f>HYPERLINK("http://www.ensembl.org/Mus_musculus/Gene/Summary?db=core;g=ENSMUSG00000012076","ENSMUSG00000012076")</f>
        <v>ENSMUSG00000012076</v>
      </c>
      <c r="I4231" s="7" t="str">
        <f>HYPERLINK("http://www.informatics.jax.org/marker/MGI:1196337","MGI:1196337")</f>
        <v>MGI:1196337</v>
      </c>
      <c r="J4231" s="4" t="s">
        <v>12</v>
      </c>
    </row>
    <row r="4232" spans="1:10" x14ac:dyDescent="0.25">
      <c r="A4232" s="2">
        <v>420.838836496054</v>
      </c>
      <c r="B4232" s="3">
        <v>-0.21459878336147101</v>
      </c>
      <c r="C4232" s="3">
        <v>4.1331542201237699E-3</v>
      </c>
      <c r="D4232" s="4">
        <v>1.26812686299252E-2</v>
      </c>
      <c r="E4232" s="3" t="s">
        <v>8835</v>
      </c>
      <c r="F4232" s="3" t="s">
        <v>8836</v>
      </c>
      <c r="G4232" s="3">
        <v>231841</v>
      </c>
      <c r="H4232" s="7" t="str">
        <f>HYPERLINK("http://www.ensembl.org/Mus_musculus/Gene/Summary?db=core;g=ENSMUSG00000000148","ENSMUSG00000000148")</f>
        <v>ENSMUSG00000000148</v>
      </c>
      <c r="I4232" s="7" t="str">
        <f>HYPERLINK("http://www.informatics.jax.org/marker/MGI:1891679","MGI:1891679")</f>
        <v>MGI:1891679</v>
      </c>
      <c r="J4232" s="4" t="s">
        <v>12</v>
      </c>
    </row>
    <row r="4233" spans="1:10" x14ac:dyDescent="0.25">
      <c r="A4233" s="2">
        <v>1638.20222101435</v>
      </c>
      <c r="B4233" s="3">
        <v>-0.21497770997249699</v>
      </c>
      <c r="C4233" s="5">
        <v>3.1571691754714301E-5</v>
      </c>
      <c r="D4233" s="4">
        <v>1.43097259942718E-4</v>
      </c>
      <c r="E4233" s="3" t="s">
        <v>10242</v>
      </c>
      <c r="F4233" s="3" t="s">
        <v>10243</v>
      </c>
      <c r="G4233" s="3">
        <v>58523</v>
      </c>
      <c r="H4233" s="7" t="str">
        <f>HYPERLINK("http://www.ensembl.org/Mus_musculus/Gene/Summary?db=core;g=ENSMUSG00000024271","ENSMUSG00000024271")</f>
        <v>ENSMUSG00000024271</v>
      </c>
      <c r="I4233" s="7" t="str">
        <f>HYPERLINK("http://www.informatics.jax.org/marker/MGI:1889642","MGI:1889642")</f>
        <v>MGI:1889642</v>
      </c>
      <c r="J4233" s="4" t="s">
        <v>12</v>
      </c>
    </row>
    <row r="4234" spans="1:10" x14ac:dyDescent="0.25">
      <c r="A4234" s="2">
        <v>1247.41220238395</v>
      </c>
      <c r="B4234" s="3">
        <v>-0.215189953073845</v>
      </c>
      <c r="C4234" s="5">
        <v>1.8673900926489401E-6</v>
      </c>
      <c r="D4234" s="6">
        <v>1.00511472057079E-5</v>
      </c>
      <c r="E4234" s="3" t="s">
        <v>6952</v>
      </c>
      <c r="F4234" s="3" t="s">
        <v>6953</v>
      </c>
      <c r="G4234" s="3">
        <v>56705</v>
      </c>
      <c r="H4234" s="7" t="str">
        <f>HYPERLINK("http://www.ensembl.org/Mus_musculus/Gene/Summary?db=core;g=ENSMUSG00000038546","ENSMUSG00000038546")</f>
        <v>ENSMUSG00000038546</v>
      </c>
      <c r="I4234" s="7" t="str">
        <f>HYPERLINK("http://www.informatics.jax.org/marker/MGI:1928741","MGI:1928741")</f>
        <v>MGI:1928741</v>
      </c>
      <c r="J4234" s="4" t="s">
        <v>12</v>
      </c>
    </row>
    <row r="4235" spans="1:10" x14ac:dyDescent="0.25">
      <c r="A4235" s="2">
        <v>225.328409915886</v>
      </c>
      <c r="B4235" s="3">
        <v>-0.21551925569088401</v>
      </c>
      <c r="C4235" s="3">
        <v>1.8705333782238501E-2</v>
      </c>
      <c r="D4235" s="4">
        <v>4.8700672597328E-2</v>
      </c>
      <c r="E4235" s="3" t="s">
        <v>12129</v>
      </c>
      <c r="F4235" s="3" t="s">
        <v>12130</v>
      </c>
      <c r="G4235" s="3">
        <v>66192</v>
      </c>
      <c r="H4235" s="7" t="str">
        <f>HYPERLINK("http://www.ensembl.org/Mus_musculus/Gene/Summary?db=core;g=ENSMUSG00000015289","ENSMUSG00000015289")</f>
        <v>ENSMUSG00000015289</v>
      </c>
      <c r="I4235" s="7" t="str">
        <f>HYPERLINK("http://www.informatics.jax.org/marker/MGI:1913442","MGI:1913442")</f>
        <v>MGI:1913442</v>
      </c>
      <c r="J4235" s="4" t="s">
        <v>12</v>
      </c>
    </row>
    <row r="4236" spans="1:10" x14ac:dyDescent="0.25">
      <c r="A4236" s="2">
        <v>202.62764022112501</v>
      </c>
      <c r="B4236" s="3">
        <v>-0.21568557022215001</v>
      </c>
      <c r="C4236" s="3">
        <v>1.1010961363474001E-2</v>
      </c>
      <c r="D4236" s="4">
        <v>3.0572024809462799E-2</v>
      </c>
      <c r="E4236" s="3" t="s">
        <v>13671</v>
      </c>
      <c r="F4236" s="3" t="s">
        <v>13672</v>
      </c>
      <c r="G4236" s="3">
        <v>69955</v>
      </c>
      <c r="H4236" s="7" t="str">
        <f>HYPERLINK("http://www.ensembl.org/Mus_musculus/Gene/Summary?db=core;g=ENSMUSG00000021420","ENSMUSG00000021420")</f>
        <v>ENSMUSG00000021420</v>
      </c>
      <c r="I4236" s="7" t="str">
        <f>HYPERLINK("http://www.informatics.jax.org/marker/MGI:1917205","MGI:1917205")</f>
        <v>MGI:1917205</v>
      </c>
      <c r="J4236" s="4" t="s">
        <v>12</v>
      </c>
    </row>
    <row r="4237" spans="1:10" x14ac:dyDescent="0.25">
      <c r="A4237" s="2">
        <v>263.58171761906698</v>
      </c>
      <c r="B4237" s="3">
        <v>-0.21583661693374501</v>
      </c>
      <c r="C4237" s="3">
        <v>1.9972569050555399E-2</v>
      </c>
      <c r="D4237" s="4">
        <v>5.1550781892985703E-2</v>
      </c>
      <c r="E4237" s="3" t="s">
        <v>10830</v>
      </c>
      <c r="F4237" s="3" t="s">
        <v>10831</v>
      </c>
      <c r="G4237" s="3">
        <v>140810</v>
      </c>
      <c r="H4237" s="7" t="str">
        <f>HYPERLINK("http://www.ensembl.org/Mus_musculus/Gene/Summary?db=core;g=ENSMUSG00000090100","ENSMUSG00000090100")</f>
        <v>ENSMUSG00000090100</v>
      </c>
      <c r="I4237" s="7" t="str">
        <f>HYPERLINK("http://www.informatics.jax.org/marker/MGI:2155779","MGI:2155779")</f>
        <v>MGI:2155779</v>
      </c>
      <c r="J4237" s="4" t="s">
        <v>12</v>
      </c>
    </row>
    <row r="4238" spans="1:10" x14ac:dyDescent="0.25">
      <c r="A4238" s="2">
        <v>267.14130186371898</v>
      </c>
      <c r="B4238" s="3">
        <v>-0.216146916411289</v>
      </c>
      <c r="C4238" s="3">
        <v>1.9748843231612301E-2</v>
      </c>
      <c r="D4238" s="4">
        <v>5.1081843300615298E-2</v>
      </c>
      <c r="E4238" s="3" t="s">
        <v>10356</v>
      </c>
      <c r="F4238" s="3" t="s">
        <v>10357</v>
      </c>
      <c r="G4238" s="3">
        <v>105734727</v>
      </c>
      <c r="H4238" s="7" t="str">
        <f>HYPERLINK("http://www.ensembl.org/Mus_musculus/Gene/Summary?db=core;g=ENSMUSG00000097919","ENSMUSG00000097919")</f>
        <v>ENSMUSG00000097919</v>
      </c>
      <c r="I4238" s="7" t="str">
        <f>HYPERLINK("http://www.informatics.jax.org/marker/MGI:5504136","MGI:5504136")</f>
        <v>MGI:5504136</v>
      </c>
      <c r="J4238" s="4" t="s">
        <v>12</v>
      </c>
    </row>
    <row r="4239" spans="1:10" x14ac:dyDescent="0.25">
      <c r="A4239" s="2">
        <v>94.576293372442706</v>
      </c>
      <c r="B4239" s="3">
        <v>-0.21631830868913701</v>
      </c>
      <c r="C4239" s="3">
        <v>9.7234662737377103E-2</v>
      </c>
      <c r="D4239" s="4">
        <v>0.19884444887664901</v>
      </c>
      <c r="E4239" s="3" t="s">
        <v>12041</v>
      </c>
      <c r="F4239" s="3" t="s">
        <v>12042</v>
      </c>
      <c r="G4239" s="3">
        <v>66935</v>
      </c>
      <c r="H4239" s="7" t="str">
        <f>HYPERLINK("http://www.ensembl.org/Mus_musculus/Gene/Summary?db=core;g=ENSMUSG00000041777","ENSMUSG00000041777")</f>
        <v>ENSMUSG00000041777</v>
      </c>
      <c r="I4239" s="7" t="str">
        <f>HYPERLINK("http://www.informatics.jax.org/marker/MGI:1914185","MGI:1914185")</f>
        <v>MGI:1914185</v>
      </c>
      <c r="J4239" s="4" t="s">
        <v>12</v>
      </c>
    </row>
    <row r="4240" spans="1:10" x14ac:dyDescent="0.25">
      <c r="A4240" s="2">
        <v>397.98752357836901</v>
      </c>
      <c r="B4240" s="3">
        <v>-0.216728992035192</v>
      </c>
      <c r="C4240" s="3">
        <v>3.0349120094167199E-2</v>
      </c>
      <c r="D4240" s="4">
        <v>7.4298648786924104E-2</v>
      </c>
      <c r="E4240" s="3" t="s">
        <v>10908</v>
      </c>
      <c r="F4240" s="3" t="s">
        <v>10909</v>
      </c>
      <c r="G4240" s="3">
        <v>269702</v>
      </c>
      <c r="H4240" s="7" t="str">
        <f>HYPERLINK("http://www.ensembl.org/Mus_musculus/Gene/Summary?db=core;g=ENSMUSG00000038126","ENSMUSG00000038126")</f>
        <v>ENSMUSG00000038126</v>
      </c>
      <c r="I4240" s="7" t="str">
        <f>HYPERLINK("http://www.informatics.jax.org/marker/MGI:2443138","MGI:2443138")</f>
        <v>MGI:2443138</v>
      </c>
      <c r="J4240" s="4" t="s">
        <v>12</v>
      </c>
    </row>
    <row r="4241" spans="1:10" x14ac:dyDescent="0.25">
      <c r="A4241" s="2">
        <v>1190.0799651269101</v>
      </c>
      <c r="B4241" s="3">
        <v>-0.216754606938803</v>
      </c>
      <c r="C4241" s="5">
        <v>2.4475204809593701E-5</v>
      </c>
      <c r="D4241" s="4">
        <v>1.12983943174986E-4</v>
      </c>
      <c r="E4241" s="3" t="s">
        <v>6705</v>
      </c>
      <c r="F4241" s="3" t="s">
        <v>6706</v>
      </c>
      <c r="G4241" s="3" t="s">
        <v>83</v>
      </c>
      <c r="H4241" s="7" t="str">
        <f>HYPERLINK("http://www.ensembl.org/Mus_musculus/Gene/Summary?db=core;g=ENSMUSG00000107478","ENSMUSG00000107478")</f>
        <v>ENSMUSG00000107478</v>
      </c>
      <c r="I4241" s="7" t="str">
        <f>HYPERLINK("http://www.informatics.jax.org/marker/MGI:5753810","MGI:5753810")</f>
        <v>MGI:5753810</v>
      </c>
      <c r="J4241" s="4" t="s">
        <v>12</v>
      </c>
    </row>
    <row r="4242" spans="1:10" x14ac:dyDescent="0.25">
      <c r="A4242" s="2">
        <v>1935.1573251449799</v>
      </c>
      <c r="B4242" s="3">
        <v>-0.21702239114712699</v>
      </c>
      <c r="C4242" s="5">
        <v>3.8595951155981301E-5</v>
      </c>
      <c r="D4242" s="4">
        <v>1.7181514651142099E-4</v>
      </c>
      <c r="E4242" s="3" t="s">
        <v>5943</v>
      </c>
      <c r="F4242" s="3" t="s">
        <v>5944</v>
      </c>
      <c r="G4242" s="3">
        <v>105782</v>
      </c>
      <c r="H4242" s="7" t="str">
        <f>HYPERLINK("http://www.ensembl.org/Mus_musculus/Gene/Summary?db=core;g=ENSMUSG00000022568","ENSMUSG00000022568")</f>
        <v>ENSMUSG00000022568</v>
      </c>
      <c r="I4242" s="7" t="str">
        <f>HYPERLINK("http://www.informatics.jax.org/marker/MGI:2145950","MGI:2145950")</f>
        <v>MGI:2145950</v>
      </c>
      <c r="J4242" s="4" t="s">
        <v>12</v>
      </c>
    </row>
    <row r="4243" spans="1:10" x14ac:dyDescent="0.25">
      <c r="A4243" s="2">
        <v>363.703267473035</v>
      </c>
      <c r="B4243" s="3">
        <v>-0.21723392784058501</v>
      </c>
      <c r="C4243" s="3">
        <v>1.3693195393865E-3</v>
      </c>
      <c r="D4243" s="4">
        <v>4.6971294194087902E-3</v>
      </c>
      <c r="E4243" s="3" t="s">
        <v>10834</v>
      </c>
      <c r="F4243" s="3" t="s">
        <v>10835</v>
      </c>
      <c r="G4243" s="3">
        <v>52637</v>
      </c>
      <c r="H4243" s="7" t="str">
        <f>HYPERLINK("http://www.ensembl.org/Mus_musculus/Gene/Summary?db=core;g=ENSMUSG00000037710","ENSMUSG00000037710")</f>
        <v>ENSMUSG00000037710</v>
      </c>
      <c r="I4243" s="7" t="str">
        <f>HYPERLINK("http://www.informatics.jax.org/marker/MGI:1261855","MGI:1261855")</f>
        <v>MGI:1261855</v>
      </c>
      <c r="J4243" s="4" t="s">
        <v>12</v>
      </c>
    </row>
    <row r="4244" spans="1:10" x14ac:dyDescent="0.25">
      <c r="A4244" s="2">
        <v>713.75084698354704</v>
      </c>
      <c r="B4244" s="3">
        <v>-0.21739394267420101</v>
      </c>
      <c r="C4244" s="3">
        <v>3.1194040196245399E-3</v>
      </c>
      <c r="D4244" s="4">
        <v>9.8494695526086806E-3</v>
      </c>
      <c r="E4244" s="3" t="s">
        <v>9023</v>
      </c>
      <c r="F4244" s="3" t="s">
        <v>9024</v>
      </c>
      <c r="G4244" s="3">
        <v>74585</v>
      </c>
      <c r="H4244" s="7" t="str">
        <f>HYPERLINK("http://www.ensembl.org/Mus_musculus/Gene/Summary?db=core;g=ENSMUSG00000029550","ENSMUSG00000029550")</f>
        <v>ENSMUSG00000029550</v>
      </c>
      <c r="I4244" s="7" t="str">
        <f>HYPERLINK("http://www.informatics.jax.org/marker/MGI:1891433","MGI:1891433")</f>
        <v>MGI:1891433</v>
      </c>
      <c r="J4244" s="4" t="s">
        <v>12</v>
      </c>
    </row>
    <row r="4245" spans="1:10" x14ac:dyDescent="0.25">
      <c r="A4245" s="2">
        <v>1178.4837611195101</v>
      </c>
      <c r="B4245" s="3">
        <v>-0.21739726749683999</v>
      </c>
      <c r="C4245" s="3">
        <v>1.2144724251809999E-4</v>
      </c>
      <c r="D4245" s="4">
        <v>5.0065053039863804E-4</v>
      </c>
      <c r="E4245" s="3" t="s">
        <v>10204</v>
      </c>
      <c r="F4245" s="3" t="s">
        <v>10205</v>
      </c>
      <c r="G4245" s="3">
        <v>74388</v>
      </c>
      <c r="H4245" s="7" t="str">
        <f>HYPERLINK("http://www.ensembl.org/Mus_musculus/Gene/Summary?db=core;g=ENSMUSG00000032393","ENSMUSG00000032393")</f>
        <v>ENSMUSG00000032393</v>
      </c>
      <c r="I4245" s="7" t="str">
        <f>HYPERLINK("http://www.informatics.jax.org/marker/MGI:1921638","MGI:1921638")</f>
        <v>MGI:1921638</v>
      </c>
      <c r="J4245" s="4" t="s">
        <v>12</v>
      </c>
    </row>
    <row r="4246" spans="1:10" x14ac:dyDescent="0.25">
      <c r="A4246" s="2">
        <v>775.06126422631496</v>
      </c>
      <c r="B4246" s="3">
        <v>-0.21784226091469999</v>
      </c>
      <c r="C4246" s="3">
        <v>2.5775031554287901E-2</v>
      </c>
      <c r="D4246" s="4">
        <v>6.4442657585656801E-2</v>
      </c>
      <c r="E4246" s="3" t="s">
        <v>11977</v>
      </c>
      <c r="F4246" s="3" t="s">
        <v>11978</v>
      </c>
      <c r="G4246" s="3">
        <v>18286</v>
      </c>
      <c r="H4246" s="7" t="str">
        <f>HYPERLINK("http://www.ensembl.org/Mus_musculus/Gene/Summary?db=core;g=ENSMUSG00000026790","ENSMUSG00000026790")</f>
        <v>ENSMUSG00000026790</v>
      </c>
      <c r="I4246" s="7" t="str">
        <f>HYPERLINK("http://www.informatics.jax.org/marker/MGI:1098824","MGI:1098824")</f>
        <v>MGI:1098824</v>
      </c>
      <c r="J4246" s="4" t="s">
        <v>12</v>
      </c>
    </row>
    <row r="4247" spans="1:10" x14ac:dyDescent="0.25">
      <c r="A4247" s="2">
        <v>705.50326737106604</v>
      </c>
      <c r="B4247" s="3">
        <v>-0.21792902119603599</v>
      </c>
      <c r="C4247" s="5">
        <v>6.5671736792860706E-5</v>
      </c>
      <c r="D4247" s="4">
        <v>2.8214695970058597E-4</v>
      </c>
      <c r="E4247" s="3" t="s">
        <v>5783</v>
      </c>
      <c r="F4247" s="3" t="s">
        <v>5784</v>
      </c>
      <c r="G4247" s="3">
        <v>217030</v>
      </c>
      <c r="H4247" s="7" t="str">
        <f>HYPERLINK("http://www.ensembl.org/Mus_musculus/Gene/Summary?db=core;g=ENSMUSG00000034940","ENSMUSG00000034940")</f>
        <v>ENSMUSG00000034940</v>
      </c>
      <c r="I4247" s="7" t="str">
        <f>HYPERLINK("http://www.informatics.jax.org/marker/MGI:1354742","MGI:1354742")</f>
        <v>MGI:1354742</v>
      </c>
      <c r="J4247" s="4" t="s">
        <v>12</v>
      </c>
    </row>
    <row r="4248" spans="1:10" x14ac:dyDescent="0.25">
      <c r="A4248" s="2">
        <v>719.418547640974</v>
      </c>
      <c r="B4248" s="3">
        <v>-0.21800020430709799</v>
      </c>
      <c r="C4248" s="3">
        <v>2.18623068945862E-4</v>
      </c>
      <c r="D4248" s="4">
        <v>8.6279892410964505E-4</v>
      </c>
      <c r="E4248" s="3" t="s">
        <v>5075</v>
      </c>
      <c r="F4248" s="3" t="s">
        <v>5076</v>
      </c>
      <c r="G4248" s="3">
        <v>101358</v>
      </c>
      <c r="H4248" s="7" t="str">
        <f>HYPERLINK("http://www.ensembl.org/Mus_musculus/Gene/Summary?db=core;g=ENSMUSG00000030019","ENSMUSG00000030019")</f>
        <v>ENSMUSG00000030019</v>
      </c>
      <c r="I4248" s="7" t="str">
        <f>HYPERLINK("http://www.informatics.jax.org/marker/MGI:2141676","MGI:2141676")</f>
        <v>MGI:2141676</v>
      </c>
      <c r="J4248" s="4" t="s">
        <v>12</v>
      </c>
    </row>
    <row r="4249" spans="1:10" x14ac:dyDescent="0.25">
      <c r="A4249" s="2">
        <v>863.19205714424595</v>
      </c>
      <c r="B4249" s="3">
        <v>-0.21836026436789999</v>
      </c>
      <c r="C4249" s="3">
        <v>1.2336727086150701E-4</v>
      </c>
      <c r="D4249" s="4">
        <v>5.0718892656236405E-4</v>
      </c>
      <c r="E4249" s="3" t="s">
        <v>10704</v>
      </c>
      <c r="F4249" s="3" t="s">
        <v>10705</v>
      </c>
      <c r="G4249" s="3">
        <v>75137</v>
      </c>
      <c r="H4249" s="7" t="str">
        <f>HYPERLINK("http://www.ensembl.org/Mus_musculus/Gene/Summary?db=core;g=ENSMUSG00000028106","ENSMUSG00000028106")</f>
        <v>ENSMUSG00000028106</v>
      </c>
      <c r="I4249" s="7" t="str">
        <f>HYPERLINK("http://www.informatics.jax.org/marker/MGI:1922387","MGI:1922387")</f>
        <v>MGI:1922387</v>
      </c>
      <c r="J4249" s="4" t="s">
        <v>12</v>
      </c>
    </row>
    <row r="4250" spans="1:10" x14ac:dyDescent="0.25">
      <c r="A4250" s="2">
        <v>1132.9860766402601</v>
      </c>
      <c r="B4250" s="3">
        <v>-0.21848090748004101</v>
      </c>
      <c r="C4250" s="5">
        <v>2.7742569232497001E-5</v>
      </c>
      <c r="D4250" s="4">
        <v>1.26856435183688E-4</v>
      </c>
      <c r="E4250" s="3" t="s">
        <v>4677</v>
      </c>
      <c r="F4250" s="3" t="s">
        <v>4678</v>
      </c>
      <c r="G4250" s="3">
        <v>18975</v>
      </c>
      <c r="H4250" s="7" t="str">
        <f>HYPERLINK("http://www.ensembl.org/Mus_musculus/Gene/Summary?db=core;g=ENSMUSG00000039176","ENSMUSG00000039176")</f>
        <v>ENSMUSG00000039176</v>
      </c>
      <c r="I4250" s="7" t="str">
        <f>HYPERLINK("http://www.informatics.jax.org/marker/MGI:1196389","MGI:1196389")</f>
        <v>MGI:1196389</v>
      </c>
      <c r="J4250" s="4" t="s">
        <v>12</v>
      </c>
    </row>
    <row r="4251" spans="1:10" x14ac:dyDescent="0.25">
      <c r="A4251" s="2">
        <v>2749.5850840552698</v>
      </c>
      <c r="B4251" s="3">
        <v>-0.21934542622827599</v>
      </c>
      <c r="C4251" s="5">
        <v>7.4146763386528705E-5</v>
      </c>
      <c r="D4251" s="4">
        <v>3.1580387069864098E-4</v>
      </c>
      <c r="E4251" s="3" t="s">
        <v>8215</v>
      </c>
      <c r="F4251" s="3" t="s">
        <v>8216</v>
      </c>
      <c r="G4251" s="3">
        <v>108660</v>
      </c>
      <c r="H4251" s="7" t="str">
        <f>HYPERLINK("http://www.ensembl.org/Mus_musculus/Gene/Summary?db=core;g=ENSMUSG00000020496","ENSMUSG00000020496")</f>
        <v>ENSMUSG00000020496</v>
      </c>
      <c r="I4251" s="7" t="str">
        <f>HYPERLINK("http://www.informatics.jax.org/marker/MGI:1914224","MGI:1914224")</f>
        <v>MGI:1914224</v>
      </c>
      <c r="J4251" s="4" t="s">
        <v>12</v>
      </c>
    </row>
    <row r="4252" spans="1:10" x14ac:dyDescent="0.25">
      <c r="A4252" s="2">
        <v>673.89961456019898</v>
      </c>
      <c r="B4252" s="3">
        <v>-0.21944159942868399</v>
      </c>
      <c r="C4252" s="3">
        <v>3.9250091117517497E-2</v>
      </c>
      <c r="D4252" s="4">
        <v>9.2960742120436202E-2</v>
      </c>
      <c r="E4252" s="3" t="s">
        <v>11213</v>
      </c>
      <c r="F4252" s="3" t="s">
        <v>11214</v>
      </c>
      <c r="G4252" s="3">
        <v>192654</v>
      </c>
      <c r="H4252" s="7" t="str">
        <f>HYPERLINK("http://www.ensembl.org/Mus_musculus/Gene/Summary?db=core;g=ENSMUSG00000031903","ENSMUSG00000031903")</f>
        <v>ENSMUSG00000031903</v>
      </c>
      <c r="I4252" s="7" t="str">
        <f>HYPERLINK("http://www.informatics.jax.org/marker/MGI:2178076","MGI:2178076")</f>
        <v>MGI:2178076</v>
      </c>
      <c r="J4252" s="4" t="s">
        <v>12</v>
      </c>
    </row>
    <row r="4253" spans="1:10" x14ac:dyDescent="0.25">
      <c r="A4253" s="2">
        <v>242.31673936708299</v>
      </c>
      <c r="B4253" s="3">
        <v>-0.219715394222285</v>
      </c>
      <c r="C4253" s="3">
        <v>5.5419191579934197E-3</v>
      </c>
      <c r="D4253" s="4">
        <v>1.6490037004804899E-2</v>
      </c>
      <c r="E4253" s="3" t="s">
        <v>5033</v>
      </c>
      <c r="F4253" s="3" t="s">
        <v>5034</v>
      </c>
      <c r="G4253" s="3">
        <v>50758</v>
      </c>
      <c r="H4253" s="7" t="str">
        <f>HYPERLINK("http://www.ensembl.org/Mus_musculus/Gene/Summary?db=core;g=ENSMUSG00000023965","ENSMUSG00000023965")</f>
        <v>ENSMUSG00000023965</v>
      </c>
      <c r="I4253" s="7" t="str">
        <f>HYPERLINK("http://www.informatics.jax.org/marker/MGI:1354704","MGI:1354704")</f>
        <v>MGI:1354704</v>
      </c>
      <c r="J4253" s="4" t="s">
        <v>12</v>
      </c>
    </row>
    <row r="4254" spans="1:10" x14ac:dyDescent="0.25">
      <c r="A4254" s="2">
        <v>471.54766681103501</v>
      </c>
      <c r="B4254" s="3">
        <v>-0.21982681238517399</v>
      </c>
      <c r="C4254" s="3">
        <v>1.4524746588765001E-3</v>
      </c>
      <c r="D4254" s="4">
        <v>4.9571817711655903E-3</v>
      </c>
      <c r="E4254" s="3" t="s">
        <v>12517</v>
      </c>
      <c r="F4254" s="3" t="s">
        <v>12518</v>
      </c>
      <c r="G4254" s="3">
        <v>72519</v>
      </c>
      <c r="H4254" s="7" t="str">
        <f>HYPERLINK("http://www.ensembl.org/Mus_musculus/Gene/Summary?db=core;g=ENSMUSG00000028221","ENSMUSG00000028221")</f>
        <v>ENSMUSG00000028221</v>
      </c>
      <c r="I4254" s="7" t="str">
        <f>HYPERLINK("http://www.informatics.jax.org/marker/MGI:1919769","MGI:1919769")</f>
        <v>MGI:1919769</v>
      </c>
      <c r="J4254" s="4" t="s">
        <v>12</v>
      </c>
    </row>
    <row r="4255" spans="1:10" x14ac:dyDescent="0.25">
      <c r="A4255" s="2">
        <v>265.874416873869</v>
      </c>
      <c r="B4255" s="3">
        <v>-0.22017421303628401</v>
      </c>
      <c r="C4255" s="3">
        <v>1.45756213692293E-2</v>
      </c>
      <c r="D4255" s="4">
        <v>3.9185823787314403E-2</v>
      </c>
      <c r="E4255" s="3" t="s">
        <v>9811</v>
      </c>
      <c r="F4255" s="3" t="s">
        <v>9812</v>
      </c>
      <c r="G4255" s="3">
        <v>15185</v>
      </c>
      <c r="H4255" s="7" t="str">
        <f>HYPERLINK("http://www.ensembl.org/Mus_musculus/Gene/Summary?db=core;g=ENSMUSG00000031161","ENSMUSG00000031161")</f>
        <v>ENSMUSG00000031161</v>
      </c>
      <c r="I4255" s="7" t="str">
        <f>HYPERLINK("http://www.informatics.jax.org/marker/MGI:1333752","MGI:1333752")</f>
        <v>MGI:1333752</v>
      </c>
      <c r="J4255" s="4" t="s">
        <v>12</v>
      </c>
    </row>
    <row r="4256" spans="1:10" x14ac:dyDescent="0.25">
      <c r="A4256" s="2">
        <v>497.134397204854</v>
      </c>
      <c r="B4256" s="3">
        <v>-0.220258860725143</v>
      </c>
      <c r="C4256" s="3">
        <v>2.7663639041163699E-3</v>
      </c>
      <c r="D4256" s="4">
        <v>8.8590725975260607E-3</v>
      </c>
      <c r="E4256" s="3" t="s">
        <v>12473</v>
      </c>
      <c r="F4256" s="3" t="s">
        <v>12474</v>
      </c>
      <c r="G4256" s="3">
        <v>70186</v>
      </c>
      <c r="H4256" s="7" t="str">
        <f>HYPERLINK("http://www.ensembl.org/Mus_musculus/Gene/Summary?db=core;g=ENSMUSG00000003955","ENSMUSG00000003955")</f>
        <v>ENSMUSG00000003955</v>
      </c>
      <c r="I4256" s="7" t="str">
        <f>HYPERLINK("http://www.informatics.jax.org/marker/MGI:1917436","MGI:1917436")</f>
        <v>MGI:1917436</v>
      </c>
      <c r="J4256" s="4" t="s">
        <v>12</v>
      </c>
    </row>
    <row r="4257" spans="1:10" x14ac:dyDescent="0.25">
      <c r="A4257" s="2">
        <v>250.011093765152</v>
      </c>
      <c r="B4257" s="3">
        <v>-0.22030950903735799</v>
      </c>
      <c r="C4257" s="3">
        <v>1.9868912040275102E-2</v>
      </c>
      <c r="D4257" s="4">
        <v>5.1334125593140698E-2</v>
      </c>
      <c r="E4257" s="3" t="s">
        <v>13049</v>
      </c>
      <c r="F4257" s="3" t="s">
        <v>13050</v>
      </c>
      <c r="G4257" s="3">
        <v>12015</v>
      </c>
      <c r="H4257" s="7" t="str">
        <f>HYPERLINK("http://www.ensembl.org/Mus_musculus/Gene/Summary?db=core;g=ENSMUSG00000024959","ENSMUSG00000024959")</f>
        <v>ENSMUSG00000024959</v>
      </c>
      <c r="I4257" s="7" t="str">
        <f>HYPERLINK("http://www.informatics.jax.org/marker/MGI:1096330","MGI:1096330")</f>
        <v>MGI:1096330</v>
      </c>
      <c r="J4257" s="4" t="s">
        <v>12</v>
      </c>
    </row>
    <row r="4258" spans="1:10" x14ac:dyDescent="0.25">
      <c r="A4258" s="2">
        <v>428.64384590337397</v>
      </c>
      <c r="B4258" s="3">
        <v>-0.22054105531332999</v>
      </c>
      <c r="C4258" s="3">
        <v>4.97125917986029E-2</v>
      </c>
      <c r="D4258" s="4">
        <v>0.113706323485133</v>
      </c>
      <c r="E4258" s="3" t="s">
        <v>12410</v>
      </c>
      <c r="F4258" s="3" t="s">
        <v>12411</v>
      </c>
      <c r="G4258" s="3">
        <v>100504195</v>
      </c>
      <c r="H4258" s="7" t="str">
        <f>HYPERLINK("http://www.ensembl.org/Mus_musculus/Gene/Summary?db=core;g=ENSMUSG00000038244","ENSMUSG00000038244")</f>
        <v>ENSMUSG00000038244</v>
      </c>
      <c r="I4258" s="7" t="str">
        <f>HYPERLINK("http://www.informatics.jax.org/marker/MGI:2444947","MGI:2444947")</f>
        <v>MGI:2444947</v>
      </c>
      <c r="J4258" s="4" t="s">
        <v>12</v>
      </c>
    </row>
    <row r="4259" spans="1:10" x14ac:dyDescent="0.25">
      <c r="A4259" s="2">
        <v>563.50813338356295</v>
      </c>
      <c r="B4259" s="3">
        <v>-0.220574377591019</v>
      </c>
      <c r="C4259" s="3">
        <v>6.4927977386340099E-4</v>
      </c>
      <c r="D4259" s="4">
        <v>2.3621474852763701E-3</v>
      </c>
      <c r="E4259" s="3" t="s">
        <v>2852</v>
      </c>
      <c r="F4259" s="3" t="s">
        <v>2853</v>
      </c>
      <c r="G4259" s="3">
        <v>22390</v>
      </c>
      <c r="H4259" s="7" t="str">
        <f>HYPERLINK("http://www.ensembl.org/Mus_musculus/Gene/Summary?db=core;g=ENSMUSG00000031016","ENSMUSG00000031016")</f>
        <v>ENSMUSG00000031016</v>
      </c>
      <c r="I4259" s="7" t="str">
        <f>HYPERLINK("http://www.informatics.jax.org/marker/MGI:103075","MGI:103075")</f>
        <v>MGI:103075</v>
      </c>
      <c r="J4259" s="4" t="s">
        <v>12</v>
      </c>
    </row>
    <row r="4260" spans="1:10" x14ac:dyDescent="0.25">
      <c r="A4260" s="2">
        <v>464.12699570395802</v>
      </c>
      <c r="B4260" s="3">
        <v>-0.22069666317099601</v>
      </c>
      <c r="C4260" s="3">
        <v>8.6002432752967204E-4</v>
      </c>
      <c r="D4260" s="4">
        <v>3.0595243742393701E-3</v>
      </c>
      <c r="E4260" s="3" t="s">
        <v>10100</v>
      </c>
      <c r="F4260" s="3" t="s">
        <v>10101</v>
      </c>
      <c r="G4260" s="3">
        <v>17350</v>
      </c>
      <c r="H4260" s="7" t="str">
        <f>HYPERLINK("http://www.ensembl.org/Mus_musculus/Gene/Summary?db=core;g=ENSMUSG00000032498","ENSMUSG00000032498")</f>
        <v>ENSMUSG00000032498</v>
      </c>
      <c r="I4260" s="7" t="str">
        <f>HYPERLINK("http://www.informatics.jax.org/marker/MGI:101938","MGI:101938")</f>
        <v>MGI:101938</v>
      </c>
      <c r="J4260" s="4" t="s">
        <v>12</v>
      </c>
    </row>
    <row r="4261" spans="1:10" x14ac:dyDescent="0.25">
      <c r="A4261" s="2">
        <v>284.03095105520498</v>
      </c>
      <c r="B4261" s="3">
        <v>-0.22101796622042999</v>
      </c>
      <c r="C4261" s="3">
        <v>5.3670032981434201E-3</v>
      </c>
      <c r="D4261" s="4">
        <v>1.6035022148961301E-2</v>
      </c>
      <c r="E4261" s="3" t="s">
        <v>10545</v>
      </c>
      <c r="F4261" s="3" t="s">
        <v>10546</v>
      </c>
      <c r="G4261" s="3">
        <v>224656</v>
      </c>
      <c r="H4261" s="7" t="str">
        <f>HYPERLINK("http://www.ensembl.org/Mus_musculus/Gene/Summary?db=core;g=ENSMUSG00000024220","ENSMUSG00000024220")</f>
        <v>ENSMUSG00000024220</v>
      </c>
      <c r="I4261" s="7" t="str">
        <f>HYPERLINK("http://www.informatics.jax.org/marker/MGI:2687278","MGI:2687278")</f>
        <v>MGI:2687278</v>
      </c>
      <c r="J4261" s="4" t="s">
        <v>12</v>
      </c>
    </row>
    <row r="4262" spans="1:10" x14ac:dyDescent="0.25">
      <c r="A4262" s="2">
        <v>2446.87370814928</v>
      </c>
      <c r="B4262" s="3">
        <v>-0.22102602083774001</v>
      </c>
      <c r="C4262" s="5">
        <v>9.4258024127556104E-6</v>
      </c>
      <c r="D4262" s="6">
        <v>4.6265889839071099E-5</v>
      </c>
      <c r="E4262" s="3" t="s">
        <v>7993</v>
      </c>
      <c r="F4262" s="3" t="s">
        <v>7994</v>
      </c>
      <c r="G4262" s="3">
        <v>231329</v>
      </c>
      <c r="H4262" s="7" t="str">
        <f>HYPERLINK("http://www.ensembl.org/Mus_musculus/Gene/Summary?db=core;g=ENSMUSG00000029250","ENSMUSG00000029250")</f>
        <v>ENSMUSG00000029250</v>
      </c>
      <c r="I4262" s="7" t="str">
        <f>HYPERLINK("http://www.informatics.jax.org/marker/MGI:2388280","MGI:2388280")</f>
        <v>MGI:2388280</v>
      </c>
      <c r="J4262" s="4" t="s">
        <v>12</v>
      </c>
    </row>
    <row r="4263" spans="1:10" x14ac:dyDescent="0.25">
      <c r="A4263" s="2">
        <v>935.11794183638801</v>
      </c>
      <c r="B4263" s="3">
        <v>-0.221067894965332</v>
      </c>
      <c r="C4263" s="3">
        <v>2.8341997013383601E-3</v>
      </c>
      <c r="D4263" s="4">
        <v>9.0508655260016797E-3</v>
      </c>
      <c r="E4263" s="3" t="s">
        <v>10678</v>
      </c>
      <c r="F4263" s="3" t="s">
        <v>10679</v>
      </c>
      <c r="G4263" s="3">
        <v>232440</v>
      </c>
      <c r="H4263" s="7" t="str">
        <f>HYPERLINK("http://www.ensembl.org/Mus_musculus/Gene/Summary?db=core;g=ENSMUSG00000060032","ENSMUSG00000060032")</f>
        <v>ENSMUSG00000060032</v>
      </c>
      <c r="I4263" s="7" t="str">
        <f>HYPERLINK("http://www.informatics.jax.org/marker/MGI:3606192","MGI:3606192")</f>
        <v>MGI:3606192</v>
      </c>
      <c r="J4263" s="4" t="s">
        <v>12</v>
      </c>
    </row>
    <row r="4264" spans="1:10" x14ac:dyDescent="0.25">
      <c r="A4264" s="2">
        <v>338.85972166642199</v>
      </c>
      <c r="B4264" s="3">
        <v>-0.221131403177034</v>
      </c>
      <c r="C4264" s="3">
        <v>3.50719124511693E-3</v>
      </c>
      <c r="D4264" s="4">
        <v>1.09468334376188E-2</v>
      </c>
      <c r="E4264" s="3" t="s">
        <v>9891</v>
      </c>
      <c r="F4264" s="3" t="s">
        <v>9892</v>
      </c>
      <c r="G4264" s="3">
        <v>67226</v>
      </c>
      <c r="H4264" s="7" t="str">
        <f>HYPERLINK("http://www.ensembl.org/Mus_musculus/Gene/Summary?db=core;g=ENSMUSG00000069520","ENSMUSG00000069520")</f>
        <v>ENSMUSG00000069520</v>
      </c>
      <c r="I4264" s="7" t="str">
        <f>HYPERLINK("http://www.informatics.jax.org/marker/MGI:1914476","MGI:1914476")</f>
        <v>MGI:1914476</v>
      </c>
      <c r="J4264" s="4" t="s">
        <v>12</v>
      </c>
    </row>
    <row r="4265" spans="1:10" x14ac:dyDescent="0.25">
      <c r="A4265" s="2">
        <v>661.27002474691403</v>
      </c>
      <c r="B4265" s="3">
        <v>-0.22129174293821699</v>
      </c>
      <c r="C4265" s="3">
        <v>5.4605798700125196E-3</v>
      </c>
      <c r="D4265" s="4">
        <v>1.6279906450348099E-2</v>
      </c>
      <c r="E4265" s="3" t="s">
        <v>9027</v>
      </c>
      <c r="F4265" s="3" t="s">
        <v>9028</v>
      </c>
      <c r="G4265" s="3">
        <v>78586</v>
      </c>
      <c r="H4265" s="7" t="str">
        <f>HYPERLINK("http://www.ensembl.org/Mus_musculus/Gene/Summary?db=core;g=ENSMUSG00000024135","ENSMUSG00000024135")</f>
        <v>ENSMUSG00000024135</v>
      </c>
      <c r="I4265" s="7" t="str">
        <f>HYPERLINK("http://www.informatics.jax.org/marker/MGI:1925836","MGI:1925836")</f>
        <v>MGI:1925836</v>
      </c>
      <c r="J4265" s="4" t="s">
        <v>12</v>
      </c>
    </row>
    <row r="4266" spans="1:10" x14ac:dyDescent="0.25">
      <c r="A4266" s="2">
        <v>3243.2143230705301</v>
      </c>
      <c r="B4266" s="3">
        <v>-0.22143450377728499</v>
      </c>
      <c r="C4266" s="5">
        <v>5.5915756466738095E-7</v>
      </c>
      <c r="D4266" s="6">
        <v>3.1955618112458501E-6</v>
      </c>
      <c r="E4266" s="3" t="s">
        <v>4047</v>
      </c>
      <c r="F4266" s="3" t="s">
        <v>4048</v>
      </c>
      <c r="G4266" s="3">
        <v>232989</v>
      </c>
      <c r="H4266" s="7" t="str">
        <f>HYPERLINK("http://www.ensembl.org/Mus_musculus/Gene/Summary?db=core;g=ENSMUSG00000040725","ENSMUSG00000040725")</f>
        <v>ENSMUSG00000040725</v>
      </c>
      <c r="I4266" s="7" t="str">
        <f>HYPERLINK("http://www.informatics.jax.org/marker/MGI:2443517","MGI:2443517")</f>
        <v>MGI:2443517</v>
      </c>
      <c r="J4266" s="4" t="s">
        <v>12</v>
      </c>
    </row>
    <row r="4267" spans="1:10" x14ac:dyDescent="0.25">
      <c r="A4267" s="2">
        <v>2170.7668446397802</v>
      </c>
      <c r="B4267" s="3">
        <v>-0.22188137631476601</v>
      </c>
      <c r="C4267" s="5">
        <v>1.15484937097589E-5</v>
      </c>
      <c r="D4267" s="6">
        <v>5.59615256209402E-5</v>
      </c>
      <c r="E4267" s="3" t="s">
        <v>6657</v>
      </c>
      <c r="F4267" s="3" t="s">
        <v>6658</v>
      </c>
      <c r="G4267" s="3">
        <v>225164</v>
      </c>
      <c r="H4267" s="7" t="str">
        <f>HYPERLINK("http://www.ensembl.org/Mus_musculus/Gene/Summary?db=core;g=ENSMUSG00000024294","ENSMUSG00000024294")</f>
        <v>ENSMUSG00000024294</v>
      </c>
      <c r="I4267" s="7" t="str">
        <f>HYPERLINK("http://www.informatics.jax.org/marker/MGI:2443157","MGI:2443157")</f>
        <v>MGI:2443157</v>
      </c>
      <c r="J4267" s="4" t="s">
        <v>12</v>
      </c>
    </row>
    <row r="4268" spans="1:10" x14ac:dyDescent="0.25">
      <c r="A4268" s="2">
        <v>5005.8441446329198</v>
      </c>
      <c r="B4268" s="3">
        <v>-0.222047305782761</v>
      </c>
      <c r="C4268" s="3">
        <v>1.2213895577654801E-4</v>
      </c>
      <c r="D4268" s="4">
        <v>5.0297191268929996E-4</v>
      </c>
      <c r="E4268" s="3" t="s">
        <v>13453</v>
      </c>
      <c r="F4268" s="3" t="s">
        <v>13454</v>
      </c>
      <c r="G4268" s="3">
        <v>67040</v>
      </c>
      <c r="H4268" s="7" t="str">
        <f>HYPERLINK("http://www.ensembl.org/Mus_musculus/Gene/Summary?db=core;g=ENSMUSG00000055065","ENSMUSG00000055065")</f>
        <v>ENSMUSG00000055065</v>
      </c>
      <c r="I4268" s="7" t="str">
        <f>HYPERLINK("http://www.informatics.jax.org/marker/MGI:1914290","MGI:1914290")</f>
        <v>MGI:1914290</v>
      </c>
      <c r="J4268" s="4" t="s">
        <v>12</v>
      </c>
    </row>
    <row r="4269" spans="1:10" x14ac:dyDescent="0.25">
      <c r="A4269" s="2">
        <v>646.88979207834302</v>
      </c>
      <c r="B4269" s="3">
        <v>-0.222367328261909</v>
      </c>
      <c r="C4269" s="3">
        <v>1.3878021229523101E-4</v>
      </c>
      <c r="D4269" s="4">
        <v>5.6570551757561605E-4</v>
      </c>
      <c r="E4269" s="3" t="s">
        <v>13237</v>
      </c>
      <c r="F4269" s="3" t="s">
        <v>13238</v>
      </c>
      <c r="G4269" s="3">
        <v>11428</v>
      </c>
      <c r="H4269" s="7" t="str">
        <f>HYPERLINK("http://www.ensembl.org/Mus_musculus/Gene/Summary?db=core;g=ENSMUSG00000028405","ENSMUSG00000028405")</f>
        <v>ENSMUSG00000028405</v>
      </c>
      <c r="I4269" s="7" t="str">
        <f>HYPERLINK("http://www.informatics.jax.org/marker/MGI:87879","MGI:87879")</f>
        <v>MGI:87879</v>
      </c>
      <c r="J4269" s="4" t="s">
        <v>12</v>
      </c>
    </row>
    <row r="4270" spans="1:10" x14ac:dyDescent="0.25">
      <c r="A4270" s="2">
        <v>492.35890343647401</v>
      </c>
      <c r="B4270" s="3">
        <v>-0.22254801233471899</v>
      </c>
      <c r="C4270" s="3">
        <v>1.4530289970258101E-3</v>
      </c>
      <c r="D4270" s="4">
        <v>4.9581451920605599E-3</v>
      </c>
      <c r="E4270" s="3" t="s">
        <v>10618</v>
      </c>
      <c r="F4270" s="3" t="s">
        <v>10619</v>
      </c>
      <c r="G4270" s="3">
        <v>13478</v>
      </c>
      <c r="H4270" s="7" t="str">
        <f>HYPERLINK("http://www.ensembl.org/Mus_musculus/Gene/Summary?db=core;g=ENSMUSG00000032123","ENSMUSG00000032123")</f>
        <v>ENSMUSG00000032123</v>
      </c>
      <c r="I4270" s="7" t="str">
        <f>HYPERLINK("http://www.informatics.jax.org/marker/MGI:1196396","MGI:1196396")</f>
        <v>MGI:1196396</v>
      </c>
      <c r="J4270" s="4" t="s">
        <v>12</v>
      </c>
    </row>
    <row r="4271" spans="1:10" x14ac:dyDescent="0.25">
      <c r="A4271" s="2">
        <v>849.51670326989301</v>
      </c>
      <c r="B4271" s="3">
        <v>-0.22286273378703</v>
      </c>
      <c r="C4271" s="3">
        <v>1.9707142859193099E-2</v>
      </c>
      <c r="D4271" s="4">
        <v>5.0988455225552801E-2</v>
      </c>
      <c r="E4271" s="3" t="s">
        <v>12253</v>
      </c>
      <c r="F4271" s="3" t="s">
        <v>12254</v>
      </c>
      <c r="G4271" s="3">
        <v>223754</v>
      </c>
      <c r="H4271" s="7" t="str">
        <f>HYPERLINK("http://www.ensembl.org/Mus_musculus/Gene/Summary?db=core;g=ENSMUSG00000051864","ENSMUSG00000051864")</f>
        <v>ENSMUSG00000051864</v>
      </c>
      <c r="I4271" s="7" t="str">
        <f>HYPERLINK("http://www.informatics.jax.org/marker/MGI:1289265","MGI:1289265")</f>
        <v>MGI:1289265</v>
      </c>
      <c r="J4271" s="4" t="s">
        <v>12</v>
      </c>
    </row>
    <row r="4272" spans="1:10" x14ac:dyDescent="0.25">
      <c r="A4272" s="2">
        <v>207.392414274598</v>
      </c>
      <c r="B4272" s="3">
        <v>-0.22300180196054201</v>
      </c>
      <c r="C4272" s="3">
        <v>1.8066966254779399E-2</v>
      </c>
      <c r="D4272" s="4">
        <v>4.7241098994742402E-2</v>
      </c>
      <c r="E4272" s="3" t="s">
        <v>12781</v>
      </c>
      <c r="F4272" s="3" t="s">
        <v>12782</v>
      </c>
      <c r="G4272" s="3">
        <v>100504663</v>
      </c>
      <c r="H4272" s="7" t="str">
        <f>HYPERLINK("http://www.ensembl.org/Mus_musculus/Gene/Summary?db=core;g=ENSMUSG00000037526","ENSMUSG00000037526")</f>
        <v>ENSMUSG00000037526</v>
      </c>
      <c r="I4272" s="7" t="str">
        <f>HYPERLINK("http://www.informatics.jax.org/marker/MGI:1261775","MGI:1261775")</f>
        <v>MGI:1261775</v>
      </c>
      <c r="J4272" s="4" t="s">
        <v>12</v>
      </c>
    </row>
    <row r="4273" spans="1:10" x14ac:dyDescent="0.25">
      <c r="A4273" s="2">
        <v>160.215779283964</v>
      </c>
      <c r="B4273" s="3">
        <v>-0.22358679889680599</v>
      </c>
      <c r="C4273" s="3">
        <v>0.14989058886456399</v>
      </c>
      <c r="D4273" s="4">
        <v>0.281479235657566</v>
      </c>
      <c r="E4273" s="3" t="s">
        <v>12125</v>
      </c>
      <c r="F4273" s="3" t="s">
        <v>12126</v>
      </c>
      <c r="G4273" s="3">
        <v>76832</v>
      </c>
      <c r="H4273" s="7" t="str">
        <f>HYPERLINK("http://www.ensembl.org/Mus_musculus/Gene/Summary?db=core;g=ENSMUSG00000050555","ENSMUSG00000050555")</f>
        <v>ENSMUSG00000050555</v>
      </c>
      <c r="I4273" s="7" t="str">
        <f>HYPERLINK("http://www.informatics.jax.org/marker/MGI:1924082","MGI:1924082")</f>
        <v>MGI:1924082</v>
      </c>
      <c r="J4273" s="4" t="s">
        <v>12</v>
      </c>
    </row>
    <row r="4274" spans="1:10" x14ac:dyDescent="0.25">
      <c r="A4274" s="2">
        <v>5483.1432316639202</v>
      </c>
      <c r="B4274" s="3">
        <v>-0.223667397673881</v>
      </c>
      <c r="C4274" s="5">
        <v>2.77002443546536E-5</v>
      </c>
      <c r="D4274" s="4">
        <v>1.26716102751898E-4</v>
      </c>
      <c r="E4274" s="3" t="s">
        <v>12386</v>
      </c>
      <c r="F4274" s="3" t="s">
        <v>12387</v>
      </c>
      <c r="G4274" s="3">
        <v>226757</v>
      </c>
      <c r="H4274" s="7" t="str">
        <f>HYPERLINK("http://www.ensembl.org/Mus_musculus/Gene/Summary?db=core;g=ENSMUSG00000038733","ENSMUSG00000038733")</f>
        <v>ENSMUSG00000038733</v>
      </c>
      <c r="I4274" s="7" t="str">
        <f>HYPERLINK("http://www.informatics.jax.org/marker/MGI:1923825","MGI:1923825")</f>
        <v>MGI:1923825</v>
      </c>
      <c r="J4274" s="4" t="s">
        <v>12</v>
      </c>
    </row>
    <row r="4275" spans="1:10" x14ac:dyDescent="0.25">
      <c r="A4275" s="2">
        <v>799.24864610705197</v>
      </c>
      <c r="B4275" s="3">
        <v>-0.22379268174900299</v>
      </c>
      <c r="C4275" s="3">
        <v>2.3735905270380001E-2</v>
      </c>
      <c r="D4275" s="4">
        <v>5.9915079439428601E-2</v>
      </c>
      <c r="E4275" s="3" t="s">
        <v>9265</v>
      </c>
      <c r="F4275" s="3" t="s">
        <v>9266</v>
      </c>
      <c r="G4275" s="3">
        <v>227612</v>
      </c>
      <c r="H4275" s="7" t="str">
        <f>HYPERLINK("http://www.ensembl.org/Mus_musculus/Gene/Summary?db=core;g=ENSMUSG00000059555","ENSMUSG00000059555")</f>
        <v>ENSMUSG00000059555</v>
      </c>
      <c r="I4275" s="7" t="str">
        <f>HYPERLINK("http://www.informatics.jax.org/marker/MGI:2442720","MGI:2442720")</f>
        <v>MGI:2442720</v>
      </c>
      <c r="J4275" s="4" t="s">
        <v>12</v>
      </c>
    </row>
    <row r="4276" spans="1:10" x14ac:dyDescent="0.25">
      <c r="A4276" s="2">
        <v>115.67209463542</v>
      </c>
      <c r="B4276" s="3">
        <v>-0.22414456978011099</v>
      </c>
      <c r="C4276" s="3">
        <v>5.5478615361514001E-2</v>
      </c>
      <c r="D4276" s="4">
        <v>0.124595731568362</v>
      </c>
      <c r="E4276" s="3" t="s">
        <v>13087</v>
      </c>
      <c r="F4276" s="3" t="s">
        <v>13088</v>
      </c>
      <c r="G4276" s="3">
        <v>227615</v>
      </c>
      <c r="H4276" s="7" t="str">
        <f>HYPERLINK("http://www.ensembl.org/Mus_musculus/Gene/Summary?db=core;g=ENSMUSG00000078201","ENSMUSG00000078201")</f>
        <v>ENSMUSG00000078201</v>
      </c>
      <c r="I4276" s="7" t="str">
        <f>HYPERLINK("http://www.informatics.jax.org/marker/MGI:2443597","MGI:2443597")</f>
        <v>MGI:2443597</v>
      </c>
      <c r="J4276" s="4" t="s">
        <v>12</v>
      </c>
    </row>
    <row r="4277" spans="1:10" x14ac:dyDescent="0.25">
      <c r="A4277" s="2">
        <v>1099.61896627139</v>
      </c>
      <c r="B4277" s="3">
        <v>-0.224145358746487</v>
      </c>
      <c r="C4277" s="3">
        <v>1.46557419483133E-4</v>
      </c>
      <c r="D4277" s="4">
        <v>5.9540993537229305E-4</v>
      </c>
      <c r="E4277" s="3" t="s">
        <v>4557</v>
      </c>
      <c r="F4277" s="3" t="s">
        <v>4558</v>
      </c>
      <c r="G4277" s="3">
        <v>270627</v>
      </c>
      <c r="H4277" s="7" t="str">
        <f>HYPERLINK("http://www.ensembl.org/Mus_musculus/Gene/Summary?db=core;g=ENSMUSG00000031314","ENSMUSG00000031314")</f>
        <v>ENSMUSG00000031314</v>
      </c>
      <c r="I4277" s="7" t="str">
        <f>HYPERLINK("http://www.informatics.jax.org/marker/MGI:1336878","MGI:1336878")</f>
        <v>MGI:1336878</v>
      </c>
      <c r="J4277" s="4" t="s">
        <v>12</v>
      </c>
    </row>
    <row r="4278" spans="1:10" x14ac:dyDescent="0.25">
      <c r="A4278" s="2">
        <v>179.91489259740001</v>
      </c>
      <c r="B4278" s="3">
        <v>-0.22437239148527699</v>
      </c>
      <c r="C4278" s="3">
        <v>1.56257270525542E-2</v>
      </c>
      <c r="D4278" s="4">
        <v>4.1713618797832301E-2</v>
      </c>
      <c r="E4278" s="3" t="s">
        <v>13969</v>
      </c>
      <c r="F4278" s="3" t="s">
        <v>13970</v>
      </c>
      <c r="G4278" s="3">
        <v>233890</v>
      </c>
      <c r="H4278" s="7" t="str">
        <f>HYPERLINK("http://www.ensembl.org/Mus_musculus/Gene/Summary?db=core;g=ENSMUSG00000047371","ENSMUSG00000047371")</f>
        <v>ENSMUSG00000047371</v>
      </c>
      <c r="I4278" s="7" t="str">
        <f>HYPERLINK("http://www.informatics.jax.org/marker/MGI:2384582","MGI:2384582")</f>
        <v>MGI:2384582</v>
      </c>
      <c r="J4278" s="4" t="s">
        <v>12</v>
      </c>
    </row>
    <row r="4279" spans="1:10" x14ac:dyDescent="0.25">
      <c r="A4279" s="2">
        <v>2224.1590321588001</v>
      </c>
      <c r="B4279" s="3">
        <v>-0.225052953083965</v>
      </c>
      <c r="C4279" s="5">
        <v>3.86564922909946E-7</v>
      </c>
      <c r="D4279" s="6">
        <v>2.2660488002681799E-6</v>
      </c>
      <c r="E4279" s="3" t="s">
        <v>7114</v>
      </c>
      <c r="F4279" s="3" t="s">
        <v>7115</v>
      </c>
      <c r="G4279" s="3">
        <v>231580</v>
      </c>
      <c r="H4279" s="7" t="str">
        <f>HYPERLINK("http://www.ensembl.org/Mus_musculus/Gene/Summary?db=core;g=ENSMUSG00000062234","ENSMUSG00000062234")</f>
        <v>ENSMUSG00000062234</v>
      </c>
      <c r="I4279" s="7" t="str">
        <f>HYPERLINK("http://www.informatics.jax.org/marker/MGI:2442153","MGI:2442153")</f>
        <v>MGI:2442153</v>
      </c>
      <c r="J4279" s="4" t="s">
        <v>12</v>
      </c>
    </row>
    <row r="4280" spans="1:10" x14ac:dyDescent="0.25">
      <c r="A4280" s="2">
        <v>59.129126467129097</v>
      </c>
      <c r="B4280" s="3">
        <v>-0.22546227011071801</v>
      </c>
      <c r="C4280" s="3">
        <v>0.18902449785888201</v>
      </c>
      <c r="D4280" s="4">
        <v>0.33668603141889503</v>
      </c>
      <c r="E4280" s="3" t="s">
        <v>12923</v>
      </c>
      <c r="F4280" s="3" t="s">
        <v>12924</v>
      </c>
      <c r="G4280" s="3">
        <v>66176</v>
      </c>
      <c r="H4280" s="7" t="str">
        <f>HYPERLINK("http://www.ensembl.org/Mus_musculus/Gene/Summary?db=core;g=ENSMUSG00000015542","ENSMUSG00000015542")</f>
        <v>ENSMUSG00000015542</v>
      </c>
      <c r="I4280" s="7" t="str">
        <f>HYPERLINK("http://www.informatics.jax.org/marker/MGI:1913426","MGI:1913426")</f>
        <v>MGI:1913426</v>
      </c>
      <c r="J4280" s="4" t="s">
        <v>12</v>
      </c>
    </row>
    <row r="4281" spans="1:10" x14ac:dyDescent="0.25">
      <c r="A4281" s="2">
        <v>394.89679814481798</v>
      </c>
      <c r="B4281" s="3">
        <v>-0.225642044205279</v>
      </c>
      <c r="C4281" s="3">
        <v>4.1690869652836497E-3</v>
      </c>
      <c r="D4281" s="4">
        <v>1.27786091393028E-2</v>
      </c>
      <c r="E4281" s="3" t="s">
        <v>5827</v>
      </c>
      <c r="F4281" s="3" t="s">
        <v>5828</v>
      </c>
      <c r="G4281" s="3">
        <v>210982</v>
      </c>
      <c r="H4281" s="7" t="str">
        <f>HYPERLINK("http://www.ensembl.org/Mus_musculus/Gene/Summary?db=core;g=ENSMUSG00000036568","ENSMUSG00000036568")</f>
        <v>ENSMUSG00000036568</v>
      </c>
      <c r="I4281" s="7" t="str">
        <f>HYPERLINK("http://www.informatics.jax.org/marker/MGI:2673855","MGI:2673855")</f>
        <v>MGI:2673855</v>
      </c>
      <c r="J4281" s="4" t="s">
        <v>12</v>
      </c>
    </row>
    <row r="4282" spans="1:10" x14ac:dyDescent="0.25">
      <c r="A4282" s="2">
        <v>542.87626704314096</v>
      </c>
      <c r="B4282" s="3">
        <v>-0.22590864709755901</v>
      </c>
      <c r="C4282" s="3">
        <v>4.0118184824348901E-3</v>
      </c>
      <c r="D4282" s="4">
        <v>1.23464265996341E-2</v>
      </c>
      <c r="E4282" s="3" t="s">
        <v>8361</v>
      </c>
      <c r="F4282" s="3" t="s">
        <v>8362</v>
      </c>
      <c r="G4282" s="3">
        <v>67883</v>
      </c>
      <c r="H4282" s="7" t="str">
        <f>HYPERLINK("http://www.ensembl.org/Mus_musculus/Gene/Summary?db=core;g=ENSMUSG00000057363","ENSMUSG00000057363")</f>
        <v>ENSMUSG00000057363</v>
      </c>
      <c r="I4282" s="7" t="str">
        <f>HYPERLINK("http://www.informatics.jax.org/marker/MGI:1915133","MGI:1915133")</f>
        <v>MGI:1915133</v>
      </c>
      <c r="J4282" s="4" t="s">
        <v>12</v>
      </c>
    </row>
    <row r="4283" spans="1:10" x14ac:dyDescent="0.25">
      <c r="A4283" s="2">
        <v>426.20208930914799</v>
      </c>
      <c r="B4283" s="3">
        <v>-0.225965546910223</v>
      </c>
      <c r="C4283" s="3">
        <v>1.4738618913782899E-3</v>
      </c>
      <c r="D4283" s="4">
        <v>5.0226501440480999E-3</v>
      </c>
      <c r="E4283" s="3" t="s">
        <v>9958</v>
      </c>
      <c r="F4283" s="3" t="s">
        <v>9959</v>
      </c>
      <c r="G4283" s="3">
        <v>74385</v>
      </c>
      <c r="H4283" s="7" t="str">
        <f>HYPERLINK("http://www.ensembl.org/Mus_musculus/Gene/Summary?db=core;g=ENSMUSG00000036291","ENSMUSG00000036291")</f>
        <v>ENSMUSG00000036291</v>
      </c>
      <c r="I4283" s="7" t="str">
        <f>HYPERLINK("http://www.informatics.jax.org/marker/MGI:1921635","MGI:1921635")</f>
        <v>MGI:1921635</v>
      </c>
      <c r="J4283" s="4" t="s">
        <v>12</v>
      </c>
    </row>
    <row r="4284" spans="1:10" x14ac:dyDescent="0.25">
      <c r="A4284" s="2">
        <v>616.74327193956901</v>
      </c>
      <c r="B4284" s="3">
        <v>-0.226047576810776</v>
      </c>
      <c r="C4284" s="3">
        <v>4.4842491165811001E-4</v>
      </c>
      <c r="D4284" s="4">
        <v>1.6784851129531899E-3</v>
      </c>
      <c r="E4284" s="3" t="s">
        <v>11221</v>
      </c>
      <c r="F4284" s="3" t="s">
        <v>11222</v>
      </c>
      <c r="G4284" s="3">
        <v>20615</v>
      </c>
      <c r="H4284" s="7" t="str">
        <f>HYPERLINK("http://www.ensembl.org/Mus_musculus/Gene/Summary?db=core;g=ENSMUSG00000001018","ENSMUSG00000001018")</f>
        <v>ENSMUSG00000001018</v>
      </c>
      <c r="I4284" s="7" t="str">
        <f>HYPERLINK("http://www.informatics.jax.org/marker/MGI:1333745","MGI:1333745")</f>
        <v>MGI:1333745</v>
      </c>
      <c r="J4284" s="4" t="s">
        <v>12</v>
      </c>
    </row>
    <row r="4285" spans="1:10" x14ac:dyDescent="0.25">
      <c r="A4285" s="2">
        <v>2845.6667156050598</v>
      </c>
      <c r="B4285" s="3">
        <v>-0.22630762415004399</v>
      </c>
      <c r="C4285" s="3">
        <v>2.6595890935434498E-4</v>
      </c>
      <c r="D4285" s="4">
        <v>1.0310787328191701E-3</v>
      </c>
      <c r="E4285" s="3" t="s">
        <v>6067</v>
      </c>
      <c r="F4285" s="3" t="s">
        <v>6068</v>
      </c>
      <c r="G4285" s="3">
        <v>74772</v>
      </c>
      <c r="H4285" s="7" t="str">
        <f>HYPERLINK("http://www.ensembl.org/Mus_musculus/Gene/Summary?db=core;g=ENSMUSG00000036622","ENSMUSG00000036622")</f>
        <v>ENSMUSG00000036622</v>
      </c>
      <c r="I4285" s="7" t="str">
        <f>HYPERLINK("http://www.informatics.jax.org/marker/MGI:1922022","MGI:1922022")</f>
        <v>MGI:1922022</v>
      </c>
      <c r="J4285" s="4" t="s">
        <v>12</v>
      </c>
    </row>
    <row r="4286" spans="1:10" x14ac:dyDescent="0.25">
      <c r="A4286" s="2">
        <v>637.36232390329599</v>
      </c>
      <c r="B4286" s="3">
        <v>-0.226350698231265</v>
      </c>
      <c r="C4286" s="3">
        <v>7.7993457410033002E-4</v>
      </c>
      <c r="D4286" s="4">
        <v>2.7931435671013E-3</v>
      </c>
      <c r="E4286" s="3" t="s">
        <v>10094</v>
      </c>
      <c r="F4286" s="3" t="s">
        <v>10095</v>
      </c>
      <c r="G4286" s="3">
        <v>54367</v>
      </c>
      <c r="H4286" s="7" t="str">
        <f>HYPERLINK("http://www.ensembl.org/Mus_musculus/Gene/Summary?db=core;g=ENSMUSG00000029290","ENSMUSG00000029290")</f>
        <v>ENSMUSG00000029290</v>
      </c>
      <c r="I4286" s="7" t="str">
        <f>HYPERLINK("http://www.informatics.jax.org/marker/MGI:1927246","MGI:1927246")</f>
        <v>MGI:1927246</v>
      </c>
      <c r="J4286" s="4" t="s">
        <v>12</v>
      </c>
    </row>
    <row r="4287" spans="1:10" x14ac:dyDescent="0.25">
      <c r="A4287" s="2">
        <v>823.34817010465497</v>
      </c>
      <c r="B4287" s="3">
        <v>-0.226392709153935</v>
      </c>
      <c r="C4287" s="3">
        <v>2.8140198755240301E-3</v>
      </c>
      <c r="D4287" s="4">
        <v>8.9960830821905098E-3</v>
      </c>
      <c r="E4287" s="3" t="s">
        <v>10116</v>
      </c>
      <c r="F4287" s="3" t="s">
        <v>10117</v>
      </c>
      <c r="G4287" s="3">
        <v>17354</v>
      </c>
      <c r="H4287" s="7" t="str">
        <f>HYPERLINK("http://www.ensembl.org/Mus_musculus/Gene/Summary?db=core;g=ENSMUSG00000026743","ENSMUSG00000026743")</f>
        <v>ENSMUSG00000026743</v>
      </c>
      <c r="I4287" s="7" t="str">
        <f>HYPERLINK("http://www.informatics.jax.org/marker/MGI:1329038","MGI:1329038")</f>
        <v>MGI:1329038</v>
      </c>
      <c r="J4287" s="4" t="s">
        <v>12</v>
      </c>
    </row>
    <row r="4288" spans="1:10" x14ac:dyDescent="0.25">
      <c r="A4288" s="2">
        <v>783.43608310944103</v>
      </c>
      <c r="B4288" s="3">
        <v>-0.226512820116476</v>
      </c>
      <c r="C4288" s="3">
        <v>6.3995190827156202E-3</v>
      </c>
      <c r="D4288" s="4">
        <v>1.8793302494761899E-2</v>
      </c>
      <c r="E4288" s="3" t="s">
        <v>10010</v>
      </c>
      <c r="F4288" s="3" t="s">
        <v>10011</v>
      </c>
      <c r="G4288" s="3">
        <v>71820</v>
      </c>
      <c r="H4288" s="7" t="str">
        <f>HYPERLINK("http://www.ensembl.org/Mus_musculus/Gene/Summary?db=core;g=ENSMUSG00000039715","ENSMUSG00000039715")</f>
        <v>ENSMUSG00000039715</v>
      </c>
      <c r="I4288" s="7" t="str">
        <f>HYPERLINK("http://www.informatics.jax.org/marker/MGI:1919070","MGI:1919070")</f>
        <v>MGI:1919070</v>
      </c>
      <c r="J4288" s="4" t="s">
        <v>12</v>
      </c>
    </row>
    <row r="4289" spans="1:10" x14ac:dyDescent="0.25">
      <c r="A4289" s="2">
        <v>132.481904997328</v>
      </c>
      <c r="B4289" s="3">
        <v>-0.227248290638075</v>
      </c>
      <c r="C4289" s="3">
        <v>4.1124077094978298E-2</v>
      </c>
      <c r="D4289" s="4">
        <v>9.6695433499674799E-2</v>
      </c>
      <c r="E4289" s="3" t="s">
        <v>13395</v>
      </c>
      <c r="F4289" s="3" t="s">
        <v>13396</v>
      </c>
      <c r="G4289" s="3">
        <v>15896</v>
      </c>
      <c r="H4289" s="7" t="str">
        <f>HYPERLINK("http://www.ensembl.org/Mus_musculus/Gene/Summary?db=core;g=ENSMUSG00000001029","ENSMUSG00000001029")</f>
        <v>ENSMUSG00000001029</v>
      </c>
      <c r="I4289" s="7" t="str">
        <f>HYPERLINK("http://www.informatics.jax.org/marker/MGI:96394","MGI:96394")</f>
        <v>MGI:96394</v>
      </c>
      <c r="J4289" s="4" t="s">
        <v>12</v>
      </c>
    </row>
    <row r="4290" spans="1:10" x14ac:dyDescent="0.25">
      <c r="A4290" s="2">
        <v>1365.0471953312201</v>
      </c>
      <c r="B4290" s="3">
        <v>-0.22732609373707399</v>
      </c>
      <c r="C4290" s="3">
        <v>5.32188325258034E-4</v>
      </c>
      <c r="D4290" s="4">
        <v>1.9689671595265299E-3</v>
      </c>
      <c r="E4290" s="3" t="s">
        <v>10412</v>
      </c>
      <c r="F4290" s="3" t="s">
        <v>10413</v>
      </c>
      <c r="G4290" s="3">
        <v>72900</v>
      </c>
      <c r="H4290" s="7" t="str">
        <f>HYPERLINK("http://www.ensembl.org/Mus_musculus/Gene/Summary?db=core;g=ENSMUSG00000024099","ENSMUSG00000024099")</f>
        <v>ENSMUSG00000024099</v>
      </c>
      <c r="I4290" s="7" t="str">
        <f>HYPERLINK("http://www.informatics.jax.org/marker/MGI:1920150","MGI:1920150")</f>
        <v>MGI:1920150</v>
      </c>
      <c r="J4290" s="4" t="s">
        <v>12</v>
      </c>
    </row>
    <row r="4291" spans="1:10" x14ac:dyDescent="0.25">
      <c r="A4291" s="2">
        <v>195.660563608714</v>
      </c>
      <c r="B4291" s="3">
        <v>-0.227385966943222</v>
      </c>
      <c r="C4291" s="3">
        <v>1.5534093460460301E-2</v>
      </c>
      <c r="D4291" s="4">
        <v>4.1511562069925199E-2</v>
      </c>
      <c r="E4291" s="3" t="s">
        <v>9657</v>
      </c>
      <c r="F4291" s="3" t="s">
        <v>9658</v>
      </c>
      <c r="G4291" s="3">
        <v>69090</v>
      </c>
      <c r="H4291" s="7" t="str">
        <f>HYPERLINK("http://www.ensembl.org/Mus_musculus/Gene/Summary?db=core;g=ENSMUSG00000044475","ENSMUSG00000044475")</f>
        <v>ENSMUSG00000044475</v>
      </c>
      <c r="I4291" s="7" t="str">
        <f>HYPERLINK("http://www.informatics.jax.org/marker/MGI:1916340","MGI:1916340")</f>
        <v>MGI:1916340</v>
      </c>
      <c r="J4291" s="4" t="s">
        <v>12</v>
      </c>
    </row>
    <row r="4292" spans="1:10" x14ac:dyDescent="0.25">
      <c r="A4292" s="2">
        <v>1551.29981477358</v>
      </c>
      <c r="B4292" s="3">
        <v>-0.227591151310194</v>
      </c>
      <c r="C4292" s="3">
        <v>4.1433432500659101E-4</v>
      </c>
      <c r="D4292" s="4">
        <v>1.55888585327108E-3</v>
      </c>
      <c r="E4292" s="3" t="s">
        <v>5545</v>
      </c>
      <c r="F4292" s="3" t="s">
        <v>5546</v>
      </c>
      <c r="G4292" s="3">
        <v>77065</v>
      </c>
      <c r="H4292" s="7" t="str">
        <f>HYPERLINK("http://www.ensembl.org/Mus_musculus/Gene/Summary?db=core;g=ENSMUSG00000037461","ENSMUSG00000037461")</f>
        <v>ENSMUSG00000037461</v>
      </c>
      <c r="I4292" s="7" t="str">
        <f>HYPERLINK("http://www.informatics.jax.org/marker/MGI:1924315","MGI:1924315")</f>
        <v>MGI:1924315</v>
      </c>
      <c r="J4292" s="4" t="s">
        <v>12</v>
      </c>
    </row>
    <row r="4293" spans="1:10" x14ac:dyDescent="0.25">
      <c r="A4293" s="2">
        <v>339.08878667101402</v>
      </c>
      <c r="B4293" s="3">
        <v>-0.22780750516408199</v>
      </c>
      <c r="C4293" s="3">
        <v>2.7144116311938801E-3</v>
      </c>
      <c r="D4293" s="4">
        <v>8.7080007003183194E-3</v>
      </c>
      <c r="E4293" s="3" t="s">
        <v>7272</v>
      </c>
      <c r="F4293" s="3" t="s">
        <v>7273</v>
      </c>
      <c r="G4293" s="3">
        <v>68276</v>
      </c>
      <c r="H4293" s="7" t="str">
        <f>HYPERLINK("http://www.ensembl.org/Mus_musculus/Gene/Summary?db=core;g=ENSMUSG00000028688","ENSMUSG00000028688")</f>
        <v>ENSMUSG00000028688</v>
      </c>
      <c r="I4293" s="7" t="str">
        <f>HYPERLINK("http://www.informatics.jax.org/marker/MGI:1915526","MGI:1915526")</f>
        <v>MGI:1915526</v>
      </c>
      <c r="J4293" s="4" t="s">
        <v>12</v>
      </c>
    </row>
    <row r="4294" spans="1:10" x14ac:dyDescent="0.25">
      <c r="A4294" s="2">
        <v>592.83699121055702</v>
      </c>
      <c r="B4294" s="3">
        <v>-0.227809740576943</v>
      </c>
      <c r="C4294" s="3">
        <v>1.24902671778994E-3</v>
      </c>
      <c r="D4294" s="4">
        <v>4.3186325045952703E-3</v>
      </c>
      <c r="E4294" s="3" t="s">
        <v>12333</v>
      </c>
      <c r="F4294" s="3" t="s">
        <v>12334</v>
      </c>
      <c r="G4294" s="3">
        <v>54160</v>
      </c>
      <c r="H4294" s="7" t="str">
        <f>HYPERLINK("http://www.ensembl.org/Mus_musculus/Gene/Summary?db=core;g=ENSMUSG00000025607","ENSMUSG00000025607")</f>
        <v>ENSMUSG00000025607</v>
      </c>
      <c r="I4294" s="7" t="str">
        <f>HYPERLINK("http://www.informatics.jax.org/marker/MGI:1858683","MGI:1858683")</f>
        <v>MGI:1858683</v>
      </c>
      <c r="J4294" s="4" t="s">
        <v>12</v>
      </c>
    </row>
    <row r="4295" spans="1:10" x14ac:dyDescent="0.25">
      <c r="A4295" s="2">
        <v>448.12847363173898</v>
      </c>
      <c r="B4295" s="3">
        <v>-0.22833034707758601</v>
      </c>
      <c r="C4295" s="3">
        <v>2.58656087496929E-2</v>
      </c>
      <c r="D4295" s="4">
        <v>6.4628560387051504E-2</v>
      </c>
      <c r="E4295" s="3" t="s">
        <v>12243</v>
      </c>
      <c r="F4295" s="3" t="s">
        <v>12244</v>
      </c>
      <c r="G4295" s="3">
        <v>237336</v>
      </c>
      <c r="H4295" s="7" t="str">
        <f>HYPERLINK("http://www.ensembl.org/Mus_musculus/Gene/Summary?db=core;g=ENSMUSG00000071359","ENSMUSG00000071359")</f>
        <v>ENSMUSG00000071359</v>
      </c>
      <c r="I4295" s="7" t="str">
        <f>HYPERLINK("http://www.informatics.jax.org/marker/MGI:1339946","MGI:1339946")</f>
        <v>MGI:1339946</v>
      </c>
      <c r="J4295" s="4" t="s">
        <v>12</v>
      </c>
    </row>
    <row r="4296" spans="1:10" x14ac:dyDescent="0.25">
      <c r="A4296" s="2">
        <v>1284.2255209392499</v>
      </c>
      <c r="B4296" s="3">
        <v>-0.22833114919064099</v>
      </c>
      <c r="C4296" s="3">
        <v>1.38373872710606E-4</v>
      </c>
      <c r="D4296" s="4">
        <v>5.6423270759162799E-4</v>
      </c>
      <c r="E4296" s="3" t="s">
        <v>10050</v>
      </c>
      <c r="F4296" s="3" t="s">
        <v>10051</v>
      </c>
      <c r="G4296" s="3">
        <v>223770</v>
      </c>
      <c r="H4296" s="7" t="str">
        <f>HYPERLINK("http://www.ensembl.org/Mus_musculus/Gene/Summary?db=core;g=ENSMUSG00000022387","ENSMUSG00000022387")</f>
        <v>ENSMUSG00000022387</v>
      </c>
      <c r="I4296" s="7" t="str">
        <f>HYPERLINK("http://www.informatics.jax.org/marker/MGI:1924161","MGI:1924161")</f>
        <v>MGI:1924161</v>
      </c>
      <c r="J4296" s="4" t="s">
        <v>12</v>
      </c>
    </row>
    <row r="4297" spans="1:10" x14ac:dyDescent="0.25">
      <c r="A4297" s="2">
        <v>4668.6353637286402</v>
      </c>
      <c r="B4297" s="3">
        <v>-0.22846077728243799</v>
      </c>
      <c r="C4297" s="5">
        <v>9.1374585581670501E-10</v>
      </c>
      <c r="D4297" s="6">
        <v>7.1258101079415702E-9</v>
      </c>
      <c r="E4297" s="3" t="s">
        <v>5973</v>
      </c>
      <c r="F4297" s="3" t="s">
        <v>5974</v>
      </c>
      <c r="G4297" s="3">
        <v>54138</v>
      </c>
      <c r="H4297" s="7" t="str">
        <f>HYPERLINK("http://www.ensembl.org/Mus_musculus/Gene/Summary?db=core;g=ENSMUSG00000016541","ENSMUSG00000016541")</f>
        <v>ENSMUSG00000016541</v>
      </c>
      <c r="I4297" s="7" t="str">
        <f>HYPERLINK("http://www.informatics.jax.org/marker/MGI:1859293","MGI:1859293")</f>
        <v>MGI:1859293</v>
      </c>
      <c r="J4297" s="4" t="s">
        <v>12</v>
      </c>
    </row>
    <row r="4298" spans="1:10" x14ac:dyDescent="0.25">
      <c r="A4298" s="2">
        <v>301.03526921277</v>
      </c>
      <c r="B4298" s="3">
        <v>-0.22857704465745901</v>
      </c>
      <c r="C4298" s="3">
        <v>4.1177507616445598E-3</v>
      </c>
      <c r="D4298" s="4">
        <v>1.2638263326199399E-2</v>
      </c>
      <c r="E4298" s="3" t="s">
        <v>11000</v>
      </c>
      <c r="F4298" s="3" t="s">
        <v>11001</v>
      </c>
      <c r="G4298" s="3">
        <v>14672</v>
      </c>
      <c r="H4298" s="7" t="str">
        <f>HYPERLINK("http://www.ensembl.org/Mus_musculus/Gene/Summary?db=core;g=ENSMUSG00000034781","ENSMUSG00000034781")</f>
        <v>ENSMUSG00000034781</v>
      </c>
      <c r="I4298" s="7" t="str">
        <f>HYPERLINK("http://www.informatics.jax.org/marker/MGI:95766","MGI:95766")</f>
        <v>MGI:95766</v>
      </c>
      <c r="J4298" s="4" t="s">
        <v>12</v>
      </c>
    </row>
    <row r="4299" spans="1:10" x14ac:dyDescent="0.25">
      <c r="A4299" s="2">
        <v>1211.8284148571499</v>
      </c>
      <c r="B4299" s="3">
        <v>-0.228620925042719</v>
      </c>
      <c r="C4299" s="5">
        <v>3.2243789155884902E-5</v>
      </c>
      <c r="D4299" s="4">
        <v>1.4578096188687701E-4</v>
      </c>
      <c r="E4299" s="3" t="s">
        <v>10176</v>
      </c>
      <c r="F4299" s="3" t="s">
        <v>10177</v>
      </c>
      <c r="G4299" s="3">
        <v>69976</v>
      </c>
      <c r="H4299" s="7" t="str">
        <f>HYPERLINK("http://www.ensembl.org/Mus_musculus/Gene/Summary?db=core;g=ENSMUSG00000027207","ENSMUSG00000027207")</f>
        <v>ENSMUSG00000027207</v>
      </c>
      <c r="I4299" s="7" t="str">
        <f>HYPERLINK("http://www.informatics.jax.org/marker/MGI:1917226","MGI:1917226")</f>
        <v>MGI:1917226</v>
      </c>
      <c r="J4299" s="4" t="s">
        <v>12</v>
      </c>
    </row>
    <row r="4300" spans="1:10" x14ac:dyDescent="0.25">
      <c r="A4300" s="2">
        <v>432.18956093574502</v>
      </c>
      <c r="B4300" s="3">
        <v>-0.22880484030103701</v>
      </c>
      <c r="C4300" s="3">
        <v>1.8146399895622799E-2</v>
      </c>
      <c r="D4300" s="4">
        <v>4.7435189055898601E-2</v>
      </c>
      <c r="E4300" s="3" t="s">
        <v>4491</v>
      </c>
      <c r="F4300" s="3" t="s">
        <v>4492</v>
      </c>
      <c r="G4300" s="3">
        <v>74008</v>
      </c>
      <c r="H4300" s="7" t="str">
        <f>HYPERLINK("http://www.ensembl.org/Mus_musculus/Gene/Summary?db=core;g=ENSMUSG00000020604","ENSMUSG00000020604")</f>
        <v>ENSMUSG00000020604</v>
      </c>
      <c r="I4300" s="7" t="str">
        <f>HYPERLINK("http://www.informatics.jax.org/marker/MGI:1921258","MGI:1921258")</f>
        <v>MGI:1921258</v>
      </c>
      <c r="J4300" s="4" t="s">
        <v>12</v>
      </c>
    </row>
    <row r="4301" spans="1:10" x14ac:dyDescent="0.25">
      <c r="A4301" s="2">
        <v>221.15223796037401</v>
      </c>
      <c r="B4301" s="3">
        <v>-0.22905447843531401</v>
      </c>
      <c r="C4301" s="3">
        <v>1.93438341621123E-2</v>
      </c>
      <c r="D4301" s="4">
        <v>5.0155267833901999E-2</v>
      </c>
      <c r="E4301" s="3" t="s">
        <v>9077</v>
      </c>
      <c r="F4301" s="3" t="s">
        <v>9078</v>
      </c>
      <c r="G4301" s="3">
        <v>69179</v>
      </c>
      <c r="H4301" s="7" t="str">
        <f>HYPERLINK("http://www.ensembl.org/Mus_musculus/Gene/Summary?db=core;g=ENSMUSG00000006526","ENSMUSG00000006526")</f>
        <v>ENSMUSG00000006526</v>
      </c>
      <c r="I4301" s="7" t="str">
        <f>HYPERLINK("http://www.informatics.jax.org/marker/MGI:1921500","MGI:1921500")</f>
        <v>MGI:1921500</v>
      </c>
      <c r="J4301" s="4" t="s">
        <v>12</v>
      </c>
    </row>
    <row r="4302" spans="1:10" x14ac:dyDescent="0.25">
      <c r="A4302" s="2">
        <v>2229.0588501019902</v>
      </c>
      <c r="B4302" s="3">
        <v>-0.22907719862927001</v>
      </c>
      <c r="C4302" s="3">
        <v>2.9382077420707202E-4</v>
      </c>
      <c r="D4302" s="4">
        <v>1.1316322083524701E-3</v>
      </c>
      <c r="E4302" s="3" t="s">
        <v>9647</v>
      </c>
      <c r="F4302" s="3" t="s">
        <v>9648</v>
      </c>
      <c r="G4302" s="3">
        <v>170736</v>
      </c>
      <c r="H4302" s="7" t="str">
        <f>HYPERLINK("http://www.ensembl.org/Mus_musculus/Gene/Summary?db=core;g=ENSMUSG00000022438","ENSMUSG00000022438")</f>
        <v>ENSMUSG00000022438</v>
      </c>
      <c r="I4302" s="7" t="str">
        <f>HYPERLINK("http://www.informatics.jax.org/marker/MGI:2153063","MGI:2153063")</f>
        <v>MGI:2153063</v>
      </c>
      <c r="J4302" s="4" t="s">
        <v>12</v>
      </c>
    </row>
    <row r="4303" spans="1:10" x14ac:dyDescent="0.25">
      <c r="A4303" s="2">
        <v>3831.5880404896898</v>
      </c>
      <c r="B4303" s="3">
        <v>-0.22918544504267599</v>
      </c>
      <c r="C4303" s="3">
        <v>2.1611566433765599E-2</v>
      </c>
      <c r="D4303" s="4">
        <v>5.5156252381371999E-2</v>
      </c>
      <c r="E4303" s="3" t="s">
        <v>12985</v>
      </c>
      <c r="F4303" s="3" t="s">
        <v>12986</v>
      </c>
      <c r="G4303" s="3">
        <v>51788</v>
      </c>
      <c r="H4303" s="7" t="str">
        <f>HYPERLINK("http://www.ensembl.org/Mus_musculus/Gene/Summary?db=core;g=ENSMUSG00000037894","ENSMUSG00000037894")</f>
        <v>ENSMUSG00000037894</v>
      </c>
      <c r="I4303" s="7" t="str">
        <f>HYPERLINK("http://www.informatics.jax.org/marker/MGI:1888388","MGI:1888388")</f>
        <v>MGI:1888388</v>
      </c>
      <c r="J4303" s="4" t="s">
        <v>12</v>
      </c>
    </row>
    <row r="4304" spans="1:10" x14ac:dyDescent="0.25">
      <c r="A4304" s="2">
        <v>1799.8764807586899</v>
      </c>
      <c r="B4304" s="3">
        <v>-0.22934504187601801</v>
      </c>
      <c r="C4304" s="3">
        <v>6.5979018617241803E-4</v>
      </c>
      <c r="D4304" s="4">
        <v>2.3963085179339E-3</v>
      </c>
      <c r="E4304" s="3" t="s">
        <v>7918</v>
      </c>
      <c r="F4304" s="3" t="s">
        <v>7919</v>
      </c>
      <c r="G4304" s="3">
        <v>18972</v>
      </c>
      <c r="H4304" s="7" t="str">
        <f>HYPERLINK("http://www.ensembl.org/Mus_musculus/Gene/Summary?db=core;g=ENSMUSG00000020471","ENSMUSG00000020471")</f>
        <v>ENSMUSG00000020471</v>
      </c>
      <c r="I4304" s="7" t="str">
        <f>HYPERLINK("http://www.informatics.jax.org/marker/MGI:1097163","MGI:1097163")</f>
        <v>MGI:1097163</v>
      </c>
      <c r="J4304" s="4" t="s">
        <v>12</v>
      </c>
    </row>
    <row r="4305" spans="1:10" x14ac:dyDescent="0.25">
      <c r="A4305" s="2">
        <v>1058.6850598368201</v>
      </c>
      <c r="B4305" s="3">
        <v>-0.22944813077488499</v>
      </c>
      <c r="C4305" s="3">
        <v>9.5648827139374407E-3</v>
      </c>
      <c r="D4305" s="4">
        <v>2.69344850836696E-2</v>
      </c>
      <c r="E4305" s="3" t="s">
        <v>12061</v>
      </c>
      <c r="F4305" s="3" t="s">
        <v>12062</v>
      </c>
      <c r="G4305" s="3">
        <v>73251</v>
      </c>
      <c r="H4305" s="7" t="str">
        <f>HYPERLINK("http://www.ensembl.org/Mus_musculus/Gene/Summary?db=core;g=ENSMUSG00000037111","ENSMUSG00000037111")</f>
        <v>ENSMUSG00000037111</v>
      </c>
      <c r="I4305" s="7" t="str">
        <f>HYPERLINK("http://www.informatics.jax.org/marker/MGI:1920501","MGI:1920501")</f>
        <v>MGI:1920501</v>
      </c>
      <c r="J4305" s="4" t="s">
        <v>12</v>
      </c>
    </row>
    <row r="4306" spans="1:10" x14ac:dyDescent="0.25">
      <c r="A4306" s="2">
        <v>1235.4581520536599</v>
      </c>
      <c r="B4306" s="3">
        <v>-0.22946461193581599</v>
      </c>
      <c r="C4306" s="3">
        <v>6.1392080963390105E-4</v>
      </c>
      <c r="D4306" s="4">
        <v>2.2476309271952299E-3</v>
      </c>
      <c r="E4306" s="3" t="s">
        <v>5713</v>
      </c>
      <c r="F4306" s="3" t="s">
        <v>5714</v>
      </c>
      <c r="G4306" s="3">
        <v>14793</v>
      </c>
      <c r="H4306" s="7" t="str">
        <f>HYPERLINK("http://www.ensembl.org/Mus_musculus/Gene/Summary?db=core;g=ENSMUSG00000023505","ENSMUSG00000023505")</f>
        <v>ENSMUSG00000023505</v>
      </c>
      <c r="I4306" s="7" t="str">
        <f>HYPERLINK("http://www.informatics.jax.org/marker/MGI:1315198","MGI:1315198")</f>
        <v>MGI:1315198</v>
      </c>
      <c r="J4306" s="4" t="s">
        <v>12</v>
      </c>
    </row>
    <row r="4307" spans="1:10" x14ac:dyDescent="0.25">
      <c r="A4307" s="2">
        <v>1419.6706341444699</v>
      </c>
      <c r="B4307" s="3">
        <v>-0.22962024289150701</v>
      </c>
      <c r="C4307" s="3">
        <v>1.92942160146238E-4</v>
      </c>
      <c r="D4307" s="4">
        <v>7.6776656521073902E-4</v>
      </c>
      <c r="E4307" s="3" t="s">
        <v>3808</v>
      </c>
      <c r="F4307" s="3" t="s">
        <v>3809</v>
      </c>
      <c r="G4307" s="3">
        <v>14420</v>
      </c>
      <c r="H4307" s="7" t="str">
        <f>HYPERLINK("http://www.ensembl.org/Mus_musculus/Gene/Summary?db=core;g=ENSMUSG00000021003","ENSMUSG00000021003")</f>
        <v>ENSMUSG00000021003</v>
      </c>
      <c r="I4307" s="7" t="str">
        <f>HYPERLINK("http://www.informatics.jax.org/marker/MGI:95636","MGI:95636")</f>
        <v>MGI:95636</v>
      </c>
      <c r="J4307" s="4" t="s">
        <v>12</v>
      </c>
    </row>
    <row r="4308" spans="1:10" x14ac:dyDescent="0.25">
      <c r="A4308" s="2">
        <v>1993.8359282741801</v>
      </c>
      <c r="B4308" s="3">
        <v>-0.22966032209422799</v>
      </c>
      <c r="C4308" s="5">
        <v>1.13405327645111E-5</v>
      </c>
      <c r="D4308" s="6">
        <v>5.5026946121729198E-5</v>
      </c>
      <c r="E4308" s="3" t="s">
        <v>11803</v>
      </c>
      <c r="F4308" s="3" t="s">
        <v>11804</v>
      </c>
      <c r="G4308" s="3">
        <v>234852</v>
      </c>
      <c r="H4308" s="7" t="str">
        <f>HYPERLINK("http://www.ensembl.org/Mus_musculus/Gene/Summary?db=core;g=ENSMUSG00000000743","ENSMUSG00000000743")</f>
        <v>ENSMUSG00000000743</v>
      </c>
      <c r="I4308" s="7" t="str">
        <f>HYPERLINK("http://www.informatics.jax.org/marker/MGI:1920159","MGI:1920159")</f>
        <v>MGI:1920159</v>
      </c>
      <c r="J4308" s="4" t="s">
        <v>12</v>
      </c>
    </row>
    <row r="4309" spans="1:10" x14ac:dyDescent="0.25">
      <c r="A4309" s="2">
        <v>3249.57449007486</v>
      </c>
      <c r="B4309" s="3">
        <v>-0.229841553801024</v>
      </c>
      <c r="C4309" s="5">
        <v>1.8202904470831E-9</v>
      </c>
      <c r="D4309" s="6">
        <v>1.3748360297592E-8</v>
      </c>
      <c r="E4309" s="3" t="s">
        <v>4447</v>
      </c>
      <c r="F4309" s="3" t="s">
        <v>4448</v>
      </c>
      <c r="G4309" s="3">
        <v>217692</v>
      </c>
      <c r="H4309" s="7" t="str">
        <f>HYPERLINK("http://www.ensembl.org/Mus_musculus/Gene/Summary?db=core;g=ENSMUSG00000042700","ENSMUSG00000042700")</f>
        <v>ENSMUSG00000042700</v>
      </c>
      <c r="I4309" s="7" t="str">
        <f>HYPERLINK("http://www.informatics.jax.org/marker/MGI:2443679","MGI:2443679")</f>
        <v>MGI:2443679</v>
      </c>
      <c r="J4309" s="4" t="s">
        <v>12</v>
      </c>
    </row>
    <row r="4310" spans="1:10" x14ac:dyDescent="0.25">
      <c r="A4310" s="2">
        <v>2199.00724588299</v>
      </c>
      <c r="B4310" s="3">
        <v>-0.229867495641606</v>
      </c>
      <c r="C4310" s="5">
        <v>1.14716239670315E-5</v>
      </c>
      <c r="D4310" s="6">
        <v>5.56334078763035E-5</v>
      </c>
      <c r="E4310" s="3" t="s">
        <v>7802</v>
      </c>
      <c r="F4310" s="3" t="s">
        <v>7803</v>
      </c>
      <c r="G4310" s="3">
        <v>67811</v>
      </c>
      <c r="H4310" s="7" t="str">
        <f>HYPERLINK("http://www.ensembl.org/Mus_musculus/Gene/Summary?db=core;g=ENSMUSG00000001100","ENSMUSG00000001100")</f>
        <v>ENSMUSG00000001100</v>
      </c>
      <c r="I4310" s="7" t="str">
        <f>HYPERLINK("http://www.informatics.jax.org/marker/MGI:1915061","MGI:1915061")</f>
        <v>MGI:1915061</v>
      </c>
      <c r="J4310" s="4" t="s">
        <v>12</v>
      </c>
    </row>
    <row r="4311" spans="1:10" x14ac:dyDescent="0.25">
      <c r="A4311" s="2">
        <v>741.12583271869198</v>
      </c>
      <c r="B4311" s="3">
        <v>-0.22995493068964801</v>
      </c>
      <c r="C4311" s="3">
        <v>1.17950730956817E-4</v>
      </c>
      <c r="D4311" s="4">
        <v>4.8689741148085701E-4</v>
      </c>
      <c r="E4311" s="3" t="s">
        <v>8687</v>
      </c>
      <c r="F4311" s="3" t="s">
        <v>8688</v>
      </c>
      <c r="G4311" s="3">
        <v>30839</v>
      </c>
      <c r="H4311" s="7" t="str">
        <f>HYPERLINK("http://www.ensembl.org/Mus_musculus/Gene/Summary?db=core;g=ENSMUSG00000015095","ENSMUSG00000015095")</f>
        <v>ENSMUSG00000015095</v>
      </c>
      <c r="I4311" s="7" t="str">
        <f>HYPERLINK("http://www.informatics.jax.org/marker/MGI:1354731","MGI:1354731")</f>
        <v>MGI:1354731</v>
      </c>
      <c r="J4311" s="4" t="s">
        <v>12</v>
      </c>
    </row>
    <row r="4312" spans="1:10" x14ac:dyDescent="0.25">
      <c r="A4312" s="2">
        <v>11.800581525224599</v>
      </c>
      <c r="B4312" s="3">
        <v>-0.230204827738514</v>
      </c>
      <c r="C4312" s="3">
        <v>0.45886194380107798</v>
      </c>
      <c r="D4312" s="4">
        <v>0.63684306329930096</v>
      </c>
      <c r="E4312" s="3" t="s">
        <v>11729</v>
      </c>
      <c r="F4312" s="3" t="s">
        <v>11730</v>
      </c>
      <c r="G4312" s="3">
        <v>80981</v>
      </c>
      <c r="H4312" s="7" t="str">
        <f>HYPERLINK("http://www.ensembl.org/Mus_musculus/Gene/Summary?db=core;g=ENSMUSG00000034936","ENSMUSG00000034936")</f>
        <v>ENSMUSG00000034936</v>
      </c>
      <c r="I4312" s="7" t="str">
        <f>HYPERLINK("http://www.informatics.jax.org/marker/MGI:1933155","MGI:1933155")</f>
        <v>MGI:1933155</v>
      </c>
      <c r="J4312" s="4" t="s">
        <v>12</v>
      </c>
    </row>
    <row r="4313" spans="1:10" x14ac:dyDescent="0.25">
      <c r="A4313" s="2">
        <v>220.30899470248701</v>
      </c>
      <c r="B4313" s="3">
        <v>-0.230428267053638</v>
      </c>
      <c r="C4313" s="3">
        <v>4.7780927701965299E-2</v>
      </c>
      <c r="D4313" s="4">
        <v>0.109908798102779</v>
      </c>
      <c r="E4313" s="3" t="s">
        <v>13515</v>
      </c>
      <c r="F4313" s="3" t="s">
        <v>13516</v>
      </c>
      <c r="G4313" s="3">
        <v>319653</v>
      </c>
      <c r="H4313" s="7" t="str">
        <f>HYPERLINK("http://www.ensembl.org/Mus_musculus/Gene/Summary?db=core;g=ENSMUSG00000054099","ENSMUSG00000054099")</f>
        <v>ENSMUSG00000054099</v>
      </c>
      <c r="I4313" s="7" t="str">
        <f>HYPERLINK("http://www.informatics.jax.org/marker/MGI:2442486","MGI:2442486")</f>
        <v>MGI:2442486</v>
      </c>
      <c r="J4313" s="4" t="s">
        <v>12</v>
      </c>
    </row>
    <row r="4314" spans="1:10" x14ac:dyDescent="0.25">
      <c r="A4314" s="2">
        <v>1943.6800094104301</v>
      </c>
      <c r="B4314" s="3">
        <v>-0.23057175429974</v>
      </c>
      <c r="C4314" s="3">
        <v>2.4468649728369099E-4</v>
      </c>
      <c r="D4314" s="4">
        <v>9.5531521272392299E-4</v>
      </c>
      <c r="E4314" s="3" t="s">
        <v>8073</v>
      </c>
      <c r="F4314" s="3" t="s">
        <v>8074</v>
      </c>
      <c r="G4314" s="3">
        <v>78913</v>
      </c>
      <c r="H4314" s="7" t="str">
        <f>HYPERLINK("http://www.ensembl.org/Mus_musculus/Gene/Summary?db=core;g=ENSMUSG00000052299","ENSMUSG00000052299")</f>
        <v>ENSMUSG00000052299</v>
      </c>
      <c r="I4314" s="7" t="str">
        <f>HYPERLINK("http://www.informatics.jax.org/marker/MGI:1926163","MGI:1926163")</f>
        <v>MGI:1926163</v>
      </c>
      <c r="J4314" s="4" t="s">
        <v>12</v>
      </c>
    </row>
    <row r="4315" spans="1:10" x14ac:dyDescent="0.25">
      <c r="A4315" s="2">
        <v>1052.33601634104</v>
      </c>
      <c r="B4315" s="3">
        <v>-0.230811984106471</v>
      </c>
      <c r="C4315" s="3">
        <v>7.3483129665729402E-4</v>
      </c>
      <c r="D4315" s="4">
        <v>2.6430432961474602E-3</v>
      </c>
      <c r="E4315" s="3" t="s">
        <v>5755</v>
      </c>
      <c r="F4315" s="3" t="s">
        <v>5756</v>
      </c>
      <c r="G4315" s="3">
        <v>94212</v>
      </c>
      <c r="H4315" s="7" t="str">
        <f>HYPERLINK("http://www.ensembl.org/Mus_musculus/Gene/Summary?db=core;g=ENSMUSG00000027508","ENSMUSG00000027508")</f>
        <v>ENSMUSG00000027508</v>
      </c>
      <c r="I4315" s="7" t="str">
        <f>HYPERLINK("http://www.informatics.jax.org/marker/MGI:2443160","MGI:2443160")</f>
        <v>MGI:2443160</v>
      </c>
      <c r="J4315" s="4" t="s">
        <v>12</v>
      </c>
    </row>
    <row r="4316" spans="1:10" x14ac:dyDescent="0.25">
      <c r="A4316" s="2">
        <v>1018.52022813161</v>
      </c>
      <c r="B4316" s="3">
        <v>-0.23084009305223999</v>
      </c>
      <c r="C4316" s="3">
        <v>2.3230320506362201E-3</v>
      </c>
      <c r="D4316" s="4">
        <v>7.5683337724070602E-3</v>
      </c>
      <c r="E4316" s="3" t="s">
        <v>9781</v>
      </c>
      <c r="F4316" s="3" t="s">
        <v>9782</v>
      </c>
      <c r="G4316" s="3">
        <v>68833</v>
      </c>
      <c r="H4316" s="7" t="str">
        <f>HYPERLINK("http://www.ensembl.org/Mus_musculus/Gene/Summary?db=core;g=ENSMUSG00000026078","ENSMUSG00000026078")</f>
        <v>ENSMUSG00000026078</v>
      </c>
      <c r="I4316" s="7" t="str">
        <f>HYPERLINK("http://www.informatics.jax.org/marker/MGI:1916083","MGI:1916083")</f>
        <v>MGI:1916083</v>
      </c>
      <c r="J4316" s="4" t="s">
        <v>12</v>
      </c>
    </row>
    <row r="4317" spans="1:10" x14ac:dyDescent="0.25">
      <c r="A4317" s="2">
        <v>691.00831079678198</v>
      </c>
      <c r="B4317" s="3">
        <v>-0.23090241466179401</v>
      </c>
      <c r="C4317" s="3">
        <v>8.1995374095818804E-4</v>
      </c>
      <c r="D4317" s="4">
        <v>2.9249671029483201E-3</v>
      </c>
      <c r="E4317" s="3" t="s">
        <v>8271</v>
      </c>
      <c r="F4317" s="3" t="s">
        <v>8272</v>
      </c>
      <c r="G4317" s="3">
        <v>66874</v>
      </c>
      <c r="H4317" s="7" t="str">
        <f>HYPERLINK("http://www.ensembl.org/Mus_musculus/Gene/Summary?db=core;g=ENSMUSG00000020783","ENSMUSG00000020783")</f>
        <v>ENSMUSG00000020783</v>
      </c>
      <c r="I4317" s="7" t="str">
        <f>HYPERLINK("http://www.informatics.jax.org/marker/MGI:1914124","MGI:1914124")</f>
        <v>MGI:1914124</v>
      </c>
      <c r="J4317" s="4" t="s">
        <v>12</v>
      </c>
    </row>
    <row r="4318" spans="1:10" x14ac:dyDescent="0.25">
      <c r="A4318" s="2">
        <v>1478.61040617917</v>
      </c>
      <c r="B4318" s="3">
        <v>-0.23093212602406701</v>
      </c>
      <c r="C4318" s="5">
        <v>1.7031272176554301E-6</v>
      </c>
      <c r="D4318" s="6">
        <v>9.2132661150994895E-6</v>
      </c>
      <c r="E4318" s="3" t="s">
        <v>6645</v>
      </c>
      <c r="F4318" s="3" t="s">
        <v>6646</v>
      </c>
      <c r="G4318" s="3">
        <v>74203</v>
      </c>
      <c r="H4318" s="7" t="str">
        <f>HYPERLINK("http://www.ensembl.org/Mus_musculus/Gene/Summary?db=core;g=ENSMUSG00000020454","ENSMUSG00000020454")</f>
        <v>ENSMUSG00000020454</v>
      </c>
      <c r="I4318" s="7" t="str">
        <f>HYPERLINK("http://www.informatics.jax.org/marker/MGI:1921453","MGI:1921453")</f>
        <v>MGI:1921453</v>
      </c>
      <c r="J4318" s="4" t="s">
        <v>12</v>
      </c>
    </row>
    <row r="4319" spans="1:10" x14ac:dyDescent="0.25">
      <c r="A4319" s="2">
        <v>399.33721266289598</v>
      </c>
      <c r="B4319" s="3">
        <v>-0.231021158559539</v>
      </c>
      <c r="C4319" s="3">
        <v>3.6885299625829299E-3</v>
      </c>
      <c r="D4319" s="4">
        <v>1.1450086623756401E-2</v>
      </c>
      <c r="E4319" s="3" t="s">
        <v>12701</v>
      </c>
      <c r="F4319" s="3" t="s">
        <v>12702</v>
      </c>
      <c r="G4319" s="3">
        <v>66148</v>
      </c>
      <c r="H4319" s="7" t="str">
        <f>HYPERLINK("http://www.ensembl.org/Mus_musculus/Gene/Summary?db=core;g=ENSMUSG00000022013","ENSMUSG00000022013")</f>
        <v>ENSMUSG00000022013</v>
      </c>
      <c r="I4319" s="7" t="str">
        <f>HYPERLINK("http://www.informatics.jax.org/marker/MGI:1913398","MGI:1913398")</f>
        <v>MGI:1913398</v>
      </c>
      <c r="J4319" s="4" t="s">
        <v>12</v>
      </c>
    </row>
    <row r="4320" spans="1:10" x14ac:dyDescent="0.25">
      <c r="A4320" s="2">
        <v>351.99695866537297</v>
      </c>
      <c r="B4320" s="3">
        <v>-0.231097980681022</v>
      </c>
      <c r="C4320" s="3">
        <v>3.3587267715575902E-3</v>
      </c>
      <c r="D4320" s="4">
        <v>1.05321396097104E-2</v>
      </c>
      <c r="E4320" s="3" t="s">
        <v>8261</v>
      </c>
      <c r="F4320" s="3" t="s">
        <v>8262</v>
      </c>
      <c r="G4320" s="3">
        <v>98404</v>
      </c>
      <c r="H4320" s="7" t="str">
        <f>HYPERLINK("http://www.ensembl.org/Mus_musculus/Gene/Summary?db=core;g=ENSMUSG00000010290","ENSMUSG00000010290")</f>
        <v>ENSMUSG00000010290</v>
      </c>
      <c r="I4320" s="7" t="str">
        <f>HYPERLINK("http://www.informatics.jax.org/marker/MGI:2138299","MGI:2138299")</f>
        <v>MGI:2138299</v>
      </c>
      <c r="J4320" s="4" t="s">
        <v>12</v>
      </c>
    </row>
    <row r="4321" spans="1:10" x14ac:dyDescent="0.25">
      <c r="A4321" s="2">
        <v>101.062499609515</v>
      </c>
      <c r="B4321" s="3">
        <v>-0.231347154106432</v>
      </c>
      <c r="C4321" s="3">
        <v>6.4936199610266906E-2</v>
      </c>
      <c r="D4321" s="4">
        <v>0.14220887261440901</v>
      </c>
      <c r="E4321" s="3" t="s">
        <v>13777</v>
      </c>
      <c r="F4321" s="3" t="s">
        <v>13778</v>
      </c>
      <c r="G4321" s="3">
        <v>20520</v>
      </c>
      <c r="H4321" s="7" t="str">
        <f>HYPERLINK("http://www.ensembl.org/Mus_musculus/Gene/Summary?db=core;g=ENSMUSG00000018900","ENSMUSG00000018900")</f>
        <v>ENSMUSG00000018900</v>
      </c>
      <c r="I4321" s="7" t="str">
        <f>HYPERLINK("http://www.informatics.jax.org/marker/MGI:1329012","MGI:1329012")</f>
        <v>MGI:1329012</v>
      </c>
      <c r="J4321" s="4" t="s">
        <v>12</v>
      </c>
    </row>
    <row r="4322" spans="1:10" x14ac:dyDescent="0.25">
      <c r="A4322" s="2">
        <v>682.76782667694101</v>
      </c>
      <c r="B4322" s="3">
        <v>-0.23177957208817099</v>
      </c>
      <c r="C4322" s="3">
        <v>1.53068691713011E-3</v>
      </c>
      <c r="D4322" s="4">
        <v>5.1997705619191504E-3</v>
      </c>
      <c r="E4322" s="3" t="s">
        <v>10609</v>
      </c>
      <c r="F4322" s="3" t="s">
        <v>10610</v>
      </c>
      <c r="G4322" s="3">
        <v>235606</v>
      </c>
      <c r="H4322" s="7" t="str">
        <f>HYPERLINK("http://www.ensembl.org/Mus_musculus/Gene/Summary?db=core;g=ENSMUSG00000032590","ENSMUSG00000032590")</f>
        <v>ENSMUSG00000032590</v>
      </c>
      <c r="I4322" s="7" t="str">
        <f>HYPERLINK("http://www.informatics.jax.org/marker/MGI:88041","MGI:88041")</f>
        <v>MGI:88041</v>
      </c>
      <c r="J4322" s="4" t="s">
        <v>12</v>
      </c>
    </row>
    <row r="4323" spans="1:10" x14ac:dyDescent="0.25">
      <c r="A4323" s="2">
        <v>918.948143643104</v>
      </c>
      <c r="B4323" s="3">
        <v>-0.231812063127107</v>
      </c>
      <c r="C4323" s="3">
        <v>2.4681830702228901E-3</v>
      </c>
      <c r="D4323" s="4">
        <v>7.9983350737575006E-3</v>
      </c>
      <c r="E4323" s="3" t="s">
        <v>9055</v>
      </c>
      <c r="F4323" s="3" t="s">
        <v>9056</v>
      </c>
      <c r="G4323" s="3">
        <v>23999</v>
      </c>
      <c r="H4323" s="7" t="str">
        <f>HYPERLINK("http://www.ensembl.org/Mus_musculus/Gene/Summary?db=core;g=ENSMUSG00000023277","ENSMUSG00000023277")</f>
        <v>ENSMUSG00000023277</v>
      </c>
      <c r="I4323" s="7" t="str">
        <f>HYPERLINK("http://www.informatics.jax.org/marker/MGI:1346078","MGI:1346078")</f>
        <v>MGI:1346078</v>
      </c>
      <c r="J4323" s="4" t="s">
        <v>12</v>
      </c>
    </row>
    <row r="4324" spans="1:10" x14ac:dyDescent="0.25">
      <c r="A4324" s="2">
        <v>551.08246873355995</v>
      </c>
      <c r="B4324" s="3">
        <v>-0.23235761570748001</v>
      </c>
      <c r="C4324" s="3">
        <v>1.01836021826817E-2</v>
      </c>
      <c r="D4324" s="4">
        <v>2.8478770873004901E-2</v>
      </c>
      <c r="E4324" s="3" t="s">
        <v>10466</v>
      </c>
      <c r="F4324" s="3" t="s">
        <v>10467</v>
      </c>
      <c r="G4324" s="3">
        <v>66422</v>
      </c>
      <c r="H4324" s="7" t="str">
        <f>HYPERLINK("http://www.ensembl.org/Mus_musculus/Gene/Summary?db=core;g=ENSMUSG00000042462","ENSMUSG00000042462")</f>
        <v>ENSMUSG00000042462</v>
      </c>
      <c r="I4324" s="7" t="str">
        <f>HYPERLINK("http://www.informatics.jax.org/marker/MGI:1913672","MGI:1913672")</f>
        <v>MGI:1913672</v>
      </c>
      <c r="J4324" s="4" t="s">
        <v>12</v>
      </c>
    </row>
    <row r="4325" spans="1:10" x14ac:dyDescent="0.25">
      <c r="A4325" s="2">
        <v>957.20533298299699</v>
      </c>
      <c r="B4325" s="3">
        <v>-0.23238168923507599</v>
      </c>
      <c r="C4325" s="3">
        <v>1.1166592182165E-4</v>
      </c>
      <c r="D4325" s="4">
        <v>4.6315690150195099E-4</v>
      </c>
      <c r="E4325" s="3" t="s">
        <v>7174</v>
      </c>
      <c r="F4325" s="3" t="s">
        <v>7175</v>
      </c>
      <c r="G4325" s="3">
        <v>18391</v>
      </c>
      <c r="H4325" s="7" t="str">
        <f>HYPERLINK("http://www.ensembl.org/Mus_musculus/Gene/Summary?db=core;g=ENSMUSG00000036078","ENSMUSG00000036078")</f>
        <v>ENSMUSG00000036078</v>
      </c>
      <c r="I4325" s="7" t="str">
        <f>HYPERLINK("http://www.informatics.jax.org/marker/MGI:1195268","MGI:1195268")</f>
        <v>MGI:1195268</v>
      </c>
      <c r="J4325" s="4" t="s">
        <v>12</v>
      </c>
    </row>
    <row r="4326" spans="1:10" x14ac:dyDescent="0.25">
      <c r="A4326" s="2">
        <v>25.287305401935999</v>
      </c>
      <c r="B4326" s="3">
        <v>-0.23247785263142101</v>
      </c>
      <c r="C4326" s="3">
        <v>0.289562911497247</v>
      </c>
      <c r="D4326" s="4">
        <v>0.46239236502561298</v>
      </c>
      <c r="E4326" s="3" t="s">
        <v>11745</v>
      </c>
      <c r="F4326" s="3" t="s">
        <v>11746</v>
      </c>
      <c r="G4326" s="3">
        <v>68404</v>
      </c>
      <c r="H4326" s="7" t="str">
        <f>HYPERLINK("http://www.ensembl.org/Mus_musculus/Gene/Summary?db=core;g=ENSMUSG00000039114","ENSMUSG00000039114")</f>
        <v>ENSMUSG00000039114</v>
      </c>
      <c r="I4326" s="7" t="str">
        <f>HYPERLINK("http://www.informatics.jax.org/marker/MGI:1915654","MGI:1915654")</f>
        <v>MGI:1915654</v>
      </c>
      <c r="J4326" s="4" t="s">
        <v>12</v>
      </c>
    </row>
    <row r="4327" spans="1:10" x14ac:dyDescent="0.25">
      <c r="A4327" s="2">
        <v>8753.2896867349391</v>
      </c>
      <c r="B4327" s="3">
        <v>-0.232610599036291</v>
      </c>
      <c r="C4327" s="5">
        <v>5.7985925832448003E-9</v>
      </c>
      <c r="D4327" s="6">
        <v>4.1475412021050401E-8</v>
      </c>
      <c r="E4327" s="3" t="s">
        <v>6057</v>
      </c>
      <c r="F4327" s="3" t="s">
        <v>6058</v>
      </c>
      <c r="G4327" s="3">
        <v>74148</v>
      </c>
      <c r="H4327" s="7" t="str">
        <f>HYPERLINK("http://www.ensembl.org/Mus_musculus/Gene/Summary?db=core;g=ENSMUSG00000020741","ENSMUSG00000020741")</f>
        <v>ENSMUSG00000020741</v>
      </c>
      <c r="I4327" s="7" t="str">
        <f>HYPERLINK("http://www.informatics.jax.org/marker/MGI:1921398","MGI:1921398")</f>
        <v>MGI:1921398</v>
      </c>
      <c r="J4327" s="4" t="s">
        <v>12</v>
      </c>
    </row>
    <row r="4328" spans="1:10" x14ac:dyDescent="0.25">
      <c r="A4328" s="2">
        <v>690.57388990563004</v>
      </c>
      <c r="B4328" s="3">
        <v>-0.23269265584840501</v>
      </c>
      <c r="C4328" s="3">
        <v>3.4327055204713301E-4</v>
      </c>
      <c r="D4328" s="4">
        <v>1.30771442538859E-3</v>
      </c>
      <c r="E4328" s="3" t="s">
        <v>11699</v>
      </c>
      <c r="F4328" s="3" t="s">
        <v>11700</v>
      </c>
      <c r="G4328" s="3">
        <v>50789</v>
      </c>
      <c r="H4328" s="7" t="str">
        <f>HYPERLINK("http://www.ensembl.org/Mus_musculus/Gene/Summary?db=core;g=ENSMUSG00000022124","ENSMUSG00000022124")</f>
        <v>ENSMUSG00000022124</v>
      </c>
      <c r="I4328" s="7" t="str">
        <f>HYPERLINK("http://www.informatics.jax.org/marker/MGI:1354702","MGI:1354702")</f>
        <v>MGI:1354702</v>
      </c>
      <c r="J4328" s="4" t="s">
        <v>12</v>
      </c>
    </row>
    <row r="4329" spans="1:10" x14ac:dyDescent="0.25">
      <c r="A4329" s="2">
        <v>3107.43180424927</v>
      </c>
      <c r="B4329" s="3">
        <v>-0.232736685384655</v>
      </c>
      <c r="C4329" s="3">
        <v>2.7281718702515102E-4</v>
      </c>
      <c r="D4329" s="4">
        <v>1.0558702980533799E-3</v>
      </c>
      <c r="E4329" s="3" t="s">
        <v>12115</v>
      </c>
      <c r="F4329" s="3" t="s">
        <v>12116</v>
      </c>
      <c r="G4329" s="3">
        <v>14269</v>
      </c>
      <c r="H4329" s="7" t="str">
        <f>HYPERLINK("http://www.ensembl.org/Mus_musculus/Gene/Summary?db=core;g=ENSMUSG00000075415","ENSMUSG00000075415")</f>
        <v>ENSMUSG00000075415</v>
      </c>
      <c r="I4329" s="7" t="str">
        <f>HYPERLINK("http://www.informatics.jax.org/marker/MGI:109606","MGI:109606")</f>
        <v>MGI:109606</v>
      </c>
      <c r="J4329" s="4" t="s">
        <v>12</v>
      </c>
    </row>
    <row r="4330" spans="1:10" x14ac:dyDescent="0.25">
      <c r="A4330" s="2">
        <v>483.38082547830999</v>
      </c>
      <c r="B4330" s="3">
        <v>-0.23282954417211901</v>
      </c>
      <c r="C4330" s="3">
        <v>1.81713031020553E-3</v>
      </c>
      <c r="D4330" s="4">
        <v>6.0683304857338397E-3</v>
      </c>
      <c r="E4330" s="3" t="s">
        <v>10298</v>
      </c>
      <c r="F4330" s="3" t="s">
        <v>10299</v>
      </c>
      <c r="G4330" s="3">
        <v>27388</v>
      </c>
      <c r="H4330" s="7" t="str">
        <f>HYPERLINK("http://www.ensembl.org/Mus_musculus/Gene/Summary?db=core;g=ENSMUSG00000025495","ENSMUSG00000025495")</f>
        <v>ENSMUSG00000025495</v>
      </c>
      <c r="I4330" s="7" t="str">
        <f>HYPERLINK("http://www.informatics.jax.org/marker/MGI:1351664","MGI:1351664")</f>
        <v>MGI:1351664</v>
      </c>
      <c r="J4330" s="4" t="s">
        <v>12</v>
      </c>
    </row>
    <row r="4331" spans="1:10" x14ac:dyDescent="0.25">
      <c r="A4331" s="2">
        <v>1059.73733567763</v>
      </c>
      <c r="B4331" s="3">
        <v>-0.23327827427234299</v>
      </c>
      <c r="C4331" s="3">
        <v>1.6523486164554801E-4</v>
      </c>
      <c r="D4331" s="4">
        <v>6.6520993008396497E-4</v>
      </c>
      <c r="E4331" s="3" t="s">
        <v>12593</v>
      </c>
      <c r="F4331" s="3" t="s">
        <v>12594</v>
      </c>
      <c r="G4331" s="3">
        <v>104799</v>
      </c>
      <c r="H4331" s="7" t="str">
        <f>HYPERLINK("http://www.ensembl.org/Mus_musculus/Gene/Summary?db=core;g=ENSMUSG00000021038","ENSMUSG00000021038")</f>
        <v>ENSMUSG00000021038</v>
      </c>
      <c r="I4331" s="7" t="str">
        <f>HYPERLINK("http://www.informatics.jax.org/marker/MGI:2144805","MGI:2144805")</f>
        <v>MGI:2144805</v>
      </c>
      <c r="J4331" s="4" t="s">
        <v>12</v>
      </c>
    </row>
    <row r="4332" spans="1:10" x14ac:dyDescent="0.25">
      <c r="A4332" s="2">
        <v>2247.5265933396199</v>
      </c>
      <c r="B4332" s="3">
        <v>-0.233429174563129</v>
      </c>
      <c r="C4332" s="5">
        <v>1.3521745240239201E-6</v>
      </c>
      <c r="D4332" s="6">
        <v>7.4182362132257601E-6</v>
      </c>
      <c r="E4332" s="3" t="s">
        <v>3830</v>
      </c>
      <c r="F4332" s="3" t="s">
        <v>3831</v>
      </c>
      <c r="G4332" s="3">
        <v>226151</v>
      </c>
      <c r="H4332" s="7" t="str">
        <f>HYPERLINK("http://www.ensembl.org/Mus_musculus/Gene/Summary?db=core;g=ENSMUSG00000036097","ENSMUSG00000036097")</f>
        <v>ENSMUSG00000036097</v>
      </c>
      <c r="I4332" s="7" t="str">
        <f>HYPERLINK("http://www.informatics.jax.org/marker/MGI:1924968","MGI:1924968")</f>
        <v>MGI:1924968</v>
      </c>
      <c r="J4332" s="4" t="s">
        <v>12</v>
      </c>
    </row>
    <row r="4333" spans="1:10" x14ac:dyDescent="0.25">
      <c r="A4333" s="2">
        <v>2083.9611285574001</v>
      </c>
      <c r="B4333" s="3">
        <v>-0.23344463908818</v>
      </c>
      <c r="C4333" s="5">
        <v>2.9218429016757002E-7</v>
      </c>
      <c r="D4333" s="6">
        <v>1.73851083522819E-6</v>
      </c>
      <c r="E4333" s="3" t="s">
        <v>5357</v>
      </c>
      <c r="F4333" s="3" t="s">
        <v>5358</v>
      </c>
      <c r="G4333" s="3">
        <v>14712</v>
      </c>
      <c r="H4333" s="7" t="str">
        <f>HYPERLINK("http://www.ensembl.org/Mus_musculus/Gene/Summary?db=core;g=ENSMUSG00000031985","ENSMUSG00000031985")</f>
        <v>ENSMUSG00000031985</v>
      </c>
      <c r="I4333" s="7" t="str">
        <f>HYPERLINK("http://www.informatics.jax.org/marker/MGI:1343460","MGI:1343460")</f>
        <v>MGI:1343460</v>
      </c>
      <c r="J4333" s="4" t="s">
        <v>12</v>
      </c>
    </row>
    <row r="4334" spans="1:10" x14ac:dyDescent="0.25">
      <c r="A4334" s="2">
        <v>119.26582968232999</v>
      </c>
      <c r="B4334" s="3">
        <v>-0.23368985315305399</v>
      </c>
      <c r="C4334" s="3">
        <v>4.31767054875907E-2</v>
      </c>
      <c r="D4334" s="4">
        <v>0.100793577239828</v>
      </c>
      <c r="E4334" s="3" t="s">
        <v>12715</v>
      </c>
      <c r="F4334" s="3" t="s">
        <v>12716</v>
      </c>
      <c r="G4334" s="3">
        <v>114615</v>
      </c>
      <c r="H4334" s="7" t="str">
        <f>HYPERLINK("http://www.ensembl.org/Mus_musculus/Gene/Summary?db=core;g=ENSMUSG00000036941","ENSMUSG00000036941")</f>
        <v>ENSMUSG00000036941</v>
      </c>
      <c r="I4334" s="7" t="str">
        <f>HYPERLINK("http://www.informatics.jax.org/marker/MGI:1890495","MGI:1890495")</f>
        <v>MGI:1890495</v>
      </c>
      <c r="J4334" s="4" t="s">
        <v>12</v>
      </c>
    </row>
    <row r="4335" spans="1:10" x14ac:dyDescent="0.25">
      <c r="A4335" s="2">
        <v>368.04318120921198</v>
      </c>
      <c r="B4335" s="3">
        <v>-0.233729316008145</v>
      </c>
      <c r="C4335" s="3">
        <v>1.8848307021731198E-2</v>
      </c>
      <c r="D4335" s="4">
        <v>4.9030887164009503E-2</v>
      </c>
      <c r="E4335" s="3" t="s">
        <v>12693</v>
      </c>
      <c r="F4335" s="3" t="s">
        <v>12694</v>
      </c>
      <c r="G4335" s="3">
        <v>72392</v>
      </c>
      <c r="H4335" s="7" t="str">
        <f>HYPERLINK("http://www.ensembl.org/Mus_musculus/Gene/Summary?db=core;g=ENSMUSG00000013495","ENSMUSG00000013495")</f>
        <v>ENSMUSG00000013495</v>
      </c>
      <c r="I4335" s="7" t="str">
        <f>HYPERLINK("http://www.informatics.jax.org/marker/MGI:1919642","MGI:1919642")</f>
        <v>MGI:1919642</v>
      </c>
      <c r="J4335" s="4" t="s">
        <v>12</v>
      </c>
    </row>
    <row r="4336" spans="1:10" x14ac:dyDescent="0.25">
      <c r="A4336" s="2">
        <v>2860.9353829716101</v>
      </c>
      <c r="B4336" s="3">
        <v>-0.23381584253757201</v>
      </c>
      <c r="C4336" s="3">
        <v>2.9100719920151798E-3</v>
      </c>
      <c r="D4336" s="4">
        <v>9.2623230971841906E-3</v>
      </c>
      <c r="E4336" s="3" t="s">
        <v>5835</v>
      </c>
      <c r="F4336" s="3" t="s">
        <v>5836</v>
      </c>
      <c r="G4336" s="3">
        <v>15201</v>
      </c>
      <c r="H4336" s="7" t="str">
        <f>HYPERLINK("http://www.ensembl.org/Mus_musculus/Gene/Summary?db=core;g=ENSMUSG00000025001","ENSMUSG00000025001")</f>
        <v>ENSMUSG00000025001</v>
      </c>
      <c r="I4336" s="7" t="str">
        <f>HYPERLINK("http://www.informatics.jax.org/marker/MGI:106209","MGI:106209")</f>
        <v>MGI:106209</v>
      </c>
      <c r="J4336" s="4" t="s">
        <v>12</v>
      </c>
    </row>
    <row r="4337" spans="1:10" x14ac:dyDescent="0.25">
      <c r="A4337" s="2">
        <v>2234.0668879363002</v>
      </c>
      <c r="B4337" s="3">
        <v>-0.23399780937894299</v>
      </c>
      <c r="C4337" s="5">
        <v>4.0664780052806E-7</v>
      </c>
      <c r="D4337" s="6">
        <v>2.3723291179974099E-6</v>
      </c>
      <c r="E4337" s="3" t="s">
        <v>4815</v>
      </c>
      <c r="F4337" s="3" t="s">
        <v>4816</v>
      </c>
      <c r="G4337" s="3">
        <v>69048</v>
      </c>
      <c r="H4337" s="7" t="str">
        <f>HYPERLINK("http://www.ensembl.org/Mus_musculus/Gene/Summary?db=core;g=ENSMUSG00000021629","ENSMUSG00000021629")</f>
        <v>ENSMUSG00000021629</v>
      </c>
      <c r="I4337" s="7" t="str">
        <f>HYPERLINK("http://www.informatics.jax.org/marker/MGI:1916298","MGI:1916298")</f>
        <v>MGI:1916298</v>
      </c>
      <c r="J4337" s="4" t="s">
        <v>12</v>
      </c>
    </row>
    <row r="4338" spans="1:10" x14ac:dyDescent="0.25">
      <c r="A4338" s="2">
        <v>140.85149085707201</v>
      </c>
      <c r="B4338" s="3">
        <v>-0.23415486731441901</v>
      </c>
      <c r="C4338" s="3">
        <v>3.3097350094134198E-2</v>
      </c>
      <c r="D4338" s="4">
        <v>8.0191332819143299E-2</v>
      </c>
      <c r="E4338" s="3" t="s">
        <v>11219</v>
      </c>
      <c r="F4338" s="3" t="s">
        <v>11220</v>
      </c>
      <c r="G4338" s="3">
        <v>66398</v>
      </c>
      <c r="H4338" s="7" t="str">
        <f>HYPERLINK("http://www.ensembl.org/Mus_musculus/Gene/Summary?db=core;g=ENSMUSG00000055041","ENSMUSG00000055041")</f>
        <v>ENSMUSG00000055041</v>
      </c>
      <c r="I4338" s="7" t="str">
        <f>HYPERLINK("http://www.informatics.jax.org/marker/MGI:1913648","MGI:1913648")</f>
        <v>MGI:1913648</v>
      </c>
      <c r="J4338" s="4" t="s">
        <v>12</v>
      </c>
    </row>
    <row r="4339" spans="1:10" x14ac:dyDescent="0.25">
      <c r="A4339" s="2">
        <v>379.24452921433698</v>
      </c>
      <c r="B4339" s="3">
        <v>-0.234160632469326</v>
      </c>
      <c r="C4339" s="3">
        <v>2.9161658059029699E-3</v>
      </c>
      <c r="D4339" s="4">
        <v>9.2784779700736206E-3</v>
      </c>
      <c r="E4339" s="3" t="s">
        <v>11899</v>
      </c>
      <c r="F4339" s="3" t="s">
        <v>11900</v>
      </c>
      <c r="G4339" s="3">
        <v>74270</v>
      </c>
      <c r="H4339" s="7" t="str">
        <f>HYPERLINK("http://www.ensembl.org/Mus_musculus/Gene/Summary?db=core;g=ENSMUSG00000026854","ENSMUSG00000026854")</f>
        <v>ENSMUSG00000026854</v>
      </c>
      <c r="I4339" s="7" t="str">
        <f>HYPERLINK("http://www.informatics.jax.org/marker/MGI:1921520","MGI:1921520")</f>
        <v>MGI:1921520</v>
      </c>
      <c r="J4339" s="4" t="s">
        <v>12</v>
      </c>
    </row>
    <row r="4340" spans="1:10" x14ac:dyDescent="0.25">
      <c r="A4340" s="2">
        <v>1159.6785829549599</v>
      </c>
      <c r="B4340" s="3">
        <v>-0.23483333389322</v>
      </c>
      <c r="C4340" s="3">
        <v>5.5713267956412097E-3</v>
      </c>
      <c r="D4340" s="4">
        <v>1.6555915677574001E-2</v>
      </c>
      <c r="E4340" s="3" t="s">
        <v>11375</v>
      </c>
      <c r="F4340" s="3" t="s">
        <v>11376</v>
      </c>
      <c r="G4340" s="3">
        <v>78808</v>
      </c>
      <c r="H4340" s="7" t="str">
        <f>HYPERLINK("http://www.ensembl.org/Mus_musculus/Gene/Summary?db=core;g=ENSMUSG00000019790","ENSMUSG00000019790")</f>
        <v>ENSMUSG00000019790</v>
      </c>
      <c r="I4340" s="7" t="str">
        <f>HYPERLINK("http://www.informatics.jax.org/marker/MGI:1926058","MGI:1926058")</f>
        <v>MGI:1926058</v>
      </c>
      <c r="J4340" s="4" t="s">
        <v>12</v>
      </c>
    </row>
    <row r="4341" spans="1:10" x14ac:dyDescent="0.25">
      <c r="A4341" s="2">
        <v>67.489536670484497</v>
      </c>
      <c r="B4341" s="3">
        <v>-0.23484719403808599</v>
      </c>
      <c r="C4341" s="3">
        <v>9.2838277447507805E-2</v>
      </c>
      <c r="D4341" s="4">
        <v>0.19155186306813399</v>
      </c>
      <c r="E4341" s="3" t="s">
        <v>10120</v>
      </c>
      <c r="F4341" s="3" t="s">
        <v>10121</v>
      </c>
      <c r="G4341" s="3">
        <v>217716</v>
      </c>
      <c r="H4341" s="7" t="str">
        <f>HYPERLINK("http://www.ensembl.org/Mus_musculus/Gene/Summary?db=core;g=ENSMUSG00000021245","ENSMUSG00000021245")</f>
        <v>ENSMUSG00000021245</v>
      </c>
      <c r="I4341" s="7" t="str">
        <f>HYPERLINK("http://www.informatics.jax.org/marker/MGI:1353455","MGI:1353455")</f>
        <v>MGI:1353455</v>
      </c>
      <c r="J4341" s="4" t="s">
        <v>12</v>
      </c>
    </row>
    <row r="4342" spans="1:10" x14ac:dyDescent="0.25">
      <c r="A4342" s="2">
        <v>1161.87457512625</v>
      </c>
      <c r="B4342" s="3">
        <v>-0.235102814183102</v>
      </c>
      <c r="C4342" s="5">
        <v>6.0653638504091503E-6</v>
      </c>
      <c r="D4342" s="6">
        <v>3.0629331164784398E-5</v>
      </c>
      <c r="E4342" s="3" t="s">
        <v>10134</v>
      </c>
      <c r="F4342" s="3" t="s">
        <v>10135</v>
      </c>
      <c r="G4342" s="3">
        <v>67922</v>
      </c>
      <c r="H4342" s="7" t="str">
        <f>HYPERLINK("http://www.ensembl.org/Mus_musculus/Gene/Summary?db=core;g=ENSMUSG00000003039","ENSMUSG00000003039")</f>
        <v>ENSMUSG00000003039</v>
      </c>
      <c r="I4342" s="7" t="str">
        <f>HYPERLINK("http://www.informatics.jax.org/marker/MGI:1915172","MGI:1915172")</f>
        <v>MGI:1915172</v>
      </c>
      <c r="J4342" s="4" t="s">
        <v>12</v>
      </c>
    </row>
    <row r="4343" spans="1:10" x14ac:dyDescent="0.25">
      <c r="A4343" s="2">
        <v>452.15777505180898</v>
      </c>
      <c r="B4343" s="3">
        <v>-0.23518290031928901</v>
      </c>
      <c r="C4343" s="3">
        <v>3.9179962361881098E-3</v>
      </c>
      <c r="D4343" s="4">
        <v>1.2090328717326199E-2</v>
      </c>
      <c r="E4343" s="3" t="s">
        <v>10804</v>
      </c>
      <c r="F4343" s="3" t="s">
        <v>10805</v>
      </c>
      <c r="G4343" s="3">
        <v>72672</v>
      </c>
      <c r="H4343" s="7" t="str">
        <f>HYPERLINK("http://www.ensembl.org/Mus_musculus/Gene/Summary?db=core;g=ENSMUSG00000049164","ENSMUSG00000049164")</f>
        <v>ENSMUSG00000049164</v>
      </c>
      <c r="I4343" s="7" t="str">
        <f>HYPERLINK("http://www.informatics.jax.org/marker/MGI:1919922","MGI:1919922")</f>
        <v>MGI:1919922</v>
      </c>
      <c r="J4343" s="4" t="s">
        <v>12</v>
      </c>
    </row>
    <row r="4344" spans="1:10" x14ac:dyDescent="0.25">
      <c r="A4344" s="2">
        <v>1034.596400511</v>
      </c>
      <c r="B4344" s="3">
        <v>-0.235190873032077</v>
      </c>
      <c r="C4344" s="3">
        <v>1.07886145123567E-4</v>
      </c>
      <c r="D4344" s="4">
        <v>4.487709538958E-4</v>
      </c>
      <c r="E4344" s="3" t="s">
        <v>9992</v>
      </c>
      <c r="F4344" s="3" t="s">
        <v>9993</v>
      </c>
      <c r="G4344" s="3">
        <v>17827</v>
      </c>
      <c r="H4344" s="7" t="str">
        <f>HYPERLINK("http://www.ensembl.org/Mus_musculus/Gene/Summary?db=core;g=ENSMUSG00000064068","ENSMUSG00000064068")</f>
        <v>ENSMUSG00000064068</v>
      </c>
      <c r="I4344" s="7" t="str">
        <f>HYPERLINK("http://www.informatics.jax.org/marker/MGI:103025","MGI:103025")</f>
        <v>MGI:103025</v>
      </c>
      <c r="J4344" s="4" t="s">
        <v>12</v>
      </c>
    </row>
    <row r="4345" spans="1:10" x14ac:dyDescent="0.25">
      <c r="A4345" s="2">
        <v>471.08625003622001</v>
      </c>
      <c r="B4345" s="3">
        <v>-0.23523290383935699</v>
      </c>
      <c r="C4345" s="3">
        <v>7.26045077097957E-3</v>
      </c>
      <c r="D4345" s="4">
        <v>2.1107308231153699E-2</v>
      </c>
      <c r="E4345" s="3" t="s">
        <v>11351</v>
      </c>
      <c r="F4345" s="3" t="s">
        <v>11352</v>
      </c>
      <c r="G4345" s="3">
        <v>66246</v>
      </c>
      <c r="H4345" s="7" t="str">
        <f>HYPERLINK("http://www.ensembl.org/Mus_musculus/Gene/Summary?db=core;g=ENSMUSG00000006289","ENSMUSG00000006289")</f>
        <v>ENSMUSG00000006289</v>
      </c>
      <c r="I4345" s="7" t="str">
        <f>HYPERLINK("http://www.informatics.jax.org/marker/MGI:1913496","MGI:1913496")</f>
        <v>MGI:1913496</v>
      </c>
      <c r="J4345" s="4" t="s">
        <v>12</v>
      </c>
    </row>
    <row r="4346" spans="1:10" x14ac:dyDescent="0.25">
      <c r="A4346" s="2">
        <v>351.02701643970801</v>
      </c>
      <c r="B4346" s="3">
        <v>-0.23523383222916699</v>
      </c>
      <c r="C4346" s="3">
        <v>1.20231832836303E-2</v>
      </c>
      <c r="D4346" s="4">
        <v>3.3050153143915698E-2</v>
      </c>
      <c r="E4346" s="3" t="s">
        <v>6697</v>
      </c>
      <c r="F4346" s="3" t="s">
        <v>6698</v>
      </c>
      <c r="G4346" s="3">
        <v>94219</v>
      </c>
      <c r="H4346" s="7" t="str">
        <f>HYPERLINK("http://www.ensembl.org/Mus_musculus/Gene/Summary?db=core;g=ENSMUSG00000064105","ENSMUSG00000064105")</f>
        <v>ENSMUSG00000064105</v>
      </c>
      <c r="I4346" s="7" t="str">
        <f>HYPERLINK("http://www.informatics.jax.org/marker/MGI:2151054","MGI:2151054")</f>
        <v>MGI:2151054</v>
      </c>
      <c r="J4346" s="4" t="s">
        <v>12</v>
      </c>
    </row>
    <row r="4347" spans="1:10" x14ac:dyDescent="0.25">
      <c r="A4347" s="2">
        <v>2273.7722363207199</v>
      </c>
      <c r="B4347" s="3">
        <v>-0.235558481540382</v>
      </c>
      <c r="C4347" s="3">
        <v>2.3752307080695699E-4</v>
      </c>
      <c r="D4347" s="4">
        <v>9.3093719687242804E-4</v>
      </c>
      <c r="E4347" s="3" t="s">
        <v>4995</v>
      </c>
      <c r="F4347" s="3" t="s">
        <v>4996</v>
      </c>
      <c r="G4347" s="3">
        <v>54563</v>
      </c>
      <c r="H4347" s="7" t="str">
        <f>HYPERLINK("http://www.ensembl.org/Mus_musculus/Gene/Summary?db=core;g=ENSMUSG00000030091","ENSMUSG00000030091")</f>
        <v>ENSMUSG00000030091</v>
      </c>
      <c r="I4347" s="7" t="str">
        <f>HYPERLINK("http://www.informatics.jax.org/marker/MGI:1859555","MGI:1859555")</f>
        <v>MGI:1859555</v>
      </c>
      <c r="J4347" s="4" t="s">
        <v>12</v>
      </c>
    </row>
    <row r="4348" spans="1:10" x14ac:dyDescent="0.25">
      <c r="A4348" s="2">
        <v>294.34735318471502</v>
      </c>
      <c r="B4348" s="3">
        <v>-0.235631258163357</v>
      </c>
      <c r="C4348" s="3">
        <v>0.11703976392015</v>
      </c>
      <c r="D4348" s="4">
        <v>0.23132186827793699</v>
      </c>
      <c r="E4348" s="3" t="s">
        <v>6121</v>
      </c>
      <c r="F4348" s="3" t="s">
        <v>6122</v>
      </c>
      <c r="G4348" s="3">
        <v>12448</v>
      </c>
      <c r="H4348" s="7" t="str">
        <f>HYPERLINK("http://www.ensembl.org/Mus_musculus/Gene/Summary?db=core;g=ENSMUSG00000028212","ENSMUSG00000028212")</f>
        <v>ENSMUSG00000028212</v>
      </c>
      <c r="I4348" s="7" t="str">
        <f>HYPERLINK("http://www.informatics.jax.org/marker/MGI:1329034","MGI:1329034")</f>
        <v>MGI:1329034</v>
      </c>
      <c r="J4348" s="4" t="s">
        <v>12</v>
      </c>
    </row>
    <row r="4349" spans="1:10" x14ac:dyDescent="0.25">
      <c r="A4349" s="2">
        <v>1351.8539211813099</v>
      </c>
      <c r="B4349" s="3">
        <v>-0.23573965517211501</v>
      </c>
      <c r="C4349" s="5">
        <v>8.0915783610640196E-5</v>
      </c>
      <c r="D4349" s="4">
        <v>3.4295119914044603E-4</v>
      </c>
      <c r="E4349" s="3" t="s">
        <v>8307</v>
      </c>
      <c r="F4349" s="3" t="s">
        <v>8308</v>
      </c>
      <c r="G4349" s="3">
        <v>94093</v>
      </c>
      <c r="H4349" s="7" t="str">
        <f>HYPERLINK("http://www.ensembl.org/Mus_musculus/Gene/Summary?db=core;g=ENSMUSG00000033014","ENSMUSG00000033014")</f>
        <v>ENSMUSG00000033014</v>
      </c>
      <c r="I4349" s="7" t="str">
        <f>HYPERLINK("http://www.informatics.jax.org/marker/MGI:2137357","MGI:2137357")</f>
        <v>MGI:2137357</v>
      </c>
      <c r="J4349" s="4" t="s">
        <v>12</v>
      </c>
    </row>
    <row r="4350" spans="1:10" x14ac:dyDescent="0.25">
      <c r="A4350" s="2">
        <v>1074.24936759505</v>
      </c>
      <c r="B4350" s="3">
        <v>-0.23579994326752801</v>
      </c>
      <c r="C4350" s="3">
        <v>9.9967908523139405E-4</v>
      </c>
      <c r="D4350" s="4">
        <v>3.51924885616036E-3</v>
      </c>
      <c r="E4350" s="3" t="s">
        <v>7374</v>
      </c>
      <c r="F4350" s="3" t="s">
        <v>7375</v>
      </c>
      <c r="G4350" s="3">
        <v>50496</v>
      </c>
      <c r="H4350" s="7" t="str">
        <f>HYPERLINK("http://www.ensembl.org/Mus_musculus/Gene/Summary?db=core;g=ENSMUSG00000057469","ENSMUSG00000057469")</f>
        <v>ENSMUSG00000057469</v>
      </c>
      <c r="I4350" s="7" t="str">
        <f>HYPERLINK("http://www.informatics.jax.org/marker/MGI:1354159","MGI:1354159")</f>
        <v>MGI:1354159</v>
      </c>
      <c r="J4350" s="4" t="s">
        <v>12</v>
      </c>
    </row>
    <row r="4351" spans="1:10" x14ac:dyDescent="0.25">
      <c r="A4351" s="2">
        <v>273.59184514604402</v>
      </c>
      <c r="B4351" s="3">
        <v>-0.23591357013611999</v>
      </c>
      <c r="C4351" s="3">
        <v>2.3250848895495801E-3</v>
      </c>
      <c r="D4351" s="4">
        <v>7.5736679378089599E-3</v>
      </c>
      <c r="E4351" s="3" t="s">
        <v>11891</v>
      </c>
      <c r="F4351" s="3" t="s">
        <v>11892</v>
      </c>
      <c r="G4351" s="3">
        <v>66526</v>
      </c>
      <c r="H4351" s="7" t="str">
        <f>HYPERLINK("http://www.ensembl.org/Mus_musculus/Gene/Summary?db=core;g=ENSMUSG00000028619","ENSMUSG00000028619")</f>
        <v>ENSMUSG00000028619</v>
      </c>
      <c r="I4351" s="7" t="str">
        <f>HYPERLINK("http://www.informatics.jax.org/marker/MGI:1913776","MGI:1913776")</f>
        <v>MGI:1913776</v>
      </c>
      <c r="J4351" s="4" t="s">
        <v>12</v>
      </c>
    </row>
    <row r="4352" spans="1:10" x14ac:dyDescent="0.25">
      <c r="A4352" s="2">
        <v>744.75296565710698</v>
      </c>
      <c r="B4352" s="3">
        <v>-0.23599197992624901</v>
      </c>
      <c r="C4352" s="3">
        <v>2.2185718789096299E-3</v>
      </c>
      <c r="D4352" s="4">
        <v>7.2722072829366803E-3</v>
      </c>
      <c r="E4352" s="3" t="s">
        <v>11701</v>
      </c>
      <c r="F4352" s="3" t="s">
        <v>11702</v>
      </c>
      <c r="G4352" s="3">
        <v>17826</v>
      </c>
      <c r="H4352" s="7" t="str">
        <f>HYPERLINK("http://www.ensembl.org/Mus_musculus/Gene/Summary?db=core;g=ENSMUSG00000024939","ENSMUSG00000024939")</f>
        <v>ENSMUSG00000024939</v>
      </c>
      <c r="I4352" s="7" t="str">
        <f>HYPERLINK("http://www.informatics.jax.org/marker/MGI:106595","MGI:106595")</f>
        <v>MGI:106595</v>
      </c>
      <c r="J4352" s="4" t="s">
        <v>12</v>
      </c>
    </row>
    <row r="4353" spans="1:10" x14ac:dyDescent="0.25">
      <c r="A4353" s="2">
        <v>684.05554769893104</v>
      </c>
      <c r="B4353" s="3">
        <v>-0.23600668669376501</v>
      </c>
      <c r="C4353" s="3">
        <v>2.7056677555146102E-4</v>
      </c>
      <c r="D4353" s="4">
        <v>1.0476055841141701E-3</v>
      </c>
      <c r="E4353" s="3" t="s">
        <v>9261</v>
      </c>
      <c r="F4353" s="3" t="s">
        <v>9262</v>
      </c>
      <c r="G4353" s="3">
        <v>67466</v>
      </c>
      <c r="H4353" s="7" t="str">
        <f>HYPERLINK("http://www.ensembl.org/Mus_musculus/Gene/Summary?db=core;g=ENSMUSG00000009030","ENSMUSG00000009030")</f>
        <v>ENSMUSG00000009030</v>
      </c>
      <c r="I4353" s="7" t="str">
        <f>HYPERLINK("http://www.informatics.jax.org/marker/MGI:1914716","MGI:1914716")</f>
        <v>MGI:1914716</v>
      </c>
      <c r="J4353" s="4" t="s">
        <v>12</v>
      </c>
    </row>
    <row r="4354" spans="1:10" x14ac:dyDescent="0.25">
      <c r="A4354" s="2">
        <v>95.156970857570997</v>
      </c>
      <c r="B4354" s="3">
        <v>-0.236247204237578</v>
      </c>
      <c r="C4354" s="3">
        <v>4.8705082459092601E-2</v>
      </c>
      <c r="D4354" s="4">
        <v>0.11179472642531001</v>
      </c>
      <c r="E4354" s="3" t="s">
        <v>13971</v>
      </c>
      <c r="F4354" s="3" t="s">
        <v>13972</v>
      </c>
      <c r="G4354" s="3">
        <v>57431</v>
      </c>
      <c r="H4354" s="7" t="str">
        <f>HYPERLINK("http://www.ensembl.org/Mus_musculus/Gene/Summary?db=core;g=ENSMUSG00000024963","ENSMUSG00000024963")</f>
        <v>ENSMUSG00000024963</v>
      </c>
      <c r="I4354" s="7" t="str">
        <f>HYPERLINK("http://www.informatics.jax.org/marker/MGI:1927346","MGI:1927346")</f>
        <v>MGI:1927346</v>
      </c>
      <c r="J4354" s="4" t="s">
        <v>12</v>
      </c>
    </row>
    <row r="4355" spans="1:10" x14ac:dyDescent="0.25">
      <c r="A4355" s="2">
        <v>806.19646541140798</v>
      </c>
      <c r="B4355" s="3">
        <v>-0.236328868401873</v>
      </c>
      <c r="C4355" s="5">
        <v>6.0613435658090499E-5</v>
      </c>
      <c r="D4355" s="4">
        <v>2.6220742104645202E-4</v>
      </c>
      <c r="E4355" s="3" t="s">
        <v>8649</v>
      </c>
      <c r="F4355" s="3" t="s">
        <v>8650</v>
      </c>
      <c r="G4355" s="3">
        <v>74763</v>
      </c>
      <c r="H4355" s="7" t="str">
        <f>HYPERLINK("http://www.ensembl.org/Mus_musculus/Gene/Summary?db=core;g=ENSMUSG00000005982","ENSMUSG00000005982")</f>
        <v>ENSMUSG00000005982</v>
      </c>
      <c r="I4355" s="7" t="str">
        <f>HYPERLINK("http://www.informatics.jax.org/marker/MGI:1922013","MGI:1922013")</f>
        <v>MGI:1922013</v>
      </c>
      <c r="J4355" s="4" t="s">
        <v>12</v>
      </c>
    </row>
    <row r="4356" spans="1:10" x14ac:dyDescent="0.25">
      <c r="A4356" s="2">
        <v>494.01608848120799</v>
      </c>
      <c r="B4356" s="3">
        <v>-0.236384892086447</v>
      </c>
      <c r="C4356" s="3">
        <v>2.2439332936195801E-3</v>
      </c>
      <c r="D4356" s="4">
        <v>7.3463891927298304E-3</v>
      </c>
      <c r="E4356" s="3" t="s">
        <v>6764</v>
      </c>
      <c r="F4356" s="3" t="s">
        <v>6765</v>
      </c>
      <c r="G4356" s="3">
        <v>100273</v>
      </c>
      <c r="H4356" s="7" t="str">
        <f>HYPERLINK("http://www.ensembl.org/Mus_musculus/Gene/Summary?db=core;g=ENSMUSG00000028559","ENSMUSG00000028559")</f>
        <v>ENSMUSG00000028559</v>
      </c>
      <c r="I4356" s="7" t="str">
        <f>HYPERLINK("http://www.informatics.jax.org/marker/MGI:1923784","MGI:1923784")</f>
        <v>MGI:1923784</v>
      </c>
      <c r="J4356" s="4" t="s">
        <v>12</v>
      </c>
    </row>
    <row r="4357" spans="1:10" x14ac:dyDescent="0.25">
      <c r="A4357" s="2">
        <v>114.79832646230901</v>
      </c>
      <c r="B4357" s="3">
        <v>-0.23660985070545801</v>
      </c>
      <c r="C4357" s="3">
        <v>5.1405188026194301E-2</v>
      </c>
      <c r="D4357" s="4">
        <v>0.116873696579016</v>
      </c>
      <c r="E4357" s="3" t="s">
        <v>8455</v>
      </c>
      <c r="F4357" s="3" t="s">
        <v>8456</v>
      </c>
      <c r="G4357" s="3">
        <v>76260</v>
      </c>
      <c r="H4357" s="7" t="str">
        <f>HYPERLINK("http://www.ensembl.org/Mus_musculus/Gene/Summary?db=core;g=ENSMUSG00000021013","ENSMUSG00000021013")</f>
        <v>ENSMUSG00000021013</v>
      </c>
      <c r="I4357" s="7" t="str">
        <f>HYPERLINK("http://www.informatics.jax.org/marker/MGI:1923510","MGI:1923510")</f>
        <v>MGI:1923510</v>
      </c>
      <c r="J4357" s="4" t="s">
        <v>12</v>
      </c>
    </row>
    <row r="4358" spans="1:10" x14ac:dyDescent="0.25">
      <c r="A4358" s="2">
        <v>5740.8286083834</v>
      </c>
      <c r="B4358" s="3">
        <v>-0.236624765407529</v>
      </c>
      <c r="C4358" s="5">
        <v>1.0616358784587499E-6</v>
      </c>
      <c r="D4358" s="6">
        <v>5.8898976818601803E-6</v>
      </c>
      <c r="E4358" s="3" t="s">
        <v>4575</v>
      </c>
      <c r="F4358" s="3" t="s">
        <v>4576</v>
      </c>
      <c r="G4358" s="3">
        <v>21849</v>
      </c>
      <c r="H4358" s="7" t="str">
        <f>HYPERLINK("http://www.ensembl.org/Mus_musculus/Gene/Summary?db=core;g=ENSMUSG00000005566","ENSMUSG00000005566")</f>
        <v>ENSMUSG00000005566</v>
      </c>
      <c r="I4358" s="7" t="str">
        <f>HYPERLINK("http://www.informatics.jax.org/marker/MGI:109274","MGI:109274")</f>
        <v>MGI:109274</v>
      </c>
      <c r="J4358" s="4" t="s">
        <v>12</v>
      </c>
    </row>
    <row r="4359" spans="1:10" x14ac:dyDescent="0.25">
      <c r="A4359" s="2">
        <v>1324.5167465802599</v>
      </c>
      <c r="B4359" s="3">
        <v>-0.23675497696741901</v>
      </c>
      <c r="C4359" s="5">
        <v>5.4015233169264702E-5</v>
      </c>
      <c r="D4359" s="4">
        <v>2.3590405571767301E-4</v>
      </c>
      <c r="E4359" s="3" t="s">
        <v>7186</v>
      </c>
      <c r="F4359" s="3" t="s">
        <v>7187</v>
      </c>
      <c r="G4359" s="3">
        <v>99045</v>
      </c>
      <c r="H4359" s="7" t="str">
        <f>HYPERLINK("http://www.ensembl.org/Mus_musculus/Gene/Summary?db=core;g=ENSMUSG00000037740","ENSMUSG00000037740")</f>
        <v>ENSMUSG00000037740</v>
      </c>
      <c r="I4359" s="7" t="str">
        <f>HYPERLINK("http://www.informatics.jax.org/marker/MGI:1333830","MGI:1333830")</f>
        <v>MGI:1333830</v>
      </c>
      <c r="J4359" s="4" t="s">
        <v>12</v>
      </c>
    </row>
    <row r="4360" spans="1:10" x14ac:dyDescent="0.25">
      <c r="A4360" s="2">
        <v>587.87574257917004</v>
      </c>
      <c r="B4360" s="3">
        <v>-0.236773827984014</v>
      </c>
      <c r="C4360" s="3">
        <v>1.0083863436934499E-2</v>
      </c>
      <c r="D4360" s="4">
        <v>2.8238846210530199E-2</v>
      </c>
      <c r="E4360" s="3" t="s">
        <v>12867</v>
      </c>
      <c r="F4360" s="3" t="s">
        <v>12868</v>
      </c>
      <c r="G4360" s="3">
        <v>69672</v>
      </c>
      <c r="H4360" s="7" t="str">
        <f>HYPERLINK("http://www.ensembl.org/Mus_musculus/Gene/Summary?db=core;g=ENSMUSG00000021497","ENSMUSG00000021497")</f>
        <v>ENSMUSG00000021497</v>
      </c>
      <c r="I4360" s="7" t="str">
        <f>HYPERLINK("http://www.informatics.jax.org/marker/MGI:1916922","MGI:1916922")</f>
        <v>MGI:1916922</v>
      </c>
      <c r="J4360" s="4" t="s">
        <v>12</v>
      </c>
    </row>
    <row r="4361" spans="1:10" x14ac:dyDescent="0.25">
      <c r="A4361" s="2">
        <v>172.222366576616</v>
      </c>
      <c r="B4361" s="3">
        <v>-0.23682053099498701</v>
      </c>
      <c r="C4361" s="3">
        <v>9.1445083029660403E-3</v>
      </c>
      <c r="D4361" s="4">
        <v>2.5898782256652101E-2</v>
      </c>
      <c r="E4361" s="3" t="s">
        <v>11417</v>
      </c>
      <c r="F4361" s="3" t="s">
        <v>11418</v>
      </c>
      <c r="G4361" s="3">
        <v>73233</v>
      </c>
      <c r="H4361" s="7" t="str">
        <f>HYPERLINK("http://www.ensembl.org/Mus_musculus/Gene/Summary?db=core;g=ENSMUSG00000071267","ENSMUSG00000071267")</f>
        <v>ENSMUSG00000071267</v>
      </c>
      <c r="I4361" s="7" t="str">
        <f>HYPERLINK("http://www.informatics.jax.org/marker/MGI:1920483","MGI:1920483")</f>
        <v>MGI:1920483</v>
      </c>
      <c r="J4361" s="4" t="s">
        <v>12</v>
      </c>
    </row>
    <row r="4362" spans="1:10" x14ac:dyDescent="0.25">
      <c r="A4362" s="2">
        <v>735.96600980941298</v>
      </c>
      <c r="B4362" s="3">
        <v>-0.237327760041847</v>
      </c>
      <c r="C4362" s="3">
        <v>2.3982997244424799E-2</v>
      </c>
      <c r="D4362" s="4">
        <v>6.04885309686745E-2</v>
      </c>
      <c r="E4362" s="3" t="s">
        <v>9861</v>
      </c>
      <c r="F4362" s="3" t="s">
        <v>9862</v>
      </c>
      <c r="G4362" s="3">
        <v>70650</v>
      </c>
      <c r="H4362" s="7" t="str">
        <f>HYPERLINK("http://www.ensembl.org/Mus_musculus/Gene/Summary?db=core;g=ENSMUSG00000029427","ENSMUSG00000029427")</f>
        <v>ENSMUSG00000029427</v>
      </c>
      <c r="I4362" s="7" t="str">
        <f>HYPERLINK("http://www.informatics.jax.org/marker/MGI:1917900","MGI:1917900")</f>
        <v>MGI:1917900</v>
      </c>
      <c r="J4362" s="4" t="s">
        <v>12</v>
      </c>
    </row>
    <row r="4363" spans="1:10" x14ac:dyDescent="0.25">
      <c r="A4363" s="2">
        <v>2351.72446184623</v>
      </c>
      <c r="B4363" s="3">
        <v>-0.237596951394386</v>
      </c>
      <c r="C4363" s="5">
        <v>2.6502611332175602E-6</v>
      </c>
      <c r="D4363" s="6">
        <v>1.39962356281918E-5</v>
      </c>
      <c r="E4363" s="3" t="s">
        <v>6053</v>
      </c>
      <c r="F4363" s="3" t="s">
        <v>6054</v>
      </c>
      <c r="G4363" s="3">
        <v>106529</v>
      </c>
      <c r="H4363" s="7" t="str">
        <f>HYPERLINK("http://www.ensembl.org/Mus_musculus/Gene/Summary?db=core;g=ENSMUSG00000031708","ENSMUSG00000031708")</f>
        <v>ENSMUSG00000031708</v>
      </c>
      <c r="I4363" s="7" t="str">
        <f>HYPERLINK("http://www.informatics.jax.org/marker/MGI:1915408","MGI:1915408")</f>
        <v>MGI:1915408</v>
      </c>
      <c r="J4363" s="4" t="s">
        <v>12</v>
      </c>
    </row>
    <row r="4364" spans="1:10" x14ac:dyDescent="0.25">
      <c r="A4364" s="2">
        <v>437.98519304017901</v>
      </c>
      <c r="B4364" s="3">
        <v>-0.23772607273249899</v>
      </c>
      <c r="C4364" s="3">
        <v>3.55669255107426E-2</v>
      </c>
      <c r="D4364" s="4">
        <v>8.5391544912828798E-2</v>
      </c>
      <c r="E4364" s="3" t="s">
        <v>12953</v>
      </c>
      <c r="F4364" s="3" t="s">
        <v>12954</v>
      </c>
      <c r="G4364" s="3">
        <v>14923</v>
      </c>
      <c r="H4364" s="7" t="str">
        <f>HYPERLINK("http://www.ensembl.org/Mus_musculus/Gene/Summary?db=core;g=ENSMUSG00000020444","ENSMUSG00000020444")</f>
        <v>ENSMUSG00000020444</v>
      </c>
      <c r="I4364" s="7" t="str">
        <f>HYPERLINK("http://www.informatics.jax.org/marker/MGI:95871","MGI:95871")</f>
        <v>MGI:95871</v>
      </c>
      <c r="J4364" s="4" t="s">
        <v>12</v>
      </c>
    </row>
    <row r="4365" spans="1:10" x14ac:dyDescent="0.25">
      <c r="A4365" s="2">
        <v>237.602486318106</v>
      </c>
      <c r="B4365" s="3">
        <v>-0.238154506031278</v>
      </c>
      <c r="C4365" s="3">
        <v>6.9401300549840096E-3</v>
      </c>
      <c r="D4365" s="4">
        <v>2.02277099395624E-2</v>
      </c>
      <c r="E4365" s="3" t="s">
        <v>14027</v>
      </c>
      <c r="F4365" s="3" t="s">
        <v>14028</v>
      </c>
      <c r="G4365" s="3">
        <v>328092</v>
      </c>
      <c r="H4365" s="7" t="str">
        <f>HYPERLINK("http://www.ensembl.org/Mus_musculus/Gene/Summary?db=core;g=ENSMUSG00000020956","ENSMUSG00000020956")</f>
        <v>ENSMUSG00000020956</v>
      </c>
      <c r="I4365" s="7" t="str">
        <f>HYPERLINK("http://www.informatics.jax.org/marker/MGI:1923485","MGI:1923485")</f>
        <v>MGI:1923485</v>
      </c>
      <c r="J4365" s="4" t="s">
        <v>12</v>
      </c>
    </row>
    <row r="4366" spans="1:10" x14ac:dyDescent="0.25">
      <c r="A4366" s="2">
        <v>914.87432930813304</v>
      </c>
      <c r="B4366" s="3">
        <v>-0.238362010062555</v>
      </c>
      <c r="C4366" s="3">
        <v>1.08201973684215E-4</v>
      </c>
      <c r="D4366" s="4">
        <v>4.4971059758148601E-4</v>
      </c>
      <c r="E4366" s="3" t="s">
        <v>9907</v>
      </c>
      <c r="F4366" s="3" t="s">
        <v>9908</v>
      </c>
      <c r="G4366" s="3">
        <v>68911</v>
      </c>
      <c r="H4366" s="7" t="str">
        <f>HYPERLINK("http://www.ensembl.org/Mus_musculus/Gene/Summary?db=core;g=ENSMUSG00000047824","ENSMUSG00000047824")</f>
        <v>ENSMUSG00000047824</v>
      </c>
      <c r="I4366" s="7" t="str">
        <f>HYPERLINK("http://www.informatics.jax.org/marker/MGI:1916161","MGI:1916161")</f>
        <v>MGI:1916161</v>
      </c>
      <c r="J4366" s="4" t="s">
        <v>12</v>
      </c>
    </row>
    <row r="4367" spans="1:10" x14ac:dyDescent="0.25">
      <c r="A4367" s="2">
        <v>1162.0692995433601</v>
      </c>
      <c r="B4367" s="3">
        <v>-0.23868842735566501</v>
      </c>
      <c r="C4367" s="3">
        <v>2.4961359446350998E-4</v>
      </c>
      <c r="D4367" s="4">
        <v>9.7288446516198904E-4</v>
      </c>
      <c r="E4367" s="3" t="s">
        <v>11105</v>
      </c>
      <c r="F4367" s="3" t="s">
        <v>11106</v>
      </c>
      <c r="G4367" s="3">
        <v>75423</v>
      </c>
      <c r="H4367" s="7" t="str">
        <f>HYPERLINK("http://www.ensembl.org/Mus_musculus/Gene/Summary?db=core;g=ENSMUSG00000036093","ENSMUSG00000036093")</f>
        <v>ENSMUSG00000036093</v>
      </c>
      <c r="I4367" s="7" t="str">
        <f>HYPERLINK("http://www.informatics.jax.org/marker/MGI:1922673","MGI:1922673")</f>
        <v>MGI:1922673</v>
      </c>
      <c r="J4367" s="4" t="s">
        <v>12</v>
      </c>
    </row>
    <row r="4368" spans="1:10" x14ac:dyDescent="0.25">
      <c r="A4368" s="2">
        <v>249.702851377022</v>
      </c>
      <c r="B4368" s="3">
        <v>-0.238815245955636</v>
      </c>
      <c r="C4368" s="3">
        <v>9.9756717384969305E-3</v>
      </c>
      <c r="D4368" s="4">
        <v>2.79578582888113E-2</v>
      </c>
      <c r="E4368" s="3" t="s">
        <v>8961</v>
      </c>
      <c r="F4368" s="3" t="s">
        <v>8962</v>
      </c>
      <c r="G4368" s="3">
        <v>12972</v>
      </c>
      <c r="H4368" s="7" t="str">
        <f>HYPERLINK("http://www.ensembl.org/Mus_musculus/Gene/Summary?db=core;g=ENSMUSG00000028199","ENSMUSG00000028199")</f>
        <v>ENSMUSG00000028199</v>
      </c>
      <c r="I4368" s="7" t="str">
        <f>HYPERLINK("http://www.informatics.jax.org/marker/MGI:88527","MGI:88527")</f>
        <v>MGI:88527</v>
      </c>
      <c r="J4368" s="4" t="s">
        <v>12</v>
      </c>
    </row>
    <row r="4369" spans="1:10" x14ac:dyDescent="0.25">
      <c r="A4369" s="2">
        <v>231.88118856237301</v>
      </c>
      <c r="B4369" s="3">
        <v>-0.238832096101214</v>
      </c>
      <c r="C4369" s="3">
        <v>3.1443029205588699E-3</v>
      </c>
      <c r="D4369" s="4">
        <v>9.9165324838295307E-3</v>
      </c>
      <c r="E4369" s="3" t="s">
        <v>4415</v>
      </c>
      <c r="F4369" s="3" t="s">
        <v>4416</v>
      </c>
      <c r="G4369" s="3">
        <v>57434</v>
      </c>
      <c r="H4369" s="7" t="str">
        <f>HYPERLINK("http://www.ensembl.org/Mus_musculus/Gene/Summary?db=core;g=ENSMUSG00000028933","ENSMUSG00000028933")</f>
        <v>ENSMUSG00000028933</v>
      </c>
      <c r="I4369" s="7" t="str">
        <f>HYPERLINK("http://www.informatics.jax.org/marker/MGI:1927345","MGI:1927345")</f>
        <v>MGI:1927345</v>
      </c>
      <c r="J4369" s="4" t="s">
        <v>12</v>
      </c>
    </row>
    <row r="4370" spans="1:10" x14ac:dyDescent="0.25">
      <c r="A4370" s="2">
        <v>212.84501700441399</v>
      </c>
      <c r="B4370" s="3">
        <v>-0.238924655475661</v>
      </c>
      <c r="C4370" s="3">
        <v>7.5044540807026501E-3</v>
      </c>
      <c r="D4370" s="4">
        <v>2.1709313590604101E-2</v>
      </c>
      <c r="E4370" s="3" t="s">
        <v>13455</v>
      </c>
      <c r="F4370" s="3" t="s">
        <v>13456</v>
      </c>
      <c r="G4370" s="3">
        <v>54632</v>
      </c>
      <c r="H4370" s="7" t="str">
        <f>HYPERLINK("http://www.ensembl.org/Mus_musculus/Gene/Summary?db=core;g=ENSMUSG00000031171","ENSMUSG00000031171")</f>
        <v>ENSMUSG00000031171</v>
      </c>
      <c r="I4370" s="7" t="str">
        <f>HYPERLINK("http://www.informatics.jax.org/marker/MGI:1859648","MGI:1859648")</f>
        <v>MGI:1859648</v>
      </c>
      <c r="J4370" s="4" t="s">
        <v>12</v>
      </c>
    </row>
    <row r="4371" spans="1:10" x14ac:dyDescent="0.25">
      <c r="A4371" s="2">
        <v>1891.32787656294</v>
      </c>
      <c r="B4371" s="3">
        <v>-0.23903805769513001</v>
      </c>
      <c r="C4371" s="3">
        <v>4.2446966767040103E-4</v>
      </c>
      <c r="D4371" s="4">
        <v>1.5937288202087E-3</v>
      </c>
      <c r="E4371" s="3" t="s">
        <v>8127</v>
      </c>
      <c r="F4371" s="3" t="s">
        <v>8128</v>
      </c>
      <c r="G4371" s="3">
        <v>67534</v>
      </c>
      <c r="H4371" s="7" t="str">
        <f>HYPERLINK("http://www.ensembl.org/Mus_musculus/Gene/Summary?db=core;g=ENSMUSG00000033257","ENSMUSG00000033257")</f>
        <v>ENSMUSG00000033257</v>
      </c>
      <c r="I4371" s="7" t="str">
        <f>HYPERLINK("http://www.informatics.jax.org/marker/MGI:1914784","MGI:1914784")</f>
        <v>MGI:1914784</v>
      </c>
      <c r="J4371" s="4" t="s">
        <v>12</v>
      </c>
    </row>
    <row r="4372" spans="1:10" x14ac:dyDescent="0.25">
      <c r="A4372" s="2">
        <v>1103.8262057158399</v>
      </c>
      <c r="B4372" s="3">
        <v>-0.23929929846056</v>
      </c>
      <c r="C4372" s="3">
        <v>3.9491656255371804E-3</v>
      </c>
      <c r="D4372" s="4">
        <v>1.21741447099823E-2</v>
      </c>
      <c r="E4372" s="3" t="s">
        <v>11571</v>
      </c>
      <c r="F4372" s="3" t="s">
        <v>11572</v>
      </c>
      <c r="G4372" s="3">
        <v>625249</v>
      </c>
      <c r="H4372" s="7" t="str">
        <f>HYPERLINK("http://www.ensembl.org/Mus_musculus/Gene/Summary?db=core;g=ENSMUSG00000075706","ENSMUSG00000075706")</f>
        <v>ENSMUSG00000075706</v>
      </c>
      <c r="I4372" s="7" t="str">
        <f>HYPERLINK("http://www.informatics.jax.org/marker/MGI:104767","MGI:104767")</f>
        <v>MGI:104767</v>
      </c>
      <c r="J4372" s="4" t="s">
        <v>12</v>
      </c>
    </row>
    <row r="4373" spans="1:10" x14ac:dyDescent="0.25">
      <c r="A4373" s="2">
        <v>1520.3641096267199</v>
      </c>
      <c r="B4373" s="3">
        <v>-0.239461640489981</v>
      </c>
      <c r="C4373" s="5">
        <v>3.0186831776864699E-5</v>
      </c>
      <c r="D4373" s="4">
        <v>1.37161557998843E-4</v>
      </c>
      <c r="E4373" s="3" t="s">
        <v>6241</v>
      </c>
      <c r="F4373" s="3" t="s">
        <v>6242</v>
      </c>
      <c r="G4373" s="3">
        <v>15260</v>
      </c>
      <c r="H4373" s="7" t="str">
        <f>HYPERLINK("http://www.ensembl.org/Mus_musculus/Gene/Summary?db=core;g=ENSMUSG00000022702","ENSMUSG00000022702")</f>
        <v>ENSMUSG00000022702</v>
      </c>
      <c r="I4373" s="7" t="str">
        <f>HYPERLINK("http://www.informatics.jax.org/marker/MGI:99430","MGI:99430")</f>
        <v>MGI:99430</v>
      </c>
      <c r="J4373" s="4" t="s">
        <v>12</v>
      </c>
    </row>
    <row r="4374" spans="1:10" x14ac:dyDescent="0.25">
      <c r="A4374" s="2">
        <v>2198.9637007350998</v>
      </c>
      <c r="B4374" s="3">
        <v>-0.239622318696988</v>
      </c>
      <c r="C4374" s="5">
        <v>2.9641790551672499E-6</v>
      </c>
      <c r="D4374" s="6">
        <v>1.5572834615284801E-5</v>
      </c>
      <c r="E4374" s="3" t="s">
        <v>6413</v>
      </c>
      <c r="F4374" s="3" t="s">
        <v>6414</v>
      </c>
      <c r="G4374" s="3">
        <v>71175</v>
      </c>
      <c r="H4374" s="7" t="str">
        <f>HYPERLINK("http://www.ensembl.org/Mus_musculus/Gene/Summary?db=core;g=ENSMUSG00000022141","ENSMUSG00000022141")</f>
        <v>ENSMUSG00000022141</v>
      </c>
      <c r="I4374" s="7" t="str">
        <f>HYPERLINK("http://www.informatics.jax.org/marker/MGI:1913976","MGI:1913976")</f>
        <v>MGI:1913976</v>
      </c>
      <c r="J4374" s="4" t="s">
        <v>12</v>
      </c>
    </row>
    <row r="4375" spans="1:10" x14ac:dyDescent="0.25">
      <c r="A4375" s="2">
        <v>2632.86774819423</v>
      </c>
      <c r="B4375" s="3">
        <v>-0.239629336708022</v>
      </c>
      <c r="C4375" s="5">
        <v>9.8868393726819095E-13</v>
      </c>
      <c r="D4375" s="6">
        <v>1.00048666056151E-11</v>
      </c>
      <c r="E4375" s="3" t="s">
        <v>6824</v>
      </c>
      <c r="F4375" s="3" t="s">
        <v>6825</v>
      </c>
      <c r="G4375" s="3">
        <v>432486</v>
      </c>
      <c r="H4375" s="7" t="str">
        <f>HYPERLINK("http://www.ensembl.org/Mus_musculus/Gene/Summary?db=core;g=ENSMUSG00000035311","ENSMUSG00000035311")</f>
        <v>ENSMUSG00000035311</v>
      </c>
      <c r="I4375" s="7" t="str">
        <f>HYPERLINK("http://www.informatics.jax.org/marker/MGI:3643902","MGI:3643902")</f>
        <v>MGI:3643902</v>
      </c>
      <c r="J4375" s="4" t="s">
        <v>12</v>
      </c>
    </row>
    <row r="4376" spans="1:10" x14ac:dyDescent="0.25">
      <c r="A4376" s="2">
        <v>723.751272297279</v>
      </c>
      <c r="B4376" s="3">
        <v>-0.23994504326997099</v>
      </c>
      <c r="C4376" s="3">
        <v>1.6511779789415201E-2</v>
      </c>
      <c r="D4376" s="4">
        <v>4.3720352558781199E-2</v>
      </c>
      <c r="E4376" s="3" t="s">
        <v>4861</v>
      </c>
      <c r="F4376" s="3" t="s">
        <v>4862</v>
      </c>
      <c r="G4376" s="3">
        <v>50720</v>
      </c>
      <c r="H4376" s="7" t="str">
        <f>HYPERLINK("http://www.ensembl.org/Mus_musculus/Gene/Summary?db=core;g=ENSMUSG00000048279","ENSMUSG00000048279")</f>
        <v>ENSMUSG00000048279</v>
      </c>
      <c r="I4376" s="7" t="str">
        <f>HYPERLINK("http://www.informatics.jax.org/marker/MGI:1354724","MGI:1354724")</f>
        <v>MGI:1354724</v>
      </c>
      <c r="J4376" s="4" t="s">
        <v>12</v>
      </c>
    </row>
    <row r="4377" spans="1:10" x14ac:dyDescent="0.25">
      <c r="A4377" s="2">
        <v>214.711891995613</v>
      </c>
      <c r="B4377" s="3">
        <v>-0.240064123298115</v>
      </c>
      <c r="C4377" s="3">
        <v>8.0024466017761097E-3</v>
      </c>
      <c r="D4377" s="4">
        <v>2.29753534010286E-2</v>
      </c>
      <c r="E4377" s="3" t="s">
        <v>10984</v>
      </c>
      <c r="F4377" s="3" t="s">
        <v>10985</v>
      </c>
      <c r="G4377" s="3">
        <v>54152</v>
      </c>
      <c r="H4377" s="7" t="str">
        <f>HYPERLINK("http://www.ensembl.org/Mus_musculus/Gene/Summary?db=core;g=ENSMUSG00000022420","ENSMUSG00000022420")</f>
        <v>ENSMUSG00000022420</v>
      </c>
      <c r="I4377" s="7" t="str">
        <f>HYPERLINK("http://www.informatics.jax.org/marker/MGI:1859217","MGI:1859217")</f>
        <v>MGI:1859217</v>
      </c>
      <c r="J4377" s="4" t="s">
        <v>12</v>
      </c>
    </row>
    <row r="4378" spans="1:10" x14ac:dyDescent="0.25">
      <c r="A4378" s="2">
        <v>1353.41549425058</v>
      </c>
      <c r="B4378" s="3">
        <v>-0.240572665991448</v>
      </c>
      <c r="C4378" s="5">
        <v>1.9792546255028499E-6</v>
      </c>
      <c r="D4378" s="6">
        <v>1.06187564173652E-5</v>
      </c>
      <c r="E4378" s="3" t="s">
        <v>7178</v>
      </c>
      <c r="F4378" s="3" t="s">
        <v>7179</v>
      </c>
      <c r="G4378" s="3">
        <v>218397</v>
      </c>
      <c r="H4378" s="7" t="str">
        <f>HYPERLINK("http://www.ensembl.org/Mus_musculus/Gene/Summary?db=core;g=ENSMUSG00000021549","ENSMUSG00000021549")</f>
        <v>ENSMUSG00000021549</v>
      </c>
      <c r="I4378" s="7" t="str">
        <f>HYPERLINK("http://www.informatics.jax.org/marker/MGI:97860","MGI:97860")</f>
        <v>MGI:97860</v>
      </c>
      <c r="J4378" s="4" t="s">
        <v>12</v>
      </c>
    </row>
    <row r="4379" spans="1:10" x14ac:dyDescent="0.25">
      <c r="A4379" s="2">
        <v>1414.0902939945499</v>
      </c>
      <c r="B4379" s="3">
        <v>-0.240595992680883</v>
      </c>
      <c r="C4379" s="3">
        <v>1.3103990542895599E-2</v>
      </c>
      <c r="D4379" s="4">
        <v>3.5634173029584097E-2</v>
      </c>
      <c r="E4379" s="3" t="s">
        <v>8247</v>
      </c>
      <c r="F4379" s="3" t="s">
        <v>8248</v>
      </c>
      <c r="G4379" s="3">
        <v>54392</v>
      </c>
      <c r="H4379" s="7" t="str">
        <f>HYPERLINK("http://www.ensembl.org/Mus_musculus/Gene/Summary?db=core;g=ENSMUSG00000015880","ENSMUSG00000015880")</f>
        <v>ENSMUSG00000015880</v>
      </c>
      <c r="I4379" s="7" t="str">
        <f>HYPERLINK("http://www.informatics.jax.org/marker/MGI:1930197","MGI:1930197")</f>
        <v>MGI:1930197</v>
      </c>
      <c r="J4379" s="4" t="s">
        <v>12</v>
      </c>
    </row>
    <row r="4380" spans="1:10" x14ac:dyDescent="0.25">
      <c r="A4380" s="2">
        <v>488.59993774323902</v>
      </c>
      <c r="B4380" s="3">
        <v>-0.240824852787938</v>
      </c>
      <c r="C4380" s="3">
        <v>2.7351397902504199E-3</v>
      </c>
      <c r="D4380" s="4">
        <v>8.7636994861662997E-3</v>
      </c>
      <c r="E4380" s="3" t="s">
        <v>9279</v>
      </c>
      <c r="F4380" s="3" t="s">
        <v>9280</v>
      </c>
      <c r="G4380" s="3">
        <v>217031</v>
      </c>
      <c r="H4380" s="7" t="str">
        <f>HYPERLINK("http://www.ensembl.org/Mus_musculus/Gene/Summary?db=core;g=ENSMUSG00000018651","ENSMUSG00000018651")</f>
        <v>ENSMUSG00000018651</v>
      </c>
      <c r="I4380" s="7" t="str">
        <f>HYPERLINK("http://www.informatics.jax.org/marker/MGI:2144471","MGI:2144471")</f>
        <v>MGI:2144471</v>
      </c>
      <c r="J4380" s="4" t="s">
        <v>12</v>
      </c>
    </row>
    <row r="4381" spans="1:10" x14ac:dyDescent="0.25">
      <c r="A4381" s="2">
        <v>1717.70105736764</v>
      </c>
      <c r="B4381" s="3">
        <v>-0.24092007690633199</v>
      </c>
      <c r="C4381" s="5">
        <v>2.8020082343767899E-6</v>
      </c>
      <c r="D4381" s="6">
        <v>1.47548685557692E-5</v>
      </c>
      <c r="E4381" s="3" t="s">
        <v>5043</v>
      </c>
      <c r="F4381" s="3" t="s">
        <v>5044</v>
      </c>
      <c r="G4381" s="3">
        <v>70999</v>
      </c>
      <c r="H4381" s="7" t="str">
        <f>HYPERLINK("http://www.ensembl.org/Mus_musculus/Gene/Summary?db=core;g=ENSMUSG00000024764","ENSMUSG00000024764")</f>
        <v>ENSMUSG00000024764</v>
      </c>
      <c r="I4381" s="7" t="str">
        <f>HYPERLINK("http://www.informatics.jax.org/marker/MGI:1918249","MGI:1918249")</f>
        <v>MGI:1918249</v>
      </c>
      <c r="J4381" s="4" t="s">
        <v>12</v>
      </c>
    </row>
    <row r="4382" spans="1:10" x14ac:dyDescent="0.25">
      <c r="A4382" s="2">
        <v>1179.07642430181</v>
      </c>
      <c r="B4382" s="3">
        <v>-0.24112309100558599</v>
      </c>
      <c r="C4382" s="3">
        <v>1.1324857025377E-3</v>
      </c>
      <c r="D4382" s="4">
        <v>3.9493976136145501E-3</v>
      </c>
      <c r="E4382" s="3" t="s">
        <v>6695</v>
      </c>
      <c r="F4382" s="3" t="s">
        <v>6696</v>
      </c>
      <c r="G4382" s="3">
        <v>14369</v>
      </c>
      <c r="H4382" s="7" t="str">
        <f>HYPERLINK("http://www.ensembl.org/Mus_musculus/Gene/Summary?db=core;g=ENSMUSG00000041075","ENSMUSG00000041075")</f>
        <v>ENSMUSG00000041075</v>
      </c>
      <c r="I4382" s="7" t="str">
        <f>HYPERLINK("http://www.informatics.jax.org/marker/MGI:108570","MGI:108570")</f>
        <v>MGI:108570</v>
      </c>
      <c r="J4382" s="4" t="s">
        <v>12</v>
      </c>
    </row>
    <row r="4383" spans="1:10" x14ac:dyDescent="0.25">
      <c r="A4383" s="2">
        <v>1032.9134386083999</v>
      </c>
      <c r="B4383" s="3">
        <v>-0.24122175036062801</v>
      </c>
      <c r="C4383" s="5">
        <v>2.2065708346160901E-5</v>
      </c>
      <c r="D4383" s="4">
        <v>1.02431873308401E-4</v>
      </c>
      <c r="E4383" s="3" t="s">
        <v>9972</v>
      </c>
      <c r="F4383" s="3" t="s">
        <v>9973</v>
      </c>
      <c r="G4383" s="3">
        <v>12371</v>
      </c>
      <c r="H4383" s="7" t="str">
        <f>HYPERLINK("http://www.ensembl.org/Mus_musculus/Gene/Summary?db=core;g=ENSMUSG00000028914","ENSMUSG00000028914")</f>
        <v>ENSMUSG00000028914</v>
      </c>
      <c r="I4383" s="7" t="str">
        <f>HYPERLINK("http://www.informatics.jax.org/marker/MGI:1277950","MGI:1277950")</f>
        <v>MGI:1277950</v>
      </c>
      <c r="J4383" s="4" t="s">
        <v>12</v>
      </c>
    </row>
    <row r="4384" spans="1:10" x14ac:dyDescent="0.25">
      <c r="A4384" s="2">
        <v>232.26221659042</v>
      </c>
      <c r="B4384" s="3">
        <v>-0.24125689050832899</v>
      </c>
      <c r="C4384" s="3">
        <v>4.7701743433357299E-3</v>
      </c>
      <c r="D4384" s="4">
        <v>1.43982158673888E-2</v>
      </c>
      <c r="E4384" s="3" t="s">
        <v>7836</v>
      </c>
      <c r="F4384" s="3" t="s">
        <v>7837</v>
      </c>
      <c r="G4384" s="3">
        <v>245638</v>
      </c>
      <c r="H4384" s="7" t="str">
        <f>HYPERLINK("http://www.ensembl.org/Mus_musculus/Gene/Summary?db=core;g=ENSMUSG00000042473","ENSMUSG00000042473")</f>
        <v>ENSMUSG00000042473</v>
      </c>
      <c r="I4384" s="7" t="str">
        <f>HYPERLINK("http://www.informatics.jax.org/marker/MGI:1918101","MGI:1918101")</f>
        <v>MGI:1918101</v>
      </c>
      <c r="J4384" s="4" t="s">
        <v>12</v>
      </c>
    </row>
    <row r="4385" spans="1:10" x14ac:dyDescent="0.25">
      <c r="A4385" s="2">
        <v>326.390089828957</v>
      </c>
      <c r="B4385" s="3">
        <v>-0.241307637574558</v>
      </c>
      <c r="C4385" s="3">
        <v>1.4773796369520701E-3</v>
      </c>
      <c r="D4385" s="4">
        <v>5.03369674396178E-3</v>
      </c>
      <c r="E4385" s="3" t="s">
        <v>12521</v>
      </c>
      <c r="F4385" s="3" t="s">
        <v>12522</v>
      </c>
      <c r="G4385" s="3">
        <v>66278</v>
      </c>
      <c r="H4385" s="7" t="str">
        <f>HYPERLINK("http://www.ensembl.org/Mus_musculus/Gene/Summary?db=core;g=ENSMUSG00000061461","ENSMUSG00000061461")</f>
        <v>ENSMUSG00000061461</v>
      </c>
      <c r="I4385" s="7" t="str">
        <f>HYPERLINK("http://www.informatics.jax.org/marker/MGI:1913528","MGI:1913528")</f>
        <v>MGI:1913528</v>
      </c>
      <c r="J4385" s="4" t="s">
        <v>12</v>
      </c>
    </row>
    <row r="4386" spans="1:10" x14ac:dyDescent="0.25">
      <c r="A4386" s="2">
        <v>398.52938274652098</v>
      </c>
      <c r="B4386" s="3">
        <v>-0.24137203428819701</v>
      </c>
      <c r="C4386" s="3">
        <v>4.3224343277233302E-3</v>
      </c>
      <c r="D4386" s="4">
        <v>1.31998326504287E-2</v>
      </c>
      <c r="E4386" s="3" t="s">
        <v>7220</v>
      </c>
      <c r="F4386" s="3" t="s">
        <v>7221</v>
      </c>
      <c r="G4386" s="3">
        <v>11671</v>
      </c>
      <c r="H4386" s="7" t="str">
        <f>HYPERLINK("http://www.ensembl.org/Mus_musculus/Gene/Summary?db=core;g=ENSMUSG00000010025","ENSMUSG00000010025")</f>
        <v>ENSMUSG00000010025</v>
      </c>
      <c r="I4386" s="7" t="str">
        <f>HYPERLINK("http://www.informatics.jax.org/marker/MGI:1353452","MGI:1353452")</f>
        <v>MGI:1353452</v>
      </c>
      <c r="J4386" s="4" t="s">
        <v>12</v>
      </c>
    </row>
    <row r="4387" spans="1:10" x14ac:dyDescent="0.25">
      <c r="A4387" s="2">
        <v>251.46085184965401</v>
      </c>
      <c r="B4387" s="3">
        <v>-0.24159731186220801</v>
      </c>
      <c r="C4387" s="3">
        <v>2.72443176918869E-3</v>
      </c>
      <c r="D4387" s="4">
        <v>8.7339963049188792E-3</v>
      </c>
      <c r="E4387" s="3" t="s">
        <v>5931</v>
      </c>
      <c r="F4387" s="3" t="s">
        <v>5932</v>
      </c>
      <c r="G4387" s="3">
        <v>101185</v>
      </c>
      <c r="H4387" s="7" t="str">
        <f>HYPERLINK("http://www.ensembl.org/Mus_musculus/Gene/Summary?db=core;g=ENSMUSG00000029676","ENSMUSG00000029676")</f>
        <v>ENSMUSG00000029676</v>
      </c>
      <c r="I4387" s="7" t="str">
        <f>HYPERLINK("http://www.informatics.jax.org/marker/MGI:2141503","MGI:2141503")</f>
        <v>MGI:2141503</v>
      </c>
      <c r="J4387" s="4" t="s">
        <v>12</v>
      </c>
    </row>
    <row r="4388" spans="1:10" x14ac:dyDescent="0.25">
      <c r="A4388" s="2">
        <v>256.49841870830102</v>
      </c>
      <c r="B4388" s="3">
        <v>-0.24173869282692101</v>
      </c>
      <c r="C4388" s="3">
        <v>2.0389193352385098E-3</v>
      </c>
      <c r="D4388" s="4">
        <v>6.7341980581228401E-3</v>
      </c>
      <c r="E4388" s="3" t="s">
        <v>7402</v>
      </c>
      <c r="F4388" s="3" t="s">
        <v>7403</v>
      </c>
      <c r="G4388" s="3">
        <v>68463</v>
      </c>
      <c r="H4388" s="7" t="str">
        <f>HYPERLINK("http://www.ensembl.org/Mus_musculus/Gene/Summary?db=core;g=ENSMUSG00000023939","ENSMUSG00000023939")</f>
        <v>ENSMUSG00000023939</v>
      </c>
      <c r="I4388" s="7" t="str">
        <f>HYPERLINK("http://www.informatics.jax.org/marker/MGI:1333864","MGI:1333864")</f>
        <v>MGI:1333864</v>
      </c>
      <c r="J4388" s="4" t="s">
        <v>12</v>
      </c>
    </row>
    <row r="4389" spans="1:10" x14ac:dyDescent="0.25">
      <c r="A4389" s="2">
        <v>551.46603666538499</v>
      </c>
      <c r="B4389" s="3">
        <v>-0.24210775350175001</v>
      </c>
      <c r="C4389" s="5">
        <v>6.8483244225426695E-5</v>
      </c>
      <c r="D4389" s="4">
        <v>2.9332717415003599E-4</v>
      </c>
      <c r="E4389" s="3" t="s">
        <v>13111</v>
      </c>
      <c r="F4389" s="3" t="s">
        <v>13112</v>
      </c>
      <c r="G4389" s="3">
        <v>100206</v>
      </c>
      <c r="H4389" s="7" t="str">
        <f>HYPERLINK("http://www.ensembl.org/Mus_musculus/Gene/Summary?db=core;g=ENSMUSG00000042558","ENSMUSG00000042558")</f>
        <v>ENSMUSG00000042558</v>
      </c>
      <c r="I4389" s="7" t="str">
        <f>HYPERLINK("http://www.informatics.jax.org/marker/MGI:2140364","MGI:2140364")</f>
        <v>MGI:2140364</v>
      </c>
      <c r="J4389" s="4" t="s">
        <v>12</v>
      </c>
    </row>
    <row r="4390" spans="1:10" x14ac:dyDescent="0.25">
      <c r="A4390" s="2">
        <v>2545.7783696782599</v>
      </c>
      <c r="B4390" s="3">
        <v>-0.24220972095920601</v>
      </c>
      <c r="C4390" s="5">
        <v>7.5142204693529498E-6</v>
      </c>
      <c r="D4390" s="6">
        <v>3.74273484706088E-5</v>
      </c>
      <c r="E4390" s="3" t="s">
        <v>8827</v>
      </c>
      <c r="F4390" s="3" t="s">
        <v>8828</v>
      </c>
      <c r="G4390" s="3">
        <v>66925</v>
      </c>
      <c r="H4390" s="7" t="str">
        <f>HYPERLINK("http://www.ensembl.org/Mus_musculus/Gene/Summary?db=core;g=ENSMUSG00000000171","ENSMUSG00000000171")</f>
        <v>ENSMUSG00000000171</v>
      </c>
      <c r="I4390" s="7" t="str">
        <f>HYPERLINK("http://www.informatics.jax.org/marker/MGI:1914175","MGI:1914175")</f>
        <v>MGI:1914175</v>
      </c>
      <c r="J4390" s="4" t="s">
        <v>12</v>
      </c>
    </row>
    <row r="4391" spans="1:10" x14ac:dyDescent="0.25">
      <c r="A4391" s="2">
        <v>560.03349402334197</v>
      </c>
      <c r="B4391" s="3">
        <v>-0.24229816404080301</v>
      </c>
      <c r="C4391" s="3">
        <v>4.7249209040726601E-3</v>
      </c>
      <c r="D4391" s="4">
        <v>1.42805445235032E-2</v>
      </c>
      <c r="E4391" s="3" t="s">
        <v>12161</v>
      </c>
      <c r="F4391" s="3" t="s">
        <v>12162</v>
      </c>
      <c r="G4391" s="3">
        <v>20022</v>
      </c>
      <c r="H4391" s="7" t="str">
        <f>HYPERLINK("http://www.ensembl.org/Mus_musculus/Gene/Summary?db=core;g=ENSMUSG00000039771","ENSMUSG00000039771")</f>
        <v>ENSMUSG00000039771</v>
      </c>
      <c r="I4391" s="7" t="str">
        <f>HYPERLINK("http://www.informatics.jax.org/marker/MGI:109582","MGI:109582")</f>
        <v>MGI:109582</v>
      </c>
      <c r="J4391" s="4" t="s">
        <v>12</v>
      </c>
    </row>
    <row r="4392" spans="1:10" x14ac:dyDescent="0.25">
      <c r="A4392" s="2">
        <v>912.94087775523599</v>
      </c>
      <c r="B4392" s="3">
        <v>-0.24280549463517401</v>
      </c>
      <c r="C4392" s="5">
        <v>7.1393152188411002E-5</v>
      </c>
      <c r="D4392" s="4">
        <v>3.0536029069086799E-4</v>
      </c>
      <c r="E4392" s="3" t="s">
        <v>13425</v>
      </c>
      <c r="F4392" s="3" t="s">
        <v>13426</v>
      </c>
      <c r="G4392" s="3">
        <v>68927</v>
      </c>
      <c r="H4392" s="7" t="str">
        <f>HYPERLINK("http://www.ensembl.org/Mus_musculus/Gene/Summary?db=core;g=ENSMUSG00000021650","ENSMUSG00000021650")</f>
        <v>ENSMUSG00000021650</v>
      </c>
      <c r="I4392" s="7" t="str">
        <f>HYPERLINK("http://www.informatics.jax.org/marker/MGI:1916177","MGI:1916177")</f>
        <v>MGI:1916177</v>
      </c>
      <c r="J4392" s="4" t="s">
        <v>12</v>
      </c>
    </row>
    <row r="4393" spans="1:10" x14ac:dyDescent="0.25">
      <c r="A4393" s="2">
        <v>9606.2139194339798</v>
      </c>
      <c r="B4393" s="3">
        <v>-0.24281204341938001</v>
      </c>
      <c r="C4393" s="5">
        <v>1.6143111293608299E-9</v>
      </c>
      <c r="D4393" s="6">
        <v>1.22586751385838E-8</v>
      </c>
      <c r="E4393" s="3" t="s">
        <v>5403</v>
      </c>
      <c r="F4393" s="3" t="s">
        <v>5404</v>
      </c>
      <c r="G4393" s="3">
        <v>218236</v>
      </c>
      <c r="H4393" s="7" t="str">
        <f>HYPERLINK("http://www.ensembl.org/Mus_musculus/Gene/Summary?db=core;g=ENSMUSG00000038014","ENSMUSG00000038014")</f>
        <v>ENSMUSG00000038014</v>
      </c>
      <c r="I4393" s="7" t="str">
        <f>HYPERLINK("http://www.informatics.jax.org/marker/MGI:2446163","MGI:2446163")</f>
        <v>MGI:2446163</v>
      </c>
      <c r="J4393" s="4" t="s">
        <v>12</v>
      </c>
    </row>
    <row r="4394" spans="1:10" x14ac:dyDescent="0.25">
      <c r="A4394" s="2">
        <v>1357.86646724254</v>
      </c>
      <c r="B4394" s="3">
        <v>-0.24308375935884</v>
      </c>
      <c r="C4394" s="3">
        <v>2.6964344289428701E-3</v>
      </c>
      <c r="D4394" s="4">
        <v>8.6548991665170404E-3</v>
      </c>
      <c r="E4394" s="3" t="s">
        <v>10750</v>
      </c>
      <c r="F4394" s="3" t="s">
        <v>10751</v>
      </c>
      <c r="G4394" s="3">
        <v>101488212</v>
      </c>
      <c r="H4394" s="7" t="str">
        <f>HYPERLINK("http://www.ensembl.org/Mus_musculus/Gene/Summary?db=core;g=ENSMUSG00000070354","ENSMUSG00000070354")</f>
        <v>ENSMUSG00000070354</v>
      </c>
      <c r="I4394" s="7" t="str">
        <f>HYPERLINK("http://www.informatics.jax.org/marker/MGI:5439444","MGI:5439444")</f>
        <v>MGI:5439444</v>
      </c>
      <c r="J4394" s="4" t="s">
        <v>12</v>
      </c>
    </row>
    <row r="4395" spans="1:10" x14ac:dyDescent="0.25">
      <c r="A4395" s="2">
        <v>806.07273930727399</v>
      </c>
      <c r="B4395" s="3">
        <v>-0.24340855378728299</v>
      </c>
      <c r="C4395" s="3">
        <v>2.8208697314447399E-4</v>
      </c>
      <c r="D4395" s="4">
        <v>1.0889716343058799E-3</v>
      </c>
      <c r="E4395" s="3" t="s">
        <v>7596</v>
      </c>
      <c r="F4395" s="3" t="s">
        <v>7597</v>
      </c>
      <c r="G4395" s="3">
        <v>78455</v>
      </c>
      <c r="H4395" s="7" t="str">
        <f>HYPERLINK("http://www.ensembl.org/Mus_musculus/Gene/Summary?db=core;g=ENSMUSG00000020721","ENSMUSG00000020721")</f>
        <v>ENSMUSG00000020721</v>
      </c>
      <c r="I4395" s="7" t="str">
        <f>HYPERLINK("http://www.informatics.jax.org/marker/MGI:1925705","MGI:1925705")</f>
        <v>MGI:1925705</v>
      </c>
      <c r="J4395" s="4" t="s">
        <v>12</v>
      </c>
    </row>
    <row r="4396" spans="1:10" x14ac:dyDescent="0.25">
      <c r="A4396" s="2">
        <v>1108.3857909713399</v>
      </c>
      <c r="B4396" s="3">
        <v>-0.243435724810909</v>
      </c>
      <c r="C4396" s="5">
        <v>5.4446367349574303E-5</v>
      </c>
      <c r="D4396" s="4">
        <v>2.3773000597651899E-4</v>
      </c>
      <c r="E4396" s="3" t="s">
        <v>6179</v>
      </c>
      <c r="F4396" s="3" t="s">
        <v>6180</v>
      </c>
      <c r="G4396" s="3" t="s">
        <v>83</v>
      </c>
      <c r="H4396" s="7" t="str">
        <f>HYPERLINK("http://www.ensembl.org/Mus_musculus/Gene/Summary?db=core;g=ENSMUSG00000099908","ENSMUSG00000099908")</f>
        <v>ENSMUSG00000099908</v>
      </c>
      <c r="I4396" s="7" t="str">
        <f>HYPERLINK("http://www.informatics.jax.org/marker/MGI:5579245","MGI:5579245")</f>
        <v>MGI:5579245</v>
      </c>
      <c r="J4396" s="4" t="s">
        <v>12</v>
      </c>
    </row>
    <row r="4397" spans="1:10" x14ac:dyDescent="0.25">
      <c r="A4397" s="2">
        <v>367.90513974994099</v>
      </c>
      <c r="B4397" s="3">
        <v>-0.24347502954256101</v>
      </c>
      <c r="C4397" s="3">
        <v>1.3087661316380601E-3</v>
      </c>
      <c r="D4397" s="4">
        <v>4.5097868688038596E-3</v>
      </c>
      <c r="E4397" s="3" t="s">
        <v>10436</v>
      </c>
      <c r="F4397" s="3" t="s">
        <v>10437</v>
      </c>
      <c r="G4397" s="3">
        <v>170728</v>
      </c>
      <c r="H4397" s="7" t="str">
        <f>HYPERLINK("http://www.ensembl.org/Mus_musculus/Gene/Summary?db=core;g=ENSMUSG00000019864","ENSMUSG00000019864")</f>
        <v>ENSMUSG00000019864</v>
      </c>
      <c r="I4397" s="7" t="str">
        <f>HYPERLINK("http://www.informatics.jax.org/marker/MGI:2178759","MGI:2178759")</f>
        <v>MGI:2178759</v>
      </c>
      <c r="J4397" s="4" t="s">
        <v>12</v>
      </c>
    </row>
    <row r="4398" spans="1:10" x14ac:dyDescent="0.25">
      <c r="A4398" s="2">
        <v>884.69368851907302</v>
      </c>
      <c r="B4398" s="3">
        <v>-0.24382195669569101</v>
      </c>
      <c r="C4398" s="3">
        <v>4.6454855262655803E-2</v>
      </c>
      <c r="D4398" s="4">
        <v>0.10742795802079699</v>
      </c>
      <c r="E4398" s="3" t="s">
        <v>12929</v>
      </c>
      <c r="F4398" s="3" t="s">
        <v>12930</v>
      </c>
      <c r="G4398" s="3">
        <v>13360</v>
      </c>
      <c r="H4398" s="7" t="str">
        <f>HYPERLINK("http://www.ensembl.org/Mus_musculus/Gene/Summary?db=core;g=ENSMUSG00000058454","ENSMUSG00000058454")</f>
        <v>ENSMUSG00000058454</v>
      </c>
      <c r="I4398" s="7" t="str">
        <f>HYPERLINK("http://www.informatics.jax.org/marker/MGI:1298378","MGI:1298378")</f>
        <v>MGI:1298378</v>
      </c>
      <c r="J4398" s="4" t="s">
        <v>12</v>
      </c>
    </row>
    <row r="4399" spans="1:10" x14ac:dyDescent="0.25">
      <c r="A4399" s="2">
        <v>353.51631521067299</v>
      </c>
      <c r="B4399" s="3">
        <v>-0.244042177192692</v>
      </c>
      <c r="C4399" s="3">
        <v>4.2477804275602897E-3</v>
      </c>
      <c r="D4399" s="4">
        <v>1.29914076677775E-2</v>
      </c>
      <c r="E4399" s="3" t="s">
        <v>8501</v>
      </c>
      <c r="F4399" s="3" t="s">
        <v>8502</v>
      </c>
      <c r="G4399" s="3">
        <v>22658</v>
      </c>
      <c r="H4399" s="7" t="str">
        <f>HYPERLINK("http://www.ensembl.org/Mus_musculus/Gene/Summary?db=core;g=ENSMUSG00000018537","ENSMUSG00000018537")</f>
        <v>ENSMUSG00000018537</v>
      </c>
      <c r="I4399" s="7" t="str">
        <f>HYPERLINK("http://www.informatics.jax.org/marker/MGI:99161","MGI:99161")</f>
        <v>MGI:99161</v>
      </c>
      <c r="J4399" s="4" t="s">
        <v>12</v>
      </c>
    </row>
    <row r="4400" spans="1:10" x14ac:dyDescent="0.25">
      <c r="A4400" s="2">
        <v>1062.00076357188</v>
      </c>
      <c r="B4400" s="3">
        <v>-0.24412358421100899</v>
      </c>
      <c r="C4400" s="5">
        <v>1.40170016455378E-6</v>
      </c>
      <c r="D4400" s="6">
        <v>7.6806931746821106E-6</v>
      </c>
      <c r="E4400" s="3" t="s">
        <v>6557</v>
      </c>
      <c r="F4400" s="3" t="s">
        <v>6558</v>
      </c>
      <c r="G4400" s="3">
        <v>26383</v>
      </c>
      <c r="H4400" s="7" t="str">
        <f>HYPERLINK("http://www.ensembl.org/Mus_musculus/Gene/Summary?db=core;g=ENSMUSG00000055932","ENSMUSG00000055932")</f>
        <v>ENSMUSG00000055932</v>
      </c>
      <c r="I4400" s="7" t="str">
        <f>HYPERLINK("http://www.informatics.jax.org/marker/MGI:1347093","MGI:1347093")</f>
        <v>MGI:1347093</v>
      </c>
      <c r="J4400" s="4" t="s">
        <v>12</v>
      </c>
    </row>
    <row r="4401" spans="1:10" x14ac:dyDescent="0.25">
      <c r="A4401" s="2">
        <v>1209.14673649272</v>
      </c>
      <c r="B4401" s="3">
        <v>-0.244257070089961</v>
      </c>
      <c r="C4401" s="5">
        <v>5.4479863500036202E-5</v>
      </c>
      <c r="D4401" s="4">
        <v>2.3776233531804601E-4</v>
      </c>
      <c r="E4401" s="3" t="s">
        <v>9127</v>
      </c>
      <c r="F4401" s="3" t="s">
        <v>9128</v>
      </c>
      <c r="G4401" s="3">
        <v>83493</v>
      </c>
      <c r="H4401" s="7" t="str">
        <f>HYPERLINK("http://www.ensembl.org/Mus_musculus/Gene/Summary?db=core;g=ENSMUSG00000025240","ENSMUSG00000025240")</f>
        <v>ENSMUSG00000025240</v>
      </c>
      <c r="I4401" s="7" t="str">
        <f>HYPERLINK("http://www.informatics.jax.org/marker/MGI:1933169","MGI:1933169")</f>
        <v>MGI:1933169</v>
      </c>
      <c r="J4401" s="4" t="s">
        <v>12</v>
      </c>
    </row>
    <row r="4402" spans="1:10" x14ac:dyDescent="0.25">
      <c r="A4402" s="2">
        <v>248.667052808937</v>
      </c>
      <c r="B4402" s="3">
        <v>-0.24454184356374301</v>
      </c>
      <c r="C4402" s="3">
        <v>7.35875695865644E-3</v>
      </c>
      <c r="D4402" s="4">
        <v>2.1345431413578499E-2</v>
      </c>
      <c r="E4402" s="3" t="s">
        <v>8385</v>
      </c>
      <c r="F4402" s="3" t="s">
        <v>8386</v>
      </c>
      <c r="G4402" s="3">
        <v>110012</v>
      </c>
      <c r="H4402" s="7" t="str">
        <f>HYPERLINK("http://www.ensembl.org/Mus_musculus/Gene/Summary?db=core;g=ENSMUSG00000020308","ENSMUSG00000020308")</f>
        <v>ENSMUSG00000020308</v>
      </c>
      <c r="I4402" s="7" t="str">
        <f>HYPERLINK("http://www.informatics.jax.org/marker/MGI:106618","MGI:106618")</f>
        <v>MGI:106618</v>
      </c>
      <c r="J4402" s="4" t="s">
        <v>12</v>
      </c>
    </row>
    <row r="4403" spans="1:10" x14ac:dyDescent="0.25">
      <c r="A4403" s="2">
        <v>1553.38090730832</v>
      </c>
      <c r="B4403" s="3">
        <v>-0.24488415030351701</v>
      </c>
      <c r="C4403" s="5">
        <v>2.2604882046432901E-7</v>
      </c>
      <c r="D4403" s="6">
        <v>1.3637006795638499E-6</v>
      </c>
      <c r="E4403" s="3" t="s">
        <v>3258</v>
      </c>
      <c r="F4403" s="3" t="s">
        <v>3259</v>
      </c>
      <c r="G4403" s="3">
        <v>380959</v>
      </c>
      <c r="H4403" s="7" t="str">
        <f>HYPERLINK("http://www.ensembl.org/Mus_musculus/Gene/Summary?db=core;g=ENSMUSG00000075470","ENSMUSG00000075470")</f>
        <v>ENSMUSG00000075470</v>
      </c>
      <c r="I4403" s="7" t="str">
        <f>HYPERLINK("http://www.informatics.jax.org/marker/MGI:2146159","MGI:2146159")</f>
        <v>MGI:2146159</v>
      </c>
      <c r="J4403" s="4" t="s">
        <v>12</v>
      </c>
    </row>
    <row r="4404" spans="1:10" x14ac:dyDescent="0.25">
      <c r="A4404" s="2">
        <v>1690.91069588917</v>
      </c>
      <c r="B4404" s="3">
        <v>-0.244895625592779</v>
      </c>
      <c r="C4404" s="5">
        <v>1.15053692702579E-5</v>
      </c>
      <c r="D4404" s="6">
        <v>5.5767381635757999E-5</v>
      </c>
      <c r="E4404" s="3" t="s">
        <v>8645</v>
      </c>
      <c r="F4404" s="3" t="s">
        <v>8646</v>
      </c>
      <c r="G4404" s="3">
        <v>104248</v>
      </c>
      <c r="H4404" s="7" t="str">
        <f>HYPERLINK("http://www.ensembl.org/Mus_musculus/Gene/Summary?db=core;g=ENSMUSG00000020196","ENSMUSG00000020196")</f>
        <v>ENSMUSG00000020196</v>
      </c>
      <c r="I4404" s="7" t="str">
        <f>HYPERLINK("http://www.informatics.jax.org/marker/MGI:1298375","MGI:1298375")</f>
        <v>MGI:1298375</v>
      </c>
      <c r="J4404" s="4" t="s">
        <v>12</v>
      </c>
    </row>
    <row r="4405" spans="1:10" x14ac:dyDescent="0.25">
      <c r="A4405" s="2">
        <v>646.16973295156504</v>
      </c>
      <c r="B4405" s="3">
        <v>-0.24520590237720499</v>
      </c>
      <c r="C4405" s="3">
        <v>2.49703373856262E-3</v>
      </c>
      <c r="D4405" s="4">
        <v>8.0817687595993292E-3</v>
      </c>
      <c r="E4405" s="3" t="s">
        <v>11979</v>
      </c>
      <c r="F4405" s="3" t="s">
        <v>11980</v>
      </c>
      <c r="G4405" s="3">
        <v>382056</v>
      </c>
      <c r="H4405" s="7" t="str">
        <f>HYPERLINK("http://www.ensembl.org/Mus_musculus/Gene/Summary?db=core;g=ENSMUSG00000003575","ENSMUSG00000003575")</f>
        <v>ENSMUSG00000003575</v>
      </c>
      <c r="I4405" s="7" t="str">
        <f>HYPERLINK("http://www.informatics.jax.org/marker/MGI:2142523","MGI:2142523")</f>
        <v>MGI:2142523</v>
      </c>
      <c r="J4405" s="4" t="s">
        <v>12</v>
      </c>
    </row>
    <row r="4406" spans="1:10" x14ac:dyDescent="0.25">
      <c r="A4406" s="2">
        <v>106.05148423057901</v>
      </c>
      <c r="B4406" s="3">
        <v>-0.24554226557311901</v>
      </c>
      <c r="C4406" s="3">
        <v>3.7607680564254002E-2</v>
      </c>
      <c r="D4406" s="4">
        <v>8.9571351056394299E-2</v>
      </c>
      <c r="E4406" s="3" t="s">
        <v>12362</v>
      </c>
      <c r="F4406" s="3" t="s">
        <v>12363</v>
      </c>
      <c r="G4406" s="3">
        <v>68055</v>
      </c>
      <c r="H4406" s="7" t="str">
        <f>HYPERLINK("http://www.ensembl.org/Mus_musculus/Gene/Summary?db=core;g=ENSMUSG00000054894","ENSMUSG00000054894")</f>
        <v>ENSMUSG00000054894</v>
      </c>
      <c r="I4406" s="7" t="str">
        <f>HYPERLINK("http://www.informatics.jax.org/marker/MGI:1915305","MGI:1915305")</f>
        <v>MGI:1915305</v>
      </c>
      <c r="J4406" s="4" t="s">
        <v>12</v>
      </c>
    </row>
    <row r="4407" spans="1:10" x14ac:dyDescent="0.25">
      <c r="A4407" s="2">
        <v>43.568435430657999</v>
      </c>
      <c r="B4407" s="3">
        <v>-0.245558536076635</v>
      </c>
      <c r="C4407" s="3">
        <v>0.166508630725447</v>
      </c>
      <c r="D4407" s="4">
        <v>0.305478135189377</v>
      </c>
      <c r="E4407" s="3" t="s">
        <v>10752</v>
      </c>
      <c r="F4407" s="3" t="s">
        <v>10753</v>
      </c>
      <c r="G4407" s="3" t="s">
        <v>83</v>
      </c>
      <c r="H4407" s="7" t="str">
        <f>HYPERLINK("http://www.ensembl.org/Mus_musculus/Gene/Summary?db=core;g=ENSMUSG00000098318","ENSMUSG00000098318")</f>
        <v>ENSMUSG00000098318</v>
      </c>
      <c r="I4407" s="7" t="str">
        <f>HYPERLINK("http://www.informatics.jax.org/marker/MGI:1915081","MGI:1915081")</f>
        <v>MGI:1915081</v>
      </c>
      <c r="J4407" s="4" t="s">
        <v>939</v>
      </c>
    </row>
    <row r="4408" spans="1:10" x14ac:dyDescent="0.25">
      <c r="A4408" s="2">
        <v>570.25519323101798</v>
      </c>
      <c r="B4408" s="3">
        <v>-0.245926105748801</v>
      </c>
      <c r="C4408" s="5">
        <v>5.2133516227101197E-5</v>
      </c>
      <c r="D4408" s="4">
        <v>2.2806849093589E-4</v>
      </c>
      <c r="E4408" s="3" t="s">
        <v>8987</v>
      </c>
      <c r="F4408" s="3" t="s">
        <v>8988</v>
      </c>
      <c r="G4408" s="3">
        <v>270166</v>
      </c>
      <c r="H4408" s="7" t="str">
        <f>HYPERLINK("http://www.ensembl.org/Mus_musculus/Gene/Summary?db=core;g=ENSMUSG00000015357","ENSMUSG00000015357")</f>
        <v>ENSMUSG00000015357</v>
      </c>
      <c r="I4408" s="7" t="str">
        <f>HYPERLINK("http://www.informatics.jax.org/marker/MGI:1346017","MGI:1346017")</f>
        <v>MGI:1346017</v>
      </c>
      <c r="J4408" s="4" t="s">
        <v>12</v>
      </c>
    </row>
    <row r="4409" spans="1:10" x14ac:dyDescent="0.25">
      <c r="A4409" s="2">
        <v>194.46823808670001</v>
      </c>
      <c r="B4409" s="3">
        <v>-0.246300928103732</v>
      </c>
      <c r="C4409" s="3">
        <v>3.6224970739885702E-3</v>
      </c>
      <c r="D4409" s="4">
        <v>1.1266213169529299E-2</v>
      </c>
      <c r="E4409" s="3" t="s">
        <v>8153</v>
      </c>
      <c r="F4409" s="3" t="s">
        <v>8154</v>
      </c>
      <c r="G4409" s="3">
        <v>18294</v>
      </c>
      <c r="H4409" s="7" t="str">
        <f>HYPERLINK("http://www.ensembl.org/Mus_musculus/Gene/Summary?db=core;g=ENSMUSG00000030271","ENSMUSG00000030271")</f>
        <v>ENSMUSG00000030271</v>
      </c>
      <c r="I4409" s="7" t="str">
        <f>HYPERLINK("http://www.informatics.jax.org/marker/MGI:1097693","MGI:1097693")</f>
        <v>MGI:1097693</v>
      </c>
      <c r="J4409" s="4" t="s">
        <v>12</v>
      </c>
    </row>
    <row r="4410" spans="1:10" x14ac:dyDescent="0.25">
      <c r="A4410" s="2">
        <v>1312.7815520295501</v>
      </c>
      <c r="B4410" s="3">
        <v>-0.24655743609528999</v>
      </c>
      <c r="C4410" s="5">
        <v>3.2458053155983998E-6</v>
      </c>
      <c r="D4410" s="6">
        <v>1.69643825284717E-5</v>
      </c>
      <c r="E4410" s="3" t="s">
        <v>8315</v>
      </c>
      <c r="F4410" s="3" t="s">
        <v>8316</v>
      </c>
      <c r="G4410" s="3">
        <v>66147</v>
      </c>
      <c r="H4410" s="7" t="str">
        <f>HYPERLINK("http://www.ensembl.org/Mus_musculus/Gene/Summary?db=core;g=ENSMUSG00000028923","ENSMUSG00000028923")</f>
        <v>ENSMUSG00000028923</v>
      </c>
      <c r="I4410" s="7" t="str">
        <f>HYPERLINK("http://www.informatics.jax.org/marker/MGI:1913397","MGI:1913397")</f>
        <v>MGI:1913397</v>
      </c>
      <c r="J4410" s="4" t="s">
        <v>12</v>
      </c>
    </row>
    <row r="4411" spans="1:10" x14ac:dyDescent="0.25">
      <c r="A4411" s="2">
        <v>457.33319133025998</v>
      </c>
      <c r="B4411" s="3">
        <v>-0.24662472431204699</v>
      </c>
      <c r="C4411" s="3">
        <v>2.2560789387108299E-3</v>
      </c>
      <c r="D4411" s="4">
        <v>7.3792244540568496E-3</v>
      </c>
      <c r="E4411" s="3" t="s">
        <v>10140</v>
      </c>
      <c r="F4411" s="3" t="s">
        <v>10141</v>
      </c>
      <c r="G4411" s="3">
        <v>54608</v>
      </c>
      <c r="H4411" s="7" t="str">
        <f>HYPERLINK("http://www.ensembl.org/Mus_musculus/Gene/Summary?db=core;g=ENSMUSG00000039202","ENSMUSG00000039202")</f>
        <v>ENSMUSG00000039202</v>
      </c>
      <c r="I4411" s="7" t="str">
        <f>HYPERLINK("http://www.informatics.jax.org/marker/MGI:1914344","MGI:1914344")</f>
        <v>MGI:1914344</v>
      </c>
      <c r="J4411" s="4" t="s">
        <v>12</v>
      </c>
    </row>
    <row r="4412" spans="1:10" x14ac:dyDescent="0.25">
      <c r="A4412" s="2">
        <v>1241.1204403132799</v>
      </c>
      <c r="B4412" s="3">
        <v>-0.24687359902577</v>
      </c>
      <c r="C4412" s="5">
        <v>2.38278341477451E-5</v>
      </c>
      <c r="D4412" s="4">
        <v>1.1016293184745201E-4</v>
      </c>
      <c r="E4412" s="3" t="s">
        <v>13075</v>
      </c>
      <c r="F4412" s="3" t="s">
        <v>13076</v>
      </c>
      <c r="G4412" s="3">
        <v>68151</v>
      </c>
      <c r="H4412" s="7" t="str">
        <f>HYPERLINK("http://www.ensembl.org/Mus_musculus/Gene/Summary?db=core;g=ENSMUSG00000028173","ENSMUSG00000028173")</f>
        <v>ENSMUSG00000028173</v>
      </c>
      <c r="I4412" s="7" t="str">
        <f>HYPERLINK("http://www.informatics.jax.org/marker/MGI:1915401","MGI:1915401")</f>
        <v>MGI:1915401</v>
      </c>
      <c r="J4412" s="4" t="s">
        <v>12</v>
      </c>
    </row>
    <row r="4413" spans="1:10" x14ac:dyDescent="0.25">
      <c r="A4413" s="2">
        <v>237.09138276500599</v>
      </c>
      <c r="B4413" s="3">
        <v>-0.24703702562839</v>
      </c>
      <c r="C4413" s="3">
        <v>3.1530083120026599E-3</v>
      </c>
      <c r="D4413" s="4">
        <v>9.9400755035890902E-3</v>
      </c>
      <c r="E4413" s="3" t="s">
        <v>5725</v>
      </c>
      <c r="F4413" s="3" t="s">
        <v>5726</v>
      </c>
      <c r="G4413" s="3">
        <v>217340</v>
      </c>
      <c r="H4413" s="7" t="str">
        <f>HYPERLINK("http://www.ensembl.org/Mus_musculus/Gene/Summary?db=core;g=ENSMUSG00000052949","ENSMUSG00000052949")</f>
        <v>ENSMUSG00000052949</v>
      </c>
      <c r="I4413" s="7" t="str">
        <f>HYPERLINK("http://www.informatics.jax.org/marker/MGI:2442484","MGI:2442484")</f>
        <v>MGI:2442484</v>
      </c>
      <c r="J4413" s="4" t="s">
        <v>12</v>
      </c>
    </row>
    <row r="4414" spans="1:10" x14ac:dyDescent="0.25">
      <c r="A4414" s="2">
        <v>494.69961317961599</v>
      </c>
      <c r="B4414" s="3">
        <v>-0.24724225788194201</v>
      </c>
      <c r="C4414" s="3">
        <v>1.3389211977390699E-2</v>
      </c>
      <c r="D4414" s="4">
        <v>3.6321024070660797E-2</v>
      </c>
      <c r="E4414" s="3" t="s">
        <v>13429</v>
      </c>
      <c r="F4414" s="3" t="s">
        <v>13430</v>
      </c>
      <c r="G4414" s="3">
        <v>230125</v>
      </c>
      <c r="H4414" s="7" t="str">
        <f>HYPERLINK("http://www.ensembl.org/Mus_musculus/Gene/Summary?db=core;g=ENSMUSG00000045973","ENSMUSG00000045973")</f>
        <v>ENSMUSG00000045973</v>
      </c>
      <c r="I4414" s="7" t="str">
        <f>HYPERLINK("http://www.informatics.jax.org/marker/MGI:2684984","MGI:2684984")</f>
        <v>MGI:2684984</v>
      </c>
      <c r="J4414" s="4" t="s">
        <v>12</v>
      </c>
    </row>
    <row r="4415" spans="1:10" x14ac:dyDescent="0.25">
      <c r="A4415" s="2">
        <v>3474.3586306021698</v>
      </c>
      <c r="B4415" s="3">
        <v>-0.247318716158448</v>
      </c>
      <c r="C4415" s="3">
        <v>1.03290126722036E-4</v>
      </c>
      <c r="D4415" s="4">
        <v>4.3106539031580101E-4</v>
      </c>
      <c r="E4415" s="3" t="s">
        <v>12657</v>
      </c>
      <c r="F4415" s="3" t="s">
        <v>12658</v>
      </c>
      <c r="G4415" s="3">
        <v>108101</v>
      </c>
      <c r="H4415" s="7" t="str">
        <f>HYPERLINK("http://www.ensembl.org/Mus_musculus/Gene/Summary?db=core;g=ENSMUSG00000024965","ENSMUSG00000024965")</f>
        <v>ENSMUSG00000024965</v>
      </c>
      <c r="I4415" s="7" t="str">
        <f>HYPERLINK("http://www.informatics.jax.org/marker/MGI:2147790","MGI:2147790")</f>
        <v>MGI:2147790</v>
      </c>
      <c r="J4415" s="4" t="s">
        <v>12</v>
      </c>
    </row>
    <row r="4416" spans="1:10" x14ac:dyDescent="0.25">
      <c r="A4416" s="2">
        <v>1159.15448739369</v>
      </c>
      <c r="B4416" s="3">
        <v>-0.24758874508143999</v>
      </c>
      <c r="C4416" s="5">
        <v>8.7228282108719901E-6</v>
      </c>
      <c r="D4416" s="6">
        <v>4.3058923115693897E-5</v>
      </c>
      <c r="E4416" s="3" t="s">
        <v>3772</v>
      </c>
      <c r="F4416" s="3" t="s">
        <v>3773</v>
      </c>
      <c r="G4416" s="3">
        <v>72151</v>
      </c>
      <c r="H4416" s="7" t="str">
        <f>HYPERLINK("http://www.ensembl.org/Mus_musculus/Gene/Summary?db=core;g=ENSMUSG00000029363","ENSMUSG00000029363")</f>
        <v>ENSMUSG00000029363</v>
      </c>
      <c r="I4416" s="7" t="str">
        <f>HYPERLINK("http://www.informatics.jax.org/marker/MGI:1919401","MGI:1919401")</f>
        <v>MGI:1919401</v>
      </c>
      <c r="J4416" s="4" t="s">
        <v>12</v>
      </c>
    </row>
    <row r="4417" spans="1:10" x14ac:dyDescent="0.25">
      <c r="A4417" s="2">
        <v>410.73434392228501</v>
      </c>
      <c r="B4417" s="3">
        <v>-0.24781864503918899</v>
      </c>
      <c r="C4417" s="3">
        <v>3.70163932942478E-3</v>
      </c>
      <c r="D4417" s="4">
        <v>1.14849126283226E-2</v>
      </c>
      <c r="E4417" s="3" t="s">
        <v>10526</v>
      </c>
      <c r="F4417" s="3" t="s">
        <v>10527</v>
      </c>
      <c r="G4417" s="3">
        <v>56626</v>
      </c>
      <c r="H4417" s="7" t="str">
        <f>HYPERLINK("http://www.ensembl.org/Mus_musculus/Gene/Summary?db=core;g=ENSMUSG00000025218","ENSMUSG00000025218")</f>
        <v>ENSMUSG00000025218</v>
      </c>
      <c r="I4417" s="7" t="str">
        <f>HYPERLINK("http://www.informatics.jax.org/marker/MGI:1889000","MGI:1889000")</f>
        <v>MGI:1889000</v>
      </c>
      <c r="J4417" s="4" t="s">
        <v>12</v>
      </c>
    </row>
    <row r="4418" spans="1:10" x14ac:dyDescent="0.25">
      <c r="A4418" s="2">
        <v>80.027646824392306</v>
      </c>
      <c r="B4418" s="3">
        <v>-0.24784760881039</v>
      </c>
      <c r="C4418" s="3">
        <v>7.4987247981677205E-2</v>
      </c>
      <c r="D4418" s="4">
        <v>0.16031031685436001</v>
      </c>
      <c r="E4418" s="3" t="s">
        <v>11185</v>
      </c>
      <c r="F4418" s="3" t="s">
        <v>11186</v>
      </c>
      <c r="G4418" s="3">
        <v>244721</v>
      </c>
      <c r="H4418" s="7" t="str">
        <f>HYPERLINK("http://www.ensembl.org/Mus_musculus/Gene/Summary?db=core;g=ENSMUSG00000058192","ENSMUSG00000058192")</f>
        <v>ENSMUSG00000058192</v>
      </c>
      <c r="I4418" s="7" t="str">
        <f>HYPERLINK("http://www.informatics.jax.org/marker/MGI:1924012","MGI:1924012")</f>
        <v>MGI:1924012</v>
      </c>
      <c r="J4418" s="4" t="s">
        <v>12</v>
      </c>
    </row>
    <row r="4419" spans="1:10" x14ac:dyDescent="0.25">
      <c r="A4419" s="2">
        <v>1295.0085273700299</v>
      </c>
      <c r="B4419" s="3">
        <v>-0.24809494438626301</v>
      </c>
      <c r="C4419" s="3">
        <v>0.115264707670429</v>
      </c>
      <c r="D4419" s="4">
        <v>0.22833688014060599</v>
      </c>
      <c r="E4419" s="3" t="s">
        <v>12765</v>
      </c>
      <c r="F4419" s="3" t="s">
        <v>12766</v>
      </c>
      <c r="G4419" s="3">
        <v>70381</v>
      </c>
      <c r="H4419" s="7" t="str">
        <f>HYPERLINK("http://www.ensembl.org/Mus_musculus/Gene/Summary?db=core;g=ENSMUSG00000066621","ENSMUSG00000066621")</f>
        <v>ENSMUSG00000066621</v>
      </c>
      <c r="I4419" s="7" t="str">
        <f>HYPERLINK("http://www.informatics.jax.org/marker/MGI:1917631","MGI:1917631")</f>
        <v>MGI:1917631</v>
      </c>
      <c r="J4419" s="4" t="s">
        <v>12</v>
      </c>
    </row>
    <row r="4420" spans="1:10" x14ac:dyDescent="0.25">
      <c r="A4420" s="2">
        <v>660.19924607824703</v>
      </c>
      <c r="B4420" s="3">
        <v>-0.24880857606633699</v>
      </c>
      <c r="C4420" s="3">
        <v>1.13416598942191E-3</v>
      </c>
      <c r="D4420" s="4">
        <v>3.9545006996774901E-3</v>
      </c>
      <c r="E4420" s="3" t="s">
        <v>9879</v>
      </c>
      <c r="F4420" s="3" t="s">
        <v>9880</v>
      </c>
      <c r="G4420" s="3">
        <v>228980</v>
      </c>
      <c r="H4420" s="7" t="str">
        <f>HYPERLINK("http://www.ensembl.org/Mus_musculus/Gene/Summary?db=core;g=ENSMUSG00000039117","ENSMUSG00000039117")</f>
        <v>ENSMUSG00000039117</v>
      </c>
      <c r="I4420" s="7" t="str">
        <f>HYPERLINK("http://www.informatics.jax.org/marker/MGI:2152346","MGI:2152346")</f>
        <v>MGI:2152346</v>
      </c>
      <c r="J4420" s="4" t="s">
        <v>12</v>
      </c>
    </row>
    <row r="4421" spans="1:10" x14ac:dyDescent="0.25">
      <c r="A4421" s="2">
        <v>198.82451976989699</v>
      </c>
      <c r="B4421" s="3">
        <v>-0.24946942356096</v>
      </c>
      <c r="C4421" s="3">
        <v>2.54437124217025E-2</v>
      </c>
      <c r="D4421" s="4">
        <v>6.3722915883678399E-2</v>
      </c>
      <c r="E4421" s="3" t="s">
        <v>12737</v>
      </c>
      <c r="F4421" s="3" t="s">
        <v>12738</v>
      </c>
      <c r="G4421" s="3">
        <v>227377</v>
      </c>
      <c r="H4421" s="7" t="str">
        <f>HYPERLINK("http://www.ensembl.org/Mus_musculus/Gene/Summary?db=core;g=ENSMUSG00000034066","ENSMUSG00000034066")</f>
        <v>ENSMUSG00000034066</v>
      </c>
      <c r="I4421" s="7" t="str">
        <f>HYPERLINK("http://www.informatics.jax.org/marker/MGI:2385126","MGI:2385126")</f>
        <v>MGI:2385126</v>
      </c>
      <c r="J4421" s="4" t="s">
        <v>12</v>
      </c>
    </row>
    <row r="4422" spans="1:10" x14ac:dyDescent="0.25">
      <c r="A4422" s="2">
        <v>766.19083463284096</v>
      </c>
      <c r="B4422" s="3">
        <v>-0.249605523699891</v>
      </c>
      <c r="C4422" s="5">
        <v>1.77655084907911E-5</v>
      </c>
      <c r="D4422" s="6">
        <v>8.3749713462148899E-5</v>
      </c>
      <c r="E4422" s="3" t="s">
        <v>8797</v>
      </c>
      <c r="F4422" s="3" t="s">
        <v>8798</v>
      </c>
      <c r="G4422" s="3">
        <v>170822</v>
      </c>
      <c r="H4422" s="7" t="str">
        <f>HYPERLINK("http://www.ensembl.org/Mus_musculus/Gene/Summary?db=core;g=ENSMUSG00000025437","ENSMUSG00000025437")</f>
        <v>ENSMUSG00000025437</v>
      </c>
      <c r="I4422" s="7" t="str">
        <f>HYPERLINK("http://www.informatics.jax.org/marker/MGI:2159711","MGI:2159711")</f>
        <v>MGI:2159711</v>
      </c>
      <c r="J4422" s="4" t="s">
        <v>12</v>
      </c>
    </row>
    <row r="4423" spans="1:10" x14ac:dyDescent="0.25">
      <c r="A4423" s="2">
        <v>9.4692270429814407</v>
      </c>
      <c r="B4423" s="3">
        <v>-0.24984287428636701</v>
      </c>
      <c r="C4423" s="3">
        <v>0.485352870092503</v>
      </c>
      <c r="D4423" s="4">
        <v>0.66040741288629301</v>
      </c>
      <c r="E4423" s="3" t="s">
        <v>12577</v>
      </c>
      <c r="F4423" s="3" t="s">
        <v>12578</v>
      </c>
      <c r="G4423" s="3">
        <v>80891</v>
      </c>
      <c r="H4423" s="7" t="str">
        <f>HYPERLINK("http://www.ensembl.org/Mus_musculus/Gene/Summary?db=core;g=ENSMUSG00000015852","ENSMUSG00000015852")</f>
        <v>ENSMUSG00000015852</v>
      </c>
      <c r="I4423" s="7" t="str">
        <f>HYPERLINK("http://www.informatics.jax.org/marker/MGI:1933397","MGI:1933397")</f>
        <v>MGI:1933397</v>
      </c>
      <c r="J4423" s="4" t="s">
        <v>12</v>
      </c>
    </row>
    <row r="4424" spans="1:10" x14ac:dyDescent="0.25">
      <c r="A4424" s="2">
        <v>597.94995894466797</v>
      </c>
      <c r="B4424" s="3">
        <v>-0.250143543505497</v>
      </c>
      <c r="C4424" s="3">
        <v>2.0409297473926399E-3</v>
      </c>
      <c r="D4424" s="4">
        <v>6.7396167143016598E-3</v>
      </c>
      <c r="E4424" s="3" t="s">
        <v>7764</v>
      </c>
      <c r="F4424" s="3" t="s">
        <v>7765</v>
      </c>
      <c r="G4424" s="3">
        <v>74868</v>
      </c>
      <c r="H4424" s="7" t="str">
        <f>HYPERLINK("http://www.ensembl.org/Mus_musculus/Gene/Summary?db=core;g=ENSMUSG00000062373","ENSMUSG00000062373")</f>
        <v>ENSMUSG00000062373</v>
      </c>
      <c r="I4424" s="7" t="str">
        <f>HYPERLINK("http://www.informatics.jax.org/marker/MGI:1922118","MGI:1922118")</f>
        <v>MGI:1922118</v>
      </c>
      <c r="J4424" s="4" t="s">
        <v>12</v>
      </c>
    </row>
    <row r="4425" spans="1:10" x14ac:dyDescent="0.25">
      <c r="A4425" s="2">
        <v>4199.1720652457798</v>
      </c>
      <c r="B4425" s="3">
        <v>-0.25027218335300799</v>
      </c>
      <c r="C4425" s="5">
        <v>3.7333196089721598E-7</v>
      </c>
      <c r="D4425" s="6">
        <v>2.1934155342848998E-6</v>
      </c>
      <c r="E4425" s="3" t="s">
        <v>5597</v>
      </c>
      <c r="F4425" s="3" t="s">
        <v>5598</v>
      </c>
      <c r="G4425" s="3">
        <v>110854</v>
      </c>
      <c r="H4425" s="7" t="str">
        <f>HYPERLINK("http://www.ensembl.org/Mus_musculus/Gene/Summary?db=core;g=ENSMUSG00000039515","ENSMUSG00000039515")</f>
        <v>ENSMUSG00000039515</v>
      </c>
      <c r="I4425" s="7" t="str">
        <f>HYPERLINK("http://www.informatics.jax.org/marker/MGI:1346006","MGI:1346006")</f>
        <v>MGI:1346006</v>
      </c>
      <c r="J4425" s="4" t="s">
        <v>12</v>
      </c>
    </row>
    <row r="4426" spans="1:10" x14ac:dyDescent="0.25">
      <c r="A4426" s="2">
        <v>766.42384562036898</v>
      </c>
      <c r="B4426" s="3">
        <v>-0.25052511018113699</v>
      </c>
      <c r="C4426" s="3">
        <v>2.8011574815698103E-4</v>
      </c>
      <c r="D4426" s="4">
        <v>1.0822788870385801E-3</v>
      </c>
      <c r="E4426" s="3" t="s">
        <v>11018</v>
      </c>
      <c r="F4426" s="3" t="s">
        <v>11019</v>
      </c>
      <c r="G4426" s="3">
        <v>96979</v>
      </c>
      <c r="H4426" s="7" t="str">
        <f>HYPERLINK("http://www.ensembl.org/Mus_musculus/Gene/Summary?db=core;g=ENSMUSG00000026820","ENSMUSG00000026820")</f>
        <v>ENSMUSG00000026820</v>
      </c>
      <c r="I4426" s="7" t="str">
        <f>HYPERLINK("http://www.informatics.jax.org/marker/MGI:1917592","MGI:1917592")</f>
        <v>MGI:1917592</v>
      </c>
      <c r="J4426" s="4" t="s">
        <v>12</v>
      </c>
    </row>
    <row r="4427" spans="1:10" x14ac:dyDescent="0.25">
      <c r="A4427" s="2">
        <v>341.89283977441102</v>
      </c>
      <c r="B4427" s="3">
        <v>-0.25085517878754499</v>
      </c>
      <c r="C4427" s="3">
        <v>3.2631225984070698E-3</v>
      </c>
      <c r="D4427" s="4">
        <v>1.0259446267309799E-2</v>
      </c>
      <c r="E4427" s="3" t="s">
        <v>10394</v>
      </c>
      <c r="F4427" s="3" t="s">
        <v>10395</v>
      </c>
      <c r="G4427" s="3">
        <v>225745</v>
      </c>
      <c r="H4427" s="7" t="str">
        <f>HYPERLINK("http://www.ensembl.org/Mus_musculus/Gene/Summary?db=core;g=ENSMUSG00000041840","ENSMUSG00000041840")</f>
        <v>ENSMUSG00000041840</v>
      </c>
      <c r="I4427" s="7" t="str">
        <f>HYPERLINK("http://www.informatics.jax.org/marker/MGI:2385076","MGI:2385076")</f>
        <v>MGI:2385076</v>
      </c>
      <c r="J4427" s="4" t="s">
        <v>12</v>
      </c>
    </row>
    <row r="4428" spans="1:10" x14ac:dyDescent="0.25">
      <c r="A4428" s="2">
        <v>531.908210334263</v>
      </c>
      <c r="B4428" s="3">
        <v>-0.25107481210261301</v>
      </c>
      <c r="C4428" s="3">
        <v>4.75993512043754E-3</v>
      </c>
      <c r="D4428" s="4">
        <v>1.43696898409763E-2</v>
      </c>
      <c r="E4428" s="3" t="s">
        <v>12805</v>
      </c>
      <c r="F4428" s="3" t="s">
        <v>12806</v>
      </c>
      <c r="G4428" s="3">
        <v>75763</v>
      </c>
      <c r="H4428" s="7" t="str">
        <f>HYPERLINK("http://www.ensembl.org/Mus_musculus/Gene/Summary?db=core;g=ENSMUSG00000041966","ENSMUSG00000041966")</f>
        <v>ENSMUSG00000041966</v>
      </c>
      <c r="I4428" s="7" t="str">
        <f>HYPERLINK("http://www.informatics.jax.org/marker/MGI:1923013","MGI:1923013")</f>
        <v>MGI:1923013</v>
      </c>
      <c r="J4428" s="4" t="s">
        <v>12</v>
      </c>
    </row>
    <row r="4429" spans="1:10" x14ac:dyDescent="0.25">
      <c r="A4429" s="2">
        <v>369.95835986354803</v>
      </c>
      <c r="B4429" s="3">
        <v>-0.25149321179616302</v>
      </c>
      <c r="C4429" s="3">
        <v>3.7753109774193599E-3</v>
      </c>
      <c r="D4429" s="4">
        <v>1.16995481318598E-2</v>
      </c>
      <c r="E4429" s="3" t="s">
        <v>12683</v>
      </c>
      <c r="F4429" s="3" t="s">
        <v>12684</v>
      </c>
      <c r="G4429" s="3">
        <v>109275</v>
      </c>
      <c r="H4429" s="7" t="str">
        <f>HYPERLINK("http://www.ensembl.org/Mus_musculus/Gene/Summary?db=core;g=ENSMUSG00000037761","ENSMUSG00000037761")</f>
        <v>ENSMUSG00000037761</v>
      </c>
      <c r="I4429" s="7" t="str">
        <f>HYPERLINK("http://www.informatics.jax.org/marker/MGI:1924748","MGI:1924748")</f>
        <v>MGI:1924748</v>
      </c>
      <c r="J4429" s="4" t="s">
        <v>12</v>
      </c>
    </row>
    <row r="4430" spans="1:10" x14ac:dyDescent="0.25">
      <c r="A4430" s="2">
        <v>220.675981295463</v>
      </c>
      <c r="B4430" s="3">
        <v>-0.25156287667648403</v>
      </c>
      <c r="C4430" s="3">
        <v>2.1403144924791902E-3</v>
      </c>
      <c r="D4430" s="4">
        <v>7.0372057776354304E-3</v>
      </c>
      <c r="E4430" s="3" t="s">
        <v>14051</v>
      </c>
      <c r="F4430" s="3" t="s">
        <v>14052</v>
      </c>
      <c r="G4430" s="3">
        <v>22025</v>
      </c>
      <c r="H4430" s="7" t="str">
        <f>HYPERLINK("http://www.ensembl.org/Mus_musculus/Gene/Summary?db=core;g=ENSMUSG00000005897","ENSMUSG00000005897")</f>
        <v>ENSMUSG00000005897</v>
      </c>
      <c r="I4430" s="7" t="str">
        <f>HYPERLINK("http://www.informatics.jax.org/marker/MGI:1352465","MGI:1352465")</f>
        <v>MGI:1352465</v>
      </c>
      <c r="J4430" s="4" t="s">
        <v>12</v>
      </c>
    </row>
    <row r="4431" spans="1:10" x14ac:dyDescent="0.25">
      <c r="A4431" s="2">
        <v>1375.718139669</v>
      </c>
      <c r="B4431" s="3">
        <v>-0.251863703896748</v>
      </c>
      <c r="C4431" s="5">
        <v>6.5440742641597994E-5</v>
      </c>
      <c r="D4431" s="4">
        <v>2.8128715439696301E-4</v>
      </c>
      <c r="E4431" s="3" t="s">
        <v>9005</v>
      </c>
      <c r="F4431" s="3" t="s">
        <v>9006</v>
      </c>
      <c r="G4431" s="3">
        <v>68018</v>
      </c>
      <c r="H4431" s="7" t="str">
        <f>HYPERLINK("http://www.ensembl.org/Mus_musculus/Gene/Summary?db=core;g=ENSMUSG00000021669","ENSMUSG00000021669")</f>
        <v>ENSMUSG00000021669</v>
      </c>
      <c r="I4431" s="7" t="str">
        <f>HYPERLINK("http://www.informatics.jax.org/marker/MGI:1915268","MGI:1915268")</f>
        <v>MGI:1915268</v>
      </c>
      <c r="J4431" s="4" t="s">
        <v>12</v>
      </c>
    </row>
    <row r="4432" spans="1:10" x14ac:dyDescent="0.25">
      <c r="A4432" s="2">
        <v>847.92296622182198</v>
      </c>
      <c r="B4432" s="3">
        <v>-0.25190334563087502</v>
      </c>
      <c r="C4432" s="3">
        <v>1.9207234684104899E-3</v>
      </c>
      <c r="D4432" s="4">
        <v>6.3843124588329799E-3</v>
      </c>
      <c r="E4432" s="3" t="s">
        <v>6822</v>
      </c>
      <c r="F4432" s="3" t="s">
        <v>6823</v>
      </c>
      <c r="G4432" s="3">
        <v>66771</v>
      </c>
      <c r="H4432" s="7" t="str">
        <f>HYPERLINK("http://www.ensembl.org/Mus_musculus/Gene/Summary?db=core;g=ENSMUSG00000018415","ENSMUSG00000018415")</f>
        <v>ENSMUSG00000018415</v>
      </c>
      <c r="I4432" s="7" t="str">
        <f>HYPERLINK("http://www.informatics.jax.org/marker/MGI:1914021","MGI:1914021")</f>
        <v>MGI:1914021</v>
      </c>
      <c r="J4432" s="4" t="s">
        <v>12</v>
      </c>
    </row>
    <row r="4433" spans="1:10" x14ac:dyDescent="0.25">
      <c r="A4433" s="2">
        <v>3075.8893987885799</v>
      </c>
      <c r="B4433" s="3">
        <v>-0.252017732584571</v>
      </c>
      <c r="C4433" s="5">
        <v>5.1342839286873002E-7</v>
      </c>
      <c r="D4433" s="6">
        <v>2.9527398106761101E-6</v>
      </c>
      <c r="E4433" s="3" t="s">
        <v>6726</v>
      </c>
      <c r="F4433" s="3" t="s">
        <v>6727</v>
      </c>
      <c r="G4433" s="3">
        <v>545030</v>
      </c>
      <c r="H4433" s="7" t="str">
        <f>HYPERLINK("http://www.ensembl.org/Mus_musculus/Gene/Summary?db=core;g=ENSMUSG00000051506","ENSMUSG00000051506")</f>
        <v>ENSMUSG00000051506</v>
      </c>
      <c r="I4433" s="7" t="str">
        <f>HYPERLINK("http://www.informatics.jax.org/marker/MGI:3584510","MGI:3584510")</f>
        <v>MGI:3584510</v>
      </c>
      <c r="J4433" s="4" t="s">
        <v>12</v>
      </c>
    </row>
    <row r="4434" spans="1:10" x14ac:dyDescent="0.25">
      <c r="A4434" s="2">
        <v>1291.55397369563</v>
      </c>
      <c r="B4434" s="3">
        <v>-0.25212550041342802</v>
      </c>
      <c r="C4434" s="3">
        <v>1.05540863889856E-4</v>
      </c>
      <c r="D4434" s="4">
        <v>4.3955261526339802E-4</v>
      </c>
      <c r="E4434" s="3" t="s">
        <v>12441</v>
      </c>
      <c r="F4434" s="3" t="s">
        <v>12442</v>
      </c>
      <c r="G4434" s="3">
        <v>12036</v>
      </c>
      <c r="H4434" s="7" t="str">
        <f>HYPERLINK("http://www.ensembl.org/Mus_musculus/Gene/Summary?db=core;g=ENSMUSG00000030826","ENSMUSG00000030826")</f>
        <v>ENSMUSG00000030826</v>
      </c>
      <c r="I4434" s="7" t="str">
        <f>HYPERLINK("http://www.informatics.jax.org/marker/MGI:1276534","MGI:1276534")</f>
        <v>MGI:1276534</v>
      </c>
      <c r="J4434" s="4" t="s">
        <v>12</v>
      </c>
    </row>
    <row r="4435" spans="1:10" x14ac:dyDescent="0.25">
      <c r="A4435" s="2">
        <v>913.21696204423199</v>
      </c>
      <c r="B4435" s="3">
        <v>-0.25215196068255202</v>
      </c>
      <c r="C4435" s="5">
        <v>7.7776877486162896E-5</v>
      </c>
      <c r="D4435" s="4">
        <v>3.3010796278186303E-4</v>
      </c>
      <c r="E4435" s="3" t="s">
        <v>7354</v>
      </c>
      <c r="F4435" s="3" t="s">
        <v>7355</v>
      </c>
      <c r="G4435" s="3">
        <v>269704</v>
      </c>
      <c r="H4435" s="7" t="str">
        <f>HYPERLINK("http://www.ensembl.org/Mus_musculus/Gene/Summary?db=core;g=ENSMUSG00000079215","ENSMUSG00000079215")</f>
        <v>ENSMUSG00000079215</v>
      </c>
      <c r="I4435" s="7" t="str">
        <f>HYPERLINK("http://www.informatics.jax.org/marker/MGI:2442505","MGI:2442505")</f>
        <v>MGI:2442505</v>
      </c>
      <c r="J4435" s="4" t="s">
        <v>12</v>
      </c>
    </row>
    <row r="4436" spans="1:10" x14ac:dyDescent="0.25">
      <c r="A4436" s="2">
        <v>2003.9515824033999</v>
      </c>
      <c r="B4436" s="3">
        <v>-0.25295105199087198</v>
      </c>
      <c r="C4436" s="5">
        <v>2.6045010376799702E-6</v>
      </c>
      <c r="D4436" s="6">
        <v>1.3778528711674199E-5</v>
      </c>
      <c r="E4436" s="3" t="s">
        <v>8421</v>
      </c>
      <c r="F4436" s="3" t="s">
        <v>8422</v>
      </c>
      <c r="G4436" s="3">
        <v>21372</v>
      </c>
      <c r="H4436" s="7" t="str">
        <f>HYPERLINK("http://www.ensembl.org/Mus_musculus/Gene/Summary?db=core;g=ENSMUSG00000025246","ENSMUSG00000025246")</f>
        <v>ENSMUSG00000025246</v>
      </c>
      <c r="I4436" s="7" t="str">
        <f>HYPERLINK("http://www.informatics.jax.org/marker/MGI:1336172","MGI:1336172")</f>
        <v>MGI:1336172</v>
      </c>
      <c r="J4436" s="4" t="s">
        <v>12</v>
      </c>
    </row>
    <row r="4437" spans="1:10" x14ac:dyDescent="0.25">
      <c r="A4437" s="2">
        <v>105.955891515302</v>
      </c>
      <c r="B4437" s="3">
        <v>-0.25308542678365598</v>
      </c>
      <c r="C4437" s="3">
        <v>4.6533802633623403E-2</v>
      </c>
      <c r="D4437" s="4">
        <v>0.107571888438384</v>
      </c>
      <c r="E4437" s="3" t="s">
        <v>13927</v>
      </c>
      <c r="F4437" s="3" t="s">
        <v>13928</v>
      </c>
      <c r="G4437" s="3">
        <v>268294</v>
      </c>
      <c r="H4437" s="7" t="str">
        <f>HYPERLINK("http://www.ensembl.org/Mus_musculus/Gene/Summary?db=core;g=ENSMUSG00000019826","ENSMUSG00000019826")</f>
        <v>ENSMUSG00000019826</v>
      </c>
      <c r="I4437" s="7" t="str">
        <f>HYPERLINK("http://www.informatics.jax.org/marker/MGI:3039618","MGI:3039618")</f>
        <v>MGI:3039618</v>
      </c>
      <c r="J4437" s="4" t="s">
        <v>12</v>
      </c>
    </row>
    <row r="4438" spans="1:10" x14ac:dyDescent="0.25">
      <c r="A4438" s="2">
        <v>792.14153423758296</v>
      </c>
      <c r="B4438" s="3">
        <v>-0.25347069202523198</v>
      </c>
      <c r="C4438" s="3">
        <v>2.0550903496925399E-2</v>
      </c>
      <c r="D4438" s="4">
        <v>5.2789318707747002E-2</v>
      </c>
      <c r="E4438" s="3" t="s">
        <v>10778</v>
      </c>
      <c r="F4438" s="3" t="s">
        <v>10779</v>
      </c>
      <c r="G4438" s="3">
        <v>66949</v>
      </c>
      <c r="H4438" s="7" t="str">
        <f>HYPERLINK("http://www.ensembl.org/Mus_musculus/Gene/Summary?db=core;g=ENSMUSG00000034317","ENSMUSG00000034317")</f>
        <v>ENSMUSG00000034317</v>
      </c>
      <c r="I4438" s="7" t="str">
        <f>HYPERLINK("http://www.informatics.jax.org/marker/MGI:1914199","MGI:1914199")</f>
        <v>MGI:1914199</v>
      </c>
      <c r="J4438" s="4" t="s">
        <v>12</v>
      </c>
    </row>
    <row r="4439" spans="1:10" x14ac:dyDescent="0.25">
      <c r="A4439" s="2">
        <v>525.55145345848405</v>
      </c>
      <c r="B4439" s="3">
        <v>-0.25351349989552302</v>
      </c>
      <c r="C4439" s="3">
        <v>2.3741576071483598E-3</v>
      </c>
      <c r="D4439" s="4">
        <v>7.7174183147786001E-3</v>
      </c>
      <c r="E4439" s="3" t="s">
        <v>10872</v>
      </c>
      <c r="F4439" s="3" t="s">
        <v>10873</v>
      </c>
      <c r="G4439" s="3">
        <v>71755</v>
      </c>
      <c r="H4439" s="7" t="str">
        <f>HYPERLINK("http://www.ensembl.org/Mus_musculus/Gene/Summary?db=core;g=ENSMUSG00000011382","ENSMUSG00000011382")</f>
        <v>ENSMUSG00000011382</v>
      </c>
      <c r="I4439" s="7" t="str">
        <f>HYPERLINK("http://www.informatics.jax.org/marker/MGI:1919005","MGI:1919005")</f>
        <v>MGI:1919005</v>
      </c>
      <c r="J4439" s="4" t="s">
        <v>12</v>
      </c>
    </row>
    <row r="4440" spans="1:10" x14ac:dyDescent="0.25">
      <c r="A4440" s="2">
        <v>2573.6510828955202</v>
      </c>
      <c r="B4440" s="3">
        <v>-0.25357083389146801</v>
      </c>
      <c r="C4440" s="5">
        <v>2.29489369546599E-6</v>
      </c>
      <c r="D4440" s="6">
        <v>1.2218649605570399E-5</v>
      </c>
      <c r="E4440" s="3" t="s">
        <v>7142</v>
      </c>
      <c r="F4440" s="3" t="s">
        <v>7143</v>
      </c>
      <c r="G4440" s="3">
        <v>68510</v>
      </c>
      <c r="H4440" s="7" t="str">
        <f>HYPERLINK("http://www.ensembl.org/Mus_musculus/Gene/Summary?db=core;g=ENSMUSG00000029547","ENSMUSG00000029547")</f>
        <v>ENSMUSG00000029547</v>
      </c>
      <c r="I4440" s="7" t="str">
        <f>HYPERLINK("http://www.informatics.jax.org/marker/MGI:1915760","MGI:1915760")</f>
        <v>MGI:1915760</v>
      </c>
      <c r="J4440" s="4" t="s">
        <v>12</v>
      </c>
    </row>
    <row r="4441" spans="1:10" x14ac:dyDescent="0.25">
      <c r="A4441" s="2">
        <v>147.50251291494399</v>
      </c>
      <c r="B4441" s="3">
        <v>-0.254107594871885</v>
      </c>
      <c r="C4441" s="3">
        <v>4.70141786452727E-2</v>
      </c>
      <c r="D4441" s="4">
        <v>0.108473655628573</v>
      </c>
      <c r="E4441" s="3" t="s">
        <v>11387</v>
      </c>
      <c r="F4441" s="3" t="s">
        <v>11388</v>
      </c>
      <c r="G4441" s="3">
        <v>16475</v>
      </c>
      <c r="H4441" s="7" t="str">
        <f>HYPERLINK("http://www.ensembl.org/Mus_musculus/Gene/Summary?db=core;g=ENSMUSG00000022178","ENSMUSG00000022178")</f>
        <v>ENSMUSG00000022178</v>
      </c>
      <c r="I4441" s="7" t="str">
        <f>HYPERLINK("http://www.informatics.jax.org/marker/MGI:1341886","MGI:1341886")</f>
        <v>MGI:1341886</v>
      </c>
      <c r="J4441" s="4" t="s">
        <v>12</v>
      </c>
    </row>
    <row r="4442" spans="1:10" x14ac:dyDescent="0.25">
      <c r="A4442" s="2">
        <v>637.00366632764496</v>
      </c>
      <c r="B4442" s="3">
        <v>-0.25431328947594201</v>
      </c>
      <c r="C4442" s="3">
        <v>1.0271079940982299E-3</v>
      </c>
      <c r="D4442" s="4">
        <v>3.6067520602004301E-3</v>
      </c>
      <c r="E4442" s="3" t="s">
        <v>9301</v>
      </c>
      <c r="F4442" s="3" t="s">
        <v>9302</v>
      </c>
      <c r="G4442" s="3">
        <v>19082</v>
      </c>
      <c r="H4442" s="7" t="str">
        <f>HYPERLINK("http://www.ensembl.org/Mus_musculus/Gene/Summary?db=core;g=ENSMUSG00000067713","ENSMUSG00000067713")</f>
        <v>ENSMUSG00000067713</v>
      </c>
      <c r="I4442" s="7" t="str">
        <f>HYPERLINK("http://www.informatics.jax.org/marker/MGI:108411","MGI:108411")</f>
        <v>MGI:108411</v>
      </c>
      <c r="J4442" s="4" t="s">
        <v>12</v>
      </c>
    </row>
    <row r="4443" spans="1:10" x14ac:dyDescent="0.25">
      <c r="A4443" s="2">
        <v>1787.7480427431401</v>
      </c>
      <c r="B4443" s="3">
        <v>-0.25471890851655599</v>
      </c>
      <c r="C4443" s="5">
        <v>5.9693392431104999E-5</v>
      </c>
      <c r="D4443" s="4">
        <v>2.5847281469633902E-4</v>
      </c>
      <c r="E4443" s="3" t="s">
        <v>4707</v>
      </c>
      <c r="F4443" s="3" t="s">
        <v>4708</v>
      </c>
      <c r="G4443" s="3" t="s">
        <v>83</v>
      </c>
      <c r="H4443" s="7" t="str">
        <f>HYPERLINK("http://www.ensembl.org/Mus_musculus/Gene/Summary?db=core;g=ENSMUSG00000092329","ENSMUSG00000092329")</f>
        <v>ENSMUSG00000092329</v>
      </c>
      <c r="I4443" s="7" t="str">
        <f>HYPERLINK("http://www.informatics.jax.org/marker/MGI:5141853","MGI:5141853")</f>
        <v>MGI:5141853</v>
      </c>
      <c r="J4443" s="4" t="s">
        <v>12</v>
      </c>
    </row>
    <row r="4444" spans="1:10" x14ac:dyDescent="0.25">
      <c r="A4444" s="2">
        <v>1183.5247654743</v>
      </c>
      <c r="B4444" s="3">
        <v>-0.25478731857324399</v>
      </c>
      <c r="C4444" s="5">
        <v>3.6139667937825199E-8</v>
      </c>
      <c r="D4444" s="6">
        <v>2.3590453014572499E-7</v>
      </c>
      <c r="E4444" s="3" t="s">
        <v>3998</v>
      </c>
      <c r="F4444" s="3" t="s">
        <v>3999</v>
      </c>
      <c r="G4444" s="3">
        <v>67270</v>
      </c>
      <c r="H4444" s="7" t="str">
        <f>HYPERLINK("http://www.ensembl.org/Mus_musculus/Gene/Summary?db=core;g=ENSMUSG00000062981","ENSMUSG00000062981")</f>
        <v>ENSMUSG00000062981</v>
      </c>
      <c r="I4444" s="7" t="str">
        <f>HYPERLINK("http://www.informatics.jax.org/marker/MGI:1333774","MGI:1333774")</f>
        <v>MGI:1333774</v>
      </c>
      <c r="J4444" s="4" t="s">
        <v>12</v>
      </c>
    </row>
    <row r="4445" spans="1:10" x14ac:dyDescent="0.25">
      <c r="A4445" s="2">
        <v>865.55883670543096</v>
      </c>
      <c r="B4445" s="3">
        <v>-0.25482756688721703</v>
      </c>
      <c r="C4445" s="3">
        <v>1.17281837317999E-2</v>
      </c>
      <c r="D4445" s="4">
        <v>3.2327003707207001E-2</v>
      </c>
      <c r="E4445" s="3" t="s">
        <v>8959</v>
      </c>
      <c r="F4445" s="3" t="s">
        <v>8960</v>
      </c>
      <c r="G4445" s="3">
        <v>20496</v>
      </c>
      <c r="H4445" s="7" t="str">
        <f>HYPERLINK("http://www.ensembl.org/Mus_musculus/Gene/Summary?db=core;g=ENSMUSG00000024597","ENSMUSG00000024597")</f>
        <v>ENSMUSG00000024597</v>
      </c>
      <c r="I4445" s="7" t="str">
        <f>HYPERLINK("http://www.informatics.jax.org/marker/MGI:101924","MGI:101924")</f>
        <v>MGI:101924</v>
      </c>
      <c r="J4445" s="4" t="s">
        <v>12</v>
      </c>
    </row>
    <row r="4446" spans="1:10" x14ac:dyDescent="0.25">
      <c r="A4446" s="2">
        <v>572.17367040072702</v>
      </c>
      <c r="B4446" s="3">
        <v>-0.25487409414363199</v>
      </c>
      <c r="C4446" s="5">
        <v>2.9111465725141299E-5</v>
      </c>
      <c r="D4446" s="4">
        <v>1.3273866971245899E-4</v>
      </c>
      <c r="E4446" s="3" t="s">
        <v>12739</v>
      </c>
      <c r="F4446" s="3" t="s">
        <v>12740</v>
      </c>
      <c r="G4446" s="3">
        <v>224805</v>
      </c>
      <c r="H4446" s="7" t="str">
        <f>HYPERLINK("http://www.ensembl.org/Mus_musculus/Gene/Summary?db=core;g=ENSMUSG00000023938","ENSMUSG00000023938")</f>
        <v>ENSMUSG00000023938</v>
      </c>
      <c r="I4446" s="7" t="str">
        <f>HYPERLINK("http://www.informatics.jax.org/marker/MGI:2681839","MGI:2681839")</f>
        <v>MGI:2681839</v>
      </c>
      <c r="J4446" s="4" t="s">
        <v>12</v>
      </c>
    </row>
    <row r="4447" spans="1:10" x14ac:dyDescent="0.25">
      <c r="A4447" s="2">
        <v>1611.5910449251101</v>
      </c>
      <c r="B4447" s="3">
        <v>-0.25494300269804898</v>
      </c>
      <c r="C4447" s="5">
        <v>1.0338192340192799E-5</v>
      </c>
      <c r="D4447" s="6">
        <v>5.0472423091350902E-5</v>
      </c>
      <c r="E4447" s="3" t="s">
        <v>7414</v>
      </c>
      <c r="F4447" s="3" t="s">
        <v>7415</v>
      </c>
      <c r="G4447" s="3">
        <v>18711</v>
      </c>
      <c r="H4447" s="7" t="str">
        <f>HYPERLINK("http://www.ensembl.org/Mus_musculus/Gene/Summary?db=core;g=ENSMUSG00000025949","ENSMUSG00000025949")</f>
        <v>ENSMUSG00000025949</v>
      </c>
      <c r="I4447" s="7" t="str">
        <f>HYPERLINK("http://www.informatics.jax.org/marker/MGI:1335106","MGI:1335106")</f>
        <v>MGI:1335106</v>
      </c>
      <c r="J4447" s="4" t="s">
        <v>12</v>
      </c>
    </row>
    <row r="4448" spans="1:10" x14ac:dyDescent="0.25">
      <c r="A4448" s="2">
        <v>1203.13778977212</v>
      </c>
      <c r="B4448" s="3">
        <v>-0.25541976076435002</v>
      </c>
      <c r="C4448" s="5">
        <v>1.0966432040353499E-6</v>
      </c>
      <c r="D4448" s="6">
        <v>6.0767170548933699E-6</v>
      </c>
      <c r="E4448" s="3" t="s">
        <v>4153</v>
      </c>
      <c r="F4448" s="3" t="s">
        <v>4154</v>
      </c>
      <c r="G4448" s="3">
        <v>18108</v>
      </c>
      <c r="H4448" s="7" t="str">
        <f>HYPERLINK("http://www.ensembl.org/Mus_musculus/Gene/Summary?db=core;g=ENSMUSG00000026643","ENSMUSG00000026643")</f>
        <v>ENSMUSG00000026643</v>
      </c>
      <c r="I4448" s="7" t="str">
        <f>HYPERLINK("http://www.informatics.jax.org/marker/MGI:1202298","MGI:1202298")</f>
        <v>MGI:1202298</v>
      </c>
      <c r="J4448" s="4" t="s">
        <v>12</v>
      </c>
    </row>
    <row r="4449" spans="1:10" x14ac:dyDescent="0.25">
      <c r="A4449" s="2">
        <v>397.88379677034499</v>
      </c>
      <c r="B4449" s="3">
        <v>-0.256223173651697</v>
      </c>
      <c r="C4449" s="3">
        <v>1.2279930396903201E-4</v>
      </c>
      <c r="D4449" s="4">
        <v>5.0508176818677699E-4</v>
      </c>
      <c r="E4449" s="3" t="s">
        <v>7708</v>
      </c>
      <c r="F4449" s="3" t="s">
        <v>7709</v>
      </c>
      <c r="G4449" s="3">
        <v>59047</v>
      </c>
      <c r="H4449" s="7" t="str">
        <f>HYPERLINK("http://www.ensembl.org/Mus_musculus/Gene/Summary?db=core;g=ENSMUSG00000002963","ENSMUSG00000002963")</f>
        <v>ENSMUSG00000002963</v>
      </c>
      <c r="I4449" s="7" t="str">
        <f>HYPERLINK("http://www.informatics.jax.org/marker/MGI:1891698","MGI:1891698")</f>
        <v>MGI:1891698</v>
      </c>
      <c r="J4449" s="4" t="s">
        <v>12</v>
      </c>
    </row>
    <row r="4450" spans="1:10" x14ac:dyDescent="0.25">
      <c r="A4450" s="2">
        <v>707.22916962710497</v>
      </c>
      <c r="B4450" s="3">
        <v>-0.25633510223122102</v>
      </c>
      <c r="C4450" s="5">
        <v>5.3077332204800704E-7</v>
      </c>
      <c r="D4450" s="6">
        <v>3.0448044678391401E-6</v>
      </c>
      <c r="E4450" s="3" t="s">
        <v>8689</v>
      </c>
      <c r="F4450" s="3" t="s">
        <v>8690</v>
      </c>
      <c r="G4450" s="3">
        <v>321006</v>
      </c>
      <c r="H4450" s="7" t="str">
        <f>HYPERLINK("http://www.ensembl.org/Mus_musculus/Gene/Summary?db=core;g=ENSMUSG00000040325","ENSMUSG00000040325")</f>
        <v>ENSMUSG00000040325</v>
      </c>
      <c r="I4450" s="7" t="str">
        <f>HYPERLINK("http://www.informatics.jax.org/marker/MGI:2445220","MGI:2445220")</f>
        <v>MGI:2445220</v>
      </c>
      <c r="J4450" s="4" t="s">
        <v>12</v>
      </c>
    </row>
    <row r="4451" spans="1:10" x14ac:dyDescent="0.25">
      <c r="A4451" s="2">
        <v>3588.4144296274899</v>
      </c>
      <c r="B4451" s="3">
        <v>-0.256839482656189</v>
      </c>
      <c r="C4451" s="3">
        <v>6.4945879973421798E-4</v>
      </c>
      <c r="D4451" s="4">
        <v>2.3621474852763701E-3</v>
      </c>
      <c r="E4451" s="3" t="s">
        <v>10756</v>
      </c>
      <c r="F4451" s="3" t="s">
        <v>10757</v>
      </c>
      <c r="G4451" s="3">
        <v>107939</v>
      </c>
      <c r="H4451" s="7" t="str">
        <f>HYPERLINK("http://www.ensembl.org/Mus_musculus/Gene/Summary?db=core;g=ENSMUSG00000053293","ENSMUSG00000053293")</f>
        <v>ENSMUSG00000053293</v>
      </c>
      <c r="I4451" s="7" t="str">
        <f>HYPERLINK("http://www.informatics.jax.org/marker/MGI:2137624","MGI:2137624")</f>
        <v>MGI:2137624</v>
      </c>
      <c r="J4451" s="4" t="s">
        <v>12</v>
      </c>
    </row>
    <row r="4452" spans="1:10" x14ac:dyDescent="0.25">
      <c r="A4452" s="2">
        <v>155.621270121072</v>
      </c>
      <c r="B4452" s="3">
        <v>-0.25734728201309298</v>
      </c>
      <c r="C4452" s="3">
        <v>1.5119460343612501E-2</v>
      </c>
      <c r="D4452" s="4">
        <v>4.0504507535254801E-2</v>
      </c>
      <c r="E4452" s="3" t="s">
        <v>9059</v>
      </c>
      <c r="F4452" s="3" t="s">
        <v>9060</v>
      </c>
      <c r="G4452" s="3">
        <v>238037</v>
      </c>
      <c r="H4452" s="7" t="str">
        <f>HYPERLINK("http://www.ensembl.org/Mus_musculus/Gene/Summary?db=core;g=ENSMUSG00000051721","ENSMUSG00000051721")</f>
        <v>ENSMUSG00000051721</v>
      </c>
      <c r="I4452" s="7" t="str">
        <f>HYPERLINK("http://www.informatics.jax.org/marker/MGI:3040699","MGI:3040699")</f>
        <v>MGI:3040699</v>
      </c>
      <c r="J4452" s="4" t="s">
        <v>12</v>
      </c>
    </row>
    <row r="4453" spans="1:10" x14ac:dyDescent="0.25">
      <c r="A4453" s="2">
        <v>2485.8029131714802</v>
      </c>
      <c r="B4453" s="3">
        <v>-0.25760749517119902</v>
      </c>
      <c r="C4453" s="5">
        <v>4.9126576808743899E-8</v>
      </c>
      <c r="D4453" s="6">
        <v>3.1618195593249001E-7</v>
      </c>
      <c r="E4453" s="3" t="s">
        <v>8703</v>
      </c>
      <c r="F4453" s="3" t="s">
        <v>8704</v>
      </c>
      <c r="G4453" s="3">
        <v>12607</v>
      </c>
      <c r="H4453" s="7" t="str">
        <f>HYPERLINK("http://www.ensembl.org/Mus_musculus/Gene/Summary?db=core;g=ENSMUSG00000024081","ENSMUSG00000024081")</f>
        <v>ENSMUSG00000024081</v>
      </c>
      <c r="I4453" s="7" t="str">
        <f>HYPERLINK("http://www.informatics.jax.org/marker/MGI:109386","MGI:109386")</f>
        <v>MGI:109386</v>
      </c>
      <c r="J4453" s="4" t="s">
        <v>12</v>
      </c>
    </row>
    <row r="4454" spans="1:10" x14ac:dyDescent="0.25">
      <c r="A4454" s="2">
        <v>552.87305989422498</v>
      </c>
      <c r="B4454" s="3">
        <v>-0.257666281603388</v>
      </c>
      <c r="C4454" s="3">
        <v>1.8154037068532701E-3</v>
      </c>
      <c r="D4454" s="4">
        <v>6.0652122011734004E-3</v>
      </c>
      <c r="E4454" s="3" t="s">
        <v>9259</v>
      </c>
      <c r="F4454" s="3" t="s">
        <v>9260</v>
      </c>
      <c r="G4454" s="3">
        <v>20751</v>
      </c>
      <c r="H4454" s="7" t="str">
        <f>HYPERLINK("http://www.ensembl.org/Mus_musculus/Gene/Summary?db=core;g=ENSMUSG00000033735","ENSMUSG00000033735")</f>
        <v>ENSMUSG00000033735</v>
      </c>
      <c r="I4454" s="7" t="str">
        <f>HYPERLINK("http://www.informatics.jax.org/marker/MGI:103078","MGI:103078")</f>
        <v>MGI:103078</v>
      </c>
      <c r="J4454" s="4" t="s">
        <v>12</v>
      </c>
    </row>
    <row r="4455" spans="1:10" x14ac:dyDescent="0.25">
      <c r="A4455" s="2">
        <v>1001.33350531919</v>
      </c>
      <c r="B4455" s="3">
        <v>-0.25798766050292599</v>
      </c>
      <c r="C4455" s="5">
        <v>9.1375355612523903E-6</v>
      </c>
      <c r="D4455" s="6">
        <v>4.4935667998873402E-5</v>
      </c>
      <c r="E4455" s="3" t="s">
        <v>6051</v>
      </c>
      <c r="F4455" s="3" t="s">
        <v>6052</v>
      </c>
      <c r="G4455" s="3">
        <v>76499</v>
      </c>
      <c r="H4455" s="7" t="str">
        <f>HYPERLINK("http://www.ensembl.org/Mus_musculus/Gene/Summary?db=core;g=ENSMUSG00000033392","ENSMUSG00000033392")</f>
        <v>ENSMUSG00000033392</v>
      </c>
      <c r="I4455" s="7" t="str">
        <f>HYPERLINK("http://www.informatics.jax.org/marker/MGI:1923749","MGI:1923749")</f>
        <v>MGI:1923749</v>
      </c>
      <c r="J4455" s="4" t="s">
        <v>12</v>
      </c>
    </row>
    <row r="4456" spans="1:10" x14ac:dyDescent="0.25">
      <c r="A4456" s="2">
        <v>2178.4570400722801</v>
      </c>
      <c r="B4456" s="3">
        <v>-0.25820364817521302</v>
      </c>
      <c r="C4456" s="5">
        <v>2.9739194618910102E-7</v>
      </c>
      <c r="D4456" s="6">
        <v>1.76603721710536E-6</v>
      </c>
      <c r="E4456" s="3" t="s">
        <v>5685</v>
      </c>
      <c r="F4456" s="3" t="s">
        <v>5686</v>
      </c>
      <c r="G4456" s="3">
        <v>14194</v>
      </c>
      <c r="H4456" s="7" t="str">
        <f>HYPERLINK("http://www.ensembl.org/Mus_musculus/Gene/Summary?db=core;g=ENSMUSG00000026526","ENSMUSG00000026526")</f>
        <v>ENSMUSG00000026526</v>
      </c>
      <c r="I4456" s="7" t="str">
        <f>HYPERLINK("http://www.informatics.jax.org/marker/MGI:95530","MGI:95530")</f>
        <v>MGI:95530</v>
      </c>
      <c r="J4456" s="4" t="s">
        <v>12</v>
      </c>
    </row>
    <row r="4457" spans="1:10" x14ac:dyDescent="0.25">
      <c r="A4457" s="2">
        <v>529.91027027349298</v>
      </c>
      <c r="B4457" s="3">
        <v>-0.25837576210364799</v>
      </c>
      <c r="C4457" s="3">
        <v>2.12696675708308E-4</v>
      </c>
      <c r="D4457" s="4">
        <v>8.4141456800171605E-4</v>
      </c>
      <c r="E4457" s="3" t="s">
        <v>7344</v>
      </c>
      <c r="F4457" s="3" t="s">
        <v>7345</v>
      </c>
      <c r="G4457" s="3">
        <v>27801</v>
      </c>
      <c r="H4457" s="7" t="str">
        <f>HYPERLINK("http://www.ensembl.org/Mus_musculus/Gene/Summary?db=core;g=ENSMUSG00000060166","ENSMUSG00000060166")</f>
        <v>ENSMUSG00000060166</v>
      </c>
      <c r="I4457" s="7" t="str">
        <f>HYPERLINK("http://www.informatics.jax.org/marker/MGI:1338012","MGI:1338012")</f>
        <v>MGI:1338012</v>
      </c>
      <c r="J4457" s="4" t="s">
        <v>12</v>
      </c>
    </row>
    <row r="4458" spans="1:10" x14ac:dyDescent="0.25">
      <c r="A4458" s="2">
        <v>2986.3120788897299</v>
      </c>
      <c r="B4458" s="3">
        <v>-0.25842195747756302</v>
      </c>
      <c r="C4458" s="3">
        <v>1.7298640401230299E-3</v>
      </c>
      <c r="D4458" s="4">
        <v>5.8049663287133603E-3</v>
      </c>
      <c r="E4458" s="3" t="s">
        <v>13829</v>
      </c>
      <c r="F4458" s="3" t="s">
        <v>13830</v>
      </c>
      <c r="G4458" s="3">
        <v>72567</v>
      </c>
      <c r="H4458" s="7" t="str">
        <f>HYPERLINK("http://www.ensembl.org/Mus_musculus/Gene/Summary?db=core;g=ENSMUSG00000037608","ENSMUSG00000037608")</f>
        <v>ENSMUSG00000037608</v>
      </c>
      <c r="I4458" s="7" t="str">
        <f>HYPERLINK("http://www.informatics.jax.org/marker/MGI:1917580","MGI:1917580")</f>
        <v>MGI:1917580</v>
      </c>
      <c r="J4458" s="4" t="s">
        <v>12</v>
      </c>
    </row>
    <row r="4459" spans="1:10" x14ac:dyDescent="0.25">
      <c r="A4459" s="2">
        <v>894.58733988384404</v>
      </c>
      <c r="B4459" s="3">
        <v>-0.25866962746726302</v>
      </c>
      <c r="C4459" s="5">
        <v>2.3122765926147701E-5</v>
      </c>
      <c r="D4459" s="4">
        <v>1.07093369505474E-4</v>
      </c>
      <c r="E4459" s="3" t="s">
        <v>8145</v>
      </c>
      <c r="F4459" s="3" t="s">
        <v>8146</v>
      </c>
      <c r="G4459" s="3">
        <v>59001</v>
      </c>
      <c r="H4459" s="7" t="str">
        <f>HYPERLINK("http://www.ensembl.org/Mus_musculus/Gene/Summary?db=core;g=ENSMUSG00000028394","ENSMUSG00000028394")</f>
        <v>ENSMUSG00000028394</v>
      </c>
      <c r="I4459" s="7" t="str">
        <f>HYPERLINK("http://www.informatics.jax.org/marker/MGI:1933378","MGI:1933378")</f>
        <v>MGI:1933378</v>
      </c>
      <c r="J4459" s="4" t="s">
        <v>12</v>
      </c>
    </row>
    <row r="4460" spans="1:10" x14ac:dyDescent="0.25">
      <c r="A4460" s="2">
        <v>283.60255945311297</v>
      </c>
      <c r="B4460" s="3">
        <v>-0.25876620272355699</v>
      </c>
      <c r="C4460" s="3">
        <v>2.95122159304424E-3</v>
      </c>
      <c r="D4460" s="4">
        <v>9.3703856329671303E-3</v>
      </c>
      <c r="E4460" s="3" t="s">
        <v>12763</v>
      </c>
      <c r="F4460" s="3" t="s">
        <v>12764</v>
      </c>
      <c r="G4460" s="3">
        <v>108689</v>
      </c>
      <c r="H4460" s="7" t="str">
        <f>HYPERLINK("http://www.ensembl.org/Mus_musculus/Gene/Summary?db=core;g=ENSMUSG00000042694","ENSMUSG00000042694")</f>
        <v>ENSMUSG00000042694</v>
      </c>
      <c r="I4460" s="7" t="str">
        <f>HYPERLINK("http://www.informatics.jax.org/marker/MGI:1915581","MGI:1915581")</f>
        <v>MGI:1915581</v>
      </c>
      <c r="J4460" s="4" t="s">
        <v>12</v>
      </c>
    </row>
    <row r="4461" spans="1:10" x14ac:dyDescent="0.25">
      <c r="A4461" s="2">
        <v>202.60661941417999</v>
      </c>
      <c r="B4461" s="3">
        <v>-0.25887588209768497</v>
      </c>
      <c r="C4461" s="3">
        <v>5.0600424662809798E-3</v>
      </c>
      <c r="D4461" s="4">
        <v>1.5205156462979499E-2</v>
      </c>
      <c r="E4461" s="3" t="s">
        <v>7526</v>
      </c>
      <c r="F4461" s="3" t="s">
        <v>7527</v>
      </c>
      <c r="G4461" s="3">
        <v>53858</v>
      </c>
      <c r="H4461" s="7" t="str">
        <f>HYPERLINK("http://www.ensembl.org/Mus_musculus/Gene/Summary?db=core;g=ENSMUSG00000041079","ENSMUSG00000041079")</f>
        <v>ENSMUSG00000041079</v>
      </c>
      <c r="I4461" s="7" t="str">
        <f>HYPERLINK("http://www.informatics.jax.org/marker/MGI:1858215","MGI:1858215")</f>
        <v>MGI:1858215</v>
      </c>
      <c r="J4461" s="4" t="s">
        <v>12</v>
      </c>
    </row>
    <row r="4462" spans="1:10" x14ac:dyDescent="0.25">
      <c r="A4462" s="2">
        <v>261.34033420567403</v>
      </c>
      <c r="B4462" s="3">
        <v>-0.258885927812537</v>
      </c>
      <c r="C4462" s="3">
        <v>3.31137191506667E-3</v>
      </c>
      <c r="D4462" s="4">
        <v>1.0397958847706799E-2</v>
      </c>
      <c r="E4462" s="3" t="s">
        <v>8659</v>
      </c>
      <c r="F4462" s="3" t="s">
        <v>8660</v>
      </c>
      <c r="G4462" s="3">
        <v>226352</v>
      </c>
      <c r="H4462" s="7" t="str">
        <f>HYPERLINK("http://www.ensembl.org/Mus_musculus/Gene/Summary?db=core;g=ENSMUSG00000026383","ENSMUSG00000026383")</f>
        <v>ENSMUSG00000026383</v>
      </c>
      <c r="I4462" s="7" t="str">
        <f>HYPERLINK("http://www.informatics.jax.org/marker/MGI:103006","MGI:103006")</f>
        <v>MGI:103006</v>
      </c>
      <c r="J4462" s="4" t="s">
        <v>12</v>
      </c>
    </row>
    <row r="4463" spans="1:10" x14ac:dyDescent="0.25">
      <c r="A4463" s="2">
        <v>534.41018796836704</v>
      </c>
      <c r="B4463" s="3">
        <v>-0.259038533104897</v>
      </c>
      <c r="C4463" s="3">
        <v>1.16038830191189E-4</v>
      </c>
      <c r="D4463" s="4">
        <v>4.7954822681052798E-4</v>
      </c>
      <c r="E4463" s="3" t="s">
        <v>7144</v>
      </c>
      <c r="F4463" s="3" t="s">
        <v>7145</v>
      </c>
      <c r="G4463" s="3" t="s">
        <v>83</v>
      </c>
      <c r="H4463" s="7" t="str">
        <f>HYPERLINK("http://www.ensembl.org/Mus_musculus/Gene/Summary?db=core;g=ENSMUSG00000097239","ENSMUSG00000097239")</f>
        <v>ENSMUSG00000097239</v>
      </c>
      <c r="I4463" s="7" t="str">
        <f>HYPERLINK("http://www.informatics.jax.org/marker/MGI:5504144","MGI:5504144")</f>
        <v>MGI:5504144</v>
      </c>
      <c r="J4463" s="4" t="s">
        <v>12</v>
      </c>
    </row>
    <row r="4464" spans="1:10" x14ac:dyDescent="0.25">
      <c r="A4464" s="2">
        <v>1459.18392892978</v>
      </c>
      <c r="B4464" s="3">
        <v>-0.25932758145732598</v>
      </c>
      <c r="C4464" s="5">
        <v>3.6179376964373601E-9</v>
      </c>
      <c r="D4464" s="6">
        <v>2.65446515771219E-8</v>
      </c>
      <c r="E4464" s="3" t="s">
        <v>4821</v>
      </c>
      <c r="F4464" s="3" t="s">
        <v>4822</v>
      </c>
      <c r="G4464" s="3">
        <v>67037</v>
      </c>
      <c r="H4464" s="7" t="str">
        <f>HYPERLINK("http://www.ensembl.org/Mus_musculus/Gene/Summary?db=core;g=ENSMUSG00000028066","ENSMUSG00000028066")</f>
        <v>ENSMUSG00000028066</v>
      </c>
      <c r="I4464" s="7" t="str">
        <f>HYPERLINK("http://www.informatics.jax.org/marker/MGI:1914287","MGI:1914287")</f>
        <v>MGI:1914287</v>
      </c>
      <c r="J4464" s="4" t="s">
        <v>12</v>
      </c>
    </row>
    <row r="4465" spans="1:10" x14ac:dyDescent="0.25">
      <c r="A4465" s="2">
        <v>836.81729586200299</v>
      </c>
      <c r="B4465" s="3">
        <v>-0.25935604760005398</v>
      </c>
      <c r="C4465" s="3">
        <v>2.5105847768155698E-4</v>
      </c>
      <c r="D4465" s="4">
        <v>9.7809763910781705E-4</v>
      </c>
      <c r="E4465" s="3" t="s">
        <v>9121</v>
      </c>
      <c r="F4465" s="3" t="s">
        <v>9122</v>
      </c>
      <c r="G4465" s="3">
        <v>224860</v>
      </c>
      <c r="H4465" s="7" t="str">
        <f>HYPERLINK("http://www.ensembl.org/Mus_musculus/Gene/Summary?db=core;g=ENSMUSG00000038910","ENSMUSG00000038910")</f>
        <v>ENSMUSG00000038910</v>
      </c>
      <c r="I4465" s="7" t="str">
        <f>HYPERLINK("http://www.informatics.jax.org/marker/MGI:1352756","MGI:1352756")</f>
        <v>MGI:1352756</v>
      </c>
      <c r="J4465" s="4" t="s">
        <v>12</v>
      </c>
    </row>
    <row r="4466" spans="1:10" x14ac:dyDescent="0.25">
      <c r="A4466" s="2">
        <v>345.56588429170398</v>
      </c>
      <c r="B4466" s="3">
        <v>-0.259368756173527</v>
      </c>
      <c r="C4466" s="3">
        <v>2.2595697545298101E-3</v>
      </c>
      <c r="D4466" s="4">
        <v>7.3853405265971797E-3</v>
      </c>
      <c r="E4466" s="3" t="s">
        <v>7130</v>
      </c>
      <c r="F4466" s="3" t="s">
        <v>7131</v>
      </c>
      <c r="G4466" s="3">
        <v>16885</v>
      </c>
      <c r="H4466" s="7" t="str">
        <f>HYPERLINK("http://www.ensembl.org/Mus_musculus/Gene/Summary?db=core;g=ENSMUSG00000029674","ENSMUSG00000029674")</f>
        <v>ENSMUSG00000029674</v>
      </c>
      <c r="I4466" s="7" t="str">
        <f>HYPERLINK("http://www.informatics.jax.org/marker/MGI:104572","MGI:104572")</f>
        <v>MGI:104572</v>
      </c>
      <c r="J4466" s="4" t="s">
        <v>12</v>
      </c>
    </row>
    <row r="4467" spans="1:10" x14ac:dyDescent="0.25">
      <c r="A4467" s="2">
        <v>806.41556029890103</v>
      </c>
      <c r="B4467" s="3">
        <v>-0.25936960681440402</v>
      </c>
      <c r="C4467" s="5">
        <v>1.7906611478784E-7</v>
      </c>
      <c r="D4467" s="6">
        <v>1.0925610786770601E-6</v>
      </c>
      <c r="E4467" s="3" t="s">
        <v>6225</v>
      </c>
      <c r="F4467" s="3" t="s">
        <v>6226</v>
      </c>
      <c r="G4467" s="3">
        <v>70998</v>
      </c>
      <c r="H4467" s="7" t="str">
        <f>HYPERLINK("http://www.ensembl.org/Mus_musculus/Gene/Summary?db=core;g=ENSMUSG00000025626","ENSMUSG00000025626")</f>
        <v>ENSMUSG00000025626</v>
      </c>
      <c r="I4467" s="7" t="str">
        <f>HYPERLINK("http://www.informatics.jax.org/marker/MGI:1918248","MGI:1918248")</f>
        <v>MGI:1918248</v>
      </c>
      <c r="J4467" s="4" t="s">
        <v>12</v>
      </c>
    </row>
    <row r="4468" spans="1:10" x14ac:dyDescent="0.25">
      <c r="A4468" s="2">
        <v>739.30572523272895</v>
      </c>
      <c r="B4468" s="3">
        <v>-0.259519008761047</v>
      </c>
      <c r="C4468" s="5">
        <v>4.9639592582301402E-6</v>
      </c>
      <c r="D4468" s="6">
        <v>2.54052674757777E-5</v>
      </c>
      <c r="E4468" s="3" t="s">
        <v>5747</v>
      </c>
      <c r="F4468" s="3" t="s">
        <v>5748</v>
      </c>
      <c r="G4468" s="3">
        <v>15193</v>
      </c>
      <c r="H4468" s="7" t="str">
        <f>HYPERLINK("http://www.ensembl.org/Mus_musculus/Gene/Summary?db=core;g=ENSMUSG00000002833","ENSMUSG00000002833")</f>
        <v>ENSMUSG00000002833</v>
      </c>
      <c r="I4468" s="7" t="str">
        <f>HYPERLINK("http://www.informatics.jax.org/marker/MGI:1194492","MGI:1194492")</f>
        <v>MGI:1194492</v>
      </c>
      <c r="J4468" s="4" t="s">
        <v>12</v>
      </c>
    </row>
    <row r="4469" spans="1:10" x14ac:dyDescent="0.25">
      <c r="A4469" s="2">
        <v>369.275614843119</v>
      </c>
      <c r="B4469" s="3">
        <v>-0.25987598437957699</v>
      </c>
      <c r="C4469" s="3">
        <v>2.1142070999119499E-4</v>
      </c>
      <c r="D4469" s="4">
        <v>8.3684186658991501E-4</v>
      </c>
      <c r="E4469" s="3" t="s">
        <v>11265</v>
      </c>
      <c r="F4469" s="3" t="s">
        <v>11266</v>
      </c>
      <c r="G4469" s="3">
        <v>56805</v>
      </c>
      <c r="H4469" s="7" t="str">
        <f>HYPERLINK("http://www.ensembl.org/Mus_musculus/Gene/Summary?db=core;g=ENSMUSG00000048047","ENSMUSG00000048047")</f>
        <v>ENSMUSG00000048047</v>
      </c>
      <c r="I4469" s="7" t="str">
        <f>HYPERLINK("http://www.informatics.jax.org/marker/MGI:1927290","MGI:1927290")</f>
        <v>MGI:1927290</v>
      </c>
      <c r="J4469" s="4" t="s">
        <v>12</v>
      </c>
    </row>
    <row r="4470" spans="1:10" x14ac:dyDescent="0.25">
      <c r="A4470" s="2">
        <v>121.39309256429399</v>
      </c>
      <c r="B4470" s="3">
        <v>-0.26010939633965002</v>
      </c>
      <c r="C4470" s="3">
        <v>4.0716659352012498E-2</v>
      </c>
      <c r="D4470" s="4">
        <v>9.5873529288169002E-2</v>
      </c>
      <c r="E4470" s="3" t="s">
        <v>13629</v>
      </c>
      <c r="F4470" s="3" t="s">
        <v>13630</v>
      </c>
      <c r="G4470" s="3">
        <v>70575</v>
      </c>
      <c r="H4470" s="7" t="str">
        <f>HYPERLINK("http://www.ensembl.org/Mus_musculus/Gene/Summary?db=core;g=ENSMUSG00000013150","ENSMUSG00000013150")</f>
        <v>ENSMUSG00000013150</v>
      </c>
      <c r="I4470" s="7" t="str">
        <f>HYPERLINK("http://www.informatics.jax.org/marker/MGI:1917825","MGI:1917825")</f>
        <v>MGI:1917825</v>
      </c>
      <c r="J4470" s="4" t="s">
        <v>12</v>
      </c>
    </row>
    <row r="4471" spans="1:10" x14ac:dyDescent="0.25">
      <c r="A4471" s="2">
        <v>2071.8135096291498</v>
      </c>
      <c r="B4471" s="3">
        <v>-0.26015277572214002</v>
      </c>
      <c r="C4471" s="5">
        <v>1.6227996229784801E-7</v>
      </c>
      <c r="D4471" s="6">
        <v>9.9513873246240895E-7</v>
      </c>
      <c r="E4471" s="3" t="s">
        <v>6215</v>
      </c>
      <c r="F4471" s="3" t="s">
        <v>6216</v>
      </c>
      <c r="G4471" s="3">
        <v>226412</v>
      </c>
      <c r="H4471" s="7" t="str">
        <f>HYPERLINK("http://www.ensembl.org/Mus_musculus/Gene/Summary?db=core;g=ENSMUSG00000056211","ENSMUSG00000056211")</f>
        <v>ENSMUSG00000056211</v>
      </c>
      <c r="I4471" s="7" t="str">
        <f>HYPERLINK("http://www.informatics.jax.org/marker/MGI:2448514","MGI:2448514")</f>
        <v>MGI:2448514</v>
      </c>
      <c r="J4471" s="4" t="s">
        <v>12</v>
      </c>
    </row>
    <row r="4472" spans="1:10" x14ac:dyDescent="0.25">
      <c r="A4472" s="2">
        <v>1893.9844356660799</v>
      </c>
      <c r="B4472" s="3">
        <v>-0.26020709617502102</v>
      </c>
      <c r="C4472" s="3">
        <v>4.4568799649136598E-3</v>
      </c>
      <c r="D4472" s="4">
        <v>1.35513242176429E-2</v>
      </c>
      <c r="E4472" s="3" t="s">
        <v>13155</v>
      </c>
      <c r="F4472" s="3" t="s">
        <v>13156</v>
      </c>
      <c r="G4472" s="3">
        <v>70435</v>
      </c>
      <c r="H4472" s="7" t="str">
        <f>HYPERLINK("http://www.ensembl.org/Mus_musculus/Gene/Summary?db=core;g=ENSMUSG00000037679","ENSMUSG00000037679")</f>
        <v>ENSMUSG00000037679</v>
      </c>
      <c r="I4472" s="7" t="str">
        <f>HYPERLINK("http://www.informatics.jax.org/marker/MGI:1917685","MGI:1917685")</f>
        <v>MGI:1917685</v>
      </c>
      <c r="J4472" s="4" t="s">
        <v>12</v>
      </c>
    </row>
    <row r="4473" spans="1:10" x14ac:dyDescent="0.25">
      <c r="A4473" s="2">
        <v>226.07276582558899</v>
      </c>
      <c r="B4473" s="3">
        <v>-0.26047140990150702</v>
      </c>
      <c r="C4473" s="3">
        <v>3.9244964497688597E-3</v>
      </c>
      <c r="D4473" s="4">
        <v>1.2106287711076099E-2</v>
      </c>
      <c r="E4473" s="3" t="s">
        <v>13125</v>
      </c>
      <c r="F4473" s="3" t="s">
        <v>13126</v>
      </c>
      <c r="G4473" s="3">
        <v>110417</v>
      </c>
      <c r="H4473" s="7" t="str">
        <f>HYPERLINK("http://www.ensembl.org/Mus_musculus/Gene/Summary?db=core;g=ENSMUSG00000021120","ENSMUSG00000021120")</f>
        <v>ENSMUSG00000021120</v>
      </c>
      <c r="I4473" s="7" t="str">
        <f>HYPERLINK("http://www.informatics.jax.org/marker/MGI:99463","MGI:99463")</f>
        <v>MGI:99463</v>
      </c>
      <c r="J4473" s="4" t="s">
        <v>12</v>
      </c>
    </row>
    <row r="4474" spans="1:10" x14ac:dyDescent="0.25">
      <c r="A4474" s="2">
        <v>5692.4840141150698</v>
      </c>
      <c r="B4474" s="3">
        <v>-0.26053062583855902</v>
      </c>
      <c r="C4474" s="5">
        <v>1.6103988136280501E-10</v>
      </c>
      <c r="D4474" s="6">
        <v>1.3562624019580101E-9</v>
      </c>
      <c r="E4474" s="3" t="s">
        <v>3124</v>
      </c>
      <c r="F4474" s="3" t="s">
        <v>3125</v>
      </c>
      <c r="G4474" s="3">
        <v>109154</v>
      </c>
      <c r="H4474" s="7" t="str">
        <f>HYPERLINK("http://www.ensembl.org/Mus_musculus/Gene/Summary?db=core;g=ENSMUSG00000048578","ENSMUSG00000048578")</f>
        <v>ENSMUSG00000048578</v>
      </c>
      <c r="I4474" s="7" t="str">
        <f>HYPERLINK("http://www.informatics.jax.org/marker/MGI:1924015","MGI:1924015")</f>
        <v>MGI:1924015</v>
      </c>
      <c r="J4474" s="4" t="s">
        <v>12</v>
      </c>
    </row>
    <row r="4475" spans="1:10" x14ac:dyDescent="0.25">
      <c r="A4475" s="2">
        <v>711.06629762686703</v>
      </c>
      <c r="B4475" s="3">
        <v>-0.26069921535325102</v>
      </c>
      <c r="C4475" s="5">
        <v>9.2435717739167204E-5</v>
      </c>
      <c r="D4475" s="4">
        <v>3.8870349695346602E-4</v>
      </c>
      <c r="E4475" s="3" t="s">
        <v>7350</v>
      </c>
      <c r="F4475" s="3" t="s">
        <v>7351</v>
      </c>
      <c r="G4475" s="3">
        <v>242521</v>
      </c>
      <c r="H4475" s="7" t="str">
        <f>HYPERLINK("http://www.ensembl.org/Mus_musculus/Gene/Summary?db=core;g=ENSMUSG00000070923","ENSMUSG00000070923")</f>
        <v>ENSMUSG00000070923</v>
      </c>
      <c r="I4475" s="7" t="str">
        <f>HYPERLINK("http://www.informatics.jax.org/marker/MGI:2180122","MGI:2180122")</f>
        <v>MGI:2180122</v>
      </c>
      <c r="J4475" s="4" t="s">
        <v>12</v>
      </c>
    </row>
    <row r="4476" spans="1:10" x14ac:dyDescent="0.25">
      <c r="A4476" s="2">
        <v>1255.8370548337</v>
      </c>
      <c r="B4476" s="3">
        <v>-0.26086955684810498</v>
      </c>
      <c r="C4476" s="5">
        <v>6.3440187206142097E-5</v>
      </c>
      <c r="D4476" s="4">
        <v>2.7365619214957202E-4</v>
      </c>
      <c r="E4476" s="3" t="s">
        <v>6954</v>
      </c>
      <c r="F4476" s="3" t="s">
        <v>6955</v>
      </c>
      <c r="G4476" s="3">
        <v>19766</v>
      </c>
      <c r="H4476" s="7" t="str">
        <f>HYPERLINK("http://www.ensembl.org/Mus_musculus/Gene/Summary?db=core;g=ENSMUSG00000021408","ENSMUSG00000021408")</f>
        <v>ENSMUSG00000021408</v>
      </c>
      <c r="I4476" s="7" t="str">
        <f>HYPERLINK("http://www.informatics.jax.org/marker/MGI:108212","MGI:108212")</f>
        <v>MGI:108212</v>
      </c>
      <c r="J4476" s="4" t="s">
        <v>12</v>
      </c>
    </row>
    <row r="4477" spans="1:10" x14ac:dyDescent="0.25">
      <c r="A4477" s="2">
        <v>14.1088181622919</v>
      </c>
      <c r="B4477" s="3">
        <v>-0.261129200781616</v>
      </c>
      <c r="C4477" s="3">
        <v>0.390977239936316</v>
      </c>
      <c r="D4477" s="4">
        <v>0.56945608335868103</v>
      </c>
      <c r="E4477" s="3" t="s">
        <v>13885</v>
      </c>
      <c r="F4477" s="3" t="s">
        <v>13886</v>
      </c>
      <c r="G4477" s="3">
        <v>209039</v>
      </c>
      <c r="H4477" s="7" t="str">
        <f>HYPERLINK("http://www.ensembl.org/Mus_musculus/Gene/Summary?db=core;g=ENSMUSG00000037003","ENSMUSG00000037003")</f>
        <v>ENSMUSG00000037003</v>
      </c>
      <c r="I4477" s="7" t="str">
        <f>HYPERLINK("http://www.informatics.jax.org/marker/MGI:2387586","MGI:2387586")</f>
        <v>MGI:2387586</v>
      </c>
      <c r="J4477" s="4" t="s">
        <v>12</v>
      </c>
    </row>
    <row r="4478" spans="1:10" x14ac:dyDescent="0.25">
      <c r="A4478" s="2">
        <v>1161.7888188909501</v>
      </c>
      <c r="B4478" s="3">
        <v>-0.26130132244837401</v>
      </c>
      <c r="C4478" s="5">
        <v>6.9041230920608E-6</v>
      </c>
      <c r="D4478" s="6">
        <v>3.4577533210444701E-5</v>
      </c>
      <c r="E4478" s="3" t="s">
        <v>9735</v>
      </c>
      <c r="F4478" s="3" t="s">
        <v>9736</v>
      </c>
      <c r="G4478" s="3">
        <v>224619</v>
      </c>
      <c r="H4478" s="7" t="str">
        <f>HYPERLINK("http://www.ensembl.org/Mus_musculus/Gene/Summary?db=core;g=ENSMUSG00000052752","ENSMUSG00000052752")</f>
        <v>ENSMUSG00000052752</v>
      </c>
      <c r="I4478" s="7" t="str">
        <f>HYPERLINK("http://www.informatics.jax.org/marker/MGI:3042141","MGI:3042141")</f>
        <v>MGI:3042141</v>
      </c>
      <c r="J4478" s="4" t="s">
        <v>12</v>
      </c>
    </row>
    <row r="4479" spans="1:10" x14ac:dyDescent="0.25">
      <c r="A4479" s="2">
        <v>1877.9772953905599</v>
      </c>
      <c r="B4479" s="3">
        <v>-0.26138497547983403</v>
      </c>
      <c r="C4479" s="5">
        <v>6.6285189273630003E-7</v>
      </c>
      <c r="D4479" s="6">
        <v>3.75636683616886E-6</v>
      </c>
      <c r="E4479" s="3" t="s">
        <v>10064</v>
      </c>
      <c r="F4479" s="3" t="s">
        <v>10065</v>
      </c>
      <c r="G4479" s="3">
        <v>74143</v>
      </c>
      <c r="H4479" s="7" t="str">
        <f>HYPERLINK("http://www.ensembl.org/Mus_musculus/Gene/Summary?db=core;g=ENSMUSG00000038084","ENSMUSG00000038084")</f>
        <v>ENSMUSG00000038084</v>
      </c>
      <c r="I4479" s="7" t="str">
        <f>HYPERLINK("http://www.informatics.jax.org/marker/MGI:1921393","MGI:1921393")</f>
        <v>MGI:1921393</v>
      </c>
      <c r="J4479" s="4" t="s">
        <v>12</v>
      </c>
    </row>
    <row r="4480" spans="1:10" x14ac:dyDescent="0.25">
      <c r="A4480" s="2">
        <v>1795.4144663224799</v>
      </c>
      <c r="B4480" s="3">
        <v>-0.26142539468359999</v>
      </c>
      <c r="C4480" s="5">
        <v>2.6816428094314302E-7</v>
      </c>
      <c r="D4480" s="6">
        <v>1.60291702859586E-6</v>
      </c>
      <c r="E4480" s="3" t="s">
        <v>4957</v>
      </c>
      <c r="F4480" s="3" t="s">
        <v>4958</v>
      </c>
      <c r="G4480" s="3">
        <v>11306</v>
      </c>
      <c r="H4480" s="7" t="str">
        <f>HYPERLINK("http://www.ensembl.org/Mus_musculus/Gene/Summary?db=core;g=ENSMUSG00000031333","ENSMUSG00000031333")</f>
        <v>ENSMUSG00000031333</v>
      </c>
      <c r="I4480" s="7" t="str">
        <f>HYPERLINK("http://www.informatics.jax.org/marker/MGI:109533","MGI:109533")</f>
        <v>MGI:109533</v>
      </c>
      <c r="J4480" s="4" t="s">
        <v>12</v>
      </c>
    </row>
    <row r="4481" spans="1:10" x14ac:dyDescent="0.25">
      <c r="A4481" s="2">
        <v>107.61469489676399</v>
      </c>
      <c r="B4481" s="3">
        <v>-0.26158279985983002</v>
      </c>
      <c r="C4481" s="3">
        <v>2.9811460093281599E-2</v>
      </c>
      <c r="D4481" s="4">
        <v>7.3173583865327602E-2</v>
      </c>
      <c r="E4481" s="3" t="s">
        <v>13099</v>
      </c>
      <c r="F4481" s="3" t="s">
        <v>13100</v>
      </c>
      <c r="G4481" s="3">
        <v>102747</v>
      </c>
      <c r="H4481" s="7" t="str">
        <f>HYPERLINK("http://www.ensembl.org/Mus_musculus/Gene/Summary?db=core;g=ENSMUSG00000047766","ENSMUSG00000047766")</f>
        <v>ENSMUSG00000047766</v>
      </c>
      <c r="I4481" s="7" t="str">
        <f>HYPERLINK("http://www.informatics.jax.org/marker/MGI:2442689","MGI:2442689")</f>
        <v>MGI:2442689</v>
      </c>
      <c r="J4481" s="4" t="s">
        <v>12</v>
      </c>
    </row>
    <row r="4482" spans="1:10" x14ac:dyDescent="0.25">
      <c r="A4482" s="2">
        <v>858.491541852404</v>
      </c>
      <c r="B4482" s="3">
        <v>-0.26188473875708201</v>
      </c>
      <c r="C4482" s="5">
        <v>5.386699518434E-6</v>
      </c>
      <c r="D4482" s="6">
        <v>2.7414855828947101E-5</v>
      </c>
      <c r="E4482" s="3" t="s">
        <v>7162</v>
      </c>
      <c r="F4482" s="3" t="s">
        <v>7163</v>
      </c>
      <c r="G4482" s="3">
        <v>68342</v>
      </c>
      <c r="H4482" s="7" t="str">
        <f>HYPERLINK("http://www.ensembl.org/Mus_musculus/Gene/Summary?db=core;g=ENSMUSG00000040048","ENSMUSG00000040048")</f>
        <v>ENSMUSG00000040048</v>
      </c>
      <c r="I4482" s="7" t="str">
        <f>HYPERLINK("http://www.informatics.jax.org/marker/MGI:1915592","MGI:1915592")</f>
        <v>MGI:1915592</v>
      </c>
      <c r="J4482" s="4" t="s">
        <v>12</v>
      </c>
    </row>
    <row r="4483" spans="1:10" x14ac:dyDescent="0.25">
      <c r="A4483" s="2">
        <v>362.77309435386502</v>
      </c>
      <c r="B4483" s="3">
        <v>-0.262110926135664</v>
      </c>
      <c r="C4483" s="3">
        <v>1.60785635291192E-2</v>
      </c>
      <c r="D4483" s="4">
        <v>4.2716008792740297E-2</v>
      </c>
      <c r="E4483" s="3" t="s">
        <v>9901</v>
      </c>
      <c r="F4483" s="3" t="s">
        <v>9902</v>
      </c>
      <c r="G4483" s="3">
        <v>268465</v>
      </c>
      <c r="H4483" s="7" t="str">
        <f>HYPERLINK("http://www.ensembl.org/Mus_musculus/Gene/Summary?db=core;g=ENSMUSG00000039055","ENSMUSG00000039055")</f>
        <v>ENSMUSG00000039055</v>
      </c>
      <c r="I4483" s="7" t="str">
        <f>HYPERLINK("http://www.informatics.jax.org/marker/MGI:3576783","MGI:3576783")</f>
        <v>MGI:3576783</v>
      </c>
      <c r="J4483" s="4" t="s">
        <v>12</v>
      </c>
    </row>
    <row r="4484" spans="1:10" x14ac:dyDescent="0.25">
      <c r="A4484" s="2">
        <v>51.434787272021801</v>
      </c>
      <c r="B4484" s="3">
        <v>-0.26225717670806498</v>
      </c>
      <c r="C4484" s="3">
        <v>9.6995746435419597E-2</v>
      </c>
      <c r="D4484" s="4">
        <v>0.198556383105192</v>
      </c>
      <c r="E4484" s="3" t="s">
        <v>11173</v>
      </c>
      <c r="F4484" s="3" t="s">
        <v>11174</v>
      </c>
      <c r="G4484" s="3">
        <v>11486</v>
      </c>
      <c r="H4484" s="7" t="str">
        <f>HYPERLINK("http://www.ensembl.org/Mus_musculus/Gene/Summary?db=core;g=ENSMUSG00000017697","ENSMUSG00000017697")</f>
        <v>ENSMUSG00000017697</v>
      </c>
      <c r="I4484" s="7" t="str">
        <f>HYPERLINK("http://www.informatics.jax.org/marker/MGI:87916","MGI:87916")</f>
        <v>MGI:87916</v>
      </c>
      <c r="J4484" s="4" t="s">
        <v>12</v>
      </c>
    </row>
    <row r="4485" spans="1:10" x14ac:dyDescent="0.25">
      <c r="A4485" s="2">
        <v>180.57174790344899</v>
      </c>
      <c r="B4485" s="3">
        <v>-0.26262059636302598</v>
      </c>
      <c r="C4485" s="3">
        <v>2.3580496790248399E-3</v>
      </c>
      <c r="D4485" s="4">
        <v>7.6700794931693298E-3</v>
      </c>
      <c r="E4485" s="3" t="s">
        <v>8557</v>
      </c>
      <c r="F4485" s="3" t="s">
        <v>8558</v>
      </c>
      <c r="G4485" s="3">
        <v>66658</v>
      </c>
      <c r="H4485" s="7" t="str">
        <f>HYPERLINK("http://www.ensembl.org/Mus_musculus/Gene/Summary?db=core;g=ENSMUSG00000025645","ENSMUSG00000025645")</f>
        <v>ENSMUSG00000025645</v>
      </c>
      <c r="I4485" s="7" t="str">
        <f>HYPERLINK("http://www.informatics.jax.org/marker/MGI:1913908","MGI:1913908")</f>
        <v>MGI:1913908</v>
      </c>
      <c r="J4485" s="4" t="s">
        <v>12</v>
      </c>
    </row>
    <row r="4486" spans="1:10" x14ac:dyDescent="0.25">
      <c r="A4486" s="2">
        <v>55.342810122952599</v>
      </c>
      <c r="B4486" s="3">
        <v>-0.26280610974563001</v>
      </c>
      <c r="C4486" s="3">
        <v>0.10041817232799601</v>
      </c>
      <c r="D4486" s="4">
        <v>0.20427739599037001</v>
      </c>
      <c r="E4486" s="3" t="s">
        <v>11517</v>
      </c>
      <c r="F4486" s="3" t="s">
        <v>11518</v>
      </c>
      <c r="G4486" s="3">
        <v>67733</v>
      </c>
      <c r="H4486" s="7" t="str">
        <f>HYPERLINK("http://www.ensembl.org/Mus_musculus/Gene/Summary?db=core;g=ENSMUSG00000028549","ENSMUSG00000028549")</f>
        <v>ENSMUSG00000028549</v>
      </c>
      <c r="I4486" s="7" t="str">
        <f>HYPERLINK("http://www.informatics.jax.org/marker/MGI:1914983","MGI:1914983")</f>
        <v>MGI:1914983</v>
      </c>
      <c r="J4486" s="4" t="s">
        <v>12</v>
      </c>
    </row>
    <row r="4487" spans="1:10" x14ac:dyDescent="0.25">
      <c r="A4487" s="2">
        <v>1003.17289415306</v>
      </c>
      <c r="B4487" s="3">
        <v>-0.262842985659826</v>
      </c>
      <c r="C4487" s="3">
        <v>6.0095747851522901E-4</v>
      </c>
      <c r="D4487" s="4">
        <v>2.2050432949345801E-3</v>
      </c>
      <c r="E4487" s="3" t="s">
        <v>7044</v>
      </c>
      <c r="F4487" s="3" t="s">
        <v>7045</v>
      </c>
      <c r="G4487" s="3">
        <v>69554</v>
      </c>
      <c r="H4487" s="7" t="str">
        <f>HYPERLINK("http://www.ensembl.org/Mus_musculus/Gene/Summary?db=core;g=ENSMUSG00000020978","ENSMUSG00000020978")</f>
        <v>ENSMUSG00000020978</v>
      </c>
      <c r="I4487" s="7" t="str">
        <f>HYPERLINK("http://www.informatics.jax.org/marker/MGI:1916804","MGI:1916804")</f>
        <v>MGI:1916804</v>
      </c>
      <c r="J4487" s="4" t="s">
        <v>12</v>
      </c>
    </row>
    <row r="4488" spans="1:10" x14ac:dyDescent="0.25">
      <c r="A4488" s="2">
        <v>904.35997249537002</v>
      </c>
      <c r="B4488" s="3">
        <v>-0.26286702610823698</v>
      </c>
      <c r="C4488" s="5">
        <v>1.7519842349804901E-5</v>
      </c>
      <c r="D4488" s="6">
        <v>8.2655740829716299E-5</v>
      </c>
      <c r="E4488" s="3" t="s">
        <v>7346</v>
      </c>
      <c r="F4488" s="3" t="s">
        <v>7347</v>
      </c>
      <c r="G4488" s="3">
        <v>22193</v>
      </c>
      <c r="H4488" s="7" t="str">
        <f>HYPERLINK("http://www.ensembl.org/Mus_musculus/Gene/Summary?db=core;g=ENSMUSG00000027011","ENSMUSG00000027011")</f>
        <v>ENSMUSG00000027011</v>
      </c>
      <c r="I4488" s="7" t="str">
        <f>HYPERLINK("http://www.informatics.jax.org/marker/MGI:107412","MGI:107412")</f>
        <v>MGI:107412</v>
      </c>
      <c r="J4488" s="4" t="s">
        <v>12</v>
      </c>
    </row>
    <row r="4489" spans="1:10" x14ac:dyDescent="0.25">
      <c r="A4489" s="2">
        <v>2512.8333112652499</v>
      </c>
      <c r="B4489" s="3">
        <v>-0.26298258774931799</v>
      </c>
      <c r="C4489" s="3">
        <v>5.2394920309038698E-3</v>
      </c>
      <c r="D4489" s="4">
        <v>1.56926445790013E-2</v>
      </c>
      <c r="E4489" s="3" t="s">
        <v>9415</v>
      </c>
      <c r="F4489" s="3" t="s">
        <v>9416</v>
      </c>
      <c r="G4489" s="3">
        <v>26934</v>
      </c>
      <c r="H4489" s="7" t="str">
        <f>HYPERLINK("http://www.ensembl.org/Mus_musculus/Gene/Summary?db=core;g=ENSMUSG00000023015","ENSMUSG00000023015")</f>
        <v>ENSMUSG00000023015</v>
      </c>
      <c r="I4489" s="7" t="str">
        <f>HYPERLINK("http://www.informatics.jax.org/marker/MGI:1349423","MGI:1349423")</f>
        <v>MGI:1349423</v>
      </c>
      <c r="J4489" s="4" t="s">
        <v>12</v>
      </c>
    </row>
    <row r="4490" spans="1:10" x14ac:dyDescent="0.25">
      <c r="A4490" s="2">
        <v>628.87689891919297</v>
      </c>
      <c r="B4490" s="3">
        <v>-0.26306535928837099</v>
      </c>
      <c r="C4490" s="3">
        <v>1.02692409071166E-3</v>
      </c>
      <c r="D4490" s="4">
        <v>3.6067520602004301E-3</v>
      </c>
      <c r="E4490" s="3" t="s">
        <v>10613</v>
      </c>
      <c r="F4490" s="3" t="s">
        <v>10614</v>
      </c>
      <c r="G4490" s="3">
        <v>66880</v>
      </c>
      <c r="H4490" s="7" t="str">
        <f>HYPERLINK("http://www.ensembl.org/Mus_musculus/Gene/Summary?db=core;g=ENSMUSG00000034544","ENSMUSG00000034544")</f>
        <v>ENSMUSG00000034544</v>
      </c>
      <c r="I4490" s="7" t="str">
        <f>HYPERLINK("http://www.informatics.jax.org/marker/MGI:1914130","MGI:1914130")</f>
        <v>MGI:1914130</v>
      </c>
      <c r="J4490" s="4" t="s">
        <v>12</v>
      </c>
    </row>
    <row r="4491" spans="1:10" x14ac:dyDescent="0.25">
      <c r="A4491" s="2">
        <v>662.31116077495301</v>
      </c>
      <c r="B4491" s="3">
        <v>-0.263259011237023</v>
      </c>
      <c r="C4491" s="5">
        <v>1.64431421725433E-6</v>
      </c>
      <c r="D4491" s="6">
        <v>8.9189364909107708E-6</v>
      </c>
      <c r="E4491" s="3" t="s">
        <v>3948</v>
      </c>
      <c r="F4491" s="3" t="s">
        <v>3949</v>
      </c>
      <c r="G4491" s="3">
        <v>11907</v>
      </c>
      <c r="H4491" s="7" t="str">
        <f>HYPERLINK("http://www.ensembl.org/Mus_musculus/Gene/Summary?db=core;g=ENSMUSG00000030850","ENSMUSG00000030850")</f>
        <v>ENSMUSG00000030850</v>
      </c>
      <c r="I4491" s="7" t="str">
        <f>HYPERLINK("http://www.informatics.jax.org/marker/MGI:1333870","MGI:1333870")</f>
        <v>MGI:1333870</v>
      </c>
      <c r="J4491" s="4" t="s">
        <v>12</v>
      </c>
    </row>
    <row r="4492" spans="1:10" x14ac:dyDescent="0.25">
      <c r="A4492" s="2">
        <v>610.61496737078903</v>
      </c>
      <c r="B4492" s="3">
        <v>-0.26360550054564802</v>
      </c>
      <c r="C4492" s="3">
        <v>4.3899798434060201E-2</v>
      </c>
      <c r="D4492" s="4">
        <v>0.102258924649891</v>
      </c>
      <c r="E4492" s="3" t="s">
        <v>13165</v>
      </c>
      <c r="F4492" s="3" t="s">
        <v>13166</v>
      </c>
      <c r="G4492" s="3">
        <v>70218</v>
      </c>
      <c r="H4492" s="7" t="str">
        <f>HYPERLINK("http://www.ensembl.org/Mus_musculus/Gene/Summary?db=core;g=ENSMUSG00000051378","ENSMUSG00000051378")</f>
        <v>ENSMUSG00000051378</v>
      </c>
      <c r="I4492" s="7" t="str">
        <f>HYPERLINK("http://www.informatics.jax.org/marker/MGI:2446979","MGI:2446979")</f>
        <v>MGI:2446979</v>
      </c>
      <c r="J4492" s="4" t="s">
        <v>12</v>
      </c>
    </row>
    <row r="4493" spans="1:10" x14ac:dyDescent="0.25">
      <c r="A4493" s="2">
        <v>439.10475619156199</v>
      </c>
      <c r="B4493" s="3">
        <v>-0.26361904493743299</v>
      </c>
      <c r="C4493" s="3">
        <v>1.86122481083937E-4</v>
      </c>
      <c r="D4493" s="4">
        <v>7.4257491632109297E-4</v>
      </c>
      <c r="E4493" s="3" t="s">
        <v>6970</v>
      </c>
      <c r="F4493" s="3" t="s">
        <v>6971</v>
      </c>
      <c r="G4493" s="3">
        <v>79566</v>
      </c>
      <c r="H4493" s="7" t="str">
        <f>HYPERLINK("http://www.ensembl.org/Mus_musculus/Gene/Summary?db=core;g=ENSMUSG00000013646","ENSMUSG00000013646")</f>
        <v>ENSMUSG00000013646</v>
      </c>
      <c r="I4493" s="7" t="str">
        <f>HYPERLINK("http://www.informatics.jax.org/marker/MGI:1933124","MGI:1933124")</f>
        <v>MGI:1933124</v>
      </c>
      <c r="J4493" s="4" t="s">
        <v>12</v>
      </c>
    </row>
    <row r="4494" spans="1:10" x14ac:dyDescent="0.25">
      <c r="A4494" s="2">
        <v>921.79827115813202</v>
      </c>
      <c r="B4494" s="3">
        <v>-0.26401176114080699</v>
      </c>
      <c r="C4494" s="5">
        <v>1.83970355691775E-6</v>
      </c>
      <c r="D4494" s="6">
        <v>9.9109066877995996E-6</v>
      </c>
      <c r="E4494" s="3" t="s">
        <v>5749</v>
      </c>
      <c r="F4494" s="3" t="s">
        <v>5750</v>
      </c>
      <c r="G4494" s="3">
        <v>109077</v>
      </c>
      <c r="H4494" s="7" t="str">
        <f>HYPERLINK("http://www.ensembl.org/Mus_musculus/Gene/Summary?db=core;g=ENSMUSG00000071652","ENSMUSG00000071652")</f>
        <v>ENSMUSG00000071652</v>
      </c>
      <c r="I4494" s="7" t="str">
        <f>HYPERLINK("http://www.informatics.jax.org/marker/MGI:1923578","MGI:1923578")</f>
        <v>MGI:1923578</v>
      </c>
      <c r="J4494" s="4" t="s">
        <v>12</v>
      </c>
    </row>
    <row r="4495" spans="1:10" x14ac:dyDescent="0.25">
      <c r="A4495" s="2">
        <v>741.71709543320503</v>
      </c>
      <c r="B4495" s="3">
        <v>-0.26407174377397202</v>
      </c>
      <c r="C4495" s="5">
        <v>3.7722693448398898E-5</v>
      </c>
      <c r="D4495" s="4">
        <v>1.68421383659253E-4</v>
      </c>
      <c r="E4495" s="3" t="s">
        <v>6173</v>
      </c>
      <c r="F4495" s="3" t="s">
        <v>6174</v>
      </c>
      <c r="G4495" s="3">
        <v>238123</v>
      </c>
      <c r="H4495" s="7" t="str">
        <f>HYPERLINK("http://www.ensembl.org/Mus_musculus/Gene/Summary?db=core;g=ENSMUSG00000035933","ENSMUSG00000035933")</f>
        <v>ENSMUSG00000035933</v>
      </c>
      <c r="I4495" s="7" t="str">
        <f>HYPERLINK("http://www.informatics.jax.org/marker/MGI:2145130","MGI:2145130")</f>
        <v>MGI:2145130</v>
      </c>
      <c r="J4495" s="4" t="s">
        <v>12</v>
      </c>
    </row>
    <row r="4496" spans="1:10" x14ac:dyDescent="0.25">
      <c r="A4496" s="2">
        <v>490.21641574170297</v>
      </c>
      <c r="B4496" s="3">
        <v>-0.26444127402023099</v>
      </c>
      <c r="C4496" s="5">
        <v>6.94521284308841E-6</v>
      </c>
      <c r="D4496" s="6">
        <v>3.47642142447916E-5</v>
      </c>
      <c r="E4496" s="3" t="s">
        <v>7032</v>
      </c>
      <c r="F4496" s="3" t="s">
        <v>7033</v>
      </c>
      <c r="G4496" s="3">
        <v>67278</v>
      </c>
      <c r="H4496" s="7" t="str">
        <f>HYPERLINK("http://www.ensembl.org/Mus_musculus/Gene/Summary?db=core;g=ENSMUSG00000107068","ENSMUSG00000107068")</f>
        <v>ENSMUSG00000107068</v>
      </c>
      <c r="I4496" s="7" t="str">
        <f>HYPERLINK("http://www.informatics.jax.org/marker/MGI:5662879","MGI:5662879")</f>
        <v>MGI:5662879</v>
      </c>
      <c r="J4496" s="4" t="s">
        <v>12</v>
      </c>
    </row>
    <row r="4497" spans="1:10" x14ac:dyDescent="0.25">
      <c r="A4497" s="2">
        <v>537.98960655247799</v>
      </c>
      <c r="B4497" s="3">
        <v>-0.26445723532422</v>
      </c>
      <c r="C4497" s="5">
        <v>7.8677914826037195E-5</v>
      </c>
      <c r="D4497" s="4">
        <v>3.33776768553196E-4</v>
      </c>
      <c r="E4497" s="3" t="s">
        <v>6699</v>
      </c>
      <c r="F4497" s="3" t="s">
        <v>6700</v>
      </c>
      <c r="G4497" s="3">
        <v>69684</v>
      </c>
      <c r="H4497" s="7" t="str">
        <f>HYPERLINK("http://www.ensembl.org/Mus_musculus/Gene/Summary?db=core;g=ENSMUSG00000075528","ENSMUSG00000075528")</f>
        <v>ENSMUSG00000075528</v>
      </c>
      <c r="I4497" s="7" t="str">
        <f>HYPERLINK("http://www.informatics.jax.org/marker/MGI:1916934","MGI:1916934")</f>
        <v>MGI:1916934</v>
      </c>
      <c r="J4497" s="4" t="s">
        <v>12</v>
      </c>
    </row>
    <row r="4498" spans="1:10" x14ac:dyDescent="0.25">
      <c r="A4498" s="2">
        <v>1371.06500136301</v>
      </c>
      <c r="B4498" s="3">
        <v>-0.264632857037569</v>
      </c>
      <c r="C4498" s="5">
        <v>1.6445439881916501E-8</v>
      </c>
      <c r="D4498" s="6">
        <v>1.11918648934999E-7</v>
      </c>
      <c r="E4498" s="3" t="s">
        <v>5889</v>
      </c>
      <c r="F4498" s="3" t="s">
        <v>5890</v>
      </c>
      <c r="G4498" s="3">
        <v>276919</v>
      </c>
      <c r="H4498" s="7" t="str">
        <f>HYPERLINK("http://www.ensembl.org/Mus_musculus/Gene/Summary?db=core;g=ENSMUSG00000049396","ENSMUSG00000049396")</f>
        <v>ENSMUSG00000049396</v>
      </c>
      <c r="I4498" s="7" t="str">
        <f>HYPERLINK("http://www.informatics.jax.org/marker/MGI:2449313","MGI:2449313")</f>
        <v>MGI:2449313</v>
      </c>
      <c r="J4498" s="4" t="s">
        <v>12</v>
      </c>
    </row>
    <row r="4499" spans="1:10" x14ac:dyDescent="0.25">
      <c r="A4499" s="2">
        <v>2102.6573450737001</v>
      </c>
      <c r="B4499" s="3">
        <v>-0.26471281261127999</v>
      </c>
      <c r="C4499" s="5">
        <v>5.2714341696991203E-8</v>
      </c>
      <c r="D4499" s="6">
        <v>3.3851968901609101E-7</v>
      </c>
      <c r="E4499" s="3" t="s">
        <v>8615</v>
      </c>
      <c r="F4499" s="3" t="s">
        <v>8616</v>
      </c>
      <c r="G4499" s="3">
        <v>20320</v>
      </c>
      <c r="H4499" s="7" t="str">
        <f>HYPERLINK("http://www.ensembl.org/Mus_musculus/Gene/Summary?db=core;g=ENSMUSG00000032336","ENSMUSG00000032336")</f>
        <v>ENSMUSG00000032336</v>
      </c>
      <c r="I4499" s="7" t="str">
        <f>HYPERLINK("http://www.informatics.jax.org/marker/MGI:108077","MGI:108077")</f>
        <v>MGI:108077</v>
      </c>
      <c r="J4499" s="4" t="s">
        <v>12</v>
      </c>
    </row>
    <row r="4500" spans="1:10" x14ac:dyDescent="0.25">
      <c r="A4500" s="2">
        <v>1352.8252213109699</v>
      </c>
      <c r="B4500" s="3">
        <v>-0.26497496093246198</v>
      </c>
      <c r="C4500" s="5">
        <v>2.4813906846300902E-6</v>
      </c>
      <c r="D4500" s="6">
        <v>1.3157796109218301E-5</v>
      </c>
      <c r="E4500" s="3" t="s">
        <v>10188</v>
      </c>
      <c r="F4500" s="3" t="s">
        <v>10189</v>
      </c>
      <c r="G4500" s="3">
        <v>19055</v>
      </c>
      <c r="H4500" s="7" t="str">
        <f>HYPERLINK("http://www.ensembl.org/Mus_musculus/Gene/Summary?db=core;g=ENSMUSG00000028161","ENSMUSG00000028161")</f>
        <v>ENSMUSG00000028161</v>
      </c>
      <c r="I4500" s="7" t="str">
        <f>HYPERLINK("http://www.informatics.jax.org/marker/MGI:107164","MGI:107164")</f>
        <v>MGI:107164</v>
      </c>
      <c r="J4500" s="4" t="s">
        <v>12</v>
      </c>
    </row>
    <row r="4501" spans="1:10" x14ac:dyDescent="0.25">
      <c r="A4501" s="2">
        <v>856.49361138538302</v>
      </c>
      <c r="B4501" s="3">
        <v>-0.26505526455432399</v>
      </c>
      <c r="C4501" s="5">
        <v>3.7066335411204499E-7</v>
      </c>
      <c r="D4501" s="6">
        <v>2.1798449915108199E-6</v>
      </c>
      <c r="E4501" s="3" t="s">
        <v>11303</v>
      </c>
      <c r="F4501" s="3" t="s">
        <v>11304</v>
      </c>
      <c r="G4501" s="3">
        <v>102122</v>
      </c>
      <c r="H4501" s="7" t="str">
        <f>HYPERLINK("http://www.ensembl.org/Mus_musculus/Gene/Summary?db=core;g=ENSMUSG00000031774","ENSMUSG00000031774")</f>
        <v>ENSMUSG00000031774</v>
      </c>
      <c r="I4501" s="7" t="str">
        <f>HYPERLINK("http://www.informatics.jax.org/marker/MGI:1919637","MGI:1919637")</f>
        <v>MGI:1919637</v>
      </c>
      <c r="J4501" s="4" t="s">
        <v>12</v>
      </c>
    </row>
    <row r="4502" spans="1:10" x14ac:dyDescent="0.25">
      <c r="A4502" s="2">
        <v>519.94369619551401</v>
      </c>
      <c r="B4502" s="3">
        <v>-0.26527737483910002</v>
      </c>
      <c r="C4502" s="5">
        <v>3.4113587451585102E-5</v>
      </c>
      <c r="D4502" s="4">
        <v>1.5354905687951101E-4</v>
      </c>
      <c r="E4502" s="3" t="s">
        <v>8409</v>
      </c>
      <c r="F4502" s="3" t="s">
        <v>8410</v>
      </c>
      <c r="G4502" s="3">
        <v>66446</v>
      </c>
      <c r="H4502" s="7" t="str">
        <f>HYPERLINK("http://www.ensembl.org/Mus_musculus/Gene/Summary?db=core;g=ENSMUSG00000025785","ENSMUSG00000025785")</f>
        <v>ENSMUSG00000025785</v>
      </c>
      <c r="I4502" s="7" t="str">
        <f>HYPERLINK("http://www.informatics.jax.org/marker/MGI:1913696","MGI:1913696")</f>
        <v>MGI:1913696</v>
      </c>
      <c r="J4502" s="4" t="s">
        <v>12</v>
      </c>
    </row>
    <row r="4503" spans="1:10" x14ac:dyDescent="0.25">
      <c r="A4503" s="2">
        <v>519.67732658286502</v>
      </c>
      <c r="B4503" s="3">
        <v>-0.265336662191406</v>
      </c>
      <c r="C4503" s="5">
        <v>1.0076905463204701E-5</v>
      </c>
      <c r="D4503" s="6">
        <v>4.9249558076402503E-5</v>
      </c>
      <c r="E4503" s="3" t="s">
        <v>5169</v>
      </c>
      <c r="F4503" s="3" t="s">
        <v>5170</v>
      </c>
      <c r="G4503" s="3">
        <v>19691</v>
      </c>
      <c r="H4503" s="7" t="str">
        <f>HYPERLINK("http://www.ensembl.org/Mus_musculus/Gene/Summary?db=core;g=ENSMUSG00000030243","ENSMUSG00000030243")</f>
        <v>ENSMUSG00000030243</v>
      </c>
      <c r="I4503" s="7" t="str">
        <f>HYPERLINK("http://www.informatics.jax.org/marker/MGI:103021","MGI:103021")</f>
        <v>MGI:103021</v>
      </c>
      <c r="J4503" s="4" t="s">
        <v>12</v>
      </c>
    </row>
    <row r="4504" spans="1:10" x14ac:dyDescent="0.25">
      <c r="A4504" s="2">
        <v>800.70036447643099</v>
      </c>
      <c r="B4504" s="3">
        <v>-0.26548046834352201</v>
      </c>
      <c r="C4504" s="3">
        <v>2.3742970914109002E-3</v>
      </c>
      <c r="D4504" s="4">
        <v>7.7174183147786001E-3</v>
      </c>
      <c r="E4504" s="3" t="s">
        <v>10106</v>
      </c>
      <c r="F4504" s="3" t="s">
        <v>10107</v>
      </c>
      <c r="G4504" s="3">
        <v>212679</v>
      </c>
      <c r="H4504" s="7" t="str">
        <f>HYPERLINK("http://www.ensembl.org/Mus_musculus/Gene/Summary?db=core;g=ENSMUSG00000046994","ENSMUSG00000046994")</f>
        <v>ENSMUSG00000046994</v>
      </c>
      <c r="I4504" s="7" t="str">
        <f>HYPERLINK("http://www.informatics.jax.org/marker/MGI:2444136","MGI:2444136")</f>
        <v>MGI:2444136</v>
      </c>
      <c r="J4504" s="4" t="s">
        <v>12</v>
      </c>
    </row>
    <row r="4505" spans="1:10" x14ac:dyDescent="0.25">
      <c r="A4505" s="2">
        <v>160.00180996772599</v>
      </c>
      <c r="B4505" s="3">
        <v>-0.26554565639319899</v>
      </c>
      <c r="C4505" s="3">
        <v>5.5113963462506497E-3</v>
      </c>
      <c r="D4505" s="4">
        <v>1.6409932757787599E-2</v>
      </c>
      <c r="E4505" s="3" t="s">
        <v>11841</v>
      </c>
      <c r="F4505" s="3" t="s">
        <v>11842</v>
      </c>
      <c r="G4505" s="3">
        <v>114674</v>
      </c>
      <c r="H4505" s="7" t="str">
        <f>HYPERLINK("http://www.ensembl.org/Mus_musculus/Gene/Summary?db=core;g=ENSMUSG00000015942","ENSMUSG00000015942")</f>
        <v>ENSMUSG00000015942</v>
      </c>
      <c r="I4505" s="7" t="str">
        <f>HYPERLINK("http://www.informatics.jax.org/marker/MGI:2149780","MGI:2149780")</f>
        <v>MGI:2149780</v>
      </c>
      <c r="J4505" s="4" t="s">
        <v>12</v>
      </c>
    </row>
    <row r="4506" spans="1:10" x14ac:dyDescent="0.25">
      <c r="A4506" s="2">
        <v>1052.4767256935399</v>
      </c>
      <c r="B4506" s="3">
        <v>-0.26563936482448902</v>
      </c>
      <c r="C4506" s="3">
        <v>1.0588104858380701E-4</v>
      </c>
      <c r="D4506" s="4">
        <v>4.4086865671461798E-4</v>
      </c>
      <c r="E4506" s="3" t="s">
        <v>11947</v>
      </c>
      <c r="F4506" s="3" t="s">
        <v>11948</v>
      </c>
      <c r="G4506" s="3">
        <v>66420</v>
      </c>
      <c r="H4506" s="7" t="str">
        <f>HYPERLINK("http://www.ensembl.org/Mus_musculus/Gene/Summary?db=core;g=ENSMUSG00000004667","ENSMUSG00000004667")</f>
        <v>ENSMUSG00000004667</v>
      </c>
      <c r="I4506" s="7" t="str">
        <f>HYPERLINK("http://www.informatics.jax.org/marker/MGI:1913670","MGI:1913670")</f>
        <v>MGI:1913670</v>
      </c>
      <c r="J4506" s="4" t="s">
        <v>12</v>
      </c>
    </row>
    <row r="4507" spans="1:10" x14ac:dyDescent="0.25">
      <c r="A4507" s="2">
        <v>967.10750448951001</v>
      </c>
      <c r="B4507" s="3">
        <v>-0.26599369324273903</v>
      </c>
      <c r="C4507" s="5">
        <v>1.26500068243135E-5</v>
      </c>
      <c r="D4507" s="6">
        <v>6.0958850971209197E-5</v>
      </c>
      <c r="E4507" s="3" t="s">
        <v>8241</v>
      </c>
      <c r="F4507" s="3" t="s">
        <v>8242</v>
      </c>
      <c r="G4507" s="3">
        <v>68925</v>
      </c>
      <c r="H4507" s="7" t="str">
        <f>HYPERLINK("http://www.ensembl.org/Mus_musculus/Gene/Summary?db=core;g=ENSMUSG00000034032","ENSMUSG00000034032")</f>
        <v>ENSMUSG00000034032</v>
      </c>
      <c r="I4507" s="7" t="str">
        <f>HYPERLINK("http://www.informatics.jax.org/marker/MGI:1916175","MGI:1916175")</f>
        <v>MGI:1916175</v>
      </c>
      <c r="J4507" s="4" t="s">
        <v>12</v>
      </c>
    </row>
    <row r="4508" spans="1:10" x14ac:dyDescent="0.25">
      <c r="A4508" s="2">
        <v>488.136773970869</v>
      </c>
      <c r="B4508" s="3">
        <v>-0.26603496361708401</v>
      </c>
      <c r="C4508" s="5">
        <v>5.7698376879333001E-6</v>
      </c>
      <c r="D4508" s="6">
        <v>2.9217919383880101E-5</v>
      </c>
      <c r="E4508" s="3" t="s">
        <v>6968</v>
      </c>
      <c r="F4508" s="3" t="s">
        <v>6969</v>
      </c>
      <c r="G4508" s="3" t="s">
        <v>83</v>
      </c>
      <c r="H4508" s="7" t="str">
        <f>HYPERLINK("http://www.ensembl.org/Mus_musculus/Gene/Summary?db=core;g=ENSMUSG00000030680","ENSMUSG00000030680")</f>
        <v>ENSMUSG00000030680</v>
      </c>
      <c r="I4508" s="7" t="str">
        <f>HYPERLINK("http://www.informatics.jax.org/marker/MGI:1914528","MGI:1914528")</f>
        <v>MGI:1914528</v>
      </c>
      <c r="J4508" s="4" t="s">
        <v>12</v>
      </c>
    </row>
    <row r="4509" spans="1:10" x14ac:dyDescent="0.25">
      <c r="A4509" s="2">
        <v>1015.43966243045</v>
      </c>
      <c r="B4509" s="3">
        <v>-0.26604632146458401</v>
      </c>
      <c r="C4509" s="5">
        <v>5.4810649080123202E-6</v>
      </c>
      <c r="D4509" s="6">
        <v>2.78251832725695E-5</v>
      </c>
      <c r="E4509" s="3" t="s">
        <v>9361</v>
      </c>
      <c r="F4509" s="3" t="s">
        <v>9362</v>
      </c>
      <c r="G4509" s="3" t="s">
        <v>83</v>
      </c>
      <c r="H4509" s="7" t="str">
        <f>HYPERLINK("http://www.ensembl.org/Mus_musculus/Gene/Summary?db=core;g=ENSMUSG00000117789","ENSMUSG00000117789")</f>
        <v>ENSMUSG00000117789</v>
      </c>
      <c r="I4509" s="7" t="str">
        <f>HYPERLINK("http://www.informatics.jax.org/marker/MGI:6303291","MGI:6303291")</f>
        <v>MGI:6303291</v>
      </c>
      <c r="J4509" s="4" t="s">
        <v>12</v>
      </c>
    </row>
    <row r="4510" spans="1:10" x14ac:dyDescent="0.25">
      <c r="A4510" s="2">
        <v>1798.8088619919399</v>
      </c>
      <c r="B4510" s="3">
        <v>-0.26627884751703401</v>
      </c>
      <c r="C4510" s="5">
        <v>6.6396690762089204E-5</v>
      </c>
      <c r="D4510" s="4">
        <v>2.8512716520713398E-4</v>
      </c>
      <c r="E4510" s="3" t="s">
        <v>4901</v>
      </c>
      <c r="F4510" s="3" t="s">
        <v>4902</v>
      </c>
      <c r="G4510" s="3">
        <v>108148</v>
      </c>
      <c r="H4510" s="7" t="str">
        <f>HYPERLINK("http://www.ensembl.org/Mus_musculus/Gene/Summary?db=core;g=ENSMUSG00000089704","ENSMUSG00000089704")</f>
        <v>ENSMUSG00000089704</v>
      </c>
      <c r="I4510" s="7" t="str">
        <f>HYPERLINK("http://www.informatics.jax.org/marker/MGI:894694","MGI:894694")</f>
        <v>MGI:894694</v>
      </c>
      <c r="J4510" s="4" t="s">
        <v>12</v>
      </c>
    </row>
    <row r="4511" spans="1:10" x14ac:dyDescent="0.25">
      <c r="A4511" s="2">
        <v>199.28419364765199</v>
      </c>
      <c r="B4511" s="3">
        <v>-0.26634926968905798</v>
      </c>
      <c r="C4511" s="3">
        <v>1.9838544293763E-2</v>
      </c>
      <c r="D4511" s="4">
        <v>5.1284747482813003E-2</v>
      </c>
      <c r="E4511" s="3" t="s">
        <v>7168</v>
      </c>
      <c r="F4511" s="3" t="s">
        <v>7169</v>
      </c>
      <c r="G4511" s="3">
        <v>216551</v>
      </c>
      <c r="H4511" s="7" t="str">
        <f>HYPERLINK("http://www.ensembl.org/Mus_musculus/Gene/Summary?db=core;g=ENSMUSG00000042363","ENSMUSG00000042363")</f>
        <v>ENSMUSG00000042363</v>
      </c>
      <c r="I4511" s="7" t="str">
        <f>HYPERLINK("http://www.informatics.jax.org/marker/MGI:1916114","MGI:1916114")</f>
        <v>MGI:1916114</v>
      </c>
      <c r="J4511" s="4" t="s">
        <v>12</v>
      </c>
    </row>
    <row r="4512" spans="1:10" x14ac:dyDescent="0.25">
      <c r="A4512" s="2">
        <v>304.92842832067203</v>
      </c>
      <c r="B4512" s="3">
        <v>-0.26692817390926399</v>
      </c>
      <c r="C4512" s="3">
        <v>2.34351692472815E-4</v>
      </c>
      <c r="D4512" s="4">
        <v>9.1949614538580095E-4</v>
      </c>
      <c r="E4512" s="3" t="s">
        <v>7872</v>
      </c>
      <c r="F4512" s="3" t="s">
        <v>7873</v>
      </c>
      <c r="G4512" s="3">
        <v>29805</v>
      </c>
      <c r="H4512" s="7" t="str">
        <f>HYPERLINK("http://www.ensembl.org/Mus_musculus/Gene/Summary?db=core;g=ENSMUSG00000075227","ENSMUSG00000075227")</f>
        <v>ENSMUSG00000075227</v>
      </c>
      <c r="I4512" s="7" t="str">
        <f>HYPERLINK("http://www.informatics.jax.org/marker/MGI:1352481","MGI:1352481")</f>
        <v>MGI:1352481</v>
      </c>
      <c r="J4512" s="4" t="s">
        <v>12</v>
      </c>
    </row>
    <row r="4513" spans="1:10" x14ac:dyDescent="0.25">
      <c r="A4513" s="2">
        <v>326.307416798227</v>
      </c>
      <c r="B4513" s="3">
        <v>-0.26704932910321499</v>
      </c>
      <c r="C4513" s="3">
        <v>9.3700043222297703E-4</v>
      </c>
      <c r="D4513" s="4">
        <v>3.3126736910308002E-3</v>
      </c>
      <c r="E4513" s="3" t="s">
        <v>10890</v>
      </c>
      <c r="F4513" s="3" t="s">
        <v>10891</v>
      </c>
      <c r="G4513" s="3">
        <v>50773</v>
      </c>
      <c r="H4513" s="7" t="str">
        <f>HYPERLINK("http://www.ensembl.org/Mus_musculus/Gene/Summary?db=core;g=ENSMUSG00000020736","ENSMUSG00000020736")</f>
        <v>ENSMUSG00000020736</v>
      </c>
      <c r="I4513" s="7" t="str">
        <f>HYPERLINK("http://www.informatics.jax.org/marker/MGI:1354954","MGI:1354954")</f>
        <v>MGI:1354954</v>
      </c>
      <c r="J4513" s="4" t="s">
        <v>12</v>
      </c>
    </row>
    <row r="4514" spans="1:10" x14ac:dyDescent="0.25">
      <c r="A4514" s="2">
        <v>4908.7623542196998</v>
      </c>
      <c r="B4514" s="3">
        <v>-0.26720586362446802</v>
      </c>
      <c r="C4514" s="3">
        <v>3.0211040117091801E-4</v>
      </c>
      <c r="D4514" s="4">
        <v>1.1613432761836699E-3</v>
      </c>
      <c r="E4514" s="3" t="s">
        <v>7050</v>
      </c>
      <c r="F4514" s="3" t="s">
        <v>7051</v>
      </c>
      <c r="G4514" s="3">
        <v>22385</v>
      </c>
      <c r="H4514" s="7" t="str">
        <f>HYPERLINK("http://www.ensembl.org/Mus_musculus/Gene/Summary?db=core;g=ENSMUSG00000002748","ENSMUSG00000002748")</f>
        <v>ENSMUSG00000002748</v>
      </c>
      <c r="I4514" s="7" t="str">
        <f>HYPERLINK("http://www.informatics.jax.org/marker/MGI:1353499","MGI:1353499")</f>
        <v>MGI:1353499</v>
      </c>
      <c r="J4514" s="4" t="s">
        <v>12</v>
      </c>
    </row>
    <row r="4515" spans="1:10" x14ac:dyDescent="0.25">
      <c r="A4515" s="2">
        <v>787.60377326202695</v>
      </c>
      <c r="B4515" s="3">
        <v>-0.26720761765928402</v>
      </c>
      <c r="C4515" s="5">
        <v>4.1916768002932297E-5</v>
      </c>
      <c r="D4515" s="4">
        <v>1.85962292320701E-4</v>
      </c>
      <c r="E4515" s="3" t="s">
        <v>6934</v>
      </c>
      <c r="F4515" s="3" t="s">
        <v>6935</v>
      </c>
      <c r="G4515" s="3">
        <v>246782</v>
      </c>
      <c r="H4515" s="7" t="str">
        <f>HYPERLINK("http://www.ensembl.org/Mus_musculus/Gene/Summary?db=core;g=ENSMUSG00000042709","ENSMUSG00000042709")</f>
        <v>ENSMUSG00000042709</v>
      </c>
      <c r="I4515" s="7" t="str">
        <f>HYPERLINK("http://www.informatics.jax.org/marker/MGI:2180561","MGI:2180561")</f>
        <v>MGI:2180561</v>
      </c>
      <c r="J4515" s="4" t="s">
        <v>12</v>
      </c>
    </row>
    <row r="4516" spans="1:10" x14ac:dyDescent="0.25">
      <c r="A4516" s="2">
        <v>1888.7615730131099</v>
      </c>
      <c r="B4516" s="3">
        <v>-0.26723012977725502</v>
      </c>
      <c r="C4516" s="5">
        <v>4.0909078541251702E-7</v>
      </c>
      <c r="D4516" s="6">
        <v>2.3858174605257998E-6</v>
      </c>
      <c r="E4516" s="3" t="s">
        <v>7340</v>
      </c>
      <c r="F4516" s="3" t="s">
        <v>7341</v>
      </c>
      <c r="G4516" s="3">
        <v>20852</v>
      </c>
      <c r="H4516" s="7" t="str">
        <f>HYPERLINK("http://www.ensembl.org/Mus_musculus/Gene/Summary?db=core;g=ENSMUSG00000002147","ENSMUSG00000002147")</f>
        <v>ENSMUSG00000002147</v>
      </c>
      <c r="I4516" s="7" t="str">
        <f>HYPERLINK("http://www.informatics.jax.org/marker/MGI:103034","MGI:103034")</f>
        <v>MGI:103034</v>
      </c>
      <c r="J4516" s="4" t="s">
        <v>12</v>
      </c>
    </row>
    <row r="4517" spans="1:10" x14ac:dyDescent="0.25">
      <c r="A4517" s="2">
        <v>222.12202633375</v>
      </c>
      <c r="B4517" s="3">
        <v>-0.26731819724657702</v>
      </c>
      <c r="C4517" s="3">
        <v>4.86675495837587E-3</v>
      </c>
      <c r="D4517" s="4">
        <v>1.46630201878658E-2</v>
      </c>
      <c r="E4517" s="3" t="s">
        <v>6027</v>
      </c>
      <c r="F4517" s="3" t="s">
        <v>6028</v>
      </c>
      <c r="G4517" s="3">
        <v>245007</v>
      </c>
      <c r="H4517" s="7" t="str">
        <f>HYPERLINK("http://www.ensembl.org/Mus_musculus/Gene/Summary?db=core;g=ENSMUSG00000040433","ENSMUSG00000040433")</f>
        <v>ENSMUSG00000040433</v>
      </c>
      <c r="I4517" s="7" t="str">
        <f>HYPERLINK("http://www.informatics.jax.org/marker/MGI:2442866","MGI:2442866")</f>
        <v>MGI:2442866</v>
      </c>
      <c r="J4517" s="4" t="s">
        <v>12</v>
      </c>
    </row>
    <row r="4518" spans="1:10" x14ac:dyDescent="0.25">
      <c r="A4518" s="2">
        <v>586.195058447478</v>
      </c>
      <c r="B4518" s="3">
        <v>-0.26767143575313002</v>
      </c>
      <c r="C4518" s="3">
        <v>5.8597104905674303E-2</v>
      </c>
      <c r="D4518" s="4">
        <v>0.13044243763355501</v>
      </c>
      <c r="E4518" s="3" t="s">
        <v>13763</v>
      </c>
      <c r="F4518" s="3" t="s">
        <v>13764</v>
      </c>
      <c r="G4518" s="3">
        <v>67052</v>
      </c>
      <c r="H4518" s="7" t="str">
        <f>HYPERLINK("http://www.ensembl.org/Mus_musculus/Gene/Summary?db=core;g=ENSMUSG00000024056","ENSMUSG00000024056")</f>
        <v>ENSMUSG00000024056</v>
      </c>
      <c r="I4518" s="7" t="str">
        <f>HYPERLINK("http://www.informatics.jax.org/marker/MGI:1914302","MGI:1914302")</f>
        <v>MGI:1914302</v>
      </c>
      <c r="J4518" s="4" t="s">
        <v>12</v>
      </c>
    </row>
    <row r="4519" spans="1:10" x14ac:dyDescent="0.25">
      <c r="A4519" s="2">
        <v>310.62934465893898</v>
      </c>
      <c r="B4519" s="3">
        <v>-0.26773710034627002</v>
      </c>
      <c r="C4519" s="3">
        <v>3.1430143533637102E-4</v>
      </c>
      <c r="D4519" s="4">
        <v>1.20465692092647E-3</v>
      </c>
      <c r="E4519" s="3" t="s">
        <v>7278</v>
      </c>
      <c r="F4519" s="3" t="s">
        <v>7279</v>
      </c>
      <c r="G4519" s="3">
        <v>67027</v>
      </c>
      <c r="H4519" s="7" t="str">
        <f>HYPERLINK("http://www.ensembl.org/Mus_musculus/Gene/Summary?db=core;g=ENSMUSG00000000439","ENSMUSG00000000439")</f>
        <v>ENSMUSG00000000439</v>
      </c>
      <c r="I4519" s="7" t="str">
        <f>HYPERLINK("http://www.informatics.jax.org/marker/MGI:1914277","MGI:1914277")</f>
        <v>MGI:1914277</v>
      </c>
      <c r="J4519" s="4" t="s">
        <v>12</v>
      </c>
    </row>
    <row r="4520" spans="1:10" x14ac:dyDescent="0.25">
      <c r="A4520" s="2">
        <v>145.78694538153701</v>
      </c>
      <c r="B4520" s="3">
        <v>-0.267965732324705</v>
      </c>
      <c r="C4520" s="3">
        <v>1.1290152566621499E-2</v>
      </c>
      <c r="D4520" s="4">
        <v>3.12474502675445E-2</v>
      </c>
      <c r="E4520" s="3" t="s">
        <v>8551</v>
      </c>
      <c r="F4520" s="3" t="s">
        <v>8552</v>
      </c>
      <c r="G4520" s="3">
        <v>68636</v>
      </c>
      <c r="H4520" s="7" t="str">
        <f>HYPERLINK("http://www.ensembl.org/Mus_musculus/Gene/Summary?db=core;g=ENSMUSG00000045316","ENSMUSG00000045316")</f>
        <v>ENSMUSG00000045316</v>
      </c>
      <c r="I4520" s="7" t="str">
        <f>HYPERLINK("http://www.informatics.jax.org/marker/MGI:1915886","MGI:1915886")</f>
        <v>MGI:1915886</v>
      </c>
      <c r="J4520" s="4" t="s">
        <v>12</v>
      </c>
    </row>
    <row r="4521" spans="1:10" x14ac:dyDescent="0.25">
      <c r="A4521" s="2">
        <v>4379.13085917632</v>
      </c>
      <c r="B4521" s="3">
        <v>-0.26800155647101898</v>
      </c>
      <c r="C4521" s="5">
        <v>4.9939452104085698E-9</v>
      </c>
      <c r="D4521" s="6">
        <v>3.6002631115386097E-8</v>
      </c>
      <c r="E4521" s="3" t="s">
        <v>7686</v>
      </c>
      <c r="F4521" s="3" t="s">
        <v>7687</v>
      </c>
      <c r="G4521" s="3">
        <v>20397</v>
      </c>
      <c r="H4521" s="7" t="str">
        <f>HYPERLINK("http://www.ensembl.org/Mus_musculus/Gene/Summary?db=core;g=ENSMUSG00000020097","ENSMUSG00000020097")</f>
        <v>ENSMUSG00000020097</v>
      </c>
      <c r="I4521" s="7" t="str">
        <f>HYPERLINK("http://www.informatics.jax.org/marker/MGI:1261415","MGI:1261415")</f>
        <v>MGI:1261415</v>
      </c>
      <c r="J4521" s="4" t="s">
        <v>12</v>
      </c>
    </row>
    <row r="4522" spans="1:10" x14ac:dyDescent="0.25">
      <c r="A4522" s="2">
        <v>818.06582552209397</v>
      </c>
      <c r="B4522" s="3">
        <v>-0.26805735512374301</v>
      </c>
      <c r="C4522" s="3">
        <v>3.4934287123113101E-4</v>
      </c>
      <c r="D4522" s="4">
        <v>1.3289029071566201E-3</v>
      </c>
      <c r="E4522" s="3" t="s">
        <v>12849</v>
      </c>
      <c r="F4522" s="3" t="s">
        <v>12850</v>
      </c>
      <c r="G4522" s="3">
        <v>72587</v>
      </c>
      <c r="H4522" s="7" t="str">
        <f>HYPERLINK("http://www.ensembl.org/Mus_musculus/Gene/Summary?db=core;g=ENSMUSG00000029647","ENSMUSG00000029647")</f>
        <v>ENSMUSG00000029647</v>
      </c>
      <c r="I4522" s="7" t="str">
        <f>HYPERLINK("http://www.informatics.jax.org/marker/MGI:1919837","MGI:1919837")</f>
        <v>MGI:1919837</v>
      </c>
      <c r="J4522" s="4" t="s">
        <v>12</v>
      </c>
    </row>
    <row r="4523" spans="1:10" x14ac:dyDescent="0.25">
      <c r="A4523" s="2">
        <v>64.711878900859006</v>
      </c>
      <c r="B4523" s="3">
        <v>-0.26821116796906203</v>
      </c>
      <c r="C4523" s="3">
        <v>0.10040468987291599</v>
      </c>
      <c r="D4523" s="4">
        <v>0.204272769918944</v>
      </c>
      <c r="E4523" s="3" t="s">
        <v>11823</v>
      </c>
      <c r="F4523" s="3" t="s">
        <v>11824</v>
      </c>
      <c r="G4523" s="3">
        <v>216459</v>
      </c>
      <c r="H4523" s="7" t="str">
        <f>HYPERLINK("http://www.ensembl.org/Mus_musculus/Gene/Summary?db=core;g=ENSMUSG00000039824","ENSMUSG00000039824")</f>
        <v>ENSMUSG00000039824</v>
      </c>
      <c r="I4523" s="7" t="str">
        <f>HYPERLINK("http://www.informatics.jax.org/marker/MGI:1917789","MGI:1917789")</f>
        <v>MGI:1917789</v>
      </c>
      <c r="J4523" s="4" t="s">
        <v>12</v>
      </c>
    </row>
    <row r="4524" spans="1:10" x14ac:dyDescent="0.25">
      <c r="A4524" s="2">
        <v>1334.0110695681101</v>
      </c>
      <c r="B4524" s="3">
        <v>-0.26878231503003402</v>
      </c>
      <c r="C4524" s="5">
        <v>6.0567403643171201E-6</v>
      </c>
      <c r="D4524" s="6">
        <v>3.05942608480265E-5</v>
      </c>
      <c r="E4524" s="3" t="s">
        <v>4737</v>
      </c>
      <c r="F4524" s="3" t="s">
        <v>4738</v>
      </c>
      <c r="G4524" s="3">
        <v>21781</v>
      </c>
      <c r="H4524" s="7" t="str">
        <f>HYPERLINK("http://www.ensembl.org/Mus_musculus/Gene/Summary?db=core;g=ENSMUSG00000038482","ENSMUSG00000038482")</f>
        <v>ENSMUSG00000038482</v>
      </c>
      <c r="I4524" s="7" t="str">
        <f>HYPERLINK("http://www.informatics.jax.org/marker/MGI:101934","MGI:101934")</f>
        <v>MGI:101934</v>
      </c>
      <c r="J4524" s="4" t="s">
        <v>12</v>
      </c>
    </row>
    <row r="4525" spans="1:10" x14ac:dyDescent="0.25">
      <c r="A4525" s="2">
        <v>1147.40181253438</v>
      </c>
      <c r="B4525" s="3">
        <v>-0.26906951322762401</v>
      </c>
      <c r="C4525" s="5">
        <v>7.1671783642040702E-5</v>
      </c>
      <c r="D4525" s="4">
        <v>3.0633636418297202E-4</v>
      </c>
      <c r="E4525" s="3" t="s">
        <v>7382</v>
      </c>
      <c r="F4525" s="3" t="s">
        <v>7383</v>
      </c>
      <c r="G4525" s="3">
        <v>11799</v>
      </c>
      <c r="H4525" s="7" t="str">
        <f>HYPERLINK("http://www.ensembl.org/Mus_musculus/Gene/Summary?db=core;g=ENSMUSG00000017716","ENSMUSG00000017716")</f>
        <v>ENSMUSG00000017716</v>
      </c>
      <c r="I4525" s="7" t="str">
        <f>HYPERLINK("http://www.informatics.jax.org/marker/MGI:1203517","MGI:1203517")</f>
        <v>MGI:1203517</v>
      </c>
      <c r="J4525" s="4" t="s">
        <v>12</v>
      </c>
    </row>
    <row r="4526" spans="1:10" x14ac:dyDescent="0.25">
      <c r="A4526" s="2">
        <v>385.09969703511001</v>
      </c>
      <c r="B4526" s="3">
        <v>-0.26910334160584498</v>
      </c>
      <c r="C4526" s="3">
        <v>2.2243145629419498E-3</v>
      </c>
      <c r="D4526" s="4">
        <v>7.2870992107886001E-3</v>
      </c>
      <c r="E4526" s="3" t="s">
        <v>7116</v>
      </c>
      <c r="F4526" s="3" t="s">
        <v>7117</v>
      </c>
      <c r="G4526" s="3">
        <v>72776</v>
      </c>
      <c r="H4526" s="7" t="str">
        <f>HYPERLINK("http://www.ensembl.org/Mus_musculus/Gene/Summary?db=core;g=ENSMUSG00000027959","ENSMUSG00000027959")</f>
        <v>ENSMUSG00000027959</v>
      </c>
      <c r="I4526" s="7" t="str">
        <f>HYPERLINK("http://www.informatics.jax.org/marker/MGI:1920026","MGI:1920026")</f>
        <v>MGI:1920026</v>
      </c>
      <c r="J4526" s="4" t="s">
        <v>12</v>
      </c>
    </row>
    <row r="4527" spans="1:10" x14ac:dyDescent="0.25">
      <c r="A4527" s="2">
        <v>315.24922231677903</v>
      </c>
      <c r="B4527" s="3">
        <v>-0.26940291392071097</v>
      </c>
      <c r="C4527" s="3">
        <v>3.0885292026131802E-3</v>
      </c>
      <c r="D4527" s="4">
        <v>9.7573852421711602E-3</v>
      </c>
      <c r="E4527" s="3" t="s">
        <v>6525</v>
      </c>
      <c r="F4527" s="3" t="s">
        <v>6526</v>
      </c>
      <c r="G4527" s="3">
        <v>271842</v>
      </c>
      <c r="H4527" s="7" t="str">
        <f>HYPERLINK("http://www.ensembl.org/Mus_musculus/Gene/Summary?db=core;g=ENSMUSG00000027324","ENSMUSG00000027324")</f>
        <v>ENSMUSG00000027324</v>
      </c>
      <c r="I4527" s="7" t="str">
        <f>HYPERLINK("http://www.informatics.jax.org/marker/MGI:1918066","MGI:1918066")</f>
        <v>MGI:1918066</v>
      </c>
      <c r="J4527" s="4" t="s">
        <v>12</v>
      </c>
    </row>
    <row r="4528" spans="1:10" x14ac:dyDescent="0.25">
      <c r="A4528" s="2">
        <v>2499.87705820579</v>
      </c>
      <c r="B4528" s="3">
        <v>-0.26943540644383901</v>
      </c>
      <c r="C4528" s="3">
        <v>2.42498403169988E-2</v>
      </c>
      <c r="D4528" s="4">
        <v>6.1053658257820401E-2</v>
      </c>
      <c r="E4528" s="3" t="s">
        <v>10128</v>
      </c>
      <c r="F4528" s="3" t="s">
        <v>10129</v>
      </c>
      <c r="G4528" s="3">
        <v>105988</v>
      </c>
      <c r="H4528" s="7" t="str">
        <f>HYPERLINK("http://www.ensembl.org/Mus_musculus/Gene/Summary?db=core;g=ENSMUSG00000058290","ENSMUSG00000058290")</f>
        <v>ENSMUSG00000058290</v>
      </c>
      <c r="I4528" s="7" t="str">
        <f>HYPERLINK("http://www.informatics.jax.org/marker/MGI:2146156","MGI:2146156")</f>
        <v>MGI:2146156</v>
      </c>
      <c r="J4528" s="4" t="s">
        <v>12</v>
      </c>
    </row>
    <row r="4529" spans="1:10" x14ac:dyDescent="0.25">
      <c r="A4529" s="2">
        <v>304.37411320146401</v>
      </c>
      <c r="B4529" s="3">
        <v>-0.26958111552597402</v>
      </c>
      <c r="C4529" s="3">
        <v>7.7648864037175302E-3</v>
      </c>
      <c r="D4529" s="4">
        <v>2.2359781119885E-2</v>
      </c>
      <c r="E4529" s="3" t="s">
        <v>13257</v>
      </c>
      <c r="F4529" s="3" t="s">
        <v>13258</v>
      </c>
      <c r="G4529" s="3">
        <v>12568</v>
      </c>
      <c r="H4529" s="7" t="str">
        <f>HYPERLINK("http://www.ensembl.org/Mus_musculus/Gene/Summary?db=core;g=ENSMUSG00000028969","ENSMUSG00000028969")</f>
        <v>ENSMUSG00000028969</v>
      </c>
      <c r="I4529" s="7" t="str">
        <f>HYPERLINK("http://www.informatics.jax.org/marker/MGI:101765","MGI:101765")</f>
        <v>MGI:101765</v>
      </c>
      <c r="J4529" s="4" t="s">
        <v>12</v>
      </c>
    </row>
    <row r="4530" spans="1:10" x14ac:dyDescent="0.25">
      <c r="A4530" s="2">
        <v>2054.5673341492002</v>
      </c>
      <c r="B4530" s="3">
        <v>-0.26976130709106499</v>
      </c>
      <c r="C4530" s="5">
        <v>3.8087683667055603E-8</v>
      </c>
      <c r="D4530" s="6">
        <v>2.4773306025413597E-7</v>
      </c>
      <c r="E4530" s="3" t="s">
        <v>3316</v>
      </c>
      <c r="F4530" s="3" t="s">
        <v>3317</v>
      </c>
      <c r="G4530" s="3">
        <v>109168</v>
      </c>
      <c r="H4530" s="7" t="str">
        <f>HYPERLINK("http://www.ensembl.org/Mus_musculus/Gene/Summary?db=core;g=ENSMUSG00000024759","ENSMUSG00000024759")</f>
        <v>ENSMUSG00000024759</v>
      </c>
      <c r="I4530" s="7" t="str">
        <f>HYPERLINK("http://www.informatics.jax.org/marker/MGI:1924270","MGI:1924270")</f>
        <v>MGI:1924270</v>
      </c>
      <c r="J4530" s="4" t="s">
        <v>12</v>
      </c>
    </row>
    <row r="4531" spans="1:10" x14ac:dyDescent="0.25">
      <c r="A4531" s="2">
        <v>1576.8611963337701</v>
      </c>
      <c r="B4531" s="3">
        <v>-0.27031754889923298</v>
      </c>
      <c r="C4531" s="5">
        <v>2.79427333309078E-7</v>
      </c>
      <c r="D4531" s="6">
        <v>1.6669601144215899E-6</v>
      </c>
      <c r="E4531" s="3" t="s">
        <v>4799</v>
      </c>
      <c r="F4531" s="3" t="s">
        <v>4800</v>
      </c>
      <c r="G4531" s="3">
        <v>213990</v>
      </c>
      <c r="H4531" s="7" t="str">
        <f>HYPERLINK("http://www.ensembl.org/Mus_musculus/Gene/Summary?db=core;g=ENSMUSG00000023353","ENSMUSG00000023353")</f>
        <v>ENSMUSG00000023353</v>
      </c>
      <c r="I4531" s="7" t="str">
        <f>HYPERLINK("http://www.informatics.jax.org/marker/MGI:2183446","MGI:2183446")</f>
        <v>MGI:2183446</v>
      </c>
      <c r="J4531" s="4" t="s">
        <v>12</v>
      </c>
    </row>
    <row r="4532" spans="1:10" x14ac:dyDescent="0.25">
      <c r="A4532" s="2">
        <v>125.54349415681401</v>
      </c>
      <c r="B4532" s="3">
        <v>-0.27032929404117501</v>
      </c>
      <c r="C4532" s="3">
        <v>2.0289081010963099E-2</v>
      </c>
      <c r="D4532" s="4">
        <v>5.2219813786866701E-2</v>
      </c>
      <c r="E4532" s="3" t="s">
        <v>12527</v>
      </c>
      <c r="F4532" s="3" t="s">
        <v>12528</v>
      </c>
      <c r="G4532" s="3">
        <v>65257</v>
      </c>
      <c r="H4532" s="7" t="str">
        <f>HYPERLINK("http://www.ensembl.org/Mus_musculus/Gene/Summary?db=core;g=ENSMUSG00000020305","ENSMUSG00000020305")</f>
        <v>ENSMUSG00000020305</v>
      </c>
      <c r="I4532" s="7" t="str">
        <f>HYPERLINK("http://www.informatics.jax.org/marker/MGI:1929749","MGI:1929749")</f>
        <v>MGI:1929749</v>
      </c>
      <c r="J4532" s="4" t="s">
        <v>12</v>
      </c>
    </row>
    <row r="4533" spans="1:10" x14ac:dyDescent="0.25">
      <c r="A4533" s="2">
        <v>2589.10634264379</v>
      </c>
      <c r="B4533" s="3">
        <v>-0.27051878965824899</v>
      </c>
      <c r="C4533" s="5">
        <v>3.4971372879479302E-5</v>
      </c>
      <c r="D4533" s="4">
        <v>1.57060934137139E-4</v>
      </c>
      <c r="E4533" s="3" t="s">
        <v>6153</v>
      </c>
      <c r="F4533" s="3" t="s">
        <v>6154</v>
      </c>
      <c r="G4533" s="3">
        <v>237823</v>
      </c>
      <c r="H4533" s="7" t="str">
        <f>HYPERLINK("http://www.ensembl.org/Mus_musculus/Gene/Summary?db=core;g=ENSMUSG00000020899","ENSMUSG00000020899")</f>
        <v>ENSMUSG00000020899</v>
      </c>
      <c r="I4533" s="7" t="str">
        <f>HYPERLINK("http://www.informatics.jax.org/marker/MGI:2684864","MGI:2684864")</f>
        <v>MGI:2684864</v>
      </c>
      <c r="J4533" s="4" t="s">
        <v>12</v>
      </c>
    </row>
    <row r="4534" spans="1:10" x14ac:dyDescent="0.25">
      <c r="A4534" s="2">
        <v>224.78534651136999</v>
      </c>
      <c r="B4534" s="3">
        <v>-0.27126693718133799</v>
      </c>
      <c r="C4534" s="3">
        <v>2.71294689332785E-3</v>
      </c>
      <c r="D4534" s="4">
        <v>8.7048340019190203E-3</v>
      </c>
      <c r="E4534" s="3" t="s">
        <v>11111</v>
      </c>
      <c r="F4534" s="3" t="s">
        <v>11112</v>
      </c>
      <c r="G4534" s="3">
        <v>66343</v>
      </c>
      <c r="H4534" s="7" t="str">
        <f>HYPERLINK("http://www.ensembl.org/Mus_musculus/Gene/Summary?db=core;g=ENSMUSG00000036975","ENSMUSG00000036975")</f>
        <v>ENSMUSG00000036975</v>
      </c>
      <c r="I4534" s="7" t="str">
        <f>HYPERLINK("http://www.informatics.jax.org/marker/MGI:1913593","MGI:1913593")</f>
        <v>MGI:1913593</v>
      </c>
      <c r="J4534" s="4" t="s">
        <v>12</v>
      </c>
    </row>
    <row r="4535" spans="1:10" x14ac:dyDescent="0.25">
      <c r="A4535" s="2">
        <v>123.20627497792501</v>
      </c>
      <c r="B4535" s="3">
        <v>-0.27137548400821698</v>
      </c>
      <c r="C4535" s="3">
        <v>1.2449933143093899E-2</v>
      </c>
      <c r="D4535" s="4">
        <v>3.40486241796049E-2</v>
      </c>
      <c r="E4535" s="3" t="s">
        <v>6673</v>
      </c>
      <c r="F4535" s="3" t="s">
        <v>6674</v>
      </c>
      <c r="G4535" s="3">
        <v>230577</v>
      </c>
      <c r="H4535" s="7" t="str">
        <f>HYPERLINK("http://www.ensembl.org/Mus_musculus/Gene/Summary?db=core;g=ENSMUSG00000043572","ENSMUSG00000043572")</f>
        <v>ENSMUSG00000043572</v>
      </c>
      <c r="I4535" s="7" t="str">
        <f>HYPERLINK("http://www.informatics.jax.org/marker/MGI:2386296","MGI:2386296")</f>
        <v>MGI:2386296</v>
      </c>
      <c r="J4535" s="4" t="s">
        <v>12</v>
      </c>
    </row>
    <row r="4536" spans="1:10" x14ac:dyDescent="0.25">
      <c r="A4536" s="2">
        <v>498.786174089734</v>
      </c>
      <c r="B4536" s="3">
        <v>-0.27138677362302999</v>
      </c>
      <c r="C4536" s="3">
        <v>2.3115309939409999E-4</v>
      </c>
      <c r="D4536" s="4">
        <v>9.0831505745094096E-4</v>
      </c>
      <c r="E4536" s="3" t="s">
        <v>7628</v>
      </c>
      <c r="F4536" s="3" t="s">
        <v>7629</v>
      </c>
      <c r="G4536" s="3">
        <v>29858</v>
      </c>
      <c r="H4536" s="7" t="str">
        <f>HYPERLINK("http://www.ensembl.org/Mus_musculus/Gene/Summary?db=core;g=ENSMUSG00000022474","ENSMUSG00000022474")</f>
        <v>ENSMUSG00000022474</v>
      </c>
      <c r="I4536" s="7" t="str">
        <f>HYPERLINK("http://www.informatics.jax.org/marker/MGI:1353418","MGI:1353418")</f>
        <v>MGI:1353418</v>
      </c>
      <c r="J4536" s="4" t="s">
        <v>12</v>
      </c>
    </row>
    <row r="4537" spans="1:10" x14ac:dyDescent="0.25">
      <c r="A4537" s="2">
        <v>1626.2102931720201</v>
      </c>
      <c r="B4537" s="3">
        <v>-0.27146803914926498</v>
      </c>
      <c r="C4537" s="5">
        <v>1.27740127645243E-6</v>
      </c>
      <c r="D4537" s="6">
        <v>7.0313011970237304E-6</v>
      </c>
      <c r="E4537" s="3" t="s">
        <v>5485</v>
      </c>
      <c r="F4537" s="3" t="s">
        <v>5486</v>
      </c>
      <c r="G4537" s="3">
        <v>74158</v>
      </c>
      <c r="H4537" s="7" t="str">
        <f>HYPERLINK("http://www.ensembl.org/Mus_musculus/Gene/Summary?db=core;g=ENSMUSG00000022426","ENSMUSG00000022426")</f>
        <v>ENSMUSG00000022426</v>
      </c>
      <c r="I4537" s="7" t="str">
        <f>HYPERLINK("http://www.informatics.jax.org/marker/MGI:1921408","MGI:1921408")</f>
        <v>MGI:1921408</v>
      </c>
      <c r="J4537" s="4" t="s">
        <v>12</v>
      </c>
    </row>
    <row r="4538" spans="1:10" x14ac:dyDescent="0.25">
      <c r="A4538" s="2">
        <v>1418.1267954935199</v>
      </c>
      <c r="B4538" s="3">
        <v>-0.271720682251333</v>
      </c>
      <c r="C4538" s="5">
        <v>2.7950830721337299E-5</v>
      </c>
      <c r="D4538" s="4">
        <v>1.2767199693140401E-4</v>
      </c>
      <c r="E4538" s="3" t="s">
        <v>12035</v>
      </c>
      <c r="F4538" s="3" t="s">
        <v>12036</v>
      </c>
      <c r="G4538" s="3">
        <v>140488</v>
      </c>
      <c r="H4538" s="7" t="str">
        <f>HYPERLINK("http://www.ensembl.org/Mus_musculus/Gene/Summary?db=core;g=ENSMUSG00000029814","ENSMUSG00000029814")</f>
        <v>ENSMUSG00000029814</v>
      </c>
      <c r="I4538" s="7" t="str">
        <f>HYPERLINK("http://www.informatics.jax.org/marker/MGI:1890359","MGI:1890359")</f>
        <v>MGI:1890359</v>
      </c>
      <c r="J4538" s="4" t="s">
        <v>12</v>
      </c>
    </row>
    <row r="4539" spans="1:10" x14ac:dyDescent="0.25">
      <c r="A4539" s="2">
        <v>1029.68179459253</v>
      </c>
      <c r="B4539" s="3">
        <v>-0.27180596069005702</v>
      </c>
      <c r="C4539" s="5">
        <v>5.5302794534521705E-7</v>
      </c>
      <c r="D4539" s="6">
        <v>3.1635073144747602E-6</v>
      </c>
      <c r="E4539" s="3" t="s">
        <v>10002</v>
      </c>
      <c r="F4539" s="3" t="s">
        <v>10003</v>
      </c>
      <c r="G4539" s="3">
        <v>71778</v>
      </c>
      <c r="H4539" s="7" t="str">
        <f>HYPERLINK("http://www.ensembl.org/Mus_musculus/Gene/Summary?db=core;g=ENSMUSG00000054920","ENSMUSG00000054920")</f>
        <v>ENSMUSG00000054920</v>
      </c>
      <c r="I4539" s="7" t="str">
        <f>HYPERLINK("http://www.informatics.jax.org/marker/MGI:1919028","MGI:1919028")</f>
        <v>MGI:1919028</v>
      </c>
      <c r="J4539" s="4" t="s">
        <v>12</v>
      </c>
    </row>
    <row r="4540" spans="1:10" x14ac:dyDescent="0.25">
      <c r="A4540" s="2">
        <v>1060.98108522491</v>
      </c>
      <c r="B4540" s="3">
        <v>-0.27221919871092398</v>
      </c>
      <c r="C4540" s="3">
        <v>1.10283368396655E-3</v>
      </c>
      <c r="D4540" s="4">
        <v>3.8555810263361601E-3</v>
      </c>
      <c r="E4540" s="3" t="s">
        <v>12360</v>
      </c>
      <c r="F4540" s="3" t="s">
        <v>12361</v>
      </c>
      <c r="G4540" s="3">
        <v>78797</v>
      </c>
      <c r="H4540" s="7" t="str">
        <f>HYPERLINK("http://www.ensembl.org/Mus_musculus/Gene/Summary?db=core;g=ENSMUSG00000115074","ENSMUSG00000115074")</f>
        <v>ENSMUSG00000115074</v>
      </c>
      <c r="I4540" s="7" t="str">
        <f>HYPERLINK("http://www.informatics.jax.org/marker/MGI:1926047","MGI:1926047")</f>
        <v>MGI:1926047</v>
      </c>
      <c r="J4540" s="4" t="s">
        <v>12</v>
      </c>
    </row>
    <row r="4541" spans="1:10" x14ac:dyDescent="0.25">
      <c r="A4541" s="2">
        <v>371.68178301921603</v>
      </c>
      <c r="B4541" s="3">
        <v>-0.27246073987276798</v>
      </c>
      <c r="C4541" s="3">
        <v>4.6711569449680301E-3</v>
      </c>
      <c r="D4541" s="4">
        <v>1.4139152187683499E-2</v>
      </c>
      <c r="E4541" s="3" t="s">
        <v>12175</v>
      </c>
      <c r="F4541" s="3" t="s">
        <v>12176</v>
      </c>
      <c r="G4541" s="3">
        <v>71169</v>
      </c>
      <c r="H4541" s="7" t="str">
        <f>HYPERLINK("http://www.ensembl.org/Mus_musculus/Gene/Summary?db=core;g=ENSMUSG00000020576","ENSMUSG00000020576")</f>
        <v>ENSMUSG00000020576</v>
      </c>
      <c r="I4541" s="7" t="str">
        <f>HYPERLINK("http://www.informatics.jax.org/marker/MGI:1918419","MGI:1918419")</f>
        <v>MGI:1918419</v>
      </c>
      <c r="J4541" s="4" t="s">
        <v>12</v>
      </c>
    </row>
    <row r="4542" spans="1:10" x14ac:dyDescent="0.25">
      <c r="A4542" s="2">
        <v>275.74784032061001</v>
      </c>
      <c r="B4542" s="3">
        <v>-0.27281035642248602</v>
      </c>
      <c r="C4542" s="3">
        <v>2.0491442299285902E-3</v>
      </c>
      <c r="D4542" s="4">
        <v>6.76184204063888E-3</v>
      </c>
      <c r="E4542" s="3" t="s">
        <v>9725</v>
      </c>
      <c r="F4542" s="3" t="s">
        <v>9726</v>
      </c>
      <c r="G4542" s="3">
        <v>70235</v>
      </c>
      <c r="H4542" s="7" t="str">
        <f>HYPERLINK("http://www.ensembl.org/Mus_musculus/Gene/Summary?db=core;g=ENSMUSG00000023345","ENSMUSG00000023345")</f>
        <v>ENSMUSG00000023345</v>
      </c>
      <c r="I4542" s="7" t="str">
        <f>HYPERLINK("http://www.informatics.jax.org/marker/MGI:1917485","MGI:1917485")</f>
        <v>MGI:1917485</v>
      </c>
      <c r="J4542" s="4" t="s">
        <v>12</v>
      </c>
    </row>
    <row r="4543" spans="1:10" x14ac:dyDescent="0.25">
      <c r="A4543" s="2">
        <v>131.59516730171799</v>
      </c>
      <c r="B4543" s="3">
        <v>-0.27283698613989898</v>
      </c>
      <c r="C4543" s="3">
        <v>1.1029053382716101E-2</v>
      </c>
      <c r="D4543" s="4">
        <v>3.06129299268964E-2</v>
      </c>
      <c r="E4543" s="3" t="s">
        <v>13995</v>
      </c>
      <c r="F4543" s="3" t="s">
        <v>13996</v>
      </c>
      <c r="G4543" s="3">
        <v>67694</v>
      </c>
      <c r="H4543" s="7" t="str">
        <f>HYPERLINK("http://www.ensembl.org/Mus_musculus/Gene/Summary?db=core;g=ENSMUSG00000028576","ENSMUSG00000028576")</f>
        <v>ENSMUSG00000028576</v>
      </c>
      <c r="I4543" s="7" t="str">
        <f>HYPERLINK("http://www.informatics.jax.org/marker/MGI:1914944","MGI:1914944")</f>
        <v>MGI:1914944</v>
      </c>
      <c r="J4543" s="4" t="s">
        <v>12</v>
      </c>
    </row>
    <row r="4544" spans="1:10" x14ac:dyDescent="0.25">
      <c r="A4544" s="2">
        <v>1874.0020601881999</v>
      </c>
      <c r="B4544" s="3">
        <v>-0.27325032774959501</v>
      </c>
      <c r="C4544" s="5">
        <v>2.7041976890931701E-11</v>
      </c>
      <c r="D4544" s="6">
        <v>2.4230089913334799E-10</v>
      </c>
      <c r="E4544" s="3" t="s">
        <v>6844</v>
      </c>
      <c r="F4544" s="3" t="s">
        <v>6845</v>
      </c>
      <c r="G4544" s="3">
        <v>108888</v>
      </c>
      <c r="H4544" s="7" t="str">
        <f>HYPERLINK("http://www.ensembl.org/Mus_musculus/Gene/Summary?db=core;g=ENSMUSG00000029036","ENSMUSG00000029036")</f>
        <v>ENSMUSG00000029036</v>
      </c>
      <c r="I4544" s="7" t="str">
        <f>HYPERLINK("http://www.informatics.jax.org/marker/MGI:1919214","MGI:1919214")</f>
        <v>MGI:1919214</v>
      </c>
      <c r="J4544" s="4" t="s">
        <v>12</v>
      </c>
    </row>
    <row r="4545" spans="1:10" x14ac:dyDescent="0.25">
      <c r="A4545" s="2">
        <v>164.239185836053</v>
      </c>
      <c r="B4545" s="3">
        <v>-0.27356150150292902</v>
      </c>
      <c r="C4545" s="3">
        <v>8.40868187960939E-3</v>
      </c>
      <c r="D4545" s="4">
        <v>2.40313983465393E-2</v>
      </c>
      <c r="E4545" s="3" t="s">
        <v>12721</v>
      </c>
      <c r="F4545" s="3" t="s">
        <v>12722</v>
      </c>
      <c r="G4545" s="3" t="s">
        <v>83</v>
      </c>
      <c r="H4545" s="7" t="str">
        <f>HYPERLINK("http://www.ensembl.org/Mus_musculus/Gene/Summary?db=core;g=ENSMUSG00000051319","ENSMUSG00000051319")</f>
        <v>ENSMUSG00000051319</v>
      </c>
      <c r="I4545" s="7" t="str">
        <f>HYPERLINK("http://www.informatics.jax.org/marker/MGI:1915135","MGI:1915135")</f>
        <v>MGI:1915135</v>
      </c>
      <c r="J4545" s="4" t="s">
        <v>12</v>
      </c>
    </row>
    <row r="4546" spans="1:10" x14ac:dyDescent="0.25">
      <c r="A4546" s="2">
        <v>520.28383025913899</v>
      </c>
      <c r="B4546" s="3">
        <v>-0.27368302301795899</v>
      </c>
      <c r="C4546" s="3">
        <v>4.8246771170382596E-3</v>
      </c>
      <c r="D4546" s="4">
        <v>1.45482694338223E-2</v>
      </c>
      <c r="E4546" s="3" t="s">
        <v>13217</v>
      </c>
      <c r="F4546" s="3" t="s">
        <v>13218</v>
      </c>
      <c r="G4546" s="3">
        <v>231050</v>
      </c>
      <c r="H4546" s="7" t="str">
        <f>HYPERLINK("http://www.ensembl.org/Mus_musculus/Gene/Summary?db=core;g=ENSMUSG00000038072","ENSMUSG00000038072")</f>
        <v>ENSMUSG00000038072</v>
      </c>
      <c r="I4546" s="7" t="str">
        <f>HYPERLINK("http://www.informatics.jax.org/marker/MGI:2444392","MGI:2444392")</f>
        <v>MGI:2444392</v>
      </c>
      <c r="J4546" s="4" t="s">
        <v>12</v>
      </c>
    </row>
    <row r="4547" spans="1:10" x14ac:dyDescent="0.25">
      <c r="A4547" s="2">
        <v>454.72085981824699</v>
      </c>
      <c r="B4547" s="3">
        <v>-0.273705848349449</v>
      </c>
      <c r="C4547" s="5">
        <v>1.6785277175271998E-5</v>
      </c>
      <c r="D4547" s="6">
        <v>7.93751106692611E-5</v>
      </c>
      <c r="E4547" s="3" t="s">
        <v>5001</v>
      </c>
      <c r="F4547" s="3" t="s">
        <v>5002</v>
      </c>
      <c r="G4547" s="3">
        <v>223664</v>
      </c>
      <c r="H4547" s="7" t="str">
        <f>HYPERLINK("http://www.ensembl.org/Mus_musculus/Gene/Summary?db=core;g=ENSMUSG00000033728","ENSMUSG00000033728")</f>
        <v>ENSMUSG00000033728</v>
      </c>
      <c r="I4547" s="7" t="str">
        <f>HYPERLINK("http://www.informatics.jax.org/marker/MGI:2445060","MGI:2445060")</f>
        <v>MGI:2445060</v>
      </c>
      <c r="J4547" s="4" t="s">
        <v>12</v>
      </c>
    </row>
    <row r="4548" spans="1:10" x14ac:dyDescent="0.25">
      <c r="A4548" s="2">
        <v>820.32393536956704</v>
      </c>
      <c r="B4548" s="3">
        <v>-0.273727393947297</v>
      </c>
      <c r="C4548" s="3">
        <v>2.2411578913644099E-2</v>
      </c>
      <c r="D4548" s="4">
        <v>5.6942844793135799E-2</v>
      </c>
      <c r="E4548" s="3" t="s">
        <v>8825</v>
      </c>
      <c r="F4548" s="3" t="s">
        <v>8826</v>
      </c>
      <c r="G4548" s="3">
        <v>18986</v>
      </c>
      <c r="H4548" s="7" t="str">
        <f>HYPERLINK("http://www.ensembl.org/Mus_musculus/Gene/Summary?db=core;g=ENSMUSG00000026565","ENSMUSG00000026565")</f>
        <v>ENSMUSG00000026565</v>
      </c>
      <c r="I4548" s="7" t="str">
        <f>HYPERLINK("http://www.informatics.jax.org/marker/MGI:101898","MGI:101898")</f>
        <v>MGI:101898</v>
      </c>
      <c r="J4548" s="4" t="s">
        <v>12</v>
      </c>
    </row>
    <row r="4549" spans="1:10" x14ac:dyDescent="0.25">
      <c r="A4549" s="2">
        <v>2050.0102397724399</v>
      </c>
      <c r="B4549" s="3">
        <v>-0.27416433506832799</v>
      </c>
      <c r="C4549" s="5">
        <v>7.9025350261635693E-9</v>
      </c>
      <c r="D4549" s="6">
        <v>5.5693619818960201E-8</v>
      </c>
      <c r="E4549" s="3" t="s">
        <v>5245</v>
      </c>
      <c r="F4549" s="3" t="s">
        <v>5246</v>
      </c>
      <c r="G4549" s="3">
        <v>231327</v>
      </c>
      <c r="H4549" s="7" t="str">
        <f>HYPERLINK("http://www.ensembl.org/Mus_musculus/Gene/Summary?db=core;g=ENSMUSG00000029246","ENSMUSG00000029246")</f>
        <v>ENSMUSG00000029246</v>
      </c>
      <c r="I4549" s="7" t="str">
        <f>HYPERLINK("http://www.informatics.jax.org/marker/MGI:2387203","MGI:2387203")</f>
        <v>MGI:2387203</v>
      </c>
      <c r="J4549" s="4" t="s">
        <v>12</v>
      </c>
    </row>
    <row r="4550" spans="1:10" x14ac:dyDescent="0.25">
      <c r="A4550" s="2">
        <v>2215.24988092994</v>
      </c>
      <c r="B4550" s="3">
        <v>-0.27426396871609998</v>
      </c>
      <c r="C4550" s="5">
        <v>2.6126115265267297E-7</v>
      </c>
      <c r="D4550" s="6">
        <v>1.5631925499326901E-6</v>
      </c>
      <c r="E4550" s="3" t="s">
        <v>7852</v>
      </c>
      <c r="F4550" s="3" t="s">
        <v>7853</v>
      </c>
      <c r="G4550" s="3">
        <v>77980</v>
      </c>
      <c r="H4550" s="7" t="str">
        <f>HYPERLINK("http://www.ensembl.org/Mus_musculus/Gene/Summary?db=core;g=ENSMUSG00000036529","ENSMUSG00000036529")</f>
        <v>ENSMUSG00000036529</v>
      </c>
      <c r="I4550" s="7" t="str">
        <f>HYPERLINK("http://www.informatics.jax.org/marker/MGI:1925230","MGI:1925230")</f>
        <v>MGI:1925230</v>
      </c>
      <c r="J4550" s="4" t="s">
        <v>12</v>
      </c>
    </row>
    <row r="4551" spans="1:10" x14ac:dyDescent="0.25">
      <c r="A4551" s="2">
        <v>3764.1422585002101</v>
      </c>
      <c r="B4551" s="3">
        <v>-0.27458428265397</v>
      </c>
      <c r="C4551" s="5">
        <v>3.6494740635639901E-6</v>
      </c>
      <c r="D4551" s="6">
        <v>1.8943795160482399E-5</v>
      </c>
      <c r="E4551" s="3" t="s">
        <v>4655</v>
      </c>
      <c r="F4551" s="3" t="s">
        <v>4656</v>
      </c>
      <c r="G4551" s="3">
        <v>71722</v>
      </c>
      <c r="H4551" s="7" t="str">
        <f>HYPERLINK("http://www.ensembl.org/Mus_musculus/Gene/Summary?db=core;g=ENSMUSG00000005442","ENSMUSG00000005442")</f>
        <v>ENSMUSG00000005442</v>
      </c>
      <c r="I4551" s="7" t="str">
        <f>HYPERLINK("http://www.informatics.jax.org/marker/MGI:1918972","MGI:1918972")</f>
        <v>MGI:1918972</v>
      </c>
      <c r="J4551" s="4" t="s">
        <v>12</v>
      </c>
    </row>
    <row r="4552" spans="1:10" x14ac:dyDescent="0.25">
      <c r="A4552" s="2">
        <v>122.2052621963</v>
      </c>
      <c r="B4552" s="3">
        <v>-0.27494952463126299</v>
      </c>
      <c r="C4552" s="3">
        <v>1.63943478820269E-2</v>
      </c>
      <c r="D4552" s="4">
        <v>4.3440969780450797E-2</v>
      </c>
      <c r="E4552" s="3" t="s">
        <v>12043</v>
      </c>
      <c r="F4552" s="3" t="s">
        <v>12044</v>
      </c>
      <c r="G4552" s="3">
        <v>109346</v>
      </c>
      <c r="H4552" s="7" t="str">
        <f>HYPERLINK("http://www.ensembl.org/Mus_musculus/Gene/Summary?db=core;g=ENSMUSG00000079610","ENSMUSG00000079610")</f>
        <v>ENSMUSG00000079610</v>
      </c>
      <c r="I4552" s="7" t="str">
        <f>HYPERLINK("http://www.informatics.jax.org/marker/MGI:1914816","MGI:1914816")</f>
        <v>MGI:1914816</v>
      </c>
      <c r="J4552" s="4" t="s">
        <v>12</v>
      </c>
    </row>
    <row r="4553" spans="1:10" x14ac:dyDescent="0.25">
      <c r="A4553" s="2">
        <v>358.07688131305298</v>
      </c>
      <c r="B4553" s="3">
        <v>-0.27552258006869002</v>
      </c>
      <c r="C4553" s="3">
        <v>2.14563136396067E-3</v>
      </c>
      <c r="D4553" s="4">
        <v>7.0534147922408303E-3</v>
      </c>
      <c r="E4553" s="3" t="s">
        <v>12791</v>
      </c>
      <c r="F4553" s="3" t="s">
        <v>12792</v>
      </c>
      <c r="G4553" s="3">
        <v>71883</v>
      </c>
      <c r="H4553" s="7" t="str">
        <f>HYPERLINK("http://www.ensembl.org/Mus_musculus/Gene/Summary?db=core;g=ENSMUSG00000029319","ENSMUSG00000029319")</f>
        <v>ENSMUSG00000029319</v>
      </c>
      <c r="I4553" s="7" t="str">
        <f>HYPERLINK("http://www.informatics.jax.org/marker/MGI:1919133","MGI:1919133")</f>
        <v>MGI:1919133</v>
      </c>
      <c r="J4553" s="4" t="s">
        <v>12</v>
      </c>
    </row>
    <row r="4554" spans="1:10" x14ac:dyDescent="0.25">
      <c r="A4554" s="2">
        <v>207.31696731926399</v>
      </c>
      <c r="B4554" s="3">
        <v>-0.27571023583015702</v>
      </c>
      <c r="C4554" s="3">
        <v>7.4876989053918102E-3</v>
      </c>
      <c r="D4554" s="4">
        <v>2.1671162863389801E-2</v>
      </c>
      <c r="E4554" s="3" t="s">
        <v>8463</v>
      </c>
      <c r="F4554" s="3" t="s">
        <v>8464</v>
      </c>
      <c r="G4554" s="3">
        <v>73132</v>
      </c>
      <c r="H4554" s="7" t="str">
        <f>HYPERLINK("http://www.ensembl.org/Mus_musculus/Gene/Summary?db=core;g=ENSMUSG00000071253","ENSMUSG00000071253")</f>
        <v>ENSMUSG00000071253</v>
      </c>
      <c r="I4554" s="7" t="str">
        <f>HYPERLINK("http://www.informatics.jax.org/marker/MGI:1920382","MGI:1920382")</f>
        <v>MGI:1920382</v>
      </c>
      <c r="J4554" s="4" t="s">
        <v>12</v>
      </c>
    </row>
    <row r="4555" spans="1:10" x14ac:dyDescent="0.25">
      <c r="A4555" s="2">
        <v>20.7790524211015</v>
      </c>
      <c r="B4555" s="3">
        <v>-0.27582968646943201</v>
      </c>
      <c r="C4555" s="3">
        <v>0.25339701830199302</v>
      </c>
      <c r="D4555" s="4">
        <v>0.41922300822020803</v>
      </c>
      <c r="E4555" s="3" t="s">
        <v>11923</v>
      </c>
      <c r="F4555" s="3" t="s">
        <v>11924</v>
      </c>
      <c r="G4555" s="3">
        <v>240816</v>
      </c>
      <c r="H4555" s="7" t="str">
        <f>HYPERLINK("http://www.ensembl.org/Mus_musculus/Gene/Summary?db=core;g=ENSMUSG00000042641","ENSMUSG00000042641")</f>
        <v>ENSMUSG00000042641</v>
      </c>
      <c r="I4555" s="7" t="str">
        <f>HYPERLINK("http://www.informatics.jax.org/marker/MGI:2685048","MGI:2685048")</f>
        <v>MGI:2685048</v>
      </c>
      <c r="J4555" s="4" t="s">
        <v>12</v>
      </c>
    </row>
    <row r="4556" spans="1:10" x14ac:dyDescent="0.25">
      <c r="A4556" s="2">
        <v>217.27013197836001</v>
      </c>
      <c r="B4556" s="3">
        <v>-0.27583941250864802</v>
      </c>
      <c r="C4556" s="3">
        <v>3.9451844263645097E-3</v>
      </c>
      <c r="D4556" s="4">
        <v>1.2165987507697699E-2</v>
      </c>
      <c r="E4556" s="3" t="s">
        <v>10940</v>
      </c>
      <c r="F4556" s="3" t="s">
        <v>10941</v>
      </c>
      <c r="G4556" s="3">
        <v>56703</v>
      </c>
      <c r="H4556" s="7" t="str">
        <f>HYPERLINK("http://www.ensembl.org/Mus_musculus/Gene/Summary?db=core;g=ENSMUSG00000028454","ENSMUSG00000028454")</f>
        <v>ENSMUSG00000028454</v>
      </c>
      <c r="I4556" s="7" t="str">
        <f>HYPERLINK("http://www.informatics.jax.org/marker/MGI:1861452","MGI:1861452")</f>
        <v>MGI:1861452</v>
      </c>
      <c r="J4556" s="4" t="s">
        <v>12</v>
      </c>
    </row>
    <row r="4557" spans="1:10" x14ac:dyDescent="0.25">
      <c r="A4557" s="2">
        <v>573.36730028729698</v>
      </c>
      <c r="B4557" s="3">
        <v>-0.27587821654595901</v>
      </c>
      <c r="C4557" s="3">
        <v>1.9261236739390899E-3</v>
      </c>
      <c r="D4557" s="4">
        <v>6.39992779535822E-3</v>
      </c>
      <c r="E4557" s="3" t="s">
        <v>11092</v>
      </c>
      <c r="F4557" s="3" t="s">
        <v>11093</v>
      </c>
      <c r="G4557" s="3">
        <v>208968</v>
      </c>
      <c r="H4557" s="7" t="str">
        <f>HYPERLINK("http://www.ensembl.org/Mus_musculus/Gene/Summary?db=core;g=ENSMUSG00000036916","ENSMUSG00000036916")</f>
        <v>ENSMUSG00000036916</v>
      </c>
      <c r="I4557" s="7" t="str">
        <f>HYPERLINK("http://www.informatics.jax.org/marker/MGI:2387585","MGI:2387585")</f>
        <v>MGI:2387585</v>
      </c>
      <c r="J4557" s="4" t="s">
        <v>12</v>
      </c>
    </row>
    <row r="4558" spans="1:10" x14ac:dyDescent="0.25">
      <c r="A4558" s="2">
        <v>234.66054095611699</v>
      </c>
      <c r="B4558" s="3">
        <v>-0.27615995001685201</v>
      </c>
      <c r="C4558" s="3">
        <v>2.5659381030164901E-3</v>
      </c>
      <c r="D4558" s="4">
        <v>8.2797843356012101E-3</v>
      </c>
      <c r="E4558" s="3" t="s">
        <v>6760</v>
      </c>
      <c r="F4558" s="3" t="s">
        <v>6761</v>
      </c>
      <c r="G4558" s="3">
        <v>79043</v>
      </c>
      <c r="H4558" s="7" t="str">
        <f>HYPERLINK("http://www.ensembl.org/Mus_musculus/Gene/Summary?db=core;g=ENSMUSG00000024160","ENSMUSG00000024160")</f>
        <v>ENSMUSG00000024160</v>
      </c>
      <c r="I4558" s="7" t="str">
        <f>HYPERLINK("http://www.informatics.jax.org/marker/MGI:1891471","MGI:1891471")</f>
        <v>MGI:1891471</v>
      </c>
      <c r="J4558" s="4" t="s">
        <v>12</v>
      </c>
    </row>
    <row r="4559" spans="1:10" x14ac:dyDescent="0.25">
      <c r="A4559" s="2">
        <v>478.28078517027399</v>
      </c>
      <c r="B4559" s="3">
        <v>-0.27629651792503301</v>
      </c>
      <c r="C4559" s="3">
        <v>2.18621613634001E-3</v>
      </c>
      <c r="D4559" s="4">
        <v>7.1764749792501198E-3</v>
      </c>
      <c r="E4559" s="3" t="s">
        <v>10264</v>
      </c>
      <c r="F4559" s="3" t="s">
        <v>10265</v>
      </c>
      <c r="G4559" s="3">
        <v>53881</v>
      </c>
      <c r="H4559" s="7" t="str">
        <f>HYPERLINK("http://www.ensembl.org/Mus_musculus/Gene/Summary?db=core;g=ENSMUSG00000089774","ENSMUSG00000089774")</f>
        <v>ENSMUSG00000089774</v>
      </c>
      <c r="I4559" s="7" t="str">
        <f>HYPERLINK("http://www.informatics.jax.org/marker/MGI:1858226","MGI:1858226")</f>
        <v>MGI:1858226</v>
      </c>
      <c r="J4559" s="4" t="s">
        <v>12</v>
      </c>
    </row>
    <row r="4560" spans="1:10" x14ac:dyDescent="0.25">
      <c r="A4560" s="2">
        <v>476.00586306715797</v>
      </c>
      <c r="B4560" s="3">
        <v>-0.27652381772762302</v>
      </c>
      <c r="C4560" s="5">
        <v>4.27795063202327E-5</v>
      </c>
      <c r="D4560" s="4">
        <v>1.8951300502825501E-4</v>
      </c>
      <c r="E4560" s="3" t="s">
        <v>5089</v>
      </c>
      <c r="F4560" s="3" t="s">
        <v>5090</v>
      </c>
      <c r="G4560" s="3">
        <v>16886</v>
      </c>
      <c r="H4560" s="7" t="str">
        <f>HYPERLINK("http://www.ensembl.org/Mus_musculus/Gene/Summary?db=core;g=ENSMUSG00000020451","ENSMUSG00000020451")</f>
        <v>ENSMUSG00000020451</v>
      </c>
      <c r="I4560" s="7" t="str">
        <f>HYPERLINK("http://www.informatics.jax.org/marker/MGI:1197517","MGI:1197517")</f>
        <v>MGI:1197517</v>
      </c>
      <c r="J4560" s="4" t="s">
        <v>12</v>
      </c>
    </row>
    <row r="4561" spans="1:10" x14ac:dyDescent="0.25">
      <c r="A4561" s="2">
        <v>1599.89189281424</v>
      </c>
      <c r="B4561" s="3">
        <v>-0.27657198170494501</v>
      </c>
      <c r="C4561" s="3">
        <v>6.4557143914691596E-3</v>
      </c>
      <c r="D4561" s="4">
        <v>1.89339225594666E-2</v>
      </c>
      <c r="E4561" s="3" t="s">
        <v>8213</v>
      </c>
      <c r="F4561" s="3" t="s">
        <v>8214</v>
      </c>
      <c r="G4561" s="3">
        <v>213054</v>
      </c>
      <c r="H4561" s="7" t="str">
        <f>HYPERLINK("http://www.ensembl.org/Mus_musculus/Gene/Summary?db=core;g=ENSMUSG00000038766","ENSMUSG00000038766")</f>
        <v>ENSMUSG00000038766</v>
      </c>
      <c r="I4561" s="7" t="str">
        <f>HYPERLINK("http://www.informatics.jax.org/marker/MGI:95612","MGI:95612")</f>
        <v>MGI:95612</v>
      </c>
      <c r="J4561" s="4" t="s">
        <v>12</v>
      </c>
    </row>
    <row r="4562" spans="1:10" x14ac:dyDescent="0.25">
      <c r="A4562" s="2">
        <v>361.03788502936197</v>
      </c>
      <c r="B4562" s="3">
        <v>-0.27686773508770501</v>
      </c>
      <c r="C4562" s="3">
        <v>1.25137384087987E-2</v>
      </c>
      <c r="D4562" s="4">
        <v>3.4203314086072599E-2</v>
      </c>
      <c r="E4562" s="3" t="s">
        <v>10196</v>
      </c>
      <c r="F4562" s="3" t="s">
        <v>10197</v>
      </c>
      <c r="G4562" s="3">
        <v>70451</v>
      </c>
      <c r="H4562" s="7" t="str">
        <f>HYPERLINK("http://www.ensembl.org/Mus_musculus/Gene/Summary?db=core;g=ENSMUSG00000020834","ENSMUSG00000020834")</f>
        <v>ENSMUSG00000020834</v>
      </c>
      <c r="I4562" s="7" t="str">
        <f>HYPERLINK("http://www.informatics.jax.org/marker/MGI:1917701","MGI:1917701")</f>
        <v>MGI:1917701</v>
      </c>
      <c r="J4562" s="4" t="s">
        <v>12</v>
      </c>
    </row>
    <row r="4563" spans="1:10" x14ac:dyDescent="0.25">
      <c r="A4563" s="2">
        <v>1713.54271490714</v>
      </c>
      <c r="B4563" s="3">
        <v>-0.27720882722246698</v>
      </c>
      <c r="C4563" s="5">
        <v>6.9526179142120601E-7</v>
      </c>
      <c r="D4563" s="6">
        <v>3.93269588722889E-6</v>
      </c>
      <c r="E4563" s="3" t="s">
        <v>5997</v>
      </c>
      <c r="F4563" s="3" t="s">
        <v>5998</v>
      </c>
      <c r="G4563" s="3">
        <v>59044</v>
      </c>
      <c r="H4563" s="7" t="str">
        <f>HYPERLINK("http://www.ensembl.org/Mus_musculus/Gene/Summary?db=core;g=ENSMUSG00000020376","ENSMUSG00000020376")</f>
        <v>ENSMUSG00000020376</v>
      </c>
      <c r="I4563" s="7" t="str">
        <f>HYPERLINK("http://www.informatics.jax.org/marker/MGI:1891717","MGI:1891717")</f>
        <v>MGI:1891717</v>
      </c>
      <c r="J4563" s="4" t="s">
        <v>12</v>
      </c>
    </row>
    <row r="4564" spans="1:10" x14ac:dyDescent="0.25">
      <c r="A4564" s="2">
        <v>65.734992047400596</v>
      </c>
      <c r="B4564" s="3">
        <v>-0.27748440451013601</v>
      </c>
      <c r="C4564" s="3">
        <v>5.4730837427859599E-2</v>
      </c>
      <c r="D4564" s="4">
        <v>0.123144384212684</v>
      </c>
      <c r="E4564" s="3" t="s">
        <v>10840</v>
      </c>
      <c r="F4564" s="3" t="s">
        <v>10841</v>
      </c>
      <c r="G4564" s="3">
        <v>245902</v>
      </c>
      <c r="H4564" s="7" t="str">
        <f>HYPERLINK("http://www.ensembl.org/Mus_musculus/Gene/Summary?db=core;g=ENSMUSG00000034303","ENSMUSG00000034303")</f>
        <v>ENSMUSG00000034303</v>
      </c>
      <c r="I4564" s="7" t="str">
        <f>HYPERLINK("http://www.informatics.jax.org/marker/MGI:2444488","MGI:2444488")</f>
        <v>MGI:2444488</v>
      </c>
      <c r="J4564" s="4" t="s">
        <v>12</v>
      </c>
    </row>
    <row r="4565" spans="1:10" x14ac:dyDescent="0.25">
      <c r="A4565" s="2">
        <v>262.63614722358699</v>
      </c>
      <c r="B4565" s="3">
        <v>-0.27775326694466301</v>
      </c>
      <c r="C4565" s="3">
        <v>1.3273413124204E-3</v>
      </c>
      <c r="D4565" s="4">
        <v>4.5686110328350803E-3</v>
      </c>
      <c r="E4565" s="3" t="s">
        <v>10358</v>
      </c>
      <c r="F4565" s="3" t="s">
        <v>10359</v>
      </c>
      <c r="G4565" s="3">
        <v>13595</v>
      </c>
      <c r="H4565" s="7" t="str">
        <f>HYPERLINK("http://www.ensembl.org/Mus_musculus/Gene/Summary?db=core;g=ENSMUSG00000031168","ENSMUSG00000031168")</f>
        <v>ENSMUSG00000031168</v>
      </c>
      <c r="I4565" s="7" t="str">
        <f>HYPERLINK("http://www.informatics.jax.org/marker/MGI:107822","MGI:107822")</f>
        <v>MGI:107822</v>
      </c>
      <c r="J4565" s="4" t="s">
        <v>12</v>
      </c>
    </row>
    <row r="4566" spans="1:10" x14ac:dyDescent="0.25">
      <c r="A4566" s="2">
        <v>1061.7492510874099</v>
      </c>
      <c r="B4566" s="3">
        <v>-0.27819426039786599</v>
      </c>
      <c r="C4566" s="5">
        <v>1.1910360820252101E-5</v>
      </c>
      <c r="D4566" s="6">
        <v>5.7638429620046298E-5</v>
      </c>
      <c r="E4566" s="3" t="s">
        <v>9347</v>
      </c>
      <c r="F4566" s="3" t="s">
        <v>9348</v>
      </c>
      <c r="G4566" s="3">
        <v>107476</v>
      </c>
      <c r="H4566" s="7" t="str">
        <f>HYPERLINK("http://www.ensembl.org/Mus_musculus/Gene/Summary?db=core;g=ENSMUSG00000020532","ENSMUSG00000020532")</f>
        <v>ENSMUSG00000020532</v>
      </c>
      <c r="I4566" s="7" t="str">
        <f>HYPERLINK("http://www.informatics.jax.org/marker/MGI:108451","MGI:108451")</f>
        <v>MGI:108451</v>
      </c>
      <c r="J4566" s="4" t="s">
        <v>12</v>
      </c>
    </row>
    <row r="4567" spans="1:10" x14ac:dyDescent="0.25">
      <c r="A4567" s="2">
        <v>2306.6629962877601</v>
      </c>
      <c r="B4567" s="3">
        <v>-0.27821407171407597</v>
      </c>
      <c r="C4567" s="5">
        <v>3.7980688793303697E-5</v>
      </c>
      <c r="D4567" s="4">
        <v>1.69407257282908E-4</v>
      </c>
      <c r="E4567" s="3" t="s">
        <v>8387</v>
      </c>
      <c r="F4567" s="3" t="s">
        <v>8388</v>
      </c>
      <c r="G4567" s="3">
        <v>50995</v>
      </c>
      <c r="H4567" s="7" t="str">
        <f>HYPERLINK("http://www.ensembl.org/Mus_musculus/Gene/Summary?db=core;g=ENSMUSG00000052997","ENSMUSG00000052997")</f>
        <v>ENSMUSG00000052997</v>
      </c>
      <c r="I4567" s="7" t="str">
        <f>HYPERLINK("http://www.informatics.jax.org/marker/MGI:1858313","MGI:1858313")</f>
        <v>MGI:1858313</v>
      </c>
      <c r="J4567" s="4" t="s">
        <v>12</v>
      </c>
    </row>
    <row r="4568" spans="1:10" x14ac:dyDescent="0.25">
      <c r="A4568" s="2">
        <v>403.204087270819</v>
      </c>
      <c r="B4568" s="3">
        <v>-0.27861641406547799</v>
      </c>
      <c r="C4568" s="5">
        <v>1.2170772802384999E-5</v>
      </c>
      <c r="D4568" s="6">
        <v>5.88049666817251E-5</v>
      </c>
      <c r="E4568" s="3" t="s">
        <v>4315</v>
      </c>
      <c r="F4568" s="3" t="s">
        <v>4316</v>
      </c>
      <c r="G4568" s="3">
        <v>19889</v>
      </c>
      <c r="H4568" s="7" t="str">
        <f>HYPERLINK("http://www.ensembl.org/Mus_musculus/Gene/Summary?db=core;g=ENSMUSG00000060090","ENSMUSG00000060090")</f>
        <v>ENSMUSG00000060090</v>
      </c>
      <c r="I4568" s="7" t="str">
        <f>HYPERLINK("http://www.informatics.jax.org/marker/MGI:1277953","MGI:1277953")</f>
        <v>MGI:1277953</v>
      </c>
      <c r="J4568" s="4" t="s">
        <v>12</v>
      </c>
    </row>
    <row r="4569" spans="1:10" x14ac:dyDescent="0.25">
      <c r="A4569" s="2">
        <v>150.667682422338</v>
      </c>
      <c r="B4569" s="3">
        <v>-0.27912520554909798</v>
      </c>
      <c r="C4569" s="3">
        <v>7.8777549630431702E-3</v>
      </c>
      <c r="D4569" s="4">
        <v>2.26490115477933E-2</v>
      </c>
      <c r="E4569" s="3" t="s">
        <v>10280</v>
      </c>
      <c r="F4569" s="3" t="s">
        <v>10281</v>
      </c>
      <c r="G4569" s="3">
        <v>72635</v>
      </c>
      <c r="H4569" s="7" t="str">
        <f>HYPERLINK("http://www.ensembl.org/Mus_musculus/Gene/Summary?db=core;g=ENSMUSG00000053091","ENSMUSG00000053091")</f>
        <v>ENSMUSG00000053091</v>
      </c>
      <c r="I4569" s="7" t="str">
        <f>HYPERLINK("http://www.informatics.jax.org/marker/MGI:1919885","MGI:1919885")</f>
        <v>MGI:1919885</v>
      </c>
      <c r="J4569" s="4" t="s">
        <v>12</v>
      </c>
    </row>
    <row r="4570" spans="1:10" x14ac:dyDescent="0.25">
      <c r="A4570" s="2">
        <v>861.61412527684604</v>
      </c>
      <c r="B4570" s="3">
        <v>-0.27915212367252001</v>
      </c>
      <c r="C4570" s="5">
        <v>7.5416201757936595E-5</v>
      </c>
      <c r="D4570" s="4">
        <v>3.2091064138183403E-4</v>
      </c>
      <c r="E4570" s="3" t="s">
        <v>10790</v>
      </c>
      <c r="F4570" s="3" t="s">
        <v>10791</v>
      </c>
      <c r="G4570" s="3">
        <v>19290</v>
      </c>
      <c r="H4570" s="7" t="str">
        <f>HYPERLINK("http://www.ensembl.org/Mus_musculus/Gene/Summary?db=core;g=ENSMUSG00000043991","ENSMUSG00000043991")</f>
        <v>ENSMUSG00000043991</v>
      </c>
      <c r="I4570" s="7" t="str">
        <f>HYPERLINK("http://www.informatics.jax.org/marker/MGI:103079","MGI:103079")</f>
        <v>MGI:103079</v>
      </c>
      <c r="J4570" s="4" t="s">
        <v>12</v>
      </c>
    </row>
    <row r="4571" spans="1:10" x14ac:dyDescent="0.25">
      <c r="A4571" s="2">
        <v>883.89727240566503</v>
      </c>
      <c r="B4571" s="3">
        <v>-0.27928408816380002</v>
      </c>
      <c r="C4571" s="3">
        <v>1.38370607472011E-2</v>
      </c>
      <c r="D4571" s="4">
        <v>3.7418570125125901E-2</v>
      </c>
      <c r="E4571" s="3" t="s">
        <v>11695</v>
      </c>
      <c r="F4571" s="3" t="s">
        <v>11696</v>
      </c>
      <c r="G4571" s="3">
        <v>77744</v>
      </c>
      <c r="H4571" s="7" t="str">
        <f>HYPERLINK("http://www.ensembl.org/Mus_musculus/Gene/Summary?db=core;g=ENSMUSG00000022070","ENSMUSG00000022070")</f>
        <v>ENSMUSG00000022070</v>
      </c>
      <c r="I4571" s="7" t="str">
        <f>HYPERLINK("http://www.informatics.jax.org/marker/MGI:1924994","MGI:1924994")</f>
        <v>MGI:1924994</v>
      </c>
      <c r="J4571" s="4" t="s">
        <v>12</v>
      </c>
    </row>
    <row r="4572" spans="1:10" x14ac:dyDescent="0.25">
      <c r="A4572" s="2">
        <v>413.51249268800098</v>
      </c>
      <c r="B4572" s="3">
        <v>-0.27968708977129197</v>
      </c>
      <c r="C4572" s="3">
        <v>8.0380742798780798E-4</v>
      </c>
      <c r="D4572" s="4">
        <v>2.8724294853093701E-3</v>
      </c>
      <c r="E4572" s="3" t="s">
        <v>8629</v>
      </c>
      <c r="F4572" s="3" t="s">
        <v>8630</v>
      </c>
      <c r="G4572" s="3">
        <v>227746</v>
      </c>
      <c r="H4572" s="7" t="str">
        <f>HYPERLINK("http://www.ensembl.org/Mus_musculus/Gene/Summary?db=core;g=ENSMUSG00000070953","ENSMUSG00000070953")</f>
        <v>ENSMUSG00000070953</v>
      </c>
      <c r="I4572" s="7" t="str">
        <f>HYPERLINK("http://www.informatics.jax.org/marker/MGI:2139530","MGI:2139530")</f>
        <v>MGI:2139530</v>
      </c>
      <c r="J4572" s="4" t="s">
        <v>12</v>
      </c>
    </row>
    <row r="4573" spans="1:10" x14ac:dyDescent="0.25">
      <c r="A4573" s="2">
        <v>780.14585699550901</v>
      </c>
      <c r="B4573" s="3">
        <v>-0.279754940188919</v>
      </c>
      <c r="C4573" s="5">
        <v>4.5741237372951998E-5</v>
      </c>
      <c r="D4573" s="4">
        <v>2.01848438528341E-4</v>
      </c>
      <c r="E4573" s="3" t="s">
        <v>5967</v>
      </c>
      <c r="F4573" s="3" t="s">
        <v>5968</v>
      </c>
      <c r="G4573" s="3">
        <v>22171</v>
      </c>
      <c r="H4573" s="7" t="str">
        <f>HYPERLINK("http://www.ensembl.org/Mus_musculus/Gene/Summary?db=core;g=ENSMUSG00000025747","ENSMUSG00000025747")</f>
        <v>ENSMUSG00000025747</v>
      </c>
      <c r="I4573" s="7" t="str">
        <f>HYPERLINK("http://www.informatics.jax.org/marker/MGI:98878","MGI:98878")</f>
        <v>MGI:98878</v>
      </c>
      <c r="J4573" s="4" t="s">
        <v>12</v>
      </c>
    </row>
    <row r="4574" spans="1:10" x14ac:dyDescent="0.25">
      <c r="A4574" s="2">
        <v>1324.1020851168901</v>
      </c>
      <c r="B4574" s="3">
        <v>-0.27984292820708401</v>
      </c>
      <c r="C4574" s="5">
        <v>3.21874246187652E-5</v>
      </c>
      <c r="D4574" s="4">
        <v>1.4556223664441599E-4</v>
      </c>
      <c r="E4574" s="3" t="s">
        <v>5331</v>
      </c>
      <c r="F4574" s="3" t="s">
        <v>5332</v>
      </c>
      <c r="G4574" s="3">
        <v>27357</v>
      </c>
      <c r="H4574" s="7" t="str">
        <f>HYPERLINK("http://www.ensembl.org/Mus_musculus/Gene/Summary?db=core;g=ENSMUSG00000019528","ENSMUSG00000019528")</f>
        <v>ENSMUSG00000019528</v>
      </c>
      <c r="I4574" s="7" t="str">
        <f>HYPERLINK("http://www.informatics.jax.org/marker/MGI:1351614","MGI:1351614")</f>
        <v>MGI:1351614</v>
      </c>
      <c r="J4574" s="4" t="s">
        <v>12</v>
      </c>
    </row>
    <row r="4575" spans="1:10" x14ac:dyDescent="0.25">
      <c r="A4575" s="2">
        <v>227.14856963160699</v>
      </c>
      <c r="B4575" s="3">
        <v>-0.28028112160593799</v>
      </c>
      <c r="C4575" s="3">
        <v>6.2411963219958502E-3</v>
      </c>
      <c r="D4575" s="4">
        <v>1.83579410859223E-2</v>
      </c>
      <c r="E4575" s="3" t="s">
        <v>13681</v>
      </c>
      <c r="F4575" s="3" t="s">
        <v>13682</v>
      </c>
      <c r="G4575" s="3">
        <v>22640</v>
      </c>
      <c r="H4575" s="7" t="str">
        <f>HYPERLINK("http://www.ensembl.org/Mus_musculus/Gene/Summary?db=core;g=ENSMUSG00000055835","ENSMUSG00000055835")</f>
        <v>ENSMUSG00000055835</v>
      </c>
      <c r="I4575" s="7" t="str">
        <f>HYPERLINK("http://www.informatics.jax.org/marker/MGI:99154","MGI:99154")</f>
        <v>MGI:99154</v>
      </c>
      <c r="J4575" s="4" t="s">
        <v>12</v>
      </c>
    </row>
    <row r="4576" spans="1:10" x14ac:dyDescent="0.25">
      <c r="A4576" s="2">
        <v>88.747405695182906</v>
      </c>
      <c r="B4576" s="3">
        <v>-0.28100150177601402</v>
      </c>
      <c r="C4576" s="3">
        <v>2.50755055869798E-2</v>
      </c>
      <c r="D4576" s="4">
        <v>6.2913145556539998E-2</v>
      </c>
      <c r="E4576" s="3" t="s">
        <v>10882</v>
      </c>
      <c r="F4576" s="3" t="s">
        <v>10883</v>
      </c>
      <c r="G4576" s="3">
        <v>29807</v>
      </c>
      <c r="H4576" s="7" t="str">
        <f>HYPERLINK("http://www.ensembl.org/Mus_musculus/Gene/Summary?db=core;g=ENSMUSG00000029735","ENSMUSG00000029735")</f>
        <v>ENSMUSG00000029735</v>
      </c>
      <c r="I4576" s="7" t="str">
        <f>HYPERLINK("http://www.informatics.jax.org/marker/MGI:1352500","MGI:1352500")</f>
        <v>MGI:1352500</v>
      </c>
      <c r="J4576" s="4" t="s">
        <v>12</v>
      </c>
    </row>
    <row r="4577" spans="1:10" x14ac:dyDescent="0.25">
      <c r="A4577" s="2">
        <v>943.66902868285194</v>
      </c>
      <c r="B4577" s="3">
        <v>-0.28106787014278001</v>
      </c>
      <c r="C4577" s="3">
        <v>1.5700615399555098E-2</v>
      </c>
      <c r="D4577" s="4">
        <v>4.1882862361957297E-2</v>
      </c>
      <c r="E4577" s="3" t="s">
        <v>13527</v>
      </c>
      <c r="F4577" s="3" t="s">
        <v>13528</v>
      </c>
      <c r="G4577" s="3">
        <v>54141</v>
      </c>
      <c r="H4577" s="7" t="str">
        <f>HYPERLINK("http://www.ensembl.org/Mus_musculus/Gene/Summary?db=core;g=ENSMUSG00000002055","ENSMUSG00000002055")</f>
        <v>ENSMUSG00000002055</v>
      </c>
      <c r="I4577" s="7" t="str">
        <f>HYPERLINK("http://www.informatics.jax.org/marker/MGI:1927470","MGI:1927470")</f>
        <v>MGI:1927470</v>
      </c>
      <c r="J4577" s="4" t="s">
        <v>12</v>
      </c>
    </row>
    <row r="4578" spans="1:10" x14ac:dyDescent="0.25">
      <c r="A4578" s="2">
        <v>1689.96266501691</v>
      </c>
      <c r="B4578" s="3">
        <v>-0.28132354736433701</v>
      </c>
      <c r="C4578" s="3">
        <v>7.0321729980557599E-4</v>
      </c>
      <c r="D4578" s="4">
        <v>2.5403637837376901E-3</v>
      </c>
      <c r="E4578" s="3" t="s">
        <v>12360</v>
      </c>
      <c r="F4578" s="3" t="s">
        <v>12361</v>
      </c>
      <c r="G4578" s="3">
        <v>78797</v>
      </c>
      <c r="H4578" s="7" t="str">
        <f>HYPERLINK("http://www.ensembl.org/Mus_musculus/Gene/Summary?db=core;g=ENSMUSG00000006471","ENSMUSG00000006471")</f>
        <v>ENSMUSG00000006471</v>
      </c>
      <c r="I4578" s="7" t="str">
        <f>HYPERLINK("http://www.informatics.jax.org/marker/MGI:1926047","MGI:1926047")</f>
        <v>MGI:1926047</v>
      </c>
      <c r="J4578" s="4" t="s">
        <v>12</v>
      </c>
    </row>
    <row r="4579" spans="1:10" x14ac:dyDescent="0.25">
      <c r="A4579" s="2">
        <v>1350.11307954119</v>
      </c>
      <c r="B4579" s="3">
        <v>-0.28263695915129</v>
      </c>
      <c r="C4579" s="5">
        <v>1.7358480487358499E-6</v>
      </c>
      <c r="D4579" s="6">
        <v>9.3735794631736198E-6</v>
      </c>
      <c r="E4579" s="3" t="s">
        <v>5757</v>
      </c>
      <c r="F4579" s="3" t="s">
        <v>5758</v>
      </c>
      <c r="G4579" s="3">
        <v>78521</v>
      </c>
      <c r="H4579" s="7" t="str">
        <f>HYPERLINK("http://www.ensembl.org/Mus_musculus/Gene/Summary?db=core;g=ENSMUSG00000045767","ENSMUSG00000045767")</f>
        <v>ENSMUSG00000045767</v>
      </c>
      <c r="I4579" s="7" t="str">
        <f>HYPERLINK("http://www.informatics.jax.org/marker/MGI:1925771","MGI:1925771")</f>
        <v>MGI:1925771</v>
      </c>
      <c r="J4579" s="4" t="s">
        <v>12</v>
      </c>
    </row>
    <row r="4580" spans="1:10" x14ac:dyDescent="0.25">
      <c r="A4580" s="2">
        <v>98.596441532313094</v>
      </c>
      <c r="B4580" s="3">
        <v>-0.28281445256090099</v>
      </c>
      <c r="C4580" s="3">
        <v>8.3263730373587405E-2</v>
      </c>
      <c r="D4580" s="4">
        <v>0.17516855024129199</v>
      </c>
      <c r="E4580" s="3" t="s">
        <v>13783</v>
      </c>
      <c r="F4580" s="3" t="s">
        <v>13784</v>
      </c>
      <c r="G4580" s="3">
        <v>56876</v>
      </c>
      <c r="H4580" s="7" t="str">
        <f>HYPERLINK("http://www.ensembl.org/Mus_musculus/Gene/Summary?db=core;g=ENSMUSG00000006476","ENSMUSG00000006476")</f>
        <v>ENSMUSG00000006476</v>
      </c>
      <c r="I4580" s="7" t="str">
        <f>HYPERLINK("http://www.informatics.jax.org/marker/MGI:1861755","MGI:1861755")</f>
        <v>MGI:1861755</v>
      </c>
      <c r="J4580" s="4" t="s">
        <v>12</v>
      </c>
    </row>
    <row r="4581" spans="1:10" x14ac:dyDescent="0.25">
      <c r="A4581" s="2">
        <v>210.407866429622</v>
      </c>
      <c r="B4581" s="3">
        <v>-0.282864248816452</v>
      </c>
      <c r="C4581" s="3">
        <v>3.1510221816232302E-3</v>
      </c>
      <c r="D4581" s="4">
        <v>9.9355327439590701E-3</v>
      </c>
      <c r="E4581" s="3" t="s">
        <v>4253</v>
      </c>
      <c r="F4581" s="3" t="s">
        <v>4254</v>
      </c>
      <c r="G4581" s="3">
        <v>52504</v>
      </c>
      <c r="H4581" s="7" t="str">
        <f>HYPERLINK("http://www.ensembl.org/Mus_musculus/Gene/Summary?db=core;g=ENSMUSG00000020652","ENSMUSG00000020652")</f>
        <v>ENSMUSG00000020652</v>
      </c>
      <c r="I4581" s="7" t="str">
        <f>HYPERLINK("http://www.informatics.jax.org/marker/MGI:1923800","MGI:1923800")</f>
        <v>MGI:1923800</v>
      </c>
      <c r="J4581" s="4" t="s">
        <v>12</v>
      </c>
    </row>
    <row r="4582" spans="1:10" x14ac:dyDescent="0.25">
      <c r="A4582" s="2">
        <v>219.56288396282201</v>
      </c>
      <c r="B4582" s="3">
        <v>-0.28290803199235198</v>
      </c>
      <c r="C4582" s="3">
        <v>7.8744072917403597E-4</v>
      </c>
      <c r="D4582" s="4">
        <v>2.8178101883363101E-3</v>
      </c>
      <c r="E4582" s="3" t="s">
        <v>9435</v>
      </c>
      <c r="F4582" s="3" t="s">
        <v>9436</v>
      </c>
      <c r="G4582" s="3">
        <v>70020</v>
      </c>
      <c r="H4582" s="7" t="str">
        <f>HYPERLINK("http://www.ensembl.org/Mus_musculus/Gene/Summary?db=core;g=ENSMUSG00000030034","ENSMUSG00000030034")</f>
        <v>ENSMUSG00000030034</v>
      </c>
      <c r="I4582" s="7" t="str">
        <f>HYPERLINK("http://www.informatics.jax.org/marker/MGI:1917270","MGI:1917270")</f>
        <v>MGI:1917270</v>
      </c>
      <c r="J4582" s="4" t="s">
        <v>12</v>
      </c>
    </row>
    <row r="4583" spans="1:10" x14ac:dyDescent="0.25">
      <c r="A4583" s="2">
        <v>971.83641293210303</v>
      </c>
      <c r="B4583" s="3">
        <v>-0.28296312876167201</v>
      </c>
      <c r="C4583" s="3">
        <v>2.3723430155115298E-3</v>
      </c>
      <c r="D4583" s="4">
        <v>7.7138182796962903E-3</v>
      </c>
      <c r="E4583" s="3" t="s">
        <v>7520</v>
      </c>
      <c r="F4583" s="3" t="s">
        <v>7521</v>
      </c>
      <c r="G4583" s="3">
        <v>14744</v>
      </c>
      <c r="H4583" s="7" t="str">
        <f>HYPERLINK("http://www.ensembl.org/Mus_musculus/Gene/Summary?db=core;g=ENSMUSG00000021886","ENSMUSG00000021886")</f>
        <v>ENSMUSG00000021886</v>
      </c>
      <c r="I4583" s="7" t="str">
        <f>HYPERLINK("http://www.informatics.jax.org/marker/MGI:108031","MGI:108031")</f>
        <v>MGI:108031</v>
      </c>
      <c r="J4583" s="4" t="s">
        <v>12</v>
      </c>
    </row>
    <row r="4584" spans="1:10" x14ac:dyDescent="0.25">
      <c r="A4584" s="2">
        <v>801.80284259979805</v>
      </c>
      <c r="B4584" s="3">
        <v>-0.28317751060338697</v>
      </c>
      <c r="C4584" s="5">
        <v>1.52068487771522E-7</v>
      </c>
      <c r="D4584" s="6">
        <v>9.3566785605536204E-7</v>
      </c>
      <c r="E4584" s="3" t="s">
        <v>3296</v>
      </c>
      <c r="F4584" s="3" t="s">
        <v>3297</v>
      </c>
      <c r="G4584" s="3">
        <v>319651</v>
      </c>
      <c r="H4584" s="7" t="str">
        <f>HYPERLINK("http://www.ensembl.org/Mus_musculus/Gene/Summary?db=core;g=ENSMUSG00000033364","ENSMUSG00000033364")</f>
        <v>ENSMUSG00000033364</v>
      </c>
      <c r="I4584" s="7" t="str">
        <f>HYPERLINK("http://www.informatics.jax.org/marker/MGI:2442483","MGI:2442483")</f>
        <v>MGI:2442483</v>
      </c>
      <c r="J4584" s="4" t="s">
        <v>12</v>
      </c>
    </row>
    <row r="4585" spans="1:10" x14ac:dyDescent="0.25">
      <c r="A4585" s="2">
        <v>693.49377709401597</v>
      </c>
      <c r="B4585" s="3">
        <v>-0.28354666739487799</v>
      </c>
      <c r="C4585" s="5">
        <v>4.4415653484150601E-7</v>
      </c>
      <c r="D4585" s="6">
        <v>2.5738482821896501E-6</v>
      </c>
      <c r="E4585" s="3" t="s">
        <v>3206</v>
      </c>
      <c r="F4585" s="3" t="s">
        <v>3207</v>
      </c>
      <c r="G4585" s="3">
        <v>244879</v>
      </c>
      <c r="H4585" s="7" t="str">
        <f>HYPERLINK("http://www.ensembl.org/Mus_musculus/Gene/Summary?db=core;g=ENSMUSG00000033054","ENSMUSG00000033054")</f>
        <v>ENSMUSG00000033054</v>
      </c>
      <c r="I4585" s="7" t="str">
        <f>HYPERLINK("http://www.informatics.jax.org/marker/MGI:107605","MGI:107605")</f>
        <v>MGI:107605</v>
      </c>
      <c r="J4585" s="4" t="s">
        <v>12</v>
      </c>
    </row>
    <row r="4586" spans="1:10" x14ac:dyDescent="0.25">
      <c r="A4586" s="2">
        <v>609.02756163545598</v>
      </c>
      <c r="B4586" s="3">
        <v>-0.28366858720743598</v>
      </c>
      <c r="C4586" s="5">
        <v>3.3558557284209501E-5</v>
      </c>
      <c r="D4586" s="4">
        <v>1.5127497069124899E-4</v>
      </c>
      <c r="E4586" s="3" t="s">
        <v>11082</v>
      </c>
      <c r="F4586" s="3" t="s">
        <v>11083</v>
      </c>
      <c r="G4586" s="3">
        <v>17527</v>
      </c>
      <c r="H4586" s="7" t="str">
        <f>HYPERLINK("http://www.ensembl.org/Mus_musculus/Gene/Summary?db=core;g=ENSMUSG00000107283","ENSMUSG00000107283")</f>
        <v>ENSMUSG00000107283</v>
      </c>
      <c r="I4586" s="7" t="str">
        <f>HYPERLINK("http://www.informatics.jax.org/marker/MGI:97138","MGI:97138")</f>
        <v>MGI:97138</v>
      </c>
      <c r="J4586" s="4" t="s">
        <v>12</v>
      </c>
    </row>
    <row r="4587" spans="1:10" x14ac:dyDescent="0.25">
      <c r="A4587" s="2">
        <v>117.237222397106</v>
      </c>
      <c r="B4587" s="3">
        <v>-0.28408583278586302</v>
      </c>
      <c r="C4587" s="3">
        <v>3.3464672877904202E-2</v>
      </c>
      <c r="D4587" s="4">
        <v>8.0877027343827596E-2</v>
      </c>
      <c r="E4587" s="3" t="s">
        <v>9785</v>
      </c>
      <c r="F4587" s="3" t="s">
        <v>9786</v>
      </c>
      <c r="G4587" s="3">
        <v>237339</v>
      </c>
      <c r="H4587" s="7" t="str">
        <f>HYPERLINK("http://www.ensembl.org/Mus_musculus/Gene/Summary?db=core;g=ENSMUSG00000039089","ENSMUSG00000039089")</f>
        <v>ENSMUSG00000039089</v>
      </c>
      <c r="I4587" s="7" t="str">
        <f>HYPERLINK("http://www.informatics.jax.org/marker/MGI:2143628","MGI:2143628")</f>
        <v>MGI:2143628</v>
      </c>
      <c r="J4587" s="4" t="s">
        <v>12</v>
      </c>
    </row>
    <row r="4588" spans="1:10" x14ac:dyDescent="0.25">
      <c r="A4588" s="2">
        <v>2156.0672170060402</v>
      </c>
      <c r="B4588" s="3">
        <v>-0.284112729591813</v>
      </c>
      <c r="C4588" s="5">
        <v>9.0736948866495406E-11</v>
      </c>
      <c r="D4588" s="6">
        <v>7.7820277321970799E-10</v>
      </c>
      <c r="E4588" s="3" t="s">
        <v>5397</v>
      </c>
      <c r="F4588" s="3" t="s">
        <v>5398</v>
      </c>
      <c r="G4588" s="3">
        <v>67201</v>
      </c>
      <c r="H4588" s="7" t="str">
        <f>HYPERLINK("http://www.ensembl.org/Mus_musculus/Gene/Summary?db=core;g=ENSMUSG00000017286","ENSMUSG00000017286")</f>
        <v>ENSMUSG00000017286</v>
      </c>
      <c r="I4588" s="7" t="str">
        <f>HYPERLINK("http://www.informatics.jax.org/marker/MGI:1914451","MGI:1914451")</f>
        <v>MGI:1914451</v>
      </c>
      <c r="J4588" s="4" t="s">
        <v>12</v>
      </c>
    </row>
    <row r="4589" spans="1:10" x14ac:dyDescent="0.25">
      <c r="A4589" s="2">
        <v>5109.86807306226</v>
      </c>
      <c r="B4589" s="3">
        <v>-0.28432405013401102</v>
      </c>
      <c r="C4589" s="3">
        <v>1.6520022489761001E-4</v>
      </c>
      <c r="D4589" s="4">
        <v>6.6520993008396497E-4</v>
      </c>
      <c r="E4589" s="3" t="s">
        <v>6667</v>
      </c>
      <c r="F4589" s="3" t="s">
        <v>6668</v>
      </c>
      <c r="G4589" s="3">
        <v>67054</v>
      </c>
      <c r="H4589" s="7" t="str">
        <f>HYPERLINK("http://www.ensembl.org/Mus_musculus/Gene/Summary?db=core;g=ENSMUSG00000029247","ENSMUSG00000029247")</f>
        <v>ENSMUSG00000029247</v>
      </c>
      <c r="I4589" s="7" t="str">
        <f>HYPERLINK("http://www.informatics.jax.org/marker/MGI:1914304","MGI:1914304")</f>
        <v>MGI:1914304</v>
      </c>
      <c r="J4589" s="4" t="s">
        <v>12</v>
      </c>
    </row>
    <row r="4590" spans="1:10" x14ac:dyDescent="0.25">
      <c r="A4590" s="2">
        <v>444.12475849446798</v>
      </c>
      <c r="B4590" s="3">
        <v>-0.284444758594739</v>
      </c>
      <c r="C4590" s="3">
        <v>2.0078591013607799E-3</v>
      </c>
      <c r="D4590" s="4">
        <v>6.6444508245583796E-3</v>
      </c>
      <c r="E4590" s="3" t="s">
        <v>7148</v>
      </c>
      <c r="F4590" s="3" t="s">
        <v>7149</v>
      </c>
      <c r="G4590" s="3">
        <v>12663</v>
      </c>
      <c r="H4590" s="7" t="str">
        <f>HYPERLINK("http://www.ensembl.org/Mus_musculus/Gene/Summary?db=core;g=ENSMUSG00000078185","ENSMUSG00000078185")</f>
        <v>ENSMUSG00000078185</v>
      </c>
      <c r="I4590" s="7" t="str">
        <f>HYPERLINK("http://www.informatics.jax.org/marker/MGI:101913","MGI:101913")</f>
        <v>MGI:101913</v>
      </c>
      <c r="J4590" s="4" t="s">
        <v>12</v>
      </c>
    </row>
    <row r="4591" spans="1:10" x14ac:dyDescent="0.25">
      <c r="A4591" s="2">
        <v>1882.8014943522101</v>
      </c>
      <c r="B4591" s="3">
        <v>-0.28450341177426602</v>
      </c>
      <c r="C4591" s="5">
        <v>3.01770702909454E-10</v>
      </c>
      <c r="D4591" s="6">
        <v>2.4784907888800299E-9</v>
      </c>
      <c r="E4591" s="3" t="s">
        <v>6661</v>
      </c>
      <c r="F4591" s="3" t="s">
        <v>6662</v>
      </c>
      <c r="G4591" s="3">
        <v>83945</v>
      </c>
      <c r="H4591" s="7" t="str">
        <f>HYPERLINK("http://www.ensembl.org/Mus_musculus/Gene/Summary?db=core;g=ENSMUSG00000004069","ENSMUSG00000004069")</f>
        <v>ENSMUSG00000004069</v>
      </c>
      <c r="I4591" s="7" t="str">
        <f>HYPERLINK("http://www.informatics.jax.org/marker/MGI:1933786","MGI:1933786")</f>
        <v>MGI:1933786</v>
      </c>
      <c r="J4591" s="4" t="s">
        <v>12</v>
      </c>
    </row>
    <row r="4592" spans="1:10" x14ac:dyDescent="0.25">
      <c r="A4592" s="2">
        <v>584.170635947248</v>
      </c>
      <c r="B4592" s="3">
        <v>-0.28460332270799199</v>
      </c>
      <c r="C4592" s="5">
        <v>4.2556754897906403E-5</v>
      </c>
      <c r="D4592" s="4">
        <v>1.88572053978688E-4</v>
      </c>
      <c r="E4592" s="3" t="s">
        <v>8399</v>
      </c>
      <c r="F4592" s="3" t="s">
        <v>8400</v>
      </c>
      <c r="G4592" s="3">
        <v>231506</v>
      </c>
      <c r="H4592" s="7" t="str">
        <f>HYPERLINK("http://www.ensembl.org/Mus_musculus/Gene/Summary?db=core;g=ENSMUSG00000035310","ENSMUSG00000035310")</f>
        <v>ENSMUSG00000035310</v>
      </c>
      <c r="I4592" s="7" t="str">
        <f>HYPERLINK("http://www.informatics.jax.org/marker/MGI:2140902","MGI:2140902")</f>
        <v>MGI:2140902</v>
      </c>
      <c r="J4592" s="4" t="s">
        <v>12</v>
      </c>
    </row>
    <row r="4593" spans="1:10" x14ac:dyDescent="0.25">
      <c r="A4593" s="2">
        <v>589.13782300654202</v>
      </c>
      <c r="B4593" s="3">
        <v>-0.28481310659043002</v>
      </c>
      <c r="C4593" s="5">
        <v>8.2591996468409003E-5</v>
      </c>
      <c r="D4593" s="4">
        <v>3.49486681132285E-4</v>
      </c>
      <c r="E4593" s="3" t="s">
        <v>10016</v>
      </c>
      <c r="F4593" s="3" t="s">
        <v>10017</v>
      </c>
      <c r="G4593" s="3">
        <v>71148</v>
      </c>
      <c r="H4593" s="7" t="str">
        <f>HYPERLINK("http://www.ensembl.org/Mus_musculus/Gene/Summary?db=core;g=ENSMUSG00000028522","ENSMUSG00000028522")</f>
        <v>ENSMUSG00000028522</v>
      </c>
      <c r="I4593" s="7" t="str">
        <f>HYPERLINK("http://www.informatics.jax.org/marker/MGI:1918398","MGI:1918398")</f>
        <v>MGI:1918398</v>
      </c>
      <c r="J4593" s="4" t="s">
        <v>12</v>
      </c>
    </row>
    <row r="4594" spans="1:10" x14ac:dyDescent="0.25">
      <c r="A4594" s="2">
        <v>1258.9954573671801</v>
      </c>
      <c r="B4594" s="3">
        <v>-0.28511994526880802</v>
      </c>
      <c r="C4594" s="5">
        <v>2.9735828866555099E-5</v>
      </c>
      <c r="D4594" s="4">
        <v>1.35314726864661E-4</v>
      </c>
      <c r="E4594" s="3" t="s">
        <v>13223</v>
      </c>
      <c r="F4594" s="3" t="s">
        <v>13224</v>
      </c>
      <c r="G4594" s="3">
        <v>68196</v>
      </c>
      <c r="H4594" s="7" t="str">
        <f>HYPERLINK("http://www.ensembl.org/Mus_musculus/Gene/Summary?db=core;g=ENSMUSG00000031839","ENSMUSG00000031839")</f>
        <v>ENSMUSG00000031839</v>
      </c>
      <c r="I4594" s="7" t="str">
        <f>HYPERLINK("http://www.informatics.jax.org/marker/MGI:1915446","MGI:1915446")</f>
        <v>MGI:1915446</v>
      </c>
      <c r="J4594" s="4" t="s">
        <v>12</v>
      </c>
    </row>
    <row r="4595" spans="1:10" x14ac:dyDescent="0.25">
      <c r="A4595" s="2">
        <v>884.04229460375598</v>
      </c>
      <c r="B4595" s="3">
        <v>-0.28515246740521499</v>
      </c>
      <c r="C4595" s="5">
        <v>6.4916086616922902E-7</v>
      </c>
      <c r="D4595" s="6">
        <v>3.6822149971784001E-6</v>
      </c>
      <c r="E4595" s="3" t="s">
        <v>4419</v>
      </c>
      <c r="F4595" s="3" t="s">
        <v>4420</v>
      </c>
      <c r="G4595" s="3">
        <v>66839</v>
      </c>
      <c r="H4595" s="7" t="str">
        <f>HYPERLINK("http://www.ensembl.org/Mus_musculus/Gene/Summary?db=core;g=ENSMUSG00000024442","ENSMUSG00000024442")</f>
        <v>ENSMUSG00000024442</v>
      </c>
      <c r="I4595" s="7" t="str">
        <f>HYPERLINK("http://www.informatics.jax.org/marker/MGI:1914089","MGI:1914089")</f>
        <v>MGI:1914089</v>
      </c>
      <c r="J4595" s="4" t="s">
        <v>12</v>
      </c>
    </row>
    <row r="4596" spans="1:10" x14ac:dyDescent="0.25">
      <c r="A4596" s="2">
        <v>659.62929841872301</v>
      </c>
      <c r="B4596" s="3">
        <v>-0.28539848849343102</v>
      </c>
      <c r="C4596" s="5">
        <v>8.6246341306519404E-6</v>
      </c>
      <c r="D4596" s="6">
        <v>4.2597278328220001E-5</v>
      </c>
      <c r="E4596" s="3" t="s">
        <v>11143</v>
      </c>
      <c r="F4596" s="3" t="s">
        <v>11144</v>
      </c>
      <c r="G4596" s="3">
        <v>74159</v>
      </c>
      <c r="H4596" s="7" t="str">
        <f>HYPERLINK("http://www.ensembl.org/Mus_musculus/Gene/Summary?db=core;g=ENSMUSG00000026781","ENSMUSG00000026781")</f>
        <v>ENSMUSG00000026781</v>
      </c>
      <c r="I4596" s="7" t="str">
        <f>HYPERLINK("http://www.informatics.jax.org/marker/MGI:1921409","MGI:1921409")</f>
        <v>MGI:1921409</v>
      </c>
      <c r="J4596" s="4" t="s">
        <v>12</v>
      </c>
    </row>
    <row r="4597" spans="1:10" x14ac:dyDescent="0.25">
      <c r="A4597" s="2">
        <v>886.820346300452</v>
      </c>
      <c r="B4597" s="3">
        <v>-0.28554889313830401</v>
      </c>
      <c r="C4597" s="3">
        <v>3.2949463589248E-4</v>
      </c>
      <c r="D4597" s="4">
        <v>1.2589181843061701E-3</v>
      </c>
      <c r="E4597" s="3" t="s">
        <v>10310</v>
      </c>
      <c r="F4597" s="3" t="s">
        <v>10311</v>
      </c>
      <c r="G4597" s="3">
        <v>208146</v>
      </c>
      <c r="H4597" s="7" t="str">
        <f>HYPERLINK("http://www.ensembl.org/Mus_musculus/Gene/Summary?db=core;g=ENSMUSG00000041215","ENSMUSG00000041215")</f>
        <v>ENSMUSG00000041215</v>
      </c>
      <c r="I4597" s="7" t="str">
        <f>HYPERLINK("http://www.informatics.jax.org/marker/MGI:2447762","MGI:2447762")</f>
        <v>MGI:2447762</v>
      </c>
      <c r="J4597" s="4" t="s">
        <v>12</v>
      </c>
    </row>
    <row r="4598" spans="1:10" x14ac:dyDescent="0.25">
      <c r="A4598" s="2">
        <v>102.768922195307</v>
      </c>
      <c r="B4598" s="3">
        <v>-0.28559596789138098</v>
      </c>
      <c r="C4598" s="3">
        <v>4.0005444040049798E-2</v>
      </c>
      <c r="D4598" s="4">
        <v>9.4452026313833107E-2</v>
      </c>
      <c r="E4598" s="3" t="s">
        <v>13483</v>
      </c>
      <c r="F4598" s="3" t="s">
        <v>13484</v>
      </c>
      <c r="G4598" s="3" t="s">
        <v>83</v>
      </c>
      <c r="H4598" s="7" t="str">
        <f>HYPERLINK("http://www.ensembl.org/Mus_musculus/Gene/Summary?db=core;g=ENSMUSG00000118135","ENSMUSG00000118135")</f>
        <v>ENSMUSG00000118135</v>
      </c>
      <c r="I4598" s="7" t="str">
        <f>HYPERLINK("http://www.informatics.jax.org/marker/MGI:6303257","MGI:6303257")</f>
        <v>MGI:6303257</v>
      </c>
      <c r="J4598" s="4" t="s">
        <v>12</v>
      </c>
    </row>
    <row r="4599" spans="1:10" x14ac:dyDescent="0.25">
      <c r="A4599" s="2">
        <v>488.46129119047498</v>
      </c>
      <c r="B4599" s="3">
        <v>-0.28561013066118002</v>
      </c>
      <c r="C4599" s="5">
        <v>2.5464282261838101E-5</v>
      </c>
      <c r="D4599" s="4">
        <v>1.17137550162847E-4</v>
      </c>
      <c r="E4599" s="3" t="s">
        <v>5995</v>
      </c>
      <c r="F4599" s="3" t="s">
        <v>5996</v>
      </c>
      <c r="G4599" s="3">
        <v>75669</v>
      </c>
      <c r="H4599" s="7" t="str">
        <f>HYPERLINK("http://www.ensembl.org/Mus_musculus/Gene/Summary?db=core;g=ENSMUSG00000032571","ENSMUSG00000032571")</f>
        <v>ENSMUSG00000032571</v>
      </c>
      <c r="I4599" s="7" t="str">
        <f>HYPERLINK("http://www.informatics.jax.org/marker/MGI:1922919","MGI:1922919")</f>
        <v>MGI:1922919</v>
      </c>
      <c r="J4599" s="4" t="s">
        <v>12</v>
      </c>
    </row>
    <row r="4600" spans="1:10" x14ac:dyDescent="0.25">
      <c r="A4600" s="2">
        <v>912.40180169881705</v>
      </c>
      <c r="B4600" s="3">
        <v>-0.28572350230139298</v>
      </c>
      <c r="C4600" s="5">
        <v>5.0724007602768198E-6</v>
      </c>
      <c r="D4600" s="6">
        <v>2.59384129786883E-5</v>
      </c>
      <c r="E4600" s="3" t="s">
        <v>3526</v>
      </c>
      <c r="F4600" s="3" t="s">
        <v>3527</v>
      </c>
      <c r="G4600" s="3">
        <v>76478</v>
      </c>
      <c r="H4600" s="7" t="str">
        <f>HYPERLINK("http://www.ensembl.org/Mus_musculus/Gene/Summary?db=core;g=ENSMUSG00000035439","ENSMUSG00000035439")</f>
        <v>ENSMUSG00000035439</v>
      </c>
      <c r="I4600" s="7" t="str">
        <f>HYPERLINK("http://www.informatics.jax.org/marker/MGI:1923728","MGI:1923728")</f>
        <v>MGI:1923728</v>
      </c>
      <c r="J4600" s="4" t="s">
        <v>12</v>
      </c>
    </row>
    <row r="4601" spans="1:10" x14ac:dyDescent="0.25">
      <c r="A4601" s="2">
        <v>308.27471592845302</v>
      </c>
      <c r="B4601" s="3">
        <v>-0.28581120981403102</v>
      </c>
      <c r="C4601" s="3">
        <v>1.1191115585820401E-3</v>
      </c>
      <c r="D4601" s="4">
        <v>3.9064945709936004E-3</v>
      </c>
      <c r="E4601" s="3" t="s">
        <v>12947</v>
      </c>
      <c r="F4601" s="3" t="s">
        <v>12948</v>
      </c>
      <c r="G4601" s="3">
        <v>21841</v>
      </c>
      <c r="H4601" s="7" t="str">
        <f>HYPERLINK("http://www.ensembl.org/Mus_musculus/Gene/Summary?db=core;g=ENSMUSG00000071337","ENSMUSG00000071337")</f>
        <v>ENSMUSG00000071337</v>
      </c>
      <c r="I4601" s="7" t="str">
        <f>HYPERLINK("http://www.informatics.jax.org/marker/MGI:107914","MGI:107914")</f>
        <v>MGI:107914</v>
      </c>
      <c r="J4601" s="4" t="s">
        <v>12</v>
      </c>
    </row>
    <row r="4602" spans="1:10" x14ac:dyDescent="0.25">
      <c r="A4602" s="2">
        <v>330.22302161421197</v>
      </c>
      <c r="B4602" s="3">
        <v>-0.28591718357291701</v>
      </c>
      <c r="C4602" s="3">
        <v>1.9488329540164699E-3</v>
      </c>
      <c r="D4602" s="4">
        <v>6.4659531379847399E-3</v>
      </c>
      <c r="E4602" s="3" t="s">
        <v>12615</v>
      </c>
      <c r="F4602" s="3" t="s">
        <v>12616</v>
      </c>
      <c r="G4602" s="3">
        <v>21749</v>
      </c>
      <c r="H4602" s="7" t="str">
        <f>HYPERLINK("http://www.ensembl.org/Mus_musculus/Gene/Summary?db=core;g=ENSMUSG00000025925","ENSMUSG00000025925")</f>
        <v>ENSMUSG00000025925</v>
      </c>
      <c r="I4602" s="7" t="str">
        <f>HYPERLINK("http://www.informatics.jax.org/marker/MGI:109634","MGI:109634")</f>
        <v>MGI:109634</v>
      </c>
      <c r="J4602" s="4" t="s">
        <v>12</v>
      </c>
    </row>
    <row r="4603" spans="1:10" x14ac:dyDescent="0.25">
      <c r="A4603" s="2">
        <v>713.59281207537595</v>
      </c>
      <c r="B4603" s="3">
        <v>-0.28593025892528201</v>
      </c>
      <c r="C4603" s="5">
        <v>6.3166743081618396E-6</v>
      </c>
      <c r="D4603" s="6">
        <v>3.1836667385577898E-5</v>
      </c>
      <c r="E4603" s="3" t="s">
        <v>8667</v>
      </c>
      <c r="F4603" s="3" t="s">
        <v>8668</v>
      </c>
      <c r="G4603" s="3">
        <v>69305</v>
      </c>
      <c r="H4603" s="7" t="str">
        <f>HYPERLINK("http://www.ensembl.org/Mus_musculus/Gene/Summary?db=core;g=ENSMUSG00000032040","ENSMUSG00000032040")</f>
        <v>ENSMUSG00000032040</v>
      </c>
      <c r="I4603" s="7" t="str">
        <f>HYPERLINK("http://www.informatics.jax.org/marker/MGI:1916555","MGI:1916555")</f>
        <v>MGI:1916555</v>
      </c>
      <c r="J4603" s="4" t="s">
        <v>12</v>
      </c>
    </row>
    <row r="4604" spans="1:10" x14ac:dyDescent="0.25">
      <c r="A4604" s="2">
        <v>239.93924644700499</v>
      </c>
      <c r="B4604" s="3">
        <v>-0.28607822902874902</v>
      </c>
      <c r="C4604" s="3">
        <v>1.3016242578164699E-3</v>
      </c>
      <c r="D4604" s="4">
        <v>4.4877226823127597E-3</v>
      </c>
      <c r="E4604" s="3" t="s">
        <v>10348</v>
      </c>
      <c r="F4604" s="3" t="s">
        <v>10349</v>
      </c>
      <c r="G4604" s="3">
        <v>66647</v>
      </c>
      <c r="H4604" s="7" t="str">
        <f>HYPERLINK("http://www.ensembl.org/Mus_musculus/Gene/Summary?db=core;g=ENSMUSG00000070520","ENSMUSG00000070520")</f>
        <v>ENSMUSG00000070520</v>
      </c>
      <c r="I4604" s="7" t="str">
        <f>HYPERLINK("http://www.informatics.jax.org/marker/MGI:1913897","MGI:1913897")</f>
        <v>MGI:1913897</v>
      </c>
      <c r="J4604" s="4" t="s">
        <v>12</v>
      </c>
    </row>
    <row r="4605" spans="1:10" x14ac:dyDescent="0.25">
      <c r="A4605" s="2">
        <v>568.64370741671701</v>
      </c>
      <c r="B4605" s="3">
        <v>-0.28623416218825898</v>
      </c>
      <c r="C4605" s="3">
        <v>8.1676977758808405E-4</v>
      </c>
      <c r="D4605" s="4">
        <v>2.91589210510143E-3</v>
      </c>
      <c r="E4605" s="3" t="s">
        <v>12223</v>
      </c>
      <c r="F4605" s="3" t="s">
        <v>12224</v>
      </c>
      <c r="G4605" s="3">
        <v>234373</v>
      </c>
      <c r="H4605" s="7" t="str">
        <f>HYPERLINK("http://www.ensembl.org/Mus_musculus/Gene/Summary?db=core;g=ENSMUSG00000036054","ENSMUSG00000036054")</f>
        <v>ENSMUSG00000036054</v>
      </c>
      <c r="I4605" s="7" t="str">
        <f>HYPERLINK("http://www.informatics.jax.org/marker/MGI:2678085","MGI:2678085")</f>
        <v>MGI:2678085</v>
      </c>
      <c r="J4605" s="4" t="s">
        <v>12</v>
      </c>
    </row>
    <row r="4606" spans="1:10" x14ac:dyDescent="0.25">
      <c r="A4606" s="2">
        <v>613.88074579331703</v>
      </c>
      <c r="B4606" s="3">
        <v>-0.28633326863081598</v>
      </c>
      <c r="C4606" s="5">
        <v>5.70653493525324E-5</v>
      </c>
      <c r="D4606" s="4">
        <v>2.4830363411252303E-4</v>
      </c>
      <c r="E4606" s="3" t="s">
        <v>9063</v>
      </c>
      <c r="F4606" s="3" t="s">
        <v>9064</v>
      </c>
      <c r="G4606" s="3">
        <v>21780</v>
      </c>
      <c r="H4606" s="7" t="str">
        <f>HYPERLINK("http://www.ensembl.org/Mus_musculus/Gene/Summary?db=core;g=ENSMUSG00000003923","ENSMUSG00000003923")</f>
        <v>ENSMUSG00000003923</v>
      </c>
      <c r="I4606" s="7" t="str">
        <f>HYPERLINK("http://www.informatics.jax.org/marker/MGI:107810","MGI:107810")</f>
        <v>MGI:107810</v>
      </c>
      <c r="J4606" s="4" t="s">
        <v>12</v>
      </c>
    </row>
    <row r="4607" spans="1:10" x14ac:dyDescent="0.25">
      <c r="A4607" s="2">
        <v>542.28853283178398</v>
      </c>
      <c r="B4607" s="3">
        <v>-0.28653798740611103</v>
      </c>
      <c r="C4607" s="5">
        <v>9.2124589631699706E-8</v>
      </c>
      <c r="D4607" s="6">
        <v>5.7915510384192002E-7</v>
      </c>
      <c r="E4607" s="3" t="s">
        <v>5073</v>
      </c>
      <c r="F4607" s="3" t="s">
        <v>5074</v>
      </c>
      <c r="G4607" s="3">
        <v>27999</v>
      </c>
      <c r="H4607" s="7" t="str">
        <f>HYPERLINK("http://www.ensembl.org/Mus_musculus/Gene/Summary?db=core;g=ENSMUSG00000029672","ENSMUSG00000029672")</f>
        <v>ENSMUSG00000029672</v>
      </c>
      <c r="I4607" s="7" t="str">
        <f>HYPERLINK("http://www.informatics.jax.org/marker/MGI:107892","MGI:107892")</f>
        <v>MGI:107892</v>
      </c>
      <c r="J4607" s="4" t="s">
        <v>12</v>
      </c>
    </row>
    <row r="4608" spans="1:10" x14ac:dyDescent="0.25">
      <c r="A4608" s="2">
        <v>994.46303082569102</v>
      </c>
      <c r="B4608" s="3">
        <v>-0.28660744913302599</v>
      </c>
      <c r="C4608" s="5">
        <v>7.3615188879982104E-10</v>
      </c>
      <c r="D4608" s="6">
        <v>5.8256049385048796E-9</v>
      </c>
      <c r="E4608" s="3" t="s">
        <v>4091</v>
      </c>
      <c r="F4608" s="3" t="s">
        <v>4092</v>
      </c>
      <c r="G4608" s="3">
        <v>213464</v>
      </c>
      <c r="H4608" s="7" t="str">
        <f>HYPERLINK("http://www.ensembl.org/Mus_musculus/Gene/Summary?db=core;g=ENSMUSG00000026439","ENSMUSG00000026439")</f>
        <v>ENSMUSG00000026439</v>
      </c>
      <c r="I4608" s="7" t="str">
        <f>HYPERLINK("http://www.informatics.jax.org/marker/MGI:1918367","MGI:1918367")</f>
        <v>MGI:1918367</v>
      </c>
      <c r="J4608" s="4" t="s">
        <v>12</v>
      </c>
    </row>
    <row r="4609" spans="1:10" x14ac:dyDescent="0.25">
      <c r="A4609" s="2">
        <v>77.007050614347406</v>
      </c>
      <c r="B4609" s="3">
        <v>-0.28670525729074098</v>
      </c>
      <c r="C4609" s="3">
        <v>6.03017174645279E-2</v>
      </c>
      <c r="D4609" s="4">
        <v>0.13353569875954099</v>
      </c>
      <c r="E4609" s="3" t="s">
        <v>10258</v>
      </c>
      <c r="F4609" s="3" t="s">
        <v>10259</v>
      </c>
      <c r="G4609" s="3">
        <v>101497</v>
      </c>
      <c r="H4609" s="7" t="str">
        <f>HYPERLINK("http://www.ensembl.org/Mus_musculus/Gene/Summary?db=core;g=ENSMUSG00000037552","ENSMUSG00000037552")</f>
        <v>ENSMUSG00000037552</v>
      </c>
      <c r="I4609" s="7" t="str">
        <f>HYPERLINK("http://www.informatics.jax.org/marker/MGI:2141874","MGI:2141874")</f>
        <v>MGI:2141874</v>
      </c>
      <c r="J4609" s="4" t="s">
        <v>12</v>
      </c>
    </row>
    <row r="4610" spans="1:10" x14ac:dyDescent="0.25">
      <c r="A4610" s="2">
        <v>1042.84446191957</v>
      </c>
      <c r="B4610" s="3">
        <v>-0.28705415934959599</v>
      </c>
      <c r="C4610" s="5">
        <v>1.09275834343724E-7</v>
      </c>
      <c r="D4610" s="6">
        <v>6.8110536282980896E-7</v>
      </c>
      <c r="E4610" s="3" t="s">
        <v>2609</v>
      </c>
      <c r="F4610" s="3" t="s">
        <v>2610</v>
      </c>
      <c r="G4610" s="3">
        <v>70652</v>
      </c>
      <c r="H4610" s="7" t="str">
        <f>HYPERLINK("http://www.ensembl.org/Mus_musculus/Gene/Summary?db=core;g=ENSMUSG00000027956","ENSMUSG00000027956")</f>
        <v>ENSMUSG00000027956</v>
      </c>
      <c r="I4610" s="7" t="str">
        <f>HYPERLINK("http://www.informatics.jax.org/marker/MGI:1917902","MGI:1917902")</f>
        <v>MGI:1917902</v>
      </c>
      <c r="J4610" s="4" t="s">
        <v>12</v>
      </c>
    </row>
    <row r="4611" spans="1:10" x14ac:dyDescent="0.25">
      <c r="A4611" s="2">
        <v>617.47055787580996</v>
      </c>
      <c r="B4611" s="3">
        <v>-0.28715133998841702</v>
      </c>
      <c r="C4611" s="5">
        <v>1.8724571743074901E-5</v>
      </c>
      <c r="D4611" s="6">
        <v>8.7997761737375004E-5</v>
      </c>
      <c r="E4611" s="3" t="s">
        <v>8031</v>
      </c>
      <c r="F4611" s="3" t="s">
        <v>8032</v>
      </c>
      <c r="G4611" s="3">
        <v>15288</v>
      </c>
      <c r="H4611" s="7" t="str">
        <f>HYPERLINK("http://www.ensembl.org/Mus_musculus/Gene/Summary?db=core;g=ENSMUSG00000032126","ENSMUSG00000032126")</f>
        <v>ENSMUSG00000032126</v>
      </c>
      <c r="I4611" s="7" t="str">
        <f>HYPERLINK("http://www.informatics.jax.org/marker/MGI:96112","MGI:96112")</f>
        <v>MGI:96112</v>
      </c>
      <c r="J4611" s="4" t="s">
        <v>12</v>
      </c>
    </row>
    <row r="4612" spans="1:10" x14ac:dyDescent="0.25">
      <c r="A4612" s="2">
        <v>939.41814552524102</v>
      </c>
      <c r="B4612" s="3">
        <v>-0.28731833568072901</v>
      </c>
      <c r="C4612" s="5">
        <v>6.8686997290848703E-6</v>
      </c>
      <c r="D4612" s="6">
        <v>3.4419041122510803E-5</v>
      </c>
      <c r="E4612" s="3" t="s">
        <v>9129</v>
      </c>
      <c r="F4612" s="3" t="s">
        <v>9130</v>
      </c>
      <c r="G4612" s="3">
        <v>27410</v>
      </c>
      <c r="H4612" s="7" t="str">
        <f>HYPERLINK("http://www.ensembl.org/Mus_musculus/Gene/Summary?db=core;g=ENSMUSG00000024130","ENSMUSG00000024130")</f>
        <v>ENSMUSG00000024130</v>
      </c>
      <c r="I4612" s="7" t="str">
        <f>HYPERLINK("http://www.informatics.jax.org/marker/MGI:1351617","MGI:1351617")</f>
        <v>MGI:1351617</v>
      </c>
      <c r="J4612" s="4" t="s">
        <v>12</v>
      </c>
    </row>
    <row r="4613" spans="1:10" x14ac:dyDescent="0.25">
      <c r="A4613" s="2">
        <v>113.01105506021401</v>
      </c>
      <c r="B4613" s="3">
        <v>-0.28739031721666702</v>
      </c>
      <c r="C4613" s="3">
        <v>2.0421973222379999E-2</v>
      </c>
      <c r="D4613" s="4">
        <v>5.2509941023966597E-2</v>
      </c>
      <c r="E4613" s="3" t="s">
        <v>6433</v>
      </c>
      <c r="F4613" s="3" t="s">
        <v>6434</v>
      </c>
      <c r="G4613" s="3">
        <v>433926</v>
      </c>
      <c r="H4613" s="7" t="str">
        <f>HYPERLINK("http://www.ensembl.org/Mus_musculus/Gene/Summary?db=core;g=ENSMUSG00000070639","ENSMUSG00000070639")</f>
        <v>ENSMUSG00000070639</v>
      </c>
      <c r="I4613" s="7" t="str">
        <f>HYPERLINK("http://www.informatics.jax.org/marker/MGI:2141353","MGI:2141353")</f>
        <v>MGI:2141353</v>
      </c>
      <c r="J4613" s="4" t="s">
        <v>12</v>
      </c>
    </row>
    <row r="4614" spans="1:10" x14ac:dyDescent="0.25">
      <c r="A4614" s="2">
        <v>452.599692588425</v>
      </c>
      <c r="B4614" s="3">
        <v>-0.28757260612660601</v>
      </c>
      <c r="C4614" s="3">
        <v>2.1964242102049601E-4</v>
      </c>
      <c r="D4614" s="4">
        <v>8.6644656344124396E-4</v>
      </c>
      <c r="E4614" s="3" t="s">
        <v>3978</v>
      </c>
      <c r="F4614" s="3" t="s">
        <v>3979</v>
      </c>
      <c r="G4614" s="3">
        <v>12892</v>
      </c>
      <c r="H4614" s="7" t="str">
        <f>HYPERLINK("http://www.ensembl.org/Mus_musculus/Gene/Summary?db=core;g=ENSMUSG00000022742","ENSMUSG00000022742")</f>
        <v>ENSMUSG00000022742</v>
      </c>
      <c r="I4614" s="7" t="str">
        <f>HYPERLINK("http://www.informatics.jax.org/marker/MGI:104841","MGI:104841")</f>
        <v>MGI:104841</v>
      </c>
      <c r="J4614" s="4" t="s">
        <v>12</v>
      </c>
    </row>
    <row r="4615" spans="1:10" x14ac:dyDescent="0.25">
      <c r="A4615" s="2">
        <v>254.49051223772099</v>
      </c>
      <c r="B4615" s="3">
        <v>-0.28763854898144198</v>
      </c>
      <c r="C4615" s="3">
        <v>5.4686927828264398E-3</v>
      </c>
      <c r="D4615" s="4">
        <v>1.6296096462886201E-2</v>
      </c>
      <c r="E4615" s="3" t="s">
        <v>11287</v>
      </c>
      <c r="F4615" s="3" t="s">
        <v>11288</v>
      </c>
      <c r="G4615" s="3">
        <v>72368</v>
      </c>
      <c r="H4615" s="7" t="str">
        <f>HYPERLINK("http://www.ensembl.org/Mus_musculus/Gene/Summary?db=core;g=ENSMUSG00000002345","ENSMUSG00000002345")</f>
        <v>ENSMUSG00000002345</v>
      </c>
      <c r="I4615" s="7" t="str">
        <f>HYPERLINK("http://www.informatics.jax.org/marker/MGI:1919618","MGI:1919618")</f>
        <v>MGI:1919618</v>
      </c>
      <c r="J4615" s="4" t="s">
        <v>12</v>
      </c>
    </row>
    <row r="4616" spans="1:10" x14ac:dyDescent="0.25">
      <c r="A4616" s="2">
        <v>372.79851621603302</v>
      </c>
      <c r="B4616" s="3">
        <v>-0.28792692136300702</v>
      </c>
      <c r="C4616" s="3">
        <v>5.1424376976231603E-3</v>
      </c>
      <c r="D4616" s="4">
        <v>1.5432393716315201E-2</v>
      </c>
      <c r="E4616" s="3" t="s">
        <v>13415</v>
      </c>
      <c r="F4616" s="3" t="s">
        <v>13416</v>
      </c>
      <c r="G4616" s="3">
        <v>269999</v>
      </c>
      <c r="H4616" s="7" t="str">
        <f>HYPERLINK("http://www.ensembl.org/Mus_musculus/Gene/Summary?db=core;g=ENSMUSG00000043964","ENSMUSG00000043964")</f>
        <v>ENSMUSG00000043964</v>
      </c>
      <c r="I4616" s="7" t="str">
        <f>HYPERLINK("http://www.informatics.jax.org/marker/MGI:3039586","MGI:3039586")</f>
        <v>MGI:3039586</v>
      </c>
      <c r="J4616" s="4" t="s">
        <v>12</v>
      </c>
    </row>
    <row r="4617" spans="1:10" x14ac:dyDescent="0.25">
      <c r="A4617" s="2">
        <v>696.43421992635899</v>
      </c>
      <c r="B4617" s="3">
        <v>-0.28833194958561498</v>
      </c>
      <c r="C4617" s="5">
        <v>1.42144744437802E-6</v>
      </c>
      <c r="D4617" s="6">
        <v>7.7795434455824306E-6</v>
      </c>
      <c r="E4617" s="3" t="s">
        <v>5143</v>
      </c>
      <c r="F4617" s="3" t="s">
        <v>5144</v>
      </c>
      <c r="G4617" s="3">
        <v>54391</v>
      </c>
      <c r="H4617" s="7" t="str">
        <f>HYPERLINK("http://www.ensembl.org/Mus_musculus/Gene/Summary?db=core;g=ENSMUSG00000024712","ENSMUSG00000024712")</f>
        <v>ENSMUSG00000024712</v>
      </c>
      <c r="I4617" s="7" t="str">
        <f>HYPERLINK("http://www.informatics.jax.org/marker/MGI:1914688","MGI:1914688")</f>
        <v>MGI:1914688</v>
      </c>
      <c r="J4617" s="4" t="s">
        <v>12</v>
      </c>
    </row>
    <row r="4618" spans="1:10" x14ac:dyDescent="0.25">
      <c r="A4618" s="2">
        <v>3042.2113349896699</v>
      </c>
      <c r="B4618" s="3">
        <v>-0.28898899105766601</v>
      </c>
      <c r="C4618" s="5">
        <v>2.8299014908546598E-10</v>
      </c>
      <c r="D4618" s="6">
        <v>2.3290363743952902E-9</v>
      </c>
      <c r="E4618" s="3" t="s">
        <v>8131</v>
      </c>
      <c r="F4618" s="3" t="s">
        <v>8132</v>
      </c>
      <c r="G4618" s="3">
        <v>209497</v>
      </c>
      <c r="H4618" s="7" t="str">
        <f>HYPERLINK("http://www.ensembl.org/Mus_musculus/Gene/Summary?db=core;g=ENSMUSG00000047045","ENSMUSG00000047045")</f>
        <v>ENSMUSG00000047045</v>
      </c>
      <c r="I4618" s="7" t="str">
        <f>HYPERLINK("http://www.informatics.jax.org/marker/MGI:2148020","MGI:2148020")</f>
        <v>MGI:2148020</v>
      </c>
      <c r="J4618" s="4" t="s">
        <v>12</v>
      </c>
    </row>
    <row r="4619" spans="1:10" x14ac:dyDescent="0.25">
      <c r="A4619" s="2">
        <v>216.524632632063</v>
      </c>
      <c r="B4619" s="3">
        <v>-0.28907915590761901</v>
      </c>
      <c r="C4619" s="3">
        <v>1.6185732562128599E-4</v>
      </c>
      <c r="D4619" s="4">
        <v>6.5291052665957102E-4</v>
      </c>
      <c r="E4619" s="3" t="s">
        <v>7910</v>
      </c>
      <c r="F4619" s="3" t="s">
        <v>7911</v>
      </c>
      <c r="G4619" s="3">
        <v>18408</v>
      </c>
      <c r="H4619" s="7" t="str">
        <f>HYPERLINK("http://www.ensembl.org/Mus_musculus/Gene/Summary?db=core;g=ENSMUSG00000031482","ENSMUSG00000031482")</f>
        <v>ENSMUSG00000031482</v>
      </c>
      <c r="I4619" s="7" t="str">
        <f>HYPERLINK("http://www.informatics.jax.org/marker/MGI:1342274","MGI:1342274")</f>
        <v>MGI:1342274</v>
      </c>
      <c r="J4619" s="4" t="s">
        <v>12</v>
      </c>
    </row>
    <row r="4620" spans="1:10" x14ac:dyDescent="0.25">
      <c r="A4620" s="2">
        <v>435.43109742147197</v>
      </c>
      <c r="B4620" s="3">
        <v>-0.28920205040528602</v>
      </c>
      <c r="C4620" s="5">
        <v>1.20250296262503E-5</v>
      </c>
      <c r="D4620" s="6">
        <v>5.8147032352987698E-5</v>
      </c>
      <c r="E4620" s="3" t="s">
        <v>7384</v>
      </c>
      <c r="F4620" s="3" t="s">
        <v>7385</v>
      </c>
      <c r="G4620" s="3">
        <v>14894</v>
      </c>
      <c r="H4620" s="7" t="str">
        <f>HYPERLINK("http://www.ensembl.org/Mus_musculus/Gene/Summary?db=core;g=ENSMUSG00000031796","ENSMUSG00000031796")</f>
        <v>ENSMUSG00000031796</v>
      </c>
      <c r="I4620" s="7" t="str">
        <f>HYPERLINK("http://www.informatics.jax.org/marker/MGI:107428","MGI:107428")</f>
        <v>MGI:107428</v>
      </c>
      <c r="J4620" s="4" t="s">
        <v>12</v>
      </c>
    </row>
    <row r="4621" spans="1:10" x14ac:dyDescent="0.25">
      <c r="A4621" s="2">
        <v>541.47280350655501</v>
      </c>
      <c r="B4621" s="3">
        <v>-0.28967867652499202</v>
      </c>
      <c r="C4621" s="5">
        <v>1.9880488744204599E-5</v>
      </c>
      <c r="D4621" s="6">
        <v>9.2974572071626501E-5</v>
      </c>
      <c r="E4621" s="3" t="s">
        <v>9299</v>
      </c>
      <c r="F4621" s="3" t="s">
        <v>9300</v>
      </c>
      <c r="G4621" s="3">
        <v>78893</v>
      </c>
      <c r="H4621" s="7" t="str">
        <f>HYPERLINK("http://www.ensembl.org/Mus_musculus/Gene/Summary?db=core;g=ENSMUSG00000056167","ENSMUSG00000056167")</f>
        <v>ENSMUSG00000056167</v>
      </c>
      <c r="I4621" s="7" t="str">
        <f>HYPERLINK("http://www.informatics.jax.org/marker/MGI:1926143","MGI:1926143")</f>
        <v>MGI:1926143</v>
      </c>
      <c r="J4621" s="4" t="s">
        <v>12</v>
      </c>
    </row>
    <row r="4622" spans="1:10" x14ac:dyDescent="0.25">
      <c r="A4622" s="2">
        <v>923.04426261980996</v>
      </c>
      <c r="B4622" s="3">
        <v>-0.289867175223816</v>
      </c>
      <c r="C4622" s="5">
        <v>1.0178730444327901E-8</v>
      </c>
      <c r="D4622" s="6">
        <v>7.0912600285885398E-8</v>
      </c>
      <c r="E4622" s="3" t="s">
        <v>9373</v>
      </c>
      <c r="F4622" s="3" t="s">
        <v>9374</v>
      </c>
      <c r="G4622" s="3">
        <v>218506</v>
      </c>
      <c r="H4622" s="7" t="str">
        <f>HYPERLINK("http://www.ensembl.org/Mus_musculus/Gene/Summary?db=core;g=ENSMUSG00000041632","ENSMUSG00000041632")</f>
        <v>ENSMUSG00000041632</v>
      </c>
      <c r="I4622" s="7" t="str">
        <f>HYPERLINK("http://www.informatics.jax.org/marker/MGI:1919064","MGI:1919064")</f>
        <v>MGI:1919064</v>
      </c>
      <c r="J4622" s="4" t="s">
        <v>12</v>
      </c>
    </row>
    <row r="4623" spans="1:10" x14ac:dyDescent="0.25">
      <c r="A4623" s="2">
        <v>1458.30230813921</v>
      </c>
      <c r="B4623" s="3">
        <v>-0.28995041297774898</v>
      </c>
      <c r="C4623" s="5">
        <v>2.2830469143041701E-7</v>
      </c>
      <c r="D4623" s="6">
        <v>1.3759434528172501E-6</v>
      </c>
      <c r="E4623" s="3" t="s">
        <v>5165</v>
      </c>
      <c r="F4623" s="3" t="s">
        <v>5166</v>
      </c>
      <c r="G4623" s="3">
        <v>68094</v>
      </c>
      <c r="H4623" s="7" t="str">
        <f>HYPERLINK("http://www.ensembl.org/Mus_musculus/Gene/Summary?db=core;g=ENSMUSG00000025369","ENSMUSG00000025369")</f>
        <v>ENSMUSG00000025369</v>
      </c>
      <c r="I4623" s="7" t="str">
        <f>HYPERLINK("http://www.informatics.jax.org/marker/MGI:1915344","MGI:1915344")</f>
        <v>MGI:1915344</v>
      </c>
      <c r="J4623" s="4" t="s">
        <v>12</v>
      </c>
    </row>
    <row r="4624" spans="1:10" x14ac:dyDescent="0.25">
      <c r="A4624" s="2">
        <v>2047.7651999474101</v>
      </c>
      <c r="B4624" s="3">
        <v>-0.29013045062182002</v>
      </c>
      <c r="C4624" s="5">
        <v>5.5352939061244104E-6</v>
      </c>
      <c r="D4624" s="6">
        <v>2.8084836146747599E-5</v>
      </c>
      <c r="E4624" s="3" t="s">
        <v>6724</v>
      </c>
      <c r="F4624" s="3" t="s">
        <v>6725</v>
      </c>
      <c r="G4624" s="3">
        <v>213109</v>
      </c>
      <c r="H4624" s="7" t="str">
        <f>HYPERLINK("http://www.ensembl.org/Mus_musculus/Gene/Summary?db=core;g=ENSMUSG00000048874","ENSMUSG00000048874")</f>
        <v>ENSMUSG00000048874</v>
      </c>
      <c r="I4624" s="7" t="str">
        <f>HYPERLINK("http://www.informatics.jax.org/marker/MGI:2446126","MGI:2446126")</f>
        <v>MGI:2446126</v>
      </c>
      <c r="J4624" s="4" t="s">
        <v>12</v>
      </c>
    </row>
    <row r="4625" spans="1:10" x14ac:dyDescent="0.25">
      <c r="A4625" s="2">
        <v>505.12408737449198</v>
      </c>
      <c r="B4625" s="3">
        <v>-0.29026656360714098</v>
      </c>
      <c r="C4625" s="5">
        <v>8.1425744024307497E-5</v>
      </c>
      <c r="D4625" s="4">
        <v>3.4495215826197198E-4</v>
      </c>
      <c r="E4625" s="3" t="s">
        <v>8707</v>
      </c>
      <c r="F4625" s="3" t="s">
        <v>8708</v>
      </c>
      <c r="G4625" s="3">
        <v>68475</v>
      </c>
      <c r="H4625" s="7" t="str">
        <f>HYPERLINK("http://www.ensembl.org/Mus_musculus/Gene/Summary?db=core;g=ENSMUSG00000026966","ENSMUSG00000026966")</f>
        <v>ENSMUSG00000026966</v>
      </c>
      <c r="I4625" s="7" t="str">
        <f>HYPERLINK("http://www.informatics.jax.org/marker/MGI:1915725","MGI:1915725")</f>
        <v>MGI:1915725</v>
      </c>
      <c r="J4625" s="4" t="s">
        <v>12</v>
      </c>
    </row>
    <row r="4626" spans="1:10" x14ac:dyDescent="0.25">
      <c r="A4626" s="2">
        <v>232.36094031104801</v>
      </c>
      <c r="B4626" s="3">
        <v>-0.29033817685902402</v>
      </c>
      <c r="C4626" s="3">
        <v>5.78080440368842E-4</v>
      </c>
      <c r="D4626" s="4">
        <v>2.1258103361021302E-3</v>
      </c>
      <c r="E4626" s="3" t="s">
        <v>12599</v>
      </c>
      <c r="F4626" s="3" t="s">
        <v>12600</v>
      </c>
      <c r="G4626" s="3">
        <v>22427</v>
      </c>
      <c r="H4626" s="7" t="str">
        <f>HYPERLINK("http://www.ensembl.org/Mus_musculus/Gene/Summary?db=core;g=ENSMUSG00000031583","ENSMUSG00000031583")</f>
        <v>ENSMUSG00000031583</v>
      </c>
      <c r="I4626" s="7" t="str">
        <f>HYPERLINK("http://www.informatics.jax.org/marker/MGI:109635","MGI:109635")</f>
        <v>MGI:109635</v>
      </c>
      <c r="J4626" s="4" t="s">
        <v>12</v>
      </c>
    </row>
    <row r="4627" spans="1:10" x14ac:dyDescent="0.25">
      <c r="A4627" s="2">
        <v>1968.7126062750301</v>
      </c>
      <c r="B4627" s="3">
        <v>-0.29057188694874198</v>
      </c>
      <c r="C4627" s="5">
        <v>8.5679578559793805E-14</v>
      </c>
      <c r="D4627" s="6">
        <v>9.3280186335259409E-13</v>
      </c>
      <c r="E4627" s="3" t="s">
        <v>2896</v>
      </c>
      <c r="F4627" s="3" t="s">
        <v>2897</v>
      </c>
      <c r="G4627" s="3">
        <v>210711</v>
      </c>
      <c r="H4627" s="7" t="str">
        <f>HYPERLINK("http://www.ensembl.org/Mus_musculus/Gene/Summary?db=core;g=ENSMUSG00000048170","ENSMUSG00000048170")</f>
        <v>ENSMUSG00000048170</v>
      </c>
      <c r="I4627" s="7" t="str">
        <f>HYPERLINK("http://www.informatics.jax.org/marker/MGI:1920977","MGI:1920977")</f>
        <v>MGI:1920977</v>
      </c>
      <c r="J4627" s="4" t="s">
        <v>12</v>
      </c>
    </row>
    <row r="4628" spans="1:10" x14ac:dyDescent="0.25">
      <c r="A4628" s="2">
        <v>692.14751218844901</v>
      </c>
      <c r="B4628" s="3">
        <v>-0.29076098974091402</v>
      </c>
      <c r="C4628" s="3">
        <v>7.2875609566320598E-4</v>
      </c>
      <c r="D4628" s="4">
        <v>2.6232628566979898E-3</v>
      </c>
      <c r="E4628" s="3" t="s">
        <v>10512</v>
      </c>
      <c r="F4628" s="3" t="s">
        <v>10513</v>
      </c>
      <c r="G4628" s="3">
        <v>66515</v>
      </c>
      <c r="H4628" s="7" t="str">
        <f>HYPERLINK("http://www.ensembl.org/Mus_musculus/Gene/Summary?db=core;g=ENSMUSG00000038545","ENSMUSG00000038545")</f>
        <v>ENSMUSG00000038545</v>
      </c>
      <c r="I4628" s="7" t="str">
        <f>HYPERLINK("http://www.informatics.jax.org/marker/MGI:1913765","MGI:1913765")</f>
        <v>MGI:1913765</v>
      </c>
      <c r="J4628" s="4" t="s">
        <v>12</v>
      </c>
    </row>
    <row r="4629" spans="1:10" x14ac:dyDescent="0.25">
      <c r="A4629" s="2">
        <v>501.01586022490102</v>
      </c>
      <c r="B4629" s="3">
        <v>-0.29123827002223202</v>
      </c>
      <c r="C4629" s="5">
        <v>7.6414822455536405E-6</v>
      </c>
      <c r="D4629" s="6">
        <v>3.8019659821243598E-5</v>
      </c>
      <c r="E4629" s="3" t="s">
        <v>8107</v>
      </c>
      <c r="F4629" s="3" t="s">
        <v>8108</v>
      </c>
      <c r="G4629" s="3">
        <v>26940</v>
      </c>
      <c r="H4629" s="7" t="str">
        <f>HYPERLINK("http://www.ensembl.org/Mus_musculus/Gene/Summary?db=core;g=ENSMUSG00000066839","ENSMUSG00000066839")</f>
        <v>ENSMUSG00000066839</v>
      </c>
      <c r="I4629" s="7" t="str">
        <f>HYPERLINK("http://www.informatics.jax.org/marker/MGI:1349469","MGI:1349469")</f>
        <v>MGI:1349469</v>
      </c>
      <c r="J4629" s="4" t="s">
        <v>12</v>
      </c>
    </row>
    <row r="4630" spans="1:10" x14ac:dyDescent="0.25">
      <c r="A4630" s="2">
        <v>1734.01768592996</v>
      </c>
      <c r="B4630" s="3">
        <v>-0.29137387665188502</v>
      </c>
      <c r="C4630" s="5">
        <v>1.75879153425552E-10</v>
      </c>
      <c r="D4630" s="6">
        <v>1.47306873675583E-9</v>
      </c>
      <c r="E4630" s="3" t="s">
        <v>3836</v>
      </c>
      <c r="F4630" s="3" t="s">
        <v>3837</v>
      </c>
      <c r="G4630" s="3">
        <v>77305</v>
      </c>
      <c r="H4630" s="7" t="str">
        <f>HYPERLINK("http://www.ensembl.org/Mus_musculus/Gene/Summary?db=core;g=ENSMUSG00000020257","ENSMUSG00000020257")</f>
        <v>ENSMUSG00000020257</v>
      </c>
      <c r="I4630" s="7" t="str">
        <f>HYPERLINK("http://www.informatics.jax.org/marker/MGI:1924555","MGI:1924555")</f>
        <v>MGI:1924555</v>
      </c>
      <c r="J4630" s="4" t="s">
        <v>12</v>
      </c>
    </row>
    <row r="4631" spans="1:10" x14ac:dyDescent="0.25">
      <c r="A4631" s="2">
        <v>1004.7900813506</v>
      </c>
      <c r="B4631" s="3">
        <v>-0.29138112328260402</v>
      </c>
      <c r="C4631" s="3">
        <v>3.97146731854862E-4</v>
      </c>
      <c r="D4631" s="4">
        <v>1.49731054779786E-3</v>
      </c>
      <c r="E4631" s="3" t="s">
        <v>4897</v>
      </c>
      <c r="F4631" s="3" t="s">
        <v>4898</v>
      </c>
      <c r="G4631" s="3">
        <v>14056</v>
      </c>
      <c r="H4631" s="7" t="str">
        <f>HYPERLINK("http://www.ensembl.org/Mus_musculus/Gene/Summary?db=core;g=ENSMUSG00000029687","ENSMUSG00000029687")</f>
        <v>ENSMUSG00000029687</v>
      </c>
      <c r="I4631" s="7" t="str">
        <f>HYPERLINK("http://www.informatics.jax.org/marker/MGI:107940","MGI:107940")</f>
        <v>MGI:107940</v>
      </c>
      <c r="J4631" s="4" t="s">
        <v>12</v>
      </c>
    </row>
    <row r="4632" spans="1:10" x14ac:dyDescent="0.25">
      <c r="A4632" s="2">
        <v>434.70423941004901</v>
      </c>
      <c r="B4632" s="3">
        <v>-0.29145234894912703</v>
      </c>
      <c r="C4632" s="5">
        <v>2.98391021389343E-5</v>
      </c>
      <c r="D4632" s="4">
        <v>1.35683043034451E-4</v>
      </c>
      <c r="E4632" s="3" t="s">
        <v>11441</v>
      </c>
      <c r="F4632" s="3" t="s">
        <v>11442</v>
      </c>
      <c r="G4632" s="3">
        <v>30947</v>
      </c>
      <c r="H4632" s="7" t="str">
        <f>HYPERLINK("http://www.ensembl.org/Mus_musculus/Gene/Summary?db=core;g=ENSMUSG00000031949","ENSMUSG00000031949")</f>
        <v>ENSMUSG00000031949</v>
      </c>
      <c r="I4632" s="7" t="str">
        <f>HYPERLINK("http://www.informatics.jax.org/marker/MGI:1353631","MGI:1353631")</f>
        <v>MGI:1353631</v>
      </c>
      <c r="J4632" s="4" t="s">
        <v>12</v>
      </c>
    </row>
    <row r="4633" spans="1:10" x14ac:dyDescent="0.25">
      <c r="A4633" s="2">
        <v>742.03425561889503</v>
      </c>
      <c r="B4633" s="3">
        <v>-0.29150040471763999</v>
      </c>
      <c r="C4633" s="5">
        <v>4.1829056151577903E-5</v>
      </c>
      <c r="D4633" s="4">
        <v>1.85708781574301E-4</v>
      </c>
      <c r="E4633" s="3" t="s">
        <v>7916</v>
      </c>
      <c r="F4633" s="3" t="s">
        <v>7917</v>
      </c>
      <c r="G4633" s="3">
        <v>237943</v>
      </c>
      <c r="H4633" s="7" t="str">
        <f>HYPERLINK("http://www.ensembl.org/Mus_musculus/Gene/Summary?db=core;g=ENSMUSG00000034621","ENSMUSG00000034621")</f>
        <v>ENSMUSG00000034621</v>
      </c>
      <c r="I4633" s="7" t="str">
        <f>HYPERLINK("http://www.informatics.jax.org/marker/MGI:1918667","MGI:1918667")</f>
        <v>MGI:1918667</v>
      </c>
      <c r="J4633" s="4" t="s">
        <v>12</v>
      </c>
    </row>
    <row r="4634" spans="1:10" x14ac:dyDescent="0.25">
      <c r="A4634" s="2">
        <v>322.61171100162801</v>
      </c>
      <c r="B4634" s="3">
        <v>-0.29166407224395902</v>
      </c>
      <c r="C4634" s="3">
        <v>1.5872683797700799E-3</v>
      </c>
      <c r="D4634" s="4">
        <v>5.3767112859050004E-3</v>
      </c>
      <c r="E4634" s="3" t="s">
        <v>6758</v>
      </c>
      <c r="F4634" s="3" t="s">
        <v>6759</v>
      </c>
      <c r="G4634" s="3">
        <v>16579</v>
      </c>
      <c r="H4634" s="7" t="str">
        <f>HYPERLINK("http://www.ensembl.org/Mus_musculus/Gene/Summary?db=core;g=ENSMUSG00000026585","ENSMUSG00000026585")</f>
        <v>ENSMUSG00000026585</v>
      </c>
      <c r="I4634" s="7" t="str">
        <f>HYPERLINK("http://www.informatics.jax.org/marker/MGI:107566","MGI:107566")</f>
        <v>MGI:107566</v>
      </c>
      <c r="J4634" s="4" t="s">
        <v>12</v>
      </c>
    </row>
    <row r="4635" spans="1:10" x14ac:dyDescent="0.25">
      <c r="A4635" s="2">
        <v>432.10732300571499</v>
      </c>
      <c r="B4635" s="3">
        <v>-0.29170275267630502</v>
      </c>
      <c r="C4635" s="3">
        <v>7.5441921105060005E-4</v>
      </c>
      <c r="D4635" s="4">
        <v>2.7097536699639698E-3</v>
      </c>
      <c r="E4635" s="3" t="s">
        <v>8189</v>
      </c>
      <c r="F4635" s="3" t="s">
        <v>8190</v>
      </c>
      <c r="G4635" s="3">
        <v>353156</v>
      </c>
      <c r="H4635" s="7" t="str">
        <f>HYPERLINK("http://www.ensembl.org/Mus_musculus/Gene/Summary?db=core;g=ENSMUSG00000026921","ENSMUSG00000026921")</f>
        <v>ENSMUSG00000026921</v>
      </c>
      <c r="I4635" s="7" t="str">
        <f>HYPERLINK("http://www.informatics.jax.org/marker/MGI:2449923","MGI:2449923")</f>
        <v>MGI:2449923</v>
      </c>
      <c r="J4635" s="4" t="s">
        <v>12</v>
      </c>
    </row>
    <row r="4636" spans="1:10" x14ac:dyDescent="0.25">
      <c r="A4636" s="2">
        <v>935.06486545717996</v>
      </c>
      <c r="B4636" s="3">
        <v>-0.29176060872661203</v>
      </c>
      <c r="C4636" s="5">
        <v>1.2052935444124801E-5</v>
      </c>
      <c r="D4636" s="6">
        <v>5.8266511530285199E-5</v>
      </c>
      <c r="E4636" s="3" t="s">
        <v>9707</v>
      </c>
      <c r="F4636" s="3" t="s">
        <v>9708</v>
      </c>
      <c r="G4636" s="3">
        <v>66314</v>
      </c>
      <c r="H4636" s="7" t="str">
        <f>HYPERLINK("http://www.ensembl.org/Mus_musculus/Gene/Summary?db=core;g=ENSMUSG00000000827","ENSMUSG00000000827")</f>
        <v>ENSMUSG00000000827</v>
      </c>
      <c r="I4636" s="7" t="str">
        <f>HYPERLINK("http://www.informatics.jax.org/marker/MGI:1913564","MGI:1913564")</f>
        <v>MGI:1913564</v>
      </c>
      <c r="J4636" s="4" t="s">
        <v>12</v>
      </c>
    </row>
    <row r="4637" spans="1:10" x14ac:dyDescent="0.25">
      <c r="A4637" s="2">
        <v>441.69867566187202</v>
      </c>
      <c r="B4637" s="3">
        <v>-0.29214427593386999</v>
      </c>
      <c r="C4637" s="3">
        <v>2.1432266585423199E-4</v>
      </c>
      <c r="D4637" s="4">
        <v>8.4729513778598398E-4</v>
      </c>
      <c r="E4637" s="3" t="s">
        <v>9695</v>
      </c>
      <c r="F4637" s="3" t="s">
        <v>9696</v>
      </c>
      <c r="G4637" s="3">
        <v>56389</v>
      </c>
      <c r="H4637" s="7" t="str">
        <f>HYPERLINK("http://www.ensembl.org/Mus_musculus/Gene/Summary?db=core;g=ENSMUSG00000010110","ENSMUSG00000010110")</f>
        <v>ENSMUSG00000010110</v>
      </c>
      <c r="I4637" s="7" t="str">
        <f>HYPERLINK("http://www.informatics.jax.org/marker/MGI:1928483","MGI:1928483")</f>
        <v>MGI:1928483</v>
      </c>
      <c r="J4637" s="4" t="s">
        <v>12</v>
      </c>
    </row>
    <row r="4638" spans="1:10" x14ac:dyDescent="0.25">
      <c r="A4638" s="2">
        <v>430.65841126094602</v>
      </c>
      <c r="B4638" s="3">
        <v>-0.292164391776359</v>
      </c>
      <c r="C4638" s="3">
        <v>1.6035815313015099E-4</v>
      </c>
      <c r="D4638" s="4">
        <v>6.4757973427808496E-4</v>
      </c>
      <c r="E4638" s="3" t="s">
        <v>13159</v>
      </c>
      <c r="F4638" s="3" t="s">
        <v>13160</v>
      </c>
      <c r="G4638" s="3">
        <v>209011</v>
      </c>
      <c r="H4638" s="7" t="str">
        <f>HYPERLINK("http://www.ensembl.org/Mus_musculus/Gene/Summary?db=core;g=ENSMUSG00000025138","ENSMUSG00000025138")</f>
        <v>ENSMUSG00000025138</v>
      </c>
      <c r="I4638" s="7" t="str">
        <f>HYPERLINK("http://www.informatics.jax.org/marker/MGI:2385849","MGI:2385849")</f>
        <v>MGI:2385849</v>
      </c>
      <c r="J4638" s="4" t="s">
        <v>12</v>
      </c>
    </row>
    <row r="4639" spans="1:10" x14ac:dyDescent="0.25">
      <c r="A4639" s="2">
        <v>253.82515246824099</v>
      </c>
      <c r="B4639" s="3">
        <v>-0.29224453158751101</v>
      </c>
      <c r="C4639" s="3">
        <v>6.05054097668172E-3</v>
      </c>
      <c r="D4639" s="4">
        <v>1.7854778060237102E-2</v>
      </c>
      <c r="E4639" s="3" t="s">
        <v>12567</v>
      </c>
      <c r="F4639" s="3" t="s">
        <v>12568</v>
      </c>
      <c r="G4639" s="3">
        <v>26378</v>
      </c>
      <c r="H4639" s="7" t="str">
        <f>HYPERLINK("http://www.ensembl.org/Mus_musculus/Gene/Summary?db=core;g=ENSMUSG00000036775","ENSMUSG00000036775")</f>
        <v>ENSMUSG00000036775</v>
      </c>
      <c r="I4639" s="7" t="str">
        <f>HYPERLINK("http://www.informatics.jax.org/marker/MGI:1347059","MGI:1347059")</f>
        <v>MGI:1347059</v>
      </c>
      <c r="J4639" s="4" t="s">
        <v>12</v>
      </c>
    </row>
    <row r="4640" spans="1:10" x14ac:dyDescent="0.25">
      <c r="A4640" s="2">
        <v>702.38603817421802</v>
      </c>
      <c r="B4640" s="3">
        <v>-0.292579407525209</v>
      </c>
      <c r="C4640" s="3">
        <v>1.2899125514583399E-2</v>
      </c>
      <c r="D4640" s="4">
        <v>3.5145247795377803E-2</v>
      </c>
      <c r="E4640" s="3" t="s">
        <v>13591</v>
      </c>
      <c r="F4640" s="3" t="s">
        <v>13592</v>
      </c>
      <c r="G4640" s="3">
        <v>56434</v>
      </c>
      <c r="H4640" s="7" t="str">
        <f>HYPERLINK("http://www.ensembl.org/Mus_musculus/Gene/Summary?db=core;g=ENSMUSG00000032324","ENSMUSG00000032324")</f>
        <v>ENSMUSG00000032324</v>
      </c>
      <c r="I4640" s="7" t="str">
        <f>HYPERLINK("http://www.informatics.jax.org/marker/MGI:1928098","MGI:1928098")</f>
        <v>MGI:1928098</v>
      </c>
      <c r="J4640" s="4" t="s">
        <v>12</v>
      </c>
    </row>
    <row r="4641" spans="1:10" x14ac:dyDescent="0.25">
      <c r="A4641" s="2">
        <v>320.34488648208702</v>
      </c>
      <c r="B4641" s="3">
        <v>-0.29317755172631998</v>
      </c>
      <c r="C4641" s="5">
        <v>5.55579764690597E-5</v>
      </c>
      <c r="D4641" s="4">
        <v>2.42235435681487E-4</v>
      </c>
      <c r="E4641" s="3" t="s">
        <v>4499</v>
      </c>
      <c r="F4641" s="3" t="s">
        <v>4500</v>
      </c>
      <c r="G4641" s="3">
        <v>68366</v>
      </c>
      <c r="H4641" s="7" t="str">
        <f>HYPERLINK("http://www.ensembl.org/Mus_musculus/Gene/Summary?db=core;g=ENSMUSG00000019295","ENSMUSG00000019295")</f>
        <v>ENSMUSG00000019295</v>
      </c>
      <c r="I4641" s="7" t="str">
        <f>HYPERLINK("http://www.informatics.jax.org/marker/MGI:1915616","MGI:1915616")</f>
        <v>MGI:1915616</v>
      </c>
      <c r="J4641" s="4" t="s">
        <v>12</v>
      </c>
    </row>
    <row r="4642" spans="1:10" x14ac:dyDescent="0.25">
      <c r="A4642" s="2">
        <v>867.20711954893</v>
      </c>
      <c r="B4642" s="3">
        <v>-0.293707506929761</v>
      </c>
      <c r="C4642" s="5">
        <v>6.1252847251763995E-7</v>
      </c>
      <c r="D4642" s="6">
        <v>3.4863620898294801E-6</v>
      </c>
      <c r="E4642" s="3" t="s">
        <v>7772</v>
      </c>
      <c r="F4642" s="3" t="s">
        <v>7773</v>
      </c>
      <c r="G4642" s="3">
        <v>67873</v>
      </c>
      <c r="H4642" s="7" t="str">
        <f>HYPERLINK("http://www.ensembl.org/Mus_musculus/Gene/Summary?db=core;g=ENSMUSG00000004996","ENSMUSG00000004996")</f>
        <v>ENSMUSG00000004996</v>
      </c>
      <c r="I4642" s="7" t="str">
        <f>HYPERLINK("http://www.informatics.jax.org/marker/MGI:1915123","MGI:1915123")</f>
        <v>MGI:1915123</v>
      </c>
      <c r="J4642" s="4" t="s">
        <v>12</v>
      </c>
    </row>
    <row r="4643" spans="1:10" x14ac:dyDescent="0.25">
      <c r="A4643" s="2">
        <v>1427.9442085958499</v>
      </c>
      <c r="B4643" s="3">
        <v>-0.29419739517469901</v>
      </c>
      <c r="C4643" s="5">
        <v>5.4517223440245899E-5</v>
      </c>
      <c r="D4643" s="4">
        <v>2.3786842164196401E-4</v>
      </c>
      <c r="E4643" s="3" t="s">
        <v>8711</v>
      </c>
      <c r="F4643" s="3" t="s">
        <v>8712</v>
      </c>
      <c r="G4643" s="3">
        <v>76246</v>
      </c>
      <c r="H4643" s="7" t="str">
        <f>HYPERLINK("http://www.ensembl.org/Mus_musculus/Gene/Summary?db=core;g=ENSMUSG00000027304","ENSMUSG00000027304")</f>
        <v>ENSMUSG00000027304</v>
      </c>
      <c r="I4643" s="7" t="str">
        <f>HYPERLINK("http://www.informatics.jax.org/marker/MGI:1309480","MGI:1309480")</f>
        <v>MGI:1309480</v>
      </c>
      <c r="J4643" s="4" t="s">
        <v>12</v>
      </c>
    </row>
    <row r="4644" spans="1:10" x14ac:dyDescent="0.25">
      <c r="A4644" s="2">
        <v>1270.73500973661</v>
      </c>
      <c r="B4644" s="3">
        <v>-0.29425211900211001</v>
      </c>
      <c r="C4644" s="5">
        <v>3.9721606254404001E-7</v>
      </c>
      <c r="D4644" s="6">
        <v>2.3217648299759901E-6</v>
      </c>
      <c r="E4644" s="3" t="s">
        <v>6591</v>
      </c>
      <c r="F4644" s="3" t="s">
        <v>6592</v>
      </c>
      <c r="G4644" s="3">
        <v>74340</v>
      </c>
      <c r="H4644" s="7" t="str">
        <f>HYPERLINK("http://www.ensembl.org/Mus_musculus/Gene/Summary?db=core;g=ENSMUSG00000029772","ENSMUSG00000029772")</f>
        <v>ENSMUSG00000029772</v>
      </c>
      <c r="I4644" s="7" t="str">
        <f>HYPERLINK("http://www.informatics.jax.org/marker/MGI:1921590","MGI:1921590")</f>
        <v>MGI:1921590</v>
      </c>
      <c r="J4644" s="4" t="s">
        <v>12</v>
      </c>
    </row>
    <row r="4645" spans="1:10" x14ac:dyDescent="0.25">
      <c r="A4645" s="2">
        <v>2901.2473033145402</v>
      </c>
      <c r="B4645" s="3">
        <v>-0.29434136165247499</v>
      </c>
      <c r="C4645" s="5">
        <v>5.0021933775941302E-5</v>
      </c>
      <c r="D4645" s="4">
        <v>2.19463106178751E-4</v>
      </c>
      <c r="E4645" s="3" t="s">
        <v>6441</v>
      </c>
      <c r="F4645" s="3" t="s">
        <v>6442</v>
      </c>
      <c r="G4645" s="3">
        <v>54725</v>
      </c>
      <c r="H4645" s="7" t="str">
        <f>HYPERLINK("http://www.ensembl.org/Mus_musculus/Gene/Summary?db=core;g=ENSMUSG00000032076","ENSMUSG00000032076")</f>
        <v>ENSMUSG00000032076</v>
      </c>
      <c r="I4645" s="7" t="str">
        <f>HYPERLINK("http://www.informatics.jax.org/marker/MGI:1889272","MGI:1889272")</f>
        <v>MGI:1889272</v>
      </c>
      <c r="J4645" s="4" t="s">
        <v>12</v>
      </c>
    </row>
    <row r="4646" spans="1:10" x14ac:dyDescent="0.25">
      <c r="A4646" s="2">
        <v>380.53099498628097</v>
      </c>
      <c r="B4646" s="3">
        <v>-0.29444646360266702</v>
      </c>
      <c r="C4646" s="3">
        <v>1.7543264258015101E-4</v>
      </c>
      <c r="D4646" s="4">
        <v>7.0331278289116801E-4</v>
      </c>
      <c r="E4646" s="3" t="s">
        <v>5979</v>
      </c>
      <c r="F4646" s="3" t="s">
        <v>5980</v>
      </c>
      <c r="G4646" s="3">
        <v>18679</v>
      </c>
      <c r="H4646" s="7" t="str">
        <f>HYPERLINK("http://www.ensembl.org/Mus_musculus/Gene/Summary?db=core;g=ENSMUSG00000034055","ENSMUSG00000034055")</f>
        <v>ENSMUSG00000034055</v>
      </c>
      <c r="I4646" s="7" t="str">
        <f>HYPERLINK("http://www.informatics.jax.org/marker/MGI:97576","MGI:97576")</f>
        <v>MGI:97576</v>
      </c>
      <c r="J4646" s="4" t="s">
        <v>12</v>
      </c>
    </row>
    <row r="4647" spans="1:10" x14ac:dyDescent="0.25">
      <c r="A4647" s="2">
        <v>427.26829661291799</v>
      </c>
      <c r="B4647" s="3">
        <v>-0.29450968578980702</v>
      </c>
      <c r="C4647" s="3">
        <v>1.4582280378317601E-3</v>
      </c>
      <c r="D4647" s="4">
        <v>4.9730924381519298E-3</v>
      </c>
      <c r="E4647" s="3" t="s">
        <v>6756</v>
      </c>
      <c r="F4647" s="3" t="s">
        <v>6757</v>
      </c>
      <c r="G4647" s="3">
        <v>209334</v>
      </c>
      <c r="H4647" s="7" t="str">
        <f>HYPERLINK("http://www.ensembl.org/Mus_musculus/Gene/Summary?db=core;g=ENSMUSG00000051235","ENSMUSG00000051235")</f>
        <v>ENSMUSG00000051235</v>
      </c>
      <c r="I4647" s="7" t="str">
        <f>HYPERLINK("http://www.informatics.jax.org/marker/MGI:2443149","MGI:2443149")</f>
        <v>MGI:2443149</v>
      </c>
      <c r="J4647" s="4" t="s">
        <v>12</v>
      </c>
    </row>
    <row r="4648" spans="1:10" x14ac:dyDescent="0.25">
      <c r="A4648" s="2">
        <v>1408.1623583108301</v>
      </c>
      <c r="B4648" s="3">
        <v>-0.29452767859655798</v>
      </c>
      <c r="C4648" s="5">
        <v>1.4445619656319099E-7</v>
      </c>
      <c r="D4648" s="6">
        <v>8.9063402651020105E-7</v>
      </c>
      <c r="E4648" s="3" t="s">
        <v>4079</v>
      </c>
      <c r="F4648" s="3" t="s">
        <v>4080</v>
      </c>
      <c r="G4648" s="3">
        <v>19765</v>
      </c>
      <c r="H4648" s="7" t="str">
        <f>HYPERLINK("http://www.ensembl.org/Mus_musculus/Gene/Summary?db=core;g=ENSMUSG00000024096","ENSMUSG00000024096")</f>
        <v>ENSMUSG00000024096</v>
      </c>
      <c r="I4648" s="7" t="str">
        <f>HYPERLINK("http://www.informatics.jax.org/marker/MGI:108466","MGI:108466")</f>
        <v>MGI:108466</v>
      </c>
      <c r="J4648" s="4" t="s">
        <v>12</v>
      </c>
    </row>
    <row r="4649" spans="1:10" x14ac:dyDescent="0.25">
      <c r="A4649" s="2">
        <v>339.97501656672102</v>
      </c>
      <c r="B4649" s="3">
        <v>-0.29459859164477797</v>
      </c>
      <c r="C4649" s="3">
        <v>1.83656683504043E-3</v>
      </c>
      <c r="D4649" s="4">
        <v>6.1314216099307298E-3</v>
      </c>
      <c r="E4649" s="3" t="s">
        <v>6647</v>
      </c>
      <c r="F4649" s="3" t="s">
        <v>6648</v>
      </c>
      <c r="G4649" s="3">
        <v>53892</v>
      </c>
      <c r="H4649" s="7" t="str">
        <f>HYPERLINK("http://www.ensembl.org/Mus_musculus/Gene/Summary?db=core;g=ENSMUSG00000020525","ENSMUSG00000020525")</f>
        <v>ENSMUSG00000020525</v>
      </c>
      <c r="I4649" s="7" t="str">
        <f>HYPERLINK("http://www.informatics.jax.org/marker/MGI:1858214","MGI:1858214")</f>
        <v>MGI:1858214</v>
      </c>
      <c r="J4649" s="4" t="s">
        <v>12</v>
      </c>
    </row>
    <row r="4650" spans="1:10" x14ac:dyDescent="0.25">
      <c r="A4650" s="2">
        <v>515.76151501044899</v>
      </c>
      <c r="B4650" s="3">
        <v>-0.29471508620885101</v>
      </c>
      <c r="C4650" s="3">
        <v>1.62548383215835E-2</v>
      </c>
      <c r="D4650" s="4">
        <v>4.3134016949746598E-2</v>
      </c>
      <c r="E4650" s="3" t="s">
        <v>13539</v>
      </c>
      <c r="F4650" s="3" t="s">
        <v>13540</v>
      </c>
      <c r="G4650" s="3">
        <v>68401</v>
      </c>
      <c r="H4650" s="7" t="str">
        <f>HYPERLINK("http://www.ensembl.org/Mus_musculus/Gene/Summary?db=core;g=ENSMUSG00000034793","ENSMUSG00000034793")</f>
        <v>ENSMUSG00000034793</v>
      </c>
      <c r="I4650" s="7" t="str">
        <f>HYPERLINK("http://www.informatics.jax.org/marker/MGI:1915651","MGI:1915651")</f>
        <v>MGI:1915651</v>
      </c>
      <c r="J4650" s="4" t="s">
        <v>12</v>
      </c>
    </row>
    <row r="4651" spans="1:10" x14ac:dyDescent="0.25">
      <c r="A4651" s="2">
        <v>2543.8521952812198</v>
      </c>
      <c r="B4651" s="3">
        <v>-0.29475026647955299</v>
      </c>
      <c r="C4651" s="5">
        <v>3.7411523143253799E-5</v>
      </c>
      <c r="D4651" s="4">
        <v>1.6715494221274799E-4</v>
      </c>
      <c r="E4651" s="3" t="s">
        <v>7390</v>
      </c>
      <c r="F4651" s="3" t="s">
        <v>7391</v>
      </c>
      <c r="G4651" s="3">
        <v>234865</v>
      </c>
      <c r="H4651" s="7" t="str">
        <f>HYPERLINK("http://www.ensembl.org/Mus_musculus/Gene/Summary?db=core;g=ENSMUSG00000039509","ENSMUSG00000039509")</f>
        <v>ENSMUSG00000039509</v>
      </c>
      <c r="I4651" s="7" t="str">
        <f>HYPERLINK("http://www.informatics.jax.org/marker/MGI:2442620","MGI:2442620")</f>
        <v>MGI:2442620</v>
      </c>
      <c r="J4651" s="4" t="s">
        <v>12</v>
      </c>
    </row>
    <row r="4652" spans="1:10" x14ac:dyDescent="0.25">
      <c r="A4652" s="2">
        <v>921.52286998903003</v>
      </c>
      <c r="B4652" s="3">
        <v>-0.29486855668009498</v>
      </c>
      <c r="C4652" s="5">
        <v>3.6548810433050303E-5</v>
      </c>
      <c r="D4652" s="4">
        <v>1.6366144229541601E-4</v>
      </c>
      <c r="E4652" s="3" t="s">
        <v>4139</v>
      </c>
      <c r="F4652" s="3" t="s">
        <v>4140</v>
      </c>
      <c r="G4652" s="3">
        <v>229473</v>
      </c>
      <c r="H4652" s="7" t="str">
        <f>HYPERLINK("http://www.ensembl.org/Mus_musculus/Gene/Summary?db=core;g=ENSMUSG00000033767","ENSMUSG00000033767")</f>
        <v>ENSMUSG00000033767</v>
      </c>
      <c r="I4652" s="7" t="str">
        <f>HYPERLINK("http://www.informatics.jax.org/marker/MGI:2443399","MGI:2443399")</f>
        <v>MGI:2443399</v>
      </c>
      <c r="J4652" s="4" t="s">
        <v>12</v>
      </c>
    </row>
    <row r="4653" spans="1:10" x14ac:dyDescent="0.25">
      <c r="A4653" s="2">
        <v>129.48340112627599</v>
      </c>
      <c r="B4653" s="3">
        <v>-0.29515525792566599</v>
      </c>
      <c r="C4653" s="3">
        <v>2.5340175490281398E-2</v>
      </c>
      <c r="D4653" s="4">
        <v>6.3507246742351198E-2</v>
      </c>
      <c r="E4653" s="3" t="s">
        <v>8829</v>
      </c>
      <c r="F4653" s="3" t="s">
        <v>8830</v>
      </c>
      <c r="G4653" s="3">
        <v>22772</v>
      </c>
      <c r="H4653" s="7" t="str">
        <f>HYPERLINK("http://www.ensembl.org/Mus_musculus/Gene/Summary?db=core;g=ENSMUSG00000061524","ENSMUSG00000061524")</f>
        <v>ENSMUSG00000061524</v>
      </c>
      <c r="I4653" s="7" t="str">
        <f>HYPERLINK("http://www.informatics.jax.org/marker/MGI:106679","MGI:106679")</f>
        <v>MGI:106679</v>
      </c>
      <c r="J4653" s="4" t="s">
        <v>12</v>
      </c>
    </row>
    <row r="4654" spans="1:10" x14ac:dyDescent="0.25">
      <c r="A4654" s="2">
        <v>399.89324214010799</v>
      </c>
      <c r="B4654" s="3">
        <v>-0.295343680143965</v>
      </c>
      <c r="C4654" s="3">
        <v>1.32685184109604E-3</v>
      </c>
      <c r="D4654" s="4">
        <v>4.5677889693946502E-3</v>
      </c>
      <c r="E4654" s="3" t="s">
        <v>13633</v>
      </c>
      <c r="F4654" s="3" t="s">
        <v>13634</v>
      </c>
      <c r="G4654" s="3" t="s">
        <v>83</v>
      </c>
      <c r="H4654" s="7" t="str">
        <f>HYPERLINK("http://www.ensembl.org/Mus_musculus/Gene/Summary?db=core;g=ENSMUSG00000097119","ENSMUSG00000097119")</f>
        <v>ENSMUSG00000097119</v>
      </c>
      <c r="I4654" s="7" t="str">
        <f>HYPERLINK("http://www.informatics.jax.org/marker/MGI:2443272","MGI:2443272")</f>
        <v>MGI:2443272</v>
      </c>
      <c r="J4654" s="4" t="s">
        <v>3187</v>
      </c>
    </row>
    <row r="4655" spans="1:10" x14ac:dyDescent="0.25">
      <c r="A4655" s="2">
        <v>846.082044669997</v>
      </c>
      <c r="B4655" s="3">
        <v>-0.29550986771226401</v>
      </c>
      <c r="C4655" s="3">
        <v>1.1603906521361099E-3</v>
      </c>
      <c r="D4655" s="4">
        <v>4.0312847188678199E-3</v>
      </c>
      <c r="E4655" s="3" t="s">
        <v>8393</v>
      </c>
      <c r="F4655" s="3" t="s">
        <v>8394</v>
      </c>
      <c r="G4655" s="3">
        <v>94181</v>
      </c>
      <c r="H4655" s="7" t="str">
        <f>HYPERLINK("http://www.ensembl.org/Mus_musculus/Gene/Summary?db=core;g=ENSMUSG00000028334","ENSMUSG00000028334")</f>
        <v>ENSMUSG00000028334</v>
      </c>
      <c r="I4655" s="7" t="str">
        <f>HYPERLINK("http://www.informatics.jax.org/marker/MGI:2149820","MGI:2149820")</f>
        <v>MGI:2149820</v>
      </c>
      <c r="J4655" s="4" t="s">
        <v>12</v>
      </c>
    </row>
    <row r="4656" spans="1:10" x14ac:dyDescent="0.25">
      <c r="A4656" s="2">
        <v>607.38519490217004</v>
      </c>
      <c r="B4656" s="3">
        <v>-0.29571224619658198</v>
      </c>
      <c r="C4656" s="3">
        <v>7.2200756155913295E-4</v>
      </c>
      <c r="D4656" s="4">
        <v>2.6020541446342099E-3</v>
      </c>
      <c r="E4656" s="3" t="s">
        <v>12311</v>
      </c>
      <c r="F4656" s="3" t="s">
        <v>12312</v>
      </c>
      <c r="G4656" s="3">
        <v>140546</v>
      </c>
      <c r="H4656" s="7" t="str">
        <f>HYPERLINK("http://www.ensembl.org/Mus_musculus/Gene/Summary?db=core;g=ENSMUSG00000033423","ENSMUSG00000033423")</f>
        <v>ENSMUSG00000033423</v>
      </c>
      <c r="I4656" s="7" t="str">
        <f>HYPERLINK("http://www.informatics.jax.org/marker/MGI:2153887","MGI:2153887")</f>
        <v>MGI:2153887</v>
      </c>
      <c r="J4656" s="4" t="s">
        <v>12</v>
      </c>
    </row>
    <row r="4657" spans="1:10" x14ac:dyDescent="0.25">
      <c r="A4657" s="2">
        <v>1226.1409735710199</v>
      </c>
      <c r="B4657" s="3">
        <v>-0.29592590328900398</v>
      </c>
      <c r="C4657" s="3">
        <v>9.0026283310634398E-4</v>
      </c>
      <c r="D4657" s="4">
        <v>3.1927009405260001E-3</v>
      </c>
      <c r="E4657" s="3" t="s">
        <v>9911</v>
      </c>
      <c r="F4657" s="3" t="s">
        <v>9912</v>
      </c>
      <c r="G4657" s="3">
        <v>216984</v>
      </c>
      <c r="H4657" s="7" t="str">
        <f>HYPERLINK("http://www.ensembl.org/Mus_musculus/Gene/Summary?db=core;g=ENSMUSG00000093938","ENSMUSG00000093938")</f>
        <v>ENSMUSG00000093938</v>
      </c>
      <c r="I4657" s="7" t="str">
        <f>HYPERLINK("http://www.informatics.jax.org/marker/MGI:1890682","MGI:1890682")</f>
        <v>MGI:1890682</v>
      </c>
      <c r="J4657" s="4" t="s">
        <v>12</v>
      </c>
    </row>
    <row r="4658" spans="1:10" x14ac:dyDescent="0.25">
      <c r="A4658" s="2">
        <v>662.88057858062598</v>
      </c>
      <c r="B4658" s="3">
        <v>-0.29594036255460199</v>
      </c>
      <c r="C4658" s="3">
        <v>6.87778793298125E-4</v>
      </c>
      <c r="D4658" s="4">
        <v>2.4915063621264799E-3</v>
      </c>
      <c r="E4658" s="3" t="s">
        <v>8317</v>
      </c>
      <c r="F4658" s="3" t="s">
        <v>8318</v>
      </c>
      <c r="G4658" s="3">
        <v>66310</v>
      </c>
      <c r="H4658" s="7" t="str">
        <f>HYPERLINK("http://www.ensembl.org/Mus_musculus/Gene/Summary?db=core;g=ENSMUSG00000024067","ENSMUSG00000024067")</f>
        <v>ENSMUSG00000024067</v>
      </c>
      <c r="I4658" s="7" t="str">
        <f>HYPERLINK("http://www.informatics.jax.org/marker/MGI:1913560","MGI:1913560")</f>
        <v>MGI:1913560</v>
      </c>
      <c r="J4658" s="4" t="s">
        <v>12</v>
      </c>
    </row>
    <row r="4659" spans="1:10" x14ac:dyDescent="0.25">
      <c r="A4659" s="2">
        <v>509.40316136745002</v>
      </c>
      <c r="B4659" s="3">
        <v>-0.29598780548255599</v>
      </c>
      <c r="C4659" s="3">
        <v>1.1374058242635999E-4</v>
      </c>
      <c r="D4659" s="4">
        <v>4.7090461488423599E-4</v>
      </c>
      <c r="E4659" s="3" t="s">
        <v>5681</v>
      </c>
      <c r="F4659" s="3" t="s">
        <v>5682</v>
      </c>
      <c r="G4659" s="3">
        <v>240660</v>
      </c>
      <c r="H4659" s="7" t="str">
        <f>HYPERLINK("http://www.ensembl.org/Mus_musculus/Gene/Summary?db=core;g=ENSMUSG00000044026","ENSMUSG00000044026")</f>
        <v>ENSMUSG00000044026</v>
      </c>
      <c r="I4659" s="7" t="str">
        <f>HYPERLINK("http://www.informatics.jax.org/marker/MGI:2444789","MGI:2444789")</f>
        <v>MGI:2444789</v>
      </c>
      <c r="J4659" s="4" t="s">
        <v>12</v>
      </c>
    </row>
    <row r="4660" spans="1:10" x14ac:dyDescent="0.25">
      <c r="A4660" s="2">
        <v>346.54780049427302</v>
      </c>
      <c r="B4660" s="3">
        <v>-0.29616315412071997</v>
      </c>
      <c r="C4660" s="3">
        <v>2.5780763477961099E-3</v>
      </c>
      <c r="D4660" s="4">
        <v>8.3159434610292193E-3</v>
      </c>
      <c r="E4660" s="3" t="s">
        <v>9295</v>
      </c>
      <c r="F4660" s="3" t="s">
        <v>9296</v>
      </c>
      <c r="G4660" s="3">
        <v>70823</v>
      </c>
      <c r="H4660" s="7" t="str">
        <f>HYPERLINK("http://www.ensembl.org/Mus_musculus/Gene/Summary?db=core;g=ENSMUSG00000034518","ENSMUSG00000034518")</f>
        <v>ENSMUSG00000034518</v>
      </c>
      <c r="I4660" s="7" t="str">
        <f>HYPERLINK("http://www.informatics.jax.org/marker/MGI:1918073","MGI:1918073")</f>
        <v>MGI:1918073</v>
      </c>
      <c r="J4660" s="4" t="s">
        <v>12</v>
      </c>
    </row>
    <row r="4661" spans="1:10" x14ac:dyDescent="0.25">
      <c r="A4661" s="2">
        <v>891.72902003480999</v>
      </c>
      <c r="B4661" s="3">
        <v>-0.29633380515665902</v>
      </c>
      <c r="C4661" s="5">
        <v>1.14920049629055E-5</v>
      </c>
      <c r="D4661" s="6">
        <v>5.5717422306185798E-5</v>
      </c>
      <c r="E4661" s="3" t="s">
        <v>6565</v>
      </c>
      <c r="F4661" s="3" t="s">
        <v>6566</v>
      </c>
      <c r="G4661" s="3">
        <v>66863</v>
      </c>
      <c r="H4661" s="7" t="str">
        <f>HYPERLINK("http://www.ensembl.org/Mus_musculus/Gene/Summary?db=core;g=ENSMUSG00000022761","ENSMUSG00000022761")</f>
        <v>ENSMUSG00000022761</v>
      </c>
      <c r="I4661" s="7" t="str">
        <f>HYPERLINK("http://www.informatics.jax.org/marker/MGI:1914113","MGI:1914113")</f>
        <v>MGI:1914113</v>
      </c>
      <c r="J4661" s="4" t="s">
        <v>12</v>
      </c>
    </row>
    <row r="4662" spans="1:10" x14ac:dyDescent="0.25">
      <c r="A4662" s="2">
        <v>610.47740500719397</v>
      </c>
      <c r="B4662" s="3">
        <v>-0.29667843023998602</v>
      </c>
      <c r="C4662" s="3">
        <v>2.8218149444424602E-4</v>
      </c>
      <c r="D4662" s="4">
        <v>1.0891058314795401E-3</v>
      </c>
      <c r="E4662" s="3" t="s">
        <v>10446</v>
      </c>
      <c r="F4662" s="3" t="s">
        <v>10447</v>
      </c>
      <c r="G4662" s="3">
        <v>232286</v>
      </c>
      <c r="H4662" s="7" t="str">
        <f>HYPERLINK("http://www.ensembl.org/Mus_musculus/Gene/Summary?db=core;g=ENSMUSG00000030059","ENSMUSG00000030059")</f>
        <v>ENSMUSG00000030059</v>
      </c>
      <c r="I4662" s="7" t="str">
        <f>HYPERLINK("http://www.informatics.jax.org/marker/MGI:2684999","MGI:2684999")</f>
        <v>MGI:2684999</v>
      </c>
      <c r="J4662" s="4" t="s">
        <v>12</v>
      </c>
    </row>
    <row r="4663" spans="1:10" x14ac:dyDescent="0.25">
      <c r="A4663" s="2">
        <v>301.450464508236</v>
      </c>
      <c r="B4663" s="3">
        <v>-0.29675013003238598</v>
      </c>
      <c r="C4663" s="3">
        <v>1.8058835895233799E-2</v>
      </c>
      <c r="D4663" s="4">
        <v>4.7226615610652403E-2</v>
      </c>
      <c r="E4663" s="3" t="s">
        <v>11927</v>
      </c>
      <c r="F4663" s="3" t="s">
        <v>11928</v>
      </c>
      <c r="G4663" s="3">
        <v>66140</v>
      </c>
      <c r="H4663" s="7" t="str">
        <f>HYPERLINK("http://www.ensembl.org/Mus_musculus/Gene/Summary?db=core;g=ENSMUSG00000020492","ENSMUSG00000020492")</f>
        <v>ENSMUSG00000020492</v>
      </c>
      <c r="I4663" s="7" t="str">
        <f>HYPERLINK("http://www.informatics.jax.org/marker/MGI:1913390","MGI:1913390")</f>
        <v>MGI:1913390</v>
      </c>
      <c r="J4663" s="4" t="s">
        <v>12</v>
      </c>
    </row>
    <row r="4664" spans="1:10" x14ac:dyDescent="0.25">
      <c r="A4664" s="2">
        <v>214.76474080266499</v>
      </c>
      <c r="B4664" s="3">
        <v>-0.29687381348007602</v>
      </c>
      <c r="C4664" s="3">
        <v>2.49564015112175E-3</v>
      </c>
      <c r="D4664" s="4">
        <v>8.0786930291641204E-3</v>
      </c>
      <c r="E4664" s="3" t="s">
        <v>6379</v>
      </c>
      <c r="F4664" s="3" t="s">
        <v>6380</v>
      </c>
      <c r="G4664" s="3">
        <v>73683</v>
      </c>
      <c r="H4664" s="7" t="str">
        <f>HYPERLINK("http://www.ensembl.org/Mus_musculus/Gene/Summary?db=core;g=ENSMUSG00000047767","ENSMUSG00000047767")</f>
        <v>ENSMUSG00000047767</v>
      </c>
      <c r="I4664" s="7" t="str">
        <f>HYPERLINK("http://www.informatics.jax.org/marker/MGI:1920933","MGI:1920933")</f>
        <v>MGI:1920933</v>
      </c>
      <c r="J4664" s="4" t="s">
        <v>12</v>
      </c>
    </row>
    <row r="4665" spans="1:10" x14ac:dyDescent="0.25">
      <c r="A4665" s="2">
        <v>134.565258875648</v>
      </c>
      <c r="B4665" s="3">
        <v>-0.29687466865246698</v>
      </c>
      <c r="C4665" s="3">
        <v>3.6700721474491903E-2</v>
      </c>
      <c r="D4665" s="4">
        <v>8.7709237984869598E-2</v>
      </c>
      <c r="E4665" s="3" t="s">
        <v>11833</v>
      </c>
      <c r="F4665" s="3" t="s">
        <v>11834</v>
      </c>
      <c r="G4665" s="3">
        <v>66468</v>
      </c>
      <c r="H4665" s="7" t="str">
        <f>HYPERLINK("http://www.ensembl.org/Mus_musculus/Gene/Summary?db=core;g=ENSMUSG00000036223","ENSMUSG00000036223")</f>
        <v>ENSMUSG00000036223</v>
      </c>
      <c r="I4665" s="7" t="str">
        <f>HYPERLINK("http://www.informatics.jax.org/marker/MGI:1913718","MGI:1913718")</f>
        <v>MGI:1913718</v>
      </c>
      <c r="J4665" s="4" t="s">
        <v>12</v>
      </c>
    </row>
    <row r="4666" spans="1:10" x14ac:dyDescent="0.25">
      <c r="A4666" s="2">
        <v>30855.913137133699</v>
      </c>
      <c r="B4666" s="3">
        <v>-0.296918597336359</v>
      </c>
      <c r="C4666" s="5">
        <v>2.58754194006405E-6</v>
      </c>
      <c r="D4666" s="6">
        <v>1.36967620847132E-5</v>
      </c>
      <c r="E4666" s="3" t="s">
        <v>9457</v>
      </c>
      <c r="F4666" s="3" t="s">
        <v>9458</v>
      </c>
      <c r="G4666" s="3">
        <v>19156</v>
      </c>
      <c r="H4666" s="7" t="str">
        <f>HYPERLINK("http://www.ensembl.org/Mus_musculus/Gene/Summary?db=core;g=ENSMUSG00000004207","ENSMUSG00000004207")</f>
        <v>ENSMUSG00000004207</v>
      </c>
      <c r="I4666" s="7" t="str">
        <f>HYPERLINK("http://www.informatics.jax.org/marker/MGI:97783","MGI:97783")</f>
        <v>MGI:97783</v>
      </c>
      <c r="J4666" s="4" t="s">
        <v>12</v>
      </c>
    </row>
    <row r="4667" spans="1:10" x14ac:dyDescent="0.25">
      <c r="A4667" s="2">
        <v>216.28749681459499</v>
      </c>
      <c r="B4667" s="3">
        <v>-0.29701681090737198</v>
      </c>
      <c r="C4667" s="3">
        <v>1.9063929084830501E-3</v>
      </c>
      <c r="D4667" s="4">
        <v>6.3401479483765604E-3</v>
      </c>
      <c r="E4667" s="3" t="s">
        <v>9849</v>
      </c>
      <c r="F4667" s="3" t="s">
        <v>9850</v>
      </c>
      <c r="G4667" s="3">
        <v>105377</v>
      </c>
      <c r="H4667" s="7" t="str">
        <f>HYPERLINK("http://www.ensembl.org/Mus_musculus/Gene/Summary?db=core;g=ENSMUSG00000021597","ENSMUSG00000021597")</f>
        <v>ENSMUSG00000021597</v>
      </c>
      <c r="I4667" s="7" t="str">
        <f>HYPERLINK("http://www.informatics.jax.org/marker/MGI:2145448","MGI:2145448")</f>
        <v>MGI:2145448</v>
      </c>
      <c r="J4667" s="4" t="s">
        <v>12</v>
      </c>
    </row>
    <row r="4668" spans="1:10" x14ac:dyDescent="0.25">
      <c r="A4668" s="2">
        <v>2625.0688045316201</v>
      </c>
      <c r="B4668" s="3">
        <v>-0.297154750932143</v>
      </c>
      <c r="C4668" s="5">
        <v>4.0614328126053198E-7</v>
      </c>
      <c r="D4668" s="6">
        <v>2.37014450879705E-6</v>
      </c>
      <c r="E4668" s="3" t="s">
        <v>5447</v>
      </c>
      <c r="F4668" s="3" t="s">
        <v>5448</v>
      </c>
      <c r="G4668" s="3">
        <v>94176</v>
      </c>
      <c r="H4668" s="7" t="str">
        <f>HYPERLINK("http://www.ensembl.org/Mus_musculus/Gene/Summary?db=core;g=ENSMUSG00000020143","ENSMUSG00000020143")</f>
        <v>ENSMUSG00000020143</v>
      </c>
      <c r="I4668" s="7" t="str">
        <f>HYPERLINK("http://www.informatics.jax.org/marker/MGI:2149010","MGI:2149010")</f>
        <v>MGI:2149010</v>
      </c>
      <c r="J4668" s="4" t="s">
        <v>12</v>
      </c>
    </row>
    <row r="4669" spans="1:10" x14ac:dyDescent="0.25">
      <c r="A4669" s="2">
        <v>3015.1188675591302</v>
      </c>
      <c r="B4669" s="3">
        <v>-0.29718523268483599</v>
      </c>
      <c r="C4669" s="5">
        <v>9.1484248258968097E-11</v>
      </c>
      <c r="D4669" s="6">
        <v>7.8387420052642001E-10</v>
      </c>
      <c r="E4669" s="3" t="s">
        <v>5585</v>
      </c>
      <c r="F4669" s="3" t="s">
        <v>5586</v>
      </c>
      <c r="G4669" s="3">
        <v>94232</v>
      </c>
      <c r="H4669" s="7" t="str">
        <f>HYPERLINK("http://www.ensembl.org/Mus_musculus/Gene/Summary?db=core;g=ENSMUSG00000008604","ENSMUSG00000008604")</f>
        <v>ENSMUSG00000008604</v>
      </c>
      <c r="I4669" s="7" t="str">
        <f>HYPERLINK("http://www.informatics.jax.org/marker/MGI:2150152","MGI:2150152")</f>
        <v>MGI:2150152</v>
      </c>
      <c r="J4669" s="4" t="s">
        <v>12</v>
      </c>
    </row>
    <row r="4670" spans="1:10" x14ac:dyDescent="0.25">
      <c r="A4670" s="2">
        <v>4382.2094213333303</v>
      </c>
      <c r="B4670" s="3">
        <v>-0.29732737081067001</v>
      </c>
      <c r="C4670" s="5">
        <v>4.2867030544242899E-9</v>
      </c>
      <c r="D4670" s="6">
        <v>3.1212610134591601E-8</v>
      </c>
      <c r="E4670" s="3" t="s">
        <v>5053</v>
      </c>
      <c r="F4670" s="3" t="s">
        <v>5054</v>
      </c>
      <c r="G4670" s="3">
        <v>11792</v>
      </c>
      <c r="H4670" s="7" t="str">
        <f>HYPERLINK("http://www.ensembl.org/Mus_musculus/Gene/Summary?db=core;g=ENSMUSG00000035960","ENSMUSG00000035960")</f>
        <v>ENSMUSG00000035960</v>
      </c>
      <c r="I4670" s="7" t="str">
        <f>HYPERLINK("http://www.informatics.jax.org/marker/MGI:88042","MGI:88042")</f>
        <v>MGI:88042</v>
      </c>
      <c r="J4670" s="4" t="s">
        <v>12</v>
      </c>
    </row>
    <row r="4671" spans="1:10" x14ac:dyDescent="0.25">
      <c r="A4671" s="2">
        <v>538.78039062214305</v>
      </c>
      <c r="B4671" s="3">
        <v>-0.29736821254433199</v>
      </c>
      <c r="C4671" s="5">
        <v>1.22666064824354E-5</v>
      </c>
      <c r="D4671" s="6">
        <v>5.9220901494671697E-5</v>
      </c>
      <c r="E4671" s="3" t="s">
        <v>4945</v>
      </c>
      <c r="F4671" s="3" t="s">
        <v>4946</v>
      </c>
      <c r="G4671" s="3">
        <v>56807</v>
      </c>
      <c r="H4671" s="7" t="str">
        <f>HYPERLINK("http://www.ensembl.org/Mus_musculus/Gene/Summary?db=core;g=ENSMUSG00000040722","ENSMUSG00000040722")</f>
        <v>ENSMUSG00000040722</v>
      </c>
      <c r="I4671" s="7" t="str">
        <f>HYPERLINK("http://www.informatics.jax.org/marker/MGI:1928948","MGI:1928948")</f>
        <v>MGI:1928948</v>
      </c>
      <c r="J4671" s="4" t="s">
        <v>12</v>
      </c>
    </row>
    <row r="4672" spans="1:10" x14ac:dyDescent="0.25">
      <c r="A4672" s="2">
        <v>612.25843671454095</v>
      </c>
      <c r="B4672" s="3">
        <v>-0.29777327342452298</v>
      </c>
      <c r="C4672" s="5">
        <v>2.21325556431334E-8</v>
      </c>
      <c r="D4672" s="6">
        <v>1.4856936522876799E-7</v>
      </c>
      <c r="E4672" s="3" t="s">
        <v>5775</v>
      </c>
      <c r="F4672" s="3" t="s">
        <v>5776</v>
      </c>
      <c r="G4672" s="3">
        <v>20399</v>
      </c>
      <c r="H4672" s="7" t="str">
        <f>HYPERLINK("http://www.ensembl.org/Mus_musculus/Gene/Summary?db=core;g=ENSMUSG00000030733","ENSMUSG00000030733")</f>
        <v>ENSMUSG00000030733</v>
      </c>
      <c r="I4672" s="7" t="str">
        <f>HYPERLINK("http://www.informatics.jax.org/marker/MGI:1201407","MGI:1201407")</f>
        <v>MGI:1201407</v>
      </c>
      <c r="J4672" s="4" t="s">
        <v>12</v>
      </c>
    </row>
    <row r="4673" spans="1:10" x14ac:dyDescent="0.25">
      <c r="A4673" s="2">
        <v>572.09808216274996</v>
      </c>
      <c r="B4673" s="3">
        <v>-0.297773464759367</v>
      </c>
      <c r="C4673" s="5">
        <v>1.5009746822193599E-6</v>
      </c>
      <c r="D4673" s="6">
        <v>8.1926515673697999E-6</v>
      </c>
      <c r="E4673" s="3" t="s">
        <v>7704</v>
      </c>
      <c r="F4673" s="3" t="s">
        <v>7705</v>
      </c>
      <c r="G4673" s="3">
        <v>72008</v>
      </c>
      <c r="H4673" s="7" t="str">
        <f>HYPERLINK("http://www.ensembl.org/Mus_musculus/Gene/Summary?db=core;g=ENSMUSG00000068580","ENSMUSG00000068580")</f>
        <v>ENSMUSG00000068580</v>
      </c>
      <c r="I4673" s="7" t="str">
        <f>HYPERLINK("http://www.informatics.jax.org/marker/MGI:1919258","MGI:1919258")</f>
        <v>MGI:1919258</v>
      </c>
      <c r="J4673" s="4" t="s">
        <v>12</v>
      </c>
    </row>
    <row r="4674" spans="1:10" x14ac:dyDescent="0.25">
      <c r="A4674" s="2">
        <v>1036.8893829758299</v>
      </c>
      <c r="B4674" s="3">
        <v>-0.29805904703227698</v>
      </c>
      <c r="C4674" s="5">
        <v>3.0524536119179698E-6</v>
      </c>
      <c r="D4674" s="6">
        <v>1.5999702927007498E-5</v>
      </c>
      <c r="E4674" s="3" t="s">
        <v>7672</v>
      </c>
      <c r="F4674" s="3" t="s">
        <v>7673</v>
      </c>
      <c r="G4674" s="3">
        <v>228829</v>
      </c>
      <c r="H4674" s="7" t="str">
        <f>HYPERLINK("http://www.ensembl.org/Mus_musculus/Gene/Summary?db=core;g=ENSMUSG00000038116","ENSMUSG00000038116")</f>
        <v>ENSMUSG00000038116</v>
      </c>
      <c r="I4674" s="7" t="str">
        <f>HYPERLINK("http://www.informatics.jax.org/marker/MGI:2444148","MGI:2444148")</f>
        <v>MGI:2444148</v>
      </c>
      <c r="J4674" s="4" t="s">
        <v>12</v>
      </c>
    </row>
    <row r="4675" spans="1:10" x14ac:dyDescent="0.25">
      <c r="A4675" s="2">
        <v>216.97199675310901</v>
      </c>
      <c r="B4675" s="3">
        <v>-0.29829429420118098</v>
      </c>
      <c r="C4675" s="3">
        <v>1.55434808989651E-3</v>
      </c>
      <c r="D4675" s="4">
        <v>5.2722862345736003E-3</v>
      </c>
      <c r="E4675" s="3" t="s">
        <v>13035</v>
      </c>
      <c r="F4675" s="3" t="s">
        <v>13036</v>
      </c>
      <c r="G4675" s="3" t="s">
        <v>83</v>
      </c>
      <c r="H4675" s="7" t="str">
        <f>HYPERLINK("http://www.ensembl.org/Mus_musculus/Gene/Summary?db=core;g=ENSMUSG00000087174","ENSMUSG00000087174")</f>
        <v>ENSMUSG00000087174</v>
      </c>
      <c r="I4675" s="7" t="str">
        <f>HYPERLINK("http://www.informatics.jax.org/marker/MGI:1918695","MGI:1918695")</f>
        <v>MGI:1918695</v>
      </c>
      <c r="J4675" s="4" t="s">
        <v>331</v>
      </c>
    </row>
    <row r="4676" spans="1:10" x14ac:dyDescent="0.25">
      <c r="A4676" s="2">
        <v>621.68824004215503</v>
      </c>
      <c r="B4676" s="3">
        <v>-0.29834086247802999</v>
      </c>
      <c r="C4676" s="5">
        <v>5.4787077349447003E-7</v>
      </c>
      <c r="D4676" s="6">
        <v>3.1349905327901801E-6</v>
      </c>
      <c r="E4676" s="3" t="s">
        <v>6257</v>
      </c>
      <c r="F4676" s="3" t="s">
        <v>6258</v>
      </c>
      <c r="G4676" s="3">
        <v>20280</v>
      </c>
      <c r="H4676" s="7" t="str">
        <f>HYPERLINK("http://www.ensembl.org/Mus_musculus/Gene/Summary?db=core;g=ENSMUSG00000028603","ENSMUSG00000028603")</f>
        <v>ENSMUSG00000028603</v>
      </c>
      <c r="I4676" s="7" t="str">
        <f>HYPERLINK("http://www.informatics.jax.org/marker/MGI:98254","MGI:98254")</f>
        <v>MGI:98254</v>
      </c>
      <c r="J4676" s="4" t="s">
        <v>12</v>
      </c>
    </row>
    <row r="4677" spans="1:10" x14ac:dyDescent="0.25">
      <c r="A4677" s="2">
        <v>2612.2939155481499</v>
      </c>
      <c r="B4677" s="3">
        <v>-0.298510317340345</v>
      </c>
      <c r="C4677" s="5">
        <v>5.8145417273946299E-5</v>
      </c>
      <c r="D4677" s="4">
        <v>2.5255010243509799E-4</v>
      </c>
      <c r="E4677" s="3" t="s">
        <v>6744</v>
      </c>
      <c r="F4677" s="3" t="s">
        <v>6745</v>
      </c>
      <c r="G4677" s="3">
        <v>170762</v>
      </c>
      <c r="H4677" s="7" t="str">
        <f>HYPERLINK("http://www.ensembl.org/Mus_musculus/Gene/Summary?db=core;g=ENSMUSG00000022142","ENSMUSG00000022142")</f>
        <v>ENSMUSG00000022142</v>
      </c>
      <c r="I4677" s="7" t="str">
        <f>HYPERLINK("http://www.informatics.jax.org/marker/MGI:2181182","MGI:2181182")</f>
        <v>MGI:2181182</v>
      </c>
      <c r="J4677" s="4" t="s">
        <v>12</v>
      </c>
    </row>
    <row r="4678" spans="1:10" x14ac:dyDescent="0.25">
      <c r="A4678" s="2">
        <v>231.13318359410201</v>
      </c>
      <c r="B4678" s="3">
        <v>-0.29854666241841998</v>
      </c>
      <c r="C4678" s="3">
        <v>3.5083029438863798E-4</v>
      </c>
      <c r="D4678" s="4">
        <v>1.3334477821132301E-3</v>
      </c>
      <c r="E4678" s="3" t="s">
        <v>12067</v>
      </c>
      <c r="F4678" s="3" t="s">
        <v>12068</v>
      </c>
      <c r="G4678" s="3">
        <v>66648</v>
      </c>
      <c r="H4678" s="7" t="str">
        <f>HYPERLINK("http://www.ensembl.org/Mus_musculus/Gene/Summary?db=core;g=ENSMUSG00000024269","ENSMUSG00000024269")</f>
        <v>ENSMUSG00000024269</v>
      </c>
      <c r="I4678" s="7" t="str">
        <f>HYPERLINK("http://www.informatics.jax.org/marker/MGI:1913898","MGI:1913898")</f>
        <v>MGI:1913898</v>
      </c>
      <c r="J4678" s="4" t="s">
        <v>12</v>
      </c>
    </row>
    <row r="4679" spans="1:10" x14ac:dyDescent="0.25">
      <c r="A4679" s="2">
        <v>279.019076747231</v>
      </c>
      <c r="B4679" s="3">
        <v>-0.29876620357849598</v>
      </c>
      <c r="C4679" s="3">
        <v>3.3252759945325499E-4</v>
      </c>
      <c r="D4679" s="4">
        <v>1.2697078357501699E-3</v>
      </c>
      <c r="E4679" s="3" t="s">
        <v>12339</v>
      </c>
      <c r="F4679" s="3" t="s">
        <v>12340</v>
      </c>
      <c r="G4679" s="3">
        <v>93697</v>
      </c>
      <c r="H4679" s="7" t="str">
        <f>HYPERLINK("http://www.ensembl.org/Mus_musculus/Gene/Summary?db=core;g=ENSMUSG00000032235","ENSMUSG00000032235")</f>
        <v>ENSMUSG00000032235</v>
      </c>
      <c r="I4679" s="7" t="str">
        <f>HYPERLINK("http://www.informatics.jax.org/marker/MGI:2135947","MGI:2135947")</f>
        <v>MGI:2135947</v>
      </c>
      <c r="J4679" s="4" t="s">
        <v>12</v>
      </c>
    </row>
    <row r="4680" spans="1:10" x14ac:dyDescent="0.25">
      <c r="A4680" s="2">
        <v>561.56480987342502</v>
      </c>
      <c r="B4680" s="3">
        <v>-0.29880878900321001</v>
      </c>
      <c r="C4680" s="5">
        <v>1.5956524626367899E-5</v>
      </c>
      <c r="D4680" s="6">
        <v>7.5632681746568104E-5</v>
      </c>
      <c r="E4680" s="3" t="s">
        <v>6627</v>
      </c>
      <c r="F4680" s="3" t="s">
        <v>6628</v>
      </c>
      <c r="G4680" s="3">
        <v>109151</v>
      </c>
      <c r="H4680" s="7" t="str">
        <f>HYPERLINK("http://www.ensembl.org/Mus_musculus/Gene/Summary?db=core;g=ENSMUSG00000056608","ENSMUSG00000056608")</f>
        <v>ENSMUSG00000056608</v>
      </c>
      <c r="I4680" s="7" t="str">
        <f>HYPERLINK("http://www.informatics.jax.org/marker/MGI:1924001","MGI:1924001")</f>
        <v>MGI:1924001</v>
      </c>
      <c r="J4680" s="4" t="s">
        <v>12</v>
      </c>
    </row>
    <row r="4681" spans="1:10" x14ac:dyDescent="0.25">
      <c r="A4681" s="2">
        <v>629.41637580307099</v>
      </c>
      <c r="B4681" s="3">
        <v>-0.29926604907019799</v>
      </c>
      <c r="C4681" s="3">
        <v>1.2216952783904601E-4</v>
      </c>
      <c r="D4681" s="4">
        <v>5.0297191268929996E-4</v>
      </c>
      <c r="E4681" s="3" t="s">
        <v>6107</v>
      </c>
      <c r="F4681" s="3" t="s">
        <v>6108</v>
      </c>
      <c r="G4681" s="3">
        <v>20822</v>
      </c>
      <c r="H4681" s="7" t="str">
        <f>HYPERLINK("http://www.ensembl.org/Mus_musculus/Gene/Summary?db=core;g=ENSMUSG00000018199","ENSMUSG00000018199")</f>
        <v>ENSMUSG00000018199</v>
      </c>
      <c r="I4681" s="7" t="str">
        <f>HYPERLINK("http://www.informatics.jax.org/marker/MGI:106652","MGI:106652")</f>
        <v>MGI:106652</v>
      </c>
      <c r="J4681" s="4" t="s">
        <v>12</v>
      </c>
    </row>
    <row r="4682" spans="1:10" x14ac:dyDescent="0.25">
      <c r="A4682" s="2">
        <v>560.02306362509501</v>
      </c>
      <c r="B4682" s="3">
        <v>-0.29926694319387398</v>
      </c>
      <c r="C4682" s="5">
        <v>2.9969049538538399E-5</v>
      </c>
      <c r="D4682" s="4">
        <v>1.36239942090262E-4</v>
      </c>
      <c r="E4682" s="3" t="s">
        <v>10190</v>
      </c>
      <c r="F4682" s="3" t="s">
        <v>10191</v>
      </c>
      <c r="G4682" s="3">
        <v>227697</v>
      </c>
      <c r="H4682" s="7" t="str">
        <f>HYPERLINK("http://www.ensembl.org/Mus_musculus/Gene/Summary?db=core;g=ENSMUSG00000075419","ENSMUSG00000075419")</f>
        <v>ENSMUSG00000075419</v>
      </c>
      <c r="I4682" s="7" t="str">
        <f>HYPERLINK("http://www.informatics.jax.org/marker/MGI:2677836","MGI:2677836")</f>
        <v>MGI:2677836</v>
      </c>
      <c r="J4682" s="4" t="s">
        <v>12</v>
      </c>
    </row>
    <row r="4683" spans="1:10" x14ac:dyDescent="0.25">
      <c r="A4683" s="2">
        <v>271.07869008505099</v>
      </c>
      <c r="B4683" s="3">
        <v>-0.29932596819171697</v>
      </c>
      <c r="C4683" s="5">
        <v>6.9721229631269598E-5</v>
      </c>
      <c r="D4683" s="4">
        <v>2.9841930719349202E-4</v>
      </c>
      <c r="E4683" s="3" t="s">
        <v>11421</v>
      </c>
      <c r="F4683" s="3" t="s">
        <v>11422</v>
      </c>
      <c r="G4683" s="3">
        <v>233405</v>
      </c>
      <c r="H4683" s="7" t="str">
        <f>HYPERLINK("http://www.ensembl.org/Mus_musculus/Gene/Summary?db=core;g=ENSMUSG00000030534","ENSMUSG00000030534")</f>
        <v>ENSMUSG00000030534</v>
      </c>
      <c r="I4683" s="7" t="str">
        <f>HYPERLINK("http://www.informatics.jax.org/marker/MGI:2446237","MGI:2446237")</f>
        <v>MGI:2446237</v>
      </c>
      <c r="J4683" s="4" t="s">
        <v>12</v>
      </c>
    </row>
    <row r="4684" spans="1:10" x14ac:dyDescent="0.25">
      <c r="A4684" s="2">
        <v>3253.15393531263</v>
      </c>
      <c r="B4684" s="3">
        <v>-0.29938612439804502</v>
      </c>
      <c r="C4684" s="5">
        <v>1.9685348981656199E-11</v>
      </c>
      <c r="D4684" s="6">
        <v>1.78757092770645E-10</v>
      </c>
      <c r="E4684" s="3" t="s">
        <v>2605</v>
      </c>
      <c r="F4684" s="3" t="s">
        <v>2606</v>
      </c>
      <c r="G4684" s="3">
        <v>99371</v>
      </c>
      <c r="H4684" s="7" t="str">
        <f>HYPERLINK("http://www.ensembl.org/Mus_musculus/Gene/Summary?db=core;g=ENSMUSG00000074582","ENSMUSG00000074582")</f>
        <v>ENSMUSG00000074582</v>
      </c>
      <c r="I4684" s="7" t="str">
        <f>HYPERLINK("http://www.informatics.jax.org/marker/MGI:2139354","MGI:2139354")</f>
        <v>MGI:2139354</v>
      </c>
      <c r="J4684" s="4" t="s">
        <v>12</v>
      </c>
    </row>
    <row r="4685" spans="1:10" x14ac:dyDescent="0.25">
      <c r="A4685" s="2">
        <v>690.28323564110099</v>
      </c>
      <c r="B4685" s="3">
        <v>-0.29941326001497498</v>
      </c>
      <c r="C4685" s="5">
        <v>1.9374867862001401E-5</v>
      </c>
      <c r="D4685" s="6">
        <v>9.0790617065741904E-5</v>
      </c>
      <c r="E4685" s="3" t="s">
        <v>4633</v>
      </c>
      <c r="F4685" s="3" t="s">
        <v>4634</v>
      </c>
      <c r="G4685" s="3">
        <v>56218</v>
      </c>
      <c r="H4685" s="7" t="str">
        <f>HYPERLINK("http://www.ensembl.org/Mus_musculus/Gene/Summary?db=core;g=ENSMUSG00000020453","ENSMUSG00000020453")</f>
        <v>ENSMUSG00000020453</v>
      </c>
      <c r="I4685" s="7" t="str">
        <f>HYPERLINK("http://www.informatics.jax.org/marker/MGI:1891832","MGI:1891832")</f>
        <v>MGI:1891832</v>
      </c>
      <c r="J4685" s="4" t="s">
        <v>12</v>
      </c>
    </row>
    <row r="4686" spans="1:10" x14ac:dyDescent="0.25">
      <c r="A4686" s="2">
        <v>1071.01643756161</v>
      </c>
      <c r="B4686" s="3">
        <v>-0.29942198362361999</v>
      </c>
      <c r="C4686" s="3">
        <v>1.7897968246215199E-3</v>
      </c>
      <c r="D4686" s="4">
        <v>5.9884426526027401E-3</v>
      </c>
      <c r="E4686" s="3" t="s">
        <v>8267</v>
      </c>
      <c r="F4686" s="3" t="s">
        <v>8268</v>
      </c>
      <c r="G4686" s="3">
        <v>18718</v>
      </c>
      <c r="H4686" s="7" t="str">
        <f>HYPERLINK("http://www.ensembl.org/Mus_musculus/Gene/Summary?db=core;g=ENSMUSG00000026737","ENSMUSG00000026737")</f>
        <v>ENSMUSG00000026737</v>
      </c>
      <c r="I4686" s="7" t="str">
        <f>HYPERLINK("http://www.informatics.jax.org/marker/MGI:1298206","MGI:1298206")</f>
        <v>MGI:1298206</v>
      </c>
      <c r="J4686" s="4" t="s">
        <v>12</v>
      </c>
    </row>
    <row r="4687" spans="1:10" x14ac:dyDescent="0.25">
      <c r="A4687" s="2">
        <v>1.1834514352118199</v>
      </c>
      <c r="B4687" s="3">
        <v>-0.29984300009911702</v>
      </c>
      <c r="C4687" s="3">
        <v>0.51770623815981498</v>
      </c>
      <c r="D4687" s="4">
        <v>0.68833000397977595</v>
      </c>
      <c r="E4687" s="3" t="s">
        <v>13497</v>
      </c>
      <c r="F4687" s="3" t="s">
        <v>13498</v>
      </c>
      <c r="G4687" s="3">
        <v>320609</v>
      </c>
      <c r="H4687" s="7" t="str">
        <f>HYPERLINK("http://www.ensembl.org/Mus_musculus/Gene/Summary?db=core;g=ENSMUSG00000039629","ENSMUSG00000039629")</f>
        <v>ENSMUSG00000039629</v>
      </c>
      <c r="I4687" s="7" t="str">
        <f>HYPERLINK("http://www.informatics.jax.org/marker/MGI:2444363","MGI:2444363")</f>
        <v>MGI:2444363</v>
      </c>
      <c r="J4687" s="4" t="s">
        <v>12</v>
      </c>
    </row>
    <row r="4688" spans="1:10" x14ac:dyDescent="0.25">
      <c r="A4688" s="2">
        <v>1036.14791695338</v>
      </c>
      <c r="B4688" s="3">
        <v>-0.30012483142605501</v>
      </c>
      <c r="C4688" s="3">
        <v>6.0403745211413398E-4</v>
      </c>
      <c r="D4688" s="4">
        <v>2.21500655226964E-3</v>
      </c>
      <c r="E4688" s="3" t="s">
        <v>11515</v>
      </c>
      <c r="F4688" s="3" t="s">
        <v>11516</v>
      </c>
      <c r="G4688" s="3">
        <v>14043</v>
      </c>
      <c r="H4688" s="7" t="str">
        <f>HYPERLINK("http://www.ensembl.org/Mus_musculus/Gene/Summary?db=core;g=ENSMUSG00000027198","ENSMUSG00000027198")</f>
        <v>ENSMUSG00000027198</v>
      </c>
      <c r="I4688" s="7" t="str">
        <f>HYPERLINK("http://www.informatics.jax.org/marker/MGI:108050","MGI:108050")</f>
        <v>MGI:108050</v>
      </c>
      <c r="J4688" s="4" t="s">
        <v>12</v>
      </c>
    </row>
    <row r="4689" spans="1:10" x14ac:dyDescent="0.25">
      <c r="A4689" s="2">
        <v>231.81972764449</v>
      </c>
      <c r="B4689" s="3">
        <v>-0.30019892499670497</v>
      </c>
      <c r="C4689" s="3">
        <v>4.87056300232736E-4</v>
      </c>
      <c r="D4689" s="4">
        <v>1.8130312646531101E-3</v>
      </c>
      <c r="E4689" s="3" t="s">
        <v>12605</v>
      </c>
      <c r="F4689" s="3" t="s">
        <v>12606</v>
      </c>
      <c r="G4689" s="3">
        <v>69634</v>
      </c>
      <c r="H4689" s="7" t="str">
        <f>HYPERLINK("http://www.ensembl.org/Mus_musculus/Gene/Summary?db=core;g=ENSMUSG00000025545","ENSMUSG00000025545")</f>
        <v>ENSMUSG00000025545</v>
      </c>
      <c r="I4689" s="7" t="str">
        <f>HYPERLINK("http://www.informatics.jax.org/marker/MGI:1916884","MGI:1916884")</f>
        <v>MGI:1916884</v>
      </c>
      <c r="J4689" s="4" t="s">
        <v>12</v>
      </c>
    </row>
    <row r="4690" spans="1:10" x14ac:dyDescent="0.25">
      <c r="A4690" s="2">
        <v>183.72861685344</v>
      </c>
      <c r="B4690" s="3">
        <v>-0.30034547053356497</v>
      </c>
      <c r="C4690" s="3">
        <v>1.5097321061321499E-3</v>
      </c>
      <c r="D4690" s="4">
        <v>5.1362455916106704E-3</v>
      </c>
      <c r="E4690" s="3" t="s">
        <v>10166</v>
      </c>
      <c r="F4690" s="3" t="s">
        <v>10167</v>
      </c>
      <c r="G4690" s="3">
        <v>19286</v>
      </c>
      <c r="H4690" s="7" t="str">
        <f>HYPERLINK("http://www.ensembl.org/Mus_musculus/Gene/Summary?db=core;g=ENSMUSG00000032067","ENSMUSG00000032067")</f>
        <v>ENSMUSG00000032067</v>
      </c>
      <c r="I4690" s="7" t="str">
        <f>HYPERLINK("http://www.informatics.jax.org/marker/MGI:1338783","MGI:1338783")</f>
        <v>MGI:1338783</v>
      </c>
      <c r="J4690" s="4" t="s">
        <v>12</v>
      </c>
    </row>
    <row r="4691" spans="1:10" x14ac:dyDescent="0.25">
      <c r="A4691" s="2">
        <v>298.527150984895</v>
      </c>
      <c r="B4691" s="3">
        <v>-0.30036294432737698</v>
      </c>
      <c r="C4691" s="3">
        <v>6.0963443918531297E-4</v>
      </c>
      <c r="D4691" s="4">
        <v>2.23413519387886E-3</v>
      </c>
      <c r="E4691" s="3" t="s">
        <v>9095</v>
      </c>
      <c r="F4691" s="3" t="s">
        <v>9096</v>
      </c>
      <c r="G4691" s="3">
        <v>56737</v>
      </c>
      <c r="H4691" s="7" t="str">
        <f>HYPERLINK("http://www.ensembl.org/Mus_musculus/Gene/Summary?db=core;g=ENSMUSG00000039740","ENSMUSG00000039740")</f>
        <v>ENSMUSG00000039740</v>
      </c>
      <c r="I4691" s="7" t="str">
        <f>HYPERLINK("http://www.informatics.jax.org/marker/MGI:1914731","MGI:1914731")</f>
        <v>MGI:1914731</v>
      </c>
      <c r="J4691" s="4" t="s">
        <v>12</v>
      </c>
    </row>
    <row r="4692" spans="1:10" x14ac:dyDescent="0.25">
      <c r="A4692" s="2">
        <v>491.592075774541</v>
      </c>
      <c r="B4692" s="3">
        <v>-0.300386350527169</v>
      </c>
      <c r="C4692" s="3">
        <v>1.95467784642214E-3</v>
      </c>
      <c r="D4692" s="4">
        <v>6.4806264782688002E-3</v>
      </c>
      <c r="E4692" s="3" t="s">
        <v>12360</v>
      </c>
      <c r="F4692" s="3" t="s">
        <v>12361</v>
      </c>
      <c r="G4692" s="3" t="s">
        <v>83</v>
      </c>
      <c r="H4692" s="7" t="str">
        <f>HYPERLINK("http://www.ensembl.org/Mus_musculus/Gene/Summary?db=core;g=ENSMUSG00000115018","ENSMUSG00000115018")</f>
        <v>ENSMUSG00000115018</v>
      </c>
      <c r="I4692" s="7" t="str">
        <f>HYPERLINK("http://www.informatics.jax.org/marker/MGI:1926047","MGI:1926047")</f>
        <v>MGI:1926047</v>
      </c>
      <c r="J4692" s="4" t="s">
        <v>12</v>
      </c>
    </row>
    <row r="4693" spans="1:10" x14ac:dyDescent="0.25">
      <c r="A4693" s="2">
        <v>722.34701637594105</v>
      </c>
      <c r="B4693" s="3">
        <v>-0.30063005955197297</v>
      </c>
      <c r="C4693" s="3">
        <v>1.14920689715153E-4</v>
      </c>
      <c r="D4693" s="4">
        <v>4.7514282442347199E-4</v>
      </c>
      <c r="E4693" s="3" t="s">
        <v>7975</v>
      </c>
      <c r="F4693" s="3" t="s">
        <v>7976</v>
      </c>
      <c r="G4693" s="3">
        <v>100169</v>
      </c>
      <c r="H4693" s="7" t="str">
        <f>HYPERLINK("http://www.ensembl.org/Mus_musculus/Gene/Summary?db=core;g=ENSMUSG00000066043","ENSMUSG00000066043")</f>
        <v>ENSMUSG00000066043</v>
      </c>
      <c r="I4693" s="7" t="str">
        <f>HYPERLINK("http://www.informatics.jax.org/marker/MGI:2140327","MGI:2140327")</f>
        <v>MGI:2140327</v>
      </c>
      <c r="J4693" s="4" t="s">
        <v>12</v>
      </c>
    </row>
    <row r="4694" spans="1:10" x14ac:dyDescent="0.25">
      <c r="A4694" s="2">
        <v>1447.8488323746701</v>
      </c>
      <c r="B4694" s="3">
        <v>-0.30078924074525498</v>
      </c>
      <c r="C4694" s="5">
        <v>6.4141820555205199E-5</v>
      </c>
      <c r="D4694" s="4">
        <v>2.76290399342618E-4</v>
      </c>
      <c r="E4694" s="3" t="s">
        <v>8403</v>
      </c>
      <c r="F4694" s="3" t="s">
        <v>8404</v>
      </c>
      <c r="G4694" s="3">
        <v>56752</v>
      </c>
      <c r="H4694" s="7" t="str">
        <f>HYPERLINK("http://www.ensembl.org/Mus_musculus/Gene/Summary?db=core;g=ENSMUSG00000026687","ENSMUSG00000026687")</f>
        <v>ENSMUSG00000026687</v>
      </c>
      <c r="I4694" s="7" t="str">
        <f>HYPERLINK("http://www.informatics.jax.org/marker/MGI:1861622","MGI:1861622")</f>
        <v>MGI:1861622</v>
      </c>
      <c r="J4694" s="4" t="s">
        <v>12</v>
      </c>
    </row>
    <row r="4695" spans="1:10" x14ac:dyDescent="0.25">
      <c r="A4695" s="2">
        <v>290.53349146634201</v>
      </c>
      <c r="B4695" s="3">
        <v>-0.30084557827909703</v>
      </c>
      <c r="C4695" s="3">
        <v>7.1973927380930601E-4</v>
      </c>
      <c r="D4695" s="4">
        <v>2.5949056904400799E-3</v>
      </c>
      <c r="E4695" s="3" t="s">
        <v>7068</v>
      </c>
      <c r="F4695" s="3" t="s">
        <v>7069</v>
      </c>
      <c r="G4695" s="3">
        <v>243842</v>
      </c>
      <c r="H4695" s="7" t="str">
        <f>HYPERLINK("http://www.ensembl.org/Mus_musculus/Gene/Summary?db=core;g=ENSMUSG00000070808","ENSMUSG00000070808")</f>
        <v>ENSMUSG00000070808</v>
      </c>
      <c r="I4695" s="7" t="str">
        <f>HYPERLINK("http://www.informatics.jax.org/marker/MGI:2154263","MGI:2154263")</f>
        <v>MGI:2154263</v>
      </c>
      <c r="J4695" s="4" t="s">
        <v>12</v>
      </c>
    </row>
    <row r="4696" spans="1:10" x14ac:dyDescent="0.25">
      <c r="A4696" s="2">
        <v>990.72764959052097</v>
      </c>
      <c r="B4696" s="3">
        <v>-0.30139347031893998</v>
      </c>
      <c r="C4696" s="5">
        <v>4.3417068147714198E-6</v>
      </c>
      <c r="D4696" s="6">
        <v>2.2377716826699401E-5</v>
      </c>
      <c r="E4696" s="3" t="s">
        <v>8059</v>
      </c>
      <c r="F4696" s="3" t="s">
        <v>8060</v>
      </c>
      <c r="G4696" s="3">
        <v>19377</v>
      </c>
      <c r="H4696" s="7" t="str">
        <f>HYPERLINK("http://www.ensembl.org/Mus_musculus/Gene/Summary?db=core;g=ENSMUSG00000062115","ENSMUSG00000062115")</f>
        <v>ENSMUSG00000062115</v>
      </c>
      <c r="I4696" s="7" t="str">
        <f>HYPERLINK("http://www.informatics.jax.org/marker/MGI:103291","MGI:103291")</f>
        <v>MGI:103291</v>
      </c>
      <c r="J4696" s="4" t="s">
        <v>12</v>
      </c>
    </row>
    <row r="4697" spans="1:10" x14ac:dyDescent="0.25">
      <c r="A4697" s="2">
        <v>581.68745815680404</v>
      </c>
      <c r="B4697" s="3">
        <v>-0.30157073963133602</v>
      </c>
      <c r="C4697" s="5">
        <v>4.22372951460996E-5</v>
      </c>
      <c r="D4697" s="4">
        <v>1.8724755632149501E-4</v>
      </c>
      <c r="E4697" s="3" t="s">
        <v>13324</v>
      </c>
      <c r="F4697" s="3" t="s">
        <v>13325</v>
      </c>
      <c r="G4697" s="3">
        <v>66379</v>
      </c>
      <c r="H4697" s="7" t="str">
        <f>HYPERLINK("http://www.ensembl.org/Mus_musculus/Gene/Summary?db=core;g=ENSMUSG00000023020","ENSMUSG00000023020")</f>
        <v>ENSMUSG00000023020</v>
      </c>
      <c r="I4697" s="7" t="str">
        <f>HYPERLINK("http://www.informatics.jax.org/marker/MGI:1913629","MGI:1913629")</f>
        <v>MGI:1913629</v>
      </c>
      <c r="J4697" s="4" t="s">
        <v>12</v>
      </c>
    </row>
    <row r="4698" spans="1:10" x14ac:dyDescent="0.25">
      <c r="A4698" s="2">
        <v>753.58302923410201</v>
      </c>
      <c r="B4698" s="3">
        <v>-0.30189652958340202</v>
      </c>
      <c r="C4698" s="5">
        <v>4.8185837561839904E-7</v>
      </c>
      <c r="D4698" s="6">
        <v>2.7808324558724899E-6</v>
      </c>
      <c r="E4698" s="3" t="s">
        <v>7472</v>
      </c>
      <c r="F4698" s="3" t="s">
        <v>7473</v>
      </c>
      <c r="G4698" s="3">
        <v>70422</v>
      </c>
      <c r="H4698" s="7" t="str">
        <f>HYPERLINK("http://www.ensembl.org/Mus_musculus/Gene/Summary?db=core;g=ENSMUSG00000018068","ENSMUSG00000018068")</f>
        <v>ENSMUSG00000018068</v>
      </c>
      <c r="I4698" s="7" t="str">
        <f>HYPERLINK("http://www.informatics.jax.org/marker/MGI:1917672","MGI:1917672")</f>
        <v>MGI:1917672</v>
      </c>
      <c r="J4698" s="4" t="s">
        <v>12</v>
      </c>
    </row>
    <row r="4699" spans="1:10" x14ac:dyDescent="0.25">
      <c r="A4699" s="2">
        <v>1227.9536059361601</v>
      </c>
      <c r="B4699" s="3">
        <v>-0.30194823492332301</v>
      </c>
      <c r="C4699" s="3">
        <v>8.7960083117665899E-4</v>
      </c>
      <c r="D4699" s="4">
        <v>3.12550695032065E-3</v>
      </c>
      <c r="E4699" s="3" t="s">
        <v>7604</v>
      </c>
      <c r="F4699" s="3" t="s">
        <v>7605</v>
      </c>
      <c r="G4699" s="3">
        <v>67144</v>
      </c>
      <c r="H4699" s="7" t="str">
        <f>HYPERLINK("http://www.ensembl.org/Mus_musculus/Gene/Summary?db=core;g=ENSMUSG00000063052","ENSMUSG00000063052")</f>
        <v>ENSMUSG00000063052</v>
      </c>
      <c r="I4699" s="7" t="str">
        <f>HYPERLINK("http://www.informatics.jax.org/marker/MGI:1914394","MGI:1914394")</f>
        <v>MGI:1914394</v>
      </c>
      <c r="J4699" s="4" t="s">
        <v>12</v>
      </c>
    </row>
    <row r="4700" spans="1:10" x14ac:dyDescent="0.25">
      <c r="A4700" s="2">
        <v>481.956467851551</v>
      </c>
      <c r="B4700" s="3">
        <v>-0.30198061725523201</v>
      </c>
      <c r="C4700" s="5">
        <v>1.3142767490979701E-5</v>
      </c>
      <c r="D4700" s="6">
        <v>6.3199719663088605E-5</v>
      </c>
      <c r="E4700" s="3" t="s">
        <v>10124</v>
      </c>
      <c r="F4700" s="3" t="s">
        <v>10125</v>
      </c>
      <c r="G4700" s="3">
        <v>233532</v>
      </c>
      <c r="H4700" s="7" t="str">
        <f>HYPERLINK("http://www.ensembl.org/Mus_musculus/Gene/Summary?db=core;g=ENSMUSG00000035623","ENSMUSG00000035623")</f>
        <v>ENSMUSG00000035623</v>
      </c>
      <c r="I4700" s="7" t="str">
        <f>HYPERLINK("http://www.informatics.jax.org/marker/MGI:2682305","MGI:2682305")</f>
        <v>MGI:2682305</v>
      </c>
      <c r="J4700" s="4" t="s">
        <v>12</v>
      </c>
    </row>
    <row r="4701" spans="1:10" x14ac:dyDescent="0.25">
      <c r="A4701" s="2">
        <v>552.15093966161703</v>
      </c>
      <c r="B4701" s="3">
        <v>-0.30215904311880198</v>
      </c>
      <c r="C4701" s="3">
        <v>4.0848453557163801E-3</v>
      </c>
      <c r="D4701" s="4">
        <v>1.25520665331194E-2</v>
      </c>
      <c r="E4701" s="3" t="s">
        <v>12251</v>
      </c>
      <c r="F4701" s="3" t="s">
        <v>12252</v>
      </c>
      <c r="G4701" s="3">
        <v>77559</v>
      </c>
      <c r="H4701" s="7" t="str">
        <f>HYPERLINK("http://www.ensembl.org/Mus_musculus/Gene/Summary?db=core;g=ENSMUSG00000033400","ENSMUSG00000033400")</f>
        <v>ENSMUSG00000033400</v>
      </c>
      <c r="I4701" s="7" t="str">
        <f>HYPERLINK("http://www.informatics.jax.org/marker/MGI:1924809","MGI:1924809")</f>
        <v>MGI:1924809</v>
      </c>
      <c r="J4701" s="4" t="s">
        <v>12</v>
      </c>
    </row>
    <row r="4702" spans="1:10" x14ac:dyDescent="0.25">
      <c r="A4702" s="2">
        <v>563.29958807812</v>
      </c>
      <c r="B4702" s="3">
        <v>-0.30240010295111702</v>
      </c>
      <c r="C4702" s="3">
        <v>1.12225657936277E-4</v>
      </c>
      <c r="D4702" s="4">
        <v>4.6537260884838499E-4</v>
      </c>
      <c r="E4702" s="3" t="s">
        <v>12583</v>
      </c>
      <c r="F4702" s="3" t="s">
        <v>12584</v>
      </c>
      <c r="G4702" s="3">
        <v>69662</v>
      </c>
      <c r="H4702" s="7" t="str">
        <f>HYPERLINK("http://www.ensembl.org/Mus_musculus/Gene/Summary?db=core;g=ENSMUSG00000050705","ENSMUSG00000050705")</f>
        <v>ENSMUSG00000050705</v>
      </c>
      <c r="I4702" s="7" t="str">
        <f>HYPERLINK("http://www.informatics.jax.org/marker/MGI:1916912","MGI:1916912")</f>
        <v>MGI:1916912</v>
      </c>
      <c r="J4702" s="4" t="s">
        <v>12</v>
      </c>
    </row>
    <row r="4703" spans="1:10" x14ac:dyDescent="0.25">
      <c r="A4703" s="2">
        <v>1008.68463296211</v>
      </c>
      <c r="B4703" s="3">
        <v>-0.30263748736700002</v>
      </c>
      <c r="C4703" s="5">
        <v>1.02590391498571E-7</v>
      </c>
      <c r="D4703" s="6">
        <v>6.4185028666716595E-7</v>
      </c>
      <c r="E4703" s="3" t="s">
        <v>6720</v>
      </c>
      <c r="F4703" s="3" t="s">
        <v>6721</v>
      </c>
      <c r="G4703" s="3">
        <v>68166</v>
      </c>
      <c r="H4703" s="7" t="str">
        <f>HYPERLINK("http://www.ensembl.org/Mus_musculus/Gene/Summary?db=core;g=ENSMUSG00000024533","ENSMUSG00000024533")</f>
        <v>ENSMUSG00000024533</v>
      </c>
      <c r="I4703" s="7" t="str">
        <f>HYPERLINK("http://www.informatics.jax.org/marker/MGI:1915416","MGI:1915416")</f>
        <v>MGI:1915416</v>
      </c>
      <c r="J4703" s="4" t="s">
        <v>12</v>
      </c>
    </row>
    <row r="4704" spans="1:10" x14ac:dyDescent="0.25">
      <c r="A4704" s="2">
        <v>1004.9913593472201</v>
      </c>
      <c r="B4704" s="3">
        <v>-0.30291404354880902</v>
      </c>
      <c r="C4704" s="5">
        <v>4.1982389801007797E-8</v>
      </c>
      <c r="D4704" s="6">
        <v>2.7190087211207101E-7</v>
      </c>
      <c r="E4704" s="3" t="s">
        <v>2840</v>
      </c>
      <c r="F4704" s="3" t="s">
        <v>2841</v>
      </c>
      <c r="G4704" s="3">
        <v>50497</v>
      </c>
      <c r="H4704" s="7" t="str">
        <f>HYPERLINK("http://www.ensembl.org/Mus_musculus/Gene/Summary?db=core;g=ENSMUSG00000109865","ENSMUSG00000109865")</f>
        <v>ENSMUSG00000109865</v>
      </c>
      <c r="I4704" s="7" t="str">
        <f>HYPERLINK("http://www.informatics.jax.org/marker/MGI:1354164","MGI:1354164")</f>
        <v>MGI:1354164</v>
      </c>
      <c r="J4704" s="4" t="s">
        <v>12</v>
      </c>
    </row>
    <row r="4705" spans="1:10" x14ac:dyDescent="0.25">
      <c r="A4705" s="2">
        <v>1403.1698018377799</v>
      </c>
      <c r="B4705" s="3">
        <v>-0.302920703872602</v>
      </c>
      <c r="C4705" s="3">
        <v>9.2728222976758597E-3</v>
      </c>
      <c r="D4705" s="4">
        <v>2.6209241063142399E-2</v>
      </c>
      <c r="E4705" s="3" t="s">
        <v>13361</v>
      </c>
      <c r="F4705" s="3" t="s">
        <v>13362</v>
      </c>
      <c r="G4705" s="3">
        <v>109778</v>
      </c>
      <c r="H4705" s="7" t="str">
        <f>HYPERLINK("http://www.ensembl.org/Mus_musculus/Gene/Summary?db=core;g=ENSMUSG00000001999","ENSMUSG00000001999")</f>
        <v>ENSMUSG00000001999</v>
      </c>
      <c r="I4705" s="7" t="str">
        <f>HYPERLINK("http://www.informatics.jax.org/marker/MGI:88170","MGI:88170")</f>
        <v>MGI:88170</v>
      </c>
      <c r="J4705" s="4" t="s">
        <v>12</v>
      </c>
    </row>
    <row r="4706" spans="1:10" x14ac:dyDescent="0.25">
      <c r="A4706" s="2">
        <v>546.45732842049301</v>
      </c>
      <c r="B4706" s="3">
        <v>-0.30304163959540198</v>
      </c>
      <c r="C4706" s="5">
        <v>2.9830678099897799E-6</v>
      </c>
      <c r="D4706" s="6">
        <v>1.5663039711052601E-5</v>
      </c>
      <c r="E4706" s="3" t="s">
        <v>9501</v>
      </c>
      <c r="F4706" s="3" t="s">
        <v>9502</v>
      </c>
      <c r="G4706" s="3">
        <v>94213</v>
      </c>
      <c r="H4706" s="7" t="str">
        <f>HYPERLINK("http://www.ensembl.org/Mus_musculus/Gene/Summary?db=core;g=ENSMUSG00000020076","ENSMUSG00000020076")</f>
        <v>ENSMUSG00000020076</v>
      </c>
      <c r="I4706" s="7" t="str">
        <f>HYPERLINK("http://www.informatics.jax.org/marker/MGI:2182303","MGI:2182303")</f>
        <v>MGI:2182303</v>
      </c>
      <c r="J4706" s="4" t="s">
        <v>12</v>
      </c>
    </row>
    <row r="4707" spans="1:10" x14ac:dyDescent="0.25">
      <c r="A4707" s="2">
        <v>164.696982079072</v>
      </c>
      <c r="B4707" s="3">
        <v>-0.303284286381304</v>
      </c>
      <c r="C4707" s="3">
        <v>5.7567656838304303E-3</v>
      </c>
      <c r="D4707" s="4">
        <v>1.7048595155640198E-2</v>
      </c>
      <c r="E4707" s="3" t="s">
        <v>8007</v>
      </c>
      <c r="F4707" s="3" t="s">
        <v>8008</v>
      </c>
      <c r="G4707" s="3">
        <v>69596</v>
      </c>
      <c r="H4707" s="7" t="str">
        <f>HYPERLINK("http://www.ensembl.org/Mus_musculus/Gene/Summary?db=core;g=ENSMUSG00000068264","ENSMUSG00000068264")</f>
        <v>ENSMUSG00000068264</v>
      </c>
      <c r="I4707" s="7" t="str">
        <f>HYPERLINK("http://www.informatics.jax.org/marker/MGI:1916846","MGI:1916846")</f>
        <v>MGI:1916846</v>
      </c>
      <c r="J4707" s="4" t="s">
        <v>12</v>
      </c>
    </row>
    <row r="4708" spans="1:10" x14ac:dyDescent="0.25">
      <c r="A4708" s="2">
        <v>1619.40380836646</v>
      </c>
      <c r="B4708" s="3">
        <v>-0.30358011117065697</v>
      </c>
      <c r="C4708" s="5">
        <v>3.8990628322197E-7</v>
      </c>
      <c r="D4708" s="6">
        <v>2.2834325230464E-6</v>
      </c>
      <c r="E4708" s="3" t="s">
        <v>4004</v>
      </c>
      <c r="F4708" s="3" t="s">
        <v>4005</v>
      </c>
      <c r="G4708" s="3">
        <v>445007</v>
      </c>
      <c r="H4708" s="7" t="str">
        <f>HYPERLINK("http://www.ensembl.org/Mus_musculus/Gene/Summary?db=core;g=ENSMUSG00000020739","ENSMUSG00000020739")</f>
        <v>ENSMUSG00000020739</v>
      </c>
      <c r="I4708" s="7" t="str">
        <f>HYPERLINK("http://www.informatics.jax.org/marker/MGI:3046173","MGI:3046173")</f>
        <v>MGI:3046173</v>
      </c>
      <c r="J4708" s="4" t="s">
        <v>12</v>
      </c>
    </row>
    <row r="4709" spans="1:10" x14ac:dyDescent="0.25">
      <c r="A4709" s="2">
        <v>563.94628337975098</v>
      </c>
      <c r="B4709" s="3">
        <v>-0.303785838609679</v>
      </c>
      <c r="C4709" s="5">
        <v>4.8092275067515599E-5</v>
      </c>
      <c r="D4709" s="4">
        <v>2.1150620489996901E-4</v>
      </c>
      <c r="E4709" s="3" t="s">
        <v>6063</v>
      </c>
      <c r="F4709" s="3" t="s">
        <v>6064</v>
      </c>
      <c r="G4709" s="3">
        <v>268564</v>
      </c>
      <c r="H4709" s="7" t="str">
        <f>HYPERLINK("http://www.ensembl.org/Mus_musculus/Gene/Summary?db=core;g=ENSMUSG00000033454","ENSMUSG00000033454")</f>
        <v>ENSMUSG00000033454</v>
      </c>
      <c r="I4709" s="7" t="str">
        <f>HYPERLINK("http://www.informatics.jax.org/marker/MGI:2442326","MGI:2442326")</f>
        <v>MGI:2442326</v>
      </c>
      <c r="J4709" s="4" t="s">
        <v>12</v>
      </c>
    </row>
    <row r="4710" spans="1:10" x14ac:dyDescent="0.25">
      <c r="A4710" s="2">
        <v>174.838836288962</v>
      </c>
      <c r="B4710" s="3">
        <v>-0.30388314508368203</v>
      </c>
      <c r="C4710" s="3">
        <v>8.3217521298882807E-3</v>
      </c>
      <c r="D4710" s="4">
        <v>2.38128328728551E-2</v>
      </c>
      <c r="E4710" s="3" t="s">
        <v>11785</v>
      </c>
      <c r="F4710" s="3" t="s">
        <v>11786</v>
      </c>
      <c r="G4710" s="3">
        <v>65099</v>
      </c>
      <c r="H4710" s="7" t="str">
        <f>HYPERLINK("http://www.ensembl.org/Mus_musculus/Gene/Summary?db=core;g=ENSMUSG00000032251","ENSMUSG00000032251")</f>
        <v>ENSMUSG00000032251</v>
      </c>
      <c r="I4710" s="7" t="str">
        <f>HYPERLINK("http://www.informatics.jax.org/marker/MGI:1929475","MGI:1929475")</f>
        <v>MGI:1929475</v>
      </c>
      <c r="J4710" s="4" t="s">
        <v>12</v>
      </c>
    </row>
    <row r="4711" spans="1:10" x14ac:dyDescent="0.25">
      <c r="A4711" s="2">
        <v>832.20459526672903</v>
      </c>
      <c r="B4711" s="3">
        <v>-0.30398906959022998</v>
      </c>
      <c r="C4711" s="3">
        <v>7.3509983281420804E-3</v>
      </c>
      <c r="D4711" s="4">
        <v>2.1330937072231999E-2</v>
      </c>
      <c r="E4711" s="3" t="s">
        <v>9653</v>
      </c>
      <c r="F4711" s="3" t="s">
        <v>9654</v>
      </c>
      <c r="G4711" s="3">
        <v>110033</v>
      </c>
      <c r="H4711" s="7" t="str">
        <f>HYPERLINK("http://www.ensembl.org/Mus_musculus/Gene/Summary?db=core;g=ENSMUSG00000030677","ENSMUSG00000030677")</f>
        <v>ENSMUSG00000030677</v>
      </c>
      <c r="I4711" s="7" t="str">
        <f>HYPERLINK("http://www.informatics.jax.org/marker/MGI:109233","MGI:109233")</f>
        <v>MGI:109233</v>
      </c>
      <c r="J4711" s="4" t="s">
        <v>12</v>
      </c>
    </row>
    <row r="4712" spans="1:10" x14ac:dyDescent="0.25">
      <c r="A4712" s="2">
        <v>358.895619861667</v>
      </c>
      <c r="B4712" s="3">
        <v>-0.304194100260199</v>
      </c>
      <c r="C4712" s="3">
        <v>1.7923867105940799E-4</v>
      </c>
      <c r="D4712" s="4">
        <v>7.1715143360213203E-4</v>
      </c>
      <c r="E4712" s="3" t="s">
        <v>11641</v>
      </c>
      <c r="F4712" s="3" t="s">
        <v>11642</v>
      </c>
      <c r="G4712" s="3">
        <v>56322</v>
      </c>
      <c r="H4712" s="7" t="str">
        <f>HYPERLINK("http://www.ensembl.org/Mus_musculus/Gene/Summary?db=core;g=ENSMUSG00000020843","ENSMUSG00000020843")</f>
        <v>ENSMUSG00000020843</v>
      </c>
      <c r="I4712" s="7" t="str">
        <f>HYPERLINK("http://www.informatics.jax.org/marker/MGI:1929742","MGI:1929742")</f>
        <v>MGI:1929742</v>
      </c>
      <c r="J4712" s="4" t="s">
        <v>12</v>
      </c>
    </row>
    <row r="4713" spans="1:10" x14ac:dyDescent="0.25">
      <c r="A4713" s="2">
        <v>1064.1419356076301</v>
      </c>
      <c r="B4713" s="3">
        <v>-0.304277906852289</v>
      </c>
      <c r="C4713" s="5">
        <v>1.9150092645059299E-5</v>
      </c>
      <c r="D4713" s="6">
        <v>8.9812258995420799E-5</v>
      </c>
      <c r="E4713" s="3" t="s">
        <v>8201</v>
      </c>
      <c r="F4713" s="3" t="s">
        <v>8202</v>
      </c>
      <c r="G4713" s="3">
        <v>68465</v>
      </c>
      <c r="H4713" s="7" t="str">
        <f>HYPERLINK("http://www.ensembl.org/Mus_musculus/Gene/Summary?db=core;g=ENSMUSG00000030168","ENSMUSG00000030168")</f>
        <v>ENSMUSG00000030168</v>
      </c>
      <c r="I4713" s="7" t="str">
        <f>HYPERLINK("http://www.informatics.jax.org/marker/MGI:93830","MGI:93830")</f>
        <v>MGI:93830</v>
      </c>
      <c r="J4713" s="4" t="s">
        <v>12</v>
      </c>
    </row>
    <row r="4714" spans="1:10" x14ac:dyDescent="0.25">
      <c r="A4714" s="2">
        <v>46.288566460873596</v>
      </c>
      <c r="B4714" s="3">
        <v>-0.30433205934325902</v>
      </c>
      <c r="C4714" s="3">
        <v>6.1648230080733703E-2</v>
      </c>
      <c r="D4714" s="4">
        <v>0.136054612887064</v>
      </c>
      <c r="E4714" s="3" t="s">
        <v>9929</v>
      </c>
      <c r="F4714" s="3" t="s">
        <v>9930</v>
      </c>
      <c r="G4714" s="3">
        <v>56525</v>
      </c>
      <c r="H4714" s="7" t="str">
        <f>HYPERLINK("http://www.ensembl.org/Mus_musculus/Gene/Summary?db=core;g=ENSMUSG00000047603","ENSMUSG00000047603")</f>
        <v>ENSMUSG00000047603</v>
      </c>
      <c r="I4714" s="7" t="str">
        <f>HYPERLINK("http://www.informatics.jax.org/marker/MGI:1929117","MGI:1929117")</f>
        <v>MGI:1929117</v>
      </c>
      <c r="J4714" s="4" t="s">
        <v>12</v>
      </c>
    </row>
    <row r="4715" spans="1:10" x14ac:dyDescent="0.25">
      <c r="A4715" s="2">
        <v>86.238410163894002</v>
      </c>
      <c r="B4715" s="3">
        <v>-0.30443453235411599</v>
      </c>
      <c r="C4715" s="3">
        <v>2.4528546426716601E-2</v>
      </c>
      <c r="D4715" s="4">
        <v>6.1685215761958102E-2</v>
      </c>
      <c r="E4715" s="3" t="s">
        <v>12497</v>
      </c>
      <c r="F4715" s="3" t="s">
        <v>12498</v>
      </c>
      <c r="G4715" s="3">
        <v>105000</v>
      </c>
      <c r="H4715" s="7" t="str">
        <f>HYPERLINK("http://www.ensembl.org/Mus_musculus/Gene/Summary?db=core;g=ENSMUSG00000042523","ENSMUSG00000042523")</f>
        <v>ENSMUSG00000042523</v>
      </c>
      <c r="I4715" s="7" t="str">
        <f>HYPERLINK("http://www.informatics.jax.org/marker/MGI:1921462","MGI:1921462")</f>
        <v>MGI:1921462</v>
      </c>
      <c r="J4715" s="4" t="s">
        <v>12</v>
      </c>
    </row>
    <row r="4716" spans="1:10" x14ac:dyDescent="0.25">
      <c r="A4716" s="2">
        <v>1336.43616834607</v>
      </c>
      <c r="B4716" s="3">
        <v>-0.30445655028934598</v>
      </c>
      <c r="C4716" s="3">
        <v>4.3741711651282796E-3</v>
      </c>
      <c r="D4716" s="4">
        <v>1.33354415330316E-2</v>
      </c>
      <c r="E4716" s="3" t="s">
        <v>9035</v>
      </c>
      <c r="F4716" s="3" t="s">
        <v>9036</v>
      </c>
      <c r="G4716" s="3">
        <v>13605</v>
      </c>
      <c r="H4716" s="7" t="str">
        <f>HYPERLINK("http://www.ensembl.org/Mus_musculus/Gene/Summary?db=core;g=ENSMUSG00000027699","ENSMUSG00000027699")</f>
        <v>ENSMUSG00000027699</v>
      </c>
      <c r="I4716" s="7" t="str">
        <f>HYPERLINK("http://www.informatics.jax.org/marker/MGI:95281","MGI:95281")</f>
        <v>MGI:95281</v>
      </c>
      <c r="J4716" s="4" t="s">
        <v>12</v>
      </c>
    </row>
    <row r="4717" spans="1:10" x14ac:dyDescent="0.25">
      <c r="A4717" s="2">
        <v>410.48486741831101</v>
      </c>
      <c r="B4717" s="3">
        <v>-0.304917996962072</v>
      </c>
      <c r="C4717" s="3">
        <v>1.44253327393702E-4</v>
      </c>
      <c r="D4717" s="4">
        <v>5.8657226500451296E-4</v>
      </c>
      <c r="E4717" s="3" t="s">
        <v>8563</v>
      </c>
      <c r="F4717" s="3" t="s">
        <v>8564</v>
      </c>
      <c r="G4717" s="3">
        <v>99100</v>
      </c>
      <c r="H4717" s="7" t="str">
        <f>HYPERLINK("http://www.ensembl.org/Mus_musculus/Gene/Summary?db=core;g=ENSMUSG00000068394","ENSMUSG00000068394")</f>
        <v>ENSMUSG00000068394</v>
      </c>
      <c r="I4717" s="7" t="str">
        <f>HYPERLINK("http://www.informatics.jax.org/marker/MGI:2139083","MGI:2139083")</f>
        <v>MGI:2139083</v>
      </c>
      <c r="J4717" s="4" t="s">
        <v>12</v>
      </c>
    </row>
    <row r="4718" spans="1:10" x14ac:dyDescent="0.25">
      <c r="A4718" s="2">
        <v>2176.3685335821201</v>
      </c>
      <c r="B4718" s="3">
        <v>-0.30492518806479502</v>
      </c>
      <c r="C4718" s="5">
        <v>1.2967333439666599E-8</v>
      </c>
      <c r="D4718" s="6">
        <v>8.9417197100992598E-8</v>
      </c>
      <c r="E4718" s="3" t="s">
        <v>6810</v>
      </c>
      <c r="F4718" s="3" t="s">
        <v>6811</v>
      </c>
      <c r="G4718" s="3">
        <v>217864</v>
      </c>
      <c r="H4718" s="7" t="str">
        <f>HYPERLINK("http://www.ensembl.org/Mus_musculus/Gene/Summary?db=core;g=ENSMUSG00000037896","ENSMUSG00000037896")</f>
        <v>ENSMUSG00000037896</v>
      </c>
      <c r="I4718" s="7" t="str">
        <f>HYPERLINK("http://www.informatics.jax.org/marker/MGI:106340","MGI:106340")</f>
        <v>MGI:106340</v>
      </c>
      <c r="J4718" s="4" t="s">
        <v>12</v>
      </c>
    </row>
    <row r="4719" spans="1:10" x14ac:dyDescent="0.25">
      <c r="A4719" s="2">
        <v>708.57516755066899</v>
      </c>
      <c r="B4719" s="3">
        <v>-0.304988251849939</v>
      </c>
      <c r="C4719" s="5">
        <v>4.0734774912390698E-5</v>
      </c>
      <c r="D4719" s="4">
        <v>1.8093864800836499E-4</v>
      </c>
      <c r="E4719" s="3" t="s">
        <v>14035</v>
      </c>
      <c r="F4719" s="3" t="s">
        <v>14036</v>
      </c>
      <c r="G4719" s="3">
        <v>70568</v>
      </c>
      <c r="H4719" s="7" t="str">
        <f>HYPERLINK("http://www.ensembl.org/Mus_musculus/Gene/Summary?db=core;g=ENSMUSG00000028228","ENSMUSG00000028228")</f>
        <v>ENSMUSG00000028228</v>
      </c>
      <c r="I4719" s="7" t="str">
        <f>HYPERLINK("http://www.informatics.jax.org/marker/MGI:1917818","MGI:1917818")</f>
        <v>MGI:1917818</v>
      </c>
      <c r="J4719" s="4" t="s">
        <v>12</v>
      </c>
    </row>
    <row r="4720" spans="1:10" x14ac:dyDescent="0.25">
      <c r="A4720" s="2">
        <v>168.54340657324099</v>
      </c>
      <c r="B4720" s="3">
        <v>-0.30516196073254598</v>
      </c>
      <c r="C4720" s="3">
        <v>1.9410805561794801E-3</v>
      </c>
      <c r="D4720" s="4">
        <v>6.4437510266613903E-3</v>
      </c>
      <c r="E4720" s="3" t="s">
        <v>3004</v>
      </c>
      <c r="F4720" s="3" t="s">
        <v>3005</v>
      </c>
      <c r="G4720" s="3">
        <v>57080</v>
      </c>
      <c r="H4720" s="7" t="str">
        <f>HYPERLINK("http://www.ensembl.org/Mus_musculus/Gene/Summary?db=core;g=ENSMUSG00000023079","ENSMUSG00000023079")</f>
        <v>ENSMUSG00000023079</v>
      </c>
      <c r="I4720" s="7" t="str">
        <f>HYPERLINK("http://www.informatics.jax.org/marker/MGI:1861942","MGI:1861942")</f>
        <v>MGI:1861942</v>
      </c>
      <c r="J4720" s="4" t="s">
        <v>12</v>
      </c>
    </row>
    <row r="4721" spans="1:10" x14ac:dyDescent="0.25">
      <c r="A4721" s="2">
        <v>225.69969178121099</v>
      </c>
      <c r="B4721" s="3">
        <v>-0.30541582423235403</v>
      </c>
      <c r="C4721" s="3">
        <v>1.64002403040022E-3</v>
      </c>
      <c r="D4721" s="4">
        <v>5.5340562773641896E-3</v>
      </c>
      <c r="E4721" s="3" t="s">
        <v>10744</v>
      </c>
      <c r="F4721" s="3" t="s">
        <v>10745</v>
      </c>
      <c r="G4721" s="3">
        <v>269336</v>
      </c>
      <c r="H4721" s="7" t="str">
        <f>HYPERLINK("http://www.ensembl.org/Mus_musculus/Gene/Summary?db=core;g=ENSMUSG00000039983","ENSMUSG00000039983")</f>
        <v>ENSMUSG00000039983</v>
      </c>
      <c r="I4721" s="7" t="str">
        <f>HYPERLINK("http://www.informatics.jax.org/marker/MGI:2685477","MGI:2685477")</f>
        <v>MGI:2685477</v>
      </c>
      <c r="J4721" s="4" t="s">
        <v>12</v>
      </c>
    </row>
    <row r="4722" spans="1:10" x14ac:dyDescent="0.25">
      <c r="A4722" s="2">
        <v>878.40406653241098</v>
      </c>
      <c r="B4722" s="3">
        <v>-0.305639910565212</v>
      </c>
      <c r="C4722" s="5">
        <v>3.55940129771991E-7</v>
      </c>
      <c r="D4722" s="6">
        <v>2.0959640921145499E-6</v>
      </c>
      <c r="E4722" s="3" t="s">
        <v>6205</v>
      </c>
      <c r="F4722" s="3" t="s">
        <v>6206</v>
      </c>
      <c r="G4722" s="3">
        <v>69125</v>
      </c>
      <c r="H4722" s="7" t="str">
        <f>HYPERLINK("http://www.ensembl.org/Mus_musculus/Gene/Summary?db=core;g=ENSMUSG00000020515","ENSMUSG00000020515")</f>
        <v>ENSMUSG00000020515</v>
      </c>
      <c r="I4722" s="7" t="str">
        <f>HYPERLINK("http://www.informatics.jax.org/marker/MGI:1916375","MGI:1916375")</f>
        <v>MGI:1916375</v>
      </c>
      <c r="J4722" s="4" t="s">
        <v>12</v>
      </c>
    </row>
    <row r="4723" spans="1:10" x14ac:dyDescent="0.25">
      <c r="A4723" s="2">
        <v>1757.61899814967</v>
      </c>
      <c r="B4723" s="3">
        <v>-0.30589987123949702</v>
      </c>
      <c r="C4723" s="5">
        <v>3.9100099614473899E-7</v>
      </c>
      <c r="D4723" s="6">
        <v>2.2883728820609699E-6</v>
      </c>
      <c r="E4723" s="3" t="s">
        <v>9565</v>
      </c>
      <c r="F4723" s="3" t="s">
        <v>9566</v>
      </c>
      <c r="G4723" s="3">
        <v>110651</v>
      </c>
      <c r="H4723" s="7" t="str">
        <f>HYPERLINK("http://www.ensembl.org/Mus_musculus/Gene/Summary?db=core;g=ENSMUSG00000031309","ENSMUSG00000031309")</f>
        <v>ENSMUSG00000031309</v>
      </c>
      <c r="I4723" s="7" t="str">
        <f>HYPERLINK("http://www.informatics.jax.org/marker/MGI:104557","MGI:104557")</f>
        <v>MGI:104557</v>
      </c>
      <c r="J4723" s="4" t="s">
        <v>12</v>
      </c>
    </row>
    <row r="4724" spans="1:10" x14ac:dyDescent="0.25">
      <c r="A4724" s="2">
        <v>365.31103375790701</v>
      </c>
      <c r="B4724" s="3">
        <v>-0.30615070374792103</v>
      </c>
      <c r="C4724" s="3">
        <v>7.7740543534155502E-3</v>
      </c>
      <c r="D4724" s="4">
        <v>2.2382644643127701E-2</v>
      </c>
      <c r="E4724" s="3" t="s">
        <v>10276</v>
      </c>
      <c r="F4724" s="3" t="s">
        <v>10277</v>
      </c>
      <c r="G4724" s="3">
        <v>17686</v>
      </c>
      <c r="H4724" s="7" t="str">
        <f>HYPERLINK("http://www.ensembl.org/Mus_musculus/Gene/Summary?db=core;g=ENSMUSG00000014850","ENSMUSG00000014850")</f>
        <v>ENSMUSG00000014850</v>
      </c>
      <c r="I4724" s="7" t="str">
        <f>HYPERLINK("http://www.informatics.jax.org/marker/MGI:109519","MGI:109519")</f>
        <v>MGI:109519</v>
      </c>
      <c r="J4724" s="4" t="s">
        <v>12</v>
      </c>
    </row>
    <row r="4725" spans="1:10" x14ac:dyDescent="0.25">
      <c r="A4725" s="2">
        <v>999.66454476660795</v>
      </c>
      <c r="B4725" s="3">
        <v>-0.30616604265820802</v>
      </c>
      <c r="C4725" s="5">
        <v>2.6580011144546299E-8</v>
      </c>
      <c r="D4725" s="6">
        <v>1.7686042464744701E-7</v>
      </c>
      <c r="E4725" s="3" t="s">
        <v>5533</v>
      </c>
      <c r="F4725" s="3" t="s">
        <v>5534</v>
      </c>
      <c r="G4725" s="3">
        <v>69639</v>
      </c>
      <c r="H4725" s="7" t="str">
        <f>HYPERLINK("http://www.ensembl.org/Mus_musculus/Gene/Summary?db=core;g=ENSMUSG00000027752","ENSMUSG00000027752")</f>
        <v>ENSMUSG00000027752</v>
      </c>
      <c r="I4725" s="7" t="str">
        <f>HYPERLINK("http://www.informatics.jax.org/marker/MGI:1916889","MGI:1916889")</f>
        <v>MGI:1916889</v>
      </c>
      <c r="J4725" s="4" t="s">
        <v>12</v>
      </c>
    </row>
    <row r="4726" spans="1:10" x14ac:dyDescent="0.25">
      <c r="A4726" s="2">
        <v>206.95921512884601</v>
      </c>
      <c r="B4726" s="3">
        <v>-0.30616720575365203</v>
      </c>
      <c r="C4726" s="3">
        <v>2.28212533536857E-3</v>
      </c>
      <c r="D4726" s="4">
        <v>7.4537158130989403E-3</v>
      </c>
      <c r="E4726" s="3" t="s">
        <v>10192</v>
      </c>
      <c r="F4726" s="3" t="s">
        <v>10193</v>
      </c>
      <c r="G4726" s="3">
        <v>66174</v>
      </c>
      <c r="H4726" s="7" t="str">
        <f>HYPERLINK("http://www.ensembl.org/Mus_musculus/Gene/Summary?db=core;g=ENSMUSG00000002804","ENSMUSG00000002804")</f>
        <v>ENSMUSG00000002804</v>
      </c>
      <c r="I4726" s="7" t="str">
        <f>HYPERLINK("http://www.informatics.jax.org/marker/MGI:1913424","MGI:1913424")</f>
        <v>MGI:1913424</v>
      </c>
      <c r="J4726" s="4" t="s">
        <v>12</v>
      </c>
    </row>
    <row r="4727" spans="1:10" x14ac:dyDescent="0.25">
      <c r="A4727" s="2">
        <v>1284.39785767328</v>
      </c>
      <c r="B4727" s="3">
        <v>-0.30623184864714098</v>
      </c>
      <c r="C4727" s="5">
        <v>2.1728620086755699E-8</v>
      </c>
      <c r="D4727" s="6">
        <v>1.4596538926690901E-7</v>
      </c>
      <c r="E4727" s="3" t="s">
        <v>4359</v>
      </c>
      <c r="F4727" s="3" t="s">
        <v>4360</v>
      </c>
      <c r="G4727" s="3">
        <v>21770</v>
      </c>
      <c r="H4727" s="7" t="str">
        <f>HYPERLINK("http://www.ensembl.org/Mus_musculus/Gene/Summary?db=core;g=ENSMUSG00000059409","ENSMUSG00000059409")</f>
        <v>ENSMUSG00000059409</v>
      </c>
      <c r="I4727" s="7" t="str">
        <f>HYPERLINK("http://www.informatics.jax.org/marker/MGI:2388481","MGI:2388481")</f>
        <v>MGI:2388481</v>
      </c>
      <c r="J4727" s="4" t="s">
        <v>12</v>
      </c>
    </row>
    <row r="4728" spans="1:10" x14ac:dyDescent="0.25">
      <c r="A4728" s="2">
        <v>366.43932513494502</v>
      </c>
      <c r="B4728" s="3">
        <v>-0.306292926422773</v>
      </c>
      <c r="C4728" s="5">
        <v>6.0803729324429897E-5</v>
      </c>
      <c r="D4728" s="4">
        <v>2.6296819338816701E-4</v>
      </c>
      <c r="E4728" s="3" t="s">
        <v>6916</v>
      </c>
      <c r="F4728" s="3" t="s">
        <v>6917</v>
      </c>
      <c r="G4728" s="3">
        <v>64436</v>
      </c>
      <c r="H4728" s="7" t="str">
        <f>HYPERLINK("http://www.ensembl.org/Mus_musculus/Gene/Summary?db=core;g=ENSMUSG00000026925","ENSMUSG00000026925")</f>
        <v>ENSMUSG00000026925</v>
      </c>
      <c r="I4728" s="7" t="str">
        <f>HYPERLINK("http://www.informatics.jax.org/marker/MGI:1927753","MGI:1927753")</f>
        <v>MGI:1927753</v>
      </c>
      <c r="J4728" s="4" t="s">
        <v>12</v>
      </c>
    </row>
    <row r="4729" spans="1:10" x14ac:dyDescent="0.25">
      <c r="A4729" s="2">
        <v>656.93309423061305</v>
      </c>
      <c r="B4729" s="3">
        <v>-0.30693000894552902</v>
      </c>
      <c r="C4729" s="3">
        <v>2.5349852737717601E-3</v>
      </c>
      <c r="D4729" s="4">
        <v>8.1900561273693193E-3</v>
      </c>
      <c r="E4729" s="3" t="s">
        <v>7514</v>
      </c>
      <c r="F4729" s="3" t="s">
        <v>7515</v>
      </c>
      <c r="G4729" s="3">
        <v>72415</v>
      </c>
      <c r="H4729" s="7" t="str">
        <f>HYPERLINK("http://www.ensembl.org/Mus_musculus/Gene/Summary?db=core;g=ENSMUSG00000023940","ENSMUSG00000023940")</f>
        <v>ENSMUSG00000023940</v>
      </c>
      <c r="I4729" s="7" t="str">
        <f>HYPERLINK("http://www.informatics.jax.org/marker/MGI:1919665","MGI:1919665")</f>
        <v>MGI:1919665</v>
      </c>
      <c r="J4729" s="4" t="s">
        <v>12</v>
      </c>
    </row>
    <row r="4730" spans="1:10" x14ac:dyDescent="0.25">
      <c r="A4730" s="2">
        <v>753.803624035089</v>
      </c>
      <c r="B4730" s="3">
        <v>-0.30730057008552703</v>
      </c>
      <c r="C4730" s="3">
        <v>2.95835062097761E-4</v>
      </c>
      <c r="D4730" s="4">
        <v>1.1391493781389599E-3</v>
      </c>
      <c r="E4730" s="3" t="s">
        <v>11255</v>
      </c>
      <c r="F4730" s="3" t="s">
        <v>11256</v>
      </c>
      <c r="G4730" s="3">
        <v>72308</v>
      </c>
      <c r="H4730" s="7" t="str">
        <f>HYPERLINK("http://www.ensembl.org/Mus_musculus/Gene/Summary?db=core;g=ENSMUSG00000011158","ENSMUSG00000011158")</f>
        <v>ENSMUSG00000011158</v>
      </c>
      <c r="I4730" s="7" t="str">
        <f>HYPERLINK("http://www.informatics.jax.org/marker/MGI:1919558","MGI:1919558")</f>
        <v>MGI:1919558</v>
      </c>
      <c r="J4730" s="4" t="s">
        <v>12</v>
      </c>
    </row>
    <row r="4731" spans="1:10" x14ac:dyDescent="0.25">
      <c r="A4731" s="2">
        <v>584.46095722106895</v>
      </c>
      <c r="B4731" s="3">
        <v>-0.307515734815621</v>
      </c>
      <c r="C4731" s="3">
        <v>3.0245500629360101E-3</v>
      </c>
      <c r="D4731" s="4">
        <v>9.5765157916971599E-3</v>
      </c>
      <c r="E4731" s="3" t="s">
        <v>5649</v>
      </c>
      <c r="F4731" s="3" t="s">
        <v>5650</v>
      </c>
      <c r="G4731" s="3">
        <v>69718</v>
      </c>
      <c r="H4731" s="7" t="str">
        <f>HYPERLINK("http://www.ensembl.org/Mus_musculus/Gene/Summary?db=core;g=ENSMUSG00000060733","ENSMUSG00000060733")</f>
        <v>ENSMUSG00000060733</v>
      </c>
      <c r="I4731" s="7" t="str">
        <f>HYPERLINK("http://www.informatics.jax.org/marker/MGI:1916968","MGI:1916968")</f>
        <v>MGI:1916968</v>
      </c>
      <c r="J4731" s="4" t="s">
        <v>12</v>
      </c>
    </row>
    <row r="4732" spans="1:10" x14ac:dyDescent="0.25">
      <c r="A4732" s="2">
        <v>689.29223716353499</v>
      </c>
      <c r="B4732" s="3">
        <v>-0.307583412250165</v>
      </c>
      <c r="C4732" s="3">
        <v>6.1356794981422096E-4</v>
      </c>
      <c r="D4732" s="4">
        <v>2.2467904129725102E-3</v>
      </c>
      <c r="E4732" s="3" t="s">
        <v>10054</v>
      </c>
      <c r="F4732" s="3" t="s">
        <v>10055</v>
      </c>
      <c r="G4732" s="3">
        <v>18771</v>
      </c>
      <c r="H4732" s="7" t="str">
        <f>HYPERLINK("http://www.ensembl.org/Mus_musculus/Gene/Summary?db=core;g=ENSMUSG00000006705","ENSMUSG00000006705")</f>
        <v>ENSMUSG00000006705</v>
      </c>
      <c r="I4732" s="7" t="str">
        <f>HYPERLINK("http://www.informatics.jax.org/marker/MGI:1201409","MGI:1201409")</f>
        <v>MGI:1201409</v>
      </c>
      <c r="J4732" s="4" t="s">
        <v>12</v>
      </c>
    </row>
    <row r="4733" spans="1:10" x14ac:dyDescent="0.25">
      <c r="A4733" s="2">
        <v>539.70827837484001</v>
      </c>
      <c r="B4733" s="3">
        <v>-0.30772941236703399</v>
      </c>
      <c r="C4733" s="5">
        <v>3.1320439277291298E-6</v>
      </c>
      <c r="D4733" s="6">
        <v>1.6399109793631299E-5</v>
      </c>
      <c r="E4733" s="3" t="s">
        <v>8737</v>
      </c>
      <c r="F4733" s="3" t="s">
        <v>8738</v>
      </c>
      <c r="G4733" s="3">
        <v>18744</v>
      </c>
      <c r="H4733" s="7" t="str">
        <f>HYPERLINK("http://www.ensembl.org/Mus_musculus/Gene/Summary?db=core;g=ENSMUSG00000034403","ENSMUSG00000034403")</f>
        <v>ENSMUSG00000034403</v>
      </c>
      <c r="I4733" s="7" t="str">
        <f>HYPERLINK("http://www.informatics.jax.org/marker/MGI:1101765","MGI:1101765")</f>
        <v>MGI:1101765</v>
      </c>
      <c r="J4733" s="4" t="s">
        <v>12</v>
      </c>
    </row>
    <row r="4734" spans="1:10" x14ac:dyDescent="0.25">
      <c r="A4734" s="2">
        <v>1884.12754004065</v>
      </c>
      <c r="B4734" s="3">
        <v>-0.30776387730670302</v>
      </c>
      <c r="C4734" s="5">
        <v>3.2072161744450098E-9</v>
      </c>
      <c r="D4734" s="6">
        <v>2.3645434781254199E-8</v>
      </c>
      <c r="E4734" s="3" t="s">
        <v>4123</v>
      </c>
      <c r="F4734" s="3" t="s">
        <v>4124</v>
      </c>
      <c r="G4734" s="3">
        <v>21406</v>
      </c>
      <c r="H4734" s="7" t="str">
        <f>HYPERLINK("http://www.ensembl.org/Mus_musculus/Gene/Summary?db=core;g=ENSMUSG00000032228","ENSMUSG00000032228")</f>
        <v>ENSMUSG00000032228</v>
      </c>
      <c r="I4734" s="7" t="str">
        <f>HYPERLINK("http://www.informatics.jax.org/marker/MGI:101877","MGI:101877")</f>
        <v>MGI:101877</v>
      </c>
      <c r="J4734" s="4" t="s">
        <v>12</v>
      </c>
    </row>
    <row r="4735" spans="1:10" x14ac:dyDescent="0.25">
      <c r="A4735" s="2">
        <v>445.05293209324202</v>
      </c>
      <c r="B4735" s="3">
        <v>-0.30779822226784198</v>
      </c>
      <c r="C4735" s="3">
        <v>5.5356496557984697E-4</v>
      </c>
      <c r="D4735" s="4">
        <v>2.04266481022326E-3</v>
      </c>
      <c r="E4735" s="3" t="s">
        <v>13907</v>
      </c>
      <c r="F4735" s="3" t="s">
        <v>13908</v>
      </c>
      <c r="G4735" s="3">
        <v>215705</v>
      </c>
      <c r="H4735" s="7" t="str">
        <f>HYPERLINK("http://www.ensembl.org/Mus_musculus/Gene/Summary?db=core;g=ENSMUSG00000026972","ENSMUSG00000026972")</f>
        <v>ENSMUSG00000026972</v>
      </c>
      <c r="I4735" s="7" t="str">
        <f>HYPERLINK("http://www.informatics.jax.org/marker/MGI:2446136","MGI:2446136")</f>
        <v>MGI:2446136</v>
      </c>
      <c r="J4735" s="4" t="s">
        <v>12</v>
      </c>
    </row>
    <row r="4736" spans="1:10" x14ac:dyDescent="0.25">
      <c r="A4736" s="2">
        <v>762.06332871744598</v>
      </c>
      <c r="B4736" s="3">
        <v>-0.30844061036457299</v>
      </c>
      <c r="C4736" s="3">
        <v>1.40271611590777E-3</v>
      </c>
      <c r="D4736" s="4">
        <v>4.7990428407019099E-3</v>
      </c>
      <c r="E4736" s="3" t="s">
        <v>7228</v>
      </c>
      <c r="F4736" s="3" t="s">
        <v>7229</v>
      </c>
      <c r="G4736" s="3">
        <v>56150</v>
      </c>
      <c r="H4736" s="7" t="str">
        <f>HYPERLINK("http://www.ensembl.org/Mus_musculus/Gene/Summary?db=core;g=ENSMUSG00000029910","ENSMUSG00000029910")</f>
        <v>ENSMUSG00000029910</v>
      </c>
      <c r="I4736" s="7" t="str">
        <f>HYPERLINK("http://www.informatics.jax.org/marker/MGI:1860374","MGI:1860374")</f>
        <v>MGI:1860374</v>
      </c>
      <c r="J4736" s="4" t="s">
        <v>12</v>
      </c>
    </row>
    <row r="4737" spans="1:10" x14ac:dyDescent="0.25">
      <c r="A4737" s="2">
        <v>413.63881873560399</v>
      </c>
      <c r="B4737" s="3">
        <v>-0.30870730824770098</v>
      </c>
      <c r="C4737" s="3">
        <v>1.5695674665648399E-3</v>
      </c>
      <c r="D4737" s="4">
        <v>5.3189600368434703E-3</v>
      </c>
      <c r="E4737" s="3" t="s">
        <v>7794</v>
      </c>
      <c r="F4737" s="3" t="s">
        <v>7795</v>
      </c>
      <c r="G4737" s="3">
        <v>380967</v>
      </c>
      <c r="H4737" s="7" t="str">
        <f>HYPERLINK("http://www.ensembl.org/Mus_musculus/Gene/Summary?db=core;g=ENSMUSG00000052369","ENSMUSG00000052369")</f>
        <v>ENSMUSG00000052369</v>
      </c>
      <c r="I4737" s="7" t="str">
        <f>HYPERLINK("http://www.informatics.jax.org/marker/MGI:1196384","MGI:1196384")</f>
        <v>MGI:1196384</v>
      </c>
      <c r="J4737" s="4" t="s">
        <v>12</v>
      </c>
    </row>
    <row r="4738" spans="1:10" x14ac:dyDescent="0.25">
      <c r="A4738" s="2">
        <v>669.65456991597205</v>
      </c>
      <c r="B4738" s="3">
        <v>-0.30872095067300498</v>
      </c>
      <c r="C4738" s="5">
        <v>2.3005402090438901E-5</v>
      </c>
      <c r="D4738" s="4">
        <v>1.0657688182466899E-4</v>
      </c>
      <c r="E4738" s="3" t="s">
        <v>6978</v>
      </c>
      <c r="F4738" s="3" t="s">
        <v>6979</v>
      </c>
      <c r="G4738" s="3">
        <v>70208</v>
      </c>
      <c r="H4738" s="7" t="str">
        <f>HYPERLINK("http://www.ensembl.org/Mus_musculus/Gene/Summary?db=core;g=ENSMUSG00000019984","ENSMUSG00000019984")</f>
        <v>ENSMUSG00000019984</v>
      </c>
      <c r="I4738" s="7" t="str">
        <f>HYPERLINK("http://www.informatics.jax.org/marker/MGI:1917458","MGI:1917458")</f>
        <v>MGI:1917458</v>
      </c>
      <c r="J4738" s="4" t="s">
        <v>12</v>
      </c>
    </row>
    <row r="4739" spans="1:10" x14ac:dyDescent="0.25">
      <c r="A4739" s="2">
        <v>1318.2906669054801</v>
      </c>
      <c r="B4739" s="3">
        <v>-0.30888257073068098</v>
      </c>
      <c r="C4739" s="5">
        <v>3.3557384597022299E-6</v>
      </c>
      <c r="D4739" s="6">
        <v>1.7508827205288601E-5</v>
      </c>
      <c r="E4739" s="3" t="s">
        <v>7180</v>
      </c>
      <c r="F4739" s="3" t="s">
        <v>7181</v>
      </c>
      <c r="G4739" s="3">
        <v>212531</v>
      </c>
      <c r="H4739" s="7" t="str">
        <f>HYPERLINK("http://www.ensembl.org/Mus_musculus/Gene/Summary?db=core;g=ENSMUSG00000032261","ENSMUSG00000032261")</f>
        <v>ENSMUSG00000032261</v>
      </c>
      <c r="I4739" s="7" t="str">
        <f>HYPERLINK("http://www.informatics.jax.org/marker/MGI:1915350","MGI:1915350")</f>
        <v>MGI:1915350</v>
      </c>
      <c r="J4739" s="4" t="s">
        <v>12</v>
      </c>
    </row>
    <row r="4740" spans="1:10" x14ac:dyDescent="0.25">
      <c r="A4740" s="2">
        <v>527.49688130042705</v>
      </c>
      <c r="B4740" s="3">
        <v>-0.30905477636800999</v>
      </c>
      <c r="C4740" s="5">
        <v>7.6954790087794104E-6</v>
      </c>
      <c r="D4740" s="6">
        <v>3.8267422901774802E-5</v>
      </c>
      <c r="E4740" s="3" t="s">
        <v>5671</v>
      </c>
      <c r="F4740" s="3" t="s">
        <v>5672</v>
      </c>
      <c r="G4740" s="3">
        <v>272359</v>
      </c>
      <c r="H4740" s="7" t="str">
        <f>HYPERLINK("http://www.ensembl.org/Mus_musculus/Gene/Summary?db=core;g=ENSMUSG00000044030","ENSMUSG00000044030")</f>
        <v>ENSMUSG00000044030</v>
      </c>
      <c r="I4740" s="7" t="str">
        <f>HYPERLINK("http://www.informatics.jax.org/marker/MGI:2442159","MGI:2442159")</f>
        <v>MGI:2442159</v>
      </c>
      <c r="J4740" s="4" t="s">
        <v>12</v>
      </c>
    </row>
    <row r="4741" spans="1:10" x14ac:dyDescent="0.25">
      <c r="A4741" s="2">
        <v>666.78242142238503</v>
      </c>
      <c r="B4741" s="3">
        <v>-0.30961622035036501</v>
      </c>
      <c r="C4741" s="5">
        <v>1.5399066246621801E-8</v>
      </c>
      <c r="D4741" s="6">
        <v>1.05190398180165E-7</v>
      </c>
      <c r="E4741" s="3" t="s">
        <v>7552</v>
      </c>
      <c r="F4741" s="3" t="s">
        <v>7553</v>
      </c>
      <c r="G4741" s="3">
        <v>381101</v>
      </c>
      <c r="H4741" s="7" t="str">
        <f>HYPERLINK("http://www.ensembl.org/Mus_musculus/Gene/Summary?db=core;g=ENSMUSG00000040658","ENSMUSG00000040658")</f>
        <v>ENSMUSG00000040658</v>
      </c>
      <c r="I4741" s="7" t="str">
        <f>HYPERLINK("http://www.informatics.jax.org/marker/MGI:3039376","MGI:3039376")</f>
        <v>MGI:3039376</v>
      </c>
      <c r="J4741" s="4" t="s">
        <v>12</v>
      </c>
    </row>
    <row r="4742" spans="1:10" x14ac:dyDescent="0.25">
      <c r="A4742" s="2">
        <v>66.0433798582131</v>
      </c>
      <c r="B4742" s="3">
        <v>-0.30965049859250898</v>
      </c>
      <c r="C4742" s="3">
        <v>2.5095279865387701E-2</v>
      </c>
      <c r="D4742" s="4">
        <v>6.2954091610005702E-2</v>
      </c>
      <c r="E4742" s="3" t="s">
        <v>7612</v>
      </c>
      <c r="F4742" s="3" t="s">
        <v>7613</v>
      </c>
      <c r="G4742" s="3">
        <v>22756</v>
      </c>
      <c r="H4742" s="7" t="str">
        <f>HYPERLINK("http://www.ensembl.org/Mus_musculus/Gene/Summary?db=core;g=ENSMUSG00000074282","ENSMUSG00000074282")</f>
        <v>ENSMUSG00000074282</v>
      </c>
      <c r="I4742" s="7" t="str">
        <f>HYPERLINK("http://www.informatics.jax.org/marker/MGI:107610","MGI:107610")</f>
        <v>MGI:107610</v>
      </c>
      <c r="J4742" s="4" t="s">
        <v>12</v>
      </c>
    </row>
    <row r="4743" spans="1:10" x14ac:dyDescent="0.25">
      <c r="A4743" s="2">
        <v>1077.3456009773699</v>
      </c>
      <c r="B4743" s="3">
        <v>-0.31004489546485697</v>
      </c>
      <c r="C4743" s="5">
        <v>1.6200460075893999E-7</v>
      </c>
      <c r="D4743" s="6">
        <v>9.941191410207699E-7</v>
      </c>
      <c r="E4743" s="3" t="s">
        <v>9297</v>
      </c>
      <c r="F4743" s="3" t="s">
        <v>9298</v>
      </c>
      <c r="G4743" s="3">
        <v>75805</v>
      </c>
      <c r="H4743" s="7" t="str">
        <f>HYPERLINK("http://www.ensembl.org/Mus_musculus/Gene/Summary?db=core;g=ENSMUSG00000021710","ENSMUSG00000021710")</f>
        <v>ENSMUSG00000021710</v>
      </c>
      <c r="I4743" s="7" t="str">
        <f>HYPERLINK("http://www.informatics.jax.org/marker/MGI:1923055","MGI:1923055")</f>
        <v>MGI:1923055</v>
      </c>
      <c r="J4743" s="4" t="s">
        <v>12</v>
      </c>
    </row>
    <row r="4744" spans="1:10" x14ac:dyDescent="0.25">
      <c r="A4744" s="2">
        <v>1155.66084180032</v>
      </c>
      <c r="B4744" s="3">
        <v>-0.31019312528986298</v>
      </c>
      <c r="C4744" s="5">
        <v>1.34988366993471E-8</v>
      </c>
      <c r="D4744" s="6">
        <v>9.2871384992676797E-8</v>
      </c>
      <c r="E4744" s="3" t="s">
        <v>6635</v>
      </c>
      <c r="F4744" s="3" t="s">
        <v>6636</v>
      </c>
      <c r="G4744" s="3">
        <v>18706</v>
      </c>
      <c r="H4744" s="7" t="str">
        <f>HYPERLINK("http://www.ensembl.org/Mus_musculus/Gene/Summary?db=core;g=ENSMUSG00000027665","ENSMUSG00000027665")</f>
        <v>ENSMUSG00000027665</v>
      </c>
      <c r="I4744" s="7" t="str">
        <f>HYPERLINK("http://www.informatics.jax.org/marker/MGI:1206581","MGI:1206581")</f>
        <v>MGI:1206581</v>
      </c>
      <c r="J4744" s="4" t="s">
        <v>12</v>
      </c>
    </row>
    <row r="4745" spans="1:10" x14ac:dyDescent="0.25">
      <c r="A4745" s="2">
        <v>619.35032117925198</v>
      </c>
      <c r="B4745" s="3">
        <v>-0.31039934907279598</v>
      </c>
      <c r="C4745" s="5">
        <v>1.30399368962375E-5</v>
      </c>
      <c r="D4745" s="6">
        <v>6.27549115220301E-5</v>
      </c>
      <c r="E4745" s="3" t="s">
        <v>4727</v>
      </c>
      <c r="F4745" s="3" t="s">
        <v>4728</v>
      </c>
      <c r="G4745" s="3">
        <v>229725</v>
      </c>
      <c r="H4745" s="7" t="str">
        <f>HYPERLINK("http://www.ensembl.org/Mus_musculus/Gene/Summary?db=core;g=ENSMUSG00000027884","ENSMUSG00000027884")</f>
        <v>ENSMUSG00000027884</v>
      </c>
      <c r="I4745" s="7" t="str">
        <f>HYPERLINK("http://www.informatics.jax.org/marker/MGI:2385186","MGI:2385186")</f>
        <v>MGI:2385186</v>
      </c>
      <c r="J4745" s="4" t="s">
        <v>12</v>
      </c>
    </row>
    <row r="4746" spans="1:10" x14ac:dyDescent="0.25">
      <c r="A4746" s="2">
        <v>196.43571068264501</v>
      </c>
      <c r="B4746" s="3">
        <v>-0.31069219786943197</v>
      </c>
      <c r="C4746" s="3">
        <v>6.4418103082071205E-4</v>
      </c>
      <c r="D4746" s="4">
        <v>2.34569416317832E-3</v>
      </c>
      <c r="E4746" s="3" t="s">
        <v>9517</v>
      </c>
      <c r="F4746" s="3" t="s">
        <v>9518</v>
      </c>
      <c r="G4746" s="3">
        <v>19044</v>
      </c>
      <c r="H4746" s="7" t="str">
        <f>HYPERLINK("http://www.ensembl.org/Mus_musculus/Gene/Summary?db=core;g=ENSMUSG00000062729","ENSMUSG00000062729")</f>
        <v>ENSMUSG00000062729</v>
      </c>
      <c r="I4746" s="7" t="str">
        <f>HYPERLINK("http://www.informatics.jax.org/marker/MGI:104968","MGI:104968")</f>
        <v>MGI:104968</v>
      </c>
      <c r="J4746" s="4" t="s">
        <v>12</v>
      </c>
    </row>
    <row r="4747" spans="1:10" x14ac:dyDescent="0.25">
      <c r="A4747" s="2">
        <v>661.62000701500904</v>
      </c>
      <c r="B4747" s="3">
        <v>-0.31080730428960801</v>
      </c>
      <c r="C4747" s="5">
        <v>1.5720372770562301E-5</v>
      </c>
      <c r="D4747" s="6">
        <v>7.4649242767977606E-5</v>
      </c>
      <c r="E4747" s="3" t="s">
        <v>6255</v>
      </c>
      <c r="F4747" s="3" t="s">
        <v>6256</v>
      </c>
      <c r="G4747" s="3">
        <v>17120</v>
      </c>
      <c r="H4747" s="7" t="str">
        <f>HYPERLINK("http://www.ensembl.org/Mus_musculus/Gene/Summary?db=core;g=ENSMUSG00000029554","ENSMUSG00000029554")</f>
        <v>ENSMUSG00000029554</v>
      </c>
      <c r="I4747" s="7" t="str">
        <f>HYPERLINK("http://www.informatics.jax.org/marker/MGI:1341857","MGI:1341857")</f>
        <v>MGI:1341857</v>
      </c>
      <c r="J4747" s="4" t="s">
        <v>12</v>
      </c>
    </row>
    <row r="4748" spans="1:10" x14ac:dyDescent="0.25">
      <c r="A4748" s="2">
        <v>857.057632153545</v>
      </c>
      <c r="B4748" s="3">
        <v>-0.31086703474788302</v>
      </c>
      <c r="C4748" s="5">
        <v>1.16632269267826E-6</v>
      </c>
      <c r="D4748" s="6">
        <v>6.4412821436549604E-6</v>
      </c>
      <c r="E4748" s="3" t="s">
        <v>5969</v>
      </c>
      <c r="F4748" s="3" t="s">
        <v>5970</v>
      </c>
      <c r="G4748" s="3">
        <v>67681</v>
      </c>
      <c r="H4748" s="7" t="str">
        <f>HYPERLINK("http://www.ensembl.org/Mus_musculus/Gene/Summary?db=core;g=ENSMUSG00000057388","ENSMUSG00000057388")</f>
        <v>ENSMUSG00000057388</v>
      </c>
      <c r="I4748" s="7" t="str">
        <f>HYPERLINK("http://www.informatics.jax.org/marker/MGI:1914931","MGI:1914931")</f>
        <v>MGI:1914931</v>
      </c>
      <c r="J4748" s="4" t="s">
        <v>12</v>
      </c>
    </row>
    <row r="4749" spans="1:10" x14ac:dyDescent="0.25">
      <c r="A4749" s="2">
        <v>334.14483097413699</v>
      </c>
      <c r="B4749" s="3">
        <v>-0.31118843367010202</v>
      </c>
      <c r="C4749" s="3">
        <v>1.0722619457873599E-2</v>
      </c>
      <c r="D4749" s="4">
        <v>2.9835074751106399E-2</v>
      </c>
      <c r="E4749" s="3" t="s">
        <v>10118</v>
      </c>
      <c r="F4749" s="3" t="s">
        <v>10119</v>
      </c>
      <c r="G4749" s="3">
        <v>75317</v>
      </c>
      <c r="H4749" s="7" t="str">
        <f>HYPERLINK("http://www.ensembl.org/Mus_musculus/Gene/Summary?db=core;g=ENSMUSG00000035365","ENSMUSG00000035365")</f>
        <v>ENSMUSG00000035365</v>
      </c>
      <c r="I4749" s="7" t="str">
        <f>HYPERLINK("http://www.informatics.jax.org/marker/MGI:1922567","MGI:1922567")</f>
        <v>MGI:1922567</v>
      </c>
      <c r="J4749" s="4" t="s">
        <v>12</v>
      </c>
    </row>
    <row r="4750" spans="1:10" x14ac:dyDescent="0.25">
      <c r="A4750" s="2">
        <v>398.59543263282899</v>
      </c>
      <c r="B4750" s="3">
        <v>-0.31125529032961102</v>
      </c>
      <c r="C4750" s="5">
        <v>1.3128212260371901E-5</v>
      </c>
      <c r="D4750" s="6">
        <v>6.3146389138368401E-5</v>
      </c>
      <c r="E4750" s="3" t="s">
        <v>3171</v>
      </c>
      <c r="F4750" s="3" t="s">
        <v>3172</v>
      </c>
      <c r="G4750" s="3">
        <v>73338</v>
      </c>
      <c r="H4750" s="7" t="str">
        <f>HYPERLINK("http://www.ensembl.org/Mus_musculus/Gene/Summary?db=core;g=ENSMUSG00000074825","ENSMUSG00000074825")</f>
        <v>ENSMUSG00000074825</v>
      </c>
      <c r="I4750" s="7" t="str">
        <f>HYPERLINK("http://www.informatics.jax.org/marker/MGI:1920588","MGI:1920588")</f>
        <v>MGI:1920588</v>
      </c>
      <c r="J4750" s="4" t="s">
        <v>12</v>
      </c>
    </row>
    <row r="4751" spans="1:10" x14ac:dyDescent="0.25">
      <c r="A4751" s="2">
        <v>116.046653973441</v>
      </c>
      <c r="B4751" s="3">
        <v>-0.31129961017528601</v>
      </c>
      <c r="C4751" s="3">
        <v>4.8521080995637799E-3</v>
      </c>
      <c r="D4751" s="4">
        <v>1.4623725833396699E-2</v>
      </c>
      <c r="E4751" s="3" t="s">
        <v>11615</v>
      </c>
      <c r="F4751" s="3" t="s">
        <v>11616</v>
      </c>
      <c r="G4751" s="3">
        <v>106564</v>
      </c>
      <c r="H4751" s="7" t="str">
        <f>HYPERLINK("http://www.ensembl.org/Mus_musculus/Gene/Summary?db=core;g=ENSMUSG00000028636","ENSMUSG00000028636")</f>
        <v>ENSMUSG00000028636</v>
      </c>
      <c r="I4751" s="7" t="str">
        <f>HYPERLINK("http://www.informatics.jax.org/marker/MGI:1915237","MGI:1915237")</f>
        <v>MGI:1915237</v>
      </c>
      <c r="J4751" s="4" t="s">
        <v>12</v>
      </c>
    </row>
    <row r="4752" spans="1:10" x14ac:dyDescent="0.25">
      <c r="A4752" s="2">
        <v>601.12243206177902</v>
      </c>
      <c r="B4752" s="3">
        <v>-0.31149579554308698</v>
      </c>
      <c r="C4752" s="3">
        <v>4.5627289709711397E-3</v>
      </c>
      <c r="D4752" s="4">
        <v>1.38454438055193E-2</v>
      </c>
      <c r="E4752" s="3" t="s">
        <v>5099</v>
      </c>
      <c r="F4752" s="3" t="s">
        <v>5100</v>
      </c>
      <c r="G4752" s="3">
        <v>18676</v>
      </c>
      <c r="H4752" s="7" t="str">
        <f>HYPERLINK("http://www.ensembl.org/Mus_musculus/Gene/Summary?db=core;g=ENSMUSG00000038025","ENSMUSG00000038025")</f>
        <v>ENSMUSG00000038025</v>
      </c>
      <c r="I4752" s="7" t="str">
        <f>HYPERLINK("http://www.informatics.jax.org/marker/MGI:1338034","MGI:1338034")</f>
        <v>MGI:1338034</v>
      </c>
      <c r="J4752" s="4" t="s">
        <v>12</v>
      </c>
    </row>
    <row r="4753" spans="1:10" x14ac:dyDescent="0.25">
      <c r="A4753" s="2">
        <v>583.70731253740905</v>
      </c>
      <c r="B4753" s="3">
        <v>-0.31160551221675897</v>
      </c>
      <c r="C4753" s="3">
        <v>6.2062672693652598E-3</v>
      </c>
      <c r="D4753" s="4">
        <v>1.8269943625291801E-2</v>
      </c>
      <c r="E4753" s="3" t="s">
        <v>7522</v>
      </c>
      <c r="F4753" s="3" t="s">
        <v>7523</v>
      </c>
      <c r="G4753" s="3">
        <v>102920</v>
      </c>
      <c r="H4753" s="7" t="str">
        <f>HYPERLINK("http://www.ensembl.org/Mus_musculus/Gene/Summary?db=core;g=ENSMUSG00000031262","ENSMUSG00000031262")</f>
        <v>ENSMUSG00000031262</v>
      </c>
      <c r="I4753" s="7" t="str">
        <f>HYPERLINK("http://www.informatics.jax.org/marker/MGI:2147897","MGI:2147897")</f>
        <v>MGI:2147897</v>
      </c>
      <c r="J4753" s="4" t="s">
        <v>12</v>
      </c>
    </row>
    <row r="4754" spans="1:10" x14ac:dyDescent="0.25">
      <c r="A4754" s="2">
        <v>699.00910664061598</v>
      </c>
      <c r="B4754" s="3">
        <v>-0.31193637411373998</v>
      </c>
      <c r="C4754" s="5">
        <v>7.2967668885462998E-9</v>
      </c>
      <c r="D4754" s="6">
        <v>5.15640079657838E-8</v>
      </c>
      <c r="E4754" s="3" t="s">
        <v>6459</v>
      </c>
      <c r="F4754" s="3" t="s">
        <v>6460</v>
      </c>
      <c r="G4754" s="3">
        <v>320473</v>
      </c>
      <c r="H4754" s="7" t="str">
        <f>HYPERLINK("http://www.ensembl.org/Mus_musculus/Gene/Summary?db=core;g=ENSMUSG00000039414","ENSMUSG00000039414")</f>
        <v>ENSMUSG00000039414</v>
      </c>
      <c r="I4754" s="7" t="str">
        <f>HYPERLINK("http://www.informatics.jax.org/marker/MGI:2444098","MGI:2444098")</f>
        <v>MGI:2444098</v>
      </c>
      <c r="J4754" s="4" t="s">
        <v>12</v>
      </c>
    </row>
    <row r="4755" spans="1:10" x14ac:dyDescent="0.25">
      <c r="A4755" s="2">
        <v>572.66370204198495</v>
      </c>
      <c r="B4755" s="3">
        <v>-0.31208786680894102</v>
      </c>
      <c r="C4755" s="5">
        <v>1.50708805692465E-6</v>
      </c>
      <c r="D4755" s="6">
        <v>8.2235568375604304E-6</v>
      </c>
      <c r="E4755" s="3" t="s">
        <v>4215</v>
      </c>
      <c r="F4755" s="3" t="s">
        <v>4216</v>
      </c>
      <c r="G4755" s="3">
        <v>207806</v>
      </c>
      <c r="H4755" s="7" t="str">
        <f>HYPERLINK("http://www.ensembl.org/Mus_musculus/Gene/Summary?db=core;g=ENSMUSG00000068284","ENSMUSG00000068284")</f>
        <v>ENSMUSG00000068284</v>
      </c>
      <c r="I4755" s="7" t="str">
        <f>HYPERLINK("http://www.informatics.jax.org/marker/MGI:2685454","MGI:2685454")</f>
        <v>MGI:2685454</v>
      </c>
      <c r="J4755" s="4" t="s">
        <v>12</v>
      </c>
    </row>
    <row r="4756" spans="1:10" x14ac:dyDescent="0.25">
      <c r="A4756" s="2">
        <v>1017.72222720592</v>
      </c>
      <c r="B4756" s="3">
        <v>-0.31209337024232198</v>
      </c>
      <c r="C4756" s="5">
        <v>9.7022176630354592E-7</v>
      </c>
      <c r="D4756" s="6">
        <v>5.4024722550816101E-6</v>
      </c>
      <c r="E4756" s="3" t="s">
        <v>4747</v>
      </c>
      <c r="F4756" s="3" t="s">
        <v>4748</v>
      </c>
      <c r="G4756" s="3">
        <v>239985</v>
      </c>
      <c r="H4756" s="7" t="str">
        <f>HYPERLINK("http://www.ensembl.org/Mus_musculus/Gene/Summary?db=core;g=ENSMUSG00000069729","ENSMUSG00000069729")</f>
        <v>ENSMUSG00000069729</v>
      </c>
      <c r="I4756" s="7" t="str">
        <f>HYPERLINK("http://www.informatics.jax.org/marker/MGI:1926129","MGI:1926129")</f>
        <v>MGI:1926129</v>
      </c>
      <c r="J4756" s="4" t="s">
        <v>12</v>
      </c>
    </row>
    <row r="4757" spans="1:10" x14ac:dyDescent="0.25">
      <c r="A4757" s="2">
        <v>617.584648400432</v>
      </c>
      <c r="B4757" s="3">
        <v>-0.31209668877243701</v>
      </c>
      <c r="C4757" s="3">
        <v>1.1182056001662799E-2</v>
      </c>
      <c r="D4757" s="4">
        <v>3.09998434180567E-2</v>
      </c>
      <c r="E4757" s="3" t="s">
        <v>6778</v>
      </c>
      <c r="F4757" s="3" t="s">
        <v>6779</v>
      </c>
      <c r="G4757" s="3">
        <v>68549</v>
      </c>
      <c r="H4757" s="7" t="str">
        <f>HYPERLINK("http://www.ensembl.org/Mus_musculus/Gene/Summary?db=core;g=ENSMUSG00000026039","ENSMUSG00000026039")</f>
        <v>ENSMUSG00000026039</v>
      </c>
      <c r="I4757" s="7" t="str">
        <f>HYPERLINK("http://www.informatics.jax.org/marker/MGI:1098767","MGI:1098767")</f>
        <v>MGI:1098767</v>
      </c>
      <c r="J4757" s="4" t="s">
        <v>12</v>
      </c>
    </row>
    <row r="4758" spans="1:10" x14ac:dyDescent="0.25">
      <c r="A4758" s="2">
        <v>1027.9880919663999</v>
      </c>
      <c r="B4758" s="3">
        <v>-0.31214430897794698</v>
      </c>
      <c r="C4758" s="5">
        <v>1.74589543663708E-10</v>
      </c>
      <c r="D4758" s="6">
        <v>1.4629399693200399E-9</v>
      </c>
      <c r="E4758" s="3" t="s">
        <v>7740</v>
      </c>
      <c r="F4758" s="3" t="s">
        <v>7741</v>
      </c>
      <c r="G4758" s="3">
        <v>108086</v>
      </c>
      <c r="H4758" s="7" t="str">
        <f>HYPERLINK("http://www.ensembl.org/Mus_musculus/Gene/Summary?db=core;g=ENSMUSG00000045078","ENSMUSG00000045078")</f>
        <v>ENSMUSG00000045078</v>
      </c>
      <c r="I4758" s="7" t="str">
        <f>HYPERLINK("http://www.informatics.jax.org/marker/MGI:1344349","MGI:1344349")</f>
        <v>MGI:1344349</v>
      </c>
      <c r="J4758" s="4" t="s">
        <v>12</v>
      </c>
    </row>
    <row r="4759" spans="1:10" x14ac:dyDescent="0.25">
      <c r="A4759" s="2">
        <v>268.26387971125303</v>
      </c>
      <c r="B4759" s="3">
        <v>-0.31239567266163598</v>
      </c>
      <c r="C4759" s="3">
        <v>8.04598005225959E-4</v>
      </c>
      <c r="D4759" s="4">
        <v>2.8742919865595599E-3</v>
      </c>
      <c r="E4759" s="3" t="s">
        <v>6387</v>
      </c>
      <c r="F4759" s="3" t="s">
        <v>6388</v>
      </c>
      <c r="G4759" s="3">
        <v>399568</v>
      </c>
      <c r="H4759" s="7" t="str">
        <f>HYPERLINK("http://www.ensembl.org/Mus_musculus/Gene/Summary?db=core;g=ENSMUSG00000040282","ENSMUSG00000040282")</f>
        <v>ENSMUSG00000040282</v>
      </c>
      <c r="I4759" s="7" t="str">
        <f>HYPERLINK("http://www.informatics.jax.org/marker/MGI:3026886","MGI:3026886")</f>
        <v>MGI:3026886</v>
      </c>
      <c r="J4759" s="4" t="s">
        <v>12</v>
      </c>
    </row>
    <row r="4760" spans="1:10" x14ac:dyDescent="0.25">
      <c r="A4760" s="2">
        <v>770.47468966526606</v>
      </c>
      <c r="B4760" s="3">
        <v>-0.31244112560221499</v>
      </c>
      <c r="C4760" s="3">
        <v>1.07902020300214E-4</v>
      </c>
      <c r="D4760" s="4">
        <v>4.487709538958E-4</v>
      </c>
      <c r="E4760" s="3" t="s">
        <v>5989</v>
      </c>
      <c r="F4760" s="3" t="s">
        <v>5990</v>
      </c>
      <c r="G4760" s="3">
        <v>239017</v>
      </c>
      <c r="H4760" s="7" t="str">
        <f>HYPERLINK("http://www.ensembl.org/Mus_musculus/Gene/Summary?db=core;g=ENSMUSG00000021913","ENSMUSG00000021913")</f>
        <v>ENSMUSG00000021913</v>
      </c>
      <c r="I4760" s="7" t="str">
        <f>HYPERLINK("http://www.informatics.jax.org/marker/MGI:3616088","MGI:3616088")</f>
        <v>MGI:3616088</v>
      </c>
      <c r="J4760" s="4" t="s">
        <v>12</v>
      </c>
    </row>
    <row r="4761" spans="1:10" x14ac:dyDescent="0.25">
      <c r="A4761" s="2">
        <v>308.68022858937098</v>
      </c>
      <c r="B4761" s="3">
        <v>-0.31259887609576997</v>
      </c>
      <c r="C4761" s="3">
        <v>3.0079878306718999E-4</v>
      </c>
      <c r="D4761" s="4">
        <v>1.15728474169296E-3</v>
      </c>
      <c r="E4761" s="3" t="s">
        <v>6754</v>
      </c>
      <c r="F4761" s="3" t="s">
        <v>6755</v>
      </c>
      <c r="G4761" s="3">
        <v>17125</v>
      </c>
      <c r="H4761" s="7" t="str">
        <f>HYPERLINK("http://www.ensembl.org/Mus_musculus/Gene/Summary?db=core;g=ENSMUSG00000031681","ENSMUSG00000031681")</f>
        <v>ENSMUSG00000031681</v>
      </c>
      <c r="I4761" s="7" t="str">
        <f>HYPERLINK("http://www.informatics.jax.org/marker/MGI:109452","MGI:109452")</f>
        <v>MGI:109452</v>
      </c>
      <c r="J4761" s="4" t="s">
        <v>12</v>
      </c>
    </row>
    <row r="4762" spans="1:10" x14ac:dyDescent="0.25">
      <c r="A4762" s="2">
        <v>901.14448277780195</v>
      </c>
      <c r="B4762" s="3">
        <v>-0.31319500622211099</v>
      </c>
      <c r="C4762" s="5">
        <v>7.20760534983046E-6</v>
      </c>
      <c r="D4762" s="6">
        <v>3.5988659589221899E-5</v>
      </c>
      <c r="E4762" s="3" t="s">
        <v>8379</v>
      </c>
      <c r="F4762" s="3" t="s">
        <v>8380</v>
      </c>
      <c r="G4762" s="3">
        <v>231279</v>
      </c>
      <c r="H4762" s="7" t="str">
        <f>HYPERLINK("http://www.ensembl.org/Mus_musculus/Gene/Summary?db=core;g=ENSMUSG00000029208","ENSMUSG00000029208")</f>
        <v>ENSMUSG00000029208</v>
      </c>
      <c r="I4762" s="7" t="str">
        <f>HYPERLINK("http://www.informatics.jax.org/marker/MGI:2140726","MGI:2140726")</f>
        <v>MGI:2140726</v>
      </c>
      <c r="J4762" s="4" t="s">
        <v>12</v>
      </c>
    </row>
    <row r="4763" spans="1:10" x14ac:dyDescent="0.25">
      <c r="A4763" s="2">
        <v>1110.3063530930301</v>
      </c>
      <c r="B4763" s="3">
        <v>-0.31330011615442599</v>
      </c>
      <c r="C4763" s="5">
        <v>1.2786878745363301E-7</v>
      </c>
      <c r="D4763" s="6">
        <v>7.91310238146846E-7</v>
      </c>
      <c r="E4763" s="3" t="s">
        <v>6171</v>
      </c>
      <c r="F4763" s="3" t="s">
        <v>6172</v>
      </c>
      <c r="G4763" s="3">
        <v>18759</v>
      </c>
      <c r="H4763" s="7" t="str">
        <f>HYPERLINK("http://www.ensembl.org/Mus_musculus/Gene/Summary?db=core;g=ENSMUSG00000037643","ENSMUSG00000037643")</f>
        <v>ENSMUSG00000037643</v>
      </c>
      <c r="I4763" s="7" t="str">
        <f>HYPERLINK("http://www.informatics.jax.org/marker/MGI:99260","MGI:99260")</f>
        <v>MGI:99260</v>
      </c>
      <c r="J4763" s="4" t="s">
        <v>12</v>
      </c>
    </row>
    <row r="4764" spans="1:10" x14ac:dyDescent="0.25">
      <c r="A4764" s="2">
        <v>209.013517741828</v>
      </c>
      <c r="B4764" s="3">
        <v>-0.31341691774075198</v>
      </c>
      <c r="C4764" s="3">
        <v>1.17414144448589E-3</v>
      </c>
      <c r="D4764" s="4">
        <v>4.0775014911881404E-3</v>
      </c>
      <c r="E4764" s="3" t="s">
        <v>10434</v>
      </c>
      <c r="F4764" s="3" t="s">
        <v>10435</v>
      </c>
      <c r="G4764" s="3">
        <v>226422</v>
      </c>
      <c r="H4764" s="7" t="str">
        <f>HYPERLINK("http://www.ensembl.org/Mus_musculus/Gene/Summary?db=core;g=ENSMUSG00000026433","ENSMUSG00000026433")</f>
        <v>ENSMUSG00000026433</v>
      </c>
      <c r="I4764" s="7" t="str">
        <f>HYPERLINK("http://www.informatics.jax.org/marker/MGI:2385107","MGI:2385107")</f>
        <v>MGI:2385107</v>
      </c>
      <c r="J4764" s="4" t="s">
        <v>12</v>
      </c>
    </row>
    <row r="4765" spans="1:10" x14ac:dyDescent="0.25">
      <c r="A4765" s="2">
        <v>299.50669916829003</v>
      </c>
      <c r="B4765" s="3">
        <v>-0.31385432670382801</v>
      </c>
      <c r="C4765" s="3">
        <v>6.0155831046333004E-4</v>
      </c>
      <c r="D4765" s="4">
        <v>2.2063594703550398E-3</v>
      </c>
      <c r="E4765" s="3" t="s">
        <v>7420</v>
      </c>
      <c r="F4765" s="3" t="s">
        <v>7421</v>
      </c>
      <c r="G4765" s="3">
        <v>66756</v>
      </c>
      <c r="H4765" s="7" t="str">
        <f>HYPERLINK("http://www.ensembl.org/Mus_musculus/Gene/Summary?db=core;g=ENSMUSG00000031631","ENSMUSG00000031631")</f>
        <v>ENSMUSG00000031631</v>
      </c>
      <c r="I4765" s="7" t="str">
        <f>HYPERLINK("http://www.informatics.jax.org/marker/MGI:1914006","MGI:1914006")</f>
        <v>MGI:1914006</v>
      </c>
      <c r="J4765" s="4" t="s">
        <v>12</v>
      </c>
    </row>
    <row r="4766" spans="1:10" x14ac:dyDescent="0.25">
      <c r="A4766" s="2">
        <v>347.224026547444</v>
      </c>
      <c r="B4766" s="3">
        <v>-0.313953252235671</v>
      </c>
      <c r="C4766" s="3">
        <v>3.1169556965778201E-4</v>
      </c>
      <c r="D4766" s="4">
        <v>1.1954233495397901E-3</v>
      </c>
      <c r="E4766" s="3" t="s">
        <v>9291</v>
      </c>
      <c r="F4766" s="3" t="s">
        <v>9292</v>
      </c>
      <c r="G4766" s="3">
        <v>110532</v>
      </c>
      <c r="H4766" s="7" t="str">
        <f>HYPERLINK("http://www.ensembl.org/Mus_musculus/Gene/Summary?db=core;g=ENSMUSG00000020262","ENSMUSG00000020262")</f>
        <v>ENSMUSG00000020262</v>
      </c>
      <c r="I4766" s="7" t="str">
        <f>HYPERLINK("http://www.informatics.jax.org/marker/MGI:891999","MGI:891999")</f>
        <v>MGI:891999</v>
      </c>
      <c r="J4766" s="4" t="s">
        <v>12</v>
      </c>
    </row>
    <row r="4767" spans="1:10" x14ac:dyDescent="0.25">
      <c r="A4767" s="2">
        <v>135.599277700882</v>
      </c>
      <c r="B4767" s="3">
        <v>-0.31404236663032797</v>
      </c>
      <c r="C4767" s="3">
        <v>2.86285386573997E-3</v>
      </c>
      <c r="D4767" s="4">
        <v>9.1327694211641892E-3</v>
      </c>
      <c r="E4767" s="3" t="s">
        <v>8991</v>
      </c>
      <c r="F4767" s="3" t="s">
        <v>8992</v>
      </c>
      <c r="G4767" s="3">
        <v>74411</v>
      </c>
      <c r="H4767" s="7" t="str">
        <f>HYPERLINK("http://www.ensembl.org/Mus_musculus/Gene/Summary?db=core;g=ENSMUSG00000040105","ENSMUSG00000040105")</f>
        <v>ENSMUSG00000040105</v>
      </c>
      <c r="I4767" s="7" t="str">
        <f>HYPERLINK("http://www.informatics.jax.org/marker/MGI:1921661","MGI:1921661")</f>
        <v>MGI:1921661</v>
      </c>
      <c r="J4767" s="4" t="s">
        <v>12</v>
      </c>
    </row>
    <row r="4768" spans="1:10" x14ac:dyDescent="0.25">
      <c r="A4768" s="2">
        <v>7.1299242671347498</v>
      </c>
      <c r="B4768" s="3">
        <v>-0.31441284787378099</v>
      </c>
      <c r="C4768" s="3">
        <v>0.394555229898987</v>
      </c>
      <c r="D4768" s="4">
        <v>0.57307237770564601</v>
      </c>
      <c r="E4768" s="3" t="s">
        <v>13345</v>
      </c>
      <c r="F4768" s="3" t="s">
        <v>13346</v>
      </c>
      <c r="G4768" s="3">
        <v>278795</v>
      </c>
      <c r="H4768" s="7" t="str">
        <f>HYPERLINK("http://www.ensembl.org/Mus_musculus/Gene/Summary?db=core;g=ENSMUSG00000090291","ENSMUSG00000090291")</f>
        <v>ENSMUSG00000090291</v>
      </c>
      <c r="I4768" s="7" t="str">
        <f>HYPERLINK("http://www.informatics.jax.org/marker/MGI:2685551","MGI:2685551")</f>
        <v>MGI:2685551</v>
      </c>
      <c r="J4768" s="4" t="s">
        <v>12</v>
      </c>
    </row>
    <row r="4769" spans="1:10" x14ac:dyDescent="0.25">
      <c r="A4769" s="2">
        <v>90.288122187496199</v>
      </c>
      <c r="B4769" s="3">
        <v>-0.31478745358770699</v>
      </c>
      <c r="C4769" s="3">
        <v>1.6145947709889301E-2</v>
      </c>
      <c r="D4769" s="4">
        <v>4.2876278160095101E-2</v>
      </c>
      <c r="E4769" s="3" t="s">
        <v>10402</v>
      </c>
      <c r="F4769" s="3" t="s">
        <v>10403</v>
      </c>
      <c r="G4769" s="3">
        <v>72479</v>
      </c>
      <c r="H4769" s="7" t="str">
        <f>HYPERLINK("http://www.ensembl.org/Mus_musculus/Gene/Summary?db=core;g=ENSMUSG00000028383","ENSMUSG00000028383")</f>
        <v>ENSMUSG00000028383</v>
      </c>
      <c r="I4769" s="7" t="str">
        <f>HYPERLINK("http://www.informatics.jax.org/marker/MGI:1919729","MGI:1919729")</f>
        <v>MGI:1919729</v>
      </c>
      <c r="J4769" s="4" t="s">
        <v>12</v>
      </c>
    </row>
    <row r="4770" spans="1:10" x14ac:dyDescent="0.25">
      <c r="A4770" s="2">
        <v>815.03603376356205</v>
      </c>
      <c r="B4770" s="3">
        <v>-0.31513479622190899</v>
      </c>
      <c r="C4770" s="5">
        <v>1.89529126288896E-6</v>
      </c>
      <c r="D4770" s="6">
        <v>1.0195302026609001E-5</v>
      </c>
      <c r="E4770" s="3" t="s">
        <v>11121</v>
      </c>
      <c r="F4770" s="3" t="s">
        <v>11122</v>
      </c>
      <c r="G4770" s="3">
        <v>76789</v>
      </c>
      <c r="H4770" s="7" t="str">
        <f>HYPERLINK("http://www.ensembl.org/Mus_musculus/Gene/Summary?db=core;g=ENSMUSG00000033186","ENSMUSG00000033186")</f>
        <v>ENSMUSG00000033186</v>
      </c>
      <c r="I4770" s="7" t="str">
        <f>HYPERLINK("http://www.informatics.jax.org/marker/MGI:1924039","MGI:1924039")</f>
        <v>MGI:1924039</v>
      </c>
      <c r="J4770" s="4" t="s">
        <v>12</v>
      </c>
    </row>
    <row r="4771" spans="1:10" x14ac:dyDescent="0.25">
      <c r="A4771" s="2">
        <v>148.72697880751801</v>
      </c>
      <c r="B4771" s="3">
        <v>-0.31532606918330902</v>
      </c>
      <c r="C4771" s="3">
        <v>4.4545419678522604E-3</v>
      </c>
      <c r="D4771" s="4">
        <v>1.3546475448708101E-2</v>
      </c>
      <c r="E4771" s="3" t="s">
        <v>12449</v>
      </c>
      <c r="F4771" s="3" t="s">
        <v>12450</v>
      </c>
      <c r="G4771" s="3">
        <v>56032</v>
      </c>
      <c r="H4771" s="7" t="str">
        <f>HYPERLINK("http://www.ensembl.org/Mus_musculus/Gene/Summary?db=core;g=ENSMUSG00000010057","ENSMUSG00000010057")</f>
        <v>ENSMUSG00000010057</v>
      </c>
      <c r="I4771" s="7" t="str">
        <f>HYPERLINK("http://www.informatics.jax.org/marker/MGI:1914482","MGI:1914482")</f>
        <v>MGI:1914482</v>
      </c>
      <c r="J4771" s="4" t="s">
        <v>12</v>
      </c>
    </row>
    <row r="4772" spans="1:10" x14ac:dyDescent="0.25">
      <c r="A4772" s="2">
        <v>850.13257710239498</v>
      </c>
      <c r="B4772" s="3">
        <v>-0.31539860045228402</v>
      </c>
      <c r="C4772" s="5">
        <v>4.0359318022339097E-8</v>
      </c>
      <c r="D4772" s="6">
        <v>2.6204081615857799E-7</v>
      </c>
      <c r="E4772" s="3" t="s">
        <v>6129</v>
      </c>
      <c r="F4772" s="3" t="s">
        <v>6130</v>
      </c>
      <c r="G4772" s="3">
        <v>668173</v>
      </c>
      <c r="H4772" s="7" t="str">
        <f>HYPERLINK("http://www.ensembl.org/Mus_musculus/Gene/Summary?db=core;g=ENSMUSG00000029047","ENSMUSG00000029047")</f>
        <v>ENSMUSG00000029047</v>
      </c>
      <c r="I4772" s="7" t="str">
        <f>HYPERLINK("http://www.informatics.jax.org/marker/MGI:2684988","MGI:2684988")</f>
        <v>MGI:2684988</v>
      </c>
      <c r="J4772" s="4" t="s">
        <v>12</v>
      </c>
    </row>
    <row r="4773" spans="1:10" x14ac:dyDescent="0.25">
      <c r="A4773" s="2">
        <v>715.25456563830403</v>
      </c>
      <c r="B4773" s="3">
        <v>-0.31549331880055798</v>
      </c>
      <c r="C4773" s="3">
        <v>3.1940536369703601E-4</v>
      </c>
      <c r="D4773" s="4">
        <v>1.2226764867419599E-3</v>
      </c>
      <c r="E4773" s="3" t="s">
        <v>7246</v>
      </c>
      <c r="F4773" s="3" t="s">
        <v>7247</v>
      </c>
      <c r="G4773" s="3">
        <v>93747</v>
      </c>
      <c r="H4773" s="7" t="str">
        <f>HYPERLINK("http://www.ensembl.org/Mus_musculus/Gene/Summary?db=core;g=ENSMUSG00000025465","ENSMUSG00000025465")</f>
        <v>ENSMUSG00000025465</v>
      </c>
      <c r="I4773" s="7" t="str">
        <f>HYPERLINK("http://www.informatics.jax.org/marker/MGI:2136460","MGI:2136460")</f>
        <v>MGI:2136460</v>
      </c>
      <c r="J4773" s="4" t="s">
        <v>12</v>
      </c>
    </row>
    <row r="4774" spans="1:10" x14ac:dyDescent="0.25">
      <c r="A4774" s="2">
        <v>9.1134259487214599</v>
      </c>
      <c r="B4774" s="3">
        <v>-0.31551908248284299</v>
      </c>
      <c r="C4774" s="3">
        <v>0.36854574546579</v>
      </c>
      <c r="D4774" s="4">
        <v>0.54736746891973098</v>
      </c>
      <c r="E4774" s="3" t="s">
        <v>10476</v>
      </c>
      <c r="F4774" s="3" t="s">
        <v>10477</v>
      </c>
      <c r="G4774" s="3" t="s">
        <v>83</v>
      </c>
      <c r="H4774" s="7" t="str">
        <f>HYPERLINK("http://www.ensembl.org/Mus_musculus/Gene/Summary?db=core;g=ENSMUSG00000113831","ENSMUSG00000113831")</f>
        <v>ENSMUSG00000113831</v>
      </c>
      <c r="I4774" s="7" t="str">
        <f>HYPERLINK("http://www.informatics.jax.org/marker/MGI:6215013","MGI:6215013")</f>
        <v>MGI:6215013</v>
      </c>
      <c r="J4774" s="4" t="s">
        <v>939</v>
      </c>
    </row>
    <row r="4775" spans="1:10" x14ac:dyDescent="0.25">
      <c r="A4775" s="2">
        <v>638.737972900008</v>
      </c>
      <c r="B4775" s="3">
        <v>-0.31592650526048499</v>
      </c>
      <c r="C4775" s="5">
        <v>2.50837242832436E-5</v>
      </c>
      <c r="D4775" s="4">
        <v>1.15500473739797E-4</v>
      </c>
      <c r="E4775" s="3" t="s">
        <v>5115</v>
      </c>
      <c r="F4775" s="3" t="s">
        <v>5116</v>
      </c>
      <c r="G4775" s="3">
        <v>223752</v>
      </c>
      <c r="H4775" s="7" t="str">
        <f>HYPERLINK("http://www.ensembl.org/Mus_musculus/Gene/Summary?db=core;g=ENSMUSG00000035900","ENSMUSG00000035900")</f>
        <v>ENSMUSG00000035900</v>
      </c>
      <c r="I4775" s="7" t="str">
        <f>HYPERLINK("http://www.informatics.jax.org/marker/MGI:2676308","MGI:2676308")</f>
        <v>MGI:2676308</v>
      </c>
      <c r="J4775" s="4" t="s">
        <v>12</v>
      </c>
    </row>
    <row r="4776" spans="1:10" x14ac:dyDescent="0.25">
      <c r="A4776" s="2">
        <v>183.12294330882099</v>
      </c>
      <c r="B4776" s="3">
        <v>-0.31606362029990398</v>
      </c>
      <c r="C4776" s="3">
        <v>5.36237101184848E-3</v>
      </c>
      <c r="D4776" s="4">
        <v>1.6026436813863301E-2</v>
      </c>
      <c r="E4776" s="3" t="s">
        <v>8075</v>
      </c>
      <c r="F4776" s="3" t="s">
        <v>8076</v>
      </c>
      <c r="G4776" s="3">
        <v>22644</v>
      </c>
      <c r="H4776" s="7" t="str">
        <f>HYPERLINK("http://www.ensembl.org/Mus_musculus/Gene/Summary?db=core;g=ENSMUSG00000052656","ENSMUSG00000052656")</f>
        <v>ENSMUSG00000052656</v>
      </c>
      <c r="I4776" s="7" t="str">
        <f>HYPERLINK("http://www.informatics.jax.org/marker/MGI:109483","MGI:109483")</f>
        <v>MGI:109483</v>
      </c>
      <c r="J4776" s="4" t="s">
        <v>12</v>
      </c>
    </row>
    <row r="4777" spans="1:10" x14ac:dyDescent="0.25">
      <c r="A4777" s="2">
        <v>1038.2608097689899</v>
      </c>
      <c r="B4777" s="3">
        <v>-0.31625429879911299</v>
      </c>
      <c r="C4777" s="5">
        <v>4.9446724101080398E-6</v>
      </c>
      <c r="D4777" s="6">
        <v>2.531366704332E-5</v>
      </c>
      <c r="E4777" s="3" t="s">
        <v>7052</v>
      </c>
      <c r="F4777" s="3" t="s">
        <v>7053</v>
      </c>
      <c r="G4777" s="3">
        <v>57317</v>
      </c>
      <c r="H4777" s="7" t="str">
        <f>HYPERLINK("http://www.ensembl.org/Mus_musculus/Gene/Summary?db=core;g=ENSMUSG00000028911","ENSMUSG00000028911")</f>
        <v>ENSMUSG00000028911</v>
      </c>
      <c r="I4777" s="7" t="str">
        <f>HYPERLINK("http://www.informatics.jax.org/marker/MGI:1890577","MGI:1890577")</f>
        <v>MGI:1890577</v>
      </c>
      <c r="J4777" s="4" t="s">
        <v>12</v>
      </c>
    </row>
    <row r="4778" spans="1:10" x14ac:dyDescent="0.25">
      <c r="A4778" s="2">
        <v>839.87493799224501</v>
      </c>
      <c r="B4778" s="3">
        <v>-0.316585769210732</v>
      </c>
      <c r="C4778" s="5">
        <v>6.6482945911283796E-6</v>
      </c>
      <c r="D4778" s="6">
        <v>3.3397235094629201E-5</v>
      </c>
      <c r="E4778" s="3" t="s">
        <v>9531</v>
      </c>
      <c r="F4778" s="3" t="s">
        <v>9532</v>
      </c>
      <c r="G4778" s="3">
        <v>12339</v>
      </c>
      <c r="H4778" s="7" t="str">
        <f>HYPERLINK("http://www.ensembl.org/Mus_musculus/Gene/Summary?db=core;g=ENSMUSG00000021893","ENSMUSG00000021893")</f>
        <v>ENSMUSG00000021893</v>
      </c>
      <c r="I4778" s="7" t="str">
        <f>HYPERLINK("http://www.informatics.jax.org/marker/MGI:1338030","MGI:1338030")</f>
        <v>MGI:1338030</v>
      </c>
      <c r="J4778" s="4" t="s">
        <v>12</v>
      </c>
    </row>
    <row r="4779" spans="1:10" x14ac:dyDescent="0.25">
      <c r="A4779" s="2">
        <v>702.36975571657695</v>
      </c>
      <c r="B4779" s="3">
        <v>-0.31660369030489899</v>
      </c>
      <c r="C4779" s="5">
        <v>9.86061167625988E-5</v>
      </c>
      <c r="D4779" s="4">
        <v>4.1284090925760702E-4</v>
      </c>
      <c r="E4779" s="3" t="s">
        <v>8817</v>
      </c>
      <c r="F4779" s="3" t="s">
        <v>8818</v>
      </c>
      <c r="G4779" s="3">
        <v>233824</v>
      </c>
      <c r="H4779" s="7" t="str">
        <f>HYPERLINK("http://www.ensembl.org/Mus_musculus/Gene/Summary?db=core;g=ENSMUSG00000034951","ENSMUSG00000034951")</f>
        <v>ENSMUSG00000034951</v>
      </c>
      <c r="I4779" s="7" t="str">
        <f>HYPERLINK("http://www.informatics.jax.org/marker/MGI:2685013","MGI:2685013")</f>
        <v>MGI:2685013</v>
      </c>
      <c r="J4779" s="4" t="s">
        <v>12</v>
      </c>
    </row>
    <row r="4780" spans="1:10" x14ac:dyDescent="0.25">
      <c r="A4780" s="2">
        <v>179.80230275795299</v>
      </c>
      <c r="B4780" s="3">
        <v>-0.31677691040205402</v>
      </c>
      <c r="C4780" s="3">
        <v>3.6584655237930398E-3</v>
      </c>
      <c r="D4780" s="4">
        <v>1.13664395109322E-2</v>
      </c>
      <c r="E4780" s="3" t="s">
        <v>9377</v>
      </c>
      <c r="F4780" s="3" t="s">
        <v>9378</v>
      </c>
      <c r="G4780" s="3">
        <v>217038</v>
      </c>
      <c r="H4780" s="7" t="str">
        <f>HYPERLINK("http://www.ensembl.org/Mus_musculus/Gene/Summary?db=core;g=ENSMUSG00000018405","ENSMUSG00000018405")</f>
        <v>ENSMUSG00000018405</v>
      </c>
      <c r="I4780" s="7" t="str">
        <f>HYPERLINK("http://www.informatics.jax.org/marker/MGI:2443470","MGI:2443470")</f>
        <v>MGI:2443470</v>
      </c>
      <c r="J4780" s="4" t="s">
        <v>12</v>
      </c>
    </row>
    <row r="4781" spans="1:10" x14ac:dyDescent="0.25">
      <c r="A4781" s="2">
        <v>618.10926069328502</v>
      </c>
      <c r="B4781" s="3">
        <v>-0.316951776771564</v>
      </c>
      <c r="C4781" s="5">
        <v>2.1173419170010099E-5</v>
      </c>
      <c r="D4781" s="6">
        <v>9.8540746775647195E-5</v>
      </c>
      <c r="E4781" s="3" t="s">
        <v>10688</v>
      </c>
      <c r="F4781" s="3" t="s">
        <v>10689</v>
      </c>
      <c r="G4781" s="3">
        <v>15108</v>
      </c>
      <c r="H4781" s="7" t="str">
        <f>HYPERLINK("http://www.ensembl.org/Mus_musculus/Gene/Summary?db=core;g=ENSMUSG00000025260","ENSMUSG00000025260")</f>
        <v>ENSMUSG00000025260</v>
      </c>
      <c r="I4781" s="7" t="str">
        <f>HYPERLINK("http://www.informatics.jax.org/marker/MGI:1333871","MGI:1333871")</f>
        <v>MGI:1333871</v>
      </c>
      <c r="J4781" s="4" t="s">
        <v>12</v>
      </c>
    </row>
    <row r="4782" spans="1:10" x14ac:dyDescent="0.25">
      <c r="A4782" s="2">
        <v>1027.2043643311199</v>
      </c>
      <c r="B4782" s="3">
        <v>-0.31713441371421702</v>
      </c>
      <c r="C4782" s="5">
        <v>2.1709483320215801E-5</v>
      </c>
      <c r="D4782" s="4">
        <v>1.00932483038503E-4</v>
      </c>
      <c r="E4782" s="3" t="s">
        <v>9723</v>
      </c>
      <c r="F4782" s="3" t="s">
        <v>9724</v>
      </c>
      <c r="G4782" s="3">
        <v>213753</v>
      </c>
      <c r="H4782" s="7" t="str">
        <f>HYPERLINK("http://www.ensembl.org/Mus_musculus/Gene/Summary?db=core;g=ENSMUSG00000041130","ENSMUSG00000041130")</f>
        <v>ENSMUSG00000041130</v>
      </c>
      <c r="I4782" s="7" t="str">
        <f>HYPERLINK("http://www.informatics.jax.org/marker/MGI:2670965","MGI:2670965")</f>
        <v>MGI:2670965</v>
      </c>
      <c r="J4782" s="4" t="s">
        <v>12</v>
      </c>
    </row>
    <row r="4783" spans="1:10" x14ac:dyDescent="0.25">
      <c r="A4783" s="2">
        <v>101.494509824755</v>
      </c>
      <c r="B4783" s="3">
        <v>-0.31758171342070002</v>
      </c>
      <c r="C4783" s="3">
        <v>9.6776554529141908E-3</v>
      </c>
      <c r="D4783" s="4">
        <v>2.71974202975113E-2</v>
      </c>
      <c r="E4783" s="3" t="s">
        <v>13623</v>
      </c>
      <c r="F4783" s="3" t="s">
        <v>13624</v>
      </c>
      <c r="G4783" s="3">
        <v>242747</v>
      </c>
      <c r="H4783" s="7" t="str">
        <f>HYPERLINK("http://www.ensembl.org/Mus_musculus/Gene/Summary?db=core;g=ENSMUSG00000059423","ENSMUSG00000059423")</f>
        <v>ENSMUSG00000059423</v>
      </c>
      <c r="I4783" s="7" t="str">
        <f>HYPERLINK("http://www.informatics.jax.org/marker/MGI:1922865","MGI:1922865")</f>
        <v>MGI:1922865</v>
      </c>
      <c r="J4783" s="4" t="s">
        <v>12</v>
      </c>
    </row>
    <row r="4784" spans="1:10" x14ac:dyDescent="0.25">
      <c r="A4784" s="2">
        <v>732.78302669727702</v>
      </c>
      <c r="B4784" s="3">
        <v>-0.31760271546423902</v>
      </c>
      <c r="C4784" s="3">
        <v>5.0706910922131403E-4</v>
      </c>
      <c r="D4784" s="4">
        <v>1.8825289296309699E-3</v>
      </c>
      <c r="E4784" s="3" t="s">
        <v>12227</v>
      </c>
      <c r="F4784" s="3" t="s">
        <v>12228</v>
      </c>
      <c r="G4784" s="3">
        <v>233490</v>
      </c>
      <c r="H4784" s="7" t="str">
        <f>HYPERLINK("http://www.ensembl.org/Mus_musculus/Gene/Summary?db=core;g=ENSMUSG00000051451","ENSMUSG00000051451")</f>
        <v>ENSMUSG00000051451</v>
      </c>
      <c r="I4784" s="7" t="str">
        <f>HYPERLINK("http://www.informatics.jax.org/marker/MGI:2675296","MGI:2675296")</f>
        <v>MGI:2675296</v>
      </c>
      <c r="J4784" s="4" t="s">
        <v>12</v>
      </c>
    </row>
    <row r="4785" spans="1:10" x14ac:dyDescent="0.25">
      <c r="A4785" s="2">
        <v>633.71492106501296</v>
      </c>
      <c r="B4785" s="3">
        <v>-0.31771032727985399</v>
      </c>
      <c r="C4785" s="5">
        <v>1.20691040605892E-5</v>
      </c>
      <c r="D4785" s="6">
        <v>5.8329202202131398E-5</v>
      </c>
      <c r="E4785" s="3" t="s">
        <v>8921</v>
      </c>
      <c r="F4785" s="3" t="s">
        <v>8922</v>
      </c>
      <c r="G4785" s="3">
        <v>228866</v>
      </c>
      <c r="H4785" s="7" t="str">
        <f>HYPERLINK("http://www.ensembl.org/Mus_musculus/Gene/Summary?db=core;g=ENSMUSG00000039849","ENSMUSG00000039849")</f>
        <v>ENSMUSG00000039849</v>
      </c>
      <c r="I4785" s="7" t="str">
        <f>HYPERLINK("http://www.informatics.jax.org/marker/MGI:2443858","MGI:2443858")</f>
        <v>MGI:2443858</v>
      </c>
      <c r="J4785" s="4" t="s">
        <v>12</v>
      </c>
    </row>
    <row r="4786" spans="1:10" x14ac:dyDescent="0.25">
      <c r="A4786" s="2">
        <v>378.60715559105302</v>
      </c>
      <c r="B4786" s="3">
        <v>-0.31774308707801602</v>
      </c>
      <c r="C4786" s="3">
        <v>3.25333595375051E-3</v>
      </c>
      <c r="D4786" s="4">
        <v>1.02333530819992E-2</v>
      </c>
      <c r="E4786" s="3" t="s">
        <v>8819</v>
      </c>
      <c r="F4786" s="3" t="s">
        <v>8820</v>
      </c>
      <c r="G4786" s="3">
        <v>67452</v>
      </c>
      <c r="H4786" s="7" t="str">
        <f>HYPERLINK("http://www.ensembl.org/Mus_musculus/Gene/Summary?db=core;g=ENSMUSG00000036257","ENSMUSG00000036257")</f>
        <v>ENSMUSG00000036257</v>
      </c>
      <c r="I4786" s="7" t="str">
        <f>HYPERLINK("http://www.informatics.jax.org/marker/MGI:1914702","MGI:1914702")</f>
        <v>MGI:1914702</v>
      </c>
      <c r="J4786" s="4" t="s">
        <v>12</v>
      </c>
    </row>
    <row r="4787" spans="1:10" x14ac:dyDescent="0.25">
      <c r="A4787" s="2">
        <v>349.05552987053301</v>
      </c>
      <c r="B4787" s="3">
        <v>-0.31842374088291198</v>
      </c>
      <c r="C4787" s="3">
        <v>7.2815796047796301E-4</v>
      </c>
      <c r="D4787" s="4">
        <v>2.6216275839017898E-3</v>
      </c>
      <c r="E4787" s="3" t="s">
        <v>8713</v>
      </c>
      <c r="F4787" s="3" t="s">
        <v>8714</v>
      </c>
      <c r="G4787" s="3">
        <v>22245</v>
      </c>
      <c r="H4787" s="7" t="str">
        <f>HYPERLINK("http://www.ensembl.org/Mus_musculus/Gene/Summary?db=core;g=ENSMUSG00000002550","ENSMUSG00000002550")</f>
        <v>ENSMUSG00000002550</v>
      </c>
      <c r="I4787" s="7" t="str">
        <f>HYPERLINK("http://www.informatics.jax.org/marker/MGI:98904","MGI:98904")</f>
        <v>MGI:98904</v>
      </c>
      <c r="J4787" s="4" t="s">
        <v>12</v>
      </c>
    </row>
    <row r="4788" spans="1:10" x14ac:dyDescent="0.25">
      <c r="A4788" s="2">
        <v>375.43503501584797</v>
      </c>
      <c r="B4788" s="3">
        <v>-0.318681331606471</v>
      </c>
      <c r="C4788" s="5">
        <v>3.78416502280632E-6</v>
      </c>
      <c r="D4788" s="6">
        <v>1.9615019209512302E-5</v>
      </c>
      <c r="E4788" s="3" t="s">
        <v>2950</v>
      </c>
      <c r="F4788" s="3" t="s">
        <v>2951</v>
      </c>
      <c r="G4788" s="3">
        <v>26885</v>
      </c>
      <c r="H4788" s="7" t="str">
        <f>HYPERLINK("http://www.ensembl.org/Mus_musculus/Gene/Summary?db=core;g=ENSMUSG00000028282","ENSMUSG00000028282")</f>
        <v>ENSMUSG00000028282</v>
      </c>
      <c r="I4788" s="7" t="str">
        <f>HYPERLINK("http://www.informatics.jax.org/marker/MGI:1349399","MGI:1349399")</f>
        <v>MGI:1349399</v>
      </c>
      <c r="J4788" s="4" t="s">
        <v>12</v>
      </c>
    </row>
    <row r="4789" spans="1:10" x14ac:dyDescent="0.25">
      <c r="A4789" s="2">
        <v>746.80317496836904</v>
      </c>
      <c r="B4789" s="3">
        <v>-0.31891330762169301</v>
      </c>
      <c r="C4789" s="3">
        <v>1.9370787760638901E-3</v>
      </c>
      <c r="D4789" s="4">
        <v>6.4316379474885204E-3</v>
      </c>
      <c r="E4789" s="3" t="s">
        <v>12380</v>
      </c>
      <c r="F4789" s="3" t="s">
        <v>12381</v>
      </c>
      <c r="G4789" s="3">
        <v>77582</v>
      </c>
      <c r="H4789" s="7" t="str">
        <f>HYPERLINK("http://www.ensembl.org/Mus_musculus/Gene/Summary?db=core;g=ENSMUSG00000035596","ENSMUSG00000035596")</f>
        <v>ENSMUSG00000035596</v>
      </c>
      <c r="I4789" s="7" t="str">
        <f>HYPERLINK("http://www.informatics.jax.org/marker/MGI:1924832","MGI:1924832")</f>
        <v>MGI:1924832</v>
      </c>
      <c r="J4789" s="4" t="s">
        <v>12</v>
      </c>
    </row>
    <row r="4790" spans="1:10" x14ac:dyDescent="0.25">
      <c r="A4790" s="2">
        <v>378.517600138641</v>
      </c>
      <c r="B4790" s="3">
        <v>-0.31896761535537999</v>
      </c>
      <c r="C4790" s="5">
        <v>4.1316752562508798E-7</v>
      </c>
      <c r="D4790" s="6">
        <v>2.4072820187075499E-6</v>
      </c>
      <c r="E4790" s="3" t="s">
        <v>5243</v>
      </c>
      <c r="F4790" s="3" t="s">
        <v>5244</v>
      </c>
      <c r="G4790" s="3">
        <v>67255</v>
      </c>
      <c r="H4790" s="7" t="str">
        <f>HYPERLINK("http://www.ensembl.org/Mus_musculus/Gene/Summary?db=core;g=ENSMUSG00000059878","ENSMUSG00000059878")</f>
        <v>ENSMUSG00000059878</v>
      </c>
      <c r="I4790" s="7" t="str">
        <f>HYPERLINK("http://www.informatics.jax.org/marker/MGI:1914505","MGI:1914505")</f>
        <v>MGI:1914505</v>
      </c>
      <c r="J4790" s="4" t="s">
        <v>12</v>
      </c>
    </row>
    <row r="4791" spans="1:10" x14ac:dyDescent="0.25">
      <c r="A4791" s="2">
        <v>717.569459435466</v>
      </c>
      <c r="B4791" s="3">
        <v>-0.319047786093971</v>
      </c>
      <c r="C4791" s="5">
        <v>2.9966719512823398E-7</v>
      </c>
      <c r="D4791" s="6">
        <v>1.7783896552302399E-6</v>
      </c>
      <c r="E4791" s="3" t="s">
        <v>6101</v>
      </c>
      <c r="F4791" s="3" t="s">
        <v>6102</v>
      </c>
      <c r="G4791" s="3">
        <v>13663</v>
      </c>
      <c r="H4791" s="7" t="str">
        <f>HYPERLINK("http://www.ensembl.org/Mus_musculus/Gene/Summary?db=core;g=ENSMUSG00000062762","ENSMUSG00000062762")</f>
        <v>ENSMUSG00000062762</v>
      </c>
      <c r="I4791" s="7" t="str">
        <f>HYPERLINK("http://www.informatics.jax.org/marker/MGI:108090","MGI:108090")</f>
        <v>MGI:108090</v>
      </c>
      <c r="J4791" s="4" t="s">
        <v>12</v>
      </c>
    </row>
    <row r="4792" spans="1:10" x14ac:dyDescent="0.25">
      <c r="A4792" s="2">
        <v>96.985435032497094</v>
      </c>
      <c r="B4792" s="3">
        <v>-0.31910288638466999</v>
      </c>
      <c r="C4792" s="3">
        <v>9.5837302327589705E-3</v>
      </c>
      <c r="D4792" s="4">
        <v>2.6970889977151399E-2</v>
      </c>
      <c r="E4792" s="3" t="s">
        <v>11523</v>
      </c>
      <c r="F4792" s="3" t="s">
        <v>11524</v>
      </c>
      <c r="G4792" s="3">
        <v>242362</v>
      </c>
      <c r="H4792" s="7" t="str">
        <f>HYPERLINK("http://www.ensembl.org/Mus_musculus/Gene/Summary?db=core;g=ENSMUSG00000040520","ENSMUSG00000040520")</f>
        <v>ENSMUSG00000040520</v>
      </c>
      <c r="I4792" s="7" t="str">
        <f>HYPERLINK("http://www.informatics.jax.org/marker/MGI:2444484","MGI:2444484")</f>
        <v>MGI:2444484</v>
      </c>
      <c r="J4792" s="4" t="s">
        <v>12</v>
      </c>
    </row>
    <row r="4793" spans="1:10" x14ac:dyDescent="0.25">
      <c r="A4793" s="2">
        <v>262.801138157357</v>
      </c>
      <c r="B4793" s="3">
        <v>-0.31914327739092202</v>
      </c>
      <c r="C4793" s="3">
        <v>1.5861317358235001E-4</v>
      </c>
      <c r="D4793" s="4">
        <v>6.40958999675903E-4</v>
      </c>
      <c r="E4793" s="3" t="s">
        <v>13273</v>
      </c>
      <c r="F4793" s="3" t="s">
        <v>13274</v>
      </c>
      <c r="G4793" s="3">
        <v>244713</v>
      </c>
      <c r="H4793" s="7" t="str">
        <f>HYPERLINK("http://www.ensembl.org/Mus_musculus/Gene/Summary?db=core;g=ENSMUSG00000057551","ENSMUSG00000057551")</f>
        <v>ENSMUSG00000057551</v>
      </c>
      <c r="I4793" s="7" t="str">
        <f>HYPERLINK("http://www.informatics.jax.org/marker/MGI:107775","MGI:107775")</f>
        <v>MGI:107775</v>
      </c>
      <c r="J4793" s="4" t="s">
        <v>12</v>
      </c>
    </row>
    <row r="4794" spans="1:10" x14ac:dyDescent="0.25">
      <c r="A4794" s="2">
        <v>388.74643621702199</v>
      </c>
      <c r="B4794" s="3">
        <v>-0.31942148620827199</v>
      </c>
      <c r="C4794" s="5">
        <v>7.6036985267263105E-7</v>
      </c>
      <c r="D4794" s="6">
        <v>4.2757607420421796E-6</v>
      </c>
      <c r="E4794" s="3" t="s">
        <v>5131</v>
      </c>
      <c r="F4794" s="3" t="s">
        <v>5132</v>
      </c>
      <c r="G4794" s="3">
        <v>171207</v>
      </c>
      <c r="H4794" s="7" t="str">
        <f>HYPERLINK("http://www.ensembl.org/Mus_musculus/Gene/Summary?db=core;g=ENSMUSG00000031389","ENSMUSG00000031389")</f>
        <v>ENSMUSG00000031389</v>
      </c>
      <c r="I4794" s="7" t="str">
        <f>HYPERLINK("http://www.informatics.jax.org/marker/MGI:2159577","MGI:2159577")</f>
        <v>MGI:2159577</v>
      </c>
      <c r="J4794" s="4" t="s">
        <v>12</v>
      </c>
    </row>
    <row r="4795" spans="1:10" x14ac:dyDescent="0.25">
      <c r="A4795" s="2">
        <v>1443.9958772114701</v>
      </c>
      <c r="B4795" s="3">
        <v>-0.31986742833246601</v>
      </c>
      <c r="C4795" s="5">
        <v>3.2935427710830501E-11</v>
      </c>
      <c r="D4795" s="6">
        <v>2.9337642718958298E-10</v>
      </c>
      <c r="E4795" s="3" t="s">
        <v>2706</v>
      </c>
      <c r="F4795" s="3" t="s">
        <v>2707</v>
      </c>
      <c r="G4795" s="3">
        <v>21974</v>
      </c>
      <c r="H4795" s="7" t="str">
        <f>HYPERLINK("http://www.ensembl.org/Mus_musculus/Gene/Summary?db=core;g=ENSMUSG00000017485","ENSMUSG00000017485")</f>
        <v>ENSMUSG00000017485</v>
      </c>
      <c r="I4795" s="7" t="str">
        <f>HYPERLINK("http://www.informatics.jax.org/marker/MGI:98791","MGI:98791")</f>
        <v>MGI:98791</v>
      </c>
      <c r="J4795" s="4" t="s">
        <v>12</v>
      </c>
    </row>
    <row r="4796" spans="1:10" x14ac:dyDescent="0.25">
      <c r="A4796" s="2">
        <v>1326.4931410484301</v>
      </c>
      <c r="B4796" s="3">
        <v>-0.32004467227989403</v>
      </c>
      <c r="C4796" s="3">
        <v>5.7248035361103997E-3</v>
      </c>
      <c r="D4796" s="4">
        <v>1.69594513078043E-2</v>
      </c>
      <c r="E4796" s="3" t="s">
        <v>9978</v>
      </c>
      <c r="F4796" s="3" t="s">
        <v>9979</v>
      </c>
      <c r="G4796" s="3">
        <v>217653</v>
      </c>
      <c r="H4796" s="7" t="str">
        <f>HYPERLINK("http://www.ensembl.org/Mus_musculus/Gene/Summary?db=core;g=ENSMUSG00000047534","ENSMUSG00000047534")</f>
        <v>ENSMUSG00000047534</v>
      </c>
      <c r="I4796" s="7" t="str">
        <f>HYPERLINK("http://www.informatics.jax.org/marker/MGI:2145099","MGI:2145099")</f>
        <v>MGI:2145099</v>
      </c>
      <c r="J4796" s="4" t="s">
        <v>12</v>
      </c>
    </row>
    <row r="4797" spans="1:10" x14ac:dyDescent="0.25">
      <c r="A4797" s="2">
        <v>694.73041439641304</v>
      </c>
      <c r="B4797" s="3">
        <v>-0.32011737149651498</v>
      </c>
      <c r="C4797" s="5">
        <v>5.1066185344968899E-7</v>
      </c>
      <c r="D4797" s="6">
        <v>2.93868401614164E-6</v>
      </c>
      <c r="E4797" s="3" t="s">
        <v>4697</v>
      </c>
      <c r="F4797" s="3" t="s">
        <v>4698</v>
      </c>
      <c r="G4797" s="3">
        <v>66682</v>
      </c>
      <c r="H4797" s="7" t="str">
        <f>HYPERLINK("http://www.ensembl.org/Mus_musculus/Gene/Summary?db=core;g=ENSMUSG00000040236","ENSMUSG00000040236")</f>
        <v>ENSMUSG00000040236</v>
      </c>
      <c r="I4797" s="7" t="str">
        <f>HYPERLINK("http://www.informatics.jax.org/marker/MGI:1913932","MGI:1913932")</f>
        <v>MGI:1913932</v>
      </c>
      <c r="J4797" s="4" t="s">
        <v>12</v>
      </c>
    </row>
    <row r="4798" spans="1:10" x14ac:dyDescent="0.25">
      <c r="A4798" s="2">
        <v>113.833559216872</v>
      </c>
      <c r="B4798" s="3">
        <v>-0.320219210419943</v>
      </c>
      <c r="C4798" s="3">
        <v>7.62554726109061E-3</v>
      </c>
      <c r="D4798" s="4">
        <v>2.2003736357406E-2</v>
      </c>
      <c r="E4798" s="3" t="s">
        <v>12545</v>
      </c>
      <c r="F4798" s="3" t="s">
        <v>12546</v>
      </c>
      <c r="G4798" s="3">
        <v>19727</v>
      </c>
      <c r="H4798" s="7" t="str">
        <f>HYPERLINK("http://www.ensembl.org/Mus_musculus/Gene/Summary?db=core;g=ENSMUSG00000036120","ENSMUSG00000036120")</f>
        <v>ENSMUSG00000036120</v>
      </c>
      <c r="I4798" s="7" t="str">
        <f>HYPERLINK("http://www.informatics.jax.org/marker/MGI:1333865","MGI:1333865")</f>
        <v>MGI:1333865</v>
      </c>
      <c r="J4798" s="4" t="s">
        <v>12</v>
      </c>
    </row>
    <row r="4799" spans="1:10" x14ac:dyDescent="0.25">
      <c r="A4799" s="2">
        <v>235.95817332709601</v>
      </c>
      <c r="B4799" s="3">
        <v>-0.32023046668357902</v>
      </c>
      <c r="C4799" s="3">
        <v>2.1286144248847199E-3</v>
      </c>
      <c r="D4799" s="4">
        <v>7.0025266955819499E-3</v>
      </c>
      <c r="E4799" s="3" t="s">
        <v>8181</v>
      </c>
      <c r="F4799" s="3" t="s">
        <v>8182</v>
      </c>
      <c r="G4799" s="3">
        <v>67629</v>
      </c>
      <c r="H4799" s="7" t="str">
        <f>HYPERLINK("http://www.ensembl.org/Mus_musculus/Gene/Summary?db=core;g=ENSMUSG00000074476","ENSMUSG00000074476")</f>
        <v>ENSMUSG00000074476</v>
      </c>
      <c r="I4799" s="7" t="str">
        <f>HYPERLINK("http://www.informatics.jax.org/marker/MGI:1914879","MGI:1914879")</f>
        <v>MGI:1914879</v>
      </c>
      <c r="J4799" s="4" t="s">
        <v>12</v>
      </c>
    </row>
    <row r="4800" spans="1:10" x14ac:dyDescent="0.25">
      <c r="A4800" s="2">
        <v>596.32090117134601</v>
      </c>
      <c r="B4800" s="3">
        <v>-0.32042040924592802</v>
      </c>
      <c r="C4800" s="5">
        <v>2.2799983017459E-6</v>
      </c>
      <c r="D4800" s="6">
        <v>1.21464393596372E-5</v>
      </c>
      <c r="E4800" s="3" t="s">
        <v>7566</v>
      </c>
      <c r="F4800" s="3" t="s">
        <v>7567</v>
      </c>
      <c r="G4800" s="3">
        <v>329877</v>
      </c>
      <c r="H4800" s="7" t="str">
        <f>HYPERLINK("http://www.ensembl.org/Mus_musculus/Gene/Summary?db=core;g=ENSMUSG00000038024","ENSMUSG00000038024")</f>
        <v>ENSMUSG00000038024</v>
      </c>
      <c r="I4800" s="7" t="str">
        <f>HYPERLINK("http://www.informatics.jax.org/marker/MGI:1914769","MGI:1914769")</f>
        <v>MGI:1914769</v>
      </c>
      <c r="J4800" s="4" t="s">
        <v>12</v>
      </c>
    </row>
    <row r="4801" spans="1:10" x14ac:dyDescent="0.25">
      <c r="A4801" s="2">
        <v>711.34412825280106</v>
      </c>
      <c r="B4801" s="3">
        <v>-0.32058383808486501</v>
      </c>
      <c r="C4801" s="3">
        <v>3.7392628064628801E-4</v>
      </c>
      <c r="D4801" s="4">
        <v>1.4156224480221401E-3</v>
      </c>
      <c r="E4801" s="3" t="s">
        <v>10308</v>
      </c>
      <c r="F4801" s="3" t="s">
        <v>10309</v>
      </c>
      <c r="G4801" s="3">
        <v>320538</v>
      </c>
      <c r="H4801" s="7" t="str">
        <f>HYPERLINK("http://www.ensembl.org/Mus_musculus/Gene/Summary?db=core;g=ENSMUSG00000038538","ENSMUSG00000038538")</f>
        <v>ENSMUSG00000038538</v>
      </c>
      <c r="I4801" s="7" t="str">
        <f>HYPERLINK("http://www.informatics.jax.org/marker/MGI:2444236","MGI:2444236")</f>
        <v>MGI:2444236</v>
      </c>
      <c r="J4801" s="4" t="s">
        <v>12</v>
      </c>
    </row>
    <row r="4802" spans="1:10" x14ac:dyDescent="0.25">
      <c r="A4802" s="2">
        <v>3.9670247115957902</v>
      </c>
      <c r="B4802" s="3">
        <v>-0.32063755402653299</v>
      </c>
      <c r="C4802" s="3">
        <v>0.45467111082369099</v>
      </c>
      <c r="D4802" s="4">
        <v>0.63284255731088601</v>
      </c>
      <c r="E4802" s="3" t="s">
        <v>12429</v>
      </c>
      <c r="F4802" s="3" t="s">
        <v>12430</v>
      </c>
      <c r="G4802" s="3">
        <v>54678</v>
      </c>
      <c r="H4802" s="7" t="str">
        <f>HYPERLINK("http://www.ensembl.org/Mus_musculus/Gene/Summary?db=core;g=ENSMUSG00000030486","ENSMUSG00000030486")</f>
        <v>ENSMUSG00000030486</v>
      </c>
      <c r="I4802" s="7" t="str">
        <f>HYPERLINK("http://www.informatics.jax.org/marker/MGI:1891198","MGI:1891198")</f>
        <v>MGI:1891198</v>
      </c>
      <c r="J4802" s="4" t="s">
        <v>12</v>
      </c>
    </row>
    <row r="4803" spans="1:10" x14ac:dyDescent="0.25">
      <c r="A4803" s="2">
        <v>1877.61575190184</v>
      </c>
      <c r="B4803" s="3">
        <v>-0.320647344462066</v>
      </c>
      <c r="C4803" s="5">
        <v>8.8490250565338904E-10</v>
      </c>
      <c r="D4803" s="6">
        <v>6.9156724552028398E-9</v>
      </c>
      <c r="E4803" s="3" t="s">
        <v>5683</v>
      </c>
      <c r="F4803" s="3" t="s">
        <v>5684</v>
      </c>
      <c r="G4803" s="3">
        <v>66549</v>
      </c>
      <c r="H4803" s="7" t="str">
        <f>HYPERLINK("http://www.ensembl.org/Mus_musculus/Gene/Summary?db=core;g=ENSMUSG00000021681","ENSMUSG00000021681")</f>
        <v>ENSMUSG00000021681</v>
      </c>
      <c r="I4803" s="7" t="str">
        <f>HYPERLINK("http://www.informatics.jax.org/marker/MGI:1913799","MGI:1913799")</f>
        <v>MGI:1913799</v>
      </c>
      <c r="J4803" s="4" t="s">
        <v>12</v>
      </c>
    </row>
    <row r="4804" spans="1:10" x14ac:dyDescent="0.25">
      <c r="A4804" s="2">
        <v>375.69458996054902</v>
      </c>
      <c r="B4804" s="3">
        <v>-0.32070310827062998</v>
      </c>
      <c r="C4804" s="3">
        <v>1.21637184191802E-4</v>
      </c>
      <c r="D4804" s="4">
        <v>5.0109350856591202E-4</v>
      </c>
      <c r="E4804" s="3" t="s">
        <v>7200</v>
      </c>
      <c r="F4804" s="3" t="s">
        <v>7201</v>
      </c>
      <c r="G4804" s="3">
        <v>217353</v>
      </c>
      <c r="H4804" s="7" t="str">
        <f>HYPERLINK("http://www.ensembl.org/Mus_musculus/Gene/Summary?db=core;g=ENSMUSG00000025572","ENSMUSG00000025572")</f>
        <v>ENSMUSG00000025572</v>
      </c>
      <c r="I4804" s="7" t="str">
        <f>HYPERLINK("http://www.informatics.jax.org/marker/MGI:1098686","MGI:1098686")</f>
        <v>MGI:1098686</v>
      </c>
      <c r="J4804" s="4" t="s">
        <v>12</v>
      </c>
    </row>
    <row r="4805" spans="1:10" x14ac:dyDescent="0.25">
      <c r="A4805" s="2">
        <v>2912.9891670760599</v>
      </c>
      <c r="B4805" s="3">
        <v>-0.32095273857156997</v>
      </c>
      <c r="C4805" s="5">
        <v>1.34602040413034E-5</v>
      </c>
      <c r="D4805" s="6">
        <v>6.4567854683950397E-5</v>
      </c>
      <c r="E4805" s="3" t="s">
        <v>5579</v>
      </c>
      <c r="F4805" s="3" t="s">
        <v>5580</v>
      </c>
      <c r="G4805" s="3">
        <v>269587</v>
      </c>
      <c r="H4805" s="7" t="str">
        <f>HYPERLINK("http://www.ensembl.org/Mus_musculus/Gene/Summary?db=core;g=ENSMUSG00000028906","ENSMUSG00000028906")</f>
        <v>ENSMUSG00000028906</v>
      </c>
      <c r="I4805" s="7" t="str">
        <f>HYPERLINK("http://www.informatics.jax.org/marker/MGI:95401","MGI:95401")</f>
        <v>MGI:95401</v>
      </c>
      <c r="J4805" s="4" t="s">
        <v>12</v>
      </c>
    </row>
    <row r="4806" spans="1:10" x14ac:dyDescent="0.25">
      <c r="A4806" s="2">
        <v>1154.5076373341001</v>
      </c>
      <c r="B4806" s="3">
        <v>-0.32102006802545002</v>
      </c>
      <c r="C4806" s="5">
        <v>1.6226544714371201E-6</v>
      </c>
      <c r="D4806" s="6">
        <v>8.8119421161923198E-6</v>
      </c>
      <c r="E4806" s="3" t="s">
        <v>5987</v>
      </c>
      <c r="F4806" s="3" t="s">
        <v>5988</v>
      </c>
      <c r="G4806" s="3">
        <v>74610</v>
      </c>
      <c r="H4806" s="7" t="str">
        <f>HYPERLINK("http://www.ensembl.org/Mus_musculus/Gene/Summary?db=core;g=ENSMUSG00000028973","ENSMUSG00000028973")</f>
        <v>ENSMUSG00000028973</v>
      </c>
      <c r="I4806" s="7" t="str">
        <f>HYPERLINK("http://www.informatics.jax.org/marker/MGI:1351667","MGI:1351667")</f>
        <v>MGI:1351667</v>
      </c>
      <c r="J4806" s="4" t="s">
        <v>12</v>
      </c>
    </row>
    <row r="4807" spans="1:10" x14ac:dyDescent="0.25">
      <c r="A4807" s="2">
        <v>508.74583265952401</v>
      </c>
      <c r="B4807" s="3">
        <v>-0.32105072899438802</v>
      </c>
      <c r="C4807" s="3">
        <v>4.7054966796633499E-3</v>
      </c>
      <c r="D4807" s="4">
        <v>1.42336393339194E-2</v>
      </c>
      <c r="E4807" s="3" t="s">
        <v>7042</v>
      </c>
      <c r="F4807" s="3" t="s">
        <v>7043</v>
      </c>
      <c r="G4807" s="3">
        <v>66634</v>
      </c>
      <c r="H4807" s="7" t="str">
        <f>HYPERLINK("http://www.ensembl.org/Mus_musculus/Gene/Summary?db=core;g=ENSMUSG00000027353","ENSMUSG00000027353")</f>
        <v>ENSMUSG00000027353</v>
      </c>
      <c r="I4807" s="7" t="str">
        <f>HYPERLINK("http://www.informatics.jax.org/marker/MGI:1913884","MGI:1913884")</f>
        <v>MGI:1913884</v>
      </c>
      <c r="J4807" s="4" t="s">
        <v>12</v>
      </c>
    </row>
    <row r="4808" spans="1:10" x14ac:dyDescent="0.25">
      <c r="A4808" s="2">
        <v>640.07078753936901</v>
      </c>
      <c r="B4808" s="3">
        <v>-0.32115747322310401</v>
      </c>
      <c r="C4808" s="5">
        <v>2.7826711767888E-5</v>
      </c>
      <c r="D4808" s="4">
        <v>1.27166956361524E-4</v>
      </c>
      <c r="E4808" s="3" t="s">
        <v>7094</v>
      </c>
      <c r="F4808" s="3" t="s">
        <v>7095</v>
      </c>
      <c r="G4808" s="3">
        <v>12417</v>
      </c>
      <c r="H4808" s="7" t="str">
        <f>HYPERLINK("http://www.ensembl.org/Mus_musculus/Gene/Summary?db=core;g=ENSMUSG00000029836","ENSMUSG00000029836")</f>
        <v>ENSMUSG00000029836</v>
      </c>
      <c r="I4808" s="7" t="str">
        <f>HYPERLINK("http://www.informatics.jax.org/marker/MGI:108515","MGI:108515")</f>
        <v>MGI:108515</v>
      </c>
      <c r="J4808" s="4" t="s">
        <v>12</v>
      </c>
    </row>
    <row r="4809" spans="1:10" x14ac:dyDescent="0.25">
      <c r="A4809" s="2">
        <v>59.317874514121698</v>
      </c>
      <c r="B4809" s="3">
        <v>-0.32121292357407499</v>
      </c>
      <c r="C4809" s="3">
        <v>7.1772008394242207E-2</v>
      </c>
      <c r="D4809" s="4">
        <v>0.15445092135849101</v>
      </c>
      <c r="E4809" s="3" t="s">
        <v>8543</v>
      </c>
      <c r="F4809" s="3" t="s">
        <v>8544</v>
      </c>
      <c r="G4809" s="3">
        <v>244853</v>
      </c>
      <c r="H4809" s="7" t="str">
        <f>HYPERLINK("http://www.ensembl.org/Mus_musculus/Gene/Summary?db=core;g=ENSMUSG00000044229","ENSMUSG00000044229")</f>
        <v>ENSMUSG00000044229</v>
      </c>
      <c r="I4809" s="7" t="str">
        <f>HYPERLINK("http://www.informatics.jax.org/marker/MGI:1924792","MGI:1924792")</f>
        <v>MGI:1924792</v>
      </c>
      <c r="J4809" s="4" t="s">
        <v>12</v>
      </c>
    </row>
    <row r="4810" spans="1:10" x14ac:dyDescent="0.25">
      <c r="A4810" s="2">
        <v>673.95246826087703</v>
      </c>
      <c r="B4810" s="3">
        <v>-0.32125732591132</v>
      </c>
      <c r="C4810" s="3">
        <v>1.0227851096637501E-3</v>
      </c>
      <c r="D4810" s="4">
        <v>3.59364924303485E-3</v>
      </c>
      <c r="E4810" s="3" t="s">
        <v>10712</v>
      </c>
      <c r="F4810" s="3" t="s">
        <v>10713</v>
      </c>
      <c r="G4810" s="3">
        <v>66248</v>
      </c>
      <c r="H4810" s="7" t="str">
        <f>HYPERLINK("http://www.ensembl.org/Mus_musculus/Gene/Summary?db=core;g=ENSMUSG00000036632","ENSMUSG00000036632")</f>
        <v>ENSMUSG00000036632</v>
      </c>
      <c r="I4810" s="7" t="str">
        <f>HYPERLINK("http://www.informatics.jax.org/marker/MGI:1913498","MGI:1913498")</f>
        <v>MGI:1913498</v>
      </c>
      <c r="J4810" s="4" t="s">
        <v>12</v>
      </c>
    </row>
    <row r="4811" spans="1:10" x14ac:dyDescent="0.25">
      <c r="A4811" s="2">
        <v>390.14401878281001</v>
      </c>
      <c r="B4811" s="3">
        <v>-0.321566501397613</v>
      </c>
      <c r="C4811" s="3">
        <v>7.6622432659782299E-3</v>
      </c>
      <c r="D4811" s="4">
        <v>2.2085146848403198E-2</v>
      </c>
      <c r="E4811" s="3" t="s">
        <v>7016</v>
      </c>
      <c r="F4811" s="3" t="s">
        <v>7017</v>
      </c>
      <c r="G4811" s="3">
        <v>217216</v>
      </c>
      <c r="H4811" s="7" t="str">
        <f>HYPERLINK("http://www.ensembl.org/Mus_musculus/Gene/Summary?db=core;g=ENSMUSG00000034773","ENSMUSG00000034773")</f>
        <v>ENSMUSG00000034773</v>
      </c>
      <c r="I4811" s="7" t="str">
        <f>HYPERLINK("http://www.informatics.jax.org/marker/MGI:2387601","MGI:2387601")</f>
        <v>MGI:2387601</v>
      </c>
      <c r="J4811" s="4" t="s">
        <v>12</v>
      </c>
    </row>
    <row r="4812" spans="1:10" x14ac:dyDescent="0.25">
      <c r="A4812" s="2">
        <v>4373.9888365044399</v>
      </c>
      <c r="B4812" s="3">
        <v>-0.32195030291570298</v>
      </c>
      <c r="C4812" s="5">
        <v>9.4608699941243094E-5</v>
      </c>
      <c r="D4812" s="4">
        <v>3.9729114203436802E-4</v>
      </c>
      <c r="E4812" s="3" t="s">
        <v>5351</v>
      </c>
      <c r="F4812" s="3" t="s">
        <v>5352</v>
      </c>
      <c r="G4812" s="3">
        <v>18538</v>
      </c>
      <c r="H4812" s="7" t="str">
        <f>HYPERLINK("http://www.ensembl.org/Mus_musculus/Gene/Summary?db=core;g=ENSMUSG00000027342","ENSMUSG00000027342")</f>
        <v>ENSMUSG00000027342</v>
      </c>
      <c r="I4812" s="7" t="str">
        <f>HYPERLINK("http://www.informatics.jax.org/marker/MGI:97503","MGI:97503")</f>
        <v>MGI:97503</v>
      </c>
      <c r="J4812" s="4" t="s">
        <v>12</v>
      </c>
    </row>
    <row r="4813" spans="1:10" x14ac:dyDescent="0.25">
      <c r="A4813" s="2">
        <v>1549.27544805717</v>
      </c>
      <c r="B4813" s="3">
        <v>-0.32199525989053901</v>
      </c>
      <c r="C4813" s="5">
        <v>3.6280024626472601E-9</v>
      </c>
      <c r="D4813" s="6">
        <v>2.6607784660662501E-8</v>
      </c>
      <c r="E4813" s="3" t="s">
        <v>6407</v>
      </c>
      <c r="F4813" s="3" t="s">
        <v>6408</v>
      </c>
      <c r="G4813" s="3">
        <v>110616</v>
      </c>
      <c r="H4813" s="7" t="str">
        <f>HYPERLINK("http://www.ensembl.org/Mus_musculus/Gene/Summary?db=core;g=ENSMUSG00000021189","ENSMUSG00000021189")</f>
        <v>ENSMUSG00000021189</v>
      </c>
      <c r="I4813" s="7" t="str">
        <f>HYPERLINK("http://www.informatics.jax.org/marker/MGI:1099442","MGI:1099442")</f>
        <v>MGI:1099442</v>
      </c>
      <c r="J4813" s="4" t="s">
        <v>12</v>
      </c>
    </row>
    <row r="4814" spans="1:10" x14ac:dyDescent="0.25">
      <c r="A4814" s="2">
        <v>713.79446686797996</v>
      </c>
      <c r="B4814" s="3">
        <v>-0.322037702686579</v>
      </c>
      <c r="C4814" s="5">
        <v>6.3518014183927494E-5</v>
      </c>
      <c r="D4814" s="4">
        <v>2.7392707252770398E-4</v>
      </c>
      <c r="E4814" s="3" t="s">
        <v>10589</v>
      </c>
      <c r="F4814" s="3" t="s">
        <v>10590</v>
      </c>
      <c r="G4814" s="3">
        <v>69101</v>
      </c>
      <c r="H4814" s="7" t="str">
        <f>HYPERLINK("http://www.ensembl.org/Mus_musculus/Gene/Summary?db=core;g=ENSMUSG00000041774","ENSMUSG00000041774")</f>
        <v>ENSMUSG00000041774</v>
      </c>
      <c r="I4814" s="7" t="str">
        <f>HYPERLINK("http://www.informatics.jax.org/marker/MGI:1916351","MGI:1916351")</f>
        <v>MGI:1916351</v>
      </c>
      <c r="J4814" s="4" t="s">
        <v>12</v>
      </c>
    </row>
    <row r="4815" spans="1:10" x14ac:dyDescent="0.25">
      <c r="A4815" s="2">
        <v>221.57415514936201</v>
      </c>
      <c r="B4815" s="3">
        <v>-0.32255102253260898</v>
      </c>
      <c r="C4815" s="3">
        <v>1.31475080156605E-3</v>
      </c>
      <c r="D4815" s="4">
        <v>4.5278407706994097E-3</v>
      </c>
      <c r="E4815" s="3" t="s">
        <v>13133</v>
      </c>
      <c r="F4815" s="3" t="s">
        <v>13134</v>
      </c>
      <c r="G4815" s="3">
        <v>18020</v>
      </c>
      <c r="H4815" s="7" t="str">
        <f>HYPERLINK("http://www.ensembl.org/Mus_musculus/Gene/Summary?db=core;g=ENSMUSG00000030722","ENSMUSG00000030722")</f>
        <v>ENSMUSG00000030722</v>
      </c>
      <c r="I4815" s="7" t="str">
        <f>HYPERLINK("http://www.informatics.jax.org/marker/MGI:1329015","MGI:1329015")</f>
        <v>MGI:1329015</v>
      </c>
      <c r="J4815" s="4" t="s">
        <v>12</v>
      </c>
    </row>
    <row r="4816" spans="1:10" x14ac:dyDescent="0.25">
      <c r="A4816" s="2">
        <v>423.49696982096202</v>
      </c>
      <c r="B4816" s="3">
        <v>-0.322901744567476</v>
      </c>
      <c r="C4816" s="5">
        <v>9.2368889606982799E-5</v>
      </c>
      <c r="D4816" s="4">
        <v>3.8851211933700901E-4</v>
      </c>
      <c r="E4816" s="3" t="s">
        <v>10569</v>
      </c>
      <c r="F4816" s="3" t="s">
        <v>10570</v>
      </c>
      <c r="G4816" s="3">
        <v>15353</v>
      </c>
      <c r="H4816" s="7" t="str">
        <f>HYPERLINK("http://www.ensembl.org/Mus_musculus/Gene/Summary?db=core;g=ENSMUSG00000020232","ENSMUSG00000020232")</f>
        <v>ENSMUSG00000020232</v>
      </c>
      <c r="I4816" s="7" t="str">
        <f>HYPERLINK("http://www.informatics.jax.org/marker/MGI:1341190","MGI:1341190")</f>
        <v>MGI:1341190</v>
      </c>
      <c r="J4816" s="4" t="s">
        <v>12</v>
      </c>
    </row>
    <row r="4817" spans="1:10" x14ac:dyDescent="0.25">
      <c r="A4817" s="2">
        <v>479.98911001968798</v>
      </c>
      <c r="B4817" s="3">
        <v>-0.32324816394627698</v>
      </c>
      <c r="C4817" s="5">
        <v>1.2505798732302899E-6</v>
      </c>
      <c r="D4817" s="6">
        <v>6.8878265910009097E-6</v>
      </c>
      <c r="E4817" s="3" t="s">
        <v>7959</v>
      </c>
      <c r="F4817" s="3" t="s">
        <v>7960</v>
      </c>
      <c r="G4817" s="3">
        <v>14083</v>
      </c>
      <c r="H4817" s="7" t="str">
        <f>HYPERLINK("http://www.ensembl.org/Mus_musculus/Gene/Summary?db=core;g=ENSMUSG00000022607","ENSMUSG00000022607")</f>
        <v>ENSMUSG00000022607</v>
      </c>
      <c r="I4817" s="7" t="str">
        <f>HYPERLINK("http://www.informatics.jax.org/marker/MGI:95481","MGI:95481")</f>
        <v>MGI:95481</v>
      </c>
      <c r="J4817" s="4" t="s">
        <v>12</v>
      </c>
    </row>
    <row r="4818" spans="1:10" x14ac:dyDescent="0.25">
      <c r="A4818" s="2">
        <v>377.273866160507</v>
      </c>
      <c r="B4818" s="3">
        <v>-0.32406793227650199</v>
      </c>
      <c r="C4818" s="5">
        <v>5.9356530223158699E-5</v>
      </c>
      <c r="D4818" s="4">
        <v>2.5725868330964699E-4</v>
      </c>
      <c r="E4818" s="3" t="s">
        <v>11915</v>
      </c>
      <c r="F4818" s="3" t="s">
        <v>11916</v>
      </c>
      <c r="G4818" s="3">
        <v>70544</v>
      </c>
      <c r="H4818" s="7" t="str">
        <f>HYPERLINK("http://www.ensembl.org/Mus_musculus/Gene/Summary?db=core;g=ENSMUSG00000004945","ENSMUSG00000004945")</f>
        <v>ENSMUSG00000004945</v>
      </c>
      <c r="I4818" s="7" t="str">
        <f>HYPERLINK("http://www.informatics.jax.org/marker/MGI:1917794","MGI:1917794")</f>
        <v>MGI:1917794</v>
      </c>
      <c r="J4818" s="4" t="s">
        <v>12</v>
      </c>
    </row>
    <row r="4819" spans="1:10" x14ac:dyDescent="0.25">
      <c r="A4819" s="2">
        <v>622.66237778914603</v>
      </c>
      <c r="B4819" s="3">
        <v>-0.32423010175960099</v>
      </c>
      <c r="C4819" s="3">
        <v>2.9131500486613898E-3</v>
      </c>
      <c r="D4819" s="4">
        <v>9.2705010715651796E-3</v>
      </c>
      <c r="E4819" s="3" t="s">
        <v>7378</v>
      </c>
      <c r="F4819" s="3" t="s">
        <v>7379</v>
      </c>
      <c r="G4819" s="3">
        <v>22026</v>
      </c>
      <c r="H4819" s="7" t="str">
        <f>HYPERLINK("http://www.ensembl.org/Mus_musculus/Gene/Summary?db=core;g=ENSMUSG00000005893","ENSMUSG00000005893")</f>
        <v>ENSMUSG00000005893</v>
      </c>
      <c r="I4819" s="7" t="str">
        <f>HYPERLINK("http://www.informatics.jax.org/marker/MGI:1352466","MGI:1352466")</f>
        <v>MGI:1352466</v>
      </c>
      <c r="J4819" s="4" t="s">
        <v>12</v>
      </c>
    </row>
    <row r="4820" spans="1:10" x14ac:dyDescent="0.25">
      <c r="A4820" s="2">
        <v>300.30372880792902</v>
      </c>
      <c r="B4820" s="3">
        <v>-0.32452919813289199</v>
      </c>
      <c r="C4820" s="3">
        <v>1.1263340708408599E-4</v>
      </c>
      <c r="D4820" s="4">
        <v>4.6653269184260802E-4</v>
      </c>
      <c r="E4820" s="3" t="s">
        <v>6569</v>
      </c>
      <c r="F4820" s="3" t="s">
        <v>6570</v>
      </c>
      <c r="G4820" s="3">
        <v>77519</v>
      </c>
      <c r="H4820" s="7" t="str">
        <f>HYPERLINK("http://www.ensembl.org/Mus_musculus/Gene/Summary?db=core;g=ENSMUSG00000060510","ENSMUSG00000060510")</f>
        <v>ENSMUSG00000060510</v>
      </c>
      <c r="I4820" s="7" t="str">
        <f>HYPERLINK("http://www.informatics.jax.org/marker/MGI:1924769","MGI:1924769")</f>
        <v>MGI:1924769</v>
      </c>
      <c r="J4820" s="4" t="s">
        <v>12</v>
      </c>
    </row>
    <row r="4821" spans="1:10" x14ac:dyDescent="0.25">
      <c r="A4821" s="2">
        <v>165.91629955069399</v>
      </c>
      <c r="B4821" s="3">
        <v>-0.324530677385025</v>
      </c>
      <c r="C4821" s="3">
        <v>3.3633546300826799E-3</v>
      </c>
      <c r="D4821" s="4">
        <v>1.05412103410588E-2</v>
      </c>
      <c r="E4821" s="3" t="s">
        <v>7662</v>
      </c>
      <c r="F4821" s="3" t="s">
        <v>7663</v>
      </c>
      <c r="G4821" s="3">
        <v>50798</v>
      </c>
      <c r="H4821" s="7" t="str">
        <f>HYPERLINK("http://www.ensembl.org/Mus_musculus/Gene/Summary?db=core;g=ENSMUSG00000028479","ENSMUSG00000028479")</f>
        <v>ENSMUSG00000028479</v>
      </c>
      <c r="I4821" s="7" t="str">
        <f>HYPERLINK("http://www.informatics.jax.org/marker/MGI:1354951","MGI:1354951")</f>
        <v>MGI:1354951</v>
      </c>
      <c r="J4821" s="4" t="s">
        <v>12</v>
      </c>
    </row>
    <row r="4822" spans="1:10" x14ac:dyDescent="0.25">
      <c r="A4822" s="2">
        <v>690.22637578424496</v>
      </c>
      <c r="B4822" s="3">
        <v>-0.324656656327728</v>
      </c>
      <c r="C4822" s="3">
        <v>1.34034523353295E-4</v>
      </c>
      <c r="D4822" s="4">
        <v>5.4770833814210703E-4</v>
      </c>
      <c r="E4822" s="3" t="s">
        <v>10906</v>
      </c>
      <c r="F4822" s="3" t="s">
        <v>10907</v>
      </c>
      <c r="G4822" s="3">
        <v>110959</v>
      </c>
      <c r="H4822" s="7" t="str">
        <f>HYPERLINK("http://www.ensembl.org/Mus_musculus/Gene/Summary?db=core;g=ENSMUSG00000034875","ENSMUSG00000034875")</f>
        <v>ENSMUSG00000034875</v>
      </c>
      <c r="I4822" s="7" t="str">
        <f>HYPERLINK("http://www.informatics.jax.org/marker/MGI:94203","MGI:94203")</f>
        <v>MGI:94203</v>
      </c>
      <c r="J4822" s="4" t="s">
        <v>12</v>
      </c>
    </row>
    <row r="4823" spans="1:10" x14ac:dyDescent="0.25">
      <c r="A4823" s="2">
        <v>1417.1646875937899</v>
      </c>
      <c r="B4823" s="3">
        <v>-0.324775270073422</v>
      </c>
      <c r="C4823" s="5">
        <v>8.29237773671399E-8</v>
      </c>
      <c r="D4823" s="6">
        <v>5.2311728712915404E-7</v>
      </c>
      <c r="E4823" s="3" t="s">
        <v>7006</v>
      </c>
      <c r="F4823" s="3" t="s">
        <v>7007</v>
      </c>
      <c r="G4823" s="3">
        <v>105522</v>
      </c>
      <c r="H4823" s="7" t="str">
        <f>HYPERLINK("http://www.ensembl.org/Mus_musculus/Gene/Summary?db=core;g=ENSMUSG00000014496","ENSMUSG00000014496")</f>
        <v>ENSMUSG00000014496</v>
      </c>
      <c r="I4823" s="7" t="str">
        <f>HYPERLINK("http://www.informatics.jax.org/marker/MGI:2145661","MGI:2145661")</f>
        <v>MGI:2145661</v>
      </c>
      <c r="J4823" s="4" t="s">
        <v>12</v>
      </c>
    </row>
    <row r="4824" spans="1:10" x14ac:dyDescent="0.25">
      <c r="A4824" s="2">
        <v>282.06347775258001</v>
      </c>
      <c r="B4824" s="3">
        <v>-0.32477751647943498</v>
      </c>
      <c r="C4824" s="3">
        <v>3.8868969649580101E-3</v>
      </c>
      <c r="D4824" s="4">
        <v>1.20147044074559E-2</v>
      </c>
      <c r="E4824" s="3" t="s">
        <v>13145</v>
      </c>
      <c r="F4824" s="3" t="s">
        <v>13146</v>
      </c>
      <c r="G4824" s="3">
        <v>12896</v>
      </c>
      <c r="H4824" s="7" t="str">
        <f>HYPERLINK("http://www.ensembl.org/Mus_musculus/Gene/Summary?db=core;g=ENSMUSG00000028607","ENSMUSG00000028607")</f>
        <v>ENSMUSG00000028607</v>
      </c>
      <c r="I4824" s="7" t="str">
        <f>HYPERLINK("http://www.informatics.jax.org/marker/MGI:109176","MGI:109176")</f>
        <v>MGI:109176</v>
      </c>
      <c r="J4824" s="4" t="s">
        <v>12</v>
      </c>
    </row>
    <row r="4825" spans="1:10" x14ac:dyDescent="0.25">
      <c r="A4825" s="2">
        <v>1308.54737006355</v>
      </c>
      <c r="B4825" s="3">
        <v>-0.324887522647622</v>
      </c>
      <c r="C4825" s="5">
        <v>9.3475617994075291E-10</v>
      </c>
      <c r="D4825" s="6">
        <v>7.2709907722664197E-9</v>
      </c>
      <c r="E4825" s="3" t="s">
        <v>3330</v>
      </c>
      <c r="F4825" s="3" t="s">
        <v>3331</v>
      </c>
      <c r="G4825" s="3">
        <v>66596</v>
      </c>
      <c r="H4825" s="7" t="str">
        <f>HYPERLINK("http://www.ensembl.org/Mus_musculus/Gene/Summary?db=core;g=ENSMUSG00000016503","ENSMUSG00000016503")</f>
        <v>ENSMUSG00000016503</v>
      </c>
      <c r="I4825" s="7" t="str">
        <f>HYPERLINK("http://www.informatics.jax.org/marker/MGI:1913846","MGI:1913846")</f>
        <v>MGI:1913846</v>
      </c>
      <c r="J4825" s="4" t="s">
        <v>12</v>
      </c>
    </row>
    <row r="4826" spans="1:10" x14ac:dyDescent="0.25">
      <c r="A4826" s="2">
        <v>1036.8713183197499</v>
      </c>
      <c r="B4826" s="3">
        <v>-0.32525662057446902</v>
      </c>
      <c r="C4826" s="5">
        <v>1.52324287565075E-5</v>
      </c>
      <c r="D4826" s="6">
        <v>7.2483293495391297E-5</v>
      </c>
      <c r="E4826" s="3" t="s">
        <v>10122</v>
      </c>
      <c r="F4826" s="3" t="s">
        <v>10123</v>
      </c>
      <c r="G4826" s="3">
        <v>216860</v>
      </c>
      <c r="H4826" s="7" t="str">
        <f>HYPERLINK("http://www.ensembl.org/Mus_musculus/Gene/Summary?db=core;g=ENSMUSG00000047284","ENSMUSG00000047284")</f>
        <v>ENSMUSG00000047284</v>
      </c>
      <c r="I4826" s="7" t="str">
        <f>HYPERLINK("http://www.informatics.jax.org/marker/MGI:1921092","MGI:1921092")</f>
        <v>MGI:1921092</v>
      </c>
      <c r="J4826" s="4" t="s">
        <v>12</v>
      </c>
    </row>
    <row r="4827" spans="1:10" x14ac:dyDescent="0.25">
      <c r="A4827" s="2">
        <v>914.01363542392096</v>
      </c>
      <c r="B4827" s="3">
        <v>-0.32533227027688699</v>
      </c>
      <c r="C4827" s="5">
        <v>1.16789072636067E-8</v>
      </c>
      <c r="D4827" s="6">
        <v>8.0777261813749995E-8</v>
      </c>
      <c r="E4827" s="3" t="s">
        <v>5951</v>
      </c>
      <c r="F4827" s="3" t="s">
        <v>5952</v>
      </c>
      <c r="G4827" s="3">
        <v>268980</v>
      </c>
      <c r="H4827" s="7" t="str">
        <f>HYPERLINK("http://www.ensembl.org/Mus_musculus/Gene/Summary?db=core;g=ENSMUSG00000024077","ENSMUSG00000024077")</f>
        <v>ENSMUSG00000024077</v>
      </c>
      <c r="I4827" s="7" t="str">
        <f>HYPERLINK("http://www.informatics.jax.org/marker/MGI:1333757","MGI:1333757")</f>
        <v>MGI:1333757</v>
      </c>
      <c r="J4827" s="4" t="s">
        <v>12</v>
      </c>
    </row>
    <row r="4828" spans="1:10" x14ac:dyDescent="0.25">
      <c r="A4828" s="2">
        <v>1259.8000959485</v>
      </c>
      <c r="B4828" s="3">
        <v>-0.32570868959368099</v>
      </c>
      <c r="C4828" s="5">
        <v>9.1835371562354903E-6</v>
      </c>
      <c r="D4828" s="6">
        <v>4.5137530925672003E-5</v>
      </c>
      <c r="E4828" s="3" t="s">
        <v>2367</v>
      </c>
      <c r="F4828" s="3" t="s">
        <v>2368</v>
      </c>
      <c r="G4828" s="3">
        <v>13555</v>
      </c>
      <c r="H4828" s="7" t="str">
        <f>HYPERLINK("http://www.ensembl.org/Mus_musculus/Gene/Summary?db=core;g=ENSMUSG00000027490","ENSMUSG00000027490")</f>
        <v>ENSMUSG00000027490</v>
      </c>
      <c r="I4828" s="7" t="str">
        <f>HYPERLINK("http://www.informatics.jax.org/marker/MGI:101941","MGI:101941")</f>
        <v>MGI:101941</v>
      </c>
      <c r="J4828" s="4" t="s">
        <v>12</v>
      </c>
    </row>
    <row r="4829" spans="1:10" x14ac:dyDescent="0.25">
      <c r="A4829" s="2">
        <v>544.79328167670303</v>
      </c>
      <c r="B4829" s="3">
        <v>-0.32644788891327903</v>
      </c>
      <c r="C4829" s="5">
        <v>2.5107141798888501E-8</v>
      </c>
      <c r="D4829" s="6">
        <v>1.6736568300210599E-7</v>
      </c>
      <c r="E4829" s="3" t="s">
        <v>5287</v>
      </c>
      <c r="F4829" s="3" t="s">
        <v>5288</v>
      </c>
      <c r="G4829" s="3">
        <v>69780</v>
      </c>
      <c r="H4829" s="7" t="str">
        <f>HYPERLINK("http://www.ensembl.org/Mus_musculus/Gene/Summary?db=core;g=ENSMUSG00000032870","ENSMUSG00000032870")</f>
        <v>ENSMUSG00000032870</v>
      </c>
      <c r="I4829" s="7" t="str">
        <f>HYPERLINK("http://www.informatics.jax.org/marker/MGI:1917030","MGI:1917030")</f>
        <v>MGI:1917030</v>
      </c>
      <c r="J4829" s="4" t="s">
        <v>12</v>
      </c>
    </row>
    <row r="4830" spans="1:10" x14ac:dyDescent="0.25">
      <c r="A4830" s="2">
        <v>7.5097501797229604</v>
      </c>
      <c r="B4830" s="3">
        <v>-0.32661067318152798</v>
      </c>
      <c r="C4830" s="3">
        <v>0.34127120698742902</v>
      </c>
      <c r="D4830" s="4">
        <v>0.51911636972685804</v>
      </c>
      <c r="E4830" s="3" t="s">
        <v>12669</v>
      </c>
      <c r="F4830" s="3" t="s">
        <v>12670</v>
      </c>
      <c r="G4830" s="3">
        <v>57265</v>
      </c>
      <c r="H4830" s="7" t="str">
        <f>HYPERLINK("http://www.ensembl.org/Mus_musculus/Gene/Summary?db=core;g=ENSMUSG00000050288","ENSMUSG00000050288")</f>
        <v>ENSMUSG00000050288</v>
      </c>
      <c r="I4830" s="7" t="str">
        <f>HYPERLINK("http://www.informatics.jax.org/marker/MGI:1888513","MGI:1888513")</f>
        <v>MGI:1888513</v>
      </c>
      <c r="J4830" s="4" t="s">
        <v>12</v>
      </c>
    </row>
    <row r="4831" spans="1:10" x14ac:dyDescent="0.25">
      <c r="A4831" s="2">
        <v>1171.78543024795</v>
      </c>
      <c r="B4831" s="3">
        <v>-0.32700290990143099</v>
      </c>
      <c r="C4831" s="5">
        <v>3.89515076555659E-6</v>
      </c>
      <c r="D4831" s="6">
        <v>2.0173095397064198E-5</v>
      </c>
      <c r="E4831" s="3" t="s">
        <v>5253</v>
      </c>
      <c r="F4831" s="3" t="s">
        <v>5254</v>
      </c>
      <c r="G4831" s="3">
        <v>74302</v>
      </c>
      <c r="H4831" s="7" t="str">
        <f>HYPERLINK("http://www.ensembl.org/Mus_musculus/Gene/Summary?db=core;g=ENSMUSG00000034354","ENSMUSG00000034354")</f>
        <v>ENSMUSG00000034354</v>
      </c>
      <c r="I4831" s="7" t="str">
        <f>HYPERLINK("http://www.informatics.jax.org/marker/MGI:1921552","MGI:1921552")</f>
        <v>MGI:1921552</v>
      </c>
      <c r="J4831" s="4" t="s">
        <v>12</v>
      </c>
    </row>
    <row r="4832" spans="1:10" x14ac:dyDescent="0.25">
      <c r="A4832" s="2">
        <v>291.11900458106902</v>
      </c>
      <c r="B4832" s="3">
        <v>-0.32702982744280101</v>
      </c>
      <c r="C4832" s="5">
        <v>3.2060825815404098E-5</v>
      </c>
      <c r="D4832" s="4">
        <v>1.4509772795771999E-4</v>
      </c>
      <c r="E4832" s="3" t="s">
        <v>10346</v>
      </c>
      <c r="F4832" s="3" t="s">
        <v>10347</v>
      </c>
      <c r="G4832" s="3">
        <v>12234</v>
      </c>
      <c r="H4832" s="7" t="str">
        <f>HYPERLINK("http://www.ensembl.org/Mus_musculus/Gene/Summary?db=core;g=ENSMUSG00000025217","ENSMUSG00000025217")</f>
        <v>ENSMUSG00000025217</v>
      </c>
      <c r="I4832" s="7" t="str">
        <f>HYPERLINK("http://www.informatics.jax.org/marker/MGI:1338871","MGI:1338871")</f>
        <v>MGI:1338871</v>
      </c>
      <c r="J4832" s="4" t="s">
        <v>12</v>
      </c>
    </row>
    <row r="4833" spans="1:10" x14ac:dyDescent="0.25">
      <c r="A4833" s="2">
        <v>630.16798704618202</v>
      </c>
      <c r="B4833" s="3">
        <v>-0.32716795452222303</v>
      </c>
      <c r="C4833" s="5">
        <v>6.8092973490788494E-5</v>
      </c>
      <c r="D4833" s="4">
        <v>2.9186134568899802E-4</v>
      </c>
      <c r="E4833" s="3" t="s">
        <v>5697</v>
      </c>
      <c r="F4833" s="3" t="s">
        <v>5698</v>
      </c>
      <c r="G4833" s="3">
        <v>217351</v>
      </c>
      <c r="H4833" s="7" t="str">
        <f>HYPERLINK("http://www.ensembl.org/Mus_musculus/Gene/Summary?db=core;g=ENSMUSG00000025571","ENSMUSG00000025571")</f>
        <v>ENSMUSG00000025571</v>
      </c>
      <c r="I4833" s="7" t="str">
        <f>HYPERLINK("http://www.informatics.jax.org/marker/MGI:2443265","MGI:2443265")</f>
        <v>MGI:2443265</v>
      </c>
      <c r="J4833" s="4" t="s">
        <v>12</v>
      </c>
    </row>
    <row r="4834" spans="1:10" x14ac:dyDescent="0.25">
      <c r="A4834" s="2">
        <v>295.58004545594503</v>
      </c>
      <c r="B4834" s="3">
        <v>-0.32770745261707501</v>
      </c>
      <c r="C4834" s="3">
        <v>3.2399980426227299E-4</v>
      </c>
      <c r="D4834" s="4">
        <v>1.2384430437667601E-3</v>
      </c>
      <c r="E4834" s="3" t="s">
        <v>10458</v>
      </c>
      <c r="F4834" s="3" t="s">
        <v>10459</v>
      </c>
      <c r="G4834" s="3">
        <v>78038</v>
      </c>
      <c r="H4834" s="7" t="str">
        <f>HYPERLINK("http://www.ensembl.org/Mus_musculus/Gene/Summary?db=core;g=ENSMUSG00000021646","ENSMUSG00000021646")</f>
        <v>ENSMUSG00000021646</v>
      </c>
      <c r="I4834" s="7" t="str">
        <f>HYPERLINK("http://www.informatics.jax.org/marker/MGI:1925288","MGI:1925288")</f>
        <v>MGI:1925288</v>
      </c>
      <c r="J4834" s="4" t="s">
        <v>12</v>
      </c>
    </row>
    <row r="4835" spans="1:10" x14ac:dyDescent="0.25">
      <c r="A4835" s="2">
        <v>28.552944821272899</v>
      </c>
      <c r="B4835" s="3">
        <v>-0.32808342111910999</v>
      </c>
      <c r="C4835" s="3">
        <v>0.12691757038628401</v>
      </c>
      <c r="D4835" s="4">
        <v>0.24704397311652601</v>
      </c>
      <c r="E4835" s="3" t="s">
        <v>12829</v>
      </c>
      <c r="F4835" s="3" t="s">
        <v>12830</v>
      </c>
      <c r="G4835" s="3">
        <v>115488122</v>
      </c>
      <c r="H4835" s="7" t="str">
        <f>HYPERLINK("http://www.ensembl.org/Mus_musculus/Gene/Summary?db=core;g=ENSMUSG00000110393","ENSMUSG00000110393")</f>
        <v>ENSMUSG00000110393</v>
      </c>
      <c r="I4835" s="7" t="str">
        <f>HYPERLINK("http://www.informatics.jax.org/marker/MGI:5595604","MGI:5595604")</f>
        <v>MGI:5595604</v>
      </c>
      <c r="J4835" s="4" t="s">
        <v>939</v>
      </c>
    </row>
    <row r="4836" spans="1:10" x14ac:dyDescent="0.25">
      <c r="A4836" s="2">
        <v>992.57961470823102</v>
      </c>
      <c r="B4836" s="3">
        <v>-0.328311816672334</v>
      </c>
      <c r="C4836" s="5">
        <v>1.69819586478549E-7</v>
      </c>
      <c r="D4836" s="6">
        <v>1.0389264731693701E-6</v>
      </c>
      <c r="E4836" s="3" t="s">
        <v>4849</v>
      </c>
      <c r="F4836" s="3" t="s">
        <v>4850</v>
      </c>
      <c r="G4836" s="3">
        <v>380836</v>
      </c>
      <c r="H4836" s="7" t="str">
        <f>HYPERLINK("http://www.ensembl.org/Mus_musculus/Gene/Summary?db=core;g=ENSMUSG00000021339","ENSMUSG00000021339")</f>
        <v>ENSMUSG00000021339</v>
      </c>
      <c r="I4836" s="7" t="str">
        <f>HYPERLINK("http://www.informatics.jax.org/marker/MGI:2685748","MGI:2685748")</f>
        <v>MGI:2685748</v>
      </c>
      <c r="J4836" s="4" t="s">
        <v>12</v>
      </c>
    </row>
    <row r="4837" spans="1:10" x14ac:dyDescent="0.25">
      <c r="A4837" s="2">
        <v>1514.8244143500899</v>
      </c>
      <c r="B4837" s="3">
        <v>-0.32831295448044301</v>
      </c>
      <c r="C4837" s="5">
        <v>2.29527163305149E-12</v>
      </c>
      <c r="D4837" s="6">
        <v>2.2489959952883499E-11</v>
      </c>
      <c r="E4837" s="3" t="s">
        <v>2529</v>
      </c>
      <c r="F4837" s="3" t="s">
        <v>2530</v>
      </c>
      <c r="G4837" s="3">
        <v>18117</v>
      </c>
      <c r="H4837" s="7" t="str">
        <f>HYPERLINK("http://www.ensembl.org/Mus_musculus/Gene/Summary?db=core;g=ENSMUSG00000031819","ENSMUSG00000031819")</f>
        <v>ENSMUSG00000031819</v>
      </c>
      <c r="I4837" s="7" t="str">
        <f>HYPERLINK("http://www.informatics.jax.org/marker/MGI:1343095","MGI:1343095")</f>
        <v>MGI:1343095</v>
      </c>
      <c r="J4837" s="4" t="s">
        <v>12</v>
      </c>
    </row>
    <row r="4838" spans="1:10" x14ac:dyDescent="0.25">
      <c r="A4838" s="2">
        <v>738.10055641834697</v>
      </c>
      <c r="B4838" s="3">
        <v>-0.32854099272473802</v>
      </c>
      <c r="C4838" s="3">
        <v>2.6069099670128899E-4</v>
      </c>
      <c r="D4838" s="4">
        <v>1.0132423576201699E-3</v>
      </c>
      <c r="E4838" s="3" t="s">
        <v>7840</v>
      </c>
      <c r="F4838" s="3" t="s">
        <v>7841</v>
      </c>
      <c r="G4838" s="3">
        <v>320209</v>
      </c>
      <c r="H4838" s="7" t="str">
        <f>HYPERLINK("http://www.ensembl.org/Mus_musculus/Gene/Summary?db=core;g=ENSMUSG00000035842","ENSMUSG00000035842")</f>
        <v>ENSMUSG00000035842</v>
      </c>
      <c r="I4838" s="7" t="str">
        <f>HYPERLINK("http://www.informatics.jax.org/marker/MGI:2443590","MGI:2443590")</f>
        <v>MGI:2443590</v>
      </c>
      <c r="J4838" s="4" t="s">
        <v>12</v>
      </c>
    </row>
    <row r="4839" spans="1:10" x14ac:dyDescent="0.25">
      <c r="A4839" s="2">
        <v>305.72941349963497</v>
      </c>
      <c r="B4839" s="3">
        <v>-0.32946100588192201</v>
      </c>
      <c r="C4839" s="3">
        <v>6.3183035676878704E-4</v>
      </c>
      <c r="D4839" s="4">
        <v>2.3053269773996299E-3</v>
      </c>
      <c r="E4839" s="3" t="s">
        <v>13867</v>
      </c>
      <c r="F4839" s="3" t="s">
        <v>13868</v>
      </c>
      <c r="G4839" s="3">
        <v>18203</v>
      </c>
      <c r="H4839" s="7" t="str">
        <f>HYPERLINK("http://www.ensembl.org/Mus_musculus/Gene/Summary?db=core;g=ENSMUSG00000022681","ENSMUSG00000022681")</f>
        <v>ENSMUSG00000022681</v>
      </c>
      <c r="I4839" s="7" t="str">
        <f>HYPERLINK("http://www.informatics.jax.org/marker/MGI:108471","MGI:108471")</f>
        <v>MGI:108471</v>
      </c>
      <c r="J4839" s="4" t="s">
        <v>12</v>
      </c>
    </row>
    <row r="4840" spans="1:10" x14ac:dyDescent="0.25">
      <c r="A4840" s="2">
        <v>139.551542471375</v>
      </c>
      <c r="B4840" s="3">
        <v>-0.32993166584442302</v>
      </c>
      <c r="C4840" s="3">
        <v>1.7760522456839499E-3</v>
      </c>
      <c r="D4840" s="4">
        <v>5.9468220058037802E-3</v>
      </c>
      <c r="E4840" s="3" t="s">
        <v>12049</v>
      </c>
      <c r="F4840" s="3" t="s">
        <v>12050</v>
      </c>
      <c r="G4840" s="3">
        <v>68634</v>
      </c>
      <c r="H4840" s="7" t="str">
        <f>HYPERLINK("http://www.ensembl.org/Mus_musculus/Gene/Summary?db=core;g=ENSMUSG00000078681","ENSMUSG00000078681")</f>
        <v>ENSMUSG00000078681</v>
      </c>
      <c r="I4840" s="7" t="str">
        <f>HYPERLINK("http://www.informatics.jax.org/marker/MGI:1915884","MGI:1915884")</f>
        <v>MGI:1915884</v>
      </c>
      <c r="J4840" s="4" t="s">
        <v>12</v>
      </c>
    </row>
    <row r="4841" spans="1:10" x14ac:dyDescent="0.25">
      <c r="A4841" s="2">
        <v>1328.1107718666501</v>
      </c>
      <c r="B4841" s="3">
        <v>-0.32995432587430401</v>
      </c>
      <c r="C4841" s="3">
        <v>1.42348195620967E-2</v>
      </c>
      <c r="D4841" s="4">
        <v>3.8343125409283398E-2</v>
      </c>
      <c r="E4841" s="3" t="s">
        <v>10368</v>
      </c>
      <c r="F4841" s="3" t="s">
        <v>10369</v>
      </c>
      <c r="G4841" s="3">
        <v>12449</v>
      </c>
      <c r="H4841" s="7" t="str">
        <f>HYPERLINK("http://www.ensembl.org/Mus_musculus/Gene/Summary?db=core;g=ENSMUSG00000072082","ENSMUSG00000072082")</f>
        <v>ENSMUSG00000072082</v>
      </c>
      <c r="I4841" s="7" t="str">
        <f>HYPERLINK("http://www.informatics.jax.org/marker/MGI:102551","MGI:102551")</f>
        <v>MGI:102551</v>
      </c>
      <c r="J4841" s="4" t="s">
        <v>12</v>
      </c>
    </row>
    <row r="4842" spans="1:10" x14ac:dyDescent="0.25">
      <c r="A4842" s="2">
        <v>573.538177445472</v>
      </c>
      <c r="B4842" s="3">
        <v>-0.33054130645388202</v>
      </c>
      <c r="C4842" s="5">
        <v>3.2040072282738402E-7</v>
      </c>
      <c r="D4842" s="6">
        <v>1.89649339835306E-6</v>
      </c>
      <c r="E4842" s="3" t="s">
        <v>6181</v>
      </c>
      <c r="F4842" s="3" t="s">
        <v>6182</v>
      </c>
      <c r="G4842" s="3">
        <v>68023</v>
      </c>
      <c r="H4842" s="7" t="str">
        <f>HYPERLINK("http://www.ensembl.org/Mus_musculus/Gene/Summary?db=core;g=ENSMUSG00000078931","ENSMUSG00000078931")</f>
        <v>ENSMUSG00000078931</v>
      </c>
      <c r="I4842" s="7" t="str">
        <f>HYPERLINK("http://www.informatics.jax.org/marker/MGI:1915273","MGI:1915273")</f>
        <v>MGI:1915273</v>
      </c>
      <c r="J4842" s="4" t="s">
        <v>12</v>
      </c>
    </row>
    <row r="4843" spans="1:10" x14ac:dyDescent="0.25">
      <c r="A4843" s="2">
        <v>703.87556850027102</v>
      </c>
      <c r="B4843" s="3">
        <v>-0.33077520578231501</v>
      </c>
      <c r="C4843" s="5">
        <v>4.9209089121991799E-5</v>
      </c>
      <c r="D4843" s="4">
        <v>2.16052914779162E-4</v>
      </c>
      <c r="E4843" s="3" t="s">
        <v>6137</v>
      </c>
      <c r="F4843" s="3" t="s">
        <v>6138</v>
      </c>
      <c r="G4843" s="3">
        <v>216151</v>
      </c>
      <c r="H4843" s="7" t="str">
        <f>HYPERLINK("http://www.ensembl.org/Mus_musculus/Gene/Summary?db=core;g=ENSMUSG00000020329","ENSMUSG00000020329")</f>
        <v>ENSMUSG00000020329</v>
      </c>
      <c r="I4843" s="7" t="str">
        <f>HYPERLINK("http://www.informatics.jax.org/marker/MGI:1915843","MGI:1915843")</f>
        <v>MGI:1915843</v>
      </c>
      <c r="J4843" s="4" t="s">
        <v>12</v>
      </c>
    </row>
    <row r="4844" spans="1:10" x14ac:dyDescent="0.25">
      <c r="A4844" s="2">
        <v>1820.59880698037</v>
      </c>
      <c r="B4844" s="3">
        <v>-0.33077888238342201</v>
      </c>
      <c r="C4844" s="5">
        <v>1.6278645926022899E-7</v>
      </c>
      <c r="D4844" s="6">
        <v>9.9790892028849007E-7</v>
      </c>
      <c r="E4844" s="3" t="s">
        <v>2551</v>
      </c>
      <c r="F4844" s="3" t="s">
        <v>2552</v>
      </c>
      <c r="G4844" s="3">
        <v>14156</v>
      </c>
      <c r="H4844" s="7" t="str">
        <f>HYPERLINK("http://www.ensembl.org/Mus_musculus/Gene/Summary?db=core;g=ENSMUSG00000024742","ENSMUSG00000024742")</f>
        <v>ENSMUSG00000024742</v>
      </c>
      <c r="I4844" s="7" t="str">
        <f>HYPERLINK("http://www.informatics.jax.org/marker/MGI:102779","MGI:102779")</f>
        <v>MGI:102779</v>
      </c>
      <c r="J4844" s="4" t="s">
        <v>12</v>
      </c>
    </row>
    <row r="4845" spans="1:10" x14ac:dyDescent="0.25">
      <c r="A4845" s="2">
        <v>7701.7828692511903</v>
      </c>
      <c r="B4845" s="3">
        <v>-0.33080866212716198</v>
      </c>
      <c r="C4845" s="5">
        <v>4.7987674883833097E-5</v>
      </c>
      <c r="D4845" s="4">
        <v>2.1109712159253201E-4</v>
      </c>
      <c r="E4845" s="3" t="s">
        <v>10236</v>
      </c>
      <c r="F4845" s="3" t="s">
        <v>10237</v>
      </c>
      <c r="G4845" s="3">
        <v>107932</v>
      </c>
      <c r="H4845" s="7" t="str">
        <f>HYPERLINK("http://www.ensembl.org/Mus_musculus/Gene/Summary?db=core;g=ENSMUSG00000063870","ENSMUSG00000063870")</f>
        <v>ENSMUSG00000063870</v>
      </c>
      <c r="I4845" s="7" t="str">
        <f>HYPERLINK("http://www.informatics.jax.org/marker/MGI:1344380","MGI:1344380")</f>
        <v>MGI:1344380</v>
      </c>
      <c r="J4845" s="4" t="s">
        <v>12</v>
      </c>
    </row>
    <row r="4846" spans="1:10" x14ac:dyDescent="0.25">
      <c r="A4846" s="2">
        <v>2680.8293437545399</v>
      </c>
      <c r="B4846" s="3">
        <v>-0.33086829726859901</v>
      </c>
      <c r="C4846" s="5">
        <v>8.0425884710875304E-10</v>
      </c>
      <c r="D4846" s="6">
        <v>6.3261188988161504E-9</v>
      </c>
      <c r="E4846" s="3" t="s">
        <v>3362</v>
      </c>
      <c r="F4846" s="3" t="s">
        <v>3363</v>
      </c>
      <c r="G4846" s="3">
        <v>76900</v>
      </c>
      <c r="H4846" s="7" t="str">
        <f>HYPERLINK("http://www.ensembl.org/Mus_musculus/Gene/Summary?db=core;g=ENSMUSG00000070003","ENSMUSG00000070003")</f>
        <v>ENSMUSG00000070003</v>
      </c>
      <c r="I4846" s="7" t="str">
        <f>HYPERLINK("http://www.informatics.jax.org/marker/MGI:1924150","MGI:1924150")</f>
        <v>MGI:1924150</v>
      </c>
      <c r="J4846" s="4" t="s">
        <v>12</v>
      </c>
    </row>
    <row r="4847" spans="1:10" x14ac:dyDescent="0.25">
      <c r="A4847" s="2">
        <v>326.51768469393897</v>
      </c>
      <c r="B4847" s="3">
        <v>-0.33107236776106802</v>
      </c>
      <c r="C4847" s="5">
        <v>8.3805411009410806E-5</v>
      </c>
      <c r="D4847" s="4">
        <v>3.54292186417655E-4</v>
      </c>
      <c r="E4847" s="3" t="s">
        <v>8155</v>
      </c>
      <c r="F4847" s="3" t="s">
        <v>8156</v>
      </c>
      <c r="G4847" s="3">
        <v>320191</v>
      </c>
      <c r="H4847" s="7" t="str">
        <f>HYPERLINK("http://www.ensembl.org/Mus_musculus/Gene/Summary?db=core;g=ENSMUSG00000037234","ENSMUSG00000037234")</f>
        <v>ENSMUSG00000037234</v>
      </c>
      <c r="I4847" s="7" t="str">
        <f>HYPERLINK("http://www.informatics.jax.org/marker/MGI:2443554","MGI:2443554")</f>
        <v>MGI:2443554</v>
      </c>
      <c r="J4847" s="4" t="s">
        <v>12</v>
      </c>
    </row>
    <row r="4848" spans="1:10" x14ac:dyDescent="0.25">
      <c r="A4848" s="2">
        <v>271.08887605153399</v>
      </c>
      <c r="B4848" s="3">
        <v>-0.33138289870693699</v>
      </c>
      <c r="C4848" s="5">
        <v>2.02011922984999E-5</v>
      </c>
      <c r="D4848" s="6">
        <v>9.4401725548758897E-5</v>
      </c>
      <c r="E4848" s="3" t="s">
        <v>5201</v>
      </c>
      <c r="F4848" s="3" t="s">
        <v>5202</v>
      </c>
      <c r="G4848" s="3">
        <v>232879</v>
      </c>
      <c r="H4848" s="7" t="str">
        <f>HYPERLINK("http://www.ensembl.org/Mus_musculus/Gene/Summary?db=core;g=ENSMUSG00000049600","ENSMUSG00000049600")</f>
        <v>ENSMUSG00000049600</v>
      </c>
      <c r="I4848" s="7" t="str">
        <f>HYPERLINK("http://www.informatics.jax.org/marker/MGI:2685003","MGI:2685003")</f>
        <v>MGI:2685003</v>
      </c>
      <c r="J4848" s="4" t="s">
        <v>12</v>
      </c>
    </row>
    <row r="4849" spans="1:10" x14ac:dyDescent="0.25">
      <c r="A4849" s="2">
        <v>54.754431087345097</v>
      </c>
      <c r="B4849" s="3">
        <v>-0.33140840429099599</v>
      </c>
      <c r="C4849" s="3">
        <v>4.0550730643381903E-2</v>
      </c>
      <c r="D4849" s="4">
        <v>9.5544546344619896E-2</v>
      </c>
      <c r="E4849" s="3" t="s">
        <v>11965</v>
      </c>
      <c r="F4849" s="3" t="s">
        <v>11966</v>
      </c>
      <c r="G4849" s="3" t="s">
        <v>83</v>
      </c>
      <c r="H4849" s="7" t="str">
        <f>HYPERLINK("http://www.ensembl.org/Mus_musculus/Gene/Summary?db=core;g=ENSMUSG00000053714","ENSMUSG00000053714")</f>
        <v>ENSMUSG00000053714</v>
      </c>
      <c r="I4849" s="7" t="str">
        <f>HYPERLINK("http://www.informatics.jax.org/marker/MGI:3603586","MGI:3603586")</f>
        <v>MGI:3603586</v>
      </c>
      <c r="J4849" s="4" t="s">
        <v>932</v>
      </c>
    </row>
    <row r="4850" spans="1:10" x14ac:dyDescent="0.25">
      <c r="A4850" s="2">
        <v>41.4486011466824</v>
      </c>
      <c r="B4850" s="3">
        <v>-0.33159506198272898</v>
      </c>
      <c r="C4850" s="3">
        <v>9.5190934828135898E-2</v>
      </c>
      <c r="D4850" s="4">
        <v>0.19556473759923099</v>
      </c>
      <c r="E4850" s="3" t="s">
        <v>13393</v>
      </c>
      <c r="F4850" s="3" t="s">
        <v>13394</v>
      </c>
      <c r="G4850" s="3">
        <v>75659</v>
      </c>
      <c r="H4850" s="7" t="str">
        <f>HYPERLINK("http://www.ensembl.org/Mus_musculus/Gene/Summary?db=core;g=ENSMUSG00000030032","ENSMUSG00000030032")</f>
        <v>ENSMUSG00000030032</v>
      </c>
      <c r="I4850" s="7" t="str">
        <f>HYPERLINK("http://www.informatics.jax.org/marker/MGI:1922909","MGI:1922909")</f>
        <v>MGI:1922909</v>
      </c>
      <c r="J4850" s="4" t="s">
        <v>12</v>
      </c>
    </row>
    <row r="4851" spans="1:10" x14ac:dyDescent="0.25">
      <c r="A4851" s="2">
        <v>1205.3298658558599</v>
      </c>
      <c r="B4851" s="3">
        <v>-0.33206452837702</v>
      </c>
      <c r="C4851" s="5">
        <v>8.4701679730097796E-7</v>
      </c>
      <c r="D4851" s="6">
        <v>4.7454291825423701E-6</v>
      </c>
      <c r="E4851" s="3" t="s">
        <v>6469</v>
      </c>
      <c r="F4851" s="3" t="s">
        <v>6470</v>
      </c>
      <c r="G4851" s="3">
        <v>28042</v>
      </c>
      <c r="H4851" s="7" t="str">
        <f>HYPERLINK("http://www.ensembl.org/Mus_musculus/Gene/Summary?db=core;g=ENSMUSG00000075703","ENSMUSG00000075703")</f>
        <v>ENSMUSG00000075703</v>
      </c>
      <c r="I4851" s="7" t="str">
        <f>HYPERLINK("http://www.informatics.jax.org/marker/MGI:107898","MGI:107898")</f>
        <v>MGI:107898</v>
      </c>
      <c r="J4851" s="4" t="s">
        <v>12</v>
      </c>
    </row>
    <row r="4852" spans="1:10" x14ac:dyDescent="0.25">
      <c r="A4852" s="2">
        <v>714.24233289774497</v>
      </c>
      <c r="B4852" s="3">
        <v>-0.33206907136174102</v>
      </c>
      <c r="C4852" s="3">
        <v>5.7602914544741899E-3</v>
      </c>
      <c r="D4852" s="4">
        <v>1.7056265110932899E-2</v>
      </c>
      <c r="E4852" s="3" t="s">
        <v>10836</v>
      </c>
      <c r="F4852" s="3" t="s">
        <v>10837</v>
      </c>
      <c r="G4852" s="3">
        <v>66442</v>
      </c>
      <c r="H4852" s="7" t="str">
        <f>HYPERLINK("http://www.ensembl.org/Mus_musculus/Gene/Summary?db=core;g=ENSMUSG00000005233","ENSMUSG00000005233")</f>
        <v>ENSMUSG00000005233</v>
      </c>
      <c r="I4852" s="7" t="str">
        <f>HYPERLINK("http://www.informatics.jax.org/marker/MGI:1913692","MGI:1913692")</f>
        <v>MGI:1913692</v>
      </c>
      <c r="J4852" s="4" t="s">
        <v>12</v>
      </c>
    </row>
    <row r="4853" spans="1:10" x14ac:dyDescent="0.25">
      <c r="A4853" s="2">
        <v>332.22394943237998</v>
      </c>
      <c r="B4853" s="3">
        <v>-0.332359946106417</v>
      </c>
      <c r="C4853" s="5">
        <v>3.3122408042137702E-5</v>
      </c>
      <c r="D4853" s="4">
        <v>1.4941977390296E-4</v>
      </c>
      <c r="E4853" s="3" t="s">
        <v>10156</v>
      </c>
      <c r="F4853" s="3" t="s">
        <v>10157</v>
      </c>
      <c r="G4853" s="3">
        <v>328801</v>
      </c>
      <c r="H4853" s="7" t="str">
        <f>HYPERLINK("http://www.ensembl.org/Mus_musculus/Gene/Summary?db=core;g=ENSMUSG00000073423","ENSMUSG00000073423")</f>
        <v>ENSMUSG00000073423</v>
      </c>
      <c r="I4853" s="7" t="str">
        <f>HYPERLINK("http://www.informatics.jax.org/marker/MGI:1915641","MGI:1915641")</f>
        <v>MGI:1915641</v>
      </c>
      <c r="J4853" s="4" t="s">
        <v>12</v>
      </c>
    </row>
    <row r="4854" spans="1:10" x14ac:dyDescent="0.25">
      <c r="A4854" s="2">
        <v>731.82333211423099</v>
      </c>
      <c r="B4854" s="3">
        <v>-0.33243621204922302</v>
      </c>
      <c r="C4854" s="5">
        <v>7.6149895579422506E-9</v>
      </c>
      <c r="D4854" s="6">
        <v>5.37294559401849E-8</v>
      </c>
      <c r="E4854" s="3" t="s">
        <v>5231</v>
      </c>
      <c r="F4854" s="3" t="s">
        <v>5232</v>
      </c>
      <c r="G4854" s="3">
        <v>320808</v>
      </c>
      <c r="H4854" s="7" t="str">
        <f>HYPERLINK("http://www.ensembl.org/Mus_musculus/Gene/Summary?db=core;g=ENSMUSG00000049106","ENSMUSG00000049106")</f>
        <v>ENSMUSG00000049106</v>
      </c>
      <c r="I4854" s="7" t="str">
        <f>HYPERLINK("http://www.informatics.jax.org/marker/MGI:2444785","MGI:2444785")</f>
        <v>MGI:2444785</v>
      </c>
      <c r="J4854" s="4" t="s">
        <v>12</v>
      </c>
    </row>
    <row r="4855" spans="1:10" x14ac:dyDescent="0.25">
      <c r="A4855" s="2">
        <v>228.25602911653101</v>
      </c>
      <c r="B4855" s="3">
        <v>-0.33269180618064897</v>
      </c>
      <c r="C4855" s="3">
        <v>1.1465783668418101E-3</v>
      </c>
      <c r="D4855" s="4">
        <v>3.9916696725295102E-3</v>
      </c>
      <c r="E4855" s="3" t="s">
        <v>8151</v>
      </c>
      <c r="F4855" s="3" t="s">
        <v>8152</v>
      </c>
      <c r="G4855" s="3">
        <v>231637</v>
      </c>
      <c r="H4855" s="7" t="str">
        <f>HYPERLINK("http://www.ensembl.org/Mus_musculus/Gene/Summary?db=core;g=ENSMUSG00000042121","ENSMUSG00000042121")</f>
        <v>ENSMUSG00000042121</v>
      </c>
      <c r="I4855" s="7" t="str">
        <f>HYPERLINK("http://www.informatics.jax.org/marker/MGI:2686240","MGI:2686240")</f>
        <v>MGI:2686240</v>
      </c>
      <c r="J4855" s="4" t="s">
        <v>12</v>
      </c>
    </row>
    <row r="4856" spans="1:10" x14ac:dyDescent="0.25">
      <c r="A4856" s="2">
        <v>175.825004750067</v>
      </c>
      <c r="B4856" s="3">
        <v>-0.33291811657765302</v>
      </c>
      <c r="C4856" s="3">
        <v>5.55393271436637E-4</v>
      </c>
      <c r="D4856" s="4">
        <v>2.0485817389056301E-3</v>
      </c>
      <c r="E4856" s="3" t="s">
        <v>5263</v>
      </c>
      <c r="F4856" s="3" t="s">
        <v>5264</v>
      </c>
      <c r="G4856" s="3">
        <v>70561</v>
      </c>
      <c r="H4856" s="7" t="str">
        <f>HYPERLINK("http://www.ensembl.org/Mus_musculus/Gene/Summary?db=core;g=ENSMUSG00000021830","ENSMUSG00000021830")</f>
        <v>ENSMUSG00000021830</v>
      </c>
      <c r="I4856" s="7" t="str">
        <f>HYPERLINK("http://www.informatics.jax.org/marker/MGI:1917811","MGI:1917811")</f>
        <v>MGI:1917811</v>
      </c>
      <c r="J4856" s="4" t="s">
        <v>12</v>
      </c>
    </row>
    <row r="4857" spans="1:10" x14ac:dyDescent="0.25">
      <c r="A4857" s="2">
        <v>80.519120561458195</v>
      </c>
      <c r="B4857" s="3">
        <v>-0.33304896317081301</v>
      </c>
      <c r="C4857" s="3">
        <v>8.6757217884041397E-3</v>
      </c>
      <c r="D4857" s="4">
        <v>2.4720923951479901E-2</v>
      </c>
      <c r="E4857" s="3" t="s">
        <v>7692</v>
      </c>
      <c r="F4857" s="3" t="s">
        <v>7693</v>
      </c>
      <c r="G4857" s="3">
        <v>330216</v>
      </c>
      <c r="H4857" s="7" t="str">
        <f>HYPERLINK("http://www.ensembl.org/Mus_musculus/Gene/Summary?db=core;g=ENSMUSG00000049285","ENSMUSG00000049285")</f>
        <v>ENSMUSG00000049285</v>
      </c>
      <c r="I4857" s="7" t="str">
        <f>HYPERLINK("http://www.informatics.jax.org/marker/MGI:2679717","MGI:2679717")</f>
        <v>MGI:2679717</v>
      </c>
      <c r="J4857" s="4" t="s">
        <v>12</v>
      </c>
    </row>
    <row r="4858" spans="1:10" x14ac:dyDescent="0.25">
      <c r="A4858" s="2">
        <v>240.358725821333</v>
      </c>
      <c r="B4858" s="3">
        <v>-0.33319504360062502</v>
      </c>
      <c r="C4858" s="5">
        <v>3.0960873000310498E-5</v>
      </c>
      <c r="D4858" s="4">
        <v>1.4046848653987001E-4</v>
      </c>
      <c r="E4858" s="3" t="s">
        <v>8439</v>
      </c>
      <c r="F4858" s="3" t="s">
        <v>8440</v>
      </c>
      <c r="G4858" s="3">
        <v>112694759</v>
      </c>
      <c r="H4858" s="7" t="str">
        <f>HYPERLINK("http://www.ensembl.org/Mus_musculus/Gene/Summary?db=core;g=ENSMUSG00000023984","ENSMUSG00000023984")</f>
        <v>ENSMUSG00000023984</v>
      </c>
      <c r="I4858" s="7" t="str">
        <f>HYPERLINK("http://www.informatics.jax.org/marker/MGI:5141982","MGI:5141982")</f>
        <v>MGI:5141982</v>
      </c>
      <c r="J4858" s="4" t="s">
        <v>12</v>
      </c>
    </row>
    <row r="4859" spans="1:10" x14ac:dyDescent="0.25">
      <c r="A4859" s="2">
        <v>535.08391657313905</v>
      </c>
      <c r="B4859" s="3">
        <v>-0.33322226161740698</v>
      </c>
      <c r="C4859" s="3">
        <v>1.35380322725241E-3</v>
      </c>
      <c r="D4859" s="4">
        <v>4.6494635958946699E-3</v>
      </c>
      <c r="E4859" s="3" t="s">
        <v>6243</v>
      </c>
      <c r="F4859" s="3" t="s">
        <v>6244</v>
      </c>
      <c r="G4859" s="3">
        <v>51789</v>
      </c>
      <c r="H4859" s="7" t="str">
        <f>HYPERLINK("http://www.ensembl.org/Mus_musculus/Gene/Summary?db=core;g=ENSMUSG00000022791","ENSMUSG00000022791")</f>
        <v>ENSMUSG00000022791</v>
      </c>
      <c r="I4859" s="7" t="str">
        <f>HYPERLINK("http://www.informatics.jax.org/marker/MGI:1858308","MGI:1858308")</f>
        <v>MGI:1858308</v>
      </c>
      <c r="J4859" s="4" t="s">
        <v>12</v>
      </c>
    </row>
    <row r="4860" spans="1:10" x14ac:dyDescent="0.25">
      <c r="A4860" s="2">
        <v>1460.50071650109</v>
      </c>
      <c r="B4860" s="3">
        <v>-0.33331637341526998</v>
      </c>
      <c r="C4860" s="5">
        <v>3.5633066793411099E-6</v>
      </c>
      <c r="D4860" s="6">
        <v>1.8522893391612001E-5</v>
      </c>
      <c r="E4860" s="3" t="s">
        <v>9569</v>
      </c>
      <c r="F4860" s="3" t="s">
        <v>9570</v>
      </c>
      <c r="G4860" s="3">
        <v>77044</v>
      </c>
      <c r="H4860" s="7" t="str">
        <f>HYPERLINK("http://www.ensembl.org/Mus_musculus/Gene/Summary?db=core;g=ENSMUSG00000033237","ENSMUSG00000033237")</f>
        <v>ENSMUSG00000033237</v>
      </c>
      <c r="I4860" s="7" t="str">
        <f>HYPERLINK("http://www.informatics.jax.org/marker/MGI:1924294","MGI:1924294")</f>
        <v>MGI:1924294</v>
      </c>
      <c r="J4860" s="4" t="s">
        <v>12</v>
      </c>
    </row>
    <row r="4861" spans="1:10" x14ac:dyDescent="0.25">
      <c r="A4861" s="2">
        <v>386.34004867649401</v>
      </c>
      <c r="B4861" s="3">
        <v>-0.33351990844838802</v>
      </c>
      <c r="C4861" s="3">
        <v>2.3827648015339401E-4</v>
      </c>
      <c r="D4861" s="4">
        <v>9.3348857497755797E-4</v>
      </c>
      <c r="E4861" s="3" t="s">
        <v>4689</v>
      </c>
      <c r="F4861" s="3" t="s">
        <v>4690</v>
      </c>
      <c r="G4861" s="3">
        <v>20460</v>
      </c>
      <c r="H4861" s="7" t="str">
        <f>HYPERLINK("http://www.ensembl.org/Mus_musculus/Gene/Summary?db=core;g=ENSMUSG00000028718","ENSMUSG00000028718")</f>
        <v>ENSMUSG00000028718</v>
      </c>
      <c r="I4861" s="7" t="str">
        <f>HYPERLINK("http://www.informatics.jax.org/marker/MGI:107477","MGI:107477")</f>
        <v>MGI:107477</v>
      </c>
      <c r="J4861" s="4" t="s">
        <v>12</v>
      </c>
    </row>
    <row r="4862" spans="1:10" x14ac:dyDescent="0.25">
      <c r="A4862" s="2">
        <v>778.53871518436199</v>
      </c>
      <c r="B4862" s="3">
        <v>-0.333544811555536</v>
      </c>
      <c r="C4862" s="5">
        <v>9.4581646542204592E-6</v>
      </c>
      <c r="D4862" s="6">
        <v>4.6412237701445301E-5</v>
      </c>
      <c r="E4862" s="3" t="s">
        <v>6287</v>
      </c>
      <c r="F4862" s="3" t="s">
        <v>6288</v>
      </c>
      <c r="G4862" s="3">
        <v>227541</v>
      </c>
      <c r="H4862" s="7" t="str">
        <f>HYPERLINK("http://www.ensembl.org/Mus_musculus/Gene/Summary?db=core;g=ENSMUSG00000039145","ENSMUSG00000039145")</f>
        <v>ENSMUSG00000039145</v>
      </c>
      <c r="I4862" s="7" t="str">
        <f>HYPERLINK("http://www.informatics.jax.org/marker/MGI:2442190","MGI:2442190")</f>
        <v>MGI:2442190</v>
      </c>
      <c r="J4862" s="4" t="s">
        <v>12</v>
      </c>
    </row>
    <row r="4863" spans="1:10" x14ac:dyDescent="0.25">
      <c r="A4863" s="2">
        <v>81.683873869735393</v>
      </c>
      <c r="B4863" s="3">
        <v>-0.33376678598418802</v>
      </c>
      <c r="C4863" s="3">
        <v>1.3840347403431401E-2</v>
      </c>
      <c r="D4863" s="4">
        <v>3.74188297622811E-2</v>
      </c>
      <c r="E4863" s="3" t="s">
        <v>13529</v>
      </c>
      <c r="F4863" s="3" t="s">
        <v>13530</v>
      </c>
      <c r="G4863" s="3">
        <v>56513</v>
      </c>
      <c r="H4863" s="7" t="str">
        <f>HYPERLINK("http://www.ensembl.org/Mus_musculus/Gene/Summary?db=core;g=ENSMUSG00000005699","ENSMUSG00000005699")</f>
        <v>ENSMUSG00000005699</v>
      </c>
      <c r="I4863" s="7" t="str">
        <f>HYPERLINK("http://www.informatics.jax.org/marker/MGI:1927223","MGI:1927223")</f>
        <v>MGI:1927223</v>
      </c>
      <c r="J4863" s="4" t="s">
        <v>12</v>
      </c>
    </row>
    <row r="4864" spans="1:10" x14ac:dyDescent="0.25">
      <c r="A4864" s="2">
        <v>717.99246048505404</v>
      </c>
      <c r="B4864" s="3">
        <v>-0.33378246871279599</v>
      </c>
      <c r="C4864" s="3">
        <v>9.5900091446933999E-4</v>
      </c>
      <c r="D4864" s="4">
        <v>3.3891393574178199E-3</v>
      </c>
      <c r="E4864" s="3" t="s">
        <v>5385</v>
      </c>
      <c r="F4864" s="3" t="s">
        <v>5386</v>
      </c>
      <c r="G4864" s="3">
        <v>105670</v>
      </c>
      <c r="H4864" s="7" t="str">
        <f>HYPERLINK("http://www.ensembl.org/Mus_musculus/Gene/Summary?db=core;g=ENSMUSG00000022106","ENSMUSG00000022106")</f>
        <v>ENSMUSG00000022106</v>
      </c>
      <c r="I4864" s="7" t="str">
        <f>HYPERLINK("http://www.informatics.jax.org/marker/MGI:1917200","MGI:1917200")</f>
        <v>MGI:1917200</v>
      </c>
      <c r="J4864" s="4" t="s">
        <v>12</v>
      </c>
    </row>
    <row r="4865" spans="1:10" x14ac:dyDescent="0.25">
      <c r="A4865" s="2">
        <v>163.57809710237899</v>
      </c>
      <c r="B4865" s="3">
        <v>-0.33395183845422199</v>
      </c>
      <c r="C4865" s="3">
        <v>2.7818368304336201E-3</v>
      </c>
      <c r="D4865" s="4">
        <v>8.9023663274192706E-3</v>
      </c>
      <c r="E4865" s="3" t="s">
        <v>5437</v>
      </c>
      <c r="F4865" s="3" t="s">
        <v>5438</v>
      </c>
      <c r="G4865" s="3">
        <v>234413</v>
      </c>
      <c r="H4865" s="7" t="str">
        <f>HYPERLINK("http://www.ensembl.org/Mus_musculus/Gene/Summary?db=core;g=ENSMUSG00000052446","ENSMUSG00000052446")</f>
        <v>ENSMUSG00000052446</v>
      </c>
      <c r="I4865" s="7" t="str">
        <f>HYPERLINK("http://www.informatics.jax.org/marker/MGI:3583954","MGI:3583954")</f>
        <v>MGI:3583954</v>
      </c>
      <c r="J4865" s="4" t="s">
        <v>12</v>
      </c>
    </row>
    <row r="4866" spans="1:10" x14ac:dyDescent="0.25">
      <c r="A4866" s="2">
        <v>387.55425621450797</v>
      </c>
      <c r="B4866" s="3">
        <v>-0.334072085374294</v>
      </c>
      <c r="C4866" s="5">
        <v>8.5058893246790798E-6</v>
      </c>
      <c r="D4866" s="6">
        <v>4.2044977744040197E-5</v>
      </c>
      <c r="E4866" s="3" t="s">
        <v>2667</v>
      </c>
      <c r="F4866" s="3" t="s">
        <v>2668</v>
      </c>
      <c r="G4866" s="3">
        <v>70238</v>
      </c>
      <c r="H4866" s="7" t="str">
        <f>HYPERLINK("http://www.ensembl.org/Mus_musculus/Gene/Summary?db=core;g=ENSMUSG00000014074","ENSMUSG00000014074")</f>
        <v>ENSMUSG00000014074</v>
      </c>
      <c r="I4866" s="7" t="str">
        <f>HYPERLINK("http://www.informatics.jax.org/marker/MGI:1917488","MGI:1917488")</f>
        <v>MGI:1917488</v>
      </c>
      <c r="J4866" s="4" t="s">
        <v>12</v>
      </c>
    </row>
    <row r="4867" spans="1:10" x14ac:dyDescent="0.25">
      <c r="A4867" s="2">
        <v>327.28049798499899</v>
      </c>
      <c r="B4867" s="3">
        <v>-0.334137407508802</v>
      </c>
      <c r="C4867" s="3">
        <v>6.4947714944965196E-4</v>
      </c>
      <c r="D4867" s="4">
        <v>2.3621474852763701E-3</v>
      </c>
      <c r="E4867" s="3" t="s">
        <v>8373</v>
      </c>
      <c r="F4867" s="3" t="s">
        <v>8374</v>
      </c>
      <c r="G4867" s="3">
        <v>55981</v>
      </c>
      <c r="H4867" s="7" t="str">
        <f>HYPERLINK("http://www.ensembl.org/Mus_musculus/Gene/Summary?db=core;g=ENSMUSG00000079469","ENSMUSG00000079469")</f>
        <v>ENSMUSG00000079469</v>
      </c>
      <c r="I4867" s="7" t="str">
        <f>HYPERLINK("http://www.informatics.jax.org/marker/MGI:1891825","MGI:1891825")</f>
        <v>MGI:1891825</v>
      </c>
      <c r="J4867" s="4" t="s">
        <v>12</v>
      </c>
    </row>
    <row r="4868" spans="1:10" x14ac:dyDescent="0.25">
      <c r="A4868" s="2">
        <v>4276.1805478427405</v>
      </c>
      <c r="B4868" s="3">
        <v>-0.334404439316908</v>
      </c>
      <c r="C4868" s="5">
        <v>4.7883109343555298E-6</v>
      </c>
      <c r="D4868" s="6">
        <v>2.4568402809298801E-5</v>
      </c>
      <c r="E4868" s="3" t="s">
        <v>3952</v>
      </c>
      <c r="F4868" s="3" t="s">
        <v>3953</v>
      </c>
      <c r="G4868" s="3">
        <v>20133</v>
      </c>
      <c r="H4868" s="7" t="str">
        <f>HYPERLINK("http://www.ensembl.org/Mus_musculus/Gene/Summary?db=core;g=ENSMUSG00000030978","ENSMUSG00000030978")</f>
        <v>ENSMUSG00000030978</v>
      </c>
      <c r="I4868" s="7" t="str">
        <f>HYPERLINK("http://www.informatics.jax.org/marker/MGI:98180","MGI:98180")</f>
        <v>MGI:98180</v>
      </c>
      <c r="J4868" s="4" t="s">
        <v>12</v>
      </c>
    </row>
    <row r="4869" spans="1:10" x14ac:dyDescent="0.25">
      <c r="A4869" s="2">
        <v>1088.66821829688</v>
      </c>
      <c r="B4869" s="3">
        <v>-0.33444175459429698</v>
      </c>
      <c r="C4869" s="3">
        <v>1.8751543388674399E-3</v>
      </c>
      <c r="D4869" s="4">
        <v>6.2485148549440298E-3</v>
      </c>
      <c r="E4869" s="3" t="s">
        <v>11343</v>
      </c>
      <c r="F4869" s="3" t="s">
        <v>11344</v>
      </c>
      <c r="G4869" s="3">
        <v>57330</v>
      </c>
      <c r="H4869" s="7" t="str">
        <f>HYPERLINK("http://www.ensembl.org/Mus_musculus/Gene/Summary?db=core;g=ENSMUSG00000029714","ENSMUSG00000029714")</f>
        <v>ENSMUSG00000029714</v>
      </c>
      <c r="I4869" s="7" t="str">
        <f>HYPERLINK("http://www.informatics.jax.org/marker/MGI:1888677","MGI:1888677")</f>
        <v>MGI:1888677</v>
      </c>
      <c r="J4869" s="4" t="s">
        <v>12</v>
      </c>
    </row>
    <row r="4870" spans="1:10" x14ac:dyDescent="0.25">
      <c r="A4870" s="2">
        <v>304.72747055895502</v>
      </c>
      <c r="B4870" s="3">
        <v>-0.334581146098129</v>
      </c>
      <c r="C4870" s="3">
        <v>4.9182998483920601E-4</v>
      </c>
      <c r="D4870" s="4">
        <v>1.82939115681223E-3</v>
      </c>
      <c r="E4870" s="3" t="s">
        <v>9499</v>
      </c>
      <c r="F4870" s="3" t="s">
        <v>9500</v>
      </c>
      <c r="G4870" s="3">
        <v>266632</v>
      </c>
      <c r="H4870" s="7" t="str">
        <f>HYPERLINK("http://www.ensembl.org/Mus_musculus/Gene/Summary?db=core;g=ENSMUSG00000059883","ENSMUSG00000059883")</f>
        <v>ENSMUSG00000059883</v>
      </c>
      <c r="I4870" s="7" t="str">
        <f>HYPERLINK("http://www.informatics.jax.org/marker/MGI:2182474","MGI:2182474")</f>
        <v>MGI:2182474</v>
      </c>
      <c r="J4870" s="4" t="s">
        <v>12</v>
      </c>
    </row>
    <row r="4871" spans="1:10" x14ac:dyDescent="0.25">
      <c r="A4871" s="2">
        <v>226.76461446586299</v>
      </c>
      <c r="B4871" s="3">
        <v>-0.33468504610585997</v>
      </c>
      <c r="C4871" s="3">
        <v>6.0242243638403102E-3</v>
      </c>
      <c r="D4871" s="4">
        <v>1.7785758793291698E-2</v>
      </c>
      <c r="E4871" s="3" t="s">
        <v>12451</v>
      </c>
      <c r="F4871" s="3" t="s">
        <v>12452</v>
      </c>
      <c r="G4871" s="3">
        <v>70454</v>
      </c>
      <c r="H4871" s="7" t="str">
        <f>HYPERLINK("http://www.ensembl.org/Mus_musculus/Gene/Summary?db=core;g=ENSMUSG00000026708","ENSMUSG00000026708")</f>
        <v>ENSMUSG00000026708</v>
      </c>
      <c r="I4871" s="7" t="str">
        <f>HYPERLINK("http://www.informatics.jax.org/marker/MGI:1917704","MGI:1917704")</f>
        <v>MGI:1917704</v>
      </c>
      <c r="J4871" s="4" t="s">
        <v>12</v>
      </c>
    </row>
    <row r="4872" spans="1:10" x14ac:dyDescent="0.25">
      <c r="A4872" s="2">
        <v>1970.06649246285</v>
      </c>
      <c r="B4872" s="3">
        <v>-0.33516060001800002</v>
      </c>
      <c r="C4872" s="5">
        <v>3.0033089628925501E-9</v>
      </c>
      <c r="D4872" s="6">
        <v>2.2186990615612802E-8</v>
      </c>
      <c r="E4872" s="3" t="s">
        <v>4125</v>
      </c>
      <c r="F4872" s="3" t="s">
        <v>4126</v>
      </c>
      <c r="G4872" s="3">
        <v>234736</v>
      </c>
      <c r="H4872" s="7" t="str">
        <f>HYPERLINK("http://www.ensembl.org/Mus_musculus/Gene/Summary?db=core;g=ENSMUSG00000033596","ENSMUSG00000033596")</f>
        <v>ENSMUSG00000033596</v>
      </c>
      <c r="I4872" s="7" t="str">
        <f>HYPERLINK("http://www.informatics.jax.org/marker/MGI:2384584","MGI:2384584")</f>
        <v>MGI:2384584</v>
      </c>
      <c r="J4872" s="4" t="s">
        <v>12</v>
      </c>
    </row>
    <row r="4873" spans="1:10" x14ac:dyDescent="0.25">
      <c r="A4873" s="2">
        <v>335.96071368816803</v>
      </c>
      <c r="B4873" s="3">
        <v>-0.33523213582512501</v>
      </c>
      <c r="C4873" s="3">
        <v>1.90740546915413E-4</v>
      </c>
      <c r="D4873" s="4">
        <v>7.6000141397756897E-4</v>
      </c>
      <c r="E4873" s="3" t="s">
        <v>6563</v>
      </c>
      <c r="F4873" s="3" t="s">
        <v>6564</v>
      </c>
      <c r="G4873" s="3">
        <v>211896</v>
      </c>
      <c r="H4873" s="7" t="str">
        <f>HYPERLINK("http://www.ensembl.org/Mus_musculus/Gene/Summary?db=core;g=ENSMUSG00000027173","ENSMUSG00000027173")</f>
        <v>ENSMUSG00000027173</v>
      </c>
      <c r="I4873" s="7" t="str">
        <f>HYPERLINK("http://www.informatics.jax.org/marker/MGI:2139258","MGI:2139258")</f>
        <v>MGI:2139258</v>
      </c>
      <c r="J4873" s="4" t="s">
        <v>12</v>
      </c>
    </row>
    <row r="4874" spans="1:10" x14ac:dyDescent="0.25">
      <c r="A4874" s="2">
        <v>555.16634128329304</v>
      </c>
      <c r="B4874" s="3">
        <v>-0.335266288407012</v>
      </c>
      <c r="C4874" s="5">
        <v>1.2933714916461E-7</v>
      </c>
      <c r="D4874" s="6">
        <v>7.9958261313602901E-7</v>
      </c>
      <c r="E4874" s="3" t="s">
        <v>7314</v>
      </c>
      <c r="F4874" s="3" t="s">
        <v>7315</v>
      </c>
      <c r="G4874" s="3">
        <v>214952</v>
      </c>
      <c r="H4874" s="7" t="str">
        <f>HYPERLINK("http://www.ensembl.org/Mus_musculus/Gene/Summary?db=core;g=ENSMUSG00000025733","ENSMUSG00000025733")</f>
        <v>ENSMUSG00000025733</v>
      </c>
      <c r="I4874" s="7" t="str">
        <f>HYPERLINK("http://www.informatics.jax.org/marker/MGI:2384892","MGI:2384892")</f>
        <v>MGI:2384892</v>
      </c>
      <c r="J4874" s="4" t="s">
        <v>12</v>
      </c>
    </row>
    <row r="4875" spans="1:10" x14ac:dyDescent="0.25">
      <c r="A4875" s="2">
        <v>174.73847208195201</v>
      </c>
      <c r="B4875" s="3">
        <v>-0.33561120752415502</v>
      </c>
      <c r="C4875" s="3">
        <v>3.2116628447463602E-4</v>
      </c>
      <c r="D4875" s="4">
        <v>1.2289010150221E-3</v>
      </c>
      <c r="E4875" s="3" t="s">
        <v>6495</v>
      </c>
      <c r="F4875" s="3" t="s">
        <v>6496</v>
      </c>
      <c r="G4875" s="3">
        <v>72016</v>
      </c>
      <c r="H4875" s="7" t="str">
        <f>HYPERLINK("http://www.ensembl.org/Mus_musculus/Gene/Summary?db=core;g=ENSMUSG00000024118","ENSMUSG00000024118")</f>
        <v>ENSMUSG00000024118</v>
      </c>
      <c r="I4875" s="7" t="str">
        <f>HYPERLINK("http://www.informatics.jax.org/marker/MGI:1919266","MGI:1919266")</f>
        <v>MGI:1919266</v>
      </c>
      <c r="J4875" s="4" t="s">
        <v>12</v>
      </c>
    </row>
    <row r="4876" spans="1:10" x14ac:dyDescent="0.25">
      <c r="A4876" s="2">
        <v>251.98838575154599</v>
      </c>
      <c r="B4876" s="3">
        <v>-0.335713516886601</v>
      </c>
      <c r="C4876" s="3">
        <v>1.02587802751299E-4</v>
      </c>
      <c r="D4876" s="4">
        <v>4.2833051664202098E-4</v>
      </c>
      <c r="E4876" s="3" t="s">
        <v>5737</v>
      </c>
      <c r="F4876" s="3" t="s">
        <v>5738</v>
      </c>
      <c r="G4876" s="3">
        <v>67384</v>
      </c>
      <c r="H4876" s="7" t="str">
        <f>HYPERLINK("http://www.ensembl.org/Mus_musculus/Gene/Summary?db=core;g=ENSMUSG00000037316","ENSMUSG00000037316")</f>
        <v>ENSMUSG00000037316</v>
      </c>
      <c r="I4876" s="7" t="str">
        <f>HYPERLINK("http://www.informatics.jax.org/marker/MGI:1914634","MGI:1914634")</f>
        <v>MGI:1914634</v>
      </c>
      <c r="J4876" s="4" t="s">
        <v>12</v>
      </c>
    </row>
    <row r="4877" spans="1:10" x14ac:dyDescent="0.25">
      <c r="A4877" s="2">
        <v>449.13403358190698</v>
      </c>
      <c r="B4877" s="3">
        <v>-0.335864491170766</v>
      </c>
      <c r="C4877" s="5">
        <v>1.2450496952219401E-5</v>
      </c>
      <c r="D4877" s="6">
        <v>6.0029181733915003E-5</v>
      </c>
      <c r="E4877" s="3" t="s">
        <v>5383</v>
      </c>
      <c r="F4877" s="3" t="s">
        <v>5384</v>
      </c>
      <c r="G4877" s="3">
        <v>66659</v>
      </c>
      <c r="H4877" s="7" t="str">
        <f>HYPERLINK("http://www.ensembl.org/Mus_musculus/Gene/Summary?db=core;g=ENSMUSG00000028093","ENSMUSG00000028093")</f>
        <v>ENSMUSG00000028093</v>
      </c>
      <c r="I4877" s="7" t="str">
        <f>HYPERLINK("http://www.informatics.jax.org/marker/MGI:1931010","MGI:1931010")</f>
        <v>MGI:1931010</v>
      </c>
      <c r="J4877" s="4" t="s">
        <v>12</v>
      </c>
    </row>
    <row r="4878" spans="1:10" x14ac:dyDescent="0.25">
      <c r="A4878" s="2">
        <v>421.58671143090299</v>
      </c>
      <c r="B4878" s="3">
        <v>-0.33599341738607702</v>
      </c>
      <c r="C4878" s="5">
        <v>5.9844372995225403E-5</v>
      </c>
      <c r="D4878" s="4">
        <v>2.5900349034385699E-4</v>
      </c>
      <c r="E4878" s="3" t="s">
        <v>8639</v>
      </c>
      <c r="F4878" s="3" t="s">
        <v>8640</v>
      </c>
      <c r="G4878" s="3">
        <v>21981</v>
      </c>
      <c r="H4878" s="7" t="str">
        <f>HYPERLINK("http://www.ensembl.org/Mus_musculus/Gene/Summary?db=core;g=ENSMUSG00000021285","ENSMUSG00000021285")</f>
        <v>ENSMUSG00000021285</v>
      </c>
      <c r="I4878" s="7" t="str">
        <f>HYPERLINK("http://www.informatics.jax.org/marker/MGI:1336199","MGI:1336199")</f>
        <v>MGI:1336199</v>
      </c>
      <c r="J4878" s="4" t="s">
        <v>12</v>
      </c>
    </row>
    <row r="4879" spans="1:10" x14ac:dyDescent="0.25">
      <c r="A4879" s="2">
        <v>1040.28615193367</v>
      </c>
      <c r="B4879" s="3">
        <v>-0.33612685915116203</v>
      </c>
      <c r="C4879" s="3">
        <v>4.3897825995981103E-4</v>
      </c>
      <c r="D4879" s="4">
        <v>1.6454913179283299E-3</v>
      </c>
      <c r="E4879" s="3" t="s">
        <v>9271</v>
      </c>
      <c r="F4879" s="3" t="s">
        <v>9272</v>
      </c>
      <c r="G4879" s="3">
        <v>73836</v>
      </c>
      <c r="H4879" s="7" t="str">
        <f>HYPERLINK("http://www.ensembl.org/Mus_musculus/Gene/Summary?db=core;g=ENSMUSG00000037089","ENSMUSG00000037089")</f>
        <v>ENSMUSG00000037089</v>
      </c>
      <c r="I4879" s="7" t="str">
        <f>HYPERLINK("http://www.informatics.jax.org/marker/MGI:1921086","MGI:1921086")</f>
        <v>MGI:1921086</v>
      </c>
      <c r="J4879" s="4" t="s">
        <v>12</v>
      </c>
    </row>
    <row r="4880" spans="1:10" x14ac:dyDescent="0.25">
      <c r="A4880" s="2">
        <v>112.33886757400499</v>
      </c>
      <c r="B4880" s="3">
        <v>-0.33616839149876598</v>
      </c>
      <c r="C4880" s="3">
        <v>1.40972318796183E-2</v>
      </c>
      <c r="D4880" s="4">
        <v>3.8017468334721E-2</v>
      </c>
      <c r="E4880" s="3" t="s">
        <v>13935</v>
      </c>
      <c r="F4880" s="3" t="s">
        <v>13936</v>
      </c>
      <c r="G4880" s="3">
        <v>71599</v>
      </c>
      <c r="H4880" s="7" t="str">
        <f>HYPERLINK("http://www.ensembl.org/Mus_musculus/Gene/Summary?db=core;g=ENSMUSG00000051705","ENSMUSG00000051705")</f>
        <v>ENSMUSG00000051705</v>
      </c>
      <c r="I4880" s="7" t="str">
        <f>HYPERLINK("http://www.informatics.jax.org/marker/MGI:1918849","MGI:1918849")</f>
        <v>MGI:1918849</v>
      </c>
      <c r="J4880" s="4" t="s">
        <v>12</v>
      </c>
    </row>
    <row r="4881" spans="1:10" x14ac:dyDescent="0.25">
      <c r="A4881" s="2">
        <v>1073.53135643822</v>
      </c>
      <c r="B4881" s="3">
        <v>-0.33636842304133802</v>
      </c>
      <c r="C4881" s="5">
        <v>3.0502434481007901E-5</v>
      </c>
      <c r="D4881" s="4">
        <v>1.3852650595972299E-4</v>
      </c>
      <c r="E4881" s="3" t="s">
        <v>12865</v>
      </c>
      <c r="F4881" s="3" t="s">
        <v>12866</v>
      </c>
      <c r="G4881" s="3">
        <v>69069</v>
      </c>
      <c r="H4881" s="7" t="str">
        <f>HYPERLINK("http://www.ensembl.org/Mus_musculus/Gene/Summary?db=core;g=ENSMUSG00000041707","ENSMUSG00000041707")</f>
        <v>ENSMUSG00000041707</v>
      </c>
      <c r="I4881" s="7" t="str">
        <f>HYPERLINK("http://www.informatics.jax.org/marker/MGI:1916319","MGI:1916319")</f>
        <v>MGI:1916319</v>
      </c>
      <c r="J4881" s="4" t="s">
        <v>12</v>
      </c>
    </row>
    <row r="4882" spans="1:10" x14ac:dyDescent="0.25">
      <c r="A4882" s="2">
        <v>297.66779141944102</v>
      </c>
      <c r="B4882" s="3">
        <v>-0.33652719696336503</v>
      </c>
      <c r="C4882" s="3">
        <v>1.6062767561230099E-4</v>
      </c>
      <c r="D4882" s="4">
        <v>6.4838081684035203E-4</v>
      </c>
      <c r="E4882" s="3" t="s">
        <v>5187</v>
      </c>
      <c r="F4882" s="3" t="s">
        <v>5188</v>
      </c>
      <c r="G4882" s="3">
        <v>235344</v>
      </c>
      <c r="H4882" s="7" t="str">
        <f>HYPERLINK("http://www.ensembl.org/Mus_musculus/Gene/Summary?db=core;g=ENSMUSG00000037112","ENSMUSG00000037112")</f>
        <v>ENSMUSG00000037112</v>
      </c>
      <c r="I4882" s="7" t="str">
        <f>HYPERLINK("http://www.informatics.jax.org/marker/MGI:2445031","MGI:2445031")</f>
        <v>MGI:2445031</v>
      </c>
      <c r="J4882" s="4" t="s">
        <v>12</v>
      </c>
    </row>
    <row r="4883" spans="1:10" x14ac:dyDescent="0.25">
      <c r="A4883" s="2">
        <v>1633.0945272306301</v>
      </c>
      <c r="B4883" s="3">
        <v>-0.33681312759378002</v>
      </c>
      <c r="C4883" s="5">
        <v>9.799116274874419E-13</v>
      </c>
      <c r="D4883" s="6">
        <v>9.9216052283103508E-12</v>
      </c>
      <c r="E4883" s="3" t="s">
        <v>3336</v>
      </c>
      <c r="F4883" s="3" t="s">
        <v>3337</v>
      </c>
      <c r="G4883" s="3">
        <v>320487</v>
      </c>
      <c r="H4883" s="7" t="str">
        <f>HYPERLINK("http://www.ensembl.org/Mus_musculus/Gene/Summary?db=core;g=ENSMUSG00000035181","ENSMUSG00000035181")</f>
        <v>ENSMUSG00000035181</v>
      </c>
      <c r="I4883" s="7" t="str">
        <f>HYPERLINK("http://www.informatics.jax.org/marker/MGI:2444133","MGI:2444133")</f>
        <v>MGI:2444133</v>
      </c>
      <c r="J4883" s="4" t="s">
        <v>12</v>
      </c>
    </row>
    <row r="4884" spans="1:10" x14ac:dyDescent="0.25">
      <c r="A4884" s="2">
        <v>144.54519252998699</v>
      </c>
      <c r="B4884" s="3">
        <v>-0.33746981128259701</v>
      </c>
      <c r="C4884" s="3">
        <v>4.8420182521967097E-3</v>
      </c>
      <c r="D4884" s="4">
        <v>1.4595729845564899E-2</v>
      </c>
      <c r="E4884" s="3" t="s">
        <v>11787</v>
      </c>
      <c r="F4884" s="3" t="s">
        <v>11788</v>
      </c>
      <c r="G4884" s="3">
        <v>236904</v>
      </c>
      <c r="H4884" s="7" t="str">
        <f>HYPERLINK("http://www.ensembl.org/Mus_musculus/Gene/Summary?db=core;g=ENSMUSG00000043929","ENSMUSG00000043929")</f>
        <v>ENSMUSG00000043929</v>
      </c>
      <c r="I4884" s="7" t="str">
        <f>HYPERLINK("http://www.informatics.jax.org/marker/MGI:1923400","MGI:1923400")</f>
        <v>MGI:1923400</v>
      </c>
      <c r="J4884" s="4" t="s">
        <v>12</v>
      </c>
    </row>
    <row r="4885" spans="1:10" x14ac:dyDescent="0.25">
      <c r="A4885" s="2">
        <v>438.07111635310002</v>
      </c>
      <c r="B4885" s="3">
        <v>-0.33750248882148698</v>
      </c>
      <c r="C4885" s="3">
        <v>1.4369602279546299E-3</v>
      </c>
      <c r="D4885" s="4">
        <v>4.9079085746763802E-3</v>
      </c>
      <c r="E4885" s="3" t="s">
        <v>12356</v>
      </c>
      <c r="F4885" s="3" t="s">
        <v>12357</v>
      </c>
      <c r="G4885" s="3">
        <v>13714</v>
      </c>
      <c r="H4885" s="7" t="str">
        <f>HYPERLINK("http://www.ensembl.org/Mus_musculus/Gene/Summary?db=core;g=ENSMUSG00000026436","ENSMUSG00000026436")</f>
        <v>ENSMUSG00000026436</v>
      </c>
      <c r="I4885" s="7" t="str">
        <f>HYPERLINK("http://www.informatics.jax.org/marker/MGI:102853","MGI:102853")</f>
        <v>MGI:102853</v>
      </c>
      <c r="J4885" s="4" t="s">
        <v>12</v>
      </c>
    </row>
    <row r="4886" spans="1:10" x14ac:dyDescent="0.25">
      <c r="A4886" s="2">
        <v>431.48615906062298</v>
      </c>
      <c r="B4886" s="3">
        <v>-0.33783811588122098</v>
      </c>
      <c r="C4886" s="5">
        <v>1.4562697674606699E-6</v>
      </c>
      <c r="D4886" s="6">
        <v>7.9605628410230103E-6</v>
      </c>
      <c r="E4886" s="3" t="s">
        <v>6409</v>
      </c>
      <c r="F4886" s="3" t="s">
        <v>6410</v>
      </c>
      <c r="G4886" s="3">
        <v>102093</v>
      </c>
      <c r="H4886" s="7" t="str">
        <f>HYPERLINK("http://www.ensembl.org/Mus_musculus/Gene/Summary?db=core;g=ENSMUSG00000036879","ENSMUSG00000036879")</f>
        <v>ENSMUSG00000036879</v>
      </c>
      <c r="I4886" s="7" t="str">
        <f>HYPERLINK("http://www.informatics.jax.org/marker/MGI:97578","MGI:97578")</f>
        <v>MGI:97578</v>
      </c>
      <c r="J4886" s="4" t="s">
        <v>12</v>
      </c>
    </row>
    <row r="4887" spans="1:10" x14ac:dyDescent="0.25">
      <c r="A4887" s="2">
        <v>405.194741386808</v>
      </c>
      <c r="B4887" s="3">
        <v>-0.33784103154163397</v>
      </c>
      <c r="C4887" s="3">
        <v>2.11617259549474E-4</v>
      </c>
      <c r="D4887" s="4">
        <v>8.3732621695379098E-4</v>
      </c>
      <c r="E4887" s="3" t="s">
        <v>7448</v>
      </c>
      <c r="F4887" s="3" t="s">
        <v>7449</v>
      </c>
      <c r="G4887" s="3">
        <v>70802</v>
      </c>
      <c r="H4887" s="7" t="str">
        <f>HYPERLINK("http://www.ensembl.org/Mus_musculus/Gene/Summary?db=core;g=ENSMUSG00000044950","ENSMUSG00000044950")</f>
        <v>ENSMUSG00000044950</v>
      </c>
      <c r="I4887" s="7" t="str">
        <f>HYPERLINK("http://www.informatics.jax.org/marker/MGI:1918052","MGI:1918052")</f>
        <v>MGI:1918052</v>
      </c>
      <c r="J4887" s="4" t="s">
        <v>12</v>
      </c>
    </row>
    <row r="4888" spans="1:10" x14ac:dyDescent="0.25">
      <c r="A4888" s="2">
        <v>135.78164122936101</v>
      </c>
      <c r="B4888" s="3">
        <v>-0.33857207043666498</v>
      </c>
      <c r="C4888" s="3">
        <v>4.716161153182E-3</v>
      </c>
      <c r="D4888" s="4">
        <v>1.4256433407985099E-2</v>
      </c>
      <c r="E4888" s="3" t="s">
        <v>9525</v>
      </c>
      <c r="F4888" s="3" t="s">
        <v>9526</v>
      </c>
      <c r="G4888" s="3">
        <v>380718</v>
      </c>
      <c r="H4888" s="7" t="str">
        <f>HYPERLINK("http://www.ensembl.org/Mus_musculus/Gene/Summary?db=core;g=ENSMUSG00000034121","ENSMUSG00000034121")</f>
        <v>ENSMUSG00000034121</v>
      </c>
      <c r="I4888" s="7" t="str">
        <f>HYPERLINK("http://www.informatics.jax.org/marker/MGI:3584243","MGI:3584243")</f>
        <v>MGI:3584243</v>
      </c>
      <c r="J4888" s="4" t="s">
        <v>12</v>
      </c>
    </row>
    <row r="4889" spans="1:10" x14ac:dyDescent="0.25">
      <c r="A4889" s="2">
        <v>1837.4958573834499</v>
      </c>
      <c r="B4889" s="3">
        <v>-0.33869533703691701</v>
      </c>
      <c r="C4889" s="5">
        <v>2.4181091287581601E-5</v>
      </c>
      <c r="D4889" s="4">
        <v>1.11711125149854E-4</v>
      </c>
      <c r="E4889" s="3" t="s">
        <v>9575</v>
      </c>
      <c r="F4889" s="3" t="s">
        <v>9576</v>
      </c>
      <c r="G4889" s="3">
        <v>26416</v>
      </c>
      <c r="H4889" s="7" t="str">
        <f>HYPERLINK("http://www.ensembl.org/Mus_musculus/Gene/Summary?db=core;g=ENSMUSG00000053436","ENSMUSG00000053436")</f>
        <v>ENSMUSG00000053436</v>
      </c>
      <c r="I4889" s="7" t="str">
        <f>HYPERLINK("http://www.informatics.jax.org/marker/MGI:1346865","MGI:1346865")</f>
        <v>MGI:1346865</v>
      </c>
      <c r="J4889" s="4" t="s">
        <v>12</v>
      </c>
    </row>
    <row r="4890" spans="1:10" x14ac:dyDescent="0.25">
      <c r="A4890" s="2">
        <v>466.07267386089501</v>
      </c>
      <c r="B4890" s="3">
        <v>-0.33870476350061901</v>
      </c>
      <c r="C4890" s="5">
        <v>7.1711878535313602E-7</v>
      </c>
      <c r="D4890" s="6">
        <v>4.0425270222891701E-6</v>
      </c>
      <c r="E4890" s="3" t="s">
        <v>3058</v>
      </c>
      <c r="F4890" s="3" t="s">
        <v>3059</v>
      </c>
      <c r="G4890" s="3">
        <v>329506</v>
      </c>
      <c r="H4890" s="7" t="str">
        <f>HYPERLINK("http://www.ensembl.org/Mus_musculus/Gene/Summary?db=core;g=ENSMUSG00000033411","ENSMUSG00000033411")</f>
        <v>ENSMUSG00000033411</v>
      </c>
      <c r="I4890" s="7" t="str">
        <f>HYPERLINK("http://www.informatics.jax.org/marker/MGI:1196405","MGI:1196405")</f>
        <v>MGI:1196405</v>
      </c>
      <c r="J4890" s="4" t="s">
        <v>12</v>
      </c>
    </row>
    <row r="4891" spans="1:10" x14ac:dyDescent="0.25">
      <c r="A4891" s="2">
        <v>477.70063687183699</v>
      </c>
      <c r="B4891" s="3">
        <v>-0.33901220198729098</v>
      </c>
      <c r="C4891" s="3">
        <v>1.1115473717390101E-3</v>
      </c>
      <c r="D4891" s="4">
        <v>3.8838095954646301E-3</v>
      </c>
      <c r="E4891" s="3" t="s">
        <v>6095</v>
      </c>
      <c r="F4891" s="3" t="s">
        <v>6096</v>
      </c>
      <c r="G4891" s="3">
        <v>100532</v>
      </c>
      <c r="H4891" s="7" t="str">
        <f>HYPERLINK("http://www.ensembl.org/Mus_musculus/Gene/Summary?db=core;g=ENSMUSG00000047881","ENSMUSG00000047881")</f>
        <v>ENSMUSG00000047881</v>
      </c>
      <c r="I4891" s="7" t="str">
        <f>HYPERLINK("http://www.informatics.jax.org/marker/MGI:2140767","MGI:2140767")</f>
        <v>MGI:2140767</v>
      </c>
      <c r="J4891" s="4" t="s">
        <v>12</v>
      </c>
    </row>
    <row r="4892" spans="1:10" x14ac:dyDescent="0.25">
      <c r="A4892" s="2">
        <v>1.6082976862207601</v>
      </c>
      <c r="B4892" s="3">
        <v>-0.33901716543822602</v>
      </c>
      <c r="C4892" s="3">
        <v>0.45741656611449599</v>
      </c>
      <c r="D4892" s="4">
        <v>0.63544606429123396</v>
      </c>
      <c r="E4892" s="3" t="s">
        <v>13915</v>
      </c>
      <c r="F4892" s="3" t="s">
        <v>13916</v>
      </c>
      <c r="G4892" s="3" t="s">
        <v>83</v>
      </c>
      <c r="H4892" s="7" t="str">
        <f>HYPERLINK("http://www.ensembl.org/Mus_musculus/Gene/Summary?db=core;g=ENSMUSG00000113919","ENSMUSG00000113919")</f>
        <v>ENSMUSG00000113919</v>
      </c>
      <c r="I4892" s="7" t="str">
        <f>HYPERLINK("http://www.informatics.jax.org/marker/MGI:5593625","MGI:5593625")</f>
        <v>MGI:5593625</v>
      </c>
      <c r="J4892" s="4" t="s">
        <v>939</v>
      </c>
    </row>
    <row r="4893" spans="1:10" x14ac:dyDescent="0.25">
      <c r="A4893" s="2">
        <v>2920.2368770646499</v>
      </c>
      <c r="B4893" s="3">
        <v>-0.33914376691898201</v>
      </c>
      <c r="C4893" s="5">
        <v>4.5561904877299602E-8</v>
      </c>
      <c r="D4893" s="6">
        <v>2.9432037244210501E-7</v>
      </c>
      <c r="E4893" s="3" t="s">
        <v>6491</v>
      </c>
      <c r="F4893" s="3" t="s">
        <v>6492</v>
      </c>
      <c r="G4893" s="3">
        <v>216869</v>
      </c>
      <c r="H4893" s="7" t="str">
        <f>HYPERLINK("http://www.ensembl.org/Mus_musculus/Gene/Summary?db=core;g=ENSMUSG00000060216","ENSMUSG00000060216")</f>
        <v>ENSMUSG00000060216</v>
      </c>
      <c r="I4893" s="7" t="str">
        <f>HYPERLINK("http://www.informatics.jax.org/marker/MGI:99474","MGI:99474")</f>
        <v>MGI:99474</v>
      </c>
      <c r="J4893" s="4" t="s">
        <v>12</v>
      </c>
    </row>
    <row r="4894" spans="1:10" x14ac:dyDescent="0.25">
      <c r="A4894" s="2">
        <v>549.57497690080299</v>
      </c>
      <c r="B4894" s="3">
        <v>-0.33915221438819698</v>
      </c>
      <c r="C4894" s="3">
        <v>1.9420790379485201E-4</v>
      </c>
      <c r="D4894" s="4">
        <v>7.7263458778894904E-4</v>
      </c>
      <c r="E4894" s="3" t="s">
        <v>9615</v>
      </c>
      <c r="F4894" s="3" t="s">
        <v>9616</v>
      </c>
      <c r="G4894" s="3">
        <v>268281</v>
      </c>
      <c r="H4894" s="7" t="str">
        <f>HYPERLINK("http://www.ensembl.org/Mus_musculus/Gene/Summary?db=core;g=ENSMUSG00000090112","ENSMUSG00000090112")</f>
        <v>ENSMUSG00000090112</v>
      </c>
      <c r="I4894" s="7" t="str">
        <f>HYPERLINK("http://www.informatics.jax.org/marker/MGI:1917581","MGI:1917581")</f>
        <v>MGI:1917581</v>
      </c>
      <c r="J4894" s="4" t="s">
        <v>12</v>
      </c>
    </row>
    <row r="4895" spans="1:10" x14ac:dyDescent="0.25">
      <c r="A4895" s="2">
        <v>4191.88136985244</v>
      </c>
      <c r="B4895" s="3">
        <v>-0.33957030956735601</v>
      </c>
      <c r="C4895" s="5">
        <v>3.5535713903865998E-7</v>
      </c>
      <c r="D4895" s="6">
        <v>2.0932074528053001E-6</v>
      </c>
      <c r="E4895" s="3" t="s">
        <v>1865</v>
      </c>
      <c r="F4895" s="3" t="s">
        <v>1866</v>
      </c>
      <c r="G4895" s="3">
        <v>17215</v>
      </c>
      <c r="H4895" s="7" t="str">
        <f>HYPERLINK("http://www.ensembl.org/Mus_musculus/Gene/Summary?db=core;g=ENSMUSG00000041859","ENSMUSG00000041859")</f>
        <v>ENSMUSG00000041859</v>
      </c>
      <c r="I4895" s="7" t="str">
        <f>HYPERLINK("http://www.informatics.jax.org/marker/MGI:101845","MGI:101845")</f>
        <v>MGI:101845</v>
      </c>
      <c r="J4895" s="4" t="s">
        <v>12</v>
      </c>
    </row>
    <row r="4896" spans="1:10" x14ac:dyDescent="0.25">
      <c r="A4896" s="2">
        <v>223.93316622403</v>
      </c>
      <c r="B4896" s="3">
        <v>-0.33980408727810502</v>
      </c>
      <c r="C4896" s="3">
        <v>1.3311801529543299E-3</v>
      </c>
      <c r="D4896" s="4">
        <v>4.5800940697739599E-3</v>
      </c>
      <c r="E4896" s="3" t="s">
        <v>12285</v>
      </c>
      <c r="F4896" s="3" t="s">
        <v>12286</v>
      </c>
      <c r="G4896" s="3">
        <v>214917</v>
      </c>
      <c r="H4896" s="7" t="str">
        <f>HYPERLINK("http://www.ensembl.org/Mus_musculus/Gene/Summary?db=core;g=ENSMUSG00000057411","ENSMUSG00000057411")</f>
        <v>ENSMUSG00000057411</v>
      </c>
      <c r="I4896" s="7" t="str">
        <f>HYPERLINK("http://www.informatics.jax.org/marker/MGI:2384888","MGI:2384888")</f>
        <v>MGI:2384888</v>
      </c>
      <c r="J4896" s="4" t="s">
        <v>12</v>
      </c>
    </row>
    <row r="4897" spans="1:10" x14ac:dyDescent="0.25">
      <c r="A4897" s="2">
        <v>3570.0287363719899</v>
      </c>
      <c r="B4897" s="3">
        <v>-0.339812528913013</v>
      </c>
      <c r="C4897" s="5">
        <v>1.62181934455156E-10</v>
      </c>
      <c r="D4897" s="6">
        <v>1.36461946234775E-9</v>
      </c>
      <c r="E4897" s="3" t="s">
        <v>4165</v>
      </c>
      <c r="F4897" s="3" t="s">
        <v>4166</v>
      </c>
      <c r="G4897" s="3">
        <v>20588</v>
      </c>
      <c r="H4897" s="7" t="str">
        <f>HYPERLINK("http://www.ensembl.org/Mus_musculus/Gene/Summary?db=core;g=ENSMUSG00000032481","ENSMUSG00000032481")</f>
        <v>ENSMUSG00000032481</v>
      </c>
      <c r="I4897" s="7" t="str">
        <f>HYPERLINK("http://www.informatics.jax.org/marker/MGI:1203524","MGI:1203524")</f>
        <v>MGI:1203524</v>
      </c>
      <c r="J4897" s="4" t="s">
        <v>12</v>
      </c>
    </row>
    <row r="4898" spans="1:10" x14ac:dyDescent="0.25">
      <c r="A4898" s="2">
        <v>224.89102886617101</v>
      </c>
      <c r="B4898" s="3">
        <v>-0.33985358999166099</v>
      </c>
      <c r="C4898" s="3">
        <v>2.7219516402003901E-4</v>
      </c>
      <c r="D4898" s="4">
        <v>1.0536866746527699E-3</v>
      </c>
      <c r="E4898" s="3" t="s">
        <v>9469</v>
      </c>
      <c r="F4898" s="3" t="s">
        <v>9470</v>
      </c>
      <c r="G4898" s="3">
        <v>67105</v>
      </c>
      <c r="H4898" s="7" t="str">
        <f>HYPERLINK("http://www.ensembl.org/Mus_musculus/Gene/Summary?db=core;g=ENSMUSG00000024645","ENSMUSG00000024645")</f>
        <v>ENSMUSG00000024645</v>
      </c>
      <c r="I4898" s="7" t="str">
        <f>HYPERLINK("http://www.informatics.jax.org/marker/MGI:1920595","MGI:1920595")</f>
        <v>MGI:1920595</v>
      </c>
      <c r="J4898" s="4" t="s">
        <v>12</v>
      </c>
    </row>
    <row r="4899" spans="1:10" x14ac:dyDescent="0.25">
      <c r="A4899" s="2">
        <v>2502.7902623129098</v>
      </c>
      <c r="B4899" s="3">
        <v>-0.33986500210987902</v>
      </c>
      <c r="C4899" s="3">
        <v>2.6330039346462498E-4</v>
      </c>
      <c r="D4899" s="4">
        <v>1.02173721309569E-3</v>
      </c>
      <c r="E4899" s="3" t="s">
        <v>4883</v>
      </c>
      <c r="F4899" s="3" t="s">
        <v>4884</v>
      </c>
      <c r="G4899" s="3">
        <v>240087</v>
      </c>
      <c r="H4899" s="7" t="str">
        <f>HYPERLINK("http://www.ensembl.org/Mus_musculus/Gene/Summary?db=core;g=ENSMUSG00000061607","ENSMUSG00000061607")</f>
        <v>ENSMUSG00000061607</v>
      </c>
      <c r="I4899" s="7" t="str">
        <f>HYPERLINK("http://www.informatics.jax.org/marker/MGI:3525201","MGI:3525201")</f>
        <v>MGI:3525201</v>
      </c>
      <c r="J4899" s="4" t="s">
        <v>12</v>
      </c>
    </row>
    <row r="4900" spans="1:10" x14ac:dyDescent="0.25">
      <c r="A4900" s="2">
        <v>564.17400489317095</v>
      </c>
      <c r="B4900" s="3">
        <v>-0.33987683800179103</v>
      </c>
      <c r="C4900" s="5">
        <v>4.3693122397859101E-6</v>
      </c>
      <c r="D4900" s="6">
        <v>2.24945524209317E-5</v>
      </c>
      <c r="E4900" s="3" t="s">
        <v>9665</v>
      </c>
      <c r="F4900" s="3" t="s">
        <v>9666</v>
      </c>
      <c r="G4900" s="3">
        <v>107047</v>
      </c>
      <c r="H4900" s="7" t="str">
        <f>HYPERLINK("http://www.ensembl.org/Mus_musculus/Gene/Summary?db=core;g=ENSMUSG00000024537","ENSMUSG00000024537")</f>
        <v>ENSMUSG00000024537</v>
      </c>
      <c r="I4900" s="7" t="str">
        <f>HYPERLINK("http://www.informatics.jax.org/marker/MGI:1922901","MGI:1922901")</f>
        <v>MGI:1922901</v>
      </c>
      <c r="J4900" s="4" t="s">
        <v>12</v>
      </c>
    </row>
    <row r="4901" spans="1:10" x14ac:dyDescent="0.25">
      <c r="A4901" s="2">
        <v>76.725552545690505</v>
      </c>
      <c r="B4901" s="3">
        <v>-0.34011470591110499</v>
      </c>
      <c r="C4901" s="3">
        <v>1.9985833038402699E-2</v>
      </c>
      <c r="D4901" s="4">
        <v>5.1570410183334199E-2</v>
      </c>
      <c r="E4901" s="3" t="s">
        <v>13306</v>
      </c>
      <c r="F4901" s="3" t="s">
        <v>13307</v>
      </c>
      <c r="G4901" s="3">
        <v>73728</v>
      </c>
      <c r="H4901" s="7" t="str">
        <f>HYPERLINK("http://www.ensembl.org/Mus_musculus/Gene/Summary?db=core;g=ENSMUSG00000037126","ENSMUSG00000037126")</f>
        <v>ENSMUSG00000037126</v>
      </c>
      <c r="I4901" s="7" t="str">
        <f>HYPERLINK("http://www.informatics.jax.org/marker/MGI:1920978","MGI:1920978")</f>
        <v>MGI:1920978</v>
      </c>
      <c r="J4901" s="4" t="s">
        <v>12</v>
      </c>
    </row>
    <row r="4902" spans="1:10" x14ac:dyDescent="0.25">
      <c r="A4902" s="2">
        <v>1452.7841104143299</v>
      </c>
      <c r="B4902" s="3">
        <v>-0.340218579013915</v>
      </c>
      <c r="C4902" s="5">
        <v>2.3423307494965801E-7</v>
      </c>
      <c r="D4902" s="6">
        <v>1.4098077248868999E-6</v>
      </c>
      <c r="E4902" s="3" t="s">
        <v>3490</v>
      </c>
      <c r="F4902" s="3" t="s">
        <v>3491</v>
      </c>
      <c r="G4902" s="3">
        <v>70021</v>
      </c>
      <c r="H4902" s="7" t="str">
        <f>HYPERLINK("http://www.ensembl.org/Mus_musculus/Gene/Summary?db=core;g=ENSMUSG00000071547","ENSMUSG00000071547")</f>
        <v>ENSMUSG00000071547</v>
      </c>
      <c r="I4902" s="7" t="str">
        <f>HYPERLINK("http://www.informatics.jax.org/marker/MGI:1917271","MGI:1917271")</f>
        <v>MGI:1917271</v>
      </c>
      <c r="J4902" s="4" t="s">
        <v>12</v>
      </c>
    </row>
    <row r="4903" spans="1:10" x14ac:dyDescent="0.25">
      <c r="A4903" s="2">
        <v>1479.45241842828</v>
      </c>
      <c r="B4903" s="3">
        <v>-0.34031688487148598</v>
      </c>
      <c r="C4903" s="3">
        <v>4.2953294327742501E-3</v>
      </c>
      <c r="D4903" s="4">
        <v>1.3130221219777E-2</v>
      </c>
      <c r="E4903" s="3" t="s">
        <v>13553</v>
      </c>
      <c r="F4903" s="3" t="s">
        <v>13554</v>
      </c>
      <c r="G4903" s="3">
        <v>75870</v>
      </c>
      <c r="H4903" s="7" t="str">
        <f>HYPERLINK("http://www.ensembl.org/Mus_musculus/Gene/Summary?db=core;g=ENSMUSG00000020712","ENSMUSG00000020712")</f>
        <v>ENSMUSG00000020712</v>
      </c>
      <c r="I4903" s="7" t="str">
        <f>HYPERLINK("http://www.informatics.jax.org/marker/MGI:1923120","MGI:1923120")</f>
        <v>MGI:1923120</v>
      </c>
      <c r="J4903" s="4" t="s">
        <v>12</v>
      </c>
    </row>
    <row r="4904" spans="1:10" x14ac:dyDescent="0.25">
      <c r="A4904" s="2">
        <v>200.26904294313701</v>
      </c>
      <c r="B4904" s="3">
        <v>-0.34035039190627298</v>
      </c>
      <c r="C4904" s="3">
        <v>2.8766351142643001E-3</v>
      </c>
      <c r="D4904" s="4">
        <v>9.16870845705961E-3</v>
      </c>
      <c r="E4904" s="3" t="s">
        <v>11389</v>
      </c>
      <c r="F4904" s="3" t="s">
        <v>11390</v>
      </c>
      <c r="G4904" s="3">
        <v>17766</v>
      </c>
      <c r="H4904" s="7" t="str">
        <f>HYPERLINK("http://www.ensembl.org/Mus_musculus/Gene/Summary?db=core;g=ENSMUSG00000036639","ENSMUSG00000036639")</f>
        <v>ENSMUSG00000036639</v>
      </c>
      <c r="I4904" s="7" t="str">
        <f>HYPERLINK("http://www.informatics.jax.org/marker/MGI:109280","MGI:109280")</f>
        <v>MGI:109280</v>
      </c>
      <c r="J4904" s="4" t="s">
        <v>12</v>
      </c>
    </row>
    <row r="4905" spans="1:10" x14ac:dyDescent="0.25">
      <c r="A4905" s="2">
        <v>127.80830702655599</v>
      </c>
      <c r="B4905" s="3">
        <v>-0.34104952447904402</v>
      </c>
      <c r="C4905" s="3">
        <v>7.59166980146944E-3</v>
      </c>
      <c r="D4905" s="4">
        <v>2.19198640893188E-2</v>
      </c>
      <c r="E4905" s="3" t="s">
        <v>8781</v>
      </c>
      <c r="F4905" s="3" t="s">
        <v>8782</v>
      </c>
      <c r="G4905" s="3">
        <v>22643</v>
      </c>
      <c r="H4905" s="7" t="str">
        <f>HYPERLINK("http://www.ensembl.org/Mus_musculus/Gene/Summary?db=core;g=ENSMUSG00000055240","ENSMUSG00000055240")</f>
        <v>ENSMUSG00000055240</v>
      </c>
      <c r="I4905" s="7" t="str">
        <f>HYPERLINK("http://www.informatics.jax.org/marker/MGI:107547","MGI:107547")</f>
        <v>MGI:107547</v>
      </c>
      <c r="J4905" s="4" t="s">
        <v>12</v>
      </c>
    </row>
    <row r="4906" spans="1:10" x14ac:dyDescent="0.25">
      <c r="A4906" s="2">
        <v>2730.7158915272798</v>
      </c>
      <c r="B4906" s="3">
        <v>-0.34126799165972699</v>
      </c>
      <c r="C4906" s="5">
        <v>1.4662645415612799E-13</v>
      </c>
      <c r="D4906" s="6">
        <v>1.57562920223788E-12</v>
      </c>
      <c r="E4906" s="3" t="s">
        <v>8749</v>
      </c>
      <c r="F4906" s="3" t="s">
        <v>8750</v>
      </c>
      <c r="G4906" s="3">
        <v>71472</v>
      </c>
      <c r="H4906" s="7" t="str">
        <f>HYPERLINK("http://www.ensembl.org/Mus_musculus/Gene/Summary?db=core;g=ENSMUSG00000006676","ENSMUSG00000006676")</f>
        <v>ENSMUSG00000006676</v>
      </c>
      <c r="I4906" s="7" t="str">
        <f>HYPERLINK("http://www.informatics.jax.org/marker/MGI:1918722","MGI:1918722")</f>
        <v>MGI:1918722</v>
      </c>
      <c r="J4906" s="4" t="s">
        <v>12</v>
      </c>
    </row>
    <row r="4907" spans="1:10" x14ac:dyDescent="0.25">
      <c r="A4907" s="2">
        <v>1252.9809718809099</v>
      </c>
      <c r="B4907" s="3">
        <v>-0.34139113150281503</v>
      </c>
      <c r="C4907" s="5">
        <v>1.43516651790822E-5</v>
      </c>
      <c r="D4907" s="6">
        <v>6.8493535242884299E-5</v>
      </c>
      <c r="E4907" s="3" t="s">
        <v>4641</v>
      </c>
      <c r="F4907" s="3" t="s">
        <v>4642</v>
      </c>
      <c r="G4907" s="3">
        <v>67241</v>
      </c>
      <c r="H4907" s="7" t="str">
        <f>HYPERLINK("http://www.ensembl.org/Mus_musculus/Gene/Summary?db=core;g=ENSMUSG00000020608","ENSMUSG00000020608")</f>
        <v>ENSMUSG00000020608</v>
      </c>
      <c r="I4907" s="7" t="str">
        <f>HYPERLINK("http://www.informatics.jax.org/marker/MGI:1914491","MGI:1914491")</f>
        <v>MGI:1914491</v>
      </c>
      <c r="J4907" s="4" t="s">
        <v>12</v>
      </c>
    </row>
    <row r="4908" spans="1:10" x14ac:dyDescent="0.25">
      <c r="A4908" s="2">
        <v>59.821640096755999</v>
      </c>
      <c r="B4908" s="3">
        <v>-0.34199371681421697</v>
      </c>
      <c r="C4908" s="3">
        <v>3.3837116385240999E-2</v>
      </c>
      <c r="D4908" s="4">
        <v>8.1669043321094606E-2</v>
      </c>
      <c r="E4908" s="3" t="s">
        <v>13517</v>
      </c>
      <c r="F4908" s="3" t="s">
        <v>13518</v>
      </c>
      <c r="G4908" s="3">
        <v>67774</v>
      </c>
      <c r="H4908" s="7" t="str">
        <f>HYPERLINK("http://www.ensembl.org/Mus_musculus/Gene/Summary?db=core;g=ENSMUSG00000042992","ENSMUSG00000042992")</f>
        <v>ENSMUSG00000042992</v>
      </c>
      <c r="I4908" s="7" t="str">
        <f>HYPERLINK("http://www.informatics.jax.org/marker/MGI:1915024","MGI:1915024")</f>
        <v>MGI:1915024</v>
      </c>
      <c r="J4908" s="4" t="s">
        <v>12</v>
      </c>
    </row>
    <row r="4909" spans="1:10" x14ac:dyDescent="0.25">
      <c r="A4909" s="2">
        <v>577.70565386987903</v>
      </c>
      <c r="B4909" s="3">
        <v>-0.34205447451121201</v>
      </c>
      <c r="C4909" s="5">
        <v>2.2216799558064599E-8</v>
      </c>
      <c r="D4909" s="6">
        <v>1.4902509088911599E-7</v>
      </c>
      <c r="E4909" s="3" t="s">
        <v>2848</v>
      </c>
      <c r="F4909" s="3" t="s">
        <v>2849</v>
      </c>
      <c r="G4909" s="3">
        <v>74237</v>
      </c>
      <c r="H4909" s="7" t="str">
        <f>HYPERLINK("http://www.ensembl.org/Mus_musculus/Gene/Summary?db=core;g=ENSMUSG00000025474","ENSMUSG00000025474")</f>
        <v>ENSMUSG00000025474</v>
      </c>
      <c r="I4909" s="7" t="str">
        <f>HYPERLINK("http://www.informatics.jax.org/marker/MGI:1921487","MGI:1921487")</f>
        <v>MGI:1921487</v>
      </c>
      <c r="J4909" s="4" t="s">
        <v>12</v>
      </c>
    </row>
    <row r="4910" spans="1:10" x14ac:dyDescent="0.25">
      <c r="A4910" s="2">
        <v>2049.5563864617502</v>
      </c>
      <c r="B4910" s="3">
        <v>-0.34233655658715501</v>
      </c>
      <c r="C4910" s="5">
        <v>1.0801241456257E-13</v>
      </c>
      <c r="D4910" s="6">
        <v>1.17104476823489E-12</v>
      </c>
      <c r="E4910" s="3" t="s">
        <v>4119</v>
      </c>
      <c r="F4910" s="3" t="s">
        <v>4120</v>
      </c>
      <c r="G4910" s="3">
        <v>72055</v>
      </c>
      <c r="H4910" s="7" t="str">
        <f>HYPERLINK("http://www.ensembl.org/Mus_musculus/Gene/Summary?db=core;g=ENSMUSG00000061306","ENSMUSG00000061306")</f>
        <v>ENSMUSG00000061306</v>
      </c>
      <c r="I4910" s="7" t="str">
        <f>HYPERLINK("http://www.informatics.jax.org/marker/MGI:1919305","MGI:1919305")</f>
        <v>MGI:1919305</v>
      </c>
      <c r="J4910" s="4" t="s">
        <v>12</v>
      </c>
    </row>
    <row r="4911" spans="1:10" x14ac:dyDescent="0.25">
      <c r="A4911" s="2">
        <v>71.428015299665901</v>
      </c>
      <c r="B4911" s="3">
        <v>-0.34233837940571499</v>
      </c>
      <c r="C4911" s="3">
        <v>9.9243539482986292E-3</v>
      </c>
      <c r="D4911" s="4">
        <v>2.7826361647345001E-2</v>
      </c>
      <c r="E4911" s="3" t="s">
        <v>14009</v>
      </c>
      <c r="F4911" s="3" t="s">
        <v>14010</v>
      </c>
      <c r="G4911" s="3">
        <v>54218</v>
      </c>
      <c r="H4911" s="7" t="str">
        <f>HYPERLINK("http://www.ensembl.org/Mus_musculus/Gene/Summary?db=core;g=ENSMUSG00000067370","ENSMUSG00000067370")</f>
        <v>ENSMUSG00000067370</v>
      </c>
      <c r="I4911" s="7" t="str">
        <f>HYPERLINK("http://www.informatics.jax.org/marker/MGI:1859517","MGI:1859517")</f>
        <v>MGI:1859517</v>
      </c>
      <c r="J4911" s="4" t="s">
        <v>12</v>
      </c>
    </row>
    <row r="4912" spans="1:10" x14ac:dyDescent="0.25">
      <c r="A4912" s="2">
        <v>104.007745023691</v>
      </c>
      <c r="B4912" s="3">
        <v>-0.3424198876749</v>
      </c>
      <c r="C4912" s="3">
        <v>5.2348701447391E-3</v>
      </c>
      <c r="D4912" s="4">
        <v>1.56813787619773E-2</v>
      </c>
      <c r="E4912" s="3" t="s">
        <v>13055</v>
      </c>
      <c r="F4912" s="3" t="s">
        <v>13056</v>
      </c>
      <c r="G4912" s="3">
        <v>75736</v>
      </c>
      <c r="H4912" s="7" t="str">
        <f>HYPERLINK("http://www.ensembl.org/Mus_musculus/Gene/Summary?db=core;g=ENSMUSG00000003190","ENSMUSG00000003190")</f>
        <v>ENSMUSG00000003190</v>
      </c>
      <c r="I4912" s="7" t="str">
        <f>HYPERLINK("http://www.informatics.jax.org/marker/MGI:1922986","MGI:1922986")</f>
        <v>MGI:1922986</v>
      </c>
      <c r="J4912" s="4" t="s">
        <v>12</v>
      </c>
    </row>
    <row r="4913" spans="1:10" x14ac:dyDescent="0.25">
      <c r="A4913" s="2">
        <v>419.45482996274001</v>
      </c>
      <c r="B4913" s="3">
        <v>-0.34243801680178299</v>
      </c>
      <c r="C4913" s="5">
        <v>2.7430332401649099E-7</v>
      </c>
      <c r="D4913" s="6">
        <v>1.63746415990847E-6</v>
      </c>
      <c r="E4913" s="3" t="s">
        <v>6103</v>
      </c>
      <c r="F4913" s="3" t="s">
        <v>6104</v>
      </c>
      <c r="G4913" s="3">
        <v>71609</v>
      </c>
      <c r="H4913" s="7" t="str">
        <f>HYPERLINK("http://www.ensembl.org/Mus_musculus/Gene/Summary?db=core;g=ENSMUSG00000031887","ENSMUSG00000031887")</f>
        <v>ENSMUSG00000031887</v>
      </c>
      <c r="I4913" s="7" t="str">
        <f>HYPERLINK("http://www.informatics.jax.org/marker/MGI:109200","MGI:109200")</f>
        <v>MGI:109200</v>
      </c>
      <c r="J4913" s="4" t="s">
        <v>12</v>
      </c>
    </row>
    <row r="4914" spans="1:10" x14ac:dyDescent="0.25">
      <c r="A4914" s="2">
        <v>168.972521993828</v>
      </c>
      <c r="B4914" s="3">
        <v>-0.342506677741785</v>
      </c>
      <c r="C4914" s="3">
        <v>1.24439551229652E-2</v>
      </c>
      <c r="D4914" s="4">
        <v>3.4042492061849498E-2</v>
      </c>
      <c r="E4914" s="3" t="s">
        <v>13567</v>
      </c>
      <c r="F4914" s="3" t="s">
        <v>13568</v>
      </c>
      <c r="G4914" s="3">
        <v>268515</v>
      </c>
      <c r="H4914" s="7" t="str">
        <f>HYPERLINK("http://www.ensembl.org/Mus_musculus/Gene/Summary?db=core;g=ENSMUSG00000039741","ENSMUSG00000039741")</f>
        <v>ENSMUSG00000039741</v>
      </c>
      <c r="I4914" s="7" t="str">
        <f>HYPERLINK("http://www.informatics.jax.org/marker/MGI:2679272","MGI:2679272")</f>
        <v>MGI:2679272</v>
      </c>
      <c r="J4914" s="4" t="s">
        <v>12</v>
      </c>
    </row>
    <row r="4915" spans="1:10" x14ac:dyDescent="0.25">
      <c r="A4915" s="2">
        <v>7506.69375921555</v>
      </c>
      <c r="B4915" s="3">
        <v>-0.34268198721042098</v>
      </c>
      <c r="C4915" s="3">
        <v>1.47067876613353E-2</v>
      </c>
      <c r="D4915" s="4">
        <v>3.9509316793608001E-2</v>
      </c>
      <c r="E4915" s="3" t="s">
        <v>9685</v>
      </c>
      <c r="F4915" s="3" t="s">
        <v>9686</v>
      </c>
      <c r="G4915" s="3">
        <v>17345</v>
      </c>
      <c r="H4915" s="7" t="str">
        <f>HYPERLINK("http://www.ensembl.org/Mus_musculus/Gene/Summary?db=core;g=ENSMUSG00000031004","ENSMUSG00000031004")</f>
        <v>ENSMUSG00000031004</v>
      </c>
      <c r="I4915" s="7" t="str">
        <f>HYPERLINK("http://www.informatics.jax.org/marker/MGI:106035","MGI:106035")</f>
        <v>MGI:106035</v>
      </c>
      <c r="J4915" s="4" t="s">
        <v>12</v>
      </c>
    </row>
    <row r="4916" spans="1:10" x14ac:dyDescent="0.25">
      <c r="A4916" s="2">
        <v>726.63335946173504</v>
      </c>
      <c r="B4916" s="3">
        <v>-0.34273188167195101</v>
      </c>
      <c r="C4916" s="5">
        <v>1.9429433541523599E-7</v>
      </c>
      <c r="D4916" s="6">
        <v>1.1815196072548101E-6</v>
      </c>
      <c r="E4916" s="3" t="s">
        <v>3116</v>
      </c>
      <c r="F4916" s="3" t="s">
        <v>3117</v>
      </c>
      <c r="G4916" s="3">
        <v>22594</v>
      </c>
      <c r="H4916" s="7" t="str">
        <f>HYPERLINK("http://www.ensembl.org/Mus_musculus/Gene/Summary?db=core;g=ENSMUSG00000051768","ENSMUSG00000051768")</f>
        <v>ENSMUSG00000051768</v>
      </c>
      <c r="I4916" s="7" t="str">
        <f>HYPERLINK("http://www.informatics.jax.org/marker/MGI:99137","MGI:99137")</f>
        <v>MGI:99137</v>
      </c>
      <c r="J4916" s="4" t="s">
        <v>12</v>
      </c>
    </row>
    <row r="4917" spans="1:10" x14ac:dyDescent="0.25">
      <c r="A4917" s="2">
        <v>331.21744092713499</v>
      </c>
      <c r="B4917" s="3">
        <v>-0.34312670689955099</v>
      </c>
      <c r="C4917" s="5">
        <v>7.30860845551255E-5</v>
      </c>
      <c r="D4917" s="4">
        <v>3.1179632280364301E-4</v>
      </c>
      <c r="E4917" s="3" t="s">
        <v>7284</v>
      </c>
      <c r="F4917" s="3" t="s">
        <v>7285</v>
      </c>
      <c r="G4917" s="3">
        <v>18685</v>
      </c>
      <c r="H4917" s="7" t="str">
        <f>HYPERLINK("http://www.ensembl.org/Mus_musculus/Gene/Summary?db=core;g=ENSMUSG00000058388","ENSMUSG00000058388")</f>
        <v>ENSMUSG00000058388</v>
      </c>
      <c r="I4917" s="7" t="str">
        <f>HYPERLINK("http://www.informatics.jax.org/marker/MGI:1332671","MGI:1332671")</f>
        <v>MGI:1332671</v>
      </c>
      <c r="J4917" s="4" t="s">
        <v>12</v>
      </c>
    </row>
    <row r="4918" spans="1:10" x14ac:dyDescent="0.25">
      <c r="A4918" s="2">
        <v>766.53680593734498</v>
      </c>
      <c r="B4918" s="3">
        <v>-0.34314670075486597</v>
      </c>
      <c r="C4918" s="3">
        <v>1.15973434642174E-2</v>
      </c>
      <c r="D4918" s="4">
        <v>3.2009932551168102E-2</v>
      </c>
      <c r="E4918" s="3" t="s">
        <v>13029</v>
      </c>
      <c r="F4918" s="3" t="s">
        <v>13030</v>
      </c>
      <c r="G4918" s="3">
        <v>217558</v>
      </c>
      <c r="H4918" s="7" t="str">
        <f>HYPERLINK("http://www.ensembl.org/Mus_musculus/Gene/Summary?db=core;g=ENSMUSG00000035293","ENSMUSG00000035293")</f>
        <v>ENSMUSG00000035293</v>
      </c>
      <c r="I4918" s="7" t="str">
        <f>HYPERLINK("http://www.informatics.jax.org/marker/MGI:2444298","MGI:2444298")</f>
        <v>MGI:2444298</v>
      </c>
      <c r="J4918" s="4" t="s">
        <v>12</v>
      </c>
    </row>
    <row r="4919" spans="1:10" x14ac:dyDescent="0.25">
      <c r="A4919" s="2">
        <v>243.15327386265901</v>
      </c>
      <c r="B4919" s="3">
        <v>-0.34336487531597798</v>
      </c>
      <c r="C4919" s="3">
        <v>2.07788154115494E-3</v>
      </c>
      <c r="D4919" s="4">
        <v>6.8430413963767303E-3</v>
      </c>
      <c r="E4919" s="3" t="s">
        <v>6143</v>
      </c>
      <c r="F4919" s="3" t="s">
        <v>6144</v>
      </c>
      <c r="G4919" s="3">
        <v>105278</v>
      </c>
      <c r="H4919" s="7" t="str">
        <f>HYPERLINK("http://www.ensembl.org/Mus_musculus/Gene/Summary?db=core;g=ENSMUSG00000021483","ENSMUSG00000021483")</f>
        <v>ENSMUSG00000021483</v>
      </c>
      <c r="I4919" s="7" t="str">
        <f>HYPERLINK("http://www.informatics.jax.org/marker/MGI:2145349","MGI:2145349")</f>
        <v>MGI:2145349</v>
      </c>
      <c r="J4919" s="4" t="s">
        <v>12</v>
      </c>
    </row>
    <row r="4920" spans="1:10" x14ac:dyDescent="0.25">
      <c r="A4920" s="2">
        <v>524.584709299932</v>
      </c>
      <c r="B4920" s="3">
        <v>-0.343405481753985</v>
      </c>
      <c r="C4920" s="5">
        <v>7.2612272376329905E-7</v>
      </c>
      <c r="D4920" s="6">
        <v>4.0907532119277099E-6</v>
      </c>
      <c r="E4920" s="3" t="s">
        <v>3388</v>
      </c>
      <c r="F4920" s="3" t="s">
        <v>3389</v>
      </c>
      <c r="G4920" s="3">
        <v>19714</v>
      </c>
      <c r="H4920" s="7" t="str">
        <f>HYPERLINK("http://www.ensembl.org/Mus_musculus/Gene/Summary?db=core;g=ENSMUSG00000019841","ENSMUSG00000019841")</f>
        <v>ENSMUSG00000019841</v>
      </c>
      <c r="I4920" s="7" t="str">
        <f>HYPERLINK("http://www.informatics.jax.org/marker/MGI:1337131","MGI:1337131")</f>
        <v>MGI:1337131</v>
      </c>
      <c r="J4920" s="4" t="s">
        <v>12</v>
      </c>
    </row>
    <row r="4921" spans="1:10" x14ac:dyDescent="0.25">
      <c r="A4921" s="2">
        <v>289.27034625341599</v>
      </c>
      <c r="B4921" s="3">
        <v>-0.34392590811226298</v>
      </c>
      <c r="C4921" s="3">
        <v>1.9866362124893599E-4</v>
      </c>
      <c r="D4921" s="4">
        <v>7.8915529582865296E-4</v>
      </c>
      <c r="E4921" s="3" t="s">
        <v>13819</v>
      </c>
      <c r="F4921" s="3" t="s">
        <v>13820</v>
      </c>
      <c r="G4921" s="3">
        <v>170472</v>
      </c>
      <c r="H4921" s="7" t="str">
        <f>HYPERLINK("http://www.ensembl.org/Mus_musculus/Gene/Summary?db=core;g=ENSMUSG00000020752","ENSMUSG00000020752")</f>
        <v>ENSMUSG00000020752</v>
      </c>
      <c r="I4921" s="7" t="str">
        <f>HYPERLINK("http://www.informatics.jax.org/marker/MGI:2156841","MGI:2156841")</f>
        <v>MGI:2156841</v>
      </c>
      <c r="J4921" s="4" t="s">
        <v>12</v>
      </c>
    </row>
    <row r="4922" spans="1:10" x14ac:dyDescent="0.25">
      <c r="A4922" s="2">
        <v>114.207011980367</v>
      </c>
      <c r="B4922" s="3">
        <v>-0.34431156382350298</v>
      </c>
      <c r="C4922" s="3">
        <v>4.2067782667935304E-3</v>
      </c>
      <c r="D4922" s="4">
        <v>1.28768112046208E-2</v>
      </c>
      <c r="E4922" s="3" t="s">
        <v>11749</v>
      </c>
      <c r="F4922" s="3" t="s">
        <v>11750</v>
      </c>
      <c r="G4922" s="3">
        <v>69692</v>
      </c>
      <c r="H4922" s="7" t="str">
        <f>HYPERLINK("http://www.ensembl.org/Mus_musculus/Gene/Summary?db=core;g=ENSMUSG00000000295","ENSMUSG00000000295")</f>
        <v>ENSMUSG00000000295</v>
      </c>
      <c r="I4922" s="7" t="str">
        <f>HYPERLINK("http://www.informatics.jax.org/marker/MGI:1916942","MGI:1916942")</f>
        <v>MGI:1916942</v>
      </c>
      <c r="J4922" s="4" t="s">
        <v>12</v>
      </c>
    </row>
    <row r="4923" spans="1:10" x14ac:dyDescent="0.25">
      <c r="A4923" s="2">
        <v>390.641385376703</v>
      </c>
      <c r="B4923" s="3">
        <v>-0.34432390868703</v>
      </c>
      <c r="C4923" s="3">
        <v>3.45684260855489E-3</v>
      </c>
      <c r="D4923" s="4">
        <v>1.08044857727513E-2</v>
      </c>
      <c r="E4923" s="3" t="s">
        <v>11491</v>
      </c>
      <c r="F4923" s="3" t="s">
        <v>11492</v>
      </c>
      <c r="G4923" s="3">
        <v>50887</v>
      </c>
      <c r="H4923" s="7" t="str">
        <f>HYPERLINK("http://www.ensembl.org/Mus_musculus/Gene/Summary?db=core;g=ENSMUSG00000031245","ENSMUSG00000031245")</f>
        <v>ENSMUSG00000031245</v>
      </c>
      <c r="I4923" s="7" t="str">
        <f>HYPERLINK("http://www.informatics.jax.org/marker/MGI:1355295","MGI:1355295")</f>
        <v>MGI:1355295</v>
      </c>
      <c r="J4923" s="4" t="s">
        <v>12</v>
      </c>
    </row>
    <row r="4924" spans="1:10" x14ac:dyDescent="0.25">
      <c r="A4924" s="2">
        <v>62.107576191872703</v>
      </c>
      <c r="B4924" s="3">
        <v>-0.34462184100154503</v>
      </c>
      <c r="C4924" s="3">
        <v>1.98607232936669E-2</v>
      </c>
      <c r="D4924" s="4">
        <v>5.1320244155264302E-2</v>
      </c>
      <c r="E4924" s="3" t="s">
        <v>12398</v>
      </c>
      <c r="F4924" s="3" t="s">
        <v>12399</v>
      </c>
      <c r="G4924" s="3" t="s">
        <v>83</v>
      </c>
      <c r="H4924" s="7" t="str">
        <f>HYPERLINK("http://www.ensembl.org/Mus_musculus/Gene/Summary?db=core;g=ENSMUSG00000090330","ENSMUSG00000090330")</f>
        <v>ENSMUSG00000090330</v>
      </c>
      <c r="I4924" s="7" t="str">
        <f>HYPERLINK("http://www.informatics.jax.org/marker/MGI:1924374","MGI:1924374")</f>
        <v>MGI:1924374</v>
      </c>
      <c r="J4924" s="4" t="s">
        <v>932</v>
      </c>
    </row>
    <row r="4925" spans="1:10" x14ac:dyDescent="0.25">
      <c r="A4925" s="2">
        <v>261.55027301676898</v>
      </c>
      <c r="B4925" s="3">
        <v>-0.34485142633634502</v>
      </c>
      <c r="C4925" s="3">
        <v>3.49016197748497E-4</v>
      </c>
      <c r="D4925" s="4">
        <v>1.3279471505281001E-3</v>
      </c>
      <c r="E4925" s="3" t="s">
        <v>8233</v>
      </c>
      <c r="F4925" s="3" t="s">
        <v>8234</v>
      </c>
      <c r="G4925" s="3">
        <v>69168</v>
      </c>
      <c r="H4925" s="7" t="str">
        <f>HYPERLINK("http://www.ensembl.org/Mus_musculus/Gene/Summary?db=core;g=ENSMUSG00000015943","ENSMUSG00000015943")</f>
        <v>ENSMUSG00000015943</v>
      </c>
      <c r="I4925" s="7" t="str">
        <f>HYPERLINK("http://www.informatics.jax.org/marker/MGI:1916418","MGI:1916418")</f>
        <v>MGI:1916418</v>
      </c>
      <c r="J4925" s="4" t="s">
        <v>12</v>
      </c>
    </row>
    <row r="4926" spans="1:10" x14ac:dyDescent="0.25">
      <c r="A4926" s="2">
        <v>425.68747366538003</v>
      </c>
      <c r="B4926" s="3">
        <v>-0.344860592738712</v>
      </c>
      <c r="C4926" s="3">
        <v>1.8395343882708899E-3</v>
      </c>
      <c r="D4926" s="4">
        <v>6.13946237952534E-3</v>
      </c>
      <c r="E4926" s="3" t="s">
        <v>11757</v>
      </c>
      <c r="F4926" s="3" t="s">
        <v>11758</v>
      </c>
      <c r="G4926" s="3">
        <v>68020</v>
      </c>
      <c r="H4926" s="7" t="str">
        <f>HYPERLINK("http://www.ensembl.org/Mus_musculus/Gene/Summary?db=core;g=ENSMUSG00000037787","ENSMUSG00000037787")</f>
        <v>ENSMUSG00000037787</v>
      </c>
      <c r="I4926" s="7" t="str">
        <f>HYPERLINK("http://www.informatics.jax.org/marker/MGI:1915270","MGI:1915270")</f>
        <v>MGI:1915270</v>
      </c>
      <c r="J4926" s="4" t="s">
        <v>12</v>
      </c>
    </row>
    <row r="4927" spans="1:10" x14ac:dyDescent="0.25">
      <c r="A4927" s="2">
        <v>221.84290932860401</v>
      </c>
      <c r="B4927" s="3">
        <v>-0.34491493190890898</v>
      </c>
      <c r="C4927" s="3">
        <v>9.875397606992479E-4</v>
      </c>
      <c r="D4927" s="4">
        <v>3.4785295977471601E-3</v>
      </c>
      <c r="E4927" s="3" t="s">
        <v>8915</v>
      </c>
      <c r="F4927" s="3" t="s">
        <v>8916</v>
      </c>
      <c r="G4927" s="3">
        <v>54169</v>
      </c>
      <c r="H4927" s="7" t="str">
        <f>HYPERLINK("http://www.ensembl.org/Mus_musculus/Gene/Summary?db=core;g=ENSMUSG00000021767","ENSMUSG00000021767")</f>
        <v>ENSMUSG00000021767</v>
      </c>
      <c r="I4927" s="7" t="str">
        <f>HYPERLINK("http://www.informatics.jax.org/marker/MGI:1858746","MGI:1858746")</f>
        <v>MGI:1858746</v>
      </c>
      <c r="J4927" s="4" t="s">
        <v>12</v>
      </c>
    </row>
    <row r="4928" spans="1:10" x14ac:dyDescent="0.25">
      <c r="A4928" s="2">
        <v>473.133218638122</v>
      </c>
      <c r="B4928" s="3">
        <v>-0.34516191417822301</v>
      </c>
      <c r="C4928" s="5">
        <v>2.1001958290405299E-6</v>
      </c>
      <c r="D4928" s="6">
        <v>1.12411362655694E-5</v>
      </c>
      <c r="E4928" s="3" t="s">
        <v>7176</v>
      </c>
      <c r="F4928" s="3" t="s">
        <v>7177</v>
      </c>
      <c r="G4928" s="3">
        <v>224650</v>
      </c>
      <c r="H4928" s="7" t="str">
        <f>HYPERLINK("http://www.ensembl.org/Mus_musculus/Gene/Summary?db=core;g=ENSMUSG00000024219","ENSMUSG00000024219")</f>
        <v>ENSMUSG00000024219</v>
      </c>
      <c r="I4928" s="7" t="str">
        <f>HYPERLINK("http://www.informatics.jax.org/marker/MGI:2446180","MGI:2446180")</f>
        <v>MGI:2446180</v>
      </c>
      <c r="J4928" s="4" t="s">
        <v>12</v>
      </c>
    </row>
    <row r="4929" spans="1:10" x14ac:dyDescent="0.25">
      <c r="A4929" s="2">
        <v>67.507089991304795</v>
      </c>
      <c r="B4929" s="3">
        <v>-0.34538010019047599</v>
      </c>
      <c r="C4929" s="3">
        <v>2.20523623162227E-2</v>
      </c>
      <c r="D4929" s="4">
        <v>5.6139726667573601E-2</v>
      </c>
      <c r="E4929" s="3" t="s">
        <v>6788</v>
      </c>
      <c r="F4929" s="3" t="s">
        <v>6789</v>
      </c>
      <c r="G4929" s="3">
        <v>16351</v>
      </c>
      <c r="H4929" s="7" t="str">
        <f>HYPERLINK("http://www.ensembl.org/Mus_musculus/Gene/Summary?db=core;g=ENSMUSG00000028696","ENSMUSG00000028696")</f>
        <v>ENSMUSG00000028696</v>
      </c>
      <c r="I4929" s="7" t="str">
        <f>HYPERLINK("http://www.informatics.jax.org/marker/MGI:96581","MGI:96581")</f>
        <v>MGI:96581</v>
      </c>
      <c r="J4929" s="4" t="s">
        <v>12</v>
      </c>
    </row>
    <row r="4930" spans="1:10" x14ac:dyDescent="0.25">
      <c r="A4930" s="2">
        <v>1148.3811715059601</v>
      </c>
      <c r="B4930" s="3">
        <v>-0.34540049189230898</v>
      </c>
      <c r="C4930" s="5">
        <v>1.4509496162232401E-7</v>
      </c>
      <c r="D4930" s="6">
        <v>8.9426975839257801E-7</v>
      </c>
      <c r="E4930" s="3" t="s">
        <v>5629</v>
      </c>
      <c r="F4930" s="3" t="s">
        <v>5630</v>
      </c>
      <c r="G4930" s="3">
        <v>56248</v>
      </c>
      <c r="H4930" s="7" t="str">
        <f>HYPERLINK("http://www.ensembl.org/Mus_musculus/Gene/Summary?db=core;g=ENSMUSG00000024782","ENSMUSG00000024782")</f>
        <v>ENSMUSG00000024782</v>
      </c>
      <c r="I4930" s="7" t="str">
        <f>HYPERLINK("http://www.informatics.jax.org/marker/MGI:1860835","MGI:1860835")</f>
        <v>MGI:1860835</v>
      </c>
      <c r="J4930" s="4" t="s">
        <v>12</v>
      </c>
    </row>
    <row r="4931" spans="1:10" x14ac:dyDescent="0.25">
      <c r="A4931" s="2">
        <v>803.30032621158398</v>
      </c>
      <c r="B4931" s="3">
        <v>-0.34590633238572599</v>
      </c>
      <c r="C4931" s="5">
        <v>2.15783858514713E-7</v>
      </c>
      <c r="D4931" s="6">
        <v>1.30393263310034E-6</v>
      </c>
      <c r="E4931" s="3" t="s">
        <v>5061</v>
      </c>
      <c r="F4931" s="3" t="s">
        <v>5062</v>
      </c>
      <c r="G4931" s="3">
        <v>18120</v>
      </c>
      <c r="H4931" s="7" t="str">
        <f>HYPERLINK("http://www.ensembl.org/Mus_musculus/Gene/Summary?db=core;g=ENSMUSG00000007338","ENSMUSG00000007338")</f>
        <v>ENSMUSG00000007338</v>
      </c>
      <c r="I4931" s="7" t="str">
        <f>HYPERLINK("http://www.informatics.jax.org/marker/MGI:108180","MGI:108180")</f>
        <v>MGI:108180</v>
      </c>
      <c r="J4931" s="4" t="s">
        <v>12</v>
      </c>
    </row>
    <row r="4932" spans="1:10" x14ac:dyDescent="0.25">
      <c r="A4932" s="2">
        <v>77.812776888982199</v>
      </c>
      <c r="B4932" s="3">
        <v>-0.34600496915991902</v>
      </c>
      <c r="C4932" s="3">
        <v>2.5257204169045502E-2</v>
      </c>
      <c r="D4932" s="4">
        <v>6.3325429354911797E-2</v>
      </c>
      <c r="E4932" s="3" t="s">
        <v>13551</v>
      </c>
      <c r="F4932" s="3" t="s">
        <v>13552</v>
      </c>
      <c r="G4932" s="3">
        <v>100072</v>
      </c>
      <c r="H4932" s="7" t="str">
        <f>HYPERLINK("http://www.ensembl.org/Mus_musculus/Gene/Summary?db=core;g=ENSMUSG00000014592","ENSMUSG00000014592")</f>
        <v>ENSMUSG00000014592</v>
      </c>
      <c r="I4932" s="7" t="str">
        <f>HYPERLINK("http://www.informatics.jax.org/marker/MGI:2140230","MGI:2140230")</f>
        <v>MGI:2140230</v>
      </c>
      <c r="J4932" s="4" t="s">
        <v>12</v>
      </c>
    </row>
    <row r="4933" spans="1:10" x14ac:dyDescent="0.25">
      <c r="A4933" s="2">
        <v>570.48352266311997</v>
      </c>
      <c r="B4933" s="3">
        <v>-0.34602548363462099</v>
      </c>
      <c r="C4933" s="3">
        <v>5.0081304032486705E-4</v>
      </c>
      <c r="D4933" s="4">
        <v>1.8608190947850499E-3</v>
      </c>
      <c r="E4933" s="3" t="s">
        <v>11869</v>
      </c>
      <c r="F4933" s="3" t="s">
        <v>11870</v>
      </c>
      <c r="G4933" s="3">
        <v>217734</v>
      </c>
      <c r="H4933" s="7" t="str">
        <f>HYPERLINK("http://www.ensembl.org/Mus_musculus/Gene/Summary?db=core;g=ENSMUSG00000034126","ENSMUSG00000034126")</f>
        <v>ENSMUSG00000034126</v>
      </c>
      <c r="I4933" s="7" t="str">
        <f>HYPERLINK("http://www.informatics.jax.org/marker/MGI:2444430","MGI:2444430")</f>
        <v>MGI:2444430</v>
      </c>
      <c r="J4933" s="4" t="s">
        <v>12</v>
      </c>
    </row>
    <row r="4934" spans="1:10" x14ac:dyDescent="0.25">
      <c r="A4934" s="2">
        <v>676.839722082913</v>
      </c>
      <c r="B4934" s="3">
        <v>-0.34653409733032497</v>
      </c>
      <c r="C4934" s="3">
        <v>4.7401949739787601E-3</v>
      </c>
      <c r="D4934" s="4">
        <v>1.4317211369035901E-2</v>
      </c>
      <c r="E4934" s="3" t="s">
        <v>12457</v>
      </c>
      <c r="F4934" s="3" t="s">
        <v>12458</v>
      </c>
      <c r="G4934" s="3">
        <v>74107</v>
      </c>
      <c r="H4934" s="7" t="str">
        <f>HYPERLINK("http://www.ensembl.org/Mus_musculus/Gene/Summary?db=core;g=ENSMUSG00000024989","ENSMUSG00000024989")</f>
        <v>ENSMUSG00000024989</v>
      </c>
      <c r="I4934" s="7" t="str">
        <f>HYPERLINK("http://www.informatics.jax.org/marker/MGI:1921357","MGI:1921357")</f>
        <v>MGI:1921357</v>
      </c>
      <c r="J4934" s="4" t="s">
        <v>12</v>
      </c>
    </row>
    <row r="4935" spans="1:10" x14ac:dyDescent="0.25">
      <c r="A4935" s="2">
        <v>581.60080437669899</v>
      </c>
      <c r="B4935" s="3">
        <v>-0.346730653541372</v>
      </c>
      <c r="C4935" s="3">
        <v>1.0532823040980399E-4</v>
      </c>
      <c r="D4935" s="4">
        <v>4.3896798518607E-4</v>
      </c>
      <c r="E4935" s="3" t="s">
        <v>9227</v>
      </c>
      <c r="F4935" s="3" t="s">
        <v>9228</v>
      </c>
      <c r="G4935" s="3">
        <v>17939</v>
      </c>
      <c r="H4935" s="7" t="str">
        <f>HYPERLINK("http://www.ensembl.org/Mus_musculus/Gene/Summary?db=core;g=ENSMUSG00000022453","ENSMUSG00000022453")</f>
        <v>ENSMUSG00000022453</v>
      </c>
      <c r="I4935" s="7" t="str">
        <f>HYPERLINK("http://www.informatics.jax.org/marker/MGI:1261422","MGI:1261422")</f>
        <v>MGI:1261422</v>
      </c>
      <c r="J4935" s="4" t="s">
        <v>12</v>
      </c>
    </row>
    <row r="4936" spans="1:10" x14ac:dyDescent="0.25">
      <c r="A4936" s="2">
        <v>387.18190328378103</v>
      </c>
      <c r="B4936" s="3">
        <v>-0.34682194947379602</v>
      </c>
      <c r="C4936" s="5">
        <v>7.2972924051682196E-5</v>
      </c>
      <c r="D4936" s="4">
        <v>3.1145937724634803E-4</v>
      </c>
      <c r="E4936" s="3" t="s">
        <v>4669</v>
      </c>
      <c r="F4936" s="3" t="s">
        <v>4670</v>
      </c>
      <c r="G4936" s="3">
        <v>75216</v>
      </c>
      <c r="H4936" s="7" t="str">
        <f>HYPERLINK("http://www.ensembl.org/Mus_musculus/Gene/Summary?db=core;g=ENSMUSG00000061533","ENSMUSG00000061533")</f>
        <v>ENSMUSG00000061533</v>
      </c>
      <c r="I4936" s="7" t="str">
        <f>HYPERLINK("http://www.informatics.jax.org/marker/MGI:1922466","MGI:1922466")</f>
        <v>MGI:1922466</v>
      </c>
      <c r="J4936" s="4" t="s">
        <v>12</v>
      </c>
    </row>
    <row r="4937" spans="1:10" x14ac:dyDescent="0.25">
      <c r="A4937" s="2">
        <v>165.90400611681599</v>
      </c>
      <c r="B4937" s="3">
        <v>-0.34730425993479103</v>
      </c>
      <c r="C4937" s="3">
        <v>1.7122720708293499E-3</v>
      </c>
      <c r="D4937" s="4">
        <v>5.7525093306536402E-3</v>
      </c>
      <c r="E4937" s="3" t="s">
        <v>9681</v>
      </c>
      <c r="F4937" s="3" t="s">
        <v>9682</v>
      </c>
      <c r="G4937" s="3">
        <v>329727</v>
      </c>
      <c r="H4937" s="7" t="str">
        <f>HYPERLINK("http://www.ensembl.org/Mus_musculus/Gene/Summary?db=core;g=ENSMUSG00000007379","ENSMUSG00000007379")</f>
        <v>ENSMUSG00000007379</v>
      </c>
      <c r="I4937" s="7" t="str">
        <f>HYPERLINK("http://www.informatics.jax.org/marker/MGI:3036254","MGI:3036254")</f>
        <v>MGI:3036254</v>
      </c>
      <c r="J4937" s="4" t="s">
        <v>12</v>
      </c>
    </row>
    <row r="4938" spans="1:10" x14ac:dyDescent="0.25">
      <c r="A4938" s="2">
        <v>130.361982964661</v>
      </c>
      <c r="B4938" s="3">
        <v>-0.347308410773425</v>
      </c>
      <c r="C4938" s="3">
        <v>9.7346431766574398E-3</v>
      </c>
      <c r="D4938" s="4">
        <v>2.73407107250088E-2</v>
      </c>
      <c r="E4938" s="3" t="s">
        <v>11405</v>
      </c>
      <c r="F4938" s="3" t="s">
        <v>11406</v>
      </c>
      <c r="G4938" s="3">
        <v>68597</v>
      </c>
      <c r="H4938" s="7" t="str">
        <f>HYPERLINK("http://www.ensembl.org/Mus_musculus/Gene/Summary?db=core;g=ENSMUSG00000024018","ENSMUSG00000024018")</f>
        <v>ENSMUSG00000024018</v>
      </c>
      <c r="I4938" s="7" t="str">
        <f>HYPERLINK("http://www.informatics.jax.org/marker/MGI:1915847","MGI:1915847")</f>
        <v>MGI:1915847</v>
      </c>
      <c r="J4938" s="4" t="s">
        <v>12</v>
      </c>
    </row>
    <row r="4939" spans="1:10" x14ac:dyDescent="0.25">
      <c r="A4939" s="2">
        <v>550.02748822391698</v>
      </c>
      <c r="B4939" s="3">
        <v>-0.34744254149817999</v>
      </c>
      <c r="C4939" s="5">
        <v>4.22380648254397E-7</v>
      </c>
      <c r="D4939" s="6">
        <v>2.4578184273423898E-6</v>
      </c>
      <c r="E4939" s="3" t="s">
        <v>5297</v>
      </c>
      <c r="F4939" s="3" t="s">
        <v>5298</v>
      </c>
      <c r="G4939" s="3">
        <v>15242</v>
      </c>
      <c r="H4939" s="7" t="str">
        <f>HYPERLINK("http://www.ensembl.org/Mus_musculus/Gene/Summary?db=core;g=ENSMUSG00000024986","ENSMUSG00000024986")</f>
        <v>ENSMUSG00000024986</v>
      </c>
      <c r="I4939" s="7" t="str">
        <f>HYPERLINK("http://www.informatics.jax.org/marker/MGI:96086","MGI:96086")</f>
        <v>MGI:96086</v>
      </c>
      <c r="J4939" s="4" t="s">
        <v>12</v>
      </c>
    </row>
    <row r="4940" spans="1:10" x14ac:dyDescent="0.25">
      <c r="A4940" s="2">
        <v>331.86275547602702</v>
      </c>
      <c r="B4940" s="3">
        <v>-0.34757213821953398</v>
      </c>
      <c r="C4940" s="5">
        <v>4.0421676017862501E-7</v>
      </c>
      <c r="D4940" s="6">
        <v>2.3596574164815701E-6</v>
      </c>
      <c r="E4940" s="3" t="s">
        <v>6671</v>
      </c>
      <c r="F4940" s="3" t="s">
        <v>6672</v>
      </c>
      <c r="G4940" s="3">
        <v>246710</v>
      </c>
      <c r="H4940" s="7" t="str">
        <f>HYPERLINK("http://www.ensembl.org/Mus_musculus/Gene/Summary?db=core;g=ENSMUSG00000022075","ENSMUSG00000022075")</f>
        <v>ENSMUSG00000022075</v>
      </c>
      <c r="I4940" s="7" t="str">
        <f>HYPERLINK("http://www.informatics.jax.org/marker/MGI:2180557","MGI:2180557")</f>
        <v>MGI:2180557</v>
      </c>
      <c r="J4940" s="4" t="s">
        <v>12</v>
      </c>
    </row>
    <row r="4941" spans="1:10" x14ac:dyDescent="0.25">
      <c r="A4941" s="2">
        <v>316.63066494655101</v>
      </c>
      <c r="B4941" s="3">
        <v>-0.34853212672103401</v>
      </c>
      <c r="C4941" s="5">
        <v>2.6354903620559599E-5</v>
      </c>
      <c r="D4941" s="4">
        <v>1.20926011703096E-4</v>
      </c>
      <c r="E4941" s="3" t="s">
        <v>4479</v>
      </c>
      <c r="F4941" s="3" t="s">
        <v>4480</v>
      </c>
      <c r="G4941" s="3">
        <v>18764</v>
      </c>
      <c r="H4941" s="7" t="str">
        <f>HYPERLINK("http://www.ensembl.org/Mus_musculus/Gene/Summary?db=core;g=ENSMUSG00000034462","ENSMUSG00000034462")</f>
        <v>ENSMUSG00000034462</v>
      </c>
      <c r="I4941" s="7" t="str">
        <f>HYPERLINK("http://www.informatics.jax.org/marker/MGI:1099818","MGI:1099818")</f>
        <v>MGI:1099818</v>
      </c>
      <c r="J4941" s="4" t="s">
        <v>12</v>
      </c>
    </row>
    <row r="4942" spans="1:10" x14ac:dyDescent="0.25">
      <c r="A4942" s="2">
        <v>642.21657464091697</v>
      </c>
      <c r="B4942" s="3">
        <v>-0.34854967869141401</v>
      </c>
      <c r="C4942" s="5">
        <v>5.8672523175706904E-6</v>
      </c>
      <c r="D4942" s="6">
        <v>2.9678232996870901E-5</v>
      </c>
      <c r="E4942" s="3" t="s">
        <v>7348</v>
      </c>
      <c r="F4942" s="3" t="s">
        <v>7349</v>
      </c>
      <c r="G4942" s="3">
        <v>67967</v>
      </c>
      <c r="H4942" s="7" t="str">
        <f>HYPERLINK("http://www.ensembl.org/Mus_musculus/Gene/Summary?db=core;g=ENSMUSG00000030726","ENSMUSG00000030726")</f>
        <v>ENSMUSG00000030726</v>
      </c>
      <c r="I4942" s="7" t="str">
        <f>HYPERLINK("http://www.informatics.jax.org/marker/MGI:1915217","MGI:1915217")</f>
        <v>MGI:1915217</v>
      </c>
      <c r="J4942" s="4" t="s">
        <v>12</v>
      </c>
    </row>
    <row r="4943" spans="1:10" x14ac:dyDescent="0.25">
      <c r="A4943" s="2">
        <v>1588.12800646858</v>
      </c>
      <c r="B4943" s="3">
        <v>-0.34871718440467703</v>
      </c>
      <c r="C4943" s="5">
        <v>6.7435557626299698E-9</v>
      </c>
      <c r="D4943" s="6">
        <v>4.7896065383449498E-8</v>
      </c>
      <c r="E4943" s="3" t="s">
        <v>3294</v>
      </c>
      <c r="F4943" s="3" t="s">
        <v>3295</v>
      </c>
      <c r="G4943" s="3">
        <v>13006</v>
      </c>
      <c r="H4943" s="7" t="str">
        <f>HYPERLINK("http://www.ensembl.org/Mus_musculus/Gene/Summary?db=core;g=ENSMUSG00000024974","ENSMUSG00000024974")</f>
        <v>ENSMUSG00000024974</v>
      </c>
      <c r="I4943" s="7" t="str">
        <f>HYPERLINK("http://www.informatics.jax.org/marker/MGI:1339795","MGI:1339795")</f>
        <v>MGI:1339795</v>
      </c>
      <c r="J4943" s="4" t="s">
        <v>12</v>
      </c>
    </row>
    <row r="4944" spans="1:10" x14ac:dyDescent="0.25">
      <c r="A4944" s="2">
        <v>841.26252919066496</v>
      </c>
      <c r="B4944" s="3">
        <v>-0.34898394024220297</v>
      </c>
      <c r="C4944" s="5">
        <v>2.5195451609358801E-8</v>
      </c>
      <c r="D4944" s="6">
        <v>1.6789290880459399E-7</v>
      </c>
      <c r="E4944" s="3" t="s">
        <v>6163</v>
      </c>
      <c r="F4944" s="3" t="s">
        <v>6164</v>
      </c>
      <c r="G4944" s="3">
        <v>22235</v>
      </c>
      <c r="H4944" s="7" t="str">
        <f>HYPERLINK("http://www.ensembl.org/Mus_musculus/Gene/Summary?db=core;g=ENSMUSG00000029201","ENSMUSG00000029201")</f>
        <v>ENSMUSG00000029201</v>
      </c>
      <c r="I4944" s="7" t="str">
        <f>HYPERLINK("http://www.informatics.jax.org/marker/MGI:1306785","MGI:1306785")</f>
        <v>MGI:1306785</v>
      </c>
      <c r="J4944" s="4" t="s">
        <v>12</v>
      </c>
    </row>
    <row r="4945" spans="1:10" x14ac:dyDescent="0.25">
      <c r="A4945" s="2">
        <v>967.671423739901</v>
      </c>
      <c r="B4945" s="3">
        <v>-0.34983388358806899</v>
      </c>
      <c r="C4945" s="5">
        <v>1.07100523997201E-9</v>
      </c>
      <c r="D4945" s="6">
        <v>8.2742986428528206E-9</v>
      </c>
      <c r="E4945" s="3" t="s">
        <v>3916</v>
      </c>
      <c r="F4945" s="3" t="s">
        <v>3917</v>
      </c>
      <c r="G4945" s="3">
        <v>14375</v>
      </c>
      <c r="H4945" s="7" t="str">
        <f>HYPERLINK("http://www.ensembl.org/Mus_musculus/Gene/Summary?db=core;g=ENSMUSG00000022471","ENSMUSG00000022471")</f>
        <v>ENSMUSG00000022471</v>
      </c>
      <c r="I4945" s="7" t="str">
        <f>HYPERLINK("http://www.informatics.jax.org/marker/MGI:95606","MGI:95606")</f>
        <v>MGI:95606</v>
      </c>
      <c r="J4945" s="4" t="s">
        <v>12</v>
      </c>
    </row>
    <row r="4946" spans="1:10" x14ac:dyDescent="0.25">
      <c r="A4946" s="2">
        <v>527.04545098872404</v>
      </c>
      <c r="B4946" s="3">
        <v>-0.34993368775529898</v>
      </c>
      <c r="C4946" s="3">
        <v>1.96064780635826E-4</v>
      </c>
      <c r="D4946" s="4">
        <v>7.79681568205964E-4</v>
      </c>
      <c r="E4946" s="3" t="s">
        <v>9751</v>
      </c>
      <c r="F4946" s="3" t="s">
        <v>9752</v>
      </c>
      <c r="G4946" s="3">
        <v>103677</v>
      </c>
      <c r="H4946" s="7" t="str">
        <f>HYPERLINK("http://www.ensembl.org/Mus_musculus/Gene/Summary?db=core;g=ENSMUSG00000038290","ENSMUSG00000038290")</f>
        <v>ENSMUSG00000038290</v>
      </c>
      <c r="I4946" s="7" t="str">
        <f>HYPERLINK("http://www.informatics.jax.org/marker/MGI:2144117","MGI:2144117")</f>
        <v>MGI:2144117</v>
      </c>
      <c r="J4946" s="4" t="s">
        <v>12</v>
      </c>
    </row>
    <row r="4947" spans="1:10" x14ac:dyDescent="0.25">
      <c r="A4947" s="2">
        <v>853.09501122468203</v>
      </c>
      <c r="B4947" s="3">
        <v>-0.350695922792015</v>
      </c>
      <c r="C4947" s="5">
        <v>2.0324992794816699E-9</v>
      </c>
      <c r="D4947" s="6">
        <v>1.5237474030667799E-8</v>
      </c>
      <c r="E4947" s="3" t="s">
        <v>5493</v>
      </c>
      <c r="F4947" s="3" t="s">
        <v>5494</v>
      </c>
      <c r="G4947" s="3">
        <v>217449</v>
      </c>
      <c r="H4947" s="7" t="str">
        <f>HYPERLINK("http://www.ensembl.org/Mus_musculus/Gene/Summary?db=core;g=ENSMUSG00000020628","ENSMUSG00000020628")</f>
        <v>ENSMUSG00000020628</v>
      </c>
      <c r="I4947" s="7" t="str">
        <f>HYPERLINK("http://www.informatics.jax.org/marker/MGI:2445089","MGI:2445089")</f>
        <v>MGI:2445089</v>
      </c>
      <c r="J4947" s="4" t="s">
        <v>12</v>
      </c>
    </row>
    <row r="4948" spans="1:10" x14ac:dyDescent="0.25">
      <c r="A4948" s="2">
        <v>834.63399001804999</v>
      </c>
      <c r="B4948" s="3">
        <v>-0.35086099255498299</v>
      </c>
      <c r="C4948" s="5">
        <v>1.56273097541009E-5</v>
      </c>
      <c r="D4948" s="6">
        <v>7.4265376862709098E-5</v>
      </c>
      <c r="E4948" s="3" t="s">
        <v>6329</v>
      </c>
      <c r="F4948" s="3" t="s">
        <v>6330</v>
      </c>
      <c r="G4948" s="3">
        <v>22282</v>
      </c>
      <c r="H4948" s="7" t="str">
        <f>HYPERLINK("http://www.ensembl.org/Mus_musculus/Gene/Summary?db=core;g=ENSMUSG00000058239","ENSMUSG00000058239")</f>
        <v>ENSMUSG00000058239</v>
      </c>
      <c r="I4948" s="7" t="str">
        <f>HYPERLINK("http://www.informatics.jax.org/marker/MGI:99961","MGI:99961")</f>
        <v>MGI:99961</v>
      </c>
      <c r="J4948" s="4" t="s">
        <v>12</v>
      </c>
    </row>
    <row r="4949" spans="1:10" x14ac:dyDescent="0.25">
      <c r="A4949" s="2">
        <v>4.3314390576119903</v>
      </c>
      <c r="B4949" s="3">
        <v>-0.351054948711085</v>
      </c>
      <c r="C4949" s="3">
        <v>0.41389825057950902</v>
      </c>
      <c r="D4949" s="4">
        <v>0.59214189628790004</v>
      </c>
      <c r="E4949" s="3" t="s">
        <v>13555</v>
      </c>
      <c r="F4949" s="3" t="s">
        <v>13556</v>
      </c>
      <c r="G4949" s="3" t="s">
        <v>83</v>
      </c>
      <c r="H4949" s="7" t="str">
        <f>HYPERLINK("http://www.ensembl.org/Mus_musculus/Gene/Summary?db=core;g=ENSMUSG00000085867","ENSMUSG00000085867")</f>
        <v>ENSMUSG00000085867</v>
      </c>
      <c r="I4949" s="7" t="str">
        <f>HYPERLINK("http://www.informatics.jax.org/marker/MGI:3643955","MGI:3643955")</f>
        <v>MGI:3643955</v>
      </c>
      <c r="J4949" s="4" t="s">
        <v>2683</v>
      </c>
    </row>
    <row r="4950" spans="1:10" x14ac:dyDescent="0.25">
      <c r="A4950" s="2">
        <v>106.65375547193</v>
      </c>
      <c r="B4950" s="3">
        <v>-0.35121661436013701</v>
      </c>
      <c r="C4950" s="3">
        <v>3.6259023214148798E-3</v>
      </c>
      <c r="D4950" s="4">
        <v>1.1272956296108199E-2</v>
      </c>
      <c r="E4950" s="3" t="s">
        <v>9998</v>
      </c>
      <c r="F4950" s="3" t="s">
        <v>9999</v>
      </c>
      <c r="G4950" s="3">
        <v>223642</v>
      </c>
      <c r="H4950" s="7" t="str">
        <f>HYPERLINK("http://www.ensembl.org/Mus_musculus/Gene/Summary?db=core;g=ENSMUSG00000075600","ENSMUSG00000075600")</f>
        <v>ENSMUSG00000075600</v>
      </c>
      <c r="I4950" s="7" t="str">
        <f>HYPERLINK("http://www.informatics.jax.org/marker/MGI:2663721","MGI:2663721")</f>
        <v>MGI:2663721</v>
      </c>
      <c r="J4950" s="4" t="s">
        <v>12</v>
      </c>
    </row>
    <row r="4951" spans="1:10" x14ac:dyDescent="0.25">
      <c r="A4951" s="2">
        <v>1007.82642022374</v>
      </c>
      <c r="B4951" s="3">
        <v>-0.35125909974354003</v>
      </c>
      <c r="C4951" s="5">
        <v>1.8594308702455798E-8</v>
      </c>
      <c r="D4951" s="6">
        <v>1.25931354924659E-7</v>
      </c>
      <c r="E4951" s="3" t="s">
        <v>5605</v>
      </c>
      <c r="F4951" s="3" t="s">
        <v>5606</v>
      </c>
      <c r="G4951" s="3">
        <v>24069</v>
      </c>
      <c r="H4951" s="7" t="str">
        <f>HYPERLINK("http://www.ensembl.org/Mus_musculus/Gene/Summary?db=core;g=ENSMUSG00000025231","ENSMUSG00000025231")</f>
        <v>ENSMUSG00000025231</v>
      </c>
      <c r="I4951" s="7" t="str">
        <f>HYPERLINK("http://www.informatics.jax.org/marker/MGI:1345643","MGI:1345643")</f>
        <v>MGI:1345643</v>
      </c>
      <c r="J4951" s="4" t="s">
        <v>12</v>
      </c>
    </row>
    <row r="4952" spans="1:10" x14ac:dyDescent="0.25">
      <c r="A4952" s="2">
        <v>665.56637727050997</v>
      </c>
      <c r="B4952" s="3">
        <v>-0.35174802567100999</v>
      </c>
      <c r="C4952" s="5">
        <v>1.4414220155515999E-6</v>
      </c>
      <c r="D4952" s="6">
        <v>7.8841285214369699E-6</v>
      </c>
      <c r="E4952" s="3" t="s">
        <v>4169</v>
      </c>
      <c r="F4952" s="3" t="s">
        <v>4170</v>
      </c>
      <c r="G4952" s="3">
        <v>21813</v>
      </c>
      <c r="H4952" s="7" t="str">
        <f>HYPERLINK("http://www.ensembl.org/Mus_musculus/Gene/Summary?db=core;g=ENSMUSG00000032440","ENSMUSG00000032440")</f>
        <v>ENSMUSG00000032440</v>
      </c>
      <c r="I4952" s="7" t="str">
        <f>HYPERLINK("http://www.informatics.jax.org/marker/MGI:98729","MGI:98729")</f>
        <v>MGI:98729</v>
      </c>
      <c r="J4952" s="4" t="s">
        <v>12</v>
      </c>
    </row>
    <row r="4953" spans="1:10" x14ac:dyDescent="0.25">
      <c r="A4953" s="2">
        <v>321.135867342469</v>
      </c>
      <c r="B4953" s="3">
        <v>-0.35181105668614299</v>
      </c>
      <c r="C4953" s="5">
        <v>9.4079833583873504E-7</v>
      </c>
      <c r="D4953" s="6">
        <v>5.2482551792656697E-6</v>
      </c>
      <c r="E4953" s="3" t="s">
        <v>9215</v>
      </c>
      <c r="F4953" s="3" t="s">
        <v>9216</v>
      </c>
      <c r="G4953" s="3" t="s">
        <v>83</v>
      </c>
      <c r="H4953" s="7" t="str">
        <f>HYPERLINK("http://www.ensembl.org/Mus_musculus/Gene/Summary?db=core;g=ENSMUSG00000093593","ENSMUSG00000093593")</f>
        <v>ENSMUSG00000093593</v>
      </c>
      <c r="I4953" s="7" t="str">
        <f>HYPERLINK("http://www.informatics.jax.org/marker/MGI:5313130","MGI:5313130")</f>
        <v>MGI:5313130</v>
      </c>
      <c r="J4953" s="4" t="s">
        <v>12</v>
      </c>
    </row>
    <row r="4954" spans="1:10" x14ac:dyDescent="0.25">
      <c r="A4954" s="2">
        <v>1155.57556755833</v>
      </c>
      <c r="B4954" s="3">
        <v>-0.35224913360113902</v>
      </c>
      <c r="C4954" s="3">
        <v>1.20728792758293E-4</v>
      </c>
      <c r="D4954" s="4">
        <v>4.9802676505656101E-4</v>
      </c>
      <c r="E4954" s="3" t="s">
        <v>6075</v>
      </c>
      <c r="F4954" s="3" t="s">
        <v>6076</v>
      </c>
      <c r="G4954" s="3">
        <v>27368</v>
      </c>
      <c r="H4954" s="7" t="str">
        <f>HYPERLINK("http://www.ensembl.org/Mus_musculus/Gene/Summary?db=core;g=ENSMUSG00000005374","ENSMUSG00000005374")</f>
        <v>ENSMUSG00000005374</v>
      </c>
      <c r="I4954" s="7" t="str">
        <f>HYPERLINK("http://www.informatics.jax.org/marker/MGI:1351652","MGI:1351652")</f>
        <v>MGI:1351652</v>
      </c>
      <c r="J4954" s="4" t="s">
        <v>12</v>
      </c>
    </row>
    <row r="4955" spans="1:10" x14ac:dyDescent="0.25">
      <c r="A4955" s="2">
        <v>3124.2357803845598</v>
      </c>
      <c r="B4955" s="3">
        <v>-0.35249612964042498</v>
      </c>
      <c r="C4955" s="5">
        <v>5.0220574985818599E-15</v>
      </c>
      <c r="D4955" s="6">
        <v>5.8859805730967506E-14</v>
      </c>
      <c r="E4955" s="3" t="s">
        <v>1156</v>
      </c>
      <c r="F4955" s="3" t="s">
        <v>1157</v>
      </c>
      <c r="G4955" s="3">
        <v>68275</v>
      </c>
      <c r="H4955" s="7" t="str">
        <f>HYPERLINK("http://www.ensembl.org/Mus_musculus/Gene/Summary?db=core;g=ENSMUSG00000000751","ENSMUSG00000000751")</f>
        <v>ENSMUSG00000000751</v>
      </c>
      <c r="I4955" s="7" t="str">
        <f>HYPERLINK("http://www.informatics.jax.org/marker/MGI:1915525","MGI:1915525")</f>
        <v>MGI:1915525</v>
      </c>
      <c r="J4955" s="4" t="s">
        <v>12</v>
      </c>
    </row>
    <row r="4956" spans="1:10" x14ac:dyDescent="0.25">
      <c r="A4956" s="2">
        <v>70.256966580401496</v>
      </c>
      <c r="B4956" s="3">
        <v>-0.35256920122156399</v>
      </c>
      <c r="C4956" s="3">
        <v>1.54271508922225E-2</v>
      </c>
      <c r="D4956" s="4">
        <v>4.1256027147579498E-2</v>
      </c>
      <c r="E4956" s="3" t="s">
        <v>10000</v>
      </c>
      <c r="F4956" s="3" t="s">
        <v>10001</v>
      </c>
      <c r="G4956" s="3">
        <v>66268</v>
      </c>
      <c r="H4956" s="7" t="str">
        <f>HYPERLINK("http://www.ensembl.org/Mus_musculus/Gene/Summary?db=core;g=ENSMUSG00000010607","ENSMUSG00000010607")</f>
        <v>ENSMUSG00000010607</v>
      </c>
      <c r="I4956" s="7" t="str">
        <f>HYPERLINK("http://www.informatics.jax.org/marker/MGI:1913518","MGI:1913518")</f>
        <v>MGI:1913518</v>
      </c>
      <c r="J4956" s="4" t="s">
        <v>12</v>
      </c>
    </row>
    <row r="4957" spans="1:10" x14ac:dyDescent="0.25">
      <c r="A4957" s="2">
        <v>333.50697783479899</v>
      </c>
      <c r="B4957" s="3">
        <v>-0.35266585797317102</v>
      </c>
      <c r="C4957" s="5">
        <v>3.1510273722342801E-5</v>
      </c>
      <c r="D4957" s="4">
        <v>1.42889957350012E-4</v>
      </c>
      <c r="E4957" s="3" t="s">
        <v>6561</v>
      </c>
      <c r="F4957" s="3" t="s">
        <v>6562</v>
      </c>
      <c r="G4957" s="3">
        <v>73062</v>
      </c>
      <c r="H4957" s="7" t="str">
        <f>HYPERLINK("http://www.ensembl.org/Mus_musculus/Gene/Summary?db=core;g=ENSMUSG00000033819","ENSMUSG00000033819")</f>
        <v>ENSMUSG00000033819</v>
      </c>
      <c r="I4957" s="7" t="str">
        <f>HYPERLINK("http://www.informatics.jax.org/marker/MGI:1920312","MGI:1920312")</f>
        <v>MGI:1920312</v>
      </c>
      <c r="J4957" s="4" t="s">
        <v>12</v>
      </c>
    </row>
    <row r="4958" spans="1:10" x14ac:dyDescent="0.25">
      <c r="A4958" s="2">
        <v>332.747570317552</v>
      </c>
      <c r="B4958" s="3">
        <v>-0.35272010473902499</v>
      </c>
      <c r="C4958" s="3">
        <v>2.7475374290370001E-4</v>
      </c>
      <c r="D4958" s="4">
        <v>1.06261809658728E-3</v>
      </c>
      <c r="E4958" s="3" t="s">
        <v>11463</v>
      </c>
      <c r="F4958" s="3" t="s">
        <v>11464</v>
      </c>
      <c r="G4958" s="3">
        <v>68118</v>
      </c>
      <c r="H4958" s="7" t="str">
        <f>HYPERLINK("http://www.ensembl.org/Mus_musculus/Gene/Summary?db=core;g=ENSMUSG00000037204","ENSMUSG00000037204")</f>
        <v>ENSMUSG00000037204</v>
      </c>
      <c r="I4958" s="7" t="str">
        <f>HYPERLINK("http://www.informatics.jax.org/marker/MGI:1915368","MGI:1915368")</f>
        <v>MGI:1915368</v>
      </c>
      <c r="J4958" s="4" t="s">
        <v>12</v>
      </c>
    </row>
    <row r="4959" spans="1:10" x14ac:dyDescent="0.25">
      <c r="A4959" s="2">
        <v>1562.87070039837</v>
      </c>
      <c r="B4959" s="3">
        <v>-0.35294016193827699</v>
      </c>
      <c r="C4959" s="5">
        <v>9.3227688616017901E-11</v>
      </c>
      <c r="D4959" s="6">
        <v>7.9806229451710997E-10</v>
      </c>
      <c r="E4959" s="3" t="s">
        <v>5673</v>
      </c>
      <c r="F4959" s="3" t="s">
        <v>5674</v>
      </c>
      <c r="G4959" s="3">
        <v>17158</v>
      </c>
      <c r="H4959" s="7" t="str">
        <f>HYPERLINK("http://www.ensembl.org/Mus_musculus/Gene/Summary?db=core;g=ENSMUSG00000024085","ENSMUSG00000024085")</f>
        <v>ENSMUSG00000024085</v>
      </c>
      <c r="I4959" s="7" t="str">
        <f>HYPERLINK("http://www.informatics.jax.org/marker/MGI:104669","MGI:104669")</f>
        <v>MGI:104669</v>
      </c>
      <c r="J4959" s="4" t="s">
        <v>12</v>
      </c>
    </row>
    <row r="4960" spans="1:10" x14ac:dyDescent="0.25">
      <c r="A4960" s="2">
        <v>1044.9076833113299</v>
      </c>
      <c r="B4960" s="3">
        <v>-0.35305218090979801</v>
      </c>
      <c r="C4960" s="3">
        <v>2.7452661206579798E-4</v>
      </c>
      <c r="D4960" s="4">
        <v>1.06203513158547E-3</v>
      </c>
      <c r="E4960" s="3" t="s">
        <v>9267</v>
      </c>
      <c r="F4960" s="3" t="s">
        <v>9268</v>
      </c>
      <c r="G4960" s="3">
        <v>11920</v>
      </c>
      <c r="H4960" s="7" t="str">
        <f>HYPERLINK("http://www.ensembl.org/Mus_musculus/Gene/Summary?db=core;g=ENSMUSG00000034218","ENSMUSG00000034218")</f>
        <v>ENSMUSG00000034218</v>
      </c>
      <c r="I4960" s="7" t="str">
        <f>HYPERLINK("http://www.informatics.jax.org/marker/MGI:107202","MGI:107202")</f>
        <v>MGI:107202</v>
      </c>
      <c r="J4960" s="4" t="s">
        <v>12</v>
      </c>
    </row>
    <row r="4961" spans="1:10" x14ac:dyDescent="0.25">
      <c r="A4961" s="2">
        <v>132.34314112927399</v>
      </c>
      <c r="B4961" s="3">
        <v>-0.35307333085797499</v>
      </c>
      <c r="C4961" s="3">
        <v>2.6321382774747298E-3</v>
      </c>
      <c r="D4961" s="4">
        <v>8.4679117576305397E-3</v>
      </c>
      <c r="E4961" s="3" t="s">
        <v>6728</v>
      </c>
      <c r="F4961" s="3" t="s">
        <v>6729</v>
      </c>
      <c r="G4961" s="3">
        <v>71876</v>
      </c>
      <c r="H4961" s="7" t="str">
        <f>HYPERLINK("http://www.ensembl.org/Mus_musculus/Gene/Summary?db=core;g=ENSMUSG00000031629","ENSMUSG00000031629")</f>
        <v>ENSMUSG00000031629</v>
      </c>
      <c r="I4961" s="7" t="str">
        <f>HYPERLINK("http://www.informatics.jax.org/marker/MGI:1919126","MGI:1919126")</f>
        <v>MGI:1919126</v>
      </c>
      <c r="J4961" s="4" t="s">
        <v>12</v>
      </c>
    </row>
    <row r="4962" spans="1:10" x14ac:dyDescent="0.25">
      <c r="A4962" s="2">
        <v>189.339719860842</v>
      </c>
      <c r="B4962" s="3">
        <v>-0.35332429352218198</v>
      </c>
      <c r="C4962" s="3">
        <v>4.23193438714155E-4</v>
      </c>
      <c r="D4962" s="4">
        <v>1.5892644592139899E-3</v>
      </c>
      <c r="E4962" s="3" t="s">
        <v>12869</v>
      </c>
      <c r="F4962" s="3" t="s">
        <v>12870</v>
      </c>
      <c r="G4962" s="3">
        <v>54201</v>
      </c>
      <c r="H4962" s="7" t="str">
        <f>HYPERLINK("http://www.ensembl.org/Mus_musculus/Gene/Summary?db=core;g=ENSMUSG00000046658","ENSMUSG00000046658")</f>
        <v>ENSMUSG00000046658</v>
      </c>
      <c r="I4962" s="7" t="str">
        <f>HYPERLINK("http://www.informatics.jax.org/marker/MGI:1860402","MGI:1860402")</f>
        <v>MGI:1860402</v>
      </c>
      <c r="J4962" s="4" t="s">
        <v>12</v>
      </c>
    </row>
    <row r="4963" spans="1:10" x14ac:dyDescent="0.25">
      <c r="A4963" s="2">
        <v>1229.10169555067</v>
      </c>
      <c r="B4963" s="3">
        <v>-0.35351169142481997</v>
      </c>
      <c r="C4963" s="5">
        <v>3.9513706925068297E-8</v>
      </c>
      <c r="D4963" s="6">
        <v>2.5664194893420198E-7</v>
      </c>
      <c r="E4963" s="3" t="s">
        <v>11044</v>
      </c>
      <c r="F4963" s="3" t="s">
        <v>11045</v>
      </c>
      <c r="G4963" s="3">
        <v>268752</v>
      </c>
      <c r="H4963" s="7" t="str">
        <f>HYPERLINK("http://www.ensembl.org/Mus_musculus/Gene/Summary?db=core;g=ENSMUSG00000014547","ENSMUSG00000014547")</f>
        <v>ENSMUSG00000014547</v>
      </c>
      <c r="I4963" s="7" t="str">
        <f>HYPERLINK("http://www.informatics.jax.org/marker/MGI:2442811","MGI:2442811")</f>
        <v>MGI:2442811</v>
      </c>
      <c r="J4963" s="4" t="s">
        <v>12</v>
      </c>
    </row>
    <row r="4964" spans="1:10" x14ac:dyDescent="0.25">
      <c r="A4964" s="2">
        <v>1291.73523052976</v>
      </c>
      <c r="B4964" s="3">
        <v>-0.35354030906125899</v>
      </c>
      <c r="C4964" s="5">
        <v>8.28970336011326E-12</v>
      </c>
      <c r="D4964" s="6">
        <v>7.7556387955884995E-11</v>
      </c>
      <c r="E4964" s="3" t="s">
        <v>3548</v>
      </c>
      <c r="F4964" s="3" t="s">
        <v>3549</v>
      </c>
      <c r="G4964" s="3">
        <v>77626</v>
      </c>
      <c r="H4964" s="7" t="str">
        <f>HYPERLINK("http://www.ensembl.org/Mus_musculus/Gene/Summary?db=core;g=ENSMUSG00000005899","ENSMUSG00000005899")</f>
        <v>ENSMUSG00000005899</v>
      </c>
      <c r="I4964" s="7" t="str">
        <f>HYPERLINK("http://www.informatics.jax.org/marker/MGI:1924876","MGI:1924876")</f>
        <v>MGI:1924876</v>
      </c>
      <c r="J4964" s="4" t="s">
        <v>12</v>
      </c>
    </row>
    <row r="4965" spans="1:10" x14ac:dyDescent="0.25">
      <c r="A4965" s="2">
        <v>1368.9498476946201</v>
      </c>
      <c r="B4965" s="3">
        <v>-0.35377311381711402</v>
      </c>
      <c r="C4965" s="5">
        <v>2.4127740114143999E-10</v>
      </c>
      <c r="D4965" s="6">
        <v>2.0005826368529301E-9</v>
      </c>
      <c r="E4965" s="3" t="s">
        <v>4055</v>
      </c>
      <c r="F4965" s="3" t="s">
        <v>4056</v>
      </c>
      <c r="G4965" s="3">
        <v>77683</v>
      </c>
      <c r="H4965" s="7" t="str">
        <f>HYPERLINK("http://www.ensembl.org/Mus_musculus/Gene/Summary?db=core;g=ENSMUSG00000036893","ENSMUSG00000036893")</f>
        <v>ENSMUSG00000036893</v>
      </c>
      <c r="I4965" s="7" t="str">
        <f>HYPERLINK("http://www.informatics.jax.org/marker/MGI:1924933","MGI:1924933")</f>
        <v>MGI:1924933</v>
      </c>
      <c r="J4965" s="4" t="s">
        <v>12</v>
      </c>
    </row>
    <row r="4966" spans="1:10" x14ac:dyDescent="0.25">
      <c r="A4966" s="2">
        <v>287.79542994645101</v>
      </c>
      <c r="B4966" s="3">
        <v>-0.35431518860501099</v>
      </c>
      <c r="C4966" s="5">
        <v>3.2870890011115298E-5</v>
      </c>
      <c r="D4966" s="4">
        <v>1.4846888982715699E-4</v>
      </c>
      <c r="E4966" s="3" t="s">
        <v>8359</v>
      </c>
      <c r="F4966" s="3" t="s">
        <v>8360</v>
      </c>
      <c r="G4966" s="3">
        <v>106821</v>
      </c>
      <c r="H4966" s="7" t="str">
        <f>HYPERLINK("http://www.ensembl.org/Mus_musculus/Gene/Summary?db=core;g=ENSMUSG00000040771","ENSMUSG00000040771")</f>
        <v>ENSMUSG00000040771</v>
      </c>
      <c r="I4966" s="7" t="str">
        <f>HYPERLINK("http://www.informatics.jax.org/marker/MGI:2146818","MGI:2146818")</f>
        <v>MGI:2146818</v>
      </c>
      <c r="J4966" s="4" t="s">
        <v>12</v>
      </c>
    </row>
    <row r="4967" spans="1:10" x14ac:dyDescent="0.25">
      <c r="A4967" s="2">
        <v>687.292958326698</v>
      </c>
      <c r="B4967" s="3">
        <v>-0.35437342206699501</v>
      </c>
      <c r="C4967" s="3">
        <v>4.6182631185162301E-4</v>
      </c>
      <c r="D4967" s="4">
        <v>1.72581187892061E-3</v>
      </c>
      <c r="E4967" s="3" t="s">
        <v>6543</v>
      </c>
      <c r="F4967" s="3" t="s">
        <v>6544</v>
      </c>
      <c r="G4967" s="3">
        <v>66131</v>
      </c>
      <c r="H4967" s="7" t="str">
        <f>HYPERLINK("http://www.ensembl.org/Mus_musculus/Gene/Summary?db=core;g=ENSMUSG00000032397","ENSMUSG00000032397")</f>
        <v>ENSMUSG00000032397</v>
      </c>
      <c r="I4967" s="7" t="str">
        <f>HYPERLINK("http://www.informatics.jax.org/marker/MGI:1921571","MGI:1921571")</f>
        <v>MGI:1921571</v>
      </c>
      <c r="J4967" s="4" t="s">
        <v>12</v>
      </c>
    </row>
    <row r="4968" spans="1:10" x14ac:dyDescent="0.25">
      <c r="A4968" s="2">
        <v>133.19234808803799</v>
      </c>
      <c r="B4968" s="3">
        <v>-0.35473492393560402</v>
      </c>
      <c r="C4968" s="3">
        <v>2.02816031619281E-3</v>
      </c>
      <c r="D4968" s="4">
        <v>6.7035222638037696E-3</v>
      </c>
      <c r="E4968" s="3" t="s">
        <v>12893</v>
      </c>
      <c r="F4968" s="3" t="s">
        <v>12894</v>
      </c>
      <c r="G4968" s="3">
        <v>57782</v>
      </c>
      <c r="H4968" s="7" t="str">
        <f>HYPERLINK("http://www.ensembl.org/Mus_musculus/Gene/Summary?db=core;g=ENSMUSG00000061898","ENSMUSG00000061898")</f>
        <v>ENSMUSG00000061898</v>
      </c>
      <c r="I4968" s="7" t="str">
        <f>HYPERLINK("http://www.informatics.jax.org/marker/MGI:1927369","MGI:1927369")</f>
        <v>MGI:1927369</v>
      </c>
      <c r="J4968" s="4" t="s">
        <v>12</v>
      </c>
    </row>
    <row r="4969" spans="1:10" x14ac:dyDescent="0.25">
      <c r="A4969" s="2">
        <v>2070.67895962581</v>
      </c>
      <c r="B4969" s="3">
        <v>-0.35488979906496598</v>
      </c>
      <c r="C4969" s="5">
        <v>9.5285303992799205E-13</v>
      </c>
      <c r="D4969" s="6">
        <v>9.6637432680510096E-12</v>
      </c>
      <c r="E4969" s="3" t="s">
        <v>2716</v>
      </c>
      <c r="F4969" s="3" t="s">
        <v>2717</v>
      </c>
      <c r="G4969" s="3">
        <v>65246</v>
      </c>
      <c r="H4969" s="7" t="str">
        <f>HYPERLINK("http://www.ensembl.org/Mus_musculus/Gene/Summary?db=core;g=ENSMUSG00000022100","ENSMUSG00000022100")</f>
        <v>ENSMUSG00000022100</v>
      </c>
      <c r="I4969" s="7" t="str">
        <f>HYPERLINK("http://www.informatics.jax.org/marker/MGI:1929705","MGI:1929705")</f>
        <v>MGI:1929705</v>
      </c>
      <c r="J4969" s="4" t="s">
        <v>12</v>
      </c>
    </row>
    <row r="4970" spans="1:10" x14ac:dyDescent="0.25">
      <c r="A4970" s="2">
        <v>1245.2734517638701</v>
      </c>
      <c r="B4970" s="3">
        <v>-0.35522299718254302</v>
      </c>
      <c r="C4970" s="5">
        <v>9.0313681612881095E-16</v>
      </c>
      <c r="D4970" s="6">
        <v>1.11590972704729E-14</v>
      </c>
      <c r="E4970" s="3" t="s">
        <v>1534</v>
      </c>
      <c r="F4970" s="3" t="s">
        <v>1535</v>
      </c>
      <c r="G4970" s="3">
        <v>13138</v>
      </c>
      <c r="H4970" s="7" t="str">
        <f>HYPERLINK("http://www.ensembl.org/Mus_musculus/Gene/Summary?db=core;g=ENSMUSG00000039952","ENSMUSG00000039952")</f>
        <v>ENSMUSG00000039952</v>
      </c>
      <c r="I4970" s="7" t="str">
        <f>HYPERLINK("http://www.informatics.jax.org/marker/MGI:101864","MGI:101864")</f>
        <v>MGI:101864</v>
      </c>
      <c r="J4970" s="4" t="s">
        <v>12</v>
      </c>
    </row>
    <row r="4971" spans="1:10" x14ac:dyDescent="0.25">
      <c r="A4971" s="2">
        <v>2480.3344417770199</v>
      </c>
      <c r="B4971" s="3">
        <v>-0.35524144465042301</v>
      </c>
      <c r="C4971" s="5">
        <v>1.0284246596922101E-6</v>
      </c>
      <c r="D4971" s="6">
        <v>5.7143412874666296E-6</v>
      </c>
      <c r="E4971" s="3" t="s">
        <v>8121</v>
      </c>
      <c r="F4971" s="3" t="s">
        <v>8122</v>
      </c>
      <c r="G4971" s="3">
        <v>66848</v>
      </c>
      <c r="H4971" s="7" t="str">
        <f>HYPERLINK("http://www.ensembl.org/Mus_musculus/Gene/Summary?db=core;g=ENSMUSG00000019810","ENSMUSG00000019810")</f>
        <v>ENSMUSG00000019810</v>
      </c>
      <c r="I4971" s="7" t="str">
        <f>HYPERLINK("http://www.informatics.jax.org/marker/MGI:1914098","MGI:1914098")</f>
        <v>MGI:1914098</v>
      </c>
      <c r="J4971" s="4" t="s">
        <v>12</v>
      </c>
    </row>
    <row r="4972" spans="1:10" x14ac:dyDescent="0.25">
      <c r="A4972" s="2">
        <v>88.161663641576794</v>
      </c>
      <c r="B4972" s="3">
        <v>-0.35539702142619001</v>
      </c>
      <c r="C4972" s="3">
        <v>3.1124694580362499E-2</v>
      </c>
      <c r="D4972" s="4">
        <v>7.5957091420341002E-2</v>
      </c>
      <c r="E4972" s="3" t="s">
        <v>9371</v>
      </c>
      <c r="F4972" s="3" t="s">
        <v>9372</v>
      </c>
      <c r="G4972" s="3">
        <v>230126</v>
      </c>
      <c r="H4972" s="7" t="str">
        <f>HYPERLINK("http://www.ensembl.org/Mus_musculus/Gene/Summary?db=core;g=ENSMUSG00000044813","ENSMUSG00000044813")</f>
        <v>ENSMUSG00000044813</v>
      </c>
      <c r="I4972" s="7" t="str">
        <f>HYPERLINK("http://www.informatics.jax.org/marker/MGI:98294","MGI:98294")</f>
        <v>MGI:98294</v>
      </c>
      <c r="J4972" s="4" t="s">
        <v>12</v>
      </c>
    </row>
    <row r="4973" spans="1:10" x14ac:dyDescent="0.25">
      <c r="A4973" s="2">
        <v>916.95320738901501</v>
      </c>
      <c r="B4973" s="3">
        <v>-0.35577651524494802</v>
      </c>
      <c r="C4973" s="5">
        <v>1.27428144922865E-8</v>
      </c>
      <c r="D4973" s="6">
        <v>8.8002195574809305E-8</v>
      </c>
      <c r="E4973" s="3" t="s">
        <v>2241</v>
      </c>
      <c r="F4973" s="3" t="s">
        <v>2242</v>
      </c>
      <c r="G4973" s="3">
        <v>67886</v>
      </c>
      <c r="H4973" s="7" t="str">
        <f>HYPERLINK("http://www.ensembl.org/Mus_musculus/Gene/Summary?db=core;g=ENSMUSG00000041570","ENSMUSG00000041570")</f>
        <v>ENSMUSG00000041570</v>
      </c>
      <c r="I4973" s="7" t="str">
        <f>HYPERLINK("http://www.informatics.jax.org/marker/MGI:1922434","MGI:1922434")</f>
        <v>MGI:1922434</v>
      </c>
      <c r="J4973" s="4" t="s">
        <v>12</v>
      </c>
    </row>
    <row r="4974" spans="1:10" x14ac:dyDescent="0.25">
      <c r="A4974" s="2">
        <v>695.19013286860002</v>
      </c>
      <c r="B4974" s="3">
        <v>-0.35588531903015402</v>
      </c>
      <c r="C4974" s="5">
        <v>1.0517398506950499E-7</v>
      </c>
      <c r="D4974" s="6">
        <v>6.5711205961320997E-7</v>
      </c>
      <c r="E4974" s="3" t="s">
        <v>9655</v>
      </c>
      <c r="F4974" s="3" t="s">
        <v>9656</v>
      </c>
      <c r="G4974" s="3">
        <v>64656</v>
      </c>
      <c r="H4974" s="7" t="str">
        <f>HYPERLINK("http://www.ensembl.org/Mus_musculus/Gene/Summary?db=core;g=ENSMUSG00000023723","ENSMUSG00000023723")</f>
        <v>ENSMUSG00000023723</v>
      </c>
      <c r="I4974" s="7" t="str">
        <f>HYPERLINK("http://www.informatics.jax.org/marker/MGI:1928138","MGI:1928138")</f>
        <v>MGI:1928138</v>
      </c>
      <c r="J4974" s="4" t="s">
        <v>12</v>
      </c>
    </row>
    <row r="4975" spans="1:10" x14ac:dyDescent="0.25">
      <c r="A4975" s="2">
        <v>33.583495190397301</v>
      </c>
      <c r="B4975" s="3">
        <v>-0.35589118446493601</v>
      </c>
      <c r="C4975" s="3">
        <v>7.4873438289451005E-2</v>
      </c>
      <c r="D4975" s="4">
        <v>0.16012302426956601</v>
      </c>
      <c r="E4975" s="3" t="s">
        <v>8169</v>
      </c>
      <c r="F4975" s="3" t="s">
        <v>8170</v>
      </c>
      <c r="G4975" s="3">
        <v>13845</v>
      </c>
      <c r="H4975" s="7" t="str">
        <f>HYPERLINK("http://www.ensembl.org/Mus_musculus/Gene/Summary?db=core;g=ENSMUSG00000005958","ENSMUSG00000005958")</f>
        <v>ENSMUSG00000005958</v>
      </c>
      <c r="I4975" s="7" t="str">
        <f>HYPERLINK("http://www.informatics.jax.org/marker/MGI:104770","MGI:104770")</f>
        <v>MGI:104770</v>
      </c>
      <c r="J4975" s="4" t="s">
        <v>12</v>
      </c>
    </row>
    <row r="4976" spans="1:10" x14ac:dyDescent="0.25">
      <c r="A4976" s="2">
        <v>385.47055123779199</v>
      </c>
      <c r="B4976" s="3">
        <v>-0.35614600014311198</v>
      </c>
      <c r="C4976" s="5">
        <v>1.2061124728041599E-7</v>
      </c>
      <c r="D4976" s="6">
        <v>7.4817562344642096E-7</v>
      </c>
      <c r="E4976" s="3" t="s">
        <v>9185</v>
      </c>
      <c r="F4976" s="3" t="s">
        <v>9186</v>
      </c>
      <c r="G4976" s="3">
        <v>30941</v>
      </c>
      <c r="H4976" s="7" t="str">
        <f>HYPERLINK("http://www.ensembl.org/Mus_musculus/Gene/Summary?db=core;g=ENSMUSG00000053483","ENSMUSG00000053483")</f>
        <v>ENSMUSG00000053483</v>
      </c>
      <c r="I4976" s="7" t="str">
        <f>HYPERLINK("http://www.informatics.jax.org/marker/MGI:1353665","MGI:1353665")</f>
        <v>MGI:1353665</v>
      </c>
      <c r="J4976" s="4" t="s">
        <v>12</v>
      </c>
    </row>
    <row r="4977" spans="1:10" x14ac:dyDescent="0.25">
      <c r="A4977" s="2">
        <v>148.19168557521499</v>
      </c>
      <c r="B4977" s="3">
        <v>-0.35617389791499299</v>
      </c>
      <c r="C4977" s="3">
        <v>3.3133422265862397E-2</v>
      </c>
      <c r="D4977" s="4">
        <v>8.0257392450204898E-2</v>
      </c>
      <c r="E4977" s="3" t="s">
        <v>12394</v>
      </c>
      <c r="F4977" s="3" t="s">
        <v>12395</v>
      </c>
      <c r="G4977" s="3">
        <v>227721</v>
      </c>
      <c r="H4977" s="7" t="str">
        <f>HYPERLINK("http://www.ensembl.org/Mus_musculus/Gene/Summary?db=core;g=ENSMUSG00000051373","ENSMUSG00000051373")</f>
        <v>ENSMUSG00000051373</v>
      </c>
      <c r="I4977" s="7" t="str">
        <f>HYPERLINK("http://www.informatics.jax.org/marker/MGI:2445183","MGI:2445183")</f>
        <v>MGI:2445183</v>
      </c>
      <c r="J4977" s="4" t="s">
        <v>12</v>
      </c>
    </row>
    <row r="4978" spans="1:10" x14ac:dyDescent="0.25">
      <c r="A4978" s="2">
        <v>574.83017543257404</v>
      </c>
      <c r="B4978" s="3">
        <v>-0.35642641950470899</v>
      </c>
      <c r="C4978" s="3">
        <v>1.6741337902229699E-4</v>
      </c>
      <c r="D4978" s="4">
        <v>6.73831455980865E-4</v>
      </c>
      <c r="E4978" s="3" t="s">
        <v>6227</v>
      </c>
      <c r="F4978" s="3" t="s">
        <v>6228</v>
      </c>
      <c r="G4978" s="3">
        <v>73122</v>
      </c>
      <c r="H4978" s="7" t="str">
        <f>HYPERLINK("http://www.ensembl.org/Mus_musculus/Gene/Summary?db=core;g=ENSMUSG00000070939","ENSMUSG00000070939")</f>
        <v>ENSMUSG00000070939</v>
      </c>
      <c r="I4978" s="7" t="str">
        <f>HYPERLINK("http://www.informatics.jax.org/marker/MGI:2447427","MGI:2447427")</f>
        <v>MGI:2447427</v>
      </c>
      <c r="J4978" s="4" t="s">
        <v>12</v>
      </c>
    </row>
    <row r="4979" spans="1:10" x14ac:dyDescent="0.25">
      <c r="A4979" s="2">
        <v>1298.20030727067</v>
      </c>
      <c r="B4979" s="3">
        <v>-0.35650748798557702</v>
      </c>
      <c r="C4979" s="5">
        <v>1.41055782789341E-5</v>
      </c>
      <c r="D4979" s="6">
        <v>6.74558289513444E-5</v>
      </c>
      <c r="E4979" s="3" t="s">
        <v>5665</v>
      </c>
      <c r="F4979" s="3" t="s">
        <v>5666</v>
      </c>
      <c r="G4979" s="3">
        <v>99003</v>
      </c>
      <c r="H4979" s="7" t="str">
        <f>HYPERLINK("http://www.ensembl.org/Mus_musculus/Gene/Summary?db=core;g=ENSMUSG00000074994","ENSMUSG00000074994")</f>
        <v>ENSMUSG00000074994</v>
      </c>
      <c r="I4979" s="7" t="str">
        <f>HYPERLINK("http://www.informatics.jax.org/marker/MGI:2138986","MGI:2138986")</f>
        <v>MGI:2138986</v>
      </c>
      <c r="J4979" s="4" t="s">
        <v>12</v>
      </c>
    </row>
    <row r="4980" spans="1:10" x14ac:dyDescent="0.25">
      <c r="A4980" s="2">
        <v>537.29727536882899</v>
      </c>
      <c r="B4980" s="3">
        <v>-0.35749082441982999</v>
      </c>
      <c r="C4980" s="5">
        <v>1.7130089619864201E-7</v>
      </c>
      <c r="D4980" s="6">
        <v>1.04728575418324E-6</v>
      </c>
      <c r="E4980" s="3" t="s">
        <v>9573</v>
      </c>
      <c r="F4980" s="3" t="s">
        <v>9574</v>
      </c>
      <c r="G4980" s="3">
        <v>72113</v>
      </c>
      <c r="H4980" s="7" t="str">
        <f>HYPERLINK("http://www.ensembl.org/Mus_musculus/Gene/Summary?db=core;g=ENSMUSG00000021044","ENSMUSG00000021044")</f>
        <v>ENSMUSG00000021044</v>
      </c>
      <c r="I4980" s="7" t="str">
        <f>HYPERLINK("http://www.informatics.jax.org/marker/MGI:1919363","MGI:1919363")</f>
        <v>MGI:1919363</v>
      </c>
      <c r="J4980" s="4" t="s">
        <v>12</v>
      </c>
    </row>
    <row r="4981" spans="1:10" x14ac:dyDescent="0.25">
      <c r="A4981" s="2">
        <v>1451.0531204265701</v>
      </c>
      <c r="B4981" s="3">
        <v>-0.35790265128103099</v>
      </c>
      <c r="C4981" s="5">
        <v>1.5911241577033202E-8</v>
      </c>
      <c r="D4981" s="6">
        <v>1.08485738025226E-7</v>
      </c>
      <c r="E4981" s="3" t="s">
        <v>7506</v>
      </c>
      <c r="F4981" s="3" t="s">
        <v>7507</v>
      </c>
      <c r="G4981" s="3">
        <v>20817</v>
      </c>
      <c r="H4981" s="7" t="str">
        <f>HYPERLINK("http://www.ensembl.org/Mus_musculus/Gene/Summary?db=core;g=ENSMUSG00000062604","ENSMUSG00000062604")</f>
        <v>ENSMUSG00000062604</v>
      </c>
      <c r="I4981" s="7" t="str">
        <f>HYPERLINK("http://www.informatics.jax.org/marker/MGI:1201408","MGI:1201408")</f>
        <v>MGI:1201408</v>
      </c>
      <c r="J4981" s="4" t="s">
        <v>12</v>
      </c>
    </row>
    <row r="4982" spans="1:10" x14ac:dyDescent="0.25">
      <c r="A4982" s="2">
        <v>161.174699060591</v>
      </c>
      <c r="B4982" s="3">
        <v>-0.35805945894718</v>
      </c>
      <c r="C4982" s="3">
        <v>1.3314910296853601E-4</v>
      </c>
      <c r="D4982" s="4">
        <v>5.4457863590699296E-4</v>
      </c>
      <c r="E4982" s="3" t="s">
        <v>7999</v>
      </c>
      <c r="F4982" s="3" t="s">
        <v>8000</v>
      </c>
      <c r="G4982" s="3" t="s">
        <v>83</v>
      </c>
      <c r="H4982" s="7" t="str">
        <f>HYPERLINK("http://www.ensembl.org/Mus_musculus/Gene/Summary?db=core;g=ENSMUSG00000093575","ENSMUSG00000093575")</f>
        <v>ENSMUSG00000093575</v>
      </c>
      <c r="I4982" s="7" t="str">
        <f>HYPERLINK("http://www.informatics.jax.org/marker/MGI:5313142","MGI:5313142")</f>
        <v>MGI:5313142</v>
      </c>
      <c r="J4982" s="4" t="s">
        <v>12</v>
      </c>
    </row>
    <row r="4983" spans="1:10" x14ac:dyDescent="0.25">
      <c r="A4983" s="2">
        <v>686.50168836224998</v>
      </c>
      <c r="B4983" s="3">
        <v>-0.358338355805566</v>
      </c>
      <c r="C4983" s="5">
        <v>2.7806769959734001E-8</v>
      </c>
      <c r="D4983" s="6">
        <v>1.8468599945923899E-7</v>
      </c>
      <c r="E4983" s="3" t="s">
        <v>5703</v>
      </c>
      <c r="F4983" s="3" t="s">
        <v>5704</v>
      </c>
      <c r="G4983" s="3" t="s">
        <v>83</v>
      </c>
      <c r="H4983" s="7" t="str">
        <f>HYPERLINK("http://www.ensembl.org/Mus_musculus/Gene/Summary?db=core;g=ENSMUSG00000049881","ENSMUSG00000049881")</f>
        <v>ENSMUSG00000049881</v>
      </c>
      <c r="I4983" s="7" t="str">
        <f>HYPERLINK("http://www.informatics.jax.org/marker/MGI:1917203","MGI:1917203")</f>
        <v>MGI:1917203</v>
      </c>
      <c r="J4983" s="4" t="s">
        <v>5705</v>
      </c>
    </row>
    <row r="4984" spans="1:10" x14ac:dyDescent="0.25">
      <c r="A4984" s="2">
        <v>68.467241256787105</v>
      </c>
      <c r="B4984" s="3">
        <v>-0.35849445965761101</v>
      </c>
      <c r="C4984" s="3">
        <v>1.66314749470368E-2</v>
      </c>
      <c r="D4984" s="4">
        <v>4.3996841230490399E-2</v>
      </c>
      <c r="E4984" s="3" t="s">
        <v>13167</v>
      </c>
      <c r="F4984" s="3" t="s">
        <v>13168</v>
      </c>
      <c r="G4984" s="3" t="s">
        <v>83</v>
      </c>
      <c r="H4984" s="7" t="str">
        <f>HYPERLINK("http://www.ensembl.org/Mus_musculus/Gene/Summary?db=core;g=ENSMUSG00000092356","ENSMUSG00000092356")</f>
        <v>ENSMUSG00000092356</v>
      </c>
      <c r="I4984" s="7" t="str">
        <f>HYPERLINK("http://www.informatics.jax.org/marker/MGI:5141997","MGI:5141997")</f>
        <v>MGI:5141997</v>
      </c>
      <c r="J4984" s="4" t="s">
        <v>12</v>
      </c>
    </row>
    <row r="4985" spans="1:10" x14ac:dyDescent="0.25">
      <c r="A4985" s="2">
        <v>237.27777223980101</v>
      </c>
      <c r="B4985" s="3">
        <v>-0.35853878871839701</v>
      </c>
      <c r="C4985" s="5">
        <v>1.8101708261021898E-5</v>
      </c>
      <c r="D4985" s="6">
        <v>8.5224395003132101E-5</v>
      </c>
      <c r="E4985" s="3" t="s">
        <v>7806</v>
      </c>
      <c r="F4985" s="3" t="s">
        <v>7807</v>
      </c>
      <c r="G4985" s="3">
        <v>67892</v>
      </c>
      <c r="H4985" s="7" t="str">
        <f>HYPERLINK("http://www.ensembl.org/Mus_musculus/Gene/Summary?db=core;g=ENSMUSG00000051671","ENSMUSG00000051671")</f>
        <v>ENSMUSG00000051671</v>
      </c>
      <c r="I4985" s="7" t="str">
        <f>HYPERLINK("http://www.informatics.jax.org/marker/MGI:1915142","MGI:1915142")</f>
        <v>MGI:1915142</v>
      </c>
      <c r="J4985" s="4" t="s">
        <v>12</v>
      </c>
    </row>
    <row r="4986" spans="1:10" x14ac:dyDescent="0.25">
      <c r="A4986" s="2">
        <v>626.992542662446</v>
      </c>
      <c r="B4986" s="3">
        <v>-0.35858749763466002</v>
      </c>
      <c r="C4986" s="5">
        <v>4.1865355607771901E-5</v>
      </c>
      <c r="D4986" s="4">
        <v>1.8582467266235801E-4</v>
      </c>
      <c r="E4986" s="3" t="s">
        <v>9699</v>
      </c>
      <c r="F4986" s="3" t="s">
        <v>9700</v>
      </c>
      <c r="G4986" s="3">
        <v>72512</v>
      </c>
      <c r="H4986" s="7" t="str">
        <f>HYPERLINK("http://www.ensembl.org/Mus_musculus/Gene/Summary?db=core;g=ENSMUSG00000024349","ENSMUSG00000024349")</f>
        <v>ENSMUSG00000024349</v>
      </c>
      <c r="I4986" s="7" t="str">
        <f>HYPERLINK("http://www.informatics.jax.org/marker/MGI:1919762","MGI:1919762")</f>
        <v>MGI:1919762</v>
      </c>
      <c r="J4986" s="4" t="s">
        <v>12</v>
      </c>
    </row>
    <row r="4987" spans="1:10" x14ac:dyDescent="0.25">
      <c r="A4987" s="2">
        <v>739.80846427329197</v>
      </c>
      <c r="B4987" s="3">
        <v>-0.35859281612476201</v>
      </c>
      <c r="C4987" s="5">
        <v>6.0987451408241499E-5</v>
      </c>
      <c r="D4987" s="4">
        <v>2.6370019025271702E-4</v>
      </c>
      <c r="E4987" s="3" t="s">
        <v>9125</v>
      </c>
      <c r="F4987" s="3" t="s">
        <v>9126</v>
      </c>
      <c r="G4987" s="3">
        <v>108657</v>
      </c>
      <c r="H4987" s="7" t="str">
        <f>HYPERLINK("http://www.ensembl.org/Mus_musculus/Gene/Summary?db=core;g=ENSMUSG00000026269","ENSMUSG00000026269")</f>
        <v>ENSMUSG00000026269</v>
      </c>
      <c r="I4987" s="7" t="str">
        <f>HYPERLINK("http://www.informatics.jax.org/marker/MGI:1914170","MGI:1914170")</f>
        <v>MGI:1914170</v>
      </c>
      <c r="J4987" s="4" t="s">
        <v>12</v>
      </c>
    </row>
    <row r="4988" spans="1:10" x14ac:dyDescent="0.25">
      <c r="A4988" s="2">
        <v>837.93105700766296</v>
      </c>
      <c r="B4988" s="3">
        <v>-0.35879001352453699</v>
      </c>
      <c r="C4988" s="5">
        <v>2.51426289352599E-14</v>
      </c>
      <c r="D4988" s="6">
        <v>2.83029284956833E-13</v>
      </c>
      <c r="E4988" s="3" t="s">
        <v>2679</v>
      </c>
      <c r="F4988" s="3" t="s">
        <v>2680</v>
      </c>
      <c r="G4988" s="3">
        <v>56292</v>
      </c>
      <c r="H4988" s="7" t="str">
        <f>HYPERLINK("http://www.ensembl.org/Mus_musculus/Gene/Summary?db=core;g=ENSMUSG00000031388","ENSMUSG00000031388")</f>
        <v>ENSMUSG00000031388</v>
      </c>
      <c r="I4988" s="7" t="str">
        <f>HYPERLINK("http://www.informatics.jax.org/marker/MGI:1915255","MGI:1915255")</f>
        <v>MGI:1915255</v>
      </c>
      <c r="J4988" s="4" t="s">
        <v>12</v>
      </c>
    </row>
    <row r="4989" spans="1:10" x14ac:dyDescent="0.25">
      <c r="A4989" s="2">
        <v>158.073357926532</v>
      </c>
      <c r="B4989" s="3">
        <v>-0.358807920851406</v>
      </c>
      <c r="C4989" s="3">
        <v>2.1028839713777398E-3</v>
      </c>
      <c r="D4989" s="4">
        <v>6.9191298751325597E-3</v>
      </c>
      <c r="E4989" s="3" t="s">
        <v>9043</v>
      </c>
      <c r="F4989" s="3" t="s">
        <v>9044</v>
      </c>
      <c r="G4989" s="3">
        <v>100900</v>
      </c>
      <c r="H4989" s="7" t="str">
        <f>HYPERLINK("http://www.ensembl.org/Mus_musculus/Gene/Summary?db=core;g=ENSMUSG00000043510","ENSMUSG00000043510")</f>
        <v>ENSMUSG00000043510</v>
      </c>
      <c r="I4989" s="7" t="str">
        <f>HYPERLINK("http://www.informatics.jax.org/marker/MGI:2141135","MGI:2141135")</f>
        <v>MGI:2141135</v>
      </c>
      <c r="J4989" s="4" t="s">
        <v>12</v>
      </c>
    </row>
    <row r="4990" spans="1:10" x14ac:dyDescent="0.25">
      <c r="A4990" s="2">
        <v>190.32243533233299</v>
      </c>
      <c r="B4990" s="3">
        <v>-0.359059273992616</v>
      </c>
      <c r="C4990" s="3">
        <v>1.3867527875451801E-2</v>
      </c>
      <c r="D4990" s="4">
        <v>3.7481194650765E-2</v>
      </c>
      <c r="E4990" s="3" t="s">
        <v>12625</v>
      </c>
      <c r="F4990" s="3" t="s">
        <v>12626</v>
      </c>
      <c r="G4990" s="3">
        <v>114679</v>
      </c>
      <c r="H4990" s="7" t="str">
        <f>HYPERLINK("http://www.ensembl.org/Mus_musculus/Gene/Summary?db=core;g=ENSMUSG00000075702","ENSMUSG00000075702")</f>
        <v>ENSMUSG00000075702</v>
      </c>
      <c r="I4990" s="7" t="str">
        <f>HYPERLINK("http://www.informatics.jax.org/marker/MGI:2149786","MGI:2149786")</f>
        <v>MGI:2149786</v>
      </c>
      <c r="J4990" s="4" t="s">
        <v>12</v>
      </c>
    </row>
    <row r="4991" spans="1:10" x14ac:dyDescent="0.25">
      <c r="A4991" s="2">
        <v>1956.1988750312801</v>
      </c>
      <c r="B4991" s="3">
        <v>-0.35915903305186703</v>
      </c>
      <c r="C4991" s="5">
        <v>4.7454131030466699E-5</v>
      </c>
      <c r="D4991" s="4">
        <v>2.0905282524299199E-4</v>
      </c>
      <c r="E4991" s="3" t="s">
        <v>8063</v>
      </c>
      <c r="F4991" s="3" t="s">
        <v>8064</v>
      </c>
      <c r="G4991" s="3">
        <v>52683</v>
      </c>
      <c r="H4991" s="7" t="str">
        <f>HYPERLINK("http://www.ensembl.org/Mus_musculus/Gene/Summary?db=core;g=ENSMUSG00000008690","ENSMUSG00000008690")</f>
        <v>ENSMUSG00000008690</v>
      </c>
      <c r="I4991" s="7" t="str">
        <f>HYPERLINK("http://www.informatics.jax.org/marker/MGI:1289164","MGI:1289164")</f>
        <v>MGI:1289164</v>
      </c>
      <c r="J4991" s="4" t="s">
        <v>12</v>
      </c>
    </row>
    <row r="4992" spans="1:10" x14ac:dyDescent="0.25">
      <c r="A4992" s="2">
        <v>115.599943065506</v>
      </c>
      <c r="B4992" s="3">
        <v>-0.35948045212674201</v>
      </c>
      <c r="C4992" s="3">
        <v>3.2713429819954299E-3</v>
      </c>
      <c r="D4992" s="4">
        <v>1.02828951098425E-2</v>
      </c>
      <c r="E4992" s="3" t="s">
        <v>4185</v>
      </c>
      <c r="F4992" s="3" t="s">
        <v>4186</v>
      </c>
      <c r="G4992" s="3">
        <v>74166</v>
      </c>
      <c r="H4992" s="7" t="str">
        <f>HYPERLINK("http://www.ensembl.org/Mus_musculus/Gene/Summary?db=core;g=ENSMUSG00000031791","ENSMUSG00000031791")</f>
        <v>ENSMUSG00000031791</v>
      </c>
      <c r="I4992" s="7" t="str">
        <f>HYPERLINK("http://www.informatics.jax.org/marker/MGI:1921416","MGI:1921416")</f>
        <v>MGI:1921416</v>
      </c>
      <c r="J4992" s="4" t="s">
        <v>12</v>
      </c>
    </row>
    <row r="4993" spans="1:10" x14ac:dyDescent="0.25">
      <c r="A4993" s="2">
        <v>1117.95812498124</v>
      </c>
      <c r="B4993" s="3">
        <v>-0.35977278403034801</v>
      </c>
      <c r="C4993" s="5">
        <v>6.5712943514220195E-8</v>
      </c>
      <c r="D4993" s="6">
        <v>4.1816284760707501E-7</v>
      </c>
      <c r="E4993" s="3" t="s">
        <v>6043</v>
      </c>
      <c r="F4993" s="3" t="s">
        <v>6044</v>
      </c>
      <c r="G4993" s="3">
        <v>72029</v>
      </c>
      <c r="H4993" s="7" t="str">
        <f>HYPERLINK("http://www.ensembl.org/Mus_musculus/Gene/Summary?db=core;g=ENSMUSG00000023973","ENSMUSG00000023973")</f>
        <v>ENSMUSG00000023973</v>
      </c>
      <c r="I4993" s="7" t="str">
        <f>HYPERLINK("http://www.informatics.jax.org/marker/MGI:1919279","MGI:1919279")</f>
        <v>MGI:1919279</v>
      </c>
      <c r="J4993" s="4" t="s">
        <v>12</v>
      </c>
    </row>
    <row r="4994" spans="1:10" x14ac:dyDescent="0.25">
      <c r="A4994" s="2">
        <v>5.0561399539667802</v>
      </c>
      <c r="B4994" s="3">
        <v>-0.35992476850706601</v>
      </c>
      <c r="C4994" s="3">
        <v>0.39825985620571502</v>
      </c>
      <c r="D4994" s="4">
        <v>0.57664939058942999</v>
      </c>
      <c r="E4994" s="3" t="s">
        <v>10914</v>
      </c>
      <c r="F4994" s="3" t="s">
        <v>10915</v>
      </c>
      <c r="G4994" s="3">
        <v>16950</v>
      </c>
      <c r="H4994" s="7" t="str">
        <f>HYPERLINK("http://www.ensembl.org/Mus_musculus/Gene/Summary?db=core;g=ENSMUSG00000000693","ENSMUSG00000000693")</f>
        <v>ENSMUSG00000000693</v>
      </c>
      <c r="I4994" s="7" t="str">
        <f>HYPERLINK("http://www.informatics.jax.org/marker/MGI:1337004","MGI:1337004")</f>
        <v>MGI:1337004</v>
      </c>
      <c r="J4994" s="4" t="s">
        <v>12</v>
      </c>
    </row>
    <row r="4995" spans="1:10" x14ac:dyDescent="0.25">
      <c r="A4995" s="2">
        <v>1410.1121514598999</v>
      </c>
      <c r="B4995" s="3">
        <v>-0.360188414250453</v>
      </c>
      <c r="C4995" s="5">
        <v>2.4731427064525898E-6</v>
      </c>
      <c r="D4995" s="6">
        <v>1.3121696018951501E-5</v>
      </c>
      <c r="E4995" s="3" t="s">
        <v>5277</v>
      </c>
      <c r="F4995" s="3" t="s">
        <v>5278</v>
      </c>
      <c r="G4995" s="3">
        <v>70799</v>
      </c>
      <c r="H4995" s="7" t="str">
        <f>HYPERLINK("http://www.ensembl.org/Mus_musculus/Gene/Summary?db=core;g=ENSMUSG00000024542","ENSMUSG00000024542")</f>
        <v>ENSMUSG00000024542</v>
      </c>
      <c r="I4995" s="7" t="str">
        <f>HYPERLINK("http://www.informatics.jax.org/marker/MGI:1918049","MGI:1918049")</f>
        <v>MGI:1918049</v>
      </c>
      <c r="J4995" s="4" t="s">
        <v>12</v>
      </c>
    </row>
    <row r="4996" spans="1:10" x14ac:dyDescent="0.25">
      <c r="A4996" s="2">
        <v>539.16161631956504</v>
      </c>
      <c r="B4996" s="3">
        <v>-0.36041889875795702</v>
      </c>
      <c r="C4996" s="5">
        <v>2.43844370387743E-5</v>
      </c>
      <c r="D4996" s="4">
        <v>1.12621988097228E-4</v>
      </c>
      <c r="E4996" s="3" t="s">
        <v>4583</v>
      </c>
      <c r="F4996" s="3" t="s">
        <v>4584</v>
      </c>
      <c r="G4996" s="3">
        <v>19075</v>
      </c>
      <c r="H4996" s="7" t="str">
        <f>HYPERLINK("http://www.ensembl.org/Mus_musculus/Gene/Summary?db=core;g=ENSMUSG00000025395","ENSMUSG00000025395")</f>
        <v>ENSMUSG00000025395</v>
      </c>
      <c r="I4996" s="7" t="str">
        <f>HYPERLINK("http://www.informatics.jax.org/marker/MGI:97757","MGI:97757")</f>
        <v>MGI:97757</v>
      </c>
      <c r="J4996" s="4" t="s">
        <v>12</v>
      </c>
    </row>
    <row r="4997" spans="1:10" x14ac:dyDescent="0.25">
      <c r="A4997" s="2">
        <v>152.58887995044199</v>
      </c>
      <c r="B4997" s="3">
        <v>-0.36059013336068402</v>
      </c>
      <c r="C4997" s="3">
        <v>1.89535210287059E-3</v>
      </c>
      <c r="D4997" s="4">
        <v>6.3080336148313701E-3</v>
      </c>
      <c r="E4997" s="3" t="s">
        <v>12707</v>
      </c>
      <c r="F4997" s="3" t="s">
        <v>12708</v>
      </c>
      <c r="G4997" s="3">
        <v>213019</v>
      </c>
      <c r="H4997" s="7" t="str">
        <f>HYPERLINK("http://www.ensembl.org/Mus_musculus/Gene/Summary?db=core;g=ENSMUSG00000022090","ENSMUSG00000022090")</f>
        <v>ENSMUSG00000022090</v>
      </c>
      <c r="I4997" s="7" t="str">
        <f>HYPERLINK("http://www.informatics.jax.org/marker/MGI:2384850","MGI:2384850")</f>
        <v>MGI:2384850</v>
      </c>
      <c r="J4997" s="4" t="s">
        <v>12</v>
      </c>
    </row>
    <row r="4998" spans="1:10" x14ac:dyDescent="0.25">
      <c r="A4998" s="2">
        <v>1962.7861716208599</v>
      </c>
      <c r="B4998" s="3">
        <v>-0.36063191950364198</v>
      </c>
      <c r="C4998" s="5">
        <v>2.11505727750868E-7</v>
      </c>
      <c r="D4998" s="6">
        <v>1.27935343121791E-6</v>
      </c>
      <c r="E4998" s="3" t="s">
        <v>6906</v>
      </c>
      <c r="F4998" s="3" t="s">
        <v>6907</v>
      </c>
      <c r="G4998" s="3">
        <v>16440</v>
      </c>
      <c r="H4998" s="7" t="str">
        <f>HYPERLINK("http://www.ensembl.org/Mus_musculus/Gene/Summary?db=core;g=ENSMUSG00000042644","ENSMUSG00000042644")</f>
        <v>ENSMUSG00000042644</v>
      </c>
      <c r="I4998" s="7" t="str">
        <f>HYPERLINK("http://www.informatics.jax.org/marker/MGI:96624","MGI:96624")</f>
        <v>MGI:96624</v>
      </c>
      <c r="J4998" s="4" t="s">
        <v>12</v>
      </c>
    </row>
    <row r="4999" spans="1:10" x14ac:dyDescent="0.25">
      <c r="A4999" s="2">
        <v>439.48873754232699</v>
      </c>
      <c r="B4999" s="3">
        <v>-0.36092133015521799</v>
      </c>
      <c r="C4999" s="5">
        <v>2.2498344424778801E-6</v>
      </c>
      <c r="D4999" s="6">
        <v>1.19927559854225E-5</v>
      </c>
      <c r="E4999" s="3" t="s">
        <v>4513</v>
      </c>
      <c r="F4999" s="3" t="s">
        <v>4514</v>
      </c>
      <c r="G4999" s="3">
        <v>71885</v>
      </c>
      <c r="H4999" s="7" t="str">
        <f>HYPERLINK("http://www.ensembl.org/Mus_musculus/Gene/Summary?db=core;g=ENSMUSG00000025384","ENSMUSG00000025384")</f>
        <v>ENSMUSG00000025384</v>
      </c>
      <c r="I4999" s="7" t="str">
        <f>HYPERLINK("http://www.informatics.jax.org/marker/MGI:1919135","MGI:1919135")</f>
        <v>MGI:1919135</v>
      </c>
      <c r="J4999" s="4" t="s">
        <v>12</v>
      </c>
    </row>
    <row r="5000" spans="1:10" x14ac:dyDescent="0.25">
      <c r="A5000" s="2">
        <v>1348.6413912267301</v>
      </c>
      <c r="B5000" s="3">
        <v>-0.36104540894647302</v>
      </c>
      <c r="C5000" s="3">
        <v>6.2919421196273395E-4</v>
      </c>
      <c r="D5000" s="4">
        <v>2.2964993206610598E-3</v>
      </c>
      <c r="E5000" s="3" t="s">
        <v>11203</v>
      </c>
      <c r="F5000" s="3" t="s">
        <v>11204</v>
      </c>
      <c r="G5000" s="3">
        <v>56743</v>
      </c>
      <c r="H5000" s="7" t="str">
        <f>HYPERLINK("http://www.ensembl.org/Mus_musculus/Gene/Summary?db=core;g=ENSMUSG00000040751","ENSMUSG00000040751")</f>
        <v>ENSMUSG00000040751</v>
      </c>
      <c r="I5000" s="7" t="str">
        <f>HYPERLINK("http://www.informatics.jax.org/marker/MGI:1926479","MGI:1926479")</f>
        <v>MGI:1926479</v>
      </c>
      <c r="J5000" s="4" t="s">
        <v>12</v>
      </c>
    </row>
    <row r="5001" spans="1:10" x14ac:dyDescent="0.25">
      <c r="A5001" s="2">
        <v>941.79323884792996</v>
      </c>
      <c r="B5001" s="3">
        <v>-0.36110174182277799</v>
      </c>
      <c r="C5001" s="5">
        <v>2.6764671463263099E-6</v>
      </c>
      <c r="D5001" s="6">
        <v>1.41223548760269E-5</v>
      </c>
      <c r="E5001" s="3" t="s">
        <v>5373</v>
      </c>
      <c r="F5001" s="3" t="s">
        <v>5374</v>
      </c>
      <c r="G5001" s="3">
        <v>12912</v>
      </c>
      <c r="H5001" s="7" t="str">
        <f>HYPERLINK("http://www.ensembl.org/Mus_musculus/Gene/Summary?db=core;g=ENSMUSG00000025958","ENSMUSG00000025958")</f>
        <v>ENSMUSG00000025958</v>
      </c>
      <c r="I5001" s="7" t="str">
        <f>HYPERLINK("http://www.informatics.jax.org/marker/MGI:88494","MGI:88494")</f>
        <v>MGI:88494</v>
      </c>
      <c r="J5001" s="4" t="s">
        <v>12</v>
      </c>
    </row>
    <row r="5002" spans="1:10" x14ac:dyDescent="0.25">
      <c r="A5002" s="2">
        <v>261.69586314343798</v>
      </c>
      <c r="B5002" s="3">
        <v>-0.36154775743866102</v>
      </c>
      <c r="C5002" s="5">
        <v>2.0980814874483898E-5</v>
      </c>
      <c r="D5002" s="6">
        <v>9.7694264457708001E-5</v>
      </c>
      <c r="E5002" s="3" t="s">
        <v>7320</v>
      </c>
      <c r="F5002" s="3" t="s">
        <v>7321</v>
      </c>
      <c r="G5002" s="3">
        <v>12408</v>
      </c>
      <c r="H5002" s="7" t="str">
        <f>HYPERLINK("http://www.ensembl.org/Mus_musculus/Gene/Summary?db=core;g=ENSMUSG00000051483","ENSMUSG00000051483")</f>
        <v>ENSMUSG00000051483</v>
      </c>
      <c r="I5002" s="7" t="str">
        <f>HYPERLINK("http://www.informatics.jax.org/marker/MGI:88284","MGI:88284")</f>
        <v>MGI:88284</v>
      </c>
      <c r="J5002" s="4" t="s">
        <v>12</v>
      </c>
    </row>
    <row r="5003" spans="1:10" x14ac:dyDescent="0.25">
      <c r="A5003" s="2">
        <v>4.8995602499775197</v>
      </c>
      <c r="B5003" s="3">
        <v>-0.36173195733618302</v>
      </c>
      <c r="C5003" s="3">
        <v>0.35939474894167101</v>
      </c>
      <c r="D5003" s="4">
        <v>0.53741133077305203</v>
      </c>
      <c r="E5003" s="3" t="s">
        <v>12807</v>
      </c>
      <c r="F5003" s="3" t="s">
        <v>12808</v>
      </c>
      <c r="G5003" s="3" t="s">
        <v>83</v>
      </c>
      <c r="H5003" s="7" t="str">
        <f>HYPERLINK("http://www.ensembl.org/Mus_musculus/Gene/Summary?db=core;g=ENSMUSG00000105607","ENSMUSG00000105607")</f>
        <v>ENSMUSG00000105607</v>
      </c>
      <c r="I5003" s="7" t="str">
        <f>HYPERLINK("http://www.informatics.jax.org/marker/MGI:5663650","MGI:5663650")</f>
        <v>MGI:5663650</v>
      </c>
      <c r="J5003" s="4" t="s">
        <v>1828</v>
      </c>
    </row>
    <row r="5004" spans="1:10" x14ac:dyDescent="0.25">
      <c r="A5004" s="2">
        <v>1180.46974158888</v>
      </c>
      <c r="B5004" s="3">
        <v>-0.36178952092973599</v>
      </c>
      <c r="C5004" s="5">
        <v>1.15434953116754E-10</v>
      </c>
      <c r="D5004" s="6">
        <v>9.7987984189699195E-10</v>
      </c>
      <c r="E5004" s="3" t="s">
        <v>3480</v>
      </c>
      <c r="F5004" s="3" t="s">
        <v>3481</v>
      </c>
      <c r="G5004" s="3">
        <v>21766</v>
      </c>
      <c r="H5004" s="7" t="str">
        <f>HYPERLINK("http://www.ensembl.org/Mus_musculus/Gene/Summary?db=core;g=ENSMUSG00000014748","ENSMUSG00000014748")</f>
        <v>ENSMUSG00000014748</v>
      </c>
      <c r="I5004" s="7" t="str">
        <f>HYPERLINK("http://www.informatics.jax.org/marker/MGI:1096575","MGI:1096575")</f>
        <v>MGI:1096575</v>
      </c>
      <c r="J5004" s="4" t="s">
        <v>12</v>
      </c>
    </row>
    <row r="5005" spans="1:10" x14ac:dyDescent="0.25">
      <c r="A5005" s="2">
        <v>300.71290076556699</v>
      </c>
      <c r="B5005" s="3">
        <v>-0.36252216488189398</v>
      </c>
      <c r="C5005" s="5">
        <v>2.44055042433417E-5</v>
      </c>
      <c r="D5005" s="4">
        <v>1.12690730893058E-4</v>
      </c>
      <c r="E5005" s="3" t="s">
        <v>9287</v>
      </c>
      <c r="F5005" s="3" t="s">
        <v>9288</v>
      </c>
      <c r="G5005" s="3">
        <v>268395</v>
      </c>
      <c r="H5005" s="7" t="str">
        <f>HYPERLINK("http://www.ensembl.org/Mus_musculus/Gene/Summary?db=core;g=ENSMUSG00000020287","ENSMUSG00000020287")</f>
        <v>ENSMUSG00000020287</v>
      </c>
      <c r="I5005" s="7" t="str">
        <f>HYPERLINK("http://www.informatics.jax.org/marker/MGI:97073","MGI:97073")</f>
        <v>MGI:97073</v>
      </c>
      <c r="J5005" s="4" t="s">
        <v>12</v>
      </c>
    </row>
    <row r="5006" spans="1:10" x14ac:dyDescent="0.25">
      <c r="A5006" s="2">
        <v>1174.3544819482099</v>
      </c>
      <c r="B5006" s="3">
        <v>-0.36265398018525002</v>
      </c>
      <c r="C5006" s="5">
        <v>9.8074110437962894E-10</v>
      </c>
      <c r="D5006" s="6">
        <v>7.5994926136559204E-9</v>
      </c>
      <c r="E5006" s="3" t="s">
        <v>5563</v>
      </c>
      <c r="F5006" s="3" t="s">
        <v>5564</v>
      </c>
      <c r="G5006" s="3">
        <v>27376</v>
      </c>
      <c r="H5006" s="7" t="str">
        <f>HYPERLINK("http://www.ensembl.org/Mus_musculus/Gene/Summary?db=core;g=ENSMUSG00000025792","ENSMUSG00000025792")</f>
        <v>ENSMUSG00000025792</v>
      </c>
      <c r="I5006" s="7" t="str">
        <f>HYPERLINK("http://www.informatics.jax.org/marker/MGI:1353497","MGI:1353497")</f>
        <v>MGI:1353497</v>
      </c>
      <c r="J5006" s="4" t="s">
        <v>12</v>
      </c>
    </row>
    <row r="5007" spans="1:10" x14ac:dyDescent="0.25">
      <c r="A5007" s="2">
        <v>118.699579873274</v>
      </c>
      <c r="B5007" s="3">
        <v>-0.36295114808492601</v>
      </c>
      <c r="C5007" s="3">
        <v>6.2788869907351398E-4</v>
      </c>
      <c r="D5007" s="4">
        <v>2.2937004491110002E-3</v>
      </c>
      <c r="E5007" s="3" t="s">
        <v>8035</v>
      </c>
      <c r="F5007" s="3" t="s">
        <v>8036</v>
      </c>
      <c r="G5007" s="3">
        <v>232337</v>
      </c>
      <c r="H5007" s="7" t="str">
        <f>HYPERLINK("http://www.ensembl.org/Mus_musculus/Gene/Summary?db=core;g=ENSMUSG00000059689","ENSMUSG00000059689")</f>
        <v>ENSMUSG00000059689</v>
      </c>
      <c r="I5007" s="7" t="str">
        <f>HYPERLINK("http://www.informatics.jax.org/marker/MGI:2448537","MGI:2448537")</f>
        <v>MGI:2448537</v>
      </c>
      <c r="J5007" s="4" t="s">
        <v>12</v>
      </c>
    </row>
    <row r="5008" spans="1:10" x14ac:dyDescent="0.25">
      <c r="A5008" s="2">
        <v>241.684384726974</v>
      </c>
      <c r="B5008" s="3">
        <v>-0.36306837447142998</v>
      </c>
      <c r="C5008" s="3">
        <v>1.42307387264857E-4</v>
      </c>
      <c r="D5008" s="4">
        <v>5.7917644772264697E-4</v>
      </c>
      <c r="E5008" s="3" t="s">
        <v>6429</v>
      </c>
      <c r="F5008" s="3" t="s">
        <v>6430</v>
      </c>
      <c r="G5008" s="3">
        <v>70088</v>
      </c>
      <c r="H5008" s="7" t="str">
        <f>HYPERLINK("http://www.ensembl.org/Mus_musculus/Gene/Summary?db=core;g=ENSMUSG00000028863","ENSMUSG00000028863")</f>
        <v>ENSMUSG00000028863</v>
      </c>
      <c r="I5008" s="7" t="str">
        <f>HYPERLINK("http://www.informatics.jax.org/marker/MGI:1917338","MGI:1917338")</f>
        <v>MGI:1917338</v>
      </c>
      <c r="J5008" s="4" t="s">
        <v>12</v>
      </c>
    </row>
    <row r="5009" spans="1:10" x14ac:dyDescent="0.25">
      <c r="A5009" s="2">
        <v>293.87434481661899</v>
      </c>
      <c r="B5009" s="3">
        <v>-0.36318522912711199</v>
      </c>
      <c r="C5009" s="3">
        <v>9.8849226421722199E-4</v>
      </c>
      <c r="D5009" s="4">
        <v>3.48121188702587E-3</v>
      </c>
      <c r="E5009" s="3" t="s">
        <v>7336</v>
      </c>
      <c r="F5009" s="3" t="s">
        <v>7337</v>
      </c>
      <c r="G5009" s="3">
        <v>67661</v>
      </c>
      <c r="H5009" s="7" t="str">
        <f>HYPERLINK("http://www.ensembl.org/Mus_musculus/Gene/Summary?db=core;g=ENSMUSG00000038564","ENSMUSG00000038564")</f>
        <v>ENSMUSG00000038564</v>
      </c>
      <c r="I5009" s="7" t="str">
        <f>HYPERLINK("http://www.informatics.jax.org/marker/MGI:2682064","MGI:2682064")</f>
        <v>MGI:2682064</v>
      </c>
      <c r="J5009" s="4" t="s">
        <v>12</v>
      </c>
    </row>
    <row r="5010" spans="1:10" x14ac:dyDescent="0.25">
      <c r="A5010" s="2">
        <v>984.66476850727202</v>
      </c>
      <c r="B5010" s="3">
        <v>-0.36329122354914101</v>
      </c>
      <c r="C5010" s="5">
        <v>2.0061596030178499E-7</v>
      </c>
      <c r="D5010" s="6">
        <v>1.2175244343989399E-6</v>
      </c>
      <c r="E5010" s="3" t="s">
        <v>3106</v>
      </c>
      <c r="F5010" s="3" t="s">
        <v>3107</v>
      </c>
      <c r="G5010" s="3">
        <v>13361</v>
      </c>
      <c r="H5010" s="7" t="str">
        <f>HYPERLINK("http://www.ensembl.org/Mus_musculus/Gene/Summary?db=core;g=ENSMUSG00000021707","ENSMUSG00000021707")</f>
        <v>ENSMUSG00000021707</v>
      </c>
      <c r="I5010" s="7" t="str">
        <f>HYPERLINK("http://www.informatics.jax.org/marker/MGI:94890","MGI:94890")</f>
        <v>MGI:94890</v>
      </c>
      <c r="J5010" s="4" t="s">
        <v>12</v>
      </c>
    </row>
    <row r="5011" spans="1:10" x14ac:dyDescent="0.25">
      <c r="A5011" s="2">
        <v>1195.77060869761</v>
      </c>
      <c r="B5011" s="3">
        <v>-0.363544253239514</v>
      </c>
      <c r="C5011" s="5">
        <v>2.3553546043487498E-9</v>
      </c>
      <c r="D5011" s="6">
        <v>1.7542434680938302E-8</v>
      </c>
      <c r="E5011" s="3" t="s">
        <v>4231</v>
      </c>
      <c r="F5011" s="3" t="s">
        <v>4232</v>
      </c>
      <c r="G5011" s="3">
        <v>22379</v>
      </c>
      <c r="H5011" s="7" t="str">
        <f>HYPERLINK("http://www.ensembl.org/Mus_musculus/Gene/Summary?db=core;g=ENSMUSG00000023008","ENSMUSG00000023008")</f>
        <v>ENSMUSG00000023008</v>
      </c>
      <c r="I5011" s="7" t="str">
        <f>HYPERLINK("http://www.informatics.jax.org/marker/MGI:109569","MGI:109569")</f>
        <v>MGI:109569</v>
      </c>
      <c r="J5011" s="4" t="s">
        <v>12</v>
      </c>
    </row>
    <row r="5012" spans="1:10" x14ac:dyDescent="0.25">
      <c r="A5012" s="2">
        <v>1968.9354852798499</v>
      </c>
      <c r="B5012" s="3">
        <v>-0.36355804138568598</v>
      </c>
      <c r="C5012" s="5">
        <v>2.7322410816969199E-5</v>
      </c>
      <c r="D5012" s="4">
        <v>1.2517620340353499E-4</v>
      </c>
      <c r="E5012" s="3" t="s">
        <v>7192</v>
      </c>
      <c r="F5012" s="3" t="s">
        <v>7193</v>
      </c>
      <c r="G5012" s="3">
        <v>20927</v>
      </c>
      <c r="H5012" s="7" t="str">
        <f>HYPERLINK("http://www.ensembl.org/Mus_musculus/Gene/Summary?db=core;g=ENSMUSG00000040136","ENSMUSG00000040136")</f>
        <v>ENSMUSG00000040136</v>
      </c>
      <c r="I5012" s="7" t="str">
        <f>HYPERLINK("http://www.informatics.jax.org/marker/MGI:1352629","MGI:1352629")</f>
        <v>MGI:1352629</v>
      </c>
      <c r="J5012" s="4" t="s">
        <v>12</v>
      </c>
    </row>
    <row r="5013" spans="1:10" x14ac:dyDescent="0.25">
      <c r="A5013" s="2">
        <v>377.95415470722497</v>
      </c>
      <c r="B5013" s="3">
        <v>-0.36365875834572498</v>
      </c>
      <c r="C5013" s="3">
        <v>6.8164293685614495E-4</v>
      </c>
      <c r="D5013" s="4">
        <v>2.47191549241011E-3</v>
      </c>
      <c r="E5013" s="3" t="s">
        <v>11151</v>
      </c>
      <c r="F5013" s="3" t="s">
        <v>11152</v>
      </c>
      <c r="G5013" s="3">
        <v>83962</v>
      </c>
      <c r="H5013" s="7" t="str">
        <f>HYPERLINK("http://www.ensembl.org/Mus_musculus/Gene/Summary?db=core;g=ENSMUSG00000025103","ENSMUSG00000025103")</f>
        <v>ENSMUSG00000025103</v>
      </c>
      <c r="I5013" s="7" t="str">
        <f>HYPERLINK("http://www.informatics.jax.org/marker/MGI:1933765","MGI:1933765")</f>
        <v>MGI:1933765</v>
      </c>
      <c r="J5013" s="4" t="s">
        <v>12</v>
      </c>
    </row>
    <row r="5014" spans="1:10" x14ac:dyDescent="0.25">
      <c r="A5014" s="2">
        <v>2861.7409607680202</v>
      </c>
      <c r="B5014" s="3">
        <v>-0.36399833494127598</v>
      </c>
      <c r="C5014" s="5">
        <v>8.4970060032903895E-5</v>
      </c>
      <c r="D5014" s="4">
        <v>3.5888281439158101E-4</v>
      </c>
      <c r="E5014" s="3" t="s">
        <v>6988</v>
      </c>
      <c r="F5014" s="3" t="s">
        <v>6989</v>
      </c>
      <c r="G5014" s="3">
        <v>207592</v>
      </c>
      <c r="H5014" s="7" t="str">
        <f>HYPERLINK("http://www.ensembl.org/Mus_musculus/Gene/Summary?db=core;g=ENSMUSG00000039976","ENSMUSG00000039976")</f>
        <v>ENSMUSG00000039976</v>
      </c>
      <c r="I5014" s="7" t="str">
        <f>HYPERLINK("http://www.informatics.jax.org/marker/MGI:2652878","MGI:2652878")</f>
        <v>MGI:2652878</v>
      </c>
      <c r="J5014" s="4" t="s">
        <v>12</v>
      </c>
    </row>
    <row r="5015" spans="1:10" x14ac:dyDescent="0.25">
      <c r="A5015" s="2">
        <v>185.132746569517</v>
      </c>
      <c r="B5015" s="3">
        <v>-0.36409011832083898</v>
      </c>
      <c r="C5015" s="5">
        <v>5.0971784111649901E-5</v>
      </c>
      <c r="D5015" s="4">
        <v>2.2341528750236201E-4</v>
      </c>
      <c r="E5015" s="3" t="s">
        <v>6085</v>
      </c>
      <c r="F5015" s="3" t="s">
        <v>6086</v>
      </c>
      <c r="G5015" s="3">
        <v>67042</v>
      </c>
      <c r="H5015" s="7" t="str">
        <f>HYPERLINK("http://www.ensembl.org/Mus_musculus/Gene/Summary?db=core;g=ENSMUSG00000016637","ENSMUSG00000016637")</f>
        <v>ENSMUSG00000016637</v>
      </c>
      <c r="I5015" s="7" t="str">
        <f>HYPERLINK("http://www.informatics.jax.org/marker/MGI:1914292","MGI:1914292")</f>
        <v>MGI:1914292</v>
      </c>
      <c r="J5015" s="4" t="s">
        <v>12</v>
      </c>
    </row>
    <row r="5016" spans="1:10" x14ac:dyDescent="0.25">
      <c r="A5016" s="2">
        <v>75.791481878859301</v>
      </c>
      <c r="B5016" s="3">
        <v>-0.36473457594940001</v>
      </c>
      <c r="C5016" s="3">
        <v>7.62676549380746E-3</v>
      </c>
      <c r="D5016" s="4">
        <v>2.2003767789241901E-2</v>
      </c>
      <c r="E5016" s="3" t="s">
        <v>13811</v>
      </c>
      <c r="F5016" s="3" t="s">
        <v>13812</v>
      </c>
      <c r="G5016" s="3">
        <v>330554</v>
      </c>
      <c r="H5016" s="7" t="str">
        <f>HYPERLINK("http://www.ensembl.org/Mus_musculus/Gene/Summary?db=core;g=ENSMUSG00000033458","ENSMUSG00000033458")</f>
        <v>ENSMUSG00000033458</v>
      </c>
      <c r="I5016" s="7" t="str">
        <f>HYPERLINK("http://www.informatics.jax.org/marker/MGI:3045266","MGI:3045266")</f>
        <v>MGI:3045266</v>
      </c>
      <c r="J5016" s="4" t="s">
        <v>12</v>
      </c>
    </row>
    <row r="5017" spans="1:10" x14ac:dyDescent="0.25">
      <c r="A5017" s="2">
        <v>384.10873566582899</v>
      </c>
      <c r="B5017" s="3">
        <v>-0.36483831380996301</v>
      </c>
      <c r="C5017" s="3">
        <v>1.27192026426932E-4</v>
      </c>
      <c r="D5017" s="4">
        <v>5.22324173418395E-4</v>
      </c>
      <c r="E5017" s="3" t="s">
        <v>7458</v>
      </c>
      <c r="F5017" s="3" t="s">
        <v>7459</v>
      </c>
      <c r="G5017" s="3">
        <v>72440</v>
      </c>
      <c r="H5017" s="7" t="str">
        <f>HYPERLINK("http://www.ensembl.org/Mus_musculus/Gene/Summary?db=core;g=ENSMUSG00000048668","ENSMUSG00000048668")</f>
        <v>ENSMUSG00000048668</v>
      </c>
      <c r="I5017" s="7" t="str">
        <f>HYPERLINK("http://www.informatics.jax.org/marker/MGI:1915315","MGI:1915315")</f>
        <v>MGI:1915315</v>
      </c>
      <c r="J5017" s="4" t="s">
        <v>12</v>
      </c>
    </row>
    <row r="5018" spans="1:10" x14ac:dyDescent="0.25">
      <c r="A5018" s="2">
        <v>412.16673183897001</v>
      </c>
      <c r="B5018" s="3">
        <v>-0.36487674144545501</v>
      </c>
      <c r="C5018" s="3">
        <v>5.4966544713099096E-3</v>
      </c>
      <c r="D5018" s="4">
        <v>1.6368713682944999E-2</v>
      </c>
      <c r="E5018" s="3" t="s">
        <v>10549</v>
      </c>
      <c r="F5018" s="3" t="s">
        <v>10550</v>
      </c>
      <c r="G5018" s="3">
        <v>223626</v>
      </c>
      <c r="H5018" s="7" t="str">
        <f>HYPERLINK("http://www.ensembl.org/Mus_musculus/Gene/Summary?db=core;g=ENSMUSG00000056665","ENSMUSG00000056665")</f>
        <v>ENSMUSG00000056665</v>
      </c>
      <c r="I5018" s="7" t="str">
        <f>HYPERLINK("http://www.informatics.jax.org/marker/MGI:1925301","MGI:1925301")</f>
        <v>MGI:1925301</v>
      </c>
      <c r="J5018" s="4" t="s">
        <v>12</v>
      </c>
    </row>
    <row r="5019" spans="1:10" x14ac:dyDescent="0.25">
      <c r="A5019" s="2">
        <v>686.89637824326906</v>
      </c>
      <c r="B5019" s="3">
        <v>-0.36491956380745599</v>
      </c>
      <c r="C5019" s="3">
        <v>1.5798178612589899E-4</v>
      </c>
      <c r="D5019" s="4">
        <v>6.3869078352806103E-4</v>
      </c>
      <c r="E5019" s="3" t="s">
        <v>9001</v>
      </c>
      <c r="F5019" s="3" t="s">
        <v>9002</v>
      </c>
      <c r="G5019" s="3">
        <v>241311</v>
      </c>
      <c r="H5019" s="7" t="str">
        <f>HYPERLINK("http://www.ensembl.org/Mus_musculus/Gene/Summary?db=core;g=ENSMUSG00000068966","ENSMUSG00000068966")</f>
        <v>ENSMUSG00000068966</v>
      </c>
      <c r="I5019" s="7" t="str">
        <f>HYPERLINK("http://www.informatics.jax.org/marker/MGI:2685195","MGI:2685195")</f>
        <v>MGI:2685195</v>
      </c>
      <c r="J5019" s="4" t="s">
        <v>12</v>
      </c>
    </row>
    <row r="5020" spans="1:10" x14ac:dyDescent="0.25">
      <c r="A5020" s="2">
        <v>736.09947574438297</v>
      </c>
      <c r="B5020" s="3">
        <v>-0.36500590873289701</v>
      </c>
      <c r="C5020" s="5">
        <v>1.28313210543774E-6</v>
      </c>
      <c r="D5020" s="6">
        <v>7.0607133519332404E-6</v>
      </c>
      <c r="E5020" s="3" t="s">
        <v>5067</v>
      </c>
      <c r="F5020" s="3" t="s">
        <v>5068</v>
      </c>
      <c r="G5020" s="3">
        <v>99010</v>
      </c>
      <c r="H5020" s="7" t="str">
        <f>HYPERLINK("http://www.ensembl.org/Mus_musculus/Gene/Summary?db=core;g=ENSMUSG00000027134","ENSMUSG00000027134")</f>
        <v>ENSMUSG00000027134</v>
      </c>
      <c r="I5020" s="7" t="str">
        <f>HYPERLINK("http://www.informatics.jax.org/marker/MGI:2138993","MGI:2138993")</f>
        <v>MGI:2138993</v>
      </c>
      <c r="J5020" s="4" t="s">
        <v>12</v>
      </c>
    </row>
    <row r="5021" spans="1:10" x14ac:dyDescent="0.25">
      <c r="A5021" s="2">
        <v>1019.6170365599399</v>
      </c>
      <c r="B5021" s="3">
        <v>-0.36508588275376003</v>
      </c>
      <c r="C5021" s="5">
        <v>9.2143454389756692E-6</v>
      </c>
      <c r="D5021" s="6">
        <v>4.5276744574098603E-5</v>
      </c>
      <c r="E5021" s="3" t="s">
        <v>6223</v>
      </c>
      <c r="F5021" s="3" t="s">
        <v>6224</v>
      </c>
      <c r="G5021" s="3">
        <v>212728</v>
      </c>
      <c r="H5021" s="7" t="str">
        <f>HYPERLINK("http://www.ensembl.org/Mus_musculus/Gene/Summary?db=core;g=ENSMUSG00000090290","ENSMUSG00000090290")</f>
        <v>ENSMUSG00000090290</v>
      </c>
      <c r="I5021" s="7" t="str">
        <f>HYPERLINK("http://www.informatics.jax.org/marker/MGI:4936930","MGI:4936930")</f>
        <v>MGI:4936930</v>
      </c>
      <c r="J5021" s="4" t="s">
        <v>12</v>
      </c>
    </row>
    <row r="5022" spans="1:10" x14ac:dyDescent="0.25">
      <c r="A5022" s="2">
        <v>848.41007760892103</v>
      </c>
      <c r="B5022" s="3">
        <v>-0.365822726257714</v>
      </c>
      <c r="C5022" s="5">
        <v>1.7104262947380301E-5</v>
      </c>
      <c r="D5022" s="6">
        <v>8.0757821817617904E-5</v>
      </c>
      <c r="E5022" s="3" t="s">
        <v>9931</v>
      </c>
      <c r="F5022" s="3" t="s">
        <v>9932</v>
      </c>
      <c r="G5022" s="3">
        <v>269401</v>
      </c>
      <c r="H5022" s="7" t="str">
        <f>HYPERLINK("http://www.ensembl.org/Mus_musculus/Gene/Summary?db=core;g=ENSMUSG00000000823","ENSMUSG00000000823")</f>
        <v>ENSMUSG00000000823</v>
      </c>
      <c r="I5022" s="7" t="str">
        <f>HYPERLINK("http://www.informatics.jax.org/marker/MGI:2685478","MGI:2685478")</f>
        <v>MGI:2685478</v>
      </c>
      <c r="J5022" s="4" t="s">
        <v>12</v>
      </c>
    </row>
    <row r="5023" spans="1:10" x14ac:dyDescent="0.25">
      <c r="A5023" s="2">
        <v>73.383291221515805</v>
      </c>
      <c r="B5023" s="3">
        <v>-0.36602534729293601</v>
      </c>
      <c r="C5023" s="3">
        <v>1.8418790788763101E-2</v>
      </c>
      <c r="D5023" s="4">
        <v>4.8043861761157498E-2</v>
      </c>
      <c r="E5023" s="3" t="s">
        <v>10615</v>
      </c>
      <c r="F5023" s="3" t="s">
        <v>10616</v>
      </c>
      <c r="G5023" s="3" t="s">
        <v>83</v>
      </c>
      <c r="H5023" s="7" t="str">
        <f>HYPERLINK("http://www.ensembl.org/Mus_musculus/Gene/Summary?db=core;g=ENSMUSG00000105835","ENSMUSG00000105835")</f>
        <v>ENSMUSG00000105835</v>
      </c>
      <c r="I5023" s="7" t="str">
        <f>HYPERLINK("http://www.informatics.jax.org/marker/MGI:5663689","MGI:5663689")</f>
        <v>MGI:5663689</v>
      </c>
      <c r="J5023" s="4" t="s">
        <v>12</v>
      </c>
    </row>
    <row r="5024" spans="1:10" x14ac:dyDescent="0.25">
      <c r="A5024" s="2">
        <v>280.02528193223901</v>
      </c>
      <c r="B5024" s="3">
        <v>-0.36609184666748401</v>
      </c>
      <c r="C5024" s="3">
        <v>1.7666343159014599E-3</v>
      </c>
      <c r="D5024" s="4">
        <v>5.9185497072250098E-3</v>
      </c>
      <c r="E5024" s="3" t="s">
        <v>10876</v>
      </c>
      <c r="F5024" s="3" t="s">
        <v>10877</v>
      </c>
      <c r="G5024" s="3">
        <v>233913</v>
      </c>
      <c r="H5024" s="7" t="str">
        <f>HYPERLINK("http://www.ensembl.org/Mus_musculus/Gene/Summary?db=core;g=ENSMUSG00000030780","ENSMUSG00000030780")</f>
        <v>ENSMUSG00000030780</v>
      </c>
      <c r="I5024" s="7" t="str">
        <f>HYPERLINK("http://www.informatics.jax.org/marker/MGI:2384572","MGI:2384572")</f>
        <v>MGI:2384572</v>
      </c>
      <c r="J5024" s="4" t="s">
        <v>12</v>
      </c>
    </row>
    <row r="5025" spans="1:10" x14ac:dyDescent="0.25">
      <c r="A5025" s="2">
        <v>178.180683079331</v>
      </c>
      <c r="B5025" s="3">
        <v>-0.36651604986759201</v>
      </c>
      <c r="C5025" s="3">
        <v>3.6220532523642101E-4</v>
      </c>
      <c r="D5025" s="4">
        <v>1.37381728458559E-3</v>
      </c>
      <c r="E5025" s="3" t="s">
        <v>6922</v>
      </c>
      <c r="F5025" s="3" t="s">
        <v>6923</v>
      </c>
      <c r="G5025" s="3">
        <v>106707</v>
      </c>
      <c r="H5025" s="7" t="str">
        <f>HYPERLINK("http://www.ensembl.org/Mus_musculus/Gene/Summary?db=core;g=ENSMUSG00000041199","ENSMUSG00000041199")</f>
        <v>ENSMUSG00000041199</v>
      </c>
      <c r="I5025" s="7" t="str">
        <f>HYPERLINK("http://www.informatics.jax.org/marker/MGI:1919186","MGI:1919186")</f>
        <v>MGI:1919186</v>
      </c>
      <c r="J5025" s="4" t="s">
        <v>12</v>
      </c>
    </row>
    <row r="5026" spans="1:10" x14ac:dyDescent="0.25">
      <c r="A5026" s="2">
        <v>100.99950685693599</v>
      </c>
      <c r="B5026" s="3">
        <v>-0.36674900971791202</v>
      </c>
      <c r="C5026" s="3">
        <v>3.1605868552967299E-2</v>
      </c>
      <c r="D5026" s="4">
        <v>7.7069434623739594E-2</v>
      </c>
      <c r="E5026" s="3" t="s">
        <v>11543</v>
      </c>
      <c r="F5026" s="3" t="s">
        <v>11544</v>
      </c>
      <c r="G5026" s="3">
        <v>238875</v>
      </c>
      <c r="H5026" s="7" t="str">
        <f>HYPERLINK("http://www.ensembl.org/Mus_musculus/Gene/Summary?db=core;g=ENSMUSG00000046006","ENSMUSG00000046006")</f>
        <v>ENSMUSG00000046006</v>
      </c>
      <c r="I5026" s="7" t="str">
        <f>HYPERLINK("http://www.informatics.jax.org/marker/MGI:3608341","MGI:3608341")</f>
        <v>MGI:3608341</v>
      </c>
      <c r="J5026" s="4" t="s">
        <v>12</v>
      </c>
    </row>
    <row r="5027" spans="1:10" x14ac:dyDescent="0.25">
      <c r="A5027" s="2">
        <v>208.58919016542501</v>
      </c>
      <c r="B5027" s="3">
        <v>-0.36742186394194698</v>
      </c>
      <c r="C5027" s="5">
        <v>2.0843123525594599E-5</v>
      </c>
      <c r="D5027" s="6">
        <v>9.7077926464084397E-5</v>
      </c>
      <c r="E5027" s="3" t="s">
        <v>13845</v>
      </c>
      <c r="F5027" s="3" t="s">
        <v>13846</v>
      </c>
      <c r="G5027" s="3">
        <v>73172</v>
      </c>
      <c r="H5027" s="7" t="str">
        <f>HYPERLINK("http://www.ensembl.org/Mus_musculus/Gene/Summary?db=core;g=ENSMUSG00000028629","ENSMUSG00000028629")</f>
        <v>ENSMUSG00000028629</v>
      </c>
      <c r="I5027" s="7" t="str">
        <f>HYPERLINK("http://www.informatics.jax.org/marker/MGI:1920422","MGI:1920422")</f>
        <v>MGI:1920422</v>
      </c>
      <c r="J5027" s="4" t="s">
        <v>12</v>
      </c>
    </row>
    <row r="5028" spans="1:10" x14ac:dyDescent="0.25">
      <c r="A5028" s="2">
        <v>82.574140947854602</v>
      </c>
      <c r="B5028" s="3">
        <v>-0.36798932713895499</v>
      </c>
      <c r="C5028" s="3">
        <v>8.1642452803698598E-3</v>
      </c>
      <c r="D5028" s="4">
        <v>2.3398863065692801E-2</v>
      </c>
      <c r="E5028" s="3" t="s">
        <v>12861</v>
      </c>
      <c r="F5028" s="3" t="s">
        <v>12862</v>
      </c>
      <c r="G5028" s="3">
        <v>226970</v>
      </c>
      <c r="H5028" s="7" t="str">
        <f>HYPERLINK("http://www.ensembl.org/Mus_musculus/Gene/Summary?db=core;g=ENSMUSG00000037509","ENSMUSG00000037509")</f>
        <v>ENSMUSG00000037509</v>
      </c>
      <c r="I5028" s="7" t="str">
        <f>HYPERLINK("http://www.informatics.jax.org/marker/MGI:2442507","MGI:2442507")</f>
        <v>MGI:2442507</v>
      </c>
      <c r="J5028" s="4" t="s">
        <v>12</v>
      </c>
    </row>
    <row r="5029" spans="1:10" x14ac:dyDescent="0.25">
      <c r="A5029" s="2">
        <v>776.50356830689702</v>
      </c>
      <c r="B5029" s="3">
        <v>-0.36881432502390299</v>
      </c>
      <c r="C5029" s="5">
        <v>1.0560138317809399E-5</v>
      </c>
      <c r="D5029" s="6">
        <v>5.1487030722866901E-5</v>
      </c>
      <c r="E5029" s="3" t="s">
        <v>13931</v>
      </c>
      <c r="F5029" s="3" t="s">
        <v>13932</v>
      </c>
      <c r="G5029" s="3">
        <v>13998</v>
      </c>
      <c r="H5029" s="7" t="str">
        <f>HYPERLINK("http://www.ensembl.org/Mus_musculus/Gene/Summary?db=core;g=ENSMUSG00000020021","ENSMUSG00000020021")</f>
        <v>ENSMUSG00000020021</v>
      </c>
      <c r="I5029" s="7" t="str">
        <f>HYPERLINK("http://www.informatics.jax.org/marker/MGI:1261419","MGI:1261419")</f>
        <v>MGI:1261419</v>
      </c>
      <c r="J5029" s="4" t="s">
        <v>12</v>
      </c>
    </row>
    <row r="5030" spans="1:10" x14ac:dyDescent="0.25">
      <c r="A5030" s="2">
        <v>24.886567962184401</v>
      </c>
      <c r="B5030" s="3">
        <v>-0.36915806894724401</v>
      </c>
      <c r="C5030" s="3">
        <v>0.110496483437218</v>
      </c>
      <c r="D5030" s="4">
        <v>0.220569376850307</v>
      </c>
      <c r="E5030" s="3" t="s">
        <v>10870</v>
      </c>
      <c r="F5030" s="3" t="s">
        <v>10871</v>
      </c>
      <c r="G5030" s="3">
        <v>68852</v>
      </c>
      <c r="H5030" s="7" t="str">
        <f>HYPERLINK("http://www.ensembl.org/Mus_musculus/Gene/Summary?db=core;g=ENSMUSG00000071656","ENSMUSG00000071656")</f>
        <v>ENSMUSG00000071656</v>
      </c>
      <c r="I5030" s="7" t="str">
        <f>HYPERLINK("http://www.informatics.jax.org/marker/MGI:1916102","MGI:1916102")</f>
        <v>MGI:1916102</v>
      </c>
      <c r="J5030" s="4" t="s">
        <v>12</v>
      </c>
    </row>
    <row r="5031" spans="1:10" x14ac:dyDescent="0.25">
      <c r="A5031" s="2">
        <v>2103.03252879719</v>
      </c>
      <c r="B5031" s="3">
        <v>-0.36930038827205502</v>
      </c>
      <c r="C5031" s="5">
        <v>5.0861230715417198E-8</v>
      </c>
      <c r="D5031" s="6">
        <v>3.26849763677179E-7</v>
      </c>
      <c r="E5031" s="3" t="s">
        <v>7432</v>
      </c>
      <c r="F5031" s="3" t="s">
        <v>7433</v>
      </c>
      <c r="G5031" s="3">
        <v>14645</v>
      </c>
      <c r="H5031" s="7" t="str">
        <f>HYPERLINK("http://www.ensembl.org/Mus_musculus/Gene/Summary?db=core;g=ENSMUSG00000026473","ENSMUSG00000026473")</f>
        <v>ENSMUSG00000026473</v>
      </c>
      <c r="I5031" s="7" t="str">
        <f>HYPERLINK("http://www.informatics.jax.org/marker/MGI:95739","MGI:95739")</f>
        <v>MGI:95739</v>
      </c>
      <c r="J5031" s="4" t="s">
        <v>12</v>
      </c>
    </row>
    <row r="5032" spans="1:10" x14ac:dyDescent="0.25">
      <c r="A5032" s="2">
        <v>13.413840282244299</v>
      </c>
      <c r="B5032" s="3">
        <v>-0.369415448649281</v>
      </c>
      <c r="C5032" s="3">
        <v>0.20809090318298801</v>
      </c>
      <c r="D5032" s="4">
        <v>0.36208293970879801</v>
      </c>
      <c r="E5032" s="3" t="s">
        <v>12673</v>
      </c>
      <c r="F5032" s="3" t="s">
        <v>12674</v>
      </c>
      <c r="G5032" s="3" t="s">
        <v>83</v>
      </c>
      <c r="H5032" s="7" t="str">
        <f>HYPERLINK("http://www.ensembl.org/Mus_musculus/Gene/Summary?db=core;g=ENSMUSG00000087050","ENSMUSG00000087050")</f>
        <v>ENSMUSG00000087050</v>
      </c>
      <c r="I5032" s="7" t="str">
        <f>HYPERLINK("http://www.informatics.jax.org/marker/MGI:1924478","MGI:1924478")</f>
        <v>MGI:1924478</v>
      </c>
      <c r="J5032" s="4" t="s">
        <v>932</v>
      </c>
    </row>
    <row r="5033" spans="1:10" x14ac:dyDescent="0.25">
      <c r="A5033" s="2">
        <v>1040.56845814177</v>
      </c>
      <c r="B5033" s="3">
        <v>-0.36962213998785498</v>
      </c>
      <c r="C5033" s="5">
        <v>1.0853999047342201E-11</v>
      </c>
      <c r="D5033" s="6">
        <v>1.00515311299701E-10</v>
      </c>
      <c r="E5033" s="3" t="s">
        <v>2898</v>
      </c>
      <c r="F5033" s="3" t="s">
        <v>2899</v>
      </c>
      <c r="G5033" s="3">
        <v>17692</v>
      </c>
      <c r="H5033" s="7" t="str">
        <f>HYPERLINK("http://www.ensembl.org/Mus_musculus/Gene/Summary?db=core;g=ENSMUSG00000031358","ENSMUSG00000031358")</f>
        <v>ENSMUSG00000031358</v>
      </c>
      <c r="I5033" s="7" t="str">
        <f>HYPERLINK("http://www.informatics.jax.org/marker/MGI:1341851","MGI:1341851")</f>
        <v>MGI:1341851</v>
      </c>
      <c r="J5033" s="4" t="s">
        <v>12</v>
      </c>
    </row>
    <row r="5034" spans="1:10" x14ac:dyDescent="0.25">
      <c r="A5034" s="2">
        <v>172.05945582934999</v>
      </c>
      <c r="B5034" s="3">
        <v>-0.369757608016623</v>
      </c>
      <c r="C5034" s="3">
        <v>3.7538075028382902E-3</v>
      </c>
      <c r="D5034" s="4">
        <v>1.16408272484648E-2</v>
      </c>
      <c r="E5034" s="3" t="s">
        <v>5037</v>
      </c>
      <c r="F5034" s="3" t="s">
        <v>5038</v>
      </c>
      <c r="G5034" s="3">
        <v>77128</v>
      </c>
      <c r="H5034" s="7" t="str">
        <f>HYPERLINK("http://www.ensembl.org/Mus_musculus/Gene/Summary?db=core;g=ENSMUSG00000048249","ENSMUSG00000048249")</f>
        <v>ENSMUSG00000048249</v>
      </c>
      <c r="I5034" s="7" t="str">
        <f>HYPERLINK("http://www.informatics.jax.org/marker/MGI:1924378","MGI:1924378")</f>
        <v>MGI:1924378</v>
      </c>
      <c r="J5034" s="4" t="s">
        <v>12</v>
      </c>
    </row>
    <row r="5035" spans="1:10" x14ac:dyDescent="0.25">
      <c r="A5035" s="2">
        <v>981.88583700263905</v>
      </c>
      <c r="B5035" s="3">
        <v>-0.36979269234746998</v>
      </c>
      <c r="C5035" s="5">
        <v>2.2953014685616101E-9</v>
      </c>
      <c r="D5035" s="6">
        <v>1.7116149453574199E-8</v>
      </c>
      <c r="E5035" s="3" t="s">
        <v>3342</v>
      </c>
      <c r="F5035" s="3" t="s">
        <v>3343</v>
      </c>
      <c r="G5035" s="3">
        <v>108735</v>
      </c>
      <c r="H5035" s="7" t="str">
        <f>HYPERLINK("http://www.ensembl.org/Mus_musculus/Gene/Summary?db=core;g=ENSMUSG00000040848","ENSMUSG00000040848")</f>
        <v>ENSMUSG00000040848</v>
      </c>
      <c r="I5035" s="7" t="str">
        <f>HYPERLINK("http://www.informatics.jax.org/marker/MGI:1917362","MGI:1917362")</f>
        <v>MGI:1917362</v>
      </c>
      <c r="J5035" s="4" t="s">
        <v>12</v>
      </c>
    </row>
    <row r="5036" spans="1:10" x14ac:dyDescent="0.25">
      <c r="A5036" s="2">
        <v>8537.6359843975897</v>
      </c>
      <c r="B5036" s="3">
        <v>-0.36985677020449897</v>
      </c>
      <c r="C5036" s="5">
        <v>5.2753663804213497E-11</v>
      </c>
      <c r="D5036" s="6">
        <v>4.6222861674605399E-10</v>
      </c>
      <c r="E5036" s="3" t="s">
        <v>3988</v>
      </c>
      <c r="F5036" s="3" t="s">
        <v>3989</v>
      </c>
      <c r="G5036" s="3">
        <v>65972</v>
      </c>
      <c r="H5036" s="7" t="str">
        <f>HYPERLINK("http://www.ensembl.org/Mus_musculus/Gene/Summary?db=core;g=ENSMUSG00000031838","ENSMUSG00000031838")</f>
        <v>ENSMUSG00000031838</v>
      </c>
      <c r="I5036" s="7" t="str">
        <f>HYPERLINK("http://www.informatics.jax.org/marker/MGI:2137648","MGI:2137648")</f>
        <v>MGI:2137648</v>
      </c>
      <c r="J5036" s="4" t="s">
        <v>331</v>
      </c>
    </row>
    <row r="5037" spans="1:10" x14ac:dyDescent="0.25">
      <c r="A5037" s="2">
        <v>686.10861883785299</v>
      </c>
      <c r="B5037" s="3">
        <v>-0.37050959718837301</v>
      </c>
      <c r="C5037" s="5">
        <v>7.0833049517711103E-6</v>
      </c>
      <c r="D5037" s="6">
        <v>3.5397102480402602E-5</v>
      </c>
      <c r="E5037" s="3" t="s">
        <v>8491</v>
      </c>
      <c r="F5037" s="3" t="s">
        <v>8492</v>
      </c>
      <c r="G5037" s="3">
        <v>22770</v>
      </c>
      <c r="H5037" s="7" t="str">
        <f>HYPERLINK("http://www.ensembl.org/Mus_musculus/Gene/Summary?db=core;g=ENSMUSG00000022361","ENSMUSG00000022361")</f>
        <v>ENSMUSG00000022361</v>
      </c>
      <c r="I5037" s="7" t="str">
        <f>HYPERLINK("http://www.informatics.jax.org/marker/MGI:109271","MGI:109271")</f>
        <v>MGI:109271</v>
      </c>
      <c r="J5037" s="4" t="s">
        <v>12</v>
      </c>
    </row>
    <row r="5038" spans="1:10" x14ac:dyDescent="0.25">
      <c r="A5038" s="2">
        <v>1009.96764140396</v>
      </c>
      <c r="B5038" s="3">
        <v>-0.37052440891101601</v>
      </c>
      <c r="C5038" s="5">
        <v>5.3521829423950699E-12</v>
      </c>
      <c r="D5038" s="6">
        <v>5.0803924023515703E-11</v>
      </c>
      <c r="E5038" s="3" t="s">
        <v>4977</v>
      </c>
      <c r="F5038" s="3" t="s">
        <v>4978</v>
      </c>
      <c r="G5038" s="3">
        <v>12442</v>
      </c>
      <c r="H5038" s="7" t="str">
        <f>HYPERLINK("http://www.ensembl.org/Mus_musculus/Gene/Summary?db=core;g=ENSMUSG00000032218","ENSMUSG00000032218")</f>
        <v>ENSMUSG00000032218</v>
      </c>
      <c r="I5038" s="7" t="str">
        <f>HYPERLINK("http://www.informatics.jax.org/marker/MGI:88311","MGI:88311")</f>
        <v>MGI:88311</v>
      </c>
      <c r="J5038" s="4" t="s">
        <v>12</v>
      </c>
    </row>
    <row r="5039" spans="1:10" x14ac:dyDescent="0.25">
      <c r="A5039" s="2">
        <v>1037.65055731281</v>
      </c>
      <c r="B5039" s="3">
        <v>-0.37052639845756902</v>
      </c>
      <c r="C5039" s="5">
        <v>3.0525324961400502E-7</v>
      </c>
      <c r="D5039" s="6">
        <v>1.8097724379360001E-6</v>
      </c>
      <c r="E5039" s="3" t="s">
        <v>4653</v>
      </c>
      <c r="F5039" s="3" t="s">
        <v>4654</v>
      </c>
      <c r="G5039" s="3">
        <v>23908</v>
      </c>
      <c r="H5039" s="7" t="str">
        <f>HYPERLINK("http://www.ensembl.org/Mus_musculus/Gene/Summary?db=core;g=ENSMUSG00000040151","ENSMUSG00000040151")</f>
        <v>ENSMUSG00000040151</v>
      </c>
      <c r="I5039" s="7" t="str">
        <f>HYPERLINK("http://www.informatics.jax.org/marker/MGI:1346049","MGI:1346049")</f>
        <v>MGI:1346049</v>
      </c>
      <c r="J5039" s="4" t="s">
        <v>12</v>
      </c>
    </row>
    <row r="5040" spans="1:10" x14ac:dyDescent="0.25">
      <c r="A5040" s="2">
        <v>846.00741218963003</v>
      </c>
      <c r="B5040" s="3">
        <v>-0.37063101395860498</v>
      </c>
      <c r="C5040" s="3">
        <v>5.7753374536044695E-4</v>
      </c>
      <c r="D5040" s="4">
        <v>2.1242285588686498E-3</v>
      </c>
      <c r="E5040" s="3" t="s">
        <v>7352</v>
      </c>
      <c r="F5040" s="3" t="s">
        <v>7353</v>
      </c>
      <c r="G5040" s="3">
        <v>19650</v>
      </c>
      <c r="H5040" s="7" t="str">
        <f>HYPERLINK("http://www.ensembl.org/Mus_musculus/Gene/Summary?db=core;g=ENSMUSG00000027641","ENSMUSG00000027641")</f>
        <v>ENSMUSG00000027641</v>
      </c>
      <c r="I5040" s="7" t="str">
        <f>HYPERLINK("http://www.informatics.jax.org/marker/MGI:103300","MGI:103300")</f>
        <v>MGI:103300</v>
      </c>
      <c r="J5040" s="4" t="s">
        <v>12</v>
      </c>
    </row>
    <row r="5041" spans="1:10" x14ac:dyDescent="0.25">
      <c r="A5041" s="2">
        <v>1565.8534900695499</v>
      </c>
      <c r="B5041" s="3">
        <v>-0.37093414953734499</v>
      </c>
      <c r="C5041" s="5">
        <v>1.03544374980757E-8</v>
      </c>
      <c r="D5041" s="6">
        <v>7.2054075373207096E-8</v>
      </c>
      <c r="E5041" s="3" t="s">
        <v>3038</v>
      </c>
      <c r="F5041" s="3" t="s">
        <v>3039</v>
      </c>
      <c r="G5041" s="3">
        <v>238505</v>
      </c>
      <c r="H5041" s="7" t="str">
        <f>HYPERLINK("http://www.ensembl.org/Mus_musculus/Gene/Summary?db=core;g=ENSMUSG00000021311","ENSMUSG00000021311")</f>
        <v>ENSMUSG00000021311</v>
      </c>
      <c r="I5041" s="7" t="str">
        <f>HYPERLINK("http://www.informatics.jax.org/marker/MGI:894292","MGI:894292")</f>
        <v>MGI:894292</v>
      </c>
      <c r="J5041" s="4" t="s">
        <v>12</v>
      </c>
    </row>
    <row r="5042" spans="1:10" x14ac:dyDescent="0.25">
      <c r="A5042" s="2">
        <v>351.169169366353</v>
      </c>
      <c r="B5042" s="3">
        <v>-0.371048121934696</v>
      </c>
      <c r="C5042" s="5">
        <v>1.4792923059833901E-5</v>
      </c>
      <c r="D5042" s="6">
        <v>7.0520801141897094E-5</v>
      </c>
      <c r="E5042" s="3" t="s">
        <v>6479</v>
      </c>
      <c r="F5042" s="3" t="s">
        <v>6480</v>
      </c>
      <c r="G5042" s="3">
        <v>381668</v>
      </c>
      <c r="H5042" s="7" t="str">
        <f>HYPERLINK("http://www.ensembl.org/Mus_musculus/Gene/Summary?db=core;g=ENSMUSG00000043323","ENSMUSG00000043323")</f>
        <v>ENSMUSG00000043323</v>
      </c>
      <c r="I5042" s="7" t="str">
        <f>HYPERLINK("http://www.informatics.jax.org/marker/MGI:1920907","MGI:1920907")</f>
        <v>MGI:1920907</v>
      </c>
      <c r="J5042" s="4" t="s">
        <v>12</v>
      </c>
    </row>
    <row r="5043" spans="1:10" x14ac:dyDescent="0.25">
      <c r="A5043" s="2">
        <v>2154.26886953024</v>
      </c>
      <c r="B5043" s="3">
        <v>-0.37138006503337401</v>
      </c>
      <c r="C5043" s="5">
        <v>2.6300113972433201E-12</v>
      </c>
      <c r="D5043" s="6">
        <v>2.5591007856251699E-11</v>
      </c>
      <c r="E5043" s="3" t="s">
        <v>3982</v>
      </c>
      <c r="F5043" s="3" t="s">
        <v>3983</v>
      </c>
      <c r="G5043" s="3">
        <v>71833</v>
      </c>
      <c r="H5043" s="7" t="str">
        <f>HYPERLINK("http://www.ensembl.org/Mus_musculus/Gene/Summary?db=core;g=ENSMUSG00000049354","ENSMUSG00000049354")</f>
        <v>ENSMUSG00000049354</v>
      </c>
      <c r="I5043" s="7" t="str">
        <f>HYPERLINK("http://www.informatics.jax.org/marker/MGI:1919083","MGI:1919083")</f>
        <v>MGI:1919083</v>
      </c>
      <c r="J5043" s="4" t="s">
        <v>12</v>
      </c>
    </row>
    <row r="5044" spans="1:10" x14ac:dyDescent="0.25">
      <c r="A5044" s="2">
        <v>357.73538366039799</v>
      </c>
      <c r="B5044" s="3">
        <v>-0.37214901236989301</v>
      </c>
      <c r="C5044" s="5">
        <v>4.2348629141848004E-6</v>
      </c>
      <c r="D5044" s="6">
        <v>2.1851748757366399E-5</v>
      </c>
      <c r="E5044" s="3" t="s">
        <v>5093</v>
      </c>
      <c r="F5044" s="3" t="s">
        <v>5094</v>
      </c>
      <c r="G5044" s="3">
        <v>71710</v>
      </c>
      <c r="H5044" s="7" t="str">
        <f>HYPERLINK("http://www.ensembl.org/Mus_musculus/Gene/Summary?db=core;g=ENSMUSG00000027550","ENSMUSG00000027550")</f>
        <v>ENSMUSG00000027550</v>
      </c>
      <c r="I5044" s="7" t="str">
        <f>HYPERLINK("http://www.informatics.jax.org/marker/MGI:1918960","MGI:1918960")</f>
        <v>MGI:1918960</v>
      </c>
      <c r="J5044" s="4" t="s">
        <v>12</v>
      </c>
    </row>
    <row r="5045" spans="1:10" x14ac:dyDescent="0.25">
      <c r="A5045" s="2">
        <v>649.69850252150604</v>
      </c>
      <c r="B5045" s="3">
        <v>-0.37253797651840498</v>
      </c>
      <c r="C5045" s="5">
        <v>4.1109423027951802E-7</v>
      </c>
      <c r="D5045" s="6">
        <v>2.39596813138606E-6</v>
      </c>
      <c r="E5045" s="3" t="s">
        <v>8185</v>
      </c>
      <c r="F5045" s="3" t="s">
        <v>8186</v>
      </c>
      <c r="G5045" s="3">
        <v>11409</v>
      </c>
      <c r="H5045" s="7" t="str">
        <f>HYPERLINK("http://www.ensembl.org/Mus_musculus/Gene/Summary?db=core;g=ENSMUSG00000029545","ENSMUSG00000029545")</f>
        <v>ENSMUSG00000029545</v>
      </c>
      <c r="I5045" s="7" t="str">
        <f>HYPERLINK("http://www.informatics.jax.org/marker/MGI:87868","MGI:87868")</f>
        <v>MGI:87868</v>
      </c>
      <c r="J5045" s="4" t="s">
        <v>12</v>
      </c>
    </row>
    <row r="5046" spans="1:10" x14ac:dyDescent="0.25">
      <c r="A5046" s="2">
        <v>174.49635527332799</v>
      </c>
      <c r="B5046" s="3">
        <v>-0.37254771724319302</v>
      </c>
      <c r="C5046" s="3">
        <v>6.8078857603238302E-4</v>
      </c>
      <c r="D5046" s="4">
        <v>2.4696201827607801E-3</v>
      </c>
      <c r="E5046" s="3" t="s">
        <v>10058</v>
      </c>
      <c r="F5046" s="3" t="s">
        <v>10059</v>
      </c>
      <c r="G5046" s="3">
        <v>232196</v>
      </c>
      <c r="H5046" s="7" t="str">
        <f>HYPERLINK("http://www.ensembl.org/Mus_musculus/Gene/Summary?db=core;g=ENSMUSG00000046679","ENSMUSG00000046679")</f>
        <v>ENSMUSG00000046679</v>
      </c>
      <c r="I5046" s="7" t="str">
        <f>HYPERLINK("http://www.informatics.jax.org/marker/MGI:2141787","MGI:2141787")</f>
        <v>MGI:2141787</v>
      </c>
      <c r="J5046" s="4" t="s">
        <v>12</v>
      </c>
    </row>
    <row r="5047" spans="1:10" x14ac:dyDescent="0.25">
      <c r="A5047" s="2">
        <v>597.76774717542503</v>
      </c>
      <c r="B5047" s="3">
        <v>-0.37265129704080202</v>
      </c>
      <c r="C5047" s="5">
        <v>2.6235674215433302E-6</v>
      </c>
      <c r="D5047" s="6">
        <v>1.3867319100239901E-5</v>
      </c>
      <c r="E5047" s="3" t="s">
        <v>5603</v>
      </c>
      <c r="F5047" s="3" t="s">
        <v>5604</v>
      </c>
      <c r="G5047" s="3">
        <v>12039</v>
      </c>
      <c r="H5047" s="7" t="str">
        <f>HYPERLINK("http://www.ensembl.org/Mus_musculus/Gene/Summary?db=core;g=ENSMUSG00000060376","ENSMUSG00000060376")</f>
        <v>ENSMUSG00000060376</v>
      </c>
      <c r="I5047" s="7" t="str">
        <f>HYPERLINK("http://www.informatics.jax.org/marker/MGI:107701","MGI:107701")</f>
        <v>MGI:107701</v>
      </c>
      <c r="J5047" s="4" t="s">
        <v>12</v>
      </c>
    </row>
    <row r="5048" spans="1:10" x14ac:dyDescent="0.25">
      <c r="A5048" s="2">
        <v>245.85352823169899</v>
      </c>
      <c r="B5048" s="3">
        <v>-0.37288260833183901</v>
      </c>
      <c r="C5048" s="3">
        <v>1.6233018120062001E-3</v>
      </c>
      <c r="D5048" s="4">
        <v>5.4908454943973801E-3</v>
      </c>
      <c r="E5048" s="3" t="s">
        <v>10538</v>
      </c>
      <c r="F5048" s="3" t="s">
        <v>10539</v>
      </c>
      <c r="G5048" s="3">
        <v>67121</v>
      </c>
      <c r="H5048" s="7" t="str">
        <f>HYPERLINK("http://www.ensembl.org/Mus_musculus/Gene/Summary?db=core;g=ENSMUSG00000026779","ENSMUSG00000026779")</f>
        <v>ENSMUSG00000026779</v>
      </c>
      <c r="I5048" s="7" t="str">
        <f>HYPERLINK("http://www.informatics.jax.org/marker/MGI:1914371","MGI:1914371")</f>
        <v>MGI:1914371</v>
      </c>
      <c r="J5048" s="4" t="s">
        <v>12</v>
      </c>
    </row>
    <row r="5049" spans="1:10" x14ac:dyDescent="0.25">
      <c r="A5049" s="2">
        <v>291.525431743024</v>
      </c>
      <c r="B5049" s="3">
        <v>-0.37304211476843302</v>
      </c>
      <c r="C5049" s="5">
        <v>6.2536353489619695E-5</v>
      </c>
      <c r="D5049" s="4">
        <v>2.7001304012042602E-4</v>
      </c>
      <c r="E5049" s="3" t="s">
        <v>5707</v>
      </c>
      <c r="F5049" s="3" t="s">
        <v>5708</v>
      </c>
      <c r="G5049" s="3">
        <v>101565</v>
      </c>
      <c r="H5049" s="7" t="str">
        <f>HYPERLINK("http://www.ensembl.org/Mus_musculus/Gene/Summary?db=core;g=ENSMUSG00000033904","ENSMUSG00000033904")</f>
        <v>ENSMUSG00000033904</v>
      </c>
      <c r="I5049" s="7" t="str">
        <f>HYPERLINK("http://www.informatics.jax.org/marker/MGI:2141942","MGI:2141942")</f>
        <v>MGI:2141942</v>
      </c>
      <c r="J5049" s="4" t="s">
        <v>12</v>
      </c>
    </row>
    <row r="5050" spans="1:10" x14ac:dyDescent="0.25">
      <c r="A5050" s="2">
        <v>44.423048542629701</v>
      </c>
      <c r="B5050" s="3">
        <v>-0.37304318632093503</v>
      </c>
      <c r="C5050" s="3">
        <v>4.0375321472629698E-2</v>
      </c>
      <c r="D5050" s="4">
        <v>9.5180472621740606E-2</v>
      </c>
      <c r="E5050" s="3" t="s">
        <v>12519</v>
      </c>
      <c r="F5050" s="3" t="s">
        <v>12520</v>
      </c>
      <c r="G5050" s="3">
        <v>73068</v>
      </c>
      <c r="H5050" s="7" t="str">
        <f>HYPERLINK("http://www.ensembl.org/Mus_musculus/Gene/Summary?db=core;g=ENSMUSG00000039357","ENSMUSG00000039357")</f>
        <v>ENSMUSG00000039357</v>
      </c>
      <c r="I5050" s="7" t="str">
        <f>HYPERLINK("http://www.informatics.jax.org/marker/MGI:1920318","MGI:1920318")</f>
        <v>MGI:1920318</v>
      </c>
      <c r="J5050" s="4" t="s">
        <v>12</v>
      </c>
    </row>
    <row r="5051" spans="1:10" x14ac:dyDescent="0.25">
      <c r="A5051" s="2">
        <v>790.40222045147596</v>
      </c>
      <c r="B5051" s="3">
        <v>-0.37316627195178598</v>
      </c>
      <c r="C5051" s="5">
        <v>2.7951235542184001E-5</v>
      </c>
      <c r="D5051" s="4">
        <v>1.2767199693140401E-4</v>
      </c>
      <c r="E5051" s="3" t="s">
        <v>3418</v>
      </c>
      <c r="F5051" s="3" t="s">
        <v>3419</v>
      </c>
      <c r="G5051" s="3">
        <v>114663</v>
      </c>
      <c r="H5051" s="7" t="str">
        <f>HYPERLINK("http://www.ensembl.org/Mus_musculus/Gene/Summary?db=core;g=ENSMUSG00000024525","ENSMUSG00000024525")</f>
        <v>ENSMUSG00000024525</v>
      </c>
      <c r="I5051" s="7" t="str">
        <f>HYPERLINK("http://www.informatics.jax.org/marker/MGI:2149728","MGI:2149728")</f>
        <v>MGI:2149728</v>
      </c>
      <c r="J5051" s="4" t="s">
        <v>12</v>
      </c>
    </row>
    <row r="5052" spans="1:10" x14ac:dyDescent="0.25">
      <c r="A5052" s="2">
        <v>99.030145413187995</v>
      </c>
      <c r="B5052" s="3">
        <v>-0.373674061606383</v>
      </c>
      <c r="C5052" s="3">
        <v>8.4946568178138199E-3</v>
      </c>
      <c r="D5052" s="4">
        <v>2.42504888008548E-2</v>
      </c>
      <c r="E5052" s="3" t="s">
        <v>10132</v>
      </c>
      <c r="F5052" s="3" t="s">
        <v>10133</v>
      </c>
      <c r="G5052" s="3">
        <v>72774</v>
      </c>
      <c r="H5052" s="7" t="str">
        <f>HYPERLINK("http://www.ensembl.org/Mus_musculus/Gene/Summary?db=core;g=ENSMUSG00000032298","ENSMUSG00000032298")</f>
        <v>ENSMUSG00000032298</v>
      </c>
      <c r="I5052" s="7" t="str">
        <f>HYPERLINK("http://www.informatics.jax.org/marker/MGI:1920024","MGI:1920024")</f>
        <v>MGI:1920024</v>
      </c>
      <c r="J5052" s="4" t="s">
        <v>12</v>
      </c>
    </row>
    <row r="5053" spans="1:10" x14ac:dyDescent="0.25">
      <c r="A5053" s="2">
        <v>129.81479482384501</v>
      </c>
      <c r="B5053" s="3">
        <v>-0.37372136702202202</v>
      </c>
      <c r="C5053" s="3">
        <v>2.9168828064362403E-4</v>
      </c>
      <c r="D5053" s="4">
        <v>1.12413172229436E-3</v>
      </c>
      <c r="E5053" s="3" t="s">
        <v>11391</v>
      </c>
      <c r="F5053" s="3" t="s">
        <v>11392</v>
      </c>
      <c r="G5053" s="3">
        <v>319615</v>
      </c>
      <c r="H5053" s="7" t="str">
        <f>HYPERLINK("http://www.ensembl.org/Mus_musculus/Gene/Summary?db=core;g=ENSMUSG00000033972","ENSMUSG00000033972")</f>
        <v>ENSMUSG00000033972</v>
      </c>
      <c r="I5053" s="7" t="str">
        <f>HYPERLINK("http://www.informatics.jax.org/marker/MGI:2442394","MGI:2442394")</f>
        <v>MGI:2442394</v>
      </c>
      <c r="J5053" s="4" t="s">
        <v>12</v>
      </c>
    </row>
    <row r="5054" spans="1:10" x14ac:dyDescent="0.25">
      <c r="A5054" s="2">
        <v>206.50395554546699</v>
      </c>
      <c r="B5054" s="3">
        <v>-0.373954827499686</v>
      </c>
      <c r="C5054" s="3">
        <v>1.6498922115816899E-3</v>
      </c>
      <c r="D5054" s="4">
        <v>5.5622059852157403E-3</v>
      </c>
      <c r="E5054" s="3" t="s">
        <v>13314</v>
      </c>
      <c r="F5054" s="3" t="s">
        <v>13315</v>
      </c>
      <c r="G5054" s="3">
        <v>268706</v>
      </c>
      <c r="H5054" s="7" t="str">
        <f>HYPERLINK("http://www.ensembl.org/Mus_musculus/Gene/Summary?db=core;g=ENSMUSG00000047789","ENSMUSG00000047789")</f>
        <v>ENSMUSG00000047789</v>
      </c>
      <c r="I5054" s="7" t="str">
        <f>HYPERLINK("http://www.informatics.jax.org/marker/MGI:1918839","MGI:1918839")</f>
        <v>MGI:1918839</v>
      </c>
      <c r="J5054" s="4" t="s">
        <v>12</v>
      </c>
    </row>
    <row r="5055" spans="1:10" x14ac:dyDescent="0.25">
      <c r="A5055" s="2">
        <v>965.25908930810203</v>
      </c>
      <c r="B5055" s="3">
        <v>-0.374049493250798</v>
      </c>
      <c r="C5055" s="5">
        <v>1.24063464867381E-9</v>
      </c>
      <c r="D5055" s="6">
        <v>9.5202385145600598E-9</v>
      </c>
      <c r="E5055" s="3" t="s">
        <v>5291</v>
      </c>
      <c r="F5055" s="3" t="s">
        <v>5292</v>
      </c>
      <c r="G5055" s="3">
        <v>20729</v>
      </c>
      <c r="H5055" s="7" t="str">
        <f>HYPERLINK("http://www.ensembl.org/Mus_musculus/Gene/Summary?db=core;g=ENSMUSG00000021395","ENSMUSG00000021395")</f>
        <v>ENSMUSG00000021395</v>
      </c>
      <c r="I5055" s="7" t="str">
        <f>HYPERLINK("http://www.informatics.jax.org/marker/MGI:109242","MGI:109242")</f>
        <v>MGI:109242</v>
      </c>
      <c r="J5055" s="4" t="s">
        <v>12</v>
      </c>
    </row>
    <row r="5056" spans="1:10" x14ac:dyDescent="0.25">
      <c r="A5056" s="2">
        <v>2046.7379867740599</v>
      </c>
      <c r="B5056" s="3">
        <v>-0.37457260940306197</v>
      </c>
      <c r="C5056" s="5">
        <v>1.8470211507351101E-9</v>
      </c>
      <c r="D5056" s="6">
        <v>1.3932930659001399E-8</v>
      </c>
      <c r="E5056" s="3" t="s">
        <v>5719</v>
      </c>
      <c r="F5056" s="3" t="s">
        <v>5720</v>
      </c>
      <c r="G5056" s="3">
        <v>74326</v>
      </c>
      <c r="H5056" s="7" t="str">
        <f>HYPERLINK("http://www.ensembl.org/Mus_musculus/Gene/Summary?db=core;g=ENSMUSG00000066037","ENSMUSG00000066037")</f>
        <v>ENSMUSG00000066037</v>
      </c>
      <c r="I5056" s="7" t="str">
        <f>HYPERLINK("http://www.informatics.jax.org/marker/MGI:1891692","MGI:1891692")</f>
        <v>MGI:1891692</v>
      </c>
      <c r="J5056" s="4" t="s">
        <v>12</v>
      </c>
    </row>
    <row r="5057" spans="1:10" x14ac:dyDescent="0.25">
      <c r="A5057" s="2">
        <v>214.32983605997501</v>
      </c>
      <c r="B5057" s="3">
        <v>-0.374606401215061</v>
      </c>
      <c r="C5057" s="3">
        <v>7.7351678742510301E-4</v>
      </c>
      <c r="D5057" s="4">
        <v>2.7734297562113899E-3</v>
      </c>
      <c r="E5057" s="3" t="s">
        <v>9081</v>
      </c>
      <c r="F5057" s="3" t="s">
        <v>9082</v>
      </c>
      <c r="G5057" s="3">
        <v>77697</v>
      </c>
      <c r="H5057" s="7" t="str">
        <f>HYPERLINK("http://www.ensembl.org/Mus_musculus/Gene/Summary?db=core;g=ENSMUSG00000029575","ENSMUSG00000029575")</f>
        <v>ENSMUSG00000029575</v>
      </c>
      <c r="I5057" s="7" t="str">
        <f>HYPERLINK("http://www.informatics.jax.org/marker/MGI:1924947","MGI:1924947")</f>
        <v>MGI:1924947</v>
      </c>
      <c r="J5057" s="4" t="s">
        <v>12</v>
      </c>
    </row>
    <row r="5058" spans="1:10" x14ac:dyDescent="0.25">
      <c r="A5058" s="2">
        <v>363.951758245718</v>
      </c>
      <c r="B5058" s="3">
        <v>-0.37515744961136499</v>
      </c>
      <c r="C5058" s="3">
        <v>1.06943546918849E-3</v>
      </c>
      <c r="D5058" s="4">
        <v>3.7445651154582502E-3</v>
      </c>
      <c r="E5058" s="3" t="s">
        <v>6187</v>
      </c>
      <c r="F5058" s="3" t="s">
        <v>6188</v>
      </c>
      <c r="G5058" s="3">
        <v>232339</v>
      </c>
      <c r="H5058" s="7" t="str">
        <f>HYPERLINK("http://www.ensembl.org/Mus_musculus/Gene/Summary?db=core;g=ENSMUSG00000007827","ENSMUSG00000007827")</f>
        <v>ENSMUSG00000007827</v>
      </c>
      <c r="I5058" s="7" t="str">
        <f>HYPERLINK("http://www.informatics.jax.org/marker/MGI:1917887","MGI:1917887")</f>
        <v>MGI:1917887</v>
      </c>
      <c r="J5058" s="4" t="s">
        <v>12</v>
      </c>
    </row>
    <row r="5059" spans="1:10" x14ac:dyDescent="0.25">
      <c r="A5059" s="2">
        <v>355.70323775289398</v>
      </c>
      <c r="B5059" s="3">
        <v>-0.37526620150440099</v>
      </c>
      <c r="C5059" s="5">
        <v>7.8790182952132806E-6</v>
      </c>
      <c r="D5059" s="6">
        <v>3.9116074211457898E-5</v>
      </c>
      <c r="E5059" s="3" t="s">
        <v>8269</v>
      </c>
      <c r="F5059" s="3" t="s">
        <v>8270</v>
      </c>
      <c r="G5059" s="3">
        <v>80284</v>
      </c>
      <c r="H5059" s="7" t="str">
        <f>HYPERLINK("http://www.ensembl.org/Mus_musculus/Gene/Summary?db=core;g=ENSMUSG00000042380","ENSMUSG00000042380")</f>
        <v>ENSMUSG00000042380</v>
      </c>
      <c r="I5059" s="7" t="str">
        <f>HYPERLINK("http://www.informatics.jax.org/marker/MGI:1933141","MGI:1933141")</f>
        <v>MGI:1933141</v>
      </c>
      <c r="J5059" s="4" t="s">
        <v>12</v>
      </c>
    </row>
    <row r="5060" spans="1:10" x14ac:dyDescent="0.25">
      <c r="A5060" s="2">
        <v>601.43959769200001</v>
      </c>
      <c r="B5060" s="3">
        <v>-0.37527024893086902</v>
      </c>
      <c r="C5060" s="3">
        <v>2.2771827353659799E-3</v>
      </c>
      <c r="D5060" s="4">
        <v>7.4389057809723796E-3</v>
      </c>
      <c r="E5060" s="3" t="s">
        <v>10248</v>
      </c>
      <c r="F5060" s="3" t="s">
        <v>10249</v>
      </c>
      <c r="G5060" s="3">
        <v>73137</v>
      </c>
      <c r="H5060" s="7" t="str">
        <f>HYPERLINK("http://www.ensembl.org/Mus_musculus/Gene/Summary?db=core;g=ENSMUSG00000024594","ENSMUSG00000024594")</f>
        <v>ENSMUSG00000024594</v>
      </c>
      <c r="I5060" s="7" t="str">
        <f>HYPERLINK("http://www.informatics.jax.org/marker/MGI:1916106","MGI:1916106")</f>
        <v>MGI:1916106</v>
      </c>
      <c r="J5060" s="4" t="s">
        <v>12</v>
      </c>
    </row>
    <row r="5061" spans="1:10" x14ac:dyDescent="0.25">
      <c r="A5061" s="2">
        <v>103.717514492706</v>
      </c>
      <c r="B5061" s="3">
        <v>-0.37545249886479698</v>
      </c>
      <c r="C5061" s="3">
        <v>4.39736476850381E-3</v>
      </c>
      <c r="D5061" s="4">
        <v>1.33949478365338E-2</v>
      </c>
      <c r="E5061" s="3" t="s">
        <v>5721</v>
      </c>
      <c r="F5061" s="3" t="s">
        <v>5722</v>
      </c>
      <c r="G5061" s="3">
        <v>240614</v>
      </c>
      <c r="H5061" s="7" t="str">
        <f>HYPERLINK("http://www.ensembl.org/Mus_musculus/Gene/Summary?db=core;g=ENSMUSG00000074909","ENSMUSG00000074909")</f>
        <v>ENSMUSG00000074909</v>
      </c>
      <c r="I5061" s="7" t="str">
        <f>HYPERLINK("http://www.informatics.jax.org/marker/MGI:2683212","MGI:2683212")</f>
        <v>MGI:2683212</v>
      </c>
      <c r="J5061" s="4" t="s">
        <v>12</v>
      </c>
    </row>
    <row r="5062" spans="1:10" x14ac:dyDescent="0.25">
      <c r="A5062" s="2">
        <v>413.57957574072202</v>
      </c>
      <c r="B5062" s="3">
        <v>-0.376230632343587</v>
      </c>
      <c r="C5062" s="3">
        <v>3.2109795006204201E-4</v>
      </c>
      <c r="D5062" s="4">
        <v>1.22889755142392E-3</v>
      </c>
      <c r="E5062" s="3" t="s">
        <v>10581</v>
      </c>
      <c r="F5062" s="3" t="s">
        <v>10582</v>
      </c>
      <c r="G5062" s="3">
        <v>66834</v>
      </c>
      <c r="H5062" s="7" t="str">
        <f>HYPERLINK("http://www.ensembl.org/Mus_musculus/Gene/Summary?db=core;g=ENSMUSG00000006717","ENSMUSG00000006717")</f>
        <v>ENSMUSG00000006717</v>
      </c>
      <c r="I5062" s="7" t="str">
        <f>HYPERLINK("http://www.informatics.jax.org/marker/MGI:1914084","MGI:1914084")</f>
        <v>MGI:1914084</v>
      </c>
      <c r="J5062" s="4" t="s">
        <v>12</v>
      </c>
    </row>
    <row r="5063" spans="1:10" x14ac:dyDescent="0.25">
      <c r="A5063" s="2">
        <v>1405.6708636226001</v>
      </c>
      <c r="B5063" s="3">
        <v>-0.37624611646310002</v>
      </c>
      <c r="C5063" s="5">
        <v>8.58612411859869E-6</v>
      </c>
      <c r="D5063" s="6">
        <v>4.2418571987384397E-5</v>
      </c>
      <c r="E5063" s="3" t="s">
        <v>9533</v>
      </c>
      <c r="F5063" s="3" t="s">
        <v>9534</v>
      </c>
      <c r="G5063" s="3">
        <v>21745</v>
      </c>
      <c r="H5063" s="7" t="str">
        <f>HYPERLINK("http://www.ensembl.org/Mus_musculus/Gene/Summary?db=core;g=ENSMUSG00000006281","ENSMUSG00000006281")</f>
        <v>ENSMUSG00000006281</v>
      </c>
      <c r="I5063" s="7" t="str">
        <f>HYPERLINK("http://www.informatics.jax.org/marker/MGI:109573","MGI:109573")</f>
        <v>MGI:109573</v>
      </c>
      <c r="J5063" s="4" t="s">
        <v>12</v>
      </c>
    </row>
    <row r="5064" spans="1:10" x14ac:dyDescent="0.25">
      <c r="A5064" s="2">
        <v>559.19670662362</v>
      </c>
      <c r="B5064" s="3">
        <v>-0.37638850364597198</v>
      </c>
      <c r="C5064" s="3">
        <v>2.58869491763021E-3</v>
      </c>
      <c r="D5064" s="4">
        <v>8.3399266172548194E-3</v>
      </c>
      <c r="E5064" s="3" t="s">
        <v>8227</v>
      </c>
      <c r="F5064" s="3" t="s">
        <v>8228</v>
      </c>
      <c r="G5064" s="3">
        <v>22137</v>
      </c>
      <c r="H5064" s="7" t="str">
        <f>HYPERLINK("http://www.ensembl.org/Mus_musculus/Gene/Summary?db=core;g=ENSMUSG00000038379","ENSMUSG00000038379")</f>
        <v>ENSMUSG00000038379</v>
      </c>
      <c r="I5064" s="7" t="str">
        <f>HYPERLINK("http://www.informatics.jax.org/marker/MGI:1194921","MGI:1194921")</f>
        <v>MGI:1194921</v>
      </c>
      <c r="J5064" s="4" t="s">
        <v>12</v>
      </c>
    </row>
    <row r="5065" spans="1:10" x14ac:dyDescent="0.25">
      <c r="A5065" s="2">
        <v>469.46203669129602</v>
      </c>
      <c r="B5065" s="3">
        <v>-0.37641149309316002</v>
      </c>
      <c r="C5065" s="5">
        <v>2.16131104457515E-6</v>
      </c>
      <c r="D5065" s="6">
        <v>1.15512885006986E-5</v>
      </c>
      <c r="E5065" s="3" t="s">
        <v>4789</v>
      </c>
      <c r="F5065" s="3" t="s">
        <v>4790</v>
      </c>
      <c r="G5065" s="3">
        <v>320244</v>
      </c>
      <c r="H5065" s="7" t="str">
        <f>HYPERLINK("http://www.ensembl.org/Mus_musculus/Gene/Summary?db=core;g=ENSMUSG00000012609","ENSMUSG00000012609")</f>
        <v>ENSMUSG00000012609</v>
      </c>
      <c r="I5065" s="7" t="str">
        <f>HYPERLINK("http://www.informatics.jax.org/marker/MGI:2443657","MGI:2443657")</f>
        <v>MGI:2443657</v>
      </c>
      <c r="J5065" s="4" t="s">
        <v>12</v>
      </c>
    </row>
    <row r="5066" spans="1:10" x14ac:dyDescent="0.25">
      <c r="A5066" s="2">
        <v>667.19451743593595</v>
      </c>
      <c r="B5066" s="3">
        <v>-0.37694029855632999</v>
      </c>
      <c r="C5066" s="5">
        <v>1.9506438939064899E-7</v>
      </c>
      <c r="D5066" s="6">
        <v>1.1858067033504201E-6</v>
      </c>
      <c r="E5066" s="3" t="s">
        <v>4755</v>
      </c>
      <c r="F5066" s="3" t="s">
        <v>4756</v>
      </c>
      <c r="G5066" s="3">
        <v>94065</v>
      </c>
      <c r="H5066" s="7" t="str">
        <f>HYPERLINK("http://www.ensembl.org/Mus_musculus/Gene/Summary?db=core;g=ENSMUSG00000034880","ENSMUSG00000034880")</f>
        <v>ENSMUSG00000034880</v>
      </c>
      <c r="I5066" s="7" t="str">
        <f>HYPERLINK("http://www.informatics.jax.org/marker/MGI:2137227","MGI:2137227")</f>
        <v>MGI:2137227</v>
      </c>
      <c r="J5066" s="4" t="s">
        <v>12</v>
      </c>
    </row>
    <row r="5067" spans="1:10" x14ac:dyDescent="0.25">
      <c r="A5067" s="2">
        <v>1710.05624081581</v>
      </c>
      <c r="B5067" s="3">
        <v>-0.37734805517681502</v>
      </c>
      <c r="C5067" s="5">
        <v>9.9162511119922997E-15</v>
      </c>
      <c r="D5067" s="6">
        <v>1.1489108487988499E-13</v>
      </c>
      <c r="E5067" s="3" t="s">
        <v>4045</v>
      </c>
      <c r="F5067" s="3" t="s">
        <v>4046</v>
      </c>
      <c r="G5067" s="3">
        <v>226153</v>
      </c>
      <c r="H5067" s="7" t="str">
        <f>HYPERLINK("http://www.ensembl.org/Mus_musculus/Gene/Summary?db=core;g=ENSMUSG00000025209","ENSMUSG00000025209")</f>
        <v>ENSMUSG00000025209</v>
      </c>
      <c r="I5067" s="7" t="str">
        <f>HYPERLINK("http://www.informatics.jax.org/marker/MGI:2137410","MGI:2137410")</f>
        <v>MGI:2137410</v>
      </c>
      <c r="J5067" s="4" t="s">
        <v>12</v>
      </c>
    </row>
    <row r="5068" spans="1:10" x14ac:dyDescent="0.25">
      <c r="A5068" s="2">
        <v>307.627857809239</v>
      </c>
      <c r="B5068" s="3">
        <v>-0.37744197112366801</v>
      </c>
      <c r="C5068" s="5">
        <v>7.9419828333452801E-7</v>
      </c>
      <c r="D5068" s="6">
        <v>4.4632327208670297E-6</v>
      </c>
      <c r="E5068" s="3" t="s">
        <v>8855</v>
      </c>
      <c r="F5068" s="3" t="s">
        <v>8856</v>
      </c>
      <c r="G5068" s="3">
        <v>71147</v>
      </c>
      <c r="H5068" s="7" t="str">
        <f>HYPERLINK("http://www.ensembl.org/Mus_musculus/Gene/Summary?db=core;g=ENSMUSG00000021786","ENSMUSG00000021786")</f>
        <v>ENSMUSG00000021786</v>
      </c>
      <c r="I5068" s="7" t="str">
        <f>HYPERLINK("http://www.informatics.jax.org/marker/MGI:1918397","MGI:1918397")</f>
        <v>MGI:1918397</v>
      </c>
      <c r="J5068" s="4" t="s">
        <v>12</v>
      </c>
    </row>
    <row r="5069" spans="1:10" x14ac:dyDescent="0.25">
      <c r="A5069" s="2">
        <v>295.91600805904397</v>
      </c>
      <c r="B5069" s="3">
        <v>-0.377549230347825</v>
      </c>
      <c r="C5069" s="5">
        <v>4.5291963053656703E-6</v>
      </c>
      <c r="D5069" s="6">
        <v>2.3284796238445501E-5</v>
      </c>
      <c r="E5069" s="3" t="s">
        <v>10364</v>
      </c>
      <c r="F5069" s="3" t="s">
        <v>10365</v>
      </c>
      <c r="G5069" s="3">
        <v>72053</v>
      </c>
      <c r="H5069" s="7" t="str">
        <f>HYPERLINK("http://www.ensembl.org/Mus_musculus/Gene/Summary?db=core;g=ENSMUSG00000034757","ENSMUSG00000034757")</f>
        <v>ENSMUSG00000034757</v>
      </c>
      <c r="I5069" s="7" t="str">
        <f>HYPERLINK("http://www.informatics.jax.org/marker/MGI:1919303","MGI:1919303")</f>
        <v>MGI:1919303</v>
      </c>
      <c r="J5069" s="4" t="s">
        <v>12</v>
      </c>
    </row>
    <row r="5070" spans="1:10" x14ac:dyDescent="0.25">
      <c r="A5070" s="2">
        <v>776.38553928167403</v>
      </c>
      <c r="B5070" s="3">
        <v>-0.37817927452706601</v>
      </c>
      <c r="C5070" s="5">
        <v>2.2126401059395199E-7</v>
      </c>
      <c r="D5070" s="6">
        <v>1.33616189300026E-6</v>
      </c>
      <c r="E5070" s="3" t="s">
        <v>6159</v>
      </c>
      <c r="F5070" s="3" t="s">
        <v>6160</v>
      </c>
      <c r="G5070" s="3">
        <v>67675</v>
      </c>
      <c r="H5070" s="7" t="str">
        <f>HYPERLINK("http://www.ensembl.org/Mus_musculus/Gene/Summary?db=core;g=ENSMUSG00000024194","ENSMUSG00000024194")</f>
        <v>ENSMUSG00000024194</v>
      </c>
      <c r="I5070" s="7" t="str">
        <f>HYPERLINK("http://www.informatics.jax.org/marker/MGI:1914925","MGI:1914925")</f>
        <v>MGI:1914925</v>
      </c>
      <c r="J5070" s="4" t="s">
        <v>12</v>
      </c>
    </row>
    <row r="5071" spans="1:10" x14ac:dyDescent="0.25">
      <c r="A5071" s="2">
        <v>1019.0807609111999</v>
      </c>
      <c r="B5071" s="3">
        <v>-0.37823622068722801</v>
      </c>
      <c r="C5071" s="5">
        <v>1.5560949970084799E-9</v>
      </c>
      <c r="D5071" s="6">
        <v>1.1831385615552599E-8</v>
      </c>
      <c r="E5071" s="3" t="s">
        <v>4029</v>
      </c>
      <c r="F5071" s="3" t="s">
        <v>4030</v>
      </c>
      <c r="G5071" s="3">
        <v>68744</v>
      </c>
      <c r="H5071" s="7" t="str">
        <f>HYPERLINK("http://www.ensembl.org/Mus_musculus/Gene/Summary?db=core;g=ENSMUSG00000046897","ENSMUSG00000046897")</f>
        <v>ENSMUSG00000046897</v>
      </c>
      <c r="I5071" s="7" t="str">
        <f>HYPERLINK("http://www.informatics.jax.org/marker/MGI:1915994","MGI:1915994")</f>
        <v>MGI:1915994</v>
      </c>
      <c r="J5071" s="4" t="s">
        <v>12</v>
      </c>
    </row>
    <row r="5072" spans="1:10" x14ac:dyDescent="0.25">
      <c r="A5072" s="2">
        <v>322.11165731910597</v>
      </c>
      <c r="B5072" s="3">
        <v>-0.37830247826040497</v>
      </c>
      <c r="C5072" s="5">
        <v>1.1696803899111399E-6</v>
      </c>
      <c r="D5072" s="6">
        <v>6.4578688597790004E-6</v>
      </c>
      <c r="E5072" s="3" t="s">
        <v>7234</v>
      </c>
      <c r="F5072" s="3" t="s">
        <v>7235</v>
      </c>
      <c r="G5072" s="3">
        <v>54006</v>
      </c>
      <c r="H5072" s="7" t="str">
        <f>HYPERLINK("http://www.ensembl.org/Mus_musculus/Gene/Summary?db=core;g=ENSMUSG00000058886","ENSMUSG00000058886")</f>
        <v>ENSMUSG00000058886</v>
      </c>
      <c r="I5072" s="7" t="str">
        <f>HYPERLINK("http://www.informatics.jax.org/marker/MGI:1858496","MGI:1858496")</f>
        <v>MGI:1858496</v>
      </c>
      <c r="J5072" s="4" t="s">
        <v>12</v>
      </c>
    </row>
    <row r="5073" spans="1:10" x14ac:dyDescent="0.25">
      <c r="A5073" s="2">
        <v>566.78153060538204</v>
      </c>
      <c r="B5073" s="3">
        <v>-0.378702159474059</v>
      </c>
      <c r="C5073" s="5">
        <v>1.23134694344734E-6</v>
      </c>
      <c r="D5073" s="6">
        <v>6.78599880384876E-6</v>
      </c>
      <c r="E5073" s="3" t="s">
        <v>10700</v>
      </c>
      <c r="F5073" s="3" t="s">
        <v>10701</v>
      </c>
      <c r="G5073" s="3">
        <v>231863</v>
      </c>
      <c r="H5073" s="7" t="str">
        <f>HYPERLINK("http://www.ensembl.org/Mus_musculus/Gene/Summary?db=core;g=ENSMUSG00000066640","ENSMUSG00000066640")</f>
        <v>ENSMUSG00000066640</v>
      </c>
      <c r="I5073" s="7" t="str">
        <f>HYPERLINK("http://www.informatics.jax.org/marker/MGI:2444450","MGI:2444450")</f>
        <v>MGI:2444450</v>
      </c>
      <c r="J5073" s="4" t="s">
        <v>12</v>
      </c>
    </row>
    <row r="5074" spans="1:10" x14ac:dyDescent="0.25">
      <c r="A5074" s="2">
        <v>548.28768000021296</v>
      </c>
      <c r="B5074" s="3">
        <v>-0.37937830556450403</v>
      </c>
      <c r="C5074" s="5">
        <v>4.8115178983750204E-6</v>
      </c>
      <c r="D5074" s="6">
        <v>2.4666642390403601E-5</v>
      </c>
      <c r="E5074" s="3" t="s">
        <v>6011</v>
      </c>
      <c r="F5074" s="3" t="s">
        <v>6012</v>
      </c>
      <c r="G5074" s="3">
        <v>328580</v>
      </c>
      <c r="H5074" s="7" t="str">
        <f>HYPERLINK("http://www.ensembl.org/Mus_musculus/Gene/Summary?db=core;g=ENSMUSG00000051786","ENSMUSG00000051786")</f>
        <v>ENSMUSG00000051786</v>
      </c>
      <c r="I5074" s="7" t="str">
        <f>HYPERLINK("http://www.informatics.jax.org/marker/MGI:2146071","MGI:2146071")</f>
        <v>MGI:2146071</v>
      </c>
      <c r="J5074" s="4" t="s">
        <v>12</v>
      </c>
    </row>
    <row r="5075" spans="1:10" x14ac:dyDescent="0.25">
      <c r="A5075" s="2">
        <v>208.867262010161</v>
      </c>
      <c r="B5075" s="3">
        <v>-0.379569367624705</v>
      </c>
      <c r="C5075" s="3">
        <v>1.5684537381163401E-4</v>
      </c>
      <c r="D5075" s="4">
        <v>6.3423717277945899E-4</v>
      </c>
      <c r="E5075" s="3" t="s">
        <v>8431</v>
      </c>
      <c r="F5075" s="3" t="s">
        <v>8432</v>
      </c>
      <c r="G5075" s="3">
        <v>664968</v>
      </c>
      <c r="H5075" s="7" t="str">
        <f>HYPERLINK("http://www.ensembl.org/Mus_musculus/Gene/Summary?db=core;g=ENSMUSG00000030431","ENSMUSG00000030431")</f>
        <v>ENSMUSG00000030431</v>
      </c>
      <c r="I5075" s="7" t="str">
        <f>HYPERLINK("http://www.informatics.jax.org/marker/MGI:1922935","MGI:1922935")</f>
        <v>MGI:1922935</v>
      </c>
      <c r="J5075" s="4" t="s">
        <v>12</v>
      </c>
    </row>
    <row r="5076" spans="1:10" x14ac:dyDescent="0.25">
      <c r="A5076" s="2">
        <v>375.56722403797397</v>
      </c>
      <c r="B5076" s="3">
        <v>-0.37963210853108398</v>
      </c>
      <c r="C5076" s="5">
        <v>1.21066230733037E-7</v>
      </c>
      <c r="D5076" s="6">
        <v>7.5074244814889304E-7</v>
      </c>
      <c r="E5076" s="3" t="s">
        <v>3165</v>
      </c>
      <c r="F5076" s="3" t="s">
        <v>3166</v>
      </c>
      <c r="G5076" s="3">
        <v>69885</v>
      </c>
      <c r="H5076" s="7" t="str">
        <f>HYPERLINK("http://www.ensembl.org/Mus_musculus/Gene/Summary?db=core;g=ENSMUSG00000078521","ENSMUSG00000078521")</f>
        <v>ENSMUSG00000078521</v>
      </c>
      <c r="I5076" s="7" t="str">
        <f>HYPERLINK("http://www.informatics.jax.org/marker/MGI:1917135","MGI:1917135")</f>
        <v>MGI:1917135</v>
      </c>
      <c r="J5076" s="4" t="s">
        <v>12</v>
      </c>
    </row>
    <row r="5077" spans="1:10" x14ac:dyDescent="0.25">
      <c r="A5077" s="2">
        <v>182.15542011194199</v>
      </c>
      <c r="B5077" s="3">
        <v>-0.38012996330106602</v>
      </c>
      <c r="C5077" s="3">
        <v>2.81478611778593E-3</v>
      </c>
      <c r="D5077" s="4">
        <v>8.9967514901172392E-3</v>
      </c>
      <c r="E5077" s="3" t="s">
        <v>7957</v>
      </c>
      <c r="F5077" s="3" t="s">
        <v>7958</v>
      </c>
      <c r="G5077" s="3">
        <v>22666</v>
      </c>
      <c r="H5077" s="7" t="str">
        <f>HYPERLINK("http://www.ensembl.org/Mus_musculus/Gene/Summary?db=core;g=ENSMUSG00000049672","ENSMUSG00000049672")</f>
        <v>ENSMUSG00000049672</v>
      </c>
      <c r="I5077" s="7" t="str">
        <f>HYPERLINK("http://www.informatics.jax.org/marker/MGI:1195345","MGI:1195345")</f>
        <v>MGI:1195345</v>
      </c>
      <c r="J5077" s="4" t="s">
        <v>12</v>
      </c>
    </row>
    <row r="5078" spans="1:10" x14ac:dyDescent="0.25">
      <c r="A5078" s="2">
        <v>466.73144759520602</v>
      </c>
      <c r="B5078" s="3">
        <v>-0.38018558641135097</v>
      </c>
      <c r="C5078" s="5">
        <v>4.3744719869345798E-7</v>
      </c>
      <c r="D5078" s="6">
        <v>2.5381964967170499E-6</v>
      </c>
      <c r="E5078" s="3" t="s">
        <v>7464</v>
      </c>
      <c r="F5078" s="3" t="s">
        <v>7465</v>
      </c>
      <c r="G5078" s="3">
        <v>67905</v>
      </c>
      <c r="H5078" s="7" t="str">
        <f>HYPERLINK("http://www.ensembl.org/Mus_musculus/Gene/Summary?db=core;g=ENSMUSG00000020253","ENSMUSG00000020253")</f>
        <v>ENSMUSG00000020253</v>
      </c>
      <c r="I5078" s="7" t="str">
        <f>HYPERLINK("http://www.informatics.jax.org/marker/MGI:1915155","MGI:1915155")</f>
        <v>MGI:1915155</v>
      </c>
      <c r="J5078" s="4" t="s">
        <v>12</v>
      </c>
    </row>
    <row r="5079" spans="1:10" x14ac:dyDescent="0.25">
      <c r="A5079" s="2">
        <v>1513.78237681719</v>
      </c>
      <c r="B5079" s="3">
        <v>-0.38083314845623301</v>
      </c>
      <c r="C5079" s="5">
        <v>3.61401559183682E-25</v>
      </c>
      <c r="D5079" s="6">
        <v>7.2619001280293404E-24</v>
      </c>
      <c r="E5079" s="3" t="s">
        <v>1013</v>
      </c>
      <c r="F5079" s="3" t="s">
        <v>1014</v>
      </c>
      <c r="G5079" s="3">
        <v>11350</v>
      </c>
      <c r="H5079" s="7" t="str">
        <f>HYPERLINK("http://www.ensembl.org/Mus_musculus/Gene/Summary?db=core;g=ENSMUSG00000026842","ENSMUSG00000026842")</f>
        <v>ENSMUSG00000026842</v>
      </c>
      <c r="I5079" s="7" t="str">
        <f>HYPERLINK("http://www.informatics.jax.org/marker/MGI:87859","MGI:87859")</f>
        <v>MGI:87859</v>
      </c>
      <c r="J5079" s="4" t="s">
        <v>12</v>
      </c>
    </row>
    <row r="5080" spans="1:10" x14ac:dyDescent="0.25">
      <c r="A5080" s="2">
        <v>265.57524551789697</v>
      </c>
      <c r="B5080" s="3">
        <v>-0.38119293789370001</v>
      </c>
      <c r="C5080" s="5">
        <v>3.5474342364469702E-6</v>
      </c>
      <c r="D5080" s="6">
        <v>1.8450910091108999E-5</v>
      </c>
      <c r="E5080" s="3" t="s">
        <v>2653</v>
      </c>
      <c r="F5080" s="3" t="s">
        <v>2654</v>
      </c>
      <c r="G5080" s="3">
        <v>13666</v>
      </c>
      <c r="H5080" s="7" t="str">
        <f>HYPERLINK("http://www.ensembl.org/Mus_musculus/Gene/Summary?db=core;g=ENSMUSG00000031668","ENSMUSG00000031668")</f>
        <v>ENSMUSG00000031668</v>
      </c>
      <c r="I5080" s="7" t="str">
        <f>HYPERLINK("http://www.informatics.jax.org/marker/MGI:1341830","MGI:1341830")</f>
        <v>MGI:1341830</v>
      </c>
      <c r="J5080" s="4" t="s">
        <v>12</v>
      </c>
    </row>
    <row r="5081" spans="1:10" x14ac:dyDescent="0.25">
      <c r="A5081" s="2">
        <v>61.105247185516198</v>
      </c>
      <c r="B5081" s="3">
        <v>-0.38129220348387399</v>
      </c>
      <c r="C5081" s="3">
        <v>2.0011615909471099E-2</v>
      </c>
      <c r="D5081" s="4">
        <v>5.1629629098260299E-2</v>
      </c>
      <c r="E5081" s="3" t="s">
        <v>11581</v>
      </c>
      <c r="F5081" s="3" t="s">
        <v>11582</v>
      </c>
      <c r="G5081" s="3">
        <v>230500</v>
      </c>
      <c r="H5081" s="7" t="str">
        <f>HYPERLINK("http://www.ensembl.org/Mus_musculus/Gene/Summary?db=core;g=ENSMUSG00000073791","ENSMUSG00000073791")</f>
        <v>ENSMUSG00000073791</v>
      </c>
      <c r="I5081" s="7" t="str">
        <f>HYPERLINK("http://www.informatics.jax.org/marker/MGI:2385199","MGI:2385199")</f>
        <v>MGI:2385199</v>
      </c>
      <c r="J5081" s="4" t="s">
        <v>12</v>
      </c>
    </row>
    <row r="5082" spans="1:10" x14ac:dyDescent="0.25">
      <c r="A5082" s="2">
        <v>478.47807016991101</v>
      </c>
      <c r="B5082" s="3">
        <v>-0.38132802506257701</v>
      </c>
      <c r="C5082" s="5">
        <v>1.20668014131068E-8</v>
      </c>
      <c r="D5082" s="6">
        <v>8.3428473351241302E-8</v>
      </c>
      <c r="E5082" s="3" t="s">
        <v>4601</v>
      </c>
      <c r="F5082" s="3" t="s">
        <v>4602</v>
      </c>
      <c r="G5082" s="3">
        <v>68310</v>
      </c>
      <c r="H5082" s="7" t="str">
        <f>HYPERLINK("http://www.ensembl.org/Mus_musculus/Gene/Summary?db=core;g=ENSMUSG00000043872","ENSMUSG00000043872")</f>
        <v>ENSMUSG00000043872</v>
      </c>
      <c r="I5082" s="7" t="str">
        <f>HYPERLINK("http://www.informatics.jax.org/marker/MGI:1915560","MGI:1915560")</f>
        <v>MGI:1915560</v>
      </c>
      <c r="J5082" s="4" t="s">
        <v>12</v>
      </c>
    </row>
    <row r="5083" spans="1:10" x14ac:dyDescent="0.25">
      <c r="A5083" s="2">
        <v>214.71527532560901</v>
      </c>
      <c r="B5083" s="3">
        <v>-0.38156066909165498</v>
      </c>
      <c r="C5083" s="5">
        <v>1.8483196960435201E-5</v>
      </c>
      <c r="D5083" s="6">
        <v>8.6930648930046996E-5</v>
      </c>
      <c r="E5083" s="3" t="s">
        <v>8617</v>
      </c>
      <c r="F5083" s="3" t="s">
        <v>8618</v>
      </c>
      <c r="G5083" s="3">
        <v>55947</v>
      </c>
      <c r="H5083" s="7" t="str">
        <f>HYPERLINK("http://www.ensembl.org/Mus_musculus/Gene/Summary?db=core;g=ENSMUSG00000025077","ENSMUSG00000025077")</f>
        <v>ENSMUSG00000025077</v>
      </c>
      <c r="I5083" s="7" t="str">
        <f>HYPERLINK("http://www.informatics.jax.org/marker/MGI:1930042","MGI:1930042")</f>
        <v>MGI:1930042</v>
      </c>
      <c r="J5083" s="4" t="s">
        <v>12</v>
      </c>
    </row>
    <row r="5084" spans="1:10" x14ac:dyDescent="0.25">
      <c r="A5084" s="2">
        <v>180.344089107667</v>
      </c>
      <c r="B5084" s="3">
        <v>-0.38157632255414897</v>
      </c>
      <c r="C5084" s="3">
        <v>3.0143989539204E-4</v>
      </c>
      <c r="D5084" s="4">
        <v>1.15926188932685E-3</v>
      </c>
      <c r="E5084" s="3" t="s">
        <v>12727</v>
      </c>
      <c r="F5084" s="3" t="s">
        <v>12728</v>
      </c>
      <c r="G5084" s="3">
        <v>66627</v>
      </c>
      <c r="H5084" s="7" t="str">
        <f>HYPERLINK("http://www.ensembl.org/Mus_musculus/Gene/Summary?db=core;g=ENSMUSG00000023707","ENSMUSG00000023707")</f>
        <v>ENSMUSG00000023707</v>
      </c>
      <c r="I5084" s="7" t="str">
        <f>HYPERLINK("http://www.informatics.jax.org/marker/MGI:1913877","MGI:1913877")</f>
        <v>MGI:1913877</v>
      </c>
      <c r="J5084" s="4" t="s">
        <v>12</v>
      </c>
    </row>
    <row r="5085" spans="1:10" x14ac:dyDescent="0.25">
      <c r="A5085" s="2">
        <v>420.919587933412</v>
      </c>
      <c r="B5085" s="3">
        <v>-0.38180271488383499</v>
      </c>
      <c r="C5085" s="3">
        <v>5.3584669846328103E-3</v>
      </c>
      <c r="D5085" s="4">
        <v>1.6017395570761501E-2</v>
      </c>
      <c r="E5085" s="3" t="s">
        <v>4811</v>
      </c>
      <c r="F5085" s="3" t="s">
        <v>4812</v>
      </c>
      <c r="G5085" s="3">
        <v>72324</v>
      </c>
      <c r="H5085" s="7" t="str">
        <f>HYPERLINK("http://www.ensembl.org/Mus_musculus/Gene/Summary?db=core;g=ENSMUSG00000017417","ENSMUSG00000017417")</f>
        <v>ENSMUSG00000017417</v>
      </c>
      <c r="I5085" s="7" t="str">
        <f>HYPERLINK("http://www.informatics.jax.org/marker/MGI:1919574","MGI:1919574")</f>
        <v>MGI:1919574</v>
      </c>
      <c r="J5085" s="4" t="s">
        <v>12</v>
      </c>
    </row>
    <row r="5086" spans="1:10" x14ac:dyDescent="0.25">
      <c r="A5086" s="2">
        <v>8.2453944925371605</v>
      </c>
      <c r="B5086" s="3">
        <v>-0.38182330654829899</v>
      </c>
      <c r="C5086" s="3">
        <v>0.27647590733393301</v>
      </c>
      <c r="D5086" s="4">
        <v>0.44721517805635402</v>
      </c>
      <c r="E5086" s="3" t="s">
        <v>13330</v>
      </c>
      <c r="F5086" s="3" t="s">
        <v>13331</v>
      </c>
      <c r="G5086" s="3">
        <v>76654</v>
      </c>
      <c r="H5086" s="7" t="str">
        <f>HYPERLINK("http://www.ensembl.org/Mus_musculus/Gene/Summary?db=core;g=ENSMUSG00000026839","ENSMUSG00000026839")</f>
        <v>ENSMUSG00000026839</v>
      </c>
      <c r="I5086" s="7" t="str">
        <f>HYPERLINK("http://www.informatics.jax.org/marker/MGI:1923904","MGI:1923904")</f>
        <v>MGI:1923904</v>
      </c>
      <c r="J5086" s="4" t="s">
        <v>12</v>
      </c>
    </row>
    <row r="5087" spans="1:10" x14ac:dyDescent="0.25">
      <c r="A5087" s="2">
        <v>132.43627070863801</v>
      </c>
      <c r="B5087" s="3">
        <v>-0.38231982605527798</v>
      </c>
      <c r="C5087" s="3">
        <v>3.3123962066845998E-4</v>
      </c>
      <c r="D5087" s="4">
        <v>1.2650549217692101E-3</v>
      </c>
      <c r="E5087" s="3" t="s">
        <v>6383</v>
      </c>
      <c r="F5087" s="3" t="s">
        <v>6384</v>
      </c>
      <c r="G5087" s="3">
        <v>60534</v>
      </c>
      <c r="H5087" s="7" t="str">
        <f>HYPERLINK("http://www.ensembl.org/Mus_musculus/Gene/Summary?db=core;g=ENSMUSG00000028453","ENSMUSG00000028453")</f>
        <v>ENSMUSG00000028453</v>
      </c>
      <c r="I5087" s="7" t="str">
        <f>HYPERLINK("http://www.informatics.jax.org/marker/MGI:1926471","MGI:1926471")</f>
        <v>MGI:1926471</v>
      </c>
      <c r="J5087" s="4" t="s">
        <v>12</v>
      </c>
    </row>
    <row r="5088" spans="1:10" x14ac:dyDescent="0.25">
      <c r="A5088" s="2">
        <v>799.05929655712805</v>
      </c>
      <c r="B5088" s="3">
        <v>-0.38232791806734301</v>
      </c>
      <c r="C5088" s="5">
        <v>2.4753999700977798E-7</v>
      </c>
      <c r="D5088" s="6">
        <v>1.48401856759974E-6</v>
      </c>
      <c r="E5088" s="3" t="s">
        <v>3314</v>
      </c>
      <c r="F5088" s="3" t="s">
        <v>3315</v>
      </c>
      <c r="G5088" s="3">
        <v>12908</v>
      </c>
      <c r="H5088" s="7" t="str">
        <f>HYPERLINK("http://www.ensembl.org/Mus_musculus/Gene/Summary?db=core;g=ENSMUSG00000026853","ENSMUSG00000026853")</f>
        <v>ENSMUSG00000026853</v>
      </c>
      <c r="I5088" s="7" t="str">
        <f>HYPERLINK("http://www.informatics.jax.org/marker/MGI:109501","MGI:109501")</f>
        <v>MGI:109501</v>
      </c>
      <c r="J5088" s="4" t="s">
        <v>12</v>
      </c>
    </row>
    <row r="5089" spans="1:10" x14ac:dyDescent="0.25">
      <c r="A5089" s="2">
        <v>60.179604189816303</v>
      </c>
      <c r="B5089" s="3">
        <v>-0.382362430972842</v>
      </c>
      <c r="C5089" s="3">
        <v>2.4431770471683101E-2</v>
      </c>
      <c r="D5089" s="4">
        <v>6.1475772034574799E-2</v>
      </c>
      <c r="E5089" s="3" t="s">
        <v>8999</v>
      </c>
      <c r="F5089" s="3" t="s">
        <v>9000</v>
      </c>
      <c r="G5089" s="3" t="s">
        <v>83</v>
      </c>
      <c r="H5089" s="7" t="str">
        <f>HYPERLINK("http://www.ensembl.org/Mus_musculus/Gene/Summary?db=core;g=ENSMUSG00000074863","ENSMUSG00000074863")</f>
        <v>ENSMUSG00000074863</v>
      </c>
      <c r="I5089" s="7" t="str">
        <f>HYPERLINK("http://www.informatics.jax.org/marker/MGI:3645613","MGI:3645613")</f>
        <v>MGI:3645613</v>
      </c>
      <c r="J5089" s="4" t="s">
        <v>12</v>
      </c>
    </row>
    <row r="5090" spans="1:10" x14ac:dyDescent="0.25">
      <c r="A5090" s="2">
        <v>276.02937640117699</v>
      </c>
      <c r="B5090" s="3">
        <v>-0.38247182343549202</v>
      </c>
      <c r="C5090" s="3">
        <v>3.0412080491037199E-3</v>
      </c>
      <c r="D5090" s="4">
        <v>9.6225723428672305E-3</v>
      </c>
      <c r="E5090" s="3" t="s">
        <v>10826</v>
      </c>
      <c r="F5090" s="3" t="s">
        <v>10827</v>
      </c>
      <c r="G5090" s="3">
        <v>215494</v>
      </c>
      <c r="H5090" s="7" t="str">
        <f>HYPERLINK("http://www.ensembl.org/Mus_musculus/Gene/Summary?db=core;g=ENSMUSG00000066235","ENSMUSG00000066235")</f>
        <v>ENSMUSG00000066235</v>
      </c>
      <c r="I5090" s="7" t="str">
        <f>HYPERLINK("http://www.informatics.jax.org/marker/MGI:2143424","MGI:2143424")</f>
        <v>MGI:2143424</v>
      </c>
      <c r="J5090" s="4" t="s">
        <v>12</v>
      </c>
    </row>
    <row r="5091" spans="1:10" x14ac:dyDescent="0.25">
      <c r="A5091" s="2">
        <v>2888.45743806875</v>
      </c>
      <c r="B5091" s="3">
        <v>-0.382487355791019</v>
      </c>
      <c r="C5091" s="5">
        <v>1.46325607906402E-10</v>
      </c>
      <c r="D5091" s="6">
        <v>1.2386364162072399E-9</v>
      </c>
      <c r="E5091" s="3" t="s">
        <v>3648</v>
      </c>
      <c r="F5091" s="3" t="s">
        <v>3649</v>
      </c>
      <c r="G5091" s="3">
        <v>22589</v>
      </c>
      <c r="H5091" s="7" t="str">
        <f>HYPERLINK("http://www.ensembl.org/Mus_musculus/Gene/Summary?db=core;g=ENSMUSG00000031229","ENSMUSG00000031229")</f>
        <v>ENSMUSG00000031229</v>
      </c>
      <c r="I5091" s="7" t="str">
        <f>HYPERLINK("http://www.informatics.jax.org/marker/MGI:103067","MGI:103067")</f>
        <v>MGI:103067</v>
      </c>
      <c r="J5091" s="4" t="s">
        <v>12</v>
      </c>
    </row>
    <row r="5092" spans="1:10" x14ac:dyDescent="0.25">
      <c r="A5092" s="2">
        <v>196.69712632515501</v>
      </c>
      <c r="B5092" s="3">
        <v>-0.38260815318622199</v>
      </c>
      <c r="C5092" s="3">
        <v>1.30825702586007E-4</v>
      </c>
      <c r="D5092" s="4">
        <v>5.3615885532493101E-4</v>
      </c>
      <c r="E5092" s="3" t="s">
        <v>7698</v>
      </c>
      <c r="F5092" s="3" t="s">
        <v>7699</v>
      </c>
      <c r="G5092" s="3">
        <v>102632</v>
      </c>
      <c r="H5092" s="7" t="str">
        <f>HYPERLINK("http://www.ensembl.org/Mus_musculus/Gene/Summary?db=core;g=ENSMUSG00000090150","ENSMUSG00000090150")</f>
        <v>ENSMUSG00000090150</v>
      </c>
      <c r="I5092" s="7" t="str">
        <f>HYPERLINK("http://www.informatics.jax.org/marker/MGI:2143169","MGI:2143169")</f>
        <v>MGI:2143169</v>
      </c>
      <c r="J5092" s="4" t="s">
        <v>12</v>
      </c>
    </row>
    <row r="5093" spans="1:10" x14ac:dyDescent="0.25">
      <c r="A5093" s="2">
        <v>100.95130651801099</v>
      </c>
      <c r="B5093" s="3">
        <v>-0.38278737878330499</v>
      </c>
      <c r="C5093" s="3">
        <v>8.8697900143097099E-4</v>
      </c>
      <c r="D5093" s="4">
        <v>3.1491980612401399E-3</v>
      </c>
      <c r="E5093" s="3" t="s">
        <v>7824</v>
      </c>
      <c r="F5093" s="3" t="s">
        <v>7825</v>
      </c>
      <c r="G5093" s="3">
        <v>72723</v>
      </c>
      <c r="H5093" s="7" t="str">
        <f>HYPERLINK("http://www.ensembl.org/Mus_musculus/Gene/Summary?db=core;g=ENSMUSG00000059975","ENSMUSG00000059975")</f>
        <v>ENSMUSG00000059975</v>
      </c>
      <c r="I5093" s="7" t="str">
        <f>HYPERLINK("http://www.informatics.jax.org/marker/MGI:107784","MGI:107784")</f>
        <v>MGI:107784</v>
      </c>
      <c r="J5093" s="4" t="s">
        <v>12</v>
      </c>
    </row>
    <row r="5094" spans="1:10" x14ac:dyDescent="0.25">
      <c r="A5094" s="2">
        <v>1167.91948035613</v>
      </c>
      <c r="B5094" s="3">
        <v>-0.382857760557684</v>
      </c>
      <c r="C5094" s="5">
        <v>2.0284967262375999E-6</v>
      </c>
      <c r="D5094" s="6">
        <v>1.08733390693177E-5</v>
      </c>
      <c r="E5094" s="3" t="s">
        <v>5733</v>
      </c>
      <c r="F5094" s="3" t="s">
        <v>5734</v>
      </c>
      <c r="G5094" s="3">
        <v>55982</v>
      </c>
      <c r="H5094" s="7" t="str">
        <f>HYPERLINK("http://www.ensembl.org/Mus_musculus/Gene/Summary?db=core;g=ENSMUSG00000002221","ENSMUSG00000002221")</f>
        <v>ENSMUSG00000002221</v>
      </c>
      <c r="I5094" s="7" t="str">
        <f>HYPERLINK("http://www.informatics.jax.org/marker/MGI:1890430","MGI:1890430")</f>
        <v>MGI:1890430</v>
      </c>
      <c r="J5094" s="4" t="s">
        <v>12</v>
      </c>
    </row>
    <row r="5095" spans="1:10" x14ac:dyDescent="0.25">
      <c r="A5095" s="2">
        <v>6800.9542670874498</v>
      </c>
      <c r="B5095" s="3">
        <v>-0.38286532865774803</v>
      </c>
      <c r="C5095" s="5">
        <v>1.2605485156492501E-19</v>
      </c>
      <c r="D5095" s="6">
        <v>1.9321696129274599E-18</v>
      </c>
      <c r="E5095" s="3" t="s">
        <v>1829</v>
      </c>
      <c r="F5095" s="3" t="s">
        <v>1830</v>
      </c>
      <c r="G5095" s="3">
        <v>11545</v>
      </c>
      <c r="H5095" s="7" t="str">
        <f>HYPERLINK("http://www.ensembl.org/Mus_musculus/Gene/Summary?db=core;g=ENSMUSG00000026496","ENSMUSG00000026496")</f>
        <v>ENSMUSG00000026496</v>
      </c>
      <c r="I5095" s="7" t="str">
        <f>HYPERLINK("http://www.informatics.jax.org/marker/MGI:1340806","MGI:1340806")</f>
        <v>MGI:1340806</v>
      </c>
      <c r="J5095" s="4" t="s">
        <v>12</v>
      </c>
    </row>
    <row r="5096" spans="1:10" x14ac:dyDescent="0.25">
      <c r="A5096" s="2">
        <v>1141.3852117818999</v>
      </c>
      <c r="B5096" s="3">
        <v>-0.38292573019814002</v>
      </c>
      <c r="C5096" s="5">
        <v>5.3866104676008998E-6</v>
      </c>
      <c r="D5096" s="6">
        <v>2.7414855828947101E-5</v>
      </c>
      <c r="E5096" s="3" t="s">
        <v>6976</v>
      </c>
      <c r="F5096" s="3" t="s">
        <v>6977</v>
      </c>
      <c r="G5096" s="3">
        <v>217835</v>
      </c>
      <c r="H5096" s="7" t="str">
        <f>HYPERLINK("http://www.ensembl.org/Mus_musculus/Gene/Summary?db=core;g=ENSMUSG00000044456","ENSMUSG00000044456")</f>
        <v>ENSMUSG00000044456</v>
      </c>
      <c r="I5096" s="7" t="str">
        <f>HYPERLINK("http://www.informatics.jax.org/marker/MGI:2385708","MGI:2385708")</f>
        <v>MGI:2385708</v>
      </c>
      <c r="J5096" s="4" t="s">
        <v>12</v>
      </c>
    </row>
    <row r="5097" spans="1:10" x14ac:dyDescent="0.25">
      <c r="A5097" s="2">
        <v>194.30971332502699</v>
      </c>
      <c r="B5097" s="3">
        <v>-0.38324630079079203</v>
      </c>
      <c r="C5097" s="5">
        <v>2.97521850544669E-5</v>
      </c>
      <c r="D5097" s="4">
        <v>1.3535536011424301E-4</v>
      </c>
      <c r="E5097" s="3" t="s">
        <v>8877</v>
      </c>
      <c r="F5097" s="3" t="s">
        <v>8878</v>
      </c>
      <c r="G5097" s="3">
        <v>72018</v>
      </c>
      <c r="H5097" s="7" t="str">
        <f>HYPERLINK("http://www.ensembl.org/Mus_musculus/Gene/Summary?db=core;g=ENSMUSG00000025040","ENSMUSG00000025040")</f>
        <v>ENSMUSG00000025040</v>
      </c>
      <c r="I5097" s="7" t="str">
        <f>HYPERLINK("http://www.informatics.jax.org/marker/MGI:1919268","MGI:1919268")</f>
        <v>MGI:1919268</v>
      </c>
      <c r="J5097" s="4" t="s">
        <v>12</v>
      </c>
    </row>
    <row r="5098" spans="1:10" x14ac:dyDescent="0.25">
      <c r="A5098" s="2">
        <v>60.745301101120297</v>
      </c>
      <c r="B5098" s="3">
        <v>-0.38337469632125698</v>
      </c>
      <c r="C5098" s="3">
        <v>6.30103374046784E-3</v>
      </c>
      <c r="D5098" s="4">
        <v>1.8521990309681699E-2</v>
      </c>
      <c r="E5098" s="3" t="s">
        <v>4391</v>
      </c>
      <c r="F5098" s="3" t="s">
        <v>4392</v>
      </c>
      <c r="G5098" s="3">
        <v>114714</v>
      </c>
      <c r="H5098" s="7" t="str">
        <f>HYPERLINK("http://www.ensembl.org/Mus_musculus/Gene/Summary?db=core;g=ENSMUSG00000007646","ENSMUSG00000007646")</f>
        <v>ENSMUSG00000007646</v>
      </c>
      <c r="I5098" s="7" t="str">
        <f>HYPERLINK("http://www.informatics.jax.org/marker/MGI:2150020","MGI:2150020")</f>
        <v>MGI:2150020</v>
      </c>
      <c r="J5098" s="4" t="s">
        <v>12</v>
      </c>
    </row>
    <row r="5099" spans="1:10" x14ac:dyDescent="0.25">
      <c r="A5099" s="2">
        <v>546.95676395988698</v>
      </c>
      <c r="B5099" s="3">
        <v>-0.38340330426450903</v>
      </c>
      <c r="C5099" s="5">
        <v>4.6831121723052204E-9</v>
      </c>
      <c r="D5099" s="6">
        <v>3.3922781931741898E-8</v>
      </c>
      <c r="E5099" s="3" t="s">
        <v>6341</v>
      </c>
      <c r="F5099" s="3" t="s">
        <v>6342</v>
      </c>
      <c r="G5099" s="3">
        <v>217827</v>
      </c>
      <c r="H5099" s="7" t="str">
        <f>HYPERLINK("http://www.ensembl.org/Mus_musculus/Gene/Summary?db=core;g=ENSMUSG00000021179","ENSMUSG00000021179")</f>
        <v>ENSMUSG00000021179</v>
      </c>
      <c r="I5099" s="7" t="str">
        <f>HYPERLINK("http://www.informatics.jax.org/marker/MGI:2670969","MGI:2670969")</f>
        <v>MGI:2670969</v>
      </c>
      <c r="J5099" s="4" t="s">
        <v>12</v>
      </c>
    </row>
    <row r="5100" spans="1:10" x14ac:dyDescent="0.25">
      <c r="A5100" s="2">
        <v>652.38327509590795</v>
      </c>
      <c r="B5100" s="3">
        <v>-0.38355346505843602</v>
      </c>
      <c r="C5100" s="5">
        <v>6.1511196879383601E-9</v>
      </c>
      <c r="D5100" s="6">
        <v>4.3910754529054697E-8</v>
      </c>
      <c r="E5100" s="3" t="s">
        <v>5803</v>
      </c>
      <c r="F5100" s="3" t="s">
        <v>5804</v>
      </c>
      <c r="G5100" s="3">
        <v>67869</v>
      </c>
      <c r="H5100" s="7" t="str">
        <f>HYPERLINK("http://www.ensembl.org/Mus_musculus/Gene/Summary?db=core;g=ENSMUSG00000037058","ENSMUSG00000037058")</f>
        <v>ENSMUSG00000037058</v>
      </c>
      <c r="I5100" s="7" t="str">
        <f>HYPERLINK("http://www.informatics.jax.org/marker/MGI:1915119","MGI:1915119")</f>
        <v>MGI:1915119</v>
      </c>
      <c r="J5100" s="4" t="s">
        <v>12</v>
      </c>
    </row>
    <row r="5101" spans="1:10" x14ac:dyDescent="0.25">
      <c r="A5101" s="2">
        <v>640.82117755129195</v>
      </c>
      <c r="B5101" s="3">
        <v>-0.384369352150568</v>
      </c>
      <c r="C5101" s="5">
        <v>4.1243307825049699E-8</v>
      </c>
      <c r="D5101" s="6">
        <v>2.6739924763839602E-7</v>
      </c>
      <c r="E5101" s="3" t="s">
        <v>6001</v>
      </c>
      <c r="F5101" s="3" t="s">
        <v>6002</v>
      </c>
      <c r="G5101" s="3">
        <v>51798</v>
      </c>
      <c r="H5101" s="7" t="str">
        <f>HYPERLINK("http://www.ensembl.org/Mus_musculus/Gene/Summary?db=core;g=ENSMUSG00000053898","ENSMUSG00000053898")</f>
        <v>ENSMUSG00000053898</v>
      </c>
      <c r="I5101" s="7" t="str">
        <f>HYPERLINK("http://www.informatics.jax.org/marker/MGI:1858208","MGI:1858208")</f>
        <v>MGI:1858208</v>
      </c>
      <c r="J5101" s="4" t="s">
        <v>12</v>
      </c>
    </row>
    <row r="5102" spans="1:10" x14ac:dyDescent="0.25">
      <c r="A5102" s="2">
        <v>88.599084139470506</v>
      </c>
      <c r="B5102" s="3">
        <v>-0.38457363890889801</v>
      </c>
      <c r="C5102" s="3">
        <v>3.4289693263572399E-3</v>
      </c>
      <c r="D5102" s="4">
        <v>1.0730248278307101E-2</v>
      </c>
      <c r="E5102" s="3" t="s">
        <v>11505</v>
      </c>
      <c r="F5102" s="3" t="s">
        <v>11506</v>
      </c>
      <c r="G5102" s="3">
        <v>57869</v>
      </c>
      <c r="H5102" s="7" t="str">
        <f>HYPERLINK("http://www.ensembl.org/Mus_musculus/Gene/Summary?db=core;g=ENSMUSG00000046947","ENSMUSG00000046947")</f>
        <v>ENSMUSG00000046947</v>
      </c>
      <c r="I5102" s="7" t="str">
        <f>HYPERLINK("http://www.informatics.jax.org/marker/MGI:1889336","MGI:1889336")</f>
        <v>MGI:1889336</v>
      </c>
      <c r="J5102" s="4" t="s">
        <v>12</v>
      </c>
    </row>
    <row r="5103" spans="1:10" x14ac:dyDescent="0.25">
      <c r="A5103" s="2">
        <v>164.77923861854299</v>
      </c>
      <c r="B5103" s="3">
        <v>-0.384686632711914</v>
      </c>
      <c r="C5103" s="5">
        <v>8.8889781596406298E-5</v>
      </c>
      <c r="D5103" s="4">
        <v>3.7465686160835E-4</v>
      </c>
      <c r="E5103" s="3" t="s">
        <v>4095</v>
      </c>
      <c r="F5103" s="3" t="s">
        <v>4096</v>
      </c>
      <c r="G5103" s="3">
        <v>69928</v>
      </c>
      <c r="H5103" s="7" t="str">
        <f>HYPERLINK("http://www.ensembl.org/Mus_musculus/Gene/Summary?db=core;g=ENSMUSG00000073705","ENSMUSG00000073705")</f>
        <v>ENSMUSG00000073705</v>
      </c>
      <c r="I5103" s="7" t="str">
        <f>HYPERLINK("http://www.informatics.jax.org/marker/MGI:1917178","MGI:1917178")</f>
        <v>MGI:1917178</v>
      </c>
      <c r="J5103" s="4" t="s">
        <v>12</v>
      </c>
    </row>
    <row r="5104" spans="1:10" x14ac:dyDescent="0.25">
      <c r="A5104" s="2">
        <v>884.38960854149195</v>
      </c>
      <c r="B5104" s="3">
        <v>-0.38528046890677098</v>
      </c>
      <c r="C5104" s="5">
        <v>1.63144084652892E-10</v>
      </c>
      <c r="D5104" s="6">
        <v>1.3714487743537601E-9</v>
      </c>
      <c r="E5104" s="3" t="s">
        <v>4559</v>
      </c>
      <c r="F5104" s="3" t="s">
        <v>4560</v>
      </c>
      <c r="G5104" s="3">
        <v>17850</v>
      </c>
      <c r="H5104" s="7" t="str">
        <f>HYPERLINK("http://www.ensembl.org/Mus_musculus/Gene/Summary?db=core;g=ENSMUSG00000023921","ENSMUSG00000023921")</f>
        <v>ENSMUSG00000023921</v>
      </c>
      <c r="I5104" s="7" t="str">
        <f>HYPERLINK("http://www.informatics.jax.org/marker/MGI:97239","MGI:97239")</f>
        <v>MGI:97239</v>
      </c>
      <c r="J5104" s="4" t="s">
        <v>12</v>
      </c>
    </row>
    <row r="5105" spans="1:10" x14ac:dyDescent="0.25">
      <c r="A5105" s="2">
        <v>714.44323569970902</v>
      </c>
      <c r="B5105" s="3">
        <v>-0.38531700363632798</v>
      </c>
      <c r="C5105" s="5">
        <v>6.6633938627012706E-11</v>
      </c>
      <c r="D5105" s="6">
        <v>5.7939099784222597E-10</v>
      </c>
      <c r="E5105" s="3" t="s">
        <v>1883</v>
      </c>
      <c r="F5105" s="3" t="s">
        <v>1884</v>
      </c>
      <c r="G5105" s="3">
        <v>140579</v>
      </c>
      <c r="H5105" s="7" t="str">
        <f>HYPERLINK("http://www.ensembl.org/Mus_musculus/Gene/Summary?db=core;g=ENSMUSG00000017670","ENSMUSG00000017670")</f>
        <v>ENSMUSG00000017670</v>
      </c>
      <c r="I5105" s="7" t="str">
        <f>HYPERLINK("http://www.informatics.jax.org/marker/MGI:2153045","MGI:2153045")</f>
        <v>MGI:2153045</v>
      </c>
      <c r="J5105" s="4" t="s">
        <v>12</v>
      </c>
    </row>
    <row r="5106" spans="1:10" x14ac:dyDescent="0.25">
      <c r="A5106" s="2">
        <v>1835.82937733474</v>
      </c>
      <c r="B5106" s="3">
        <v>-0.38540352090091101</v>
      </c>
      <c r="C5106" s="5">
        <v>9.5950707886341305E-10</v>
      </c>
      <c r="D5106" s="6">
        <v>7.4507952757928002E-9</v>
      </c>
      <c r="E5106" s="3" t="s">
        <v>5789</v>
      </c>
      <c r="F5106" s="3" t="s">
        <v>5790</v>
      </c>
      <c r="G5106" s="3">
        <v>235626</v>
      </c>
      <c r="H5106" s="7" t="str">
        <f>HYPERLINK("http://www.ensembl.org/Mus_musculus/Gene/Summary?db=core;g=ENSMUSG00000044791","ENSMUSG00000044791")</f>
        <v>ENSMUSG00000044791</v>
      </c>
      <c r="I5106" s="7" t="str">
        <f>HYPERLINK("http://www.informatics.jax.org/marker/MGI:1918177","MGI:1918177")</f>
        <v>MGI:1918177</v>
      </c>
      <c r="J5106" s="4" t="s">
        <v>12</v>
      </c>
    </row>
    <row r="5107" spans="1:10" x14ac:dyDescent="0.25">
      <c r="A5107" s="2">
        <v>176.05432256160699</v>
      </c>
      <c r="B5107" s="3">
        <v>-0.38569983431078297</v>
      </c>
      <c r="C5107" s="3">
        <v>2.1022839484603E-4</v>
      </c>
      <c r="D5107" s="4">
        <v>8.32915760014977E-4</v>
      </c>
      <c r="E5107" s="3" t="s">
        <v>8229</v>
      </c>
      <c r="F5107" s="3" t="s">
        <v>8230</v>
      </c>
      <c r="G5107" s="3">
        <v>27015</v>
      </c>
      <c r="H5107" s="7" t="str">
        <f>HYPERLINK("http://www.ensembl.org/Mus_musculus/Gene/Summary?db=core;g=ENSMUSG00000021668","ENSMUSG00000021668")</f>
        <v>ENSMUSG00000021668</v>
      </c>
      <c r="I5107" s="7" t="str">
        <f>HYPERLINK("http://www.informatics.jax.org/marker/MGI:1349767","MGI:1349767")</f>
        <v>MGI:1349767</v>
      </c>
      <c r="J5107" s="4" t="s">
        <v>12</v>
      </c>
    </row>
    <row r="5108" spans="1:10" x14ac:dyDescent="0.25">
      <c r="A5108" s="2">
        <v>265.19607975081198</v>
      </c>
      <c r="B5108" s="3">
        <v>-0.38585177217685002</v>
      </c>
      <c r="C5108" s="5">
        <v>3.3065203811410599E-6</v>
      </c>
      <c r="D5108" s="6">
        <v>1.7261911757747301E-5</v>
      </c>
      <c r="E5108" s="3" t="s">
        <v>10738</v>
      </c>
      <c r="F5108" s="3" t="s">
        <v>10739</v>
      </c>
      <c r="G5108" s="3">
        <v>67390</v>
      </c>
      <c r="H5108" s="7" t="str">
        <f>HYPERLINK("http://www.ensembl.org/Mus_musculus/Gene/Summary?db=core;g=ENSMUSG00000038046","ENSMUSG00000038046")</f>
        <v>ENSMUSG00000038046</v>
      </c>
      <c r="I5108" s="7" t="str">
        <f>HYPERLINK("http://www.informatics.jax.org/marker/MGI:1914640","MGI:1914640")</f>
        <v>MGI:1914640</v>
      </c>
      <c r="J5108" s="4" t="s">
        <v>12</v>
      </c>
    </row>
    <row r="5109" spans="1:10" x14ac:dyDescent="0.25">
      <c r="A5109" s="2">
        <v>1038.09541892582</v>
      </c>
      <c r="B5109" s="3">
        <v>-0.38593276002673998</v>
      </c>
      <c r="C5109" s="5">
        <v>1.10595895206808E-10</v>
      </c>
      <c r="D5109" s="6">
        <v>9.4099448652851097E-10</v>
      </c>
      <c r="E5109" s="3" t="s">
        <v>4393</v>
      </c>
      <c r="F5109" s="3" t="s">
        <v>4394</v>
      </c>
      <c r="G5109" s="3">
        <v>229285</v>
      </c>
      <c r="H5109" s="7" t="str">
        <f>HYPERLINK("http://www.ensembl.org/Mus_musculus/Gene/Summary?db=core;g=ENSMUSG00000036580","ENSMUSG00000036580")</f>
        <v>ENSMUSG00000036580</v>
      </c>
      <c r="I5109" s="7" t="str">
        <f>HYPERLINK("http://www.informatics.jax.org/marker/MGI:2139806","MGI:2139806")</f>
        <v>MGI:2139806</v>
      </c>
      <c r="J5109" s="4" t="s">
        <v>12</v>
      </c>
    </row>
    <row r="5110" spans="1:10" x14ac:dyDescent="0.25">
      <c r="A5110" s="2">
        <v>4313.3252688447901</v>
      </c>
      <c r="B5110" s="3">
        <v>-0.38600647472289401</v>
      </c>
      <c r="C5110" s="5">
        <v>5.91404765638033E-8</v>
      </c>
      <c r="D5110" s="6">
        <v>3.7832052838726402E-7</v>
      </c>
      <c r="E5110" s="3" t="s">
        <v>5781</v>
      </c>
      <c r="F5110" s="3" t="s">
        <v>5782</v>
      </c>
      <c r="G5110" s="3">
        <v>19357</v>
      </c>
      <c r="H5110" s="7" t="str">
        <f>HYPERLINK("http://www.ensembl.org/Mus_musculus/Gene/Summary?db=core;g=ENSMUSG00000022314","ENSMUSG00000022314")</f>
        <v>ENSMUSG00000022314</v>
      </c>
      <c r="I5110" s="7" t="str">
        <f>HYPERLINK("http://www.informatics.jax.org/marker/MGI:108016","MGI:108016")</f>
        <v>MGI:108016</v>
      </c>
      <c r="J5110" s="4" t="s">
        <v>12</v>
      </c>
    </row>
    <row r="5111" spans="1:10" x14ac:dyDescent="0.25">
      <c r="A5111" s="2">
        <v>879.10881151599199</v>
      </c>
      <c r="B5111" s="3">
        <v>-0.38602798424877199</v>
      </c>
      <c r="C5111" s="5">
        <v>1.74166412586625E-12</v>
      </c>
      <c r="D5111" s="6">
        <v>1.7297999288235601E-11</v>
      </c>
      <c r="E5111" s="3" t="s">
        <v>3288</v>
      </c>
      <c r="F5111" s="3" t="s">
        <v>3289</v>
      </c>
      <c r="G5111" s="3">
        <v>57443</v>
      </c>
      <c r="H5111" s="7" t="str">
        <f>HYPERLINK("http://www.ensembl.org/Mus_musculus/Gene/Summary?db=core;g=ENSMUSG00000027180","ENSMUSG00000027180")</f>
        <v>ENSMUSG00000027180</v>
      </c>
      <c r="I5111" s="7" t="str">
        <f>HYPERLINK("http://www.informatics.jax.org/marker/MGI:1929084","MGI:1929084")</f>
        <v>MGI:1929084</v>
      </c>
      <c r="J5111" s="4" t="s">
        <v>12</v>
      </c>
    </row>
    <row r="5112" spans="1:10" x14ac:dyDescent="0.25">
      <c r="A5112" s="2">
        <v>232.22423375867899</v>
      </c>
      <c r="B5112" s="3">
        <v>-0.38624144587756998</v>
      </c>
      <c r="C5112" s="5">
        <v>7.9941742426644406E-6</v>
      </c>
      <c r="D5112" s="6">
        <v>3.9676967748518397E-5</v>
      </c>
      <c r="E5112" s="3" t="s">
        <v>9873</v>
      </c>
      <c r="F5112" s="3" t="s">
        <v>9874</v>
      </c>
      <c r="G5112" s="3">
        <v>101490</v>
      </c>
      <c r="H5112" s="7" t="str">
        <f>HYPERLINK("http://www.ensembl.org/Mus_musculus/Gene/Summary?db=core;g=ENSMUSG00000042105","ENSMUSG00000042105")</f>
        <v>ENSMUSG00000042105</v>
      </c>
      <c r="I5112" s="7" t="str">
        <f>HYPERLINK("http://www.informatics.jax.org/marker/MGI:2141867","MGI:2141867")</f>
        <v>MGI:2141867</v>
      </c>
      <c r="J5112" s="4" t="s">
        <v>12</v>
      </c>
    </row>
    <row r="5113" spans="1:10" x14ac:dyDescent="0.25">
      <c r="A5113" s="2">
        <v>261.12287541874599</v>
      </c>
      <c r="B5113" s="3">
        <v>-0.38633415700934398</v>
      </c>
      <c r="C5113" s="5">
        <v>1.9028066071238E-6</v>
      </c>
      <c r="D5113" s="6">
        <v>1.02266736699591E-5</v>
      </c>
      <c r="E5113" s="3" t="s">
        <v>7084</v>
      </c>
      <c r="F5113" s="3" t="s">
        <v>7085</v>
      </c>
      <c r="G5113" s="3">
        <v>68304</v>
      </c>
      <c r="H5113" s="7" t="str">
        <f>HYPERLINK("http://www.ensembl.org/Mus_musculus/Gene/Summary?db=core;g=ENSMUSG00000034487","ENSMUSG00000034487")</f>
        <v>ENSMUSG00000034487</v>
      </c>
      <c r="I5113" s="7" t="str">
        <f>HYPERLINK("http://www.informatics.jax.org/marker/MGI:1923765","MGI:1923765")</f>
        <v>MGI:1923765</v>
      </c>
      <c r="J5113" s="4" t="s">
        <v>12</v>
      </c>
    </row>
    <row r="5114" spans="1:10" x14ac:dyDescent="0.25">
      <c r="A5114" s="2">
        <v>77.1401456899425</v>
      </c>
      <c r="B5114" s="3">
        <v>-0.386381590784735</v>
      </c>
      <c r="C5114" s="3">
        <v>3.87867768573486E-3</v>
      </c>
      <c r="D5114" s="4">
        <v>1.19954014631797E-2</v>
      </c>
      <c r="E5114" s="3" t="s">
        <v>6619</v>
      </c>
      <c r="F5114" s="3" t="s">
        <v>6620</v>
      </c>
      <c r="G5114" s="3">
        <v>73047</v>
      </c>
      <c r="H5114" s="7" t="str">
        <f>HYPERLINK("http://www.ensembl.org/Mus_musculus/Gene/Summary?db=core;g=ENSMUSG00000051146","ENSMUSG00000051146")</f>
        <v>ENSMUSG00000051146</v>
      </c>
      <c r="I5114" s="7" t="str">
        <f>HYPERLINK("http://www.informatics.jax.org/marker/MGI:1920297","MGI:1920297")</f>
        <v>MGI:1920297</v>
      </c>
      <c r="J5114" s="4" t="s">
        <v>12</v>
      </c>
    </row>
    <row r="5115" spans="1:10" x14ac:dyDescent="0.25">
      <c r="A5115" s="2">
        <v>164.11504546299801</v>
      </c>
      <c r="B5115" s="3">
        <v>-0.38641134302205998</v>
      </c>
      <c r="C5115" s="3">
        <v>1.3839875264082E-3</v>
      </c>
      <c r="D5115" s="4">
        <v>4.7431698056977596E-3</v>
      </c>
      <c r="E5115" s="3" t="s">
        <v>13481</v>
      </c>
      <c r="F5115" s="3" t="s">
        <v>13482</v>
      </c>
      <c r="G5115" s="3">
        <v>212647</v>
      </c>
      <c r="H5115" s="7" t="str">
        <f>HYPERLINK("http://www.ensembl.org/Mus_musculus/Gene/Summary?db=core;g=ENSMUSG00000028737","ENSMUSG00000028737")</f>
        <v>ENSMUSG00000028737</v>
      </c>
      <c r="I5115" s="7" t="str">
        <f>HYPERLINK("http://www.informatics.jax.org/marker/MGI:2443883","MGI:2443883")</f>
        <v>MGI:2443883</v>
      </c>
      <c r="J5115" s="4" t="s">
        <v>12</v>
      </c>
    </row>
    <row r="5116" spans="1:10" x14ac:dyDescent="0.25">
      <c r="A5116" s="2">
        <v>309.52132822234501</v>
      </c>
      <c r="B5116" s="3">
        <v>-0.38647073714439001</v>
      </c>
      <c r="C5116" s="5">
        <v>1.3366463993226499E-7</v>
      </c>
      <c r="D5116" s="6">
        <v>8.25775614496789E-7</v>
      </c>
      <c r="E5116" s="3" t="s">
        <v>6842</v>
      </c>
      <c r="F5116" s="3" t="s">
        <v>6843</v>
      </c>
      <c r="G5116" s="3">
        <v>67667</v>
      </c>
      <c r="H5116" s="7" t="str">
        <f>HYPERLINK("http://www.ensembl.org/Mus_musculus/Gene/Summary?db=core;g=ENSMUSG00000025899","ENSMUSG00000025899")</f>
        <v>ENSMUSG00000025899</v>
      </c>
      <c r="I5116" s="7" t="str">
        <f>HYPERLINK("http://www.informatics.jax.org/marker/MGI:1914917","MGI:1914917")</f>
        <v>MGI:1914917</v>
      </c>
      <c r="J5116" s="4" t="s">
        <v>12</v>
      </c>
    </row>
    <row r="5117" spans="1:10" x14ac:dyDescent="0.25">
      <c r="A5117" s="2">
        <v>5380.6681498073203</v>
      </c>
      <c r="B5117" s="3">
        <v>-0.386617553078348</v>
      </c>
      <c r="C5117" s="5">
        <v>6.4656982424684197E-8</v>
      </c>
      <c r="D5117" s="6">
        <v>4.1158697334609499E-7</v>
      </c>
      <c r="E5117" s="3" t="s">
        <v>2846</v>
      </c>
      <c r="F5117" s="3" t="s">
        <v>2847</v>
      </c>
      <c r="G5117" s="3">
        <v>17219</v>
      </c>
      <c r="H5117" s="7" t="str">
        <f>HYPERLINK("http://www.ensembl.org/Mus_musculus/Gene/Summary?db=core;g=ENSMUSG00000026355","ENSMUSG00000026355")</f>
        <v>ENSMUSG00000026355</v>
      </c>
      <c r="I5117" s="7" t="str">
        <f>HYPERLINK("http://www.informatics.jax.org/marker/MGI:1298227","MGI:1298227")</f>
        <v>MGI:1298227</v>
      </c>
      <c r="J5117" s="4" t="s">
        <v>12</v>
      </c>
    </row>
    <row r="5118" spans="1:10" x14ac:dyDescent="0.25">
      <c r="A5118" s="2">
        <v>1088.2570080774101</v>
      </c>
      <c r="B5118" s="3">
        <v>-0.38668363669271999</v>
      </c>
      <c r="C5118" s="5">
        <v>1.48886609694364E-12</v>
      </c>
      <c r="D5118" s="6">
        <v>1.48845774091047E-11</v>
      </c>
      <c r="E5118" s="3" t="s">
        <v>4279</v>
      </c>
      <c r="F5118" s="3" t="s">
        <v>4280</v>
      </c>
      <c r="G5118" s="3">
        <v>22661</v>
      </c>
      <c r="H5118" s="7" t="str">
        <f>HYPERLINK("http://www.ensembl.org/Mus_musculus/Gene/Summary?db=core;g=ENSMUSG00000022811","ENSMUSG00000022811")</f>
        <v>ENSMUSG00000022811</v>
      </c>
      <c r="I5118" s="7" t="str">
        <f>HYPERLINK("http://www.informatics.jax.org/marker/MGI:1332234","MGI:1332234")</f>
        <v>MGI:1332234</v>
      </c>
      <c r="J5118" s="4" t="s">
        <v>12</v>
      </c>
    </row>
    <row r="5119" spans="1:10" x14ac:dyDescent="0.25">
      <c r="A5119" s="2">
        <v>729.28467684672205</v>
      </c>
      <c r="B5119" s="3">
        <v>-0.38685113243498898</v>
      </c>
      <c r="C5119" s="5">
        <v>2.19063198500154E-5</v>
      </c>
      <c r="D5119" s="4">
        <v>1.0179568568754E-4</v>
      </c>
      <c r="E5119" s="3" t="s">
        <v>10360</v>
      </c>
      <c r="F5119" s="3" t="s">
        <v>10361</v>
      </c>
      <c r="G5119" s="3">
        <v>78894</v>
      </c>
      <c r="H5119" s="7" t="str">
        <f>HYPERLINK("http://www.ensembl.org/Mus_musculus/Gene/Summary?db=core;g=ENSMUSG00000029482","ENSMUSG00000029482")</f>
        <v>ENSMUSG00000029482</v>
      </c>
      <c r="I5119" s="7" t="str">
        <f>HYPERLINK("http://www.informatics.jax.org/marker/MGI:1926144","MGI:1926144")</f>
        <v>MGI:1926144</v>
      </c>
      <c r="J5119" s="4" t="s">
        <v>12</v>
      </c>
    </row>
    <row r="5120" spans="1:10" x14ac:dyDescent="0.25">
      <c r="A5120" s="2">
        <v>425.39783581730097</v>
      </c>
      <c r="B5120" s="3">
        <v>-0.38712294613449699</v>
      </c>
      <c r="C5120" s="5">
        <v>2.1699341237680698E-9</v>
      </c>
      <c r="D5120" s="6">
        <v>1.6221103119636201E-8</v>
      </c>
      <c r="E5120" s="3" t="s">
        <v>4635</v>
      </c>
      <c r="F5120" s="3" t="s">
        <v>4636</v>
      </c>
      <c r="G5120" s="3">
        <v>74360</v>
      </c>
      <c r="H5120" s="7" t="str">
        <f>HYPERLINK("http://www.ensembl.org/Mus_musculus/Gene/Summary?db=core;g=ENSMUSG00000031922","ENSMUSG00000031922")</f>
        <v>ENSMUSG00000031922</v>
      </c>
      <c r="I5120" s="7" t="str">
        <f>HYPERLINK("http://www.informatics.jax.org/marker/MGI:1915551","MGI:1915551")</f>
        <v>MGI:1915551</v>
      </c>
      <c r="J5120" s="4" t="s">
        <v>12</v>
      </c>
    </row>
    <row r="5121" spans="1:10" x14ac:dyDescent="0.25">
      <c r="A5121" s="2">
        <v>1067.2495953493899</v>
      </c>
      <c r="B5121" s="3">
        <v>-0.38749396460577601</v>
      </c>
      <c r="C5121" s="5">
        <v>1.04587626799833E-5</v>
      </c>
      <c r="D5121" s="6">
        <v>5.1020061521064199E-5</v>
      </c>
      <c r="E5121" s="3" t="s">
        <v>4651</v>
      </c>
      <c r="F5121" s="3" t="s">
        <v>4652</v>
      </c>
      <c r="G5121" s="3">
        <v>215821</v>
      </c>
      <c r="H5121" s="7" t="str">
        <f>HYPERLINK("http://www.ensembl.org/Mus_musculus/Gene/Summary?db=core;g=ENSMUSG00000019852","ENSMUSG00000019852")</f>
        <v>ENSMUSG00000019852</v>
      </c>
      <c r="I5121" s="7" t="str">
        <f>HYPERLINK("http://www.informatics.jax.org/marker/MGI:106387","MGI:106387")</f>
        <v>MGI:106387</v>
      </c>
      <c r="J5121" s="4" t="s">
        <v>12</v>
      </c>
    </row>
    <row r="5122" spans="1:10" x14ac:dyDescent="0.25">
      <c r="A5122" s="2">
        <v>220.51794097166001</v>
      </c>
      <c r="B5122" s="3">
        <v>-0.38782874202471102</v>
      </c>
      <c r="C5122" s="3">
        <v>2.5821329614518002E-4</v>
      </c>
      <c r="D5122" s="4">
        <v>1.00382622061559E-3</v>
      </c>
      <c r="E5122" s="3" t="s">
        <v>11157</v>
      </c>
      <c r="F5122" s="3" t="s">
        <v>11158</v>
      </c>
      <c r="G5122" s="3">
        <v>72772</v>
      </c>
      <c r="H5122" s="7" t="str">
        <f>HYPERLINK("http://www.ensembl.org/Mus_musculus/Gene/Summary?db=core;g=ENSMUSG00000028999","ENSMUSG00000028999")</f>
        <v>ENSMUSG00000028999</v>
      </c>
      <c r="I5122" s="7" t="str">
        <f>HYPERLINK("http://www.informatics.jax.org/marker/MGI:1916233","MGI:1916233")</f>
        <v>MGI:1916233</v>
      </c>
      <c r="J5122" s="4" t="s">
        <v>12</v>
      </c>
    </row>
    <row r="5123" spans="1:10" x14ac:dyDescent="0.25">
      <c r="A5123" s="2">
        <v>689.06471038521602</v>
      </c>
      <c r="B5123" s="3">
        <v>-0.38788337995295702</v>
      </c>
      <c r="C5123" s="5">
        <v>1.0400517976288899E-8</v>
      </c>
      <c r="D5123" s="6">
        <v>7.2319511681749504E-8</v>
      </c>
      <c r="E5123" s="3" t="s">
        <v>4373</v>
      </c>
      <c r="F5123" s="3" t="s">
        <v>4374</v>
      </c>
      <c r="G5123" s="3">
        <v>98766</v>
      </c>
      <c r="H5123" s="7" t="str">
        <f>HYPERLINK("http://www.ensembl.org/Mus_musculus/Gene/Summary?db=core;g=ENSMUSG00000036352","ENSMUSG00000036352")</f>
        <v>ENSMUSG00000036352</v>
      </c>
      <c r="I5123" s="7" t="str">
        <f>HYPERLINK("http://www.informatics.jax.org/marker/MGI:1920995","MGI:1920995")</f>
        <v>MGI:1920995</v>
      </c>
      <c r="J5123" s="4" t="s">
        <v>12</v>
      </c>
    </row>
    <row r="5124" spans="1:10" x14ac:dyDescent="0.25">
      <c r="A5124" s="2">
        <v>268.44060803673801</v>
      </c>
      <c r="B5124" s="3">
        <v>-0.38802587158760798</v>
      </c>
      <c r="C5124" s="5">
        <v>4.8900671916068299E-5</v>
      </c>
      <c r="D5124" s="4">
        <v>2.1490589478426501E-4</v>
      </c>
      <c r="E5124" s="3" t="s">
        <v>8873</v>
      </c>
      <c r="F5124" s="3" t="s">
        <v>8874</v>
      </c>
      <c r="G5124" s="3">
        <v>13849</v>
      </c>
      <c r="H5124" s="7" t="str">
        <f>HYPERLINK("http://www.ensembl.org/Mus_musculus/Gene/Summary?db=core;g=ENSMUSG00000038776","ENSMUSG00000038776")</f>
        <v>ENSMUSG00000038776</v>
      </c>
      <c r="I5124" s="7" t="str">
        <f>HYPERLINK("http://www.informatics.jax.org/marker/MGI:95405","MGI:95405")</f>
        <v>MGI:95405</v>
      </c>
      <c r="J5124" s="4" t="s">
        <v>12</v>
      </c>
    </row>
    <row r="5125" spans="1:10" x14ac:dyDescent="0.25">
      <c r="A5125" s="2">
        <v>130.45233570203899</v>
      </c>
      <c r="B5125" s="3">
        <v>-0.388333858387231</v>
      </c>
      <c r="C5125" s="3">
        <v>7.0314500675266903E-4</v>
      </c>
      <c r="D5125" s="4">
        <v>2.5403637837376901E-3</v>
      </c>
      <c r="E5125" s="3" t="s">
        <v>10555</v>
      </c>
      <c r="F5125" s="3" t="s">
        <v>10556</v>
      </c>
      <c r="G5125" s="3">
        <v>57813</v>
      </c>
      <c r="H5125" s="7" t="str">
        <f>HYPERLINK("http://www.ensembl.org/Mus_musculus/Gene/Summary?db=core;g=ENSMUSG00000035824","ENSMUSG00000035824")</f>
        <v>ENSMUSG00000035824</v>
      </c>
      <c r="I5125" s="7" t="str">
        <f>HYPERLINK("http://www.informatics.jax.org/marker/MGI:1913266","MGI:1913266")</f>
        <v>MGI:1913266</v>
      </c>
      <c r="J5125" s="4" t="s">
        <v>12</v>
      </c>
    </row>
    <row r="5126" spans="1:10" x14ac:dyDescent="0.25">
      <c r="A5126" s="2">
        <v>2832.0991387438298</v>
      </c>
      <c r="B5126" s="3">
        <v>-0.389051395341241</v>
      </c>
      <c r="C5126" s="3">
        <v>3.1707036935712099E-2</v>
      </c>
      <c r="D5126" s="4">
        <v>7.7275745295625503E-2</v>
      </c>
      <c r="E5126" s="3" t="s">
        <v>13815</v>
      </c>
      <c r="F5126" s="3" t="s">
        <v>13816</v>
      </c>
      <c r="G5126" s="3">
        <v>11881</v>
      </c>
      <c r="H5126" s="7" t="str">
        <f>HYPERLINK("http://www.ensembl.org/Mus_musculus/Gene/Summary?db=core;g=ENSMUSG00000042082","ENSMUSG00000042082")</f>
        <v>ENSMUSG00000042082</v>
      </c>
      <c r="I5126" s="7" t="str">
        <f>HYPERLINK("http://www.informatics.jax.org/marker/MGI:88075","MGI:88075")</f>
        <v>MGI:88075</v>
      </c>
      <c r="J5126" s="4" t="s">
        <v>12</v>
      </c>
    </row>
    <row r="5127" spans="1:10" x14ac:dyDescent="0.25">
      <c r="A5127" s="2">
        <v>408.36039289975201</v>
      </c>
      <c r="B5127" s="3">
        <v>-0.38916780144598101</v>
      </c>
      <c r="C5127" s="5">
        <v>1.6057946552774801E-6</v>
      </c>
      <c r="D5127" s="6">
        <v>8.7229828889514305E-6</v>
      </c>
      <c r="E5127" s="3" t="s">
        <v>5593</v>
      </c>
      <c r="F5127" s="3" t="s">
        <v>5594</v>
      </c>
      <c r="G5127" s="3">
        <v>18768</v>
      </c>
      <c r="H5127" s="7" t="str">
        <f>HYPERLINK("http://www.ensembl.org/Mus_musculus/Gene/Summary?db=core;g=ENSMUSG00000019876","ENSMUSG00000019876")</f>
        <v>ENSMUSG00000019876</v>
      </c>
      <c r="I5127" s="7" t="str">
        <f>HYPERLINK("http://www.informatics.jax.org/marker/MGI:101937","MGI:101937")</f>
        <v>MGI:101937</v>
      </c>
      <c r="J5127" s="4" t="s">
        <v>12</v>
      </c>
    </row>
    <row r="5128" spans="1:10" x14ac:dyDescent="0.25">
      <c r="A5128" s="2">
        <v>107.1965792485</v>
      </c>
      <c r="B5128" s="3">
        <v>-0.38945743190010301</v>
      </c>
      <c r="C5128" s="3">
        <v>8.3482807900639392E-3</v>
      </c>
      <c r="D5128" s="4">
        <v>2.38812458639013E-2</v>
      </c>
      <c r="E5128" s="3" t="s">
        <v>12617</v>
      </c>
      <c r="F5128" s="3" t="s">
        <v>12618</v>
      </c>
      <c r="G5128" s="3" t="s">
        <v>83</v>
      </c>
      <c r="H5128" s="7" t="str">
        <f>HYPERLINK("http://www.ensembl.org/Mus_musculus/Gene/Summary?db=core;g=ENSMUSG00000087658","ENSMUSG00000087658")</f>
        <v>ENSMUSG00000087658</v>
      </c>
      <c r="I5128" s="7" t="str">
        <f>HYPERLINK("http://www.informatics.jax.org/marker/MGI:3705155","MGI:3705155")</f>
        <v>MGI:3705155</v>
      </c>
      <c r="J5128" s="4" t="s">
        <v>932</v>
      </c>
    </row>
    <row r="5129" spans="1:10" x14ac:dyDescent="0.25">
      <c r="A5129" s="2">
        <v>652.90098897280802</v>
      </c>
      <c r="B5129" s="3">
        <v>-0.38961986718261599</v>
      </c>
      <c r="C5129" s="5">
        <v>1.8448739530624401E-6</v>
      </c>
      <c r="D5129" s="6">
        <v>9.9358238163602294E-6</v>
      </c>
      <c r="E5129" s="3" t="s">
        <v>3656</v>
      </c>
      <c r="F5129" s="3" t="s">
        <v>3657</v>
      </c>
      <c r="G5129" s="3">
        <v>72155</v>
      </c>
      <c r="H5129" s="7" t="str">
        <f>HYPERLINK("http://www.ensembl.org/Mus_musculus/Gene/Summary?db=core;g=ENSMUSG00000031756","ENSMUSG00000031756")</f>
        <v>ENSMUSG00000031756</v>
      </c>
      <c r="I5129" s="7" t="str">
        <f>HYPERLINK("http://www.informatics.jax.org/marker/MGI:1919405","MGI:1919405")</f>
        <v>MGI:1919405</v>
      </c>
      <c r="J5129" s="4" t="s">
        <v>12</v>
      </c>
    </row>
    <row r="5130" spans="1:10" x14ac:dyDescent="0.25">
      <c r="A5130" s="2">
        <v>1319.17681517392</v>
      </c>
      <c r="B5130" s="3">
        <v>-0.389900863299597</v>
      </c>
      <c r="C5130" s="5">
        <v>4.2824615787509502E-10</v>
      </c>
      <c r="D5130" s="6">
        <v>3.4626380777611398E-9</v>
      </c>
      <c r="E5130" s="3" t="s">
        <v>10268</v>
      </c>
      <c r="F5130" s="3" t="s">
        <v>10269</v>
      </c>
      <c r="G5130" s="3">
        <v>26891</v>
      </c>
      <c r="H5130" s="7" t="str">
        <f>HYPERLINK("http://www.ensembl.org/Mus_musculus/Gene/Summary?db=core;g=ENSMUSG00000035297","ENSMUSG00000035297")</f>
        <v>ENSMUSG00000035297</v>
      </c>
      <c r="I5130" s="7" t="str">
        <f>HYPERLINK("http://www.informatics.jax.org/marker/MGI:1349414","MGI:1349414")</f>
        <v>MGI:1349414</v>
      </c>
      <c r="J5130" s="4" t="s">
        <v>12</v>
      </c>
    </row>
    <row r="5131" spans="1:10" x14ac:dyDescent="0.25">
      <c r="A5131" s="2">
        <v>187.17448313877301</v>
      </c>
      <c r="B5131" s="3">
        <v>-0.39037977610929198</v>
      </c>
      <c r="C5131" s="5">
        <v>7.7348021675193303E-5</v>
      </c>
      <c r="D5131" s="4">
        <v>3.2859386830545398E-4</v>
      </c>
      <c r="E5131" s="3" t="s">
        <v>5937</v>
      </c>
      <c r="F5131" s="3" t="s">
        <v>5938</v>
      </c>
      <c r="G5131" s="3">
        <v>227099</v>
      </c>
      <c r="H5131" s="7" t="str">
        <f>HYPERLINK("http://www.ensembl.org/Mus_musculus/Gene/Summary?db=core;g=ENSMUSG00000026098","ENSMUSG00000026098")</f>
        <v>ENSMUSG00000026098</v>
      </c>
      <c r="I5131" s="7" t="str">
        <f>HYPERLINK("http://www.informatics.jax.org/marker/MGI:1202302","MGI:1202302")</f>
        <v>MGI:1202302</v>
      </c>
      <c r="J5131" s="4" t="s">
        <v>12</v>
      </c>
    </row>
    <row r="5132" spans="1:10" x14ac:dyDescent="0.25">
      <c r="A5132" s="2">
        <v>583.25293152553297</v>
      </c>
      <c r="B5132" s="3">
        <v>-0.39059251660889799</v>
      </c>
      <c r="C5132" s="5">
        <v>1.14337898656157E-5</v>
      </c>
      <c r="D5132" s="6">
        <v>5.5464684668844002E-5</v>
      </c>
      <c r="E5132" s="3" t="s">
        <v>6463</v>
      </c>
      <c r="F5132" s="3" t="s">
        <v>6464</v>
      </c>
      <c r="G5132" s="3">
        <v>219114</v>
      </c>
      <c r="H5132" s="7" t="str">
        <f>HYPERLINK("http://www.ensembl.org/Mus_musculus/Gene/Summary?db=core;g=ENSMUSG00000021965","ENSMUSG00000021965")</f>
        <v>ENSMUSG00000021965</v>
      </c>
      <c r="I5132" s="7" t="str">
        <f>HYPERLINK("http://www.informatics.jax.org/marker/MGI:3041235","MGI:3041235")</f>
        <v>MGI:3041235</v>
      </c>
      <c r="J5132" s="4" t="s">
        <v>12</v>
      </c>
    </row>
    <row r="5133" spans="1:10" x14ac:dyDescent="0.25">
      <c r="A5133" s="2">
        <v>3681.1751636775198</v>
      </c>
      <c r="B5133" s="3">
        <v>-0.39115867374833801</v>
      </c>
      <c r="C5133" s="5">
        <v>2.4037935652483999E-12</v>
      </c>
      <c r="D5133" s="6">
        <v>2.35280009273105E-11</v>
      </c>
      <c r="E5133" s="3" t="s">
        <v>3828</v>
      </c>
      <c r="F5133" s="3" t="s">
        <v>3829</v>
      </c>
      <c r="G5133" s="3">
        <v>15925</v>
      </c>
      <c r="H5133" s="7" t="str">
        <f>HYPERLINK("http://www.ensembl.org/Mus_musculus/Gene/Summary?db=core;g=ENSMUSG00000056999","ENSMUSG00000056999")</f>
        <v>ENSMUSG00000056999</v>
      </c>
      <c r="I5133" s="7" t="str">
        <f>HYPERLINK("http://www.informatics.jax.org/marker/MGI:96412","MGI:96412")</f>
        <v>MGI:96412</v>
      </c>
      <c r="J5133" s="4" t="s">
        <v>12</v>
      </c>
    </row>
    <row r="5134" spans="1:10" x14ac:dyDescent="0.25">
      <c r="A5134" s="2">
        <v>1034.8971142248499</v>
      </c>
      <c r="B5134" s="3">
        <v>-0.39136593350026799</v>
      </c>
      <c r="C5134" s="5">
        <v>1.8661567158922899E-20</v>
      </c>
      <c r="D5134" s="6">
        <v>2.99653798653189E-19</v>
      </c>
      <c r="E5134" s="3" t="s">
        <v>2335</v>
      </c>
      <c r="F5134" s="3" t="s">
        <v>2336</v>
      </c>
      <c r="G5134" s="3">
        <v>277250</v>
      </c>
      <c r="H5134" s="7" t="str">
        <f>HYPERLINK("http://www.ensembl.org/Mus_musculus/Gene/Summary?db=core;g=ENSMUSG00000038773","ENSMUSG00000038773")</f>
        <v>ENSMUSG00000038773</v>
      </c>
      <c r="I5134" s="7" t="str">
        <f>HYPERLINK("http://www.informatics.jax.org/marker/MGI:1923356","MGI:1923356")</f>
        <v>MGI:1923356</v>
      </c>
      <c r="J5134" s="4" t="s">
        <v>12</v>
      </c>
    </row>
    <row r="5135" spans="1:10" x14ac:dyDescent="0.25">
      <c r="A5135" s="2">
        <v>174.871505551502</v>
      </c>
      <c r="B5135" s="3">
        <v>-0.391386107026859</v>
      </c>
      <c r="C5135" s="5">
        <v>3.1933546400382602E-5</v>
      </c>
      <c r="D5135" s="4">
        <v>1.44557596410078E-4</v>
      </c>
      <c r="E5135" s="3" t="s">
        <v>12033</v>
      </c>
      <c r="F5135" s="3" t="s">
        <v>12034</v>
      </c>
      <c r="G5135" s="3">
        <v>66067</v>
      </c>
      <c r="H5135" s="7" t="str">
        <f>HYPERLINK("http://www.ensembl.org/Mus_musculus/Gene/Summary?db=core;g=ENSMUSG00000022668","ENSMUSG00000022668")</f>
        <v>ENSMUSG00000022668</v>
      </c>
      <c r="I5135" s="7" t="str">
        <f>HYPERLINK("http://www.informatics.jax.org/marker/MGI:1913317","MGI:1913317")</f>
        <v>MGI:1913317</v>
      </c>
      <c r="J5135" s="4" t="s">
        <v>12</v>
      </c>
    </row>
    <row r="5136" spans="1:10" x14ac:dyDescent="0.25">
      <c r="A5136" s="2">
        <v>377.13959608910898</v>
      </c>
      <c r="B5136" s="3">
        <v>-0.39180353030403298</v>
      </c>
      <c r="C5136" s="5">
        <v>6.7660046587066396E-6</v>
      </c>
      <c r="D5136" s="6">
        <v>3.3951110931973697E-5</v>
      </c>
      <c r="E5136" s="3" t="s">
        <v>10920</v>
      </c>
      <c r="F5136" s="3" t="s">
        <v>10921</v>
      </c>
      <c r="G5136" s="3">
        <v>102141</v>
      </c>
      <c r="H5136" s="7" t="str">
        <f>HYPERLINK("http://www.ensembl.org/Mus_musculus/Gene/Summary?db=core;g=ENSMUSG00000038291","ENSMUSG00000038291")</f>
        <v>ENSMUSG00000038291</v>
      </c>
      <c r="I5136" s="7" t="str">
        <f>HYPERLINK("http://www.informatics.jax.org/marker/MGI:2142610","MGI:2142610")</f>
        <v>MGI:2142610</v>
      </c>
      <c r="J5136" s="4" t="s">
        <v>12</v>
      </c>
    </row>
    <row r="5137" spans="1:10" x14ac:dyDescent="0.25">
      <c r="A5137" s="2">
        <v>292.43772923974302</v>
      </c>
      <c r="B5137" s="3">
        <v>-0.39224517268634901</v>
      </c>
      <c r="C5137" s="5">
        <v>1.2071867642151101E-6</v>
      </c>
      <c r="D5137" s="6">
        <v>6.6568770885992001E-6</v>
      </c>
      <c r="E5137" s="3" t="s">
        <v>5375</v>
      </c>
      <c r="F5137" s="3" t="s">
        <v>5376</v>
      </c>
      <c r="G5137" s="3">
        <v>56541</v>
      </c>
      <c r="H5137" s="7" t="str">
        <f>HYPERLINK("http://www.ensembl.org/Mus_musculus/Gene/Summary?db=core;g=ENSMUSG00000021476","ENSMUSG00000021476")</f>
        <v>ENSMUSG00000021476</v>
      </c>
      <c r="I5137" s="7" t="str">
        <f>HYPERLINK("http://www.informatics.jax.org/marker/MGI:1891713","MGI:1891713")</f>
        <v>MGI:1891713</v>
      </c>
      <c r="J5137" s="4" t="s">
        <v>12</v>
      </c>
    </row>
    <row r="5138" spans="1:10" x14ac:dyDescent="0.25">
      <c r="A5138" s="2">
        <v>532.74773844326398</v>
      </c>
      <c r="B5138" s="3">
        <v>-0.39244047673412003</v>
      </c>
      <c r="C5138" s="5">
        <v>1.3230758921045399E-5</v>
      </c>
      <c r="D5138" s="6">
        <v>6.3555767352676095E-5</v>
      </c>
      <c r="E5138" s="3" t="s">
        <v>9537</v>
      </c>
      <c r="F5138" s="3" t="s">
        <v>9538</v>
      </c>
      <c r="G5138" s="3">
        <v>66911</v>
      </c>
      <c r="H5138" s="7" t="str">
        <f>HYPERLINK("http://www.ensembl.org/Mus_musculus/Gene/Summary?db=core;g=ENSMUSG00000022516","ENSMUSG00000022516")</f>
        <v>ENSMUSG00000022516</v>
      </c>
      <c r="I5138" s="7" t="str">
        <f>HYPERLINK("http://www.informatics.jax.org/marker/MGI:1914161","MGI:1914161")</f>
        <v>MGI:1914161</v>
      </c>
      <c r="J5138" s="4" t="s">
        <v>12</v>
      </c>
    </row>
    <row r="5139" spans="1:10" x14ac:dyDescent="0.25">
      <c r="A5139" s="2">
        <v>687.39566930751096</v>
      </c>
      <c r="B5139" s="3">
        <v>-0.39371955737325098</v>
      </c>
      <c r="C5139" s="5">
        <v>1.25597834448011E-5</v>
      </c>
      <c r="D5139" s="6">
        <v>6.05400828567839E-5</v>
      </c>
      <c r="E5139" s="3" t="s">
        <v>7812</v>
      </c>
      <c r="F5139" s="3" t="s">
        <v>7813</v>
      </c>
      <c r="G5139" s="3">
        <v>67998</v>
      </c>
      <c r="H5139" s="7" t="str">
        <f>HYPERLINK("http://www.ensembl.org/Mus_musculus/Gene/Summary?db=core;g=ENSMUSG00000017802","ENSMUSG00000017802")</f>
        <v>ENSMUSG00000017802</v>
      </c>
      <c r="I5139" s="7" t="str">
        <f>HYPERLINK("http://www.informatics.jax.org/marker/MGI:1915248","MGI:1915248")</f>
        <v>MGI:1915248</v>
      </c>
      <c r="J5139" s="4" t="s">
        <v>12</v>
      </c>
    </row>
    <row r="5140" spans="1:10" x14ac:dyDescent="0.25">
      <c r="A5140" s="2">
        <v>1481.61614955656</v>
      </c>
      <c r="B5140" s="3">
        <v>-0.39406336233755701</v>
      </c>
      <c r="C5140" s="3">
        <v>2.6653521731836898E-3</v>
      </c>
      <c r="D5140" s="4">
        <v>8.5626728990433193E-3</v>
      </c>
      <c r="E5140" s="3" t="s">
        <v>8771</v>
      </c>
      <c r="F5140" s="3" t="s">
        <v>8772</v>
      </c>
      <c r="G5140" s="3">
        <v>76464</v>
      </c>
      <c r="H5140" s="7" t="str">
        <f>HYPERLINK("http://www.ensembl.org/Mus_musculus/Gene/Summary?db=core;g=ENSMUSG00000027326","ENSMUSG00000027326")</f>
        <v>ENSMUSG00000027326</v>
      </c>
      <c r="I5140" s="7" t="str">
        <f>HYPERLINK("http://www.informatics.jax.org/marker/MGI:1923714","MGI:1923714")</f>
        <v>MGI:1923714</v>
      </c>
      <c r="J5140" s="4" t="s">
        <v>12</v>
      </c>
    </row>
    <row r="5141" spans="1:10" x14ac:dyDescent="0.25">
      <c r="A5141" s="2">
        <v>81.175505024235704</v>
      </c>
      <c r="B5141" s="3">
        <v>-0.394355458217787</v>
      </c>
      <c r="C5141" s="3">
        <v>3.3917267393662998E-3</v>
      </c>
      <c r="D5141" s="4">
        <v>1.0617351395560101E-2</v>
      </c>
      <c r="E5141" s="3" t="s">
        <v>13463</v>
      </c>
      <c r="F5141" s="3" t="s">
        <v>13464</v>
      </c>
      <c r="G5141" s="3" t="s">
        <v>83</v>
      </c>
      <c r="H5141" s="7" t="str">
        <f>HYPERLINK("http://www.ensembl.org/Mus_musculus/Gene/Summary?db=core;g=ENSMUSG00000096965","ENSMUSG00000096965")</f>
        <v>ENSMUSG00000096965</v>
      </c>
      <c r="I5141" s="7" t="str">
        <f>HYPERLINK("http://www.informatics.jax.org/marker/MGI:1925762","MGI:1925762")</f>
        <v>MGI:1925762</v>
      </c>
      <c r="J5141" s="4" t="s">
        <v>939</v>
      </c>
    </row>
    <row r="5142" spans="1:10" x14ac:dyDescent="0.25">
      <c r="A5142" s="2">
        <v>202.46211725654899</v>
      </c>
      <c r="B5142" s="3">
        <v>-0.39460605726868703</v>
      </c>
      <c r="C5142" s="5">
        <v>6.1840399683063402E-6</v>
      </c>
      <c r="D5142" s="6">
        <v>3.1194057133236401E-5</v>
      </c>
      <c r="E5142" s="3" t="s">
        <v>6902</v>
      </c>
      <c r="F5142" s="3" t="s">
        <v>6903</v>
      </c>
      <c r="G5142" s="3">
        <v>77090</v>
      </c>
      <c r="H5142" s="7" t="str">
        <f>HYPERLINK("http://www.ensembl.org/Mus_musculus/Gene/Summary?db=core;g=ENSMUSG00000002396","ENSMUSG00000002396")</f>
        <v>ENSMUSG00000002396</v>
      </c>
      <c r="I5142" s="7" t="str">
        <f>HYPERLINK("http://www.informatics.jax.org/marker/MGI:1924340","MGI:1924340")</f>
        <v>MGI:1924340</v>
      </c>
      <c r="J5142" s="4" t="s">
        <v>12</v>
      </c>
    </row>
    <row r="5143" spans="1:10" x14ac:dyDescent="0.25">
      <c r="A5143" s="2">
        <v>144.26621771402901</v>
      </c>
      <c r="B5143" s="3">
        <v>-0.39481931639229501</v>
      </c>
      <c r="C5143" s="3">
        <v>1.9510446218676199E-4</v>
      </c>
      <c r="D5143" s="4">
        <v>7.7603204350801898E-4</v>
      </c>
      <c r="E5143" s="3" t="s">
        <v>8537</v>
      </c>
      <c r="F5143" s="3" t="s">
        <v>8538</v>
      </c>
      <c r="G5143" s="3">
        <v>72650</v>
      </c>
      <c r="H5143" s="7" t="str">
        <f>HYPERLINK("http://www.ensembl.org/Mus_musculus/Gene/Summary?db=core;g=ENSMUSG00000047635","ENSMUSG00000047635")</f>
        <v>ENSMUSG00000047635</v>
      </c>
      <c r="I5143" s="7" t="str">
        <f>HYPERLINK("http://www.informatics.jax.org/marker/MGI:1919900","MGI:1919900")</f>
        <v>MGI:1919900</v>
      </c>
      <c r="J5143" s="4" t="s">
        <v>12</v>
      </c>
    </row>
    <row r="5144" spans="1:10" x14ac:dyDescent="0.25">
      <c r="A5144" s="2">
        <v>332.61519062038599</v>
      </c>
      <c r="B5144" s="3">
        <v>-0.39483010471595698</v>
      </c>
      <c r="C5144" s="5">
        <v>9.6223681738166597E-7</v>
      </c>
      <c r="D5144" s="6">
        <v>5.3596473095295996E-6</v>
      </c>
      <c r="E5144" s="3" t="s">
        <v>9591</v>
      </c>
      <c r="F5144" s="3" t="s">
        <v>9592</v>
      </c>
      <c r="G5144" s="3">
        <v>72133</v>
      </c>
      <c r="H5144" s="7" t="str">
        <f>HYPERLINK("http://www.ensembl.org/Mus_musculus/Gene/Summary?db=core;g=ENSMUSG00000025086","ENSMUSG00000025086")</f>
        <v>ENSMUSG00000025086</v>
      </c>
      <c r="I5144" s="7" t="str">
        <f>HYPERLINK("http://www.informatics.jax.org/marker/MGI:1919383","MGI:1919383")</f>
        <v>MGI:1919383</v>
      </c>
      <c r="J5144" s="4" t="s">
        <v>12</v>
      </c>
    </row>
    <row r="5145" spans="1:10" x14ac:dyDescent="0.25">
      <c r="A5145" s="2">
        <v>196.33739824178301</v>
      </c>
      <c r="B5145" s="3">
        <v>-0.39519155821912699</v>
      </c>
      <c r="C5145" s="3">
        <v>9.1411407292634795E-4</v>
      </c>
      <c r="D5145" s="4">
        <v>3.2380425615321099E-3</v>
      </c>
      <c r="E5145" s="3" t="s">
        <v>13259</v>
      </c>
      <c r="F5145" s="3" t="s">
        <v>13260</v>
      </c>
      <c r="G5145" s="3">
        <v>74019</v>
      </c>
      <c r="H5145" s="7" t="str">
        <f>HYPERLINK("http://www.ensembl.org/Mus_musculus/Gene/Summary?db=core;g=ENSMUSG00000034292","ENSMUSG00000034292")</f>
        <v>ENSMUSG00000034292</v>
      </c>
      <c r="I5145" s="7" t="str">
        <f>HYPERLINK("http://www.informatics.jax.org/marker/MGI:1921269","MGI:1921269")</f>
        <v>MGI:1921269</v>
      </c>
      <c r="J5145" s="4" t="s">
        <v>12</v>
      </c>
    </row>
    <row r="5146" spans="1:10" x14ac:dyDescent="0.25">
      <c r="A5146" s="2">
        <v>488.96501388772202</v>
      </c>
      <c r="B5146" s="3">
        <v>-0.395442148599914</v>
      </c>
      <c r="C5146" s="3">
        <v>3.24385450271169E-3</v>
      </c>
      <c r="D5146" s="4">
        <v>1.02088151117114E-2</v>
      </c>
      <c r="E5146" s="3" t="s">
        <v>9351</v>
      </c>
      <c r="F5146" s="3" t="s">
        <v>9352</v>
      </c>
      <c r="G5146" s="3">
        <v>244237</v>
      </c>
      <c r="H5146" s="7" t="str">
        <f>HYPERLINK("http://www.ensembl.org/Mus_musculus/Gene/Summary?db=core;g=ENSMUSG00000045362","ENSMUSG00000045362")</f>
        <v>ENSMUSG00000045362</v>
      </c>
      <c r="I5146" s="7" t="str">
        <f>HYPERLINK("http://www.informatics.jax.org/marker/MGI:2651928","MGI:2651928")</f>
        <v>MGI:2651928</v>
      </c>
      <c r="J5146" s="4" t="s">
        <v>12</v>
      </c>
    </row>
    <row r="5147" spans="1:10" x14ac:dyDescent="0.25">
      <c r="A5147" s="2">
        <v>1029.4078928532799</v>
      </c>
      <c r="B5147" s="3">
        <v>-0.39615977601074498</v>
      </c>
      <c r="C5147" s="5">
        <v>1.3290391691248099E-8</v>
      </c>
      <c r="D5147" s="6">
        <v>9.1506380269359999E-8</v>
      </c>
      <c r="E5147" s="3" t="s">
        <v>2876</v>
      </c>
      <c r="F5147" s="3" t="s">
        <v>2877</v>
      </c>
      <c r="G5147" s="3">
        <v>16974</v>
      </c>
      <c r="H5147" s="7" t="str">
        <f>HYPERLINK("http://www.ensembl.org/Mus_musculus/Gene/Summary?db=core;g=ENSMUSG00000030201","ENSMUSG00000030201")</f>
        <v>ENSMUSG00000030201</v>
      </c>
      <c r="I5147" s="7" t="str">
        <f>HYPERLINK("http://www.informatics.jax.org/marker/MGI:1298218","MGI:1298218")</f>
        <v>MGI:1298218</v>
      </c>
      <c r="J5147" s="4" t="s">
        <v>12</v>
      </c>
    </row>
    <row r="5148" spans="1:10" x14ac:dyDescent="0.25">
      <c r="A5148" s="2">
        <v>114.529693652492</v>
      </c>
      <c r="B5148" s="3">
        <v>-0.39616013667540201</v>
      </c>
      <c r="C5148" s="3">
        <v>2.87576477431826E-3</v>
      </c>
      <c r="D5148" s="4">
        <v>9.1675376966853604E-3</v>
      </c>
      <c r="E5148" s="3" t="s">
        <v>12358</v>
      </c>
      <c r="F5148" s="3" t="s">
        <v>12359</v>
      </c>
      <c r="G5148" s="3">
        <v>209478</v>
      </c>
      <c r="H5148" s="7" t="str">
        <f>HYPERLINK("http://www.ensembl.org/Mus_musculus/Gene/Summary?db=core;g=ENSMUSG00000048720","ENSMUSG00000048720")</f>
        <v>ENSMUSG00000048720</v>
      </c>
      <c r="I5148" s="7" t="str">
        <f>HYPERLINK("http://www.informatics.jax.org/marker/MGI:2384803","MGI:2384803")</f>
        <v>MGI:2384803</v>
      </c>
      <c r="J5148" s="4" t="s">
        <v>12</v>
      </c>
    </row>
    <row r="5149" spans="1:10" x14ac:dyDescent="0.25">
      <c r="A5149" s="2">
        <v>438.93413968787098</v>
      </c>
      <c r="B5149" s="3">
        <v>-0.39623317288353399</v>
      </c>
      <c r="C5149" s="5">
        <v>2.5733401073708102E-6</v>
      </c>
      <c r="D5149" s="6">
        <v>1.36295040560398E-5</v>
      </c>
      <c r="E5149" s="3" t="s">
        <v>5013</v>
      </c>
      <c r="F5149" s="3" t="s">
        <v>5014</v>
      </c>
      <c r="G5149" s="3">
        <v>74741</v>
      </c>
      <c r="H5149" s="7" t="str">
        <f>HYPERLINK("http://www.ensembl.org/Mus_musculus/Gene/Summary?db=core;g=ENSMUSG00000030279","ENSMUSG00000030279")</f>
        <v>ENSMUSG00000030279</v>
      </c>
      <c r="I5149" s="7" t="str">
        <f>HYPERLINK("http://www.informatics.jax.org/marker/MGI:1921991","MGI:1921991")</f>
        <v>MGI:1921991</v>
      </c>
      <c r="J5149" s="4" t="s">
        <v>12</v>
      </c>
    </row>
    <row r="5150" spans="1:10" x14ac:dyDescent="0.25">
      <c r="A5150" s="2">
        <v>571.00032885216604</v>
      </c>
      <c r="B5150" s="3">
        <v>-0.39626278742221399</v>
      </c>
      <c r="C5150" s="5">
        <v>6.2676332580983906E-5</v>
      </c>
      <c r="D5150" s="4">
        <v>2.7050121697857701E-4</v>
      </c>
      <c r="E5150" s="3" t="s">
        <v>8005</v>
      </c>
      <c r="F5150" s="3" t="s">
        <v>8006</v>
      </c>
      <c r="G5150" s="3">
        <v>75415</v>
      </c>
      <c r="H5150" s="7" t="str">
        <f>HYPERLINK("http://www.ensembl.org/Mus_musculus/Gene/Summary?db=core;g=ENSMUSG00000041225","ENSMUSG00000041225")</f>
        <v>ENSMUSG00000041225</v>
      </c>
      <c r="I5150" s="7" t="str">
        <f>HYPERLINK("http://www.informatics.jax.org/marker/MGI:1922665","MGI:1922665")</f>
        <v>MGI:1922665</v>
      </c>
      <c r="J5150" s="4" t="s">
        <v>12</v>
      </c>
    </row>
    <row r="5151" spans="1:10" x14ac:dyDescent="0.25">
      <c r="A5151" s="2">
        <v>475.19938704884498</v>
      </c>
      <c r="B5151" s="3">
        <v>-0.39631215999250602</v>
      </c>
      <c r="C5151" s="5">
        <v>9.0547919809001206E-9</v>
      </c>
      <c r="D5151" s="6">
        <v>6.3373112078304401E-8</v>
      </c>
      <c r="E5151" s="3" t="s">
        <v>3876</v>
      </c>
      <c r="F5151" s="3" t="s">
        <v>3877</v>
      </c>
      <c r="G5151" s="3">
        <v>414872</v>
      </c>
      <c r="H5151" s="7" t="str">
        <f>HYPERLINK("http://www.ensembl.org/Mus_musculus/Gene/Summary?db=core;g=ENSMUSG00000034636","ENSMUSG00000034636")</f>
        <v>ENSMUSG00000034636</v>
      </c>
      <c r="I5151" s="7" t="str">
        <f>HYPERLINK("http://www.informatics.jax.org/marker/MGI:2685277","MGI:2685277")</f>
        <v>MGI:2685277</v>
      </c>
      <c r="J5151" s="4" t="s">
        <v>12</v>
      </c>
    </row>
    <row r="5152" spans="1:10" x14ac:dyDescent="0.25">
      <c r="A5152" s="2">
        <v>261.97442730572902</v>
      </c>
      <c r="B5152" s="3">
        <v>-0.39678865282739401</v>
      </c>
      <c r="C5152" s="3">
        <v>2.85725233929855E-4</v>
      </c>
      <c r="D5152" s="4">
        <v>1.10231633962143E-3</v>
      </c>
      <c r="E5152" s="3" t="s">
        <v>12839</v>
      </c>
      <c r="F5152" s="3" t="s">
        <v>12840</v>
      </c>
      <c r="G5152" s="3">
        <v>18082</v>
      </c>
      <c r="H5152" s="7" t="str">
        <f>HYPERLINK("http://www.ensembl.org/Mus_musculus/Gene/Summary?db=core;g=ENSMUSG00000034285","ENSMUSG00000034285")</f>
        <v>ENSMUSG00000034285</v>
      </c>
      <c r="I5152" s="7" t="str">
        <f>HYPERLINK("http://www.informatics.jax.org/marker/MGI:1278344","MGI:1278344")</f>
        <v>MGI:1278344</v>
      </c>
      <c r="J5152" s="4" t="s">
        <v>12</v>
      </c>
    </row>
    <row r="5153" spans="1:10" x14ac:dyDescent="0.25">
      <c r="A5153" s="2">
        <v>83.761625568218193</v>
      </c>
      <c r="B5153" s="3">
        <v>-0.396868521636912</v>
      </c>
      <c r="C5153" s="3">
        <v>2.41328239539523E-2</v>
      </c>
      <c r="D5153" s="4">
        <v>6.0807509548013297E-2</v>
      </c>
      <c r="E5153" s="3" t="s">
        <v>11437</v>
      </c>
      <c r="F5153" s="3" t="s">
        <v>11438</v>
      </c>
      <c r="G5153" s="3">
        <v>73254</v>
      </c>
      <c r="H5153" s="7" t="str">
        <f>HYPERLINK("http://www.ensembl.org/Mus_musculus/Gene/Summary?db=core;g=ENSMUSG00000056531","ENSMUSG00000056531")</f>
        <v>ENSMUSG00000056531</v>
      </c>
      <c r="I5153" s="7" t="str">
        <f>HYPERLINK("http://www.informatics.jax.org/marker/MGI:1922974","MGI:1922974")</f>
        <v>MGI:1922974</v>
      </c>
      <c r="J5153" s="4" t="s">
        <v>12</v>
      </c>
    </row>
    <row r="5154" spans="1:10" x14ac:dyDescent="0.25">
      <c r="A5154" s="2">
        <v>9.3298685818020601</v>
      </c>
      <c r="B5154" s="3">
        <v>-0.39702775569389698</v>
      </c>
      <c r="C5154" s="3">
        <v>0.22444270819897399</v>
      </c>
      <c r="D5154" s="4">
        <v>0.38286541835486199</v>
      </c>
      <c r="E5154" s="3" t="s">
        <v>12135</v>
      </c>
      <c r="F5154" s="3" t="s">
        <v>12136</v>
      </c>
      <c r="G5154" s="3" t="s">
        <v>83</v>
      </c>
      <c r="H5154" s="7" t="str">
        <f>HYPERLINK("http://www.ensembl.org/Mus_musculus/Gene/Summary?db=core;g=ENSMUSG00000118426","ENSMUSG00000118426")</f>
        <v>ENSMUSG00000118426</v>
      </c>
      <c r="I5154" s="7" t="str">
        <f>HYPERLINK("http://www.informatics.jax.org/marker/MGI:3780270","MGI:3780270")</f>
        <v>MGI:3780270</v>
      </c>
      <c r="J5154" s="4" t="s">
        <v>1043</v>
      </c>
    </row>
    <row r="5155" spans="1:10" x14ac:dyDescent="0.25">
      <c r="A5155" s="2">
        <v>1364.16934956355</v>
      </c>
      <c r="B5155" s="3">
        <v>-0.39759692809074898</v>
      </c>
      <c r="C5155" s="5">
        <v>1.41062477933602E-8</v>
      </c>
      <c r="D5155" s="6">
        <v>9.6721732894653396E-8</v>
      </c>
      <c r="E5155" s="3" t="s">
        <v>9639</v>
      </c>
      <c r="F5155" s="3" t="s">
        <v>9640</v>
      </c>
      <c r="G5155" s="3">
        <v>110157</v>
      </c>
      <c r="H5155" s="7" t="str">
        <f>HYPERLINK("http://www.ensembl.org/Mus_musculus/Gene/Summary?db=core;g=ENSMUSG00000000441","ENSMUSG00000000441")</f>
        <v>ENSMUSG00000000441</v>
      </c>
      <c r="I5155" s="7" t="str">
        <f>HYPERLINK("http://www.informatics.jax.org/marker/MGI:97847","MGI:97847")</f>
        <v>MGI:97847</v>
      </c>
      <c r="J5155" s="4" t="s">
        <v>12</v>
      </c>
    </row>
    <row r="5156" spans="1:10" x14ac:dyDescent="0.25">
      <c r="A5156" s="2">
        <v>3890.2256047176202</v>
      </c>
      <c r="B5156" s="3">
        <v>-0.39786525315382598</v>
      </c>
      <c r="C5156" s="3">
        <v>1.29333100641445E-4</v>
      </c>
      <c r="D5156" s="4">
        <v>5.3062371879647799E-4</v>
      </c>
      <c r="E5156" s="3" t="s">
        <v>6651</v>
      </c>
      <c r="F5156" s="3" t="s">
        <v>6652</v>
      </c>
      <c r="G5156" s="3">
        <v>12428</v>
      </c>
      <c r="H5156" s="7" t="str">
        <f>HYPERLINK("http://www.ensembl.org/Mus_musculus/Gene/Summary?db=core;g=ENSMUSG00000027715","ENSMUSG00000027715")</f>
        <v>ENSMUSG00000027715</v>
      </c>
      <c r="I5156" s="7" t="str">
        <f>HYPERLINK("http://www.informatics.jax.org/marker/MGI:108069","MGI:108069")</f>
        <v>MGI:108069</v>
      </c>
      <c r="J5156" s="4" t="s">
        <v>12</v>
      </c>
    </row>
    <row r="5157" spans="1:10" x14ac:dyDescent="0.25">
      <c r="A5157" s="2">
        <v>998.63260172391904</v>
      </c>
      <c r="B5157" s="3">
        <v>-0.39788751741226402</v>
      </c>
      <c r="C5157" s="5">
        <v>3.5788217365814798E-8</v>
      </c>
      <c r="D5157" s="6">
        <v>2.3377787150249999E-7</v>
      </c>
      <c r="E5157" s="3" t="s">
        <v>3628</v>
      </c>
      <c r="F5157" s="3" t="s">
        <v>3629</v>
      </c>
      <c r="G5157" s="3">
        <v>14229</v>
      </c>
      <c r="H5157" s="7" t="str">
        <f>HYPERLINK("http://www.ensembl.org/Mus_musculus/Gene/Summary?db=core;g=ENSMUSG00000024222","ENSMUSG00000024222")</f>
        <v>ENSMUSG00000024222</v>
      </c>
      <c r="I5157" s="7" t="str">
        <f>HYPERLINK("http://www.informatics.jax.org/marker/MGI:104670","MGI:104670")</f>
        <v>MGI:104670</v>
      </c>
      <c r="J5157" s="4" t="s">
        <v>12</v>
      </c>
    </row>
    <row r="5158" spans="1:10" x14ac:dyDescent="0.25">
      <c r="A5158" s="2">
        <v>506.80826450549603</v>
      </c>
      <c r="B5158" s="3">
        <v>-0.39790244644821199</v>
      </c>
      <c r="C5158" s="5">
        <v>5.5286811470077398E-9</v>
      </c>
      <c r="D5158" s="6">
        <v>3.9622577233274102E-8</v>
      </c>
      <c r="E5158" s="3" t="s">
        <v>5411</v>
      </c>
      <c r="F5158" s="3" t="s">
        <v>5412</v>
      </c>
      <c r="G5158" s="3">
        <v>109284</v>
      </c>
      <c r="H5158" s="7" t="str">
        <f>HYPERLINK("http://www.ensembl.org/Mus_musculus/Gene/Summary?db=core;g=ENSMUSG00000035781","ENSMUSG00000035781")</f>
        <v>ENSMUSG00000035781</v>
      </c>
      <c r="I5158" s="7" t="str">
        <f>HYPERLINK("http://www.informatics.jax.org/marker/MGI:1924814","MGI:1924814")</f>
        <v>MGI:1924814</v>
      </c>
      <c r="J5158" s="4" t="s">
        <v>12</v>
      </c>
    </row>
    <row r="5159" spans="1:10" x14ac:dyDescent="0.25">
      <c r="A5159" s="2">
        <v>880.66219640925306</v>
      </c>
      <c r="B5159" s="3">
        <v>-0.398179612707315</v>
      </c>
      <c r="C5159" s="5">
        <v>9.1516350211518099E-9</v>
      </c>
      <c r="D5159" s="6">
        <v>6.40263141115131E-8</v>
      </c>
      <c r="E5159" s="3" t="s">
        <v>2231</v>
      </c>
      <c r="F5159" s="3" t="s">
        <v>2232</v>
      </c>
      <c r="G5159" s="3">
        <v>60530</v>
      </c>
      <c r="H5159" s="7" t="str">
        <f>HYPERLINK("http://www.ensembl.org/Mus_musculus/Gene/Summary?db=core;g=ENSMUSG00000035455","ENSMUSG00000035455")</f>
        <v>ENSMUSG00000035455</v>
      </c>
      <c r="I5159" s="7" t="str">
        <f>HYPERLINK("http://www.informatics.jax.org/marker/MGI:1890648","MGI:1890648")</f>
        <v>MGI:1890648</v>
      </c>
      <c r="J5159" s="4" t="s">
        <v>12</v>
      </c>
    </row>
    <row r="5160" spans="1:10" x14ac:dyDescent="0.25">
      <c r="A5160" s="2">
        <v>329.66163664495002</v>
      </c>
      <c r="B5160" s="3">
        <v>-0.39864760402423299</v>
      </c>
      <c r="C5160" s="5">
        <v>2.27355077393187E-5</v>
      </c>
      <c r="D5160" s="4">
        <v>1.0540692662149199E-4</v>
      </c>
      <c r="E5160" s="3" t="s">
        <v>9677</v>
      </c>
      <c r="F5160" s="3" t="s">
        <v>9678</v>
      </c>
      <c r="G5160" s="3">
        <v>66497</v>
      </c>
      <c r="H5160" s="7" t="str">
        <f>HYPERLINK("http://www.ensembl.org/Mus_musculus/Gene/Summary?db=core;g=ENSMUSG00000022748","ENSMUSG00000022748")</f>
        <v>ENSMUSG00000022748</v>
      </c>
      <c r="I5160" s="7" t="str">
        <f>HYPERLINK("http://www.informatics.jax.org/marker/MGI:1913747","MGI:1913747")</f>
        <v>MGI:1913747</v>
      </c>
      <c r="J5160" s="4" t="s">
        <v>12</v>
      </c>
    </row>
    <row r="5161" spans="1:10" x14ac:dyDescent="0.25">
      <c r="A5161" s="2">
        <v>4.2182588382984703</v>
      </c>
      <c r="B5161" s="3">
        <v>-0.39891344012107</v>
      </c>
      <c r="C5161" s="3">
        <v>0.343786815456191</v>
      </c>
      <c r="D5161" s="4">
        <v>0.521604621352738</v>
      </c>
      <c r="E5161" s="3" t="s">
        <v>12597</v>
      </c>
      <c r="F5161" s="3" t="s">
        <v>12598</v>
      </c>
      <c r="G5161" s="3">
        <v>107971</v>
      </c>
      <c r="H5161" s="7" t="str">
        <f>HYPERLINK("http://www.ensembl.org/Mus_musculus/Gene/Summary?db=core;g=ENSMUSG00000023266","ENSMUSG00000023266")</f>
        <v>ENSMUSG00000023266</v>
      </c>
      <c r="I5161" s="7" t="str">
        <f>HYPERLINK("http://www.informatics.jax.org/marker/MGI:2135965","MGI:2135965")</f>
        <v>MGI:2135965</v>
      </c>
      <c r="J5161" s="4" t="s">
        <v>12</v>
      </c>
    </row>
    <row r="5162" spans="1:10" x14ac:dyDescent="0.25">
      <c r="A5162" s="2">
        <v>845.97664020010996</v>
      </c>
      <c r="B5162" s="3">
        <v>-0.39942436315787999</v>
      </c>
      <c r="C5162" s="5">
        <v>4.7639450254334095E-10</v>
      </c>
      <c r="D5162" s="6">
        <v>3.8281701097232799E-9</v>
      </c>
      <c r="E5162" s="3" t="s">
        <v>2948</v>
      </c>
      <c r="F5162" s="3" t="s">
        <v>2949</v>
      </c>
      <c r="G5162" s="3">
        <v>330064</v>
      </c>
      <c r="H5162" s="7" t="str">
        <f>HYPERLINK("http://www.ensembl.org/Mus_musculus/Gene/Summary?db=core;g=ENSMUSG00000006641","ENSMUSG00000006641")</f>
        <v>ENSMUSG00000006641</v>
      </c>
      <c r="I5162" s="7" t="str">
        <f>HYPERLINK("http://www.informatics.jax.org/marker/MGI:2660847","MGI:2660847")</f>
        <v>MGI:2660847</v>
      </c>
      <c r="J5162" s="4" t="s">
        <v>12</v>
      </c>
    </row>
    <row r="5163" spans="1:10" x14ac:dyDescent="0.25">
      <c r="A5163" s="2">
        <v>1607.89096720312</v>
      </c>
      <c r="B5163" s="3">
        <v>-0.39962153574631198</v>
      </c>
      <c r="C5163" s="5">
        <v>7.0109668270208297E-5</v>
      </c>
      <c r="D5163" s="4">
        <v>3.0001143560097297E-4</v>
      </c>
      <c r="E5163" s="3" t="s">
        <v>10636</v>
      </c>
      <c r="F5163" s="3" t="s">
        <v>10637</v>
      </c>
      <c r="G5163" s="3">
        <v>13036</v>
      </c>
      <c r="H5163" s="7" t="str">
        <f>HYPERLINK("http://www.ensembl.org/Mus_musculus/Gene/Summary?db=core;g=ENSMUSG00000032359","ENSMUSG00000032359")</f>
        <v>ENSMUSG00000032359</v>
      </c>
      <c r="I5163" s="7" t="str">
        <f>HYPERLINK("http://www.informatics.jax.org/marker/MGI:107285","MGI:107285")</f>
        <v>MGI:107285</v>
      </c>
      <c r="J5163" s="4" t="s">
        <v>12</v>
      </c>
    </row>
    <row r="5164" spans="1:10" x14ac:dyDescent="0.25">
      <c r="A5164" s="2">
        <v>601.24636465850597</v>
      </c>
      <c r="B5164" s="3">
        <v>-0.399825518176322</v>
      </c>
      <c r="C5164" s="5">
        <v>4.74274509703507E-9</v>
      </c>
      <c r="D5164" s="6">
        <v>3.4300210076771503E-8</v>
      </c>
      <c r="E5164" s="3" t="s">
        <v>5435</v>
      </c>
      <c r="F5164" s="3" t="s">
        <v>5436</v>
      </c>
      <c r="G5164" s="3">
        <v>22248</v>
      </c>
      <c r="H5164" s="7" t="str">
        <f>HYPERLINK("http://www.ensembl.org/Mus_musculus/Gene/Summary?db=core;g=ENSMUSG00000002058","ENSMUSG00000002058")</f>
        <v>ENSMUSG00000002058</v>
      </c>
      <c r="I5164" s="7" t="str">
        <f>HYPERLINK("http://www.informatics.jax.org/marker/MGI:1328357","MGI:1328357")</f>
        <v>MGI:1328357</v>
      </c>
      <c r="J5164" s="4" t="s">
        <v>12</v>
      </c>
    </row>
    <row r="5165" spans="1:10" x14ac:dyDescent="0.25">
      <c r="A5165" s="2">
        <v>410.30344789503903</v>
      </c>
      <c r="B5165" s="3">
        <v>-0.400461636490057</v>
      </c>
      <c r="C5165" s="5">
        <v>3.9047056584873401E-7</v>
      </c>
      <c r="D5165" s="6">
        <v>2.2860025899753201E-6</v>
      </c>
      <c r="E5165" s="3" t="s">
        <v>8723</v>
      </c>
      <c r="F5165" s="3" t="s">
        <v>8724</v>
      </c>
      <c r="G5165" s="3">
        <v>58230</v>
      </c>
      <c r="H5165" s="7" t="str">
        <f>HYPERLINK("http://www.ensembl.org/Mus_musculus/Gene/Summary?db=core;g=ENSMUSG00000090083","ENSMUSG00000090083")</f>
        <v>ENSMUSG00000090083</v>
      </c>
      <c r="I5165" s="7" t="str">
        <f>HYPERLINK("http://www.informatics.jax.org/marker/MGI:1929069","MGI:1929069")</f>
        <v>MGI:1929069</v>
      </c>
      <c r="J5165" s="4" t="s">
        <v>12</v>
      </c>
    </row>
    <row r="5166" spans="1:10" x14ac:dyDescent="0.25">
      <c r="A5166" s="2">
        <v>636.380316811532</v>
      </c>
      <c r="B5166" s="3">
        <v>-0.40068809354899099</v>
      </c>
      <c r="C5166" s="5">
        <v>2.2684493744795099E-7</v>
      </c>
      <c r="D5166" s="6">
        <v>1.3680506237554299E-6</v>
      </c>
      <c r="E5166" s="3" t="s">
        <v>6071</v>
      </c>
      <c r="F5166" s="3" t="s">
        <v>6072</v>
      </c>
      <c r="G5166" s="3">
        <v>68915</v>
      </c>
      <c r="H5166" s="7" t="str">
        <f>HYPERLINK("http://www.ensembl.org/Mus_musculus/Gene/Summary?db=core;g=ENSMUSG00000038838","ENSMUSG00000038838")</f>
        <v>ENSMUSG00000038838</v>
      </c>
      <c r="I5166" s="7" t="str">
        <f>HYPERLINK("http://www.informatics.jax.org/marker/MGI:1916165","MGI:1916165")</f>
        <v>MGI:1916165</v>
      </c>
      <c r="J5166" s="4" t="s">
        <v>12</v>
      </c>
    </row>
    <row r="5167" spans="1:10" x14ac:dyDescent="0.25">
      <c r="A5167" s="2">
        <v>282.950647903907</v>
      </c>
      <c r="B5167" s="3">
        <v>-0.400714401210715</v>
      </c>
      <c r="C5167" s="5">
        <v>2.8579668280052798E-5</v>
      </c>
      <c r="D5167" s="4">
        <v>1.3041173119778701E-4</v>
      </c>
      <c r="E5167" s="3" t="s">
        <v>7854</v>
      </c>
      <c r="F5167" s="3" t="s">
        <v>7855</v>
      </c>
      <c r="G5167" s="3">
        <v>66948</v>
      </c>
      <c r="H5167" s="7" t="str">
        <f>HYPERLINK("http://www.ensembl.org/Mus_musculus/Gene/Summary?db=core;g=ENSMUSG00000031969","ENSMUSG00000031969")</f>
        <v>ENSMUSG00000031969</v>
      </c>
      <c r="I5167" s="7" t="str">
        <f>HYPERLINK("http://www.informatics.jax.org/marker/MGI:1914198","MGI:1914198")</f>
        <v>MGI:1914198</v>
      </c>
      <c r="J5167" s="4" t="s">
        <v>12</v>
      </c>
    </row>
    <row r="5168" spans="1:10" x14ac:dyDescent="0.25">
      <c r="A5168" s="2">
        <v>165.833687432657</v>
      </c>
      <c r="B5168" s="3">
        <v>-0.40153394969665801</v>
      </c>
      <c r="C5168" s="3">
        <v>4.0046020009681601E-4</v>
      </c>
      <c r="D5168" s="4">
        <v>1.5088664764863499E-3</v>
      </c>
      <c r="E5168" s="3" t="s">
        <v>12225</v>
      </c>
      <c r="F5168" s="3" t="s">
        <v>12226</v>
      </c>
      <c r="G5168" s="3">
        <v>51875</v>
      </c>
      <c r="H5168" s="7" t="str">
        <f>HYPERLINK("http://www.ensembl.org/Mus_musculus/Gene/Summary?db=core;g=ENSMUSG00000026939","ENSMUSG00000026939")</f>
        <v>ENSMUSG00000026939</v>
      </c>
      <c r="I5168" s="7" t="str">
        <f>HYPERLINK("http://www.informatics.jax.org/marker/MGI:1098773","MGI:1098773")</f>
        <v>MGI:1098773</v>
      </c>
      <c r="J5168" s="4" t="s">
        <v>12</v>
      </c>
    </row>
    <row r="5169" spans="1:10" x14ac:dyDescent="0.25">
      <c r="A5169" s="2">
        <v>723.459796006739</v>
      </c>
      <c r="B5169" s="3">
        <v>-0.40193416797191001</v>
      </c>
      <c r="C5169" s="5">
        <v>5.5612882616008501E-8</v>
      </c>
      <c r="D5169" s="6">
        <v>3.5675634835506998E-7</v>
      </c>
      <c r="E5169" s="3" t="s">
        <v>5103</v>
      </c>
      <c r="F5169" s="3" t="s">
        <v>5104</v>
      </c>
      <c r="G5169" s="3">
        <v>80905</v>
      </c>
      <c r="H5169" s="7" t="str">
        <f>HYPERLINK("http://www.ensembl.org/Mus_musculus/Gene/Summary?db=core;g=ENSMUSG00000023953","ENSMUSG00000023953")</f>
        <v>ENSMUSG00000023953</v>
      </c>
      <c r="I5169" s="7" t="str">
        <f>HYPERLINK("http://www.informatics.jax.org/marker/MGI:1891457","MGI:1891457")</f>
        <v>MGI:1891457</v>
      </c>
      <c r="J5169" s="4" t="s">
        <v>12</v>
      </c>
    </row>
    <row r="5170" spans="1:10" x14ac:dyDescent="0.25">
      <c r="A5170" s="2">
        <v>21.228929784745599</v>
      </c>
      <c r="B5170" s="3">
        <v>-0.40220080297271399</v>
      </c>
      <c r="C5170" s="3">
        <v>0.106370747575147</v>
      </c>
      <c r="D5170" s="4">
        <v>0.21395065385244999</v>
      </c>
      <c r="E5170" s="3" t="s">
        <v>13473</v>
      </c>
      <c r="F5170" s="3" t="s">
        <v>13474</v>
      </c>
      <c r="G5170" s="3" t="s">
        <v>83</v>
      </c>
      <c r="H5170" s="7" t="str">
        <f>HYPERLINK("http://www.ensembl.org/Mus_musculus/Gene/Summary?db=core;g=ENSMUSG00000087403","ENSMUSG00000087403")</f>
        <v>ENSMUSG00000087403</v>
      </c>
      <c r="I5170" s="7" t="str">
        <f>HYPERLINK("http://www.informatics.jax.org/marker/MGI:1920247","MGI:1920247")</f>
        <v>MGI:1920247</v>
      </c>
      <c r="J5170" s="4" t="s">
        <v>12</v>
      </c>
    </row>
    <row r="5171" spans="1:10" x14ac:dyDescent="0.25">
      <c r="A5171" s="2">
        <v>560.08719664119997</v>
      </c>
      <c r="B5171" s="3">
        <v>-0.40254094550841102</v>
      </c>
      <c r="C5171" s="5">
        <v>4.6891844581433697E-9</v>
      </c>
      <c r="D5171" s="6">
        <v>3.3949531104128502E-8</v>
      </c>
      <c r="E5171" s="3" t="s">
        <v>9199</v>
      </c>
      <c r="F5171" s="3" t="s">
        <v>9200</v>
      </c>
      <c r="G5171" s="3">
        <v>23894</v>
      </c>
      <c r="H5171" s="7" t="str">
        <f>HYPERLINK("http://www.ensembl.org/Mus_musculus/Gene/Summary?db=core;g=ENSMUSG00000021639","ENSMUSG00000021639")</f>
        <v>ENSMUSG00000021639</v>
      </c>
      <c r="I5171" s="7" t="str">
        <f>HYPERLINK("http://www.informatics.jax.org/marker/MGI:1345669","MGI:1345669")</f>
        <v>MGI:1345669</v>
      </c>
      <c r="J5171" s="4" t="s">
        <v>12</v>
      </c>
    </row>
    <row r="5172" spans="1:10" x14ac:dyDescent="0.25">
      <c r="A5172" s="2">
        <v>227.16060693436299</v>
      </c>
      <c r="B5172" s="3">
        <v>-0.40258737839754299</v>
      </c>
      <c r="C5172" s="3">
        <v>1.3594230169750401E-3</v>
      </c>
      <c r="D5172" s="4">
        <v>4.6658162870753502E-3</v>
      </c>
      <c r="E5172" s="3" t="s">
        <v>11883</v>
      </c>
      <c r="F5172" s="3" t="s">
        <v>11884</v>
      </c>
      <c r="G5172" s="3">
        <v>19719</v>
      </c>
      <c r="H5172" s="7" t="str">
        <f>HYPERLINK("http://www.ensembl.org/Mus_musculus/Gene/Summary?db=core;g=ENSMUSG00000025158","ENSMUSG00000025158")</f>
        <v>ENSMUSG00000025158</v>
      </c>
      <c r="I5172" s="7" t="str">
        <f>HYPERLINK("http://www.informatics.jax.org/marker/MGI:894275","MGI:894275")</f>
        <v>MGI:894275</v>
      </c>
      <c r="J5172" s="4" t="s">
        <v>12</v>
      </c>
    </row>
    <row r="5173" spans="1:10" x14ac:dyDescent="0.25">
      <c r="A5173" s="2">
        <v>3068.7427307110202</v>
      </c>
      <c r="B5173" s="3">
        <v>-0.40282524015313798</v>
      </c>
      <c r="C5173" s="5">
        <v>1.0332029253999E-10</v>
      </c>
      <c r="D5173" s="6">
        <v>8.8054617765137003E-10</v>
      </c>
      <c r="E5173" s="3" t="s">
        <v>2960</v>
      </c>
      <c r="F5173" s="3" t="s">
        <v>2961</v>
      </c>
      <c r="G5173" s="3">
        <v>21917</v>
      </c>
      <c r="H5173" s="7" t="str">
        <f>HYPERLINK("http://www.ensembl.org/Mus_musculus/Gene/Summary?db=core;g=ENSMUSG00000019961","ENSMUSG00000019961")</f>
        <v>ENSMUSG00000019961</v>
      </c>
      <c r="I5173" s="7" t="str">
        <f>HYPERLINK("http://www.informatics.jax.org/marker/MGI:106920","MGI:106920")</f>
        <v>MGI:106920</v>
      </c>
      <c r="J5173" s="4" t="s">
        <v>12</v>
      </c>
    </row>
    <row r="5174" spans="1:10" x14ac:dyDescent="0.25">
      <c r="A5174" s="2">
        <v>261.356869611729</v>
      </c>
      <c r="B5174" s="3">
        <v>-0.40299472263431302</v>
      </c>
      <c r="C5174" s="5">
        <v>6.3549067216116202E-5</v>
      </c>
      <c r="D5174" s="4">
        <v>2.7399615566920201E-4</v>
      </c>
      <c r="E5174" s="3" t="s">
        <v>9481</v>
      </c>
      <c r="F5174" s="3" t="s">
        <v>9482</v>
      </c>
      <c r="G5174" s="3">
        <v>71151</v>
      </c>
      <c r="H5174" s="7" t="str">
        <f>HYPERLINK("http://www.ensembl.org/Mus_musculus/Gene/Summary?db=core;g=ENSMUSG00000030929","ENSMUSG00000030929")</f>
        <v>ENSMUSG00000030929</v>
      </c>
      <c r="I5174" s="7" t="str">
        <f>HYPERLINK("http://www.informatics.jax.org/marker/MGI:1918401","MGI:1918401")</f>
        <v>MGI:1918401</v>
      </c>
      <c r="J5174" s="4" t="s">
        <v>12</v>
      </c>
    </row>
    <row r="5175" spans="1:10" x14ac:dyDescent="0.25">
      <c r="A5175" s="2">
        <v>586.57413236974298</v>
      </c>
      <c r="B5175" s="3">
        <v>-0.403166198862414</v>
      </c>
      <c r="C5175" s="5">
        <v>2.6947118089458102E-7</v>
      </c>
      <c r="D5175" s="6">
        <v>1.6096729832198399E-6</v>
      </c>
      <c r="E5175" s="3" t="s">
        <v>6339</v>
      </c>
      <c r="F5175" s="3" t="s">
        <v>6340</v>
      </c>
      <c r="G5175" s="3">
        <v>74528</v>
      </c>
      <c r="H5175" s="7" t="str">
        <f>HYPERLINK("http://www.ensembl.org/Mus_musculus/Gene/Summary?db=core;g=ENSMUSG00000027424","ENSMUSG00000027424")</f>
        <v>ENSMUSG00000027424</v>
      </c>
      <c r="I5175" s="7" t="str">
        <f>HYPERLINK("http://www.informatics.jax.org/marker/MGI:1921778","MGI:1921778")</f>
        <v>MGI:1921778</v>
      </c>
      <c r="J5175" s="4" t="s">
        <v>12</v>
      </c>
    </row>
    <row r="5176" spans="1:10" x14ac:dyDescent="0.25">
      <c r="A5176" s="2">
        <v>480.80408755132299</v>
      </c>
      <c r="B5176" s="3">
        <v>-0.40321328472766499</v>
      </c>
      <c r="C5176" s="5">
        <v>3.50143051391489E-5</v>
      </c>
      <c r="D5176" s="4">
        <v>1.57215006445181E-4</v>
      </c>
      <c r="E5176" s="3" t="s">
        <v>13919</v>
      </c>
      <c r="F5176" s="3" t="s">
        <v>13920</v>
      </c>
      <c r="G5176" s="3">
        <v>19159</v>
      </c>
      <c r="H5176" s="7" t="str">
        <f>HYPERLINK("http://www.ensembl.org/Mus_musculus/Gene/Summary?db=core;g=ENSMUSG00000018001","ENSMUSG00000018001")</f>
        <v>ENSMUSG00000018001</v>
      </c>
      <c r="I5176" s="7" t="str">
        <f>HYPERLINK("http://www.informatics.jax.org/marker/MGI:1335107","MGI:1335107")</f>
        <v>MGI:1335107</v>
      </c>
      <c r="J5176" s="4" t="s">
        <v>12</v>
      </c>
    </row>
    <row r="5177" spans="1:10" x14ac:dyDescent="0.25">
      <c r="A5177" s="2">
        <v>1480.8394327783799</v>
      </c>
      <c r="B5177" s="3">
        <v>-0.40343668593920801</v>
      </c>
      <c r="C5177" s="5">
        <v>5.1085888235179E-6</v>
      </c>
      <c r="D5177" s="6">
        <v>2.6108814163940999E-5</v>
      </c>
      <c r="E5177" s="3" t="s">
        <v>9417</v>
      </c>
      <c r="F5177" s="3" t="s">
        <v>9418</v>
      </c>
      <c r="G5177" s="3">
        <v>29813</v>
      </c>
      <c r="H5177" s="7" t="str">
        <f>HYPERLINK("http://www.ensembl.org/Mus_musculus/Gene/Summary?db=core;g=ENSMUSG00000000552","ENSMUSG00000000552")</f>
        <v>ENSMUSG00000000552</v>
      </c>
      <c r="I5177" s="7" t="str">
        <f>HYPERLINK("http://www.informatics.jax.org/marker/MGI:1352495","MGI:1352495")</f>
        <v>MGI:1352495</v>
      </c>
      <c r="J5177" s="4" t="s">
        <v>12</v>
      </c>
    </row>
    <row r="5178" spans="1:10" x14ac:dyDescent="0.25">
      <c r="A5178" s="2">
        <v>162.464578620548</v>
      </c>
      <c r="B5178" s="3">
        <v>-0.40345835914726702</v>
      </c>
      <c r="C5178" s="5">
        <v>3.3617040514085603E-5</v>
      </c>
      <c r="D5178" s="4">
        <v>1.51463674504131E-4</v>
      </c>
      <c r="E5178" s="3" t="s">
        <v>5905</v>
      </c>
      <c r="F5178" s="3" t="s">
        <v>5906</v>
      </c>
      <c r="G5178" s="3">
        <v>78755</v>
      </c>
      <c r="H5178" s="7" t="str">
        <f>HYPERLINK("http://www.ensembl.org/Mus_musculus/Gene/Summary?db=core;g=ENSMUSG00000036022","ENSMUSG00000036022")</f>
        <v>ENSMUSG00000036022</v>
      </c>
      <c r="I5178" s="7" t="str">
        <f>HYPERLINK("http://www.informatics.jax.org/marker/MGI:1926005","MGI:1926005")</f>
        <v>MGI:1926005</v>
      </c>
      <c r="J5178" s="4" t="s">
        <v>12</v>
      </c>
    </row>
    <row r="5179" spans="1:10" x14ac:dyDescent="0.25">
      <c r="A5179" s="2">
        <v>1465.3363888080501</v>
      </c>
      <c r="B5179" s="3">
        <v>-0.40360252470667302</v>
      </c>
      <c r="C5179" s="3">
        <v>1.14575361109787E-4</v>
      </c>
      <c r="D5179" s="4">
        <v>4.7382254509322901E-4</v>
      </c>
      <c r="E5179" s="3" t="s">
        <v>8683</v>
      </c>
      <c r="F5179" s="3" t="s">
        <v>8684</v>
      </c>
      <c r="G5179" s="3">
        <v>51944</v>
      </c>
      <c r="H5179" s="7" t="str">
        <f>HYPERLINK("http://www.ensembl.org/Mus_musculus/Gene/Summary?db=core;g=ENSMUSG00000027331","ENSMUSG00000027331")</f>
        <v>ENSMUSG00000027331</v>
      </c>
      <c r="I5179" s="7" t="str">
        <f>HYPERLINK("http://www.informatics.jax.org/marker/MGI:1289298","MGI:1289298")</f>
        <v>MGI:1289298</v>
      </c>
      <c r="J5179" s="4" t="s">
        <v>12</v>
      </c>
    </row>
    <row r="5180" spans="1:10" x14ac:dyDescent="0.25">
      <c r="A5180" s="2">
        <v>421.531905997791</v>
      </c>
      <c r="B5180" s="3">
        <v>-0.40391760316063202</v>
      </c>
      <c r="C5180" s="5">
        <v>4.7908293636113297E-9</v>
      </c>
      <c r="D5180" s="6">
        <v>3.4620485785811498E-8</v>
      </c>
      <c r="E5180" s="3" t="s">
        <v>4593</v>
      </c>
      <c r="F5180" s="3" t="s">
        <v>4594</v>
      </c>
      <c r="G5180" s="3">
        <v>192287</v>
      </c>
      <c r="H5180" s="7" t="str">
        <f>HYPERLINK("http://www.ensembl.org/Mus_musculus/Gene/Summary?db=core;g=ENSMUSG00000032449","ENSMUSG00000032449")</f>
        <v>ENSMUSG00000032449</v>
      </c>
      <c r="I5180" s="7" t="str">
        <f>HYPERLINK("http://www.informatics.jax.org/marker/MGI:1924909","MGI:1924909")</f>
        <v>MGI:1924909</v>
      </c>
      <c r="J5180" s="4" t="s">
        <v>12</v>
      </c>
    </row>
    <row r="5181" spans="1:10" x14ac:dyDescent="0.25">
      <c r="A5181" s="2">
        <v>1223.5891305796799</v>
      </c>
      <c r="B5181" s="3">
        <v>-0.40400768858226299</v>
      </c>
      <c r="C5181" s="5">
        <v>7.6206192170592497E-18</v>
      </c>
      <c r="D5181" s="6">
        <v>1.06344399104828E-16</v>
      </c>
      <c r="E5181" s="3" t="s">
        <v>3964</v>
      </c>
      <c r="F5181" s="3" t="s">
        <v>3965</v>
      </c>
      <c r="G5181" s="3">
        <v>27103</v>
      </c>
      <c r="H5181" s="7" t="str">
        <f>HYPERLINK("http://www.ensembl.org/Mus_musculus/Gene/Summary?db=core;g=ENSMUSG00000005102","ENSMUSG00000005102")</f>
        <v>ENSMUSG00000005102</v>
      </c>
      <c r="I5181" s="7" t="str">
        <f>HYPERLINK("http://www.informatics.jax.org/marker/MGI:1353427","MGI:1353427")</f>
        <v>MGI:1353427</v>
      </c>
      <c r="J5181" s="4" t="s">
        <v>12</v>
      </c>
    </row>
    <row r="5182" spans="1:10" x14ac:dyDescent="0.25">
      <c r="A5182" s="2">
        <v>242.910099627524</v>
      </c>
      <c r="B5182" s="3">
        <v>-0.40421741803321398</v>
      </c>
      <c r="C5182" s="5">
        <v>4.7669148277897102E-5</v>
      </c>
      <c r="D5182" s="4">
        <v>2.0984788100596001E-4</v>
      </c>
      <c r="E5182" s="3" t="s">
        <v>5689</v>
      </c>
      <c r="F5182" s="3" t="s">
        <v>5690</v>
      </c>
      <c r="G5182" s="3">
        <v>327655</v>
      </c>
      <c r="H5182" s="7" t="str">
        <f>HYPERLINK("http://www.ensembl.org/Mus_musculus/Gene/Summary?db=core;g=ENSMUSG00000033526","ENSMUSG00000033526")</f>
        <v>ENSMUSG00000033526</v>
      </c>
      <c r="I5182" s="7" t="str">
        <f>HYPERLINK("http://www.informatics.jax.org/marker/MGI:2443281","MGI:2443281")</f>
        <v>MGI:2443281</v>
      </c>
      <c r="J5182" s="4" t="s">
        <v>12</v>
      </c>
    </row>
    <row r="5183" spans="1:10" x14ac:dyDescent="0.25">
      <c r="A5183" s="2">
        <v>57.1566019490798</v>
      </c>
      <c r="B5183" s="3">
        <v>-0.40471515878786901</v>
      </c>
      <c r="C5183" s="3">
        <v>1.0135054811469001E-2</v>
      </c>
      <c r="D5183" s="4">
        <v>2.8369125163419301E-2</v>
      </c>
      <c r="E5183" s="3" t="s">
        <v>7876</v>
      </c>
      <c r="F5183" s="3" t="s">
        <v>7877</v>
      </c>
      <c r="G5183" s="3">
        <v>56149</v>
      </c>
      <c r="H5183" s="7" t="str">
        <f>HYPERLINK("http://www.ensembl.org/Mus_musculus/Gene/Summary?db=core;g=ENSMUSG00000000531","ENSMUSG00000000531")</f>
        <v>ENSMUSG00000000531</v>
      </c>
      <c r="I5183" s="7" t="str">
        <f>HYPERLINK("http://www.informatics.jax.org/marker/MGI:1860303","MGI:1860303")</f>
        <v>MGI:1860303</v>
      </c>
      <c r="J5183" s="4" t="s">
        <v>12</v>
      </c>
    </row>
    <row r="5184" spans="1:10" x14ac:dyDescent="0.25">
      <c r="A5184" s="2">
        <v>140.914019710221</v>
      </c>
      <c r="B5184" s="3">
        <v>-0.40472246306824999</v>
      </c>
      <c r="C5184" s="3">
        <v>2.3305151619763999E-4</v>
      </c>
      <c r="D5184" s="4">
        <v>9.1461197675121102E-4</v>
      </c>
      <c r="E5184" s="3" t="s">
        <v>4561</v>
      </c>
      <c r="F5184" s="3" t="s">
        <v>4562</v>
      </c>
      <c r="G5184" s="3">
        <v>319822</v>
      </c>
      <c r="H5184" s="7" t="str">
        <f>HYPERLINK("http://www.ensembl.org/Mus_musculus/Gene/Summary?db=core;g=ENSMUSG00000018809","ENSMUSG00000018809")</f>
        <v>ENSMUSG00000018809</v>
      </c>
      <c r="I5184" s="7" t="str">
        <f>HYPERLINK("http://www.informatics.jax.org/marker/MGI:2442796","MGI:2442796")</f>
        <v>MGI:2442796</v>
      </c>
      <c r="J5184" s="4" t="s">
        <v>12</v>
      </c>
    </row>
    <row r="5185" spans="1:10" x14ac:dyDescent="0.25">
      <c r="A5185" s="2">
        <v>277.77508960058901</v>
      </c>
      <c r="B5185" s="3">
        <v>-0.40497350542634097</v>
      </c>
      <c r="C5185" s="3">
        <v>5.5346462886832497E-4</v>
      </c>
      <c r="D5185" s="4">
        <v>2.04266481022326E-3</v>
      </c>
      <c r="E5185" s="3" t="s">
        <v>10952</v>
      </c>
      <c r="F5185" s="3" t="s">
        <v>10953</v>
      </c>
      <c r="G5185" s="3">
        <v>192197</v>
      </c>
      <c r="H5185" s="7" t="str">
        <f>HYPERLINK("http://www.ensembl.org/Mus_musculus/Gene/Summary?db=core;g=ENSMUSG00000059439","ENSMUSG00000059439")</f>
        <v>ENSMUSG00000059439</v>
      </c>
      <c r="I5185" s="7" t="str">
        <f>HYPERLINK("http://www.informatics.jax.org/marker/MGI:2385848","MGI:2385848")</f>
        <v>MGI:2385848</v>
      </c>
      <c r="J5185" s="4" t="s">
        <v>12</v>
      </c>
    </row>
    <row r="5186" spans="1:10" x14ac:dyDescent="0.25">
      <c r="A5186" s="2">
        <v>471.60660401963099</v>
      </c>
      <c r="B5186" s="3">
        <v>-0.405291046007133</v>
      </c>
      <c r="C5186" s="5">
        <v>1.64550984911512E-8</v>
      </c>
      <c r="D5186" s="6">
        <v>1.11942579321101E-7</v>
      </c>
      <c r="E5186" s="3" t="s">
        <v>4477</v>
      </c>
      <c r="F5186" s="3" t="s">
        <v>4478</v>
      </c>
      <c r="G5186" s="3">
        <v>70974</v>
      </c>
      <c r="H5186" s="7" t="str">
        <f>HYPERLINK("http://www.ensembl.org/Mus_musculus/Gene/Summary?db=core;g=ENSMUSG00000030729","ENSMUSG00000030729")</f>
        <v>ENSMUSG00000030729</v>
      </c>
      <c r="I5186" s="7" t="str">
        <f>HYPERLINK("http://www.informatics.jax.org/marker/MGI:1918224","MGI:1918224")</f>
        <v>MGI:1918224</v>
      </c>
      <c r="J5186" s="4" t="s">
        <v>12</v>
      </c>
    </row>
    <row r="5187" spans="1:10" x14ac:dyDescent="0.25">
      <c r="A5187" s="2">
        <v>393.58901603477301</v>
      </c>
      <c r="B5187" s="3">
        <v>-0.40537041281528502</v>
      </c>
      <c r="C5187" s="5">
        <v>2.1671385348189599E-6</v>
      </c>
      <c r="D5187" s="6">
        <v>1.15790383456686E-5</v>
      </c>
      <c r="E5187" s="3" t="s">
        <v>8951</v>
      </c>
      <c r="F5187" s="3" t="s">
        <v>8952</v>
      </c>
      <c r="G5187" s="3">
        <v>68631</v>
      </c>
      <c r="H5187" s="7" t="str">
        <f>HYPERLINK("http://www.ensembl.org/Mus_musculus/Gene/Summary?db=core;g=ENSMUSG00000021947","ENSMUSG00000021947")</f>
        <v>ENSMUSG00000021947</v>
      </c>
      <c r="I5187" s="7" t="str">
        <f>HYPERLINK("http://www.informatics.jax.org/marker/MGI:1915881","MGI:1915881")</f>
        <v>MGI:1915881</v>
      </c>
      <c r="J5187" s="4" t="s">
        <v>12</v>
      </c>
    </row>
    <row r="5188" spans="1:10" x14ac:dyDescent="0.25">
      <c r="A5188" s="2">
        <v>635.092985995719</v>
      </c>
      <c r="B5188" s="3">
        <v>-0.40546694436994701</v>
      </c>
      <c r="C5188" s="5">
        <v>2.0313704451163501E-7</v>
      </c>
      <c r="D5188" s="6">
        <v>1.23118478091937E-6</v>
      </c>
      <c r="E5188" s="3" t="s">
        <v>3048</v>
      </c>
      <c r="F5188" s="3" t="s">
        <v>3049</v>
      </c>
      <c r="G5188" s="3">
        <v>19090</v>
      </c>
      <c r="H5188" s="7" t="str">
        <f>HYPERLINK("http://www.ensembl.org/Mus_musculus/Gene/Summary?db=core;g=ENSMUSG00000022672","ENSMUSG00000022672")</f>
        <v>ENSMUSG00000022672</v>
      </c>
      <c r="I5188" s="7" t="str">
        <f>HYPERLINK("http://www.informatics.jax.org/marker/MGI:104779","MGI:104779")</f>
        <v>MGI:104779</v>
      </c>
      <c r="J5188" s="4" t="s">
        <v>12</v>
      </c>
    </row>
    <row r="5189" spans="1:10" x14ac:dyDescent="0.25">
      <c r="A5189" s="2">
        <v>116.322292926535</v>
      </c>
      <c r="B5189" s="3">
        <v>-0.405523767437733</v>
      </c>
      <c r="C5189" s="3">
        <v>2.1684503506827798E-3</v>
      </c>
      <c r="D5189" s="4">
        <v>7.1220053417180998E-3</v>
      </c>
      <c r="E5189" s="3" t="s">
        <v>10220</v>
      </c>
      <c r="F5189" s="3" t="s">
        <v>10221</v>
      </c>
      <c r="G5189" s="3">
        <v>224814</v>
      </c>
      <c r="H5189" s="7" t="str">
        <f>HYPERLINK("http://www.ensembl.org/Mus_musculus/Gene/Summary?db=core;g=ENSMUSG00000032842","ENSMUSG00000032842")</f>
        <v>ENSMUSG00000032842</v>
      </c>
      <c r="I5189" s="7" t="str">
        <f>HYPERLINK("http://www.informatics.jax.org/marker/MGI:2386976","MGI:2386976")</f>
        <v>MGI:2386976</v>
      </c>
      <c r="J5189" s="4" t="s">
        <v>12</v>
      </c>
    </row>
    <row r="5190" spans="1:10" x14ac:dyDescent="0.25">
      <c r="A5190" s="2">
        <v>335.32294050945001</v>
      </c>
      <c r="B5190" s="3">
        <v>-0.40553329956093598</v>
      </c>
      <c r="C5190" s="5">
        <v>1.9583093252441401E-9</v>
      </c>
      <c r="D5190" s="6">
        <v>1.4717603073226599E-8</v>
      </c>
      <c r="E5190" s="3" t="s">
        <v>4831</v>
      </c>
      <c r="F5190" s="3" t="s">
        <v>4832</v>
      </c>
      <c r="G5190" s="3">
        <v>57321</v>
      </c>
      <c r="H5190" s="7" t="str">
        <f>HYPERLINK("http://www.ensembl.org/Mus_musculus/Gene/Summary?db=core;g=ENSMUSG00000033430","ENSMUSG00000033430")</f>
        <v>ENSMUSG00000033430</v>
      </c>
      <c r="I5190" s="7" t="str">
        <f>HYPERLINK("http://www.informatics.jax.org/marker/MGI:1929871","MGI:1929871")</f>
        <v>MGI:1929871</v>
      </c>
      <c r="J5190" s="4" t="s">
        <v>12</v>
      </c>
    </row>
    <row r="5191" spans="1:10" x14ac:dyDescent="0.25">
      <c r="A5191" s="2">
        <v>2092.4835077891798</v>
      </c>
      <c r="B5191" s="3">
        <v>-0.40553859879811599</v>
      </c>
      <c r="C5191" s="5">
        <v>4.0827725315657102E-10</v>
      </c>
      <c r="D5191" s="6">
        <v>3.3114610319441502E-9</v>
      </c>
      <c r="E5191" s="3" t="s">
        <v>4269</v>
      </c>
      <c r="F5191" s="3" t="s">
        <v>4270</v>
      </c>
      <c r="G5191" s="3">
        <v>20768</v>
      </c>
      <c r="H5191" s="7" t="str">
        <f>HYPERLINK("http://www.ensembl.org/Mus_musculus/Gene/Summary?db=core;g=ENSMUSG00000049091","ENSMUSG00000049091")</f>
        <v>ENSMUSG00000049091</v>
      </c>
      <c r="I5191" s="7" t="str">
        <f>HYPERLINK("http://www.informatics.jax.org/marker/MGI:108388","MGI:108388")</f>
        <v>MGI:108388</v>
      </c>
      <c r="J5191" s="4" t="s">
        <v>12</v>
      </c>
    </row>
    <row r="5192" spans="1:10" x14ac:dyDescent="0.25">
      <c r="A5192" s="2">
        <v>255.02308383398099</v>
      </c>
      <c r="B5192" s="3">
        <v>-0.40581760929895599</v>
      </c>
      <c r="C5192" s="5">
        <v>3.9807409096772604E-6</v>
      </c>
      <c r="D5192" s="6">
        <v>2.0602653307151799E-5</v>
      </c>
      <c r="E5192" s="3" t="s">
        <v>7674</v>
      </c>
      <c r="F5192" s="3" t="s">
        <v>7675</v>
      </c>
      <c r="G5192" s="3" t="s">
        <v>83</v>
      </c>
      <c r="H5192" s="7" t="str">
        <f>HYPERLINK("http://www.ensembl.org/Mus_musculus/Gene/Summary?db=core;g=ENSMUSG00000091474","ENSMUSG00000091474")</f>
        <v>ENSMUSG00000091474</v>
      </c>
      <c r="I5192" s="7" t="str">
        <f>HYPERLINK("http://www.informatics.jax.org/marker/MGI:1922662","MGI:1922662")</f>
        <v>MGI:1922662</v>
      </c>
      <c r="J5192" s="4" t="s">
        <v>12</v>
      </c>
    </row>
    <row r="5193" spans="1:10" x14ac:dyDescent="0.25">
      <c r="A5193" s="2">
        <v>1754.97785295775</v>
      </c>
      <c r="B5193" s="3">
        <v>-0.40625148995083599</v>
      </c>
      <c r="C5193" s="5">
        <v>4.4580179966392202E-6</v>
      </c>
      <c r="D5193" s="6">
        <v>2.29318029886395E-5</v>
      </c>
      <c r="E5193" s="3" t="s">
        <v>13371</v>
      </c>
      <c r="F5193" s="3" t="s">
        <v>13372</v>
      </c>
      <c r="G5193" s="3">
        <v>15441</v>
      </c>
      <c r="H5193" s="7" t="str">
        <f>HYPERLINK("http://www.ensembl.org/Mus_musculus/Gene/Summary?db=core;g=ENSMUSG00000028759","ENSMUSG00000028759")</f>
        <v>ENSMUSG00000028759</v>
      </c>
      <c r="I5193" s="7" t="str">
        <f>HYPERLINK("http://www.informatics.jax.org/marker/MGI:109369","MGI:109369")</f>
        <v>MGI:109369</v>
      </c>
      <c r="J5193" s="4" t="s">
        <v>12</v>
      </c>
    </row>
    <row r="5194" spans="1:10" x14ac:dyDescent="0.25">
      <c r="A5194" s="2">
        <v>225.565377492773</v>
      </c>
      <c r="B5194" s="3">
        <v>-0.40663486291281598</v>
      </c>
      <c r="C5194" s="3">
        <v>1.7132482791974899E-4</v>
      </c>
      <c r="D5194" s="4">
        <v>6.8790372082780805E-4</v>
      </c>
      <c r="E5194" s="3" t="s">
        <v>8203</v>
      </c>
      <c r="F5194" s="3" t="s">
        <v>8204</v>
      </c>
      <c r="G5194" s="3">
        <v>70209</v>
      </c>
      <c r="H5194" s="7" t="str">
        <f>HYPERLINK("http://www.ensembl.org/Mus_musculus/Gene/Summary?db=core;g=ENSMUSG00000002781","ENSMUSG00000002781")</f>
        <v>ENSMUSG00000002781</v>
      </c>
      <c r="I5194" s="7" t="str">
        <f>HYPERLINK("http://www.informatics.jax.org/marker/MGI:1917459","MGI:1917459")</f>
        <v>MGI:1917459</v>
      </c>
      <c r="J5194" s="4" t="s">
        <v>12</v>
      </c>
    </row>
    <row r="5195" spans="1:10" x14ac:dyDescent="0.25">
      <c r="A5195" s="2">
        <v>440.54036364677302</v>
      </c>
      <c r="B5195" s="3">
        <v>-0.406982704537385</v>
      </c>
      <c r="C5195" s="5">
        <v>2.3334194989341199E-11</v>
      </c>
      <c r="D5195" s="6">
        <v>2.1084070584072601E-10</v>
      </c>
      <c r="E5195" s="3" t="s">
        <v>7688</v>
      </c>
      <c r="F5195" s="3" t="s">
        <v>7689</v>
      </c>
      <c r="G5195" s="3">
        <v>109801</v>
      </c>
      <c r="H5195" s="7" t="str">
        <f>HYPERLINK("http://www.ensembl.org/Mus_musculus/Gene/Summary?db=core;g=ENSMUSG00000024026","ENSMUSG00000024026")</f>
        <v>ENSMUSG00000024026</v>
      </c>
      <c r="I5195" s="7" t="str">
        <f>HYPERLINK("http://www.informatics.jax.org/marker/MGI:95742","MGI:95742")</f>
        <v>MGI:95742</v>
      </c>
      <c r="J5195" s="4" t="s">
        <v>12</v>
      </c>
    </row>
    <row r="5196" spans="1:10" x14ac:dyDescent="0.25">
      <c r="A5196" s="2">
        <v>41.229968877472601</v>
      </c>
      <c r="B5196" s="3">
        <v>-0.40712562273505998</v>
      </c>
      <c r="C5196" s="3">
        <v>4.0210054075266198E-2</v>
      </c>
      <c r="D5196" s="4">
        <v>9.4852217903407504E-2</v>
      </c>
      <c r="E5196" s="3" t="s">
        <v>11939</v>
      </c>
      <c r="F5196" s="3" t="s">
        <v>11940</v>
      </c>
      <c r="G5196" s="3" t="s">
        <v>83</v>
      </c>
      <c r="H5196" s="7" t="str">
        <f>HYPERLINK("http://www.ensembl.org/Mus_musculus/Gene/Summary?db=core;g=ENSMUSG00000073437","ENSMUSG00000073437")</f>
        <v>ENSMUSG00000073437</v>
      </c>
      <c r="I5196" s="7" t="str">
        <f>HYPERLINK("http://www.informatics.jax.org/marker/MGI:3603827","MGI:3603827")</f>
        <v>MGI:3603827</v>
      </c>
      <c r="J5196" s="4" t="s">
        <v>331</v>
      </c>
    </row>
    <row r="5197" spans="1:10" x14ac:dyDescent="0.25">
      <c r="A5197" s="2">
        <v>414.06991089730099</v>
      </c>
      <c r="B5197" s="3">
        <v>-0.407301484801322</v>
      </c>
      <c r="C5197" s="5">
        <v>4.2340049538561597E-9</v>
      </c>
      <c r="D5197" s="6">
        <v>3.0865896113611397E-8</v>
      </c>
      <c r="E5197" s="3" t="s">
        <v>3970</v>
      </c>
      <c r="F5197" s="3" t="s">
        <v>3971</v>
      </c>
      <c r="G5197" s="3">
        <v>107652</v>
      </c>
      <c r="H5197" s="7" t="str">
        <f>HYPERLINK("http://www.ensembl.org/Mus_musculus/Gene/Summary?db=core;g=ENSMUSG00000026670","ENSMUSG00000026670")</f>
        <v>ENSMUSG00000026670</v>
      </c>
      <c r="I5197" s="7" t="str">
        <f>HYPERLINK("http://www.informatics.jax.org/marker/MGI:1334459","MGI:1334459")</f>
        <v>MGI:1334459</v>
      </c>
      <c r="J5197" s="4" t="s">
        <v>12</v>
      </c>
    </row>
    <row r="5198" spans="1:10" x14ac:dyDescent="0.25">
      <c r="A5198" s="2">
        <v>27.626311563722702</v>
      </c>
      <c r="B5198" s="3">
        <v>-0.40738884446523299</v>
      </c>
      <c r="C5198" s="3">
        <v>3.6859770169344303E-2</v>
      </c>
      <c r="D5198" s="4">
        <v>8.8043160070288298E-2</v>
      </c>
      <c r="E5198" s="3" t="s">
        <v>10806</v>
      </c>
      <c r="F5198" s="3" t="s">
        <v>10807</v>
      </c>
      <c r="G5198" s="3">
        <v>76645</v>
      </c>
      <c r="H5198" s="7" t="str">
        <f>HYPERLINK("http://www.ensembl.org/Mus_musculus/Gene/Summary?db=core;g=ENSMUSG00000034416","ENSMUSG00000034416")</f>
        <v>ENSMUSG00000034416</v>
      </c>
      <c r="I5198" s="7" t="str">
        <f>HYPERLINK("http://www.informatics.jax.org/marker/MGI:2664668","MGI:2664668")</f>
        <v>MGI:2664668</v>
      </c>
      <c r="J5198" s="4" t="s">
        <v>12</v>
      </c>
    </row>
    <row r="5199" spans="1:10" x14ac:dyDescent="0.25">
      <c r="A5199" s="2">
        <v>148.98495094369699</v>
      </c>
      <c r="B5199" s="3">
        <v>-0.40752393803062698</v>
      </c>
      <c r="C5199" s="3">
        <v>1.0188705326815699E-3</v>
      </c>
      <c r="D5199" s="4">
        <v>3.5812758839193098E-3</v>
      </c>
      <c r="E5199" s="3" t="s">
        <v>7828</v>
      </c>
      <c r="F5199" s="3" t="s">
        <v>7829</v>
      </c>
      <c r="G5199" s="3">
        <v>244585</v>
      </c>
      <c r="H5199" s="7" t="str">
        <f>HYPERLINK("http://www.ensembl.org/Mus_musculus/Gene/Summary?db=core;g=ENSMUSG00000033282","ENSMUSG00000033282")</f>
        <v>ENSMUSG00000033282</v>
      </c>
      <c r="I5199" s="7" t="str">
        <f>HYPERLINK("http://www.informatics.jax.org/marker/MGI:1920563","MGI:1920563")</f>
        <v>MGI:1920563</v>
      </c>
      <c r="J5199" s="4" t="s">
        <v>12</v>
      </c>
    </row>
    <row r="5200" spans="1:10" x14ac:dyDescent="0.25">
      <c r="A5200" s="2">
        <v>1352.6152501671099</v>
      </c>
      <c r="B5200" s="3">
        <v>-0.40756819962123803</v>
      </c>
      <c r="C5200" s="3">
        <v>9.9373290960587694E-4</v>
      </c>
      <c r="D5200" s="4">
        <v>3.49899193925176E-3</v>
      </c>
      <c r="E5200" s="3" t="s">
        <v>12247</v>
      </c>
      <c r="F5200" s="3" t="s">
        <v>12248</v>
      </c>
      <c r="G5200" s="3">
        <v>12615</v>
      </c>
      <c r="H5200" s="7" t="str">
        <f>HYPERLINK("http://www.ensembl.org/Mus_musculus/Gene/Summary?db=core;g=ENSMUSG00000029177","ENSMUSG00000029177")</f>
        <v>ENSMUSG00000029177</v>
      </c>
      <c r="I5200" s="7" t="str">
        <f>HYPERLINK("http://www.informatics.jax.org/marker/MGI:88375","MGI:88375")</f>
        <v>MGI:88375</v>
      </c>
      <c r="J5200" s="4" t="s">
        <v>12</v>
      </c>
    </row>
    <row r="5201" spans="1:10" x14ac:dyDescent="0.25">
      <c r="A5201" s="2">
        <v>3007.5600588284501</v>
      </c>
      <c r="B5201" s="3">
        <v>-0.408116990374147</v>
      </c>
      <c r="C5201" s="5">
        <v>8.4201852700786595E-12</v>
      </c>
      <c r="D5201" s="6">
        <v>7.8696346947273596E-11</v>
      </c>
      <c r="E5201" s="3" t="s">
        <v>5483</v>
      </c>
      <c r="F5201" s="3" t="s">
        <v>5484</v>
      </c>
      <c r="G5201" s="3">
        <v>230753</v>
      </c>
      <c r="H5201" s="7" t="str">
        <f>HYPERLINK("http://www.ensembl.org/Mus_musculus/Gene/Summary?db=core;g=ENSMUSG00000043962","ENSMUSG00000043962")</f>
        <v>ENSMUSG00000043962</v>
      </c>
      <c r="I5201" s="7" t="str">
        <f>HYPERLINK("http://www.informatics.jax.org/marker/MGI:2442637","MGI:2442637")</f>
        <v>MGI:2442637</v>
      </c>
      <c r="J5201" s="4" t="s">
        <v>12</v>
      </c>
    </row>
    <row r="5202" spans="1:10" x14ac:dyDescent="0.25">
      <c r="A5202" s="2">
        <v>382.71102566094203</v>
      </c>
      <c r="B5202" s="3">
        <v>-0.40820432662616801</v>
      </c>
      <c r="C5202" s="5">
        <v>3.8081127080219201E-5</v>
      </c>
      <c r="D5202" s="4">
        <v>1.6977214800317899E-4</v>
      </c>
      <c r="E5202" s="3" t="s">
        <v>8331</v>
      </c>
      <c r="F5202" s="3" t="s">
        <v>8332</v>
      </c>
      <c r="G5202" s="3">
        <v>77781</v>
      </c>
      <c r="H5202" s="7" t="str">
        <f>HYPERLINK("http://www.ensembl.org/Mus_musculus/Gene/Summary?db=core;g=ENSMUSG00000046785","ENSMUSG00000046785")</f>
        <v>ENSMUSG00000046785</v>
      </c>
      <c r="I5202" s="7" t="str">
        <f>HYPERLINK("http://www.informatics.jax.org/marker/MGI:1925031","MGI:1925031")</f>
        <v>MGI:1925031</v>
      </c>
      <c r="J5202" s="4" t="s">
        <v>12</v>
      </c>
    </row>
    <row r="5203" spans="1:10" x14ac:dyDescent="0.25">
      <c r="A5203" s="2">
        <v>1492.25444088975</v>
      </c>
      <c r="B5203" s="3">
        <v>-0.40835712694639198</v>
      </c>
      <c r="C5203" s="5">
        <v>3.4829527641898701E-9</v>
      </c>
      <c r="D5203" s="6">
        <v>2.56161477511543E-8</v>
      </c>
      <c r="E5203" s="3" t="s">
        <v>2293</v>
      </c>
      <c r="F5203" s="3" t="s">
        <v>2294</v>
      </c>
      <c r="G5203" s="3">
        <v>142682</v>
      </c>
      <c r="H5203" s="7" t="str">
        <f>HYPERLINK("http://www.ensembl.org/Mus_musculus/Gene/Summary?db=core;g=ENSMUSG00000061410","ENSMUSG00000061410")</f>
        <v>ENSMUSG00000061410</v>
      </c>
      <c r="I5203" s="7" t="str">
        <f>HYPERLINK("http://www.informatics.jax.org/marker/MGI:2159407","MGI:2159407")</f>
        <v>MGI:2159407</v>
      </c>
      <c r="J5203" s="4" t="s">
        <v>12</v>
      </c>
    </row>
    <row r="5204" spans="1:10" x14ac:dyDescent="0.25">
      <c r="A5204" s="2">
        <v>282.605266399333</v>
      </c>
      <c r="B5204" s="3">
        <v>-0.40898729307276399</v>
      </c>
      <c r="C5204" s="5">
        <v>1.1860890967633101E-6</v>
      </c>
      <c r="D5204" s="6">
        <v>6.5464790395249502E-6</v>
      </c>
      <c r="E5204" s="3" t="s">
        <v>8365</v>
      </c>
      <c r="F5204" s="3" t="s">
        <v>8366</v>
      </c>
      <c r="G5204" s="3">
        <v>381990</v>
      </c>
      <c r="H5204" s="7" t="str">
        <f>HYPERLINK("http://www.ensembl.org/Mus_musculus/Gene/Summary?db=core;g=ENSMUSG00000075327","ENSMUSG00000075327")</f>
        <v>ENSMUSG00000075327</v>
      </c>
      <c r="I5204" s="7" t="str">
        <f>HYPERLINK("http://www.informatics.jax.org/marker/MGI:2685949","MGI:2685949")</f>
        <v>MGI:2685949</v>
      </c>
      <c r="J5204" s="4" t="s">
        <v>12</v>
      </c>
    </row>
    <row r="5205" spans="1:10" x14ac:dyDescent="0.25">
      <c r="A5205" s="2">
        <v>62.896580322551102</v>
      </c>
      <c r="B5205" s="3">
        <v>-0.40915746575220902</v>
      </c>
      <c r="C5205" s="3">
        <v>1.20532653652173E-2</v>
      </c>
      <c r="D5205" s="4">
        <v>3.3117859382042099E-2</v>
      </c>
      <c r="E5205" s="3" t="s">
        <v>13403</v>
      </c>
      <c r="F5205" s="3" t="s">
        <v>13404</v>
      </c>
      <c r="G5205" s="3">
        <v>15442</v>
      </c>
      <c r="H5205" s="7" t="str">
        <f>HYPERLINK("http://www.ensembl.org/Mus_musculus/Gene/Summary?db=core;g=ENSMUSG00000035273","ENSMUSG00000035273")</f>
        <v>ENSMUSG00000035273</v>
      </c>
      <c r="I5205" s="7" t="str">
        <f>HYPERLINK("http://www.informatics.jax.org/marker/MGI:1343124","MGI:1343124")</f>
        <v>MGI:1343124</v>
      </c>
      <c r="J5205" s="4" t="s">
        <v>12</v>
      </c>
    </row>
    <row r="5206" spans="1:10" x14ac:dyDescent="0.25">
      <c r="A5206" s="2">
        <v>1097.0621001241</v>
      </c>
      <c r="B5206" s="3">
        <v>-0.40993548487713999</v>
      </c>
      <c r="C5206" s="5">
        <v>2.82545019846715E-5</v>
      </c>
      <c r="D5206" s="4">
        <v>1.2902488064912E-4</v>
      </c>
      <c r="E5206" s="3" t="s">
        <v>10918</v>
      </c>
      <c r="F5206" s="3" t="s">
        <v>10919</v>
      </c>
      <c r="G5206" s="3">
        <v>65960</v>
      </c>
      <c r="H5206" s="7" t="str">
        <f>HYPERLINK("http://www.ensembl.org/Mus_musculus/Gene/Summary?db=core;g=ENSMUSG00000024098","ENSMUSG00000024098")</f>
        <v>ENSMUSG00000024098</v>
      </c>
      <c r="I5206" s="7" t="str">
        <f>HYPERLINK("http://www.informatics.jax.org/marker/MGI:2137520","MGI:2137520")</f>
        <v>MGI:2137520</v>
      </c>
      <c r="J5206" s="4" t="s">
        <v>12</v>
      </c>
    </row>
    <row r="5207" spans="1:10" x14ac:dyDescent="0.25">
      <c r="A5207" s="2">
        <v>336.54737400578898</v>
      </c>
      <c r="B5207" s="3">
        <v>-0.40996214377402601</v>
      </c>
      <c r="C5207" s="5">
        <v>2.3914418002832901E-8</v>
      </c>
      <c r="D5207" s="6">
        <v>1.59882710235374E-7</v>
      </c>
      <c r="E5207" s="3" t="s">
        <v>2772</v>
      </c>
      <c r="F5207" s="3" t="s">
        <v>2773</v>
      </c>
      <c r="G5207" s="3">
        <v>18861</v>
      </c>
      <c r="H5207" s="7" t="str">
        <f>HYPERLINK("http://www.ensembl.org/Mus_musculus/Gene/Summary?db=core;g=ENSMUSG00000079109","ENSMUSG00000079109")</f>
        <v>ENSMUSG00000079109</v>
      </c>
      <c r="I5207" s="7" t="str">
        <f>HYPERLINK("http://www.informatics.jax.org/marker/MGI:104288","MGI:104288")</f>
        <v>MGI:104288</v>
      </c>
      <c r="J5207" s="4" t="s">
        <v>12</v>
      </c>
    </row>
    <row r="5208" spans="1:10" x14ac:dyDescent="0.25">
      <c r="A5208" s="2">
        <v>167.88540060538301</v>
      </c>
      <c r="B5208" s="3">
        <v>-0.41038866431777798</v>
      </c>
      <c r="C5208" s="3">
        <v>6.7853523742886701E-4</v>
      </c>
      <c r="D5208" s="4">
        <v>2.46291669032884E-3</v>
      </c>
      <c r="E5208" s="3" t="s">
        <v>6209</v>
      </c>
      <c r="F5208" s="3" t="s">
        <v>6210</v>
      </c>
      <c r="G5208" s="3">
        <v>101113</v>
      </c>
      <c r="H5208" s="7" t="str">
        <f>HYPERLINK("http://www.ensembl.org/Mus_musculus/Gene/Summary?db=core;g=ENSMUSG00000050373","ENSMUSG00000050373")</f>
        <v>ENSMUSG00000050373</v>
      </c>
      <c r="I5208" s="7" t="str">
        <f>HYPERLINK("http://www.informatics.jax.org/marker/MGI:1917729","MGI:1917729")</f>
        <v>MGI:1917729</v>
      </c>
      <c r="J5208" s="4" t="s">
        <v>12</v>
      </c>
    </row>
    <row r="5209" spans="1:10" x14ac:dyDescent="0.25">
      <c r="A5209" s="2">
        <v>134.83487323103799</v>
      </c>
      <c r="B5209" s="3">
        <v>-0.41081217570273898</v>
      </c>
      <c r="C5209" s="3">
        <v>3.4119820434253001E-4</v>
      </c>
      <c r="D5209" s="4">
        <v>1.3000914225679699E-3</v>
      </c>
      <c r="E5209" s="3" t="s">
        <v>7424</v>
      </c>
      <c r="F5209" s="3" t="s">
        <v>7425</v>
      </c>
      <c r="G5209" s="3">
        <v>54122</v>
      </c>
      <c r="H5209" s="7" t="str">
        <f>HYPERLINK("http://www.ensembl.org/Mus_musculus/Gene/Summary?db=core;g=ENSMUSG00000043262","ENSMUSG00000043262")</f>
        <v>ENSMUSG00000043262</v>
      </c>
      <c r="I5209" s="7" t="str">
        <f>HYPERLINK("http://www.informatics.jax.org/marker/MGI:1860490","MGI:1860490")</f>
        <v>MGI:1860490</v>
      </c>
      <c r="J5209" s="4" t="s">
        <v>12</v>
      </c>
    </row>
    <row r="5210" spans="1:10" x14ac:dyDescent="0.25">
      <c r="A5210" s="2">
        <v>104.80588248011099</v>
      </c>
      <c r="B5210" s="3">
        <v>-0.41090676065638199</v>
      </c>
      <c r="C5210" s="3">
        <v>4.3411031594068402E-4</v>
      </c>
      <c r="D5210" s="4">
        <v>1.6282487153774399E-3</v>
      </c>
      <c r="E5210" s="3" t="s">
        <v>6896</v>
      </c>
      <c r="F5210" s="3" t="s">
        <v>6897</v>
      </c>
      <c r="G5210" s="3" t="s">
        <v>83</v>
      </c>
      <c r="H5210" s="7" t="str">
        <f>HYPERLINK("http://www.ensembl.org/Mus_musculus/Gene/Summary?db=core;g=ENSMUSG00000116632","ENSMUSG00000116632")</f>
        <v>ENSMUSG00000116632</v>
      </c>
      <c r="I5210" s="7" t="str">
        <f>HYPERLINK("http://www.informatics.jax.org/marker/MGI:1923472","MGI:1923472")</f>
        <v>MGI:1923472</v>
      </c>
      <c r="J5210" s="4" t="s">
        <v>5705</v>
      </c>
    </row>
    <row r="5211" spans="1:10" x14ac:dyDescent="0.25">
      <c r="A5211" s="2">
        <v>176.224731847637</v>
      </c>
      <c r="B5211" s="3">
        <v>-0.41115276098019898</v>
      </c>
      <c r="C5211" s="5">
        <v>1.33906646533577E-5</v>
      </c>
      <c r="D5211" s="6">
        <v>6.4256151476420399E-5</v>
      </c>
      <c r="E5211" s="3" t="s">
        <v>9015</v>
      </c>
      <c r="F5211" s="3" t="s">
        <v>9016</v>
      </c>
      <c r="G5211" s="3">
        <v>71941</v>
      </c>
      <c r="H5211" s="7" t="str">
        <f>HYPERLINK("http://www.ensembl.org/Mus_musculus/Gene/Summary?db=core;g=ENSMUSG00000056228","ENSMUSG00000056228")</f>
        <v>ENSMUSG00000056228</v>
      </c>
      <c r="I5211" s="7" t="str">
        <f>HYPERLINK("http://www.informatics.jax.org/marker/MGI:1919191","MGI:1919191")</f>
        <v>MGI:1919191</v>
      </c>
      <c r="J5211" s="4" t="s">
        <v>12</v>
      </c>
    </row>
    <row r="5212" spans="1:10" x14ac:dyDescent="0.25">
      <c r="A5212" s="2">
        <v>844.09222196239398</v>
      </c>
      <c r="B5212" s="3">
        <v>-0.41128063910245</v>
      </c>
      <c r="C5212" s="5">
        <v>1.36403570273258E-8</v>
      </c>
      <c r="D5212" s="6">
        <v>9.37742387110571E-8</v>
      </c>
      <c r="E5212" s="3" t="s">
        <v>5691</v>
      </c>
      <c r="F5212" s="3" t="s">
        <v>5692</v>
      </c>
      <c r="G5212" s="3">
        <v>228913</v>
      </c>
      <c r="H5212" s="7" t="str">
        <f>HYPERLINK("http://www.ensembl.org/Mus_musculus/Gene/Summary?db=core;g=ENSMUSG00000052056","ENSMUSG00000052056")</f>
        <v>ENSMUSG00000052056</v>
      </c>
      <c r="I5212" s="7" t="str">
        <f>HYPERLINK("http://www.informatics.jax.org/marker/MGI:2685408","MGI:2685408")</f>
        <v>MGI:2685408</v>
      </c>
      <c r="J5212" s="4" t="s">
        <v>12</v>
      </c>
    </row>
    <row r="5213" spans="1:10" x14ac:dyDescent="0.25">
      <c r="A5213" s="2">
        <v>4539.7772096526396</v>
      </c>
      <c r="B5213" s="3">
        <v>-0.41132918373103999</v>
      </c>
      <c r="C5213" s="5">
        <v>1.05576176377174E-7</v>
      </c>
      <c r="D5213" s="6">
        <v>6.5917294089550903E-7</v>
      </c>
      <c r="E5213" s="3" t="s">
        <v>5251</v>
      </c>
      <c r="F5213" s="3" t="s">
        <v>5252</v>
      </c>
      <c r="G5213" s="3">
        <v>67397</v>
      </c>
      <c r="H5213" s="7" t="str">
        <f>HYPERLINK("http://www.ensembl.org/Mus_musculus/Gene/Summary?db=core;g=ENSMUSG00000029616","ENSMUSG00000029616")</f>
        <v>ENSMUSG00000029616</v>
      </c>
      <c r="I5213" s="7" t="str">
        <f>HYPERLINK("http://www.informatics.jax.org/marker/MGI:1914647","MGI:1914647")</f>
        <v>MGI:1914647</v>
      </c>
      <c r="J5213" s="4" t="s">
        <v>12</v>
      </c>
    </row>
    <row r="5214" spans="1:10" x14ac:dyDescent="0.25">
      <c r="A5214" s="2">
        <v>267.133945976723</v>
      </c>
      <c r="B5214" s="3">
        <v>-0.41141005162310501</v>
      </c>
      <c r="C5214" s="5">
        <v>4.1123391255392599E-5</v>
      </c>
      <c r="D5214" s="4">
        <v>1.8262032300914499E-4</v>
      </c>
      <c r="E5214" s="3" t="s">
        <v>9173</v>
      </c>
      <c r="F5214" s="3" t="s">
        <v>9174</v>
      </c>
      <c r="G5214" s="3">
        <v>56520</v>
      </c>
      <c r="H5214" s="7" t="str">
        <f>HYPERLINK("http://www.ensembl.org/Mus_musculus/Gene/Summary?db=core;g=ENSMUSG00000024177","ENSMUSG00000024177")</f>
        <v>ENSMUSG00000024177</v>
      </c>
      <c r="I5214" s="7" t="str">
        <f>HYPERLINK("http://www.informatics.jax.org/marker/MGI:1931148","MGI:1931148")</f>
        <v>MGI:1931148</v>
      </c>
      <c r="J5214" s="4" t="s">
        <v>12</v>
      </c>
    </row>
    <row r="5215" spans="1:10" x14ac:dyDescent="0.25">
      <c r="A5215" s="2">
        <v>545.41380285129503</v>
      </c>
      <c r="B5215" s="3">
        <v>-0.41181142510218699</v>
      </c>
      <c r="C5215" s="3">
        <v>9.21606650331633E-4</v>
      </c>
      <c r="D5215" s="4">
        <v>3.26331478575753E-3</v>
      </c>
      <c r="E5215" s="3" t="s">
        <v>2828</v>
      </c>
      <c r="F5215" s="3" t="s">
        <v>2829</v>
      </c>
      <c r="G5215" s="3">
        <v>23834</v>
      </c>
      <c r="H5215" s="7" t="str">
        <f>HYPERLINK("http://www.ensembl.org/Mus_musculus/Gene/Summary?db=core;g=ENSMUSG00000017499","ENSMUSG00000017499")</f>
        <v>ENSMUSG00000017499</v>
      </c>
      <c r="I5215" s="7" t="str">
        <f>HYPERLINK("http://www.informatics.jax.org/marker/MGI:1345150","MGI:1345150")</f>
        <v>MGI:1345150</v>
      </c>
      <c r="J5215" s="4" t="s">
        <v>12</v>
      </c>
    </row>
    <row r="5216" spans="1:10" x14ac:dyDescent="0.25">
      <c r="A5216" s="2">
        <v>464.35743952969301</v>
      </c>
      <c r="B5216" s="3">
        <v>-0.41213522958411503</v>
      </c>
      <c r="C5216" s="5">
        <v>2.0322553198319001E-5</v>
      </c>
      <c r="D5216" s="6">
        <v>9.4847255323780505E-5</v>
      </c>
      <c r="E5216" s="3" t="s">
        <v>8637</v>
      </c>
      <c r="F5216" s="3" t="s">
        <v>8638</v>
      </c>
      <c r="G5216" s="3">
        <v>70292</v>
      </c>
      <c r="H5216" s="7" t="str">
        <f>HYPERLINK("http://www.ensembl.org/Mus_musculus/Gene/Summary?db=core;g=ENSMUSG00000029094","ENSMUSG00000029094")</f>
        <v>ENSMUSG00000029094</v>
      </c>
      <c r="I5216" s="7" t="str">
        <f>HYPERLINK("http://www.informatics.jax.org/marker/MGI:1917542","MGI:1917542")</f>
        <v>MGI:1917542</v>
      </c>
      <c r="J5216" s="4" t="s">
        <v>12</v>
      </c>
    </row>
    <row r="5217" spans="1:10" x14ac:dyDescent="0.25">
      <c r="A5217" s="2">
        <v>203.88657760182599</v>
      </c>
      <c r="B5217" s="3">
        <v>-0.41281410827618198</v>
      </c>
      <c r="C5217" s="3">
        <v>7.62509422799202E-3</v>
      </c>
      <c r="D5217" s="4">
        <v>2.2003736357406E-2</v>
      </c>
      <c r="E5217" s="3" t="s">
        <v>12221</v>
      </c>
      <c r="F5217" s="3" t="s">
        <v>12222</v>
      </c>
      <c r="G5217" s="3">
        <v>270076</v>
      </c>
      <c r="H5217" s="7" t="str">
        <f>HYPERLINK("http://www.ensembl.org/Mus_musculus/Gene/Summary?db=core;g=ENSMUSG00000003809","ENSMUSG00000003809")</f>
        <v>ENSMUSG00000003809</v>
      </c>
      <c r="I5217" s="7" t="str">
        <f>HYPERLINK("http://www.informatics.jax.org/marker/MGI:104541","MGI:104541")</f>
        <v>MGI:104541</v>
      </c>
      <c r="J5217" s="4" t="s">
        <v>12</v>
      </c>
    </row>
    <row r="5218" spans="1:10" x14ac:dyDescent="0.25">
      <c r="A5218" s="2">
        <v>451.216460799895</v>
      </c>
      <c r="B5218" s="3">
        <v>-0.41288629542292499</v>
      </c>
      <c r="C5218" s="5">
        <v>4.7656245563963802E-5</v>
      </c>
      <c r="D5218" s="4">
        <v>2.0984176743253001E-4</v>
      </c>
      <c r="E5218" s="3" t="s">
        <v>9197</v>
      </c>
      <c r="F5218" s="3" t="s">
        <v>9198</v>
      </c>
      <c r="G5218" s="3">
        <v>233204</v>
      </c>
      <c r="H5218" s="7" t="str">
        <f>HYPERLINK("http://www.ensembl.org/Mus_musculus/Gene/Summary?db=core;g=ENSMUSG00000038520","ENSMUSG00000038520")</f>
        <v>ENSMUSG00000038520</v>
      </c>
      <c r="I5218" s="7" t="str">
        <f>HYPERLINK("http://www.informatics.jax.org/marker/MGI:2449973","MGI:2449973")</f>
        <v>MGI:2449973</v>
      </c>
      <c r="J5218" s="4" t="s">
        <v>12</v>
      </c>
    </row>
    <row r="5219" spans="1:10" x14ac:dyDescent="0.25">
      <c r="A5219" s="2">
        <v>716.87316133315596</v>
      </c>
      <c r="B5219" s="3">
        <v>-0.412982639039294</v>
      </c>
      <c r="C5219" s="5">
        <v>1.56734275110721E-8</v>
      </c>
      <c r="D5219" s="6">
        <v>1.06944296663905E-7</v>
      </c>
      <c r="E5219" s="3" t="s">
        <v>5313</v>
      </c>
      <c r="F5219" s="3" t="s">
        <v>5314</v>
      </c>
      <c r="G5219" s="3">
        <v>20937</v>
      </c>
      <c r="H5219" s="7" t="str">
        <f>HYPERLINK("http://www.ensembl.org/Mus_musculus/Gene/Summary?db=core;g=ENSMUSG00000039231","ENSMUSG00000039231")</f>
        <v>ENSMUSG00000039231</v>
      </c>
      <c r="I5219" s="7" t="str">
        <f>HYPERLINK("http://www.informatics.jax.org/marker/MGI:1099440","MGI:1099440")</f>
        <v>MGI:1099440</v>
      </c>
      <c r="J5219" s="4" t="s">
        <v>12</v>
      </c>
    </row>
    <row r="5220" spans="1:10" x14ac:dyDescent="0.25">
      <c r="A5220" s="2">
        <v>804.39708791521798</v>
      </c>
      <c r="B5220" s="3">
        <v>-0.41355243854044599</v>
      </c>
      <c r="C5220" s="5">
        <v>8.1693552318196406E-5</v>
      </c>
      <c r="D5220" s="4">
        <v>3.4600627260030902E-4</v>
      </c>
      <c r="E5220" s="3" t="s">
        <v>9093</v>
      </c>
      <c r="F5220" s="3" t="s">
        <v>9094</v>
      </c>
      <c r="G5220" s="3">
        <v>69724</v>
      </c>
      <c r="H5220" s="7" t="str">
        <f>HYPERLINK("http://www.ensembl.org/Mus_musculus/Gene/Summary?db=core;g=ENSMUSG00000052926","ENSMUSG00000052926")</f>
        <v>ENSMUSG00000052926</v>
      </c>
      <c r="I5220" s="7" t="str">
        <f>HYPERLINK("http://www.informatics.jax.org/marker/MGI:1916974","MGI:1916974")</f>
        <v>MGI:1916974</v>
      </c>
      <c r="J5220" s="4" t="s">
        <v>12</v>
      </c>
    </row>
    <row r="5221" spans="1:10" x14ac:dyDescent="0.25">
      <c r="A5221" s="2">
        <v>555.29362785304897</v>
      </c>
      <c r="B5221" s="3">
        <v>-0.41357463038925502</v>
      </c>
      <c r="C5221" s="5">
        <v>7.5832618180796603E-10</v>
      </c>
      <c r="D5221" s="6">
        <v>5.9958762097397802E-9</v>
      </c>
      <c r="E5221" s="3" t="s">
        <v>4347</v>
      </c>
      <c r="F5221" s="3" t="s">
        <v>4348</v>
      </c>
      <c r="G5221" s="3">
        <v>20851</v>
      </c>
      <c r="H5221" s="7" t="str">
        <f>HYPERLINK("http://www.ensembl.org/Mus_musculus/Gene/Summary?db=core;g=ENSMUSG00000020919","ENSMUSG00000020919")</f>
        <v>ENSMUSG00000020919</v>
      </c>
      <c r="I5221" s="7" t="str">
        <f>HYPERLINK("http://www.informatics.jax.org/marker/MGI:103035","MGI:103035")</f>
        <v>MGI:103035</v>
      </c>
      <c r="J5221" s="4" t="s">
        <v>12</v>
      </c>
    </row>
    <row r="5222" spans="1:10" x14ac:dyDescent="0.25">
      <c r="A5222" s="2">
        <v>1235.42054811046</v>
      </c>
      <c r="B5222" s="3">
        <v>-0.41360388310624402</v>
      </c>
      <c r="C5222" s="5">
        <v>2.1187783457308302E-9</v>
      </c>
      <c r="D5222" s="6">
        <v>1.58582075363221E-8</v>
      </c>
      <c r="E5222" s="3" t="s">
        <v>5107</v>
      </c>
      <c r="F5222" s="3" t="s">
        <v>5108</v>
      </c>
      <c r="G5222" s="3">
        <v>319934</v>
      </c>
      <c r="H5222" s="7" t="str">
        <f>HYPERLINK("http://www.ensembl.org/Mus_musculus/Gene/Summary?db=core;g=ENSMUSG00000038371","ENSMUSG00000038371")</f>
        <v>ENSMUSG00000038371</v>
      </c>
      <c r="I5222" s="7" t="str">
        <f>HYPERLINK("http://www.informatics.jax.org/marker/MGI:1921831","MGI:1921831")</f>
        <v>MGI:1921831</v>
      </c>
      <c r="J5222" s="4" t="s">
        <v>12</v>
      </c>
    </row>
    <row r="5223" spans="1:10" x14ac:dyDescent="0.25">
      <c r="A5223" s="2">
        <v>674.24882504067205</v>
      </c>
      <c r="B5223" s="3">
        <v>-0.41360488567501802</v>
      </c>
      <c r="C5223" s="5">
        <v>4.55189756620258E-13</v>
      </c>
      <c r="D5223" s="6">
        <v>4.7350646771713496E-12</v>
      </c>
      <c r="E5223" s="3" t="s">
        <v>4961</v>
      </c>
      <c r="F5223" s="3" t="s">
        <v>4962</v>
      </c>
      <c r="G5223" s="3">
        <v>21682</v>
      </c>
      <c r="H5223" s="7" t="str">
        <f>HYPERLINK("http://www.ensembl.org/Mus_musculus/Gene/Summary?db=core;g=ENSMUSG00000029217","ENSMUSG00000029217")</f>
        <v>ENSMUSG00000029217</v>
      </c>
      <c r="I5223" s="7" t="str">
        <f>HYPERLINK("http://www.informatics.jax.org/marker/MGI:98662","MGI:98662")</f>
        <v>MGI:98662</v>
      </c>
      <c r="J5223" s="4" t="s">
        <v>12</v>
      </c>
    </row>
    <row r="5224" spans="1:10" x14ac:dyDescent="0.25">
      <c r="A5224" s="2">
        <v>1013.0154969999199</v>
      </c>
      <c r="B5224" s="3">
        <v>-0.41382112959617601</v>
      </c>
      <c r="C5224" s="3">
        <v>3.3786987306797298E-4</v>
      </c>
      <c r="D5224" s="4">
        <v>1.28875647481453E-3</v>
      </c>
      <c r="E5224" s="3" t="s">
        <v>13487</v>
      </c>
      <c r="F5224" s="3" t="s">
        <v>13488</v>
      </c>
      <c r="G5224" s="3">
        <v>68671</v>
      </c>
      <c r="H5224" s="7" t="str">
        <f>HYPERLINK("http://www.ensembl.org/Mus_musculus/Gene/Summary?db=core;g=ENSMUSG00000025137","ENSMUSG00000025137")</f>
        <v>ENSMUSG00000025137</v>
      </c>
      <c r="I5224" s="7" t="str">
        <f>HYPERLINK("http://www.informatics.jax.org/marker/MGI:1915921","MGI:1915921")</f>
        <v>MGI:1915921</v>
      </c>
      <c r="J5224" s="4" t="s">
        <v>12</v>
      </c>
    </row>
    <row r="5225" spans="1:10" x14ac:dyDescent="0.25">
      <c r="A5225" s="2">
        <v>201.962980340775</v>
      </c>
      <c r="B5225" s="3">
        <v>-0.41414121731867798</v>
      </c>
      <c r="C5225" s="5">
        <v>3.7972928484854602E-5</v>
      </c>
      <c r="D5225" s="4">
        <v>1.69407257282908E-4</v>
      </c>
      <c r="E5225" s="3" t="s">
        <v>4731</v>
      </c>
      <c r="F5225" s="3" t="s">
        <v>4732</v>
      </c>
      <c r="G5225" s="3">
        <v>233826</v>
      </c>
      <c r="H5225" s="7" t="str">
        <f>HYPERLINK("http://www.ensembl.org/Mus_musculus/Gene/Summary?db=core;g=ENSMUSG00000044702","ENSMUSG00000044702")</f>
        <v>ENSMUSG00000044702</v>
      </c>
      <c r="I5225" s="7" t="str">
        <f>HYPERLINK("http://www.informatics.jax.org/marker/MGI:3040695","MGI:3040695")</f>
        <v>MGI:3040695</v>
      </c>
      <c r="J5225" s="4" t="s">
        <v>12</v>
      </c>
    </row>
    <row r="5226" spans="1:10" x14ac:dyDescent="0.25">
      <c r="A5226" s="2">
        <v>208.90139492226501</v>
      </c>
      <c r="B5226" s="3">
        <v>-0.41420927932554602</v>
      </c>
      <c r="C5226" s="5">
        <v>7.8388180742899101E-6</v>
      </c>
      <c r="D5226" s="6">
        <v>3.8930510639809498E-5</v>
      </c>
      <c r="E5226" s="3" t="s">
        <v>6061</v>
      </c>
      <c r="F5226" s="3" t="s">
        <v>6062</v>
      </c>
      <c r="G5226" s="3">
        <v>170767</v>
      </c>
      <c r="H5226" s="7" t="str">
        <f>HYPERLINK("http://www.ensembl.org/Mus_musculus/Gene/Summary?db=core;g=ENSMUSG00000036615","ENSMUSG00000036615")</f>
        <v>ENSMUSG00000036615</v>
      </c>
      <c r="I5226" s="7" t="str">
        <f>HYPERLINK("http://www.informatics.jax.org/marker/MGI:2180854","MGI:2180854")</f>
        <v>MGI:2180854</v>
      </c>
      <c r="J5226" s="4" t="s">
        <v>12</v>
      </c>
    </row>
    <row r="5227" spans="1:10" x14ac:dyDescent="0.25">
      <c r="A5227" s="2">
        <v>242.97968041809801</v>
      </c>
      <c r="B5227" s="3">
        <v>-0.414492860025303</v>
      </c>
      <c r="C5227" s="5">
        <v>4.7511666810750904E-6</v>
      </c>
      <c r="D5227" s="6">
        <v>2.4391552890871399E-5</v>
      </c>
      <c r="E5227" s="3" t="s">
        <v>10282</v>
      </c>
      <c r="F5227" s="3" t="s">
        <v>10283</v>
      </c>
      <c r="G5227" s="3">
        <v>245865</v>
      </c>
      <c r="H5227" s="7" t="str">
        <f>HYPERLINK("http://www.ensembl.org/Mus_musculus/Gene/Summary?db=core;g=ENSMUSG00000038180","ENSMUSG00000038180")</f>
        <v>ENSMUSG00000038180</v>
      </c>
      <c r="I5227" s="7" t="str">
        <f>HYPERLINK("http://www.informatics.jax.org/marker/MGI:2444120","MGI:2444120")</f>
        <v>MGI:2444120</v>
      </c>
      <c r="J5227" s="4" t="s">
        <v>12</v>
      </c>
    </row>
    <row r="5228" spans="1:10" x14ac:dyDescent="0.25">
      <c r="A5228" s="2">
        <v>1188.8842202712899</v>
      </c>
      <c r="B5228" s="3">
        <v>-0.41453021260301998</v>
      </c>
      <c r="C5228" s="5">
        <v>1.13152097927915E-8</v>
      </c>
      <c r="D5228" s="6">
        <v>7.84105317390209E-8</v>
      </c>
      <c r="E5228" s="3" t="s">
        <v>2788</v>
      </c>
      <c r="F5228" s="3" t="s">
        <v>2789</v>
      </c>
      <c r="G5228" s="3">
        <v>20481</v>
      </c>
      <c r="H5228" s="7" t="str">
        <f>HYPERLINK("http://www.ensembl.org/Mus_musculus/Gene/Summary?db=core;g=ENSMUSG00000029050","ENSMUSG00000029050")</f>
        <v>ENSMUSG00000029050</v>
      </c>
      <c r="I5228" s="7" t="str">
        <f>HYPERLINK("http://www.informatics.jax.org/marker/MGI:98310","MGI:98310")</f>
        <v>MGI:98310</v>
      </c>
      <c r="J5228" s="4" t="s">
        <v>12</v>
      </c>
    </row>
    <row r="5229" spans="1:10" x14ac:dyDescent="0.25">
      <c r="A5229" s="2">
        <v>113.56960807721001</v>
      </c>
      <c r="B5229" s="3">
        <v>-0.41535327578675701</v>
      </c>
      <c r="C5229" s="3">
        <v>1.47213774812807E-4</v>
      </c>
      <c r="D5229" s="4">
        <v>5.9767677566572002E-4</v>
      </c>
      <c r="E5229" s="3" t="s">
        <v>8627</v>
      </c>
      <c r="F5229" s="3" t="s">
        <v>8628</v>
      </c>
      <c r="G5229" s="3">
        <v>56873</v>
      </c>
      <c r="H5229" s="7" t="str">
        <f>HYPERLINK("http://www.ensembl.org/Mus_musculus/Gene/Summary?db=core;g=ENSMUSG00000010721","ENSMUSG00000010721")</f>
        <v>ENSMUSG00000010721</v>
      </c>
      <c r="I5229" s="7" t="str">
        <f>HYPERLINK("http://www.informatics.jax.org/marker/MGI:1861746","MGI:1861746")</f>
        <v>MGI:1861746</v>
      </c>
      <c r="J5229" s="4" t="s">
        <v>12</v>
      </c>
    </row>
    <row r="5230" spans="1:10" x14ac:dyDescent="0.25">
      <c r="A5230" s="2">
        <v>200.60352289341699</v>
      </c>
      <c r="B5230" s="3">
        <v>-0.41551362831318001</v>
      </c>
      <c r="C5230" s="5">
        <v>7.4103533384505798E-5</v>
      </c>
      <c r="D5230" s="4">
        <v>3.1569352406092099E-4</v>
      </c>
      <c r="E5230" s="3" t="s">
        <v>9921</v>
      </c>
      <c r="F5230" s="3" t="s">
        <v>9922</v>
      </c>
      <c r="G5230" s="3">
        <v>21416</v>
      </c>
      <c r="H5230" s="7" t="str">
        <f>HYPERLINK("http://www.ensembl.org/Mus_musculus/Gene/Summary?db=core;g=ENSMUSG00000024985","ENSMUSG00000024985")</f>
        <v>ENSMUSG00000024985</v>
      </c>
      <c r="I5230" s="7" t="str">
        <f>HYPERLINK("http://www.informatics.jax.org/marker/MGI:1202879","MGI:1202879")</f>
        <v>MGI:1202879</v>
      </c>
      <c r="J5230" s="4" t="s">
        <v>12</v>
      </c>
    </row>
    <row r="5231" spans="1:10" x14ac:dyDescent="0.25">
      <c r="A5231" s="2">
        <v>58.464353275785001</v>
      </c>
      <c r="B5231" s="3">
        <v>-0.41552855134971201</v>
      </c>
      <c r="C5231" s="3">
        <v>1.2048598069099E-2</v>
      </c>
      <c r="D5231" s="4">
        <v>3.3110027112383797E-2</v>
      </c>
      <c r="E5231" s="3" t="s">
        <v>8457</v>
      </c>
      <c r="F5231" s="3" t="s">
        <v>8458</v>
      </c>
      <c r="G5231" s="3">
        <v>14760</v>
      </c>
      <c r="H5231" s="7" t="str">
        <f>HYPERLINK("http://www.ensembl.org/Mus_musculus/Gene/Summary?db=core;g=ENSMUSG00000032641","ENSMUSG00000032641")</f>
        <v>ENSMUSG00000032641</v>
      </c>
      <c r="I5231" s="7" t="str">
        <f>HYPERLINK("http://www.informatics.jax.org/marker/MGI:892973","MGI:892973")</f>
        <v>MGI:892973</v>
      </c>
      <c r="J5231" s="4" t="s">
        <v>12</v>
      </c>
    </row>
    <row r="5232" spans="1:10" x14ac:dyDescent="0.25">
      <c r="A5232" s="2">
        <v>1533.817877687</v>
      </c>
      <c r="B5232" s="3">
        <v>-0.41555775382715798</v>
      </c>
      <c r="C5232" s="3">
        <v>1.38661594044621E-3</v>
      </c>
      <c r="D5232" s="4">
        <v>4.7510952274172104E-3</v>
      </c>
      <c r="E5232" s="3" t="s">
        <v>9801</v>
      </c>
      <c r="F5232" s="3" t="s">
        <v>9802</v>
      </c>
      <c r="G5232" s="3">
        <v>279572</v>
      </c>
      <c r="H5232" s="7" t="str">
        <f>HYPERLINK("http://www.ensembl.org/Mus_musculus/Gene/Summary?db=core;g=ENSMUSG00000033777","ENSMUSG00000033777")</f>
        <v>ENSMUSG00000033777</v>
      </c>
      <c r="I5232" s="7" t="str">
        <f>HYPERLINK("http://www.informatics.jax.org/marker/MGI:3045213","MGI:3045213")</f>
        <v>MGI:3045213</v>
      </c>
      <c r="J5232" s="4" t="s">
        <v>12</v>
      </c>
    </row>
    <row r="5233" spans="1:10" x14ac:dyDescent="0.25">
      <c r="A5233" s="2">
        <v>319.55176814771102</v>
      </c>
      <c r="B5233" s="3">
        <v>-0.41564640562975802</v>
      </c>
      <c r="C5233" s="5">
        <v>1.6799889502286999E-5</v>
      </c>
      <c r="D5233" s="6">
        <v>7.9423602121707096E-5</v>
      </c>
      <c r="E5233" s="3" t="s">
        <v>9711</v>
      </c>
      <c r="F5233" s="3" t="s">
        <v>9712</v>
      </c>
      <c r="G5233" s="3">
        <v>70791</v>
      </c>
      <c r="H5233" s="7" t="str">
        <f>HYPERLINK("http://www.ensembl.org/Mus_musculus/Gene/Summary?db=core;g=ENSMUSG00000019143","ENSMUSG00000019143")</f>
        <v>ENSMUSG00000019143</v>
      </c>
      <c r="I5233" s="7" t="str">
        <f>HYPERLINK("http://www.informatics.jax.org/marker/MGI:1918041","MGI:1918041")</f>
        <v>MGI:1918041</v>
      </c>
      <c r="J5233" s="4" t="s">
        <v>12</v>
      </c>
    </row>
    <row r="5234" spans="1:10" x14ac:dyDescent="0.25">
      <c r="A5234" s="2">
        <v>150.57374580950699</v>
      </c>
      <c r="B5234" s="3">
        <v>-0.41567220469230598</v>
      </c>
      <c r="C5234" s="5">
        <v>5.2105902492456703E-6</v>
      </c>
      <c r="D5234" s="6">
        <v>2.65779477448929E-5</v>
      </c>
      <c r="E5234" s="3" t="s">
        <v>5215</v>
      </c>
      <c r="F5234" s="3" t="s">
        <v>5216</v>
      </c>
      <c r="G5234" s="3">
        <v>29871</v>
      </c>
      <c r="H5234" s="7" t="str">
        <f>HYPERLINK("http://www.ensembl.org/Mus_musculus/Gene/Summary?db=core;g=ENSMUSG00000000085","ENSMUSG00000000085")</f>
        <v>ENSMUSG00000000085</v>
      </c>
      <c r="I5234" s="7" t="str">
        <f>HYPERLINK("http://www.informatics.jax.org/marker/MGI:1352762","MGI:1352762")</f>
        <v>MGI:1352762</v>
      </c>
      <c r="J5234" s="4" t="s">
        <v>12</v>
      </c>
    </row>
    <row r="5235" spans="1:10" x14ac:dyDescent="0.25">
      <c r="A5235" s="2">
        <v>37.2282259104784</v>
      </c>
      <c r="B5235" s="3">
        <v>-0.41576447236368902</v>
      </c>
      <c r="C5235" s="3">
        <v>2.8808061786662301E-2</v>
      </c>
      <c r="D5235" s="4">
        <v>7.1055207208271798E-2</v>
      </c>
      <c r="E5235" s="3" t="s">
        <v>13583</v>
      </c>
      <c r="F5235" s="3" t="s">
        <v>13584</v>
      </c>
      <c r="G5235" s="3">
        <v>69234</v>
      </c>
      <c r="H5235" s="7" t="str">
        <f>HYPERLINK("http://www.ensembl.org/Mus_musculus/Gene/Summary?db=core;g=ENSMUSG00000045251","ENSMUSG00000045251")</f>
        <v>ENSMUSG00000045251</v>
      </c>
      <c r="I5235" s="7" t="str">
        <f>HYPERLINK("http://www.informatics.jax.org/marker/MGI:1916484","MGI:1916484")</f>
        <v>MGI:1916484</v>
      </c>
      <c r="J5235" s="4" t="s">
        <v>12</v>
      </c>
    </row>
    <row r="5236" spans="1:10" x14ac:dyDescent="0.25">
      <c r="A5236" s="2">
        <v>678.66622164872297</v>
      </c>
      <c r="B5236" s="3">
        <v>-0.41578345534564398</v>
      </c>
      <c r="C5236" s="5">
        <v>5.59952224500511E-9</v>
      </c>
      <c r="D5236" s="6">
        <v>4.0098739848808699E-8</v>
      </c>
      <c r="E5236" s="3" t="s">
        <v>7480</v>
      </c>
      <c r="F5236" s="3" t="s">
        <v>7481</v>
      </c>
      <c r="G5236" s="3">
        <v>208092</v>
      </c>
      <c r="H5236" s="7" t="str">
        <f>HYPERLINK("http://www.ensembl.org/Mus_musculus/Gene/Summary?db=core;g=ENSMUSG00000025371","ENSMUSG00000025371")</f>
        <v>ENSMUSG00000025371</v>
      </c>
      <c r="I5236" s="7" t="str">
        <f>HYPERLINK("http://www.informatics.jax.org/marker/MGI:3583942","MGI:3583942")</f>
        <v>MGI:3583942</v>
      </c>
      <c r="J5236" s="4" t="s">
        <v>12</v>
      </c>
    </row>
    <row r="5237" spans="1:10" x14ac:dyDescent="0.25">
      <c r="A5237" s="2">
        <v>120.47681175451</v>
      </c>
      <c r="B5237" s="3">
        <v>-0.41588173678308099</v>
      </c>
      <c r="C5237" s="3">
        <v>3.9667285359414302E-3</v>
      </c>
      <c r="D5237" s="4">
        <v>1.2224150755416399E-2</v>
      </c>
      <c r="E5237" s="3" t="s">
        <v>11627</v>
      </c>
      <c r="F5237" s="3" t="s">
        <v>11628</v>
      </c>
      <c r="G5237" s="3">
        <v>70315</v>
      </c>
      <c r="H5237" s="7" t="str">
        <f>HYPERLINK("http://www.ensembl.org/Mus_musculus/Gene/Summary?db=core;g=ENSMUSG00000067567","ENSMUSG00000067567")</f>
        <v>ENSMUSG00000067567</v>
      </c>
      <c r="I5237" s="7" t="str">
        <f>HYPERLINK("http://www.informatics.jax.org/marker/MGI:1917565","MGI:1917565")</f>
        <v>MGI:1917565</v>
      </c>
      <c r="J5237" s="4" t="s">
        <v>12</v>
      </c>
    </row>
    <row r="5238" spans="1:10" x14ac:dyDescent="0.25">
      <c r="A5238" s="2">
        <v>403.41603628035898</v>
      </c>
      <c r="B5238" s="3">
        <v>-0.41593161755269697</v>
      </c>
      <c r="C5238" s="5">
        <v>8.4417010339545994E-5</v>
      </c>
      <c r="D5238" s="4">
        <v>3.5671226836035799E-4</v>
      </c>
      <c r="E5238" s="3" t="s">
        <v>9777</v>
      </c>
      <c r="F5238" s="3" t="s">
        <v>9778</v>
      </c>
      <c r="G5238" s="3">
        <v>76123</v>
      </c>
      <c r="H5238" s="7" t="str">
        <f>HYPERLINK("http://www.ensembl.org/Mus_musculus/Gene/Summary?db=core;g=ENSMUSG00000027883","ENSMUSG00000027883")</f>
        <v>ENSMUSG00000027883</v>
      </c>
      <c r="I5238" s="7" t="str">
        <f>HYPERLINK("http://www.informatics.jax.org/marker/MGI:1923373","MGI:1923373")</f>
        <v>MGI:1923373</v>
      </c>
      <c r="J5238" s="4" t="s">
        <v>12</v>
      </c>
    </row>
    <row r="5239" spans="1:10" x14ac:dyDescent="0.25">
      <c r="A5239" s="2">
        <v>518.82637025203599</v>
      </c>
      <c r="B5239" s="3">
        <v>-0.416370347274647</v>
      </c>
      <c r="C5239" s="5">
        <v>6.29379937197916E-12</v>
      </c>
      <c r="D5239" s="6">
        <v>5.9370855876977306E-11</v>
      </c>
      <c r="E5239" s="3" t="s">
        <v>3554</v>
      </c>
      <c r="F5239" s="3" t="s">
        <v>3555</v>
      </c>
      <c r="G5239" s="3">
        <v>217666</v>
      </c>
      <c r="H5239" s="7" t="str">
        <f>HYPERLINK("http://www.ensembl.org/Mus_musculus/Gene/Summary?db=core;g=ENSMUSG00000020988","ENSMUSG00000020988")</f>
        <v>ENSMUSG00000020988</v>
      </c>
      <c r="I5239" s="7" t="str">
        <f>HYPERLINK("http://www.informatics.jax.org/marker/MGI:2384968","MGI:2384968")</f>
        <v>MGI:2384968</v>
      </c>
      <c r="J5239" s="4" t="s">
        <v>12</v>
      </c>
    </row>
    <row r="5240" spans="1:10" x14ac:dyDescent="0.25">
      <c r="A5240" s="2">
        <v>32.356557000814199</v>
      </c>
      <c r="B5240" s="3">
        <v>-0.41658891245865298</v>
      </c>
      <c r="C5240" s="3">
        <v>6.0703612574499799E-2</v>
      </c>
      <c r="D5240" s="4">
        <v>0.134295137068495</v>
      </c>
      <c r="E5240" s="3" t="s">
        <v>11829</v>
      </c>
      <c r="F5240" s="3" t="s">
        <v>11830</v>
      </c>
      <c r="G5240" s="3">
        <v>68618</v>
      </c>
      <c r="H5240" s="7" t="str">
        <f>HYPERLINK("http://www.ensembl.org/Mus_musculus/Gene/Summary?db=core;g=ENSMUSG00000045237","ENSMUSG00000045237")</f>
        <v>ENSMUSG00000045237</v>
      </c>
      <c r="I5240" s="7" t="str">
        <f>HYPERLINK("http://www.informatics.jax.org/marker/MGI:1915868","MGI:1915868")</f>
        <v>MGI:1915868</v>
      </c>
      <c r="J5240" s="4" t="s">
        <v>12</v>
      </c>
    </row>
    <row r="5241" spans="1:10" x14ac:dyDescent="0.25">
      <c r="A5241" s="2">
        <v>163.82707902600399</v>
      </c>
      <c r="B5241" s="3">
        <v>-0.41682615096123798</v>
      </c>
      <c r="C5241" s="3">
        <v>1.1000325740478E-2</v>
      </c>
      <c r="D5241" s="4">
        <v>3.05471486546109E-2</v>
      </c>
      <c r="E5241" s="3" t="s">
        <v>8989</v>
      </c>
      <c r="F5241" s="3" t="s">
        <v>8990</v>
      </c>
      <c r="G5241" s="3">
        <v>67168</v>
      </c>
      <c r="H5241" s="7" t="str">
        <f>HYPERLINK("http://www.ensembl.org/Mus_musculus/Gene/Summary?db=core;g=ENSMUSG00000033446","ENSMUSG00000033446")</f>
        <v>ENSMUSG00000033446</v>
      </c>
      <c r="I5241" s="7" t="str">
        <f>HYPERLINK("http://www.informatics.jax.org/marker/MGI:1914418","MGI:1914418")</f>
        <v>MGI:1914418</v>
      </c>
      <c r="J5241" s="4" t="s">
        <v>12</v>
      </c>
    </row>
    <row r="5242" spans="1:10" x14ac:dyDescent="0.25">
      <c r="A5242" s="2">
        <v>334.67490905343999</v>
      </c>
      <c r="B5242" s="3">
        <v>-0.41706576878208701</v>
      </c>
      <c r="C5242" s="5">
        <v>5.9971342576541E-5</v>
      </c>
      <c r="D5242" s="4">
        <v>2.59491386148495E-4</v>
      </c>
      <c r="E5242" s="3" t="s">
        <v>6926</v>
      </c>
      <c r="F5242" s="3" t="s">
        <v>6927</v>
      </c>
      <c r="G5242" s="3">
        <v>70461</v>
      </c>
      <c r="H5242" s="7" t="str">
        <f>HYPERLINK("http://www.ensembl.org/Mus_musculus/Gene/Summary?db=core;g=ENSMUSG00000030527","ENSMUSG00000030527")</f>
        <v>ENSMUSG00000030527</v>
      </c>
      <c r="I5242" s="7" t="str">
        <f>HYPERLINK("http://www.informatics.jax.org/marker/MGI:1917711","MGI:1917711")</f>
        <v>MGI:1917711</v>
      </c>
      <c r="J5242" s="4" t="s">
        <v>12</v>
      </c>
    </row>
    <row r="5243" spans="1:10" x14ac:dyDescent="0.25">
      <c r="A5243" s="2">
        <v>569.91860947054602</v>
      </c>
      <c r="B5243" s="3">
        <v>-0.41726036004173001</v>
      </c>
      <c r="C5243" s="5">
        <v>2.7741153555621598E-9</v>
      </c>
      <c r="D5243" s="6">
        <v>2.05772292857633E-8</v>
      </c>
      <c r="E5243" s="3" t="s">
        <v>8313</v>
      </c>
      <c r="F5243" s="3" t="s">
        <v>8314</v>
      </c>
      <c r="G5243" s="3">
        <v>22110</v>
      </c>
      <c r="H5243" s="7" t="str">
        <f>HYPERLINK("http://www.ensembl.org/Mus_musculus/Gene/Summary?db=core;g=ENSMUSG00000047514","ENSMUSG00000047514")</f>
        <v>ENSMUSG00000047514</v>
      </c>
      <c r="I5243" s="7" t="str">
        <f>HYPERLINK("http://www.informatics.jax.org/marker/MGI:1298395","MGI:1298395")</f>
        <v>MGI:1298395</v>
      </c>
      <c r="J5243" s="4" t="s">
        <v>12</v>
      </c>
    </row>
    <row r="5244" spans="1:10" x14ac:dyDescent="0.25">
      <c r="A5244" s="2">
        <v>729.55401136001205</v>
      </c>
      <c r="B5244" s="3">
        <v>-0.41732030858453001</v>
      </c>
      <c r="C5244" s="5">
        <v>1.5214101196617E-13</v>
      </c>
      <c r="D5244" s="6">
        <v>1.6310411429902701E-12</v>
      </c>
      <c r="E5244" s="3" t="s">
        <v>4629</v>
      </c>
      <c r="F5244" s="3" t="s">
        <v>4630</v>
      </c>
      <c r="G5244" s="3">
        <v>12418</v>
      </c>
      <c r="H5244" s="7" t="str">
        <f>HYPERLINK("http://www.ensembl.org/Mus_musculus/Gene/Summary?db=core;g=ENSMUSG00000039989","ENSMUSG00000039989")</f>
        <v>ENSMUSG00000039989</v>
      </c>
      <c r="I5244" s="7" t="str">
        <f>HYPERLINK("http://www.informatics.jax.org/marker/MGI:1195985","MGI:1195985")</f>
        <v>MGI:1195985</v>
      </c>
      <c r="J5244" s="4" t="s">
        <v>12</v>
      </c>
    </row>
    <row r="5245" spans="1:10" x14ac:dyDescent="0.25">
      <c r="A5245" s="2">
        <v>627.04743161884301</v>
      </c>
      <c r="B5245" s="3">
        <v>-0.41768293597234701</v>
      </c>
      <c r="C5245" s="5">
        <v>7.0428189215302399E-9</v>
      </c>
      <c r="D5245" s="6">
        <v>4.9924299822982701E-8</v>
      </c>
      <c r="E5245" s="3" t="s">
        <v>4691</v>
      </c>
      <c r="F5245" s="3" t="s">
        <v>4692</v>
      </c>
      <c r="G5245" s="3">
        <v>268417</v>
      </c>
      <c r="H5245" s="7" t="str">
        <f>HYPERLINK("http://www.ensembl.org/Mus_musculus/Gene/Summary?db=core;g=ENSMUSG00000020472","ENSMUSG00000020472")</f>
        <v>ENSMUSG00000020472</v>
      </c>
      <c r="I5245" s="7" t="str">
        <f>HYPERLINK("http://www.informatics.jax.org/marker/MGI:2679270","MGI:2679270")</f>
        <v>MGI:2679270</v>
      </c>
      <c r="J5245" s="4" t="s">
        <v>12</v>
      </c>
    </row>
    <row r="5246" spans="1:10" x14ac:dyDescent="0.25">
      <c r="A5246" s="2">
        <v>1188.39204051709</v>
      </c>
      <c r="B5246" s="3">
        <v>-0.417964639201027</v>
      </c>
      <c r="C5246" s="5">
        <v>2.03092557964058E-8</v>
      </c>
      <c r="D5246" s="6">
        <v>1.37138268577064E-7</v>
      </c>
      <c r="E5246" s="3" t="s">
        <v>3292</v>
      </c>
      <c r="F5246" s="3" t="s">
        <v>3293</v>
      </c>
      <c r="G5246" s="3">
        <v>18541</v>
      </c>
      <c r="H5246" s="7" t="str">
        <f>HYPERLINK("http://www.ensembl.org/Mus_musculus/Gene/Summary?db=core;g=ENSMUSG00000001151","ENSMUSG00000001151")</f>
        <v>ENSMUSG00000001151</v>
      </c>
      <c r="I5246" s="7" t="str">
        <f>HYPERLINK("http://www.informatics.jax.org/marker/MGI:102722","MGI:102722")</f>
        <v>MGI:102722</v>
      </c>
      <c r="J5246" s="4" t="s">
        <v>12</v>
      </c>
    </row>
    <row r="5247" spans="1:10" x14ac:dyDescent="0.25">
      <c r="A5247" s="2">
        <v>666.46248507082305</v>
      </c>
      <c r="B5247" s="3">
        <v>-0.41807554607715097</v>
      </c>
      <c r="C5247" s="5">
        <v>3.2849699276474999E-5</v>
      </c>
      <c r="D5247" s="4">
        <v>1.4840995768809E-4</v>
      </c>
      <c r="E5247" s="3" t="s">
        <v>5577</v>
      </c>
      <c r="F5247" s="3" t="s">
        <v>5578</v>
      </c>
      <c r="G5247" s="3">
        <v>18763</v>
      </c>
      <c r="H5247" s="7" t="str">
        <f>HYPERLINK("http://www.ensembl.org/Mus_musculus/Gene/Summary?db=core;g=ENSMUSG00000032855","ENSMUSG00000032855")</f>
        <v>ENSMUSG00000032855</v>
      </c>
      <c r="I5247" s="7" t="str">
        <f>HYPERLINK("http://www.informatics.jax.org/marker/MGI:97603","MGI:97603")</f>
        <v>MGI:97603</v>
      </c>
      <c r="J5247" s="4" t="s">
        <v>12</v>
      </c>
    </row>
    <row r="5248" spans="1:10" x14ac:dyDescent="0.25">
      <c r="A5248" s="2">
        <v>6.4392461731928297</v>
      </c>
      <c r="B5248" s="3">
        <v>-0.41867093747978201</v>
      </c>
      <c r="C5248" s="3">
        <v>0.29904285404104902</v>
      </c>
      <c r="D5248" s="4">
        <v>0.47288989283280902</v>
      </c>
      <c r="E5248" s="3" t="s">
        <v>13383</v>
      </c>
      <c r="F5248" s="3" t="s">
        <v>13384</v>
      </c>
      <c r="G5248" s="3" t="s">
        <v>83</v>
      </c>
      <c r="H5248" s="7" t="str">
        <f>HYPERLINK("http://www.ensembl.org/Mus_musculus/Gene/Summary?db=core;g=ENSMUSG00000097216","ENSMUSG00000097216")</f>
        <v>ENSMUSG00000097216</v>
      </c>
      <c r="I5248" s="7" t="str">
        <f>HYPERLINK("http://www.informatics.jax.org/marker/MGI:2441691","MGI:2441691")</f>
        <v>MGI:2441691</v>
      </c>
      <c r="J5248" s="4" t="s">
        <v>331</v>
      </c>
    </row>
    <row r="5249" spans="1:10" x14ac:dyDescent="0.25">
      <c r="A5249" s="2">
        <v>2378.7262133833201</v>
      </c>
      <c r="B5249" s="3">
        <v>-0.41890896533233102</v>
      </c>
      <c r="C5249" s="5">
        <v>1.1575830080459399E-8</v>
      </c>
      <c r="D5249" s="6">
        <v>8.0094724076071799E-8</v>
      </c>
      <c r="E5249" s="3" t="s">
        <v>2353</v>
      </c>
      <c r="F5249" s="3" t="s">
        <v>2354</v>
      </c>
      <c r="G5249" s="3">
        <v>107823</v>
      </c>
      <c r="H5249" s="7" t="str">
        <f>HYPERLINK("http://www.ensembl.org/Mus_musculus/Gene/Summary?db=core;g=ENSMUSG00000057406","ENSMUSG00000057406")</f>
        <v>ENSMUSG00000057406</v>
      </c>
      <c r="I5249" s="7" t="str">
        <f>HYPERLINK("http://www.informatics.jax.org/marker/MGI:1276574","MGI:1276574")</f>
        <v>MGI:1276574</v>
      </c>
      <c r="J5249" s="4" t="s">
        <v>12</v>
      </c>
    </row>
    <row r="5250" spans="1:10" x14ac:dyDescent="0.25">
      <c r="A5250" s="2">
        <v>436.50561162036303</v>
      </c>
      <c r="B5250" s="3">
        <v>-0.41957272039973098</v>
      </c>
      <c r="C5250" s="5">
        <v>2.8072491657720901E-8</v>
      </c>
      <c r="D5250" s="6">
        <v>1.8624723715397299E-7</v>
      </c>
      <c r="E5250" s="3" t="s">
        <v>4221</v>
      </c>
      <c r="F5250" s="3" t="s">
        <v>4222</v>
      </c>
      <c r="G5250" s="3">
        <v>23971</v>
      </c>
      <c r="H5250" s="7" t="str">
        <f>HYPERLINK("http://www.ensembl.org/Mus_musculus/Gene/Summary?db=core;g=ENSMUSG00000028032","ENSMUSG00000028032")</f>
        <v>ENSMUSG00000028032</v>
      </c>
      <c r="I5250" s="7" t="str">
        <f>HYPERLINK("http://www.informatics.jax.org/marker/MGI:1330587","MGI:1330587")</f>
        <v>MGI:1330587</v>
      </c>
      <c r="J5250" s="4" t="s">
        <v>12</v>
      </c>
    </row>
    <row r="5251" spans="1:10" x14ac:dyDescent="0.25">
      <c r="A5251" s="2">
        <v>185.057901465681</v>
      </c>
      <c r="B5251" s="3">
        <v>-0.419661634755015</v>
      </c>
      <c r="C5251" s="5">
        <v>3.8739246014155001E-5</v>
      </c>
      <c r="D5251" s="4">
        <v>1.7241093006299801E-4</v>
      </c>
      <c r="E5251" s="3" t="s">
        <v>14037</v>
      </c>
      <c r="F5251" s="3" t="s">
        <v>14038</v>
      </c>
      <c r="G5251" s="3">
        <v>320541</v>
      </c>
      <c r="H5251" s="7" t="str">
        <f>HYPERLINK("http://www.ensembl.org/Mus_musculus/Gene/Summary?db=core;g=ENSMUSG00000042202","ENSMUSG00000042202")</f>
        <v>ENSMUSG00000042202</v>
      </c>
      <c r="I5251" s="7" t="str">
        <f>HYPERLINK("http://www.informatics.jax.org/marker/MGI:2444240","MGI:2444240")</f>
        <v>MGI:2444240</v>
      </c>
      <c r="J5251" s="4" t="s">
        <v>12</v>
      </c>
    </row>
    <row r="5252" spans="1:10" x14ac:dyDescent="0.25">
      <c r="A5252" s="2">
        <v>397.81977698100701</v>
      </c>
      <c r="B5252" s="3">
        <v>-0.42060669118820898</v>
      </c>
      <c r="C5252" s="5">
        <v>2.5992971219843201E-5</v>
      </c>
      <c r="D5252" s="4">
        <v>1.1935548009111701E-4</v>
      </c>
      <c r="E5252" s="3" t="s">
        <v>13545</v>
      </c>
      <c r="F5252" s="3" t="s">
        <v>13546</v>
      </c>
      <c r="G5252" s="3">
        <v>70335</v>
      </c>
      <c r="H5252" s="7" t="str">
        <f>HYPERLINK("http://www.ensembl.org/Mus_musculus/Gene/Summary?db=core;g=ENSMUSG00000035504","ENSMUSG00000035504")</f>
        <v>ENSMUSG00000035504</v>
      </c>
      <c r="I5252" s="7" t="str">
        <f>HYPERLINK("http://www.informatics.jax.org/marker/MGI:1917585","MGI:1917585")</f>
        <v>MGI:1917585</v>
      </c>
      <c r="J5252" s="4" t="s">
        <v>12</v>
      </c>
    </row>
    <row r="5253" spans="1:10" x14ac:dyDescent="0.25">
      <c r="A5253" s="2">
        <v>596.53792164993195</v>
      </c>
      <c r="B5253" s="3">
        <v>-0.42080078370933</v>
      </c>
      <c r="C5253" s="5">
        <v>5.8433789147681E-5</v>
      </c>
      <c r="D5253" s="4">
        <v>2.5362129250214001E-4</v>
      </c>
      <c r="E5253" s="3" t="s">
        <v>4175</v>
      </c>
      <c r="F5253" s="3" t="s">
        <v>4176</v>
      </c>
      <c r="G5253" s="3">
        <v>233064</v>
      </c>
      <c r="H5253" s="7" t="str">
        <f>HYPERLINK("http://www.ensembl.org/Mus_musculus/Gene/Summary?db=core;g=ENSMUSG00000037020","ENSMUSG00000037020")</f>
        <v>ENSMUSG00000037020</v>
      </c>
      <c r="I5253" s="7" t="str">
        <f>HYPERLINK("http://www.informatics.jax.org/marker/MGI:1923696","MGI:1923696")</f>
        <v>MGI:1923696</v>
      </c>
      <c r="J5253" s="4" t="s">
        <v>12</v>
      </c>
    </row>
    <row r="5254" spans="1:10" x14ac:dyDescent="0.25">
      <c r="A5254" s="2">
        <v>249.96075208576201</v>
      </c>
      <c r="B5254" s="3">
        <v>-0.42115592078403402</v>
      </c>
      <c r="C5254" s="3">
        <v>8.1466705146358408E-3</v>
      </c>
      <c r="D5254" s="4">
        <v>2.3352165795727901E-2</v>
      </c>
      <c r="E5254" s="3" t="s">
        <v>12663</v>
      </c>
      <c r="F5254" s="3" t="s">
        <v>12664</v>
      </c>
      <c r="G5254" s="3">
        <v>66241</v>
      </c>
      <c r="H5254" s="7" t="str">
        <f>HYPERLINK("http://www.ensembl.org/Mus_musculus/Gene/Summary?db=core;g=ENSMUSG00000026411","ENSMUSG00000026411")</f>
        <v>ENSMUSG00000026411</v>
      </c>
      <c r="I5254" s="7" t="str">
        <f>HYPERLINK("http://www.informatics.jax.org/marker/MGI:1913491","MGI:1913491")</f>
        <v>MGI:1913491</v>
      </c>
      <c r="J5254" s="4" t="s">
        <v>12</v>
      </c>
    </row>
    <row r="5255" spans="1:10" x14ac:dyDescent="0.25">
      <c r="A5255" s="2">
        <v>689.13100690313104</v>
      </c>
      <c r="B5255" s="3">
        <v>-0.42120789061425901</v>
      </c>
      <c r="C5255" s="5">
        <v>8.93794536338794E-10</v>
      </c>
      <c r="D5255" s="6">
        <v>6.9821712065042999E-9</v>
      </c>
      <c r="E5255" s="3" t="s">
        <v>4151</v>
      </c>
      <c r="F5255" s="3" t="s">
        <v>4152</v>
      </c>
      <c r="G5255" s="3">
        <v>216169</v>
      </c>
      <c r="H5255" s="7" t="str">
        <f>HYPERLINK("http://www.ensembl.org/Mus_musculus/Gene/Summary?db=core;g=ENSMUSG00000003346","ENSMUSG00000003346")</f>
        <v>ENSMUSG00000003346</v>
      </c>
      <c r="I5255" s="7" t="str">
        <f>HYPERLINK("http://www.informatics.jax.org/marker/MGI:106388","MGI:106388")</f>
        <v>MGI:106388</v>
      </c>
      <c r="J5255" s="4" t="s">
        <v>12</v>
      </c>
    </row>
    <row r="5256" spans="1:10" x14ac:dyDescent="0.25">
      <c r="A5256" s="2">
        <v>95.202233362406005</v>
      </c>
      <c r="B5256" s="3">
        <v>-0.421837680031803</v>
      </c>
      <c r="C5256" s="3">
        <v>3.9681258849426501E-4</v>
      </c>
      <c r="D5256" s="4">
        <v>1.4966699969594299E-3</v>
      </c>
      <c r="E5256" s="3" t="s">
        <v>12037</v>
      </c>
      <c r="F5256" s="3" t="s">
        <v>12038</v>
      </c>
      <c r="G5256" s="3">
        <v>71474</v>
      </c>
      <c r="H5256" s="7" t="str">
        <f>HYPERLINK("http://www.ensembl.org/Mus_musculus/Gene/Summary?db=core;g=ENSMUSG00000036561","ENSMUSG00000036561")</f>
        <v>ENSMUSG00000036561</v>
      </c>
      <c r="I5256" s="7" t="str">
        <f>HYPERLINK("http://www.informatics.jax.org/marker/MGI:1918724","MGI:1918724")</f>
        <v>MGI:1918724</v>
      </c>
      <c r="J5256" s="4" t="s">
        <v>12</v>
      </c>
    </row>
    <row r="5257" spans="1:10" x14ac:dyDescent="0.25">
      <c r="A5257" s="2">
        <v>920.80071188567001</v>
      </c>
      <c r="B5257" s="3">
        <v>-0.42186007153720601</v>
      </c>
      <c r="C5257" s="5">
        <v>3.71327945775648E-6</v>
      </c>
      <c r="D5257" s="6">
        <v>1.9258542435290801E-5</v>
      </c>
      <c r="E5257" s="3" t="s">
        <v>9303</v>
      </c>
      <c r="F5257" s="3" t="s">
        <v>9304</v>
      </c>
      <c r="G5257" s="3">
        <v>78656</v>
      </c>
      <c r="H5257" s="7" t="str">
        <f>HYPERLINK("http://www.ensembl.org/Mus_musculus/Gene/Summary?db=core;g=ENSMUSG00000003778","ENSMUSG00000003778")</f>
        <v>ENSMUSG00000003778</v>
      </c>
      <c r="I5257" s="7" t="str">
        <f>HYPERLINK("http://www.informatics.jax.org/marker/MGI:1925906","MGI:1925906")</f>
        <v>MGI:1925906</v>
      </c>
      <c r="J5257" s="4" t="s">
        <v>12</v>
      </c>
    </row>
    <row r="5258" spans="1:10" x14ac:dyDescent="0.25">
      <c r="A5258" s="2">
        <v>1324.3933508586499</v>
      </c>
      <c r="B5258" s="3">
        <v>-0.421905350259968</v>
      </c>
      <c r="C5258" s="5">
        <v>4.3338897886650898E-7</v>
      </c>
      <c r="D5258" s="6">
        <v>2.5170535818489901E-6</v>
      </c>
      <c r="E5258" s="3" t="s">
        <v>4497</v>
      </c>
      <c r="F5258" s="3" t="s">
        <v>4498</v>
      </c>
      <c r="G5258" s="3">
        <v>215387</v>
      </c>
      <c r="H5258" s="7" t="str">
        <f>HYPERLINK("http://www.ensembl.org/Mus_musculus/Gene/Summary?db=core;g=ENSMUSG00000034906","ENSMUSG00000034906")</f>
        <v>ENSMUSG00000034906</v>
      </c>
      <c r="I5258" s="7" t="str">
        <f>HYPERLINK("http://www.informatics.jax.org/marker/MGI:2444777","MGI:2444777")</f>
        <v>MGI:2444777</v>
      </c>
      <c r="J5258" s="4" t="s">
        <v>12</v>
      </c>
    </row>
    <row r="5259" spans="1:10" x14ac:dyDescent="0.25">
      <c r="A5259" s="2">
        <v>424.09787119871697</v>
      </c>
      <c r="B5259" s="3">
        <v>-0.42204450366642599</v>
      </c>
      <c r="C5259" s="5">
        <v>3.59425434946112E-6</v>
      </c>
      <c r="D5259" s="6">
        <v>1.86731144580755E-5</v>
      </c>
      <c r="E5259" s="3" t="s">
        <v>10944</v>
      </c>
      <c r="F5259" s="3" t="s">
        <v>10945</v>
      </c>
      <c r="G5259" s="3">
        <v>66513</v>
      </c>
      <c r="H5259" s="7" t="str">
        <f>HYPERLINK("http://www.ensembl.org/Mus_musculus/Gene/Summary?db=core;g=ENSMUSG00000022414","ENSMUSG00000022414")</f>
        <v>ENSMUSG00000022414</v>
      </c>
      <c r="I5259" s="7" t="str">
        <f>HYPERLINK("http://www.informatics.jax.org/marker/MGI:1913763","MGI:1913763")</f>
        <v>MGI:1913763</v>
      </c>
      <c r="J5259" s="4" t="s">
        <v>12</v>
      </c>
    </row>
    <row r="5260" spans="1:10" x14ac:dyDescent="0.25">
      <c r="A5260" s="2">
        <v>507.29165145759703</v>
      </c>
      <c r="B5260" s="3">
        <v>-0.422140525823263</v>
      </c>
      <c r="C5260" s="5">
        <v>4.2824485600131601E-9</v>
      </c>
      <c r="D5260" s="6">
        <v>3.1194094726714503E-8</v>
      </c>
      <c r="E5260" s="3" t="s">
        <v>5845</v>
      </c>
      <c r="F5260" s="3" t="s">
        <v>5846</v>
      </c>
      <c r="G5260" s="3">
        <v>79044</v>
      </c>
      <c r="H5260" s="7" t="str">
        <f>HYPERLINK("http://www.ensembl.org/Mus_musculus/Gene/Summary?db=core;g=ENSMUSG00000038880","ENSMUSG00000038880")</f>
        <v>ENSMUSG00000038880</v>
      </c>
      <c r="I5260" s="7" t="str">
        <f>HYPERLINK("http://www.informatics.jax.org/marker/MGI:1930188","MGI:1930188")</f>
        <v>MGI:1930188</v>
      </c>
      <c r="J5260" s="4" t="s">
        <v>12</v>
      </c>
    </row>
    <row r="5261" spans="1:10" x14ac:dyDescent="0.25">
      <c r="A5261" s="2">
        <v>922.85563222909298</v>
      </c>
      <c r="B5261" s="3">
        <v>-0.422170547523401</v>
      </c>
      <c r="C5261" s="5">
        <v>4.3320208156014201E-7</v>
      </c>
      <c r="D5261" s="6">
        <v>2.5167701423122698E-6</v>
      </c>
      <c r="E5261" s="3" t="s">
        <v>2129</v>
      </c>
      <c r="F5261" s="3" t="s">
        <v>2130</v>
      </c>
      <c r="G5261" s="3">
        <v>110749</v>
      </c>
      <c r="H5261" s="7" t="str">
        <f>HYPERLINK("http://www.ensembl.org/Mus_musculus/Gene/Summary?db=core;g=ENSMUSG00000022945","ENSMUSG00000022945")</f>
        <v>ENSMUSG00000022945</v>
      </c>
      <c r="I5261" s="7" t="str">
        <f>HYPERLINK("http://www.informatics.jax.org/marker/MGI:1314881","MGI:1314881")</f>
        <v>MGI:1314881</v>
      </c>
      <c r="J5261" s="4" t="s">
        <v>12</v>
      </c>
    </row>
    <row r="5262" spans="1:10" x14ac:dyDescent="0.25">
      <c r="A5262" s="2">
        <v>323.35897538155399</v>
      </c>
      <c r="B5262" s="3">
        <v>-0.42224461278796999</v>
      </c>
      <c r="C5262" s="3">
        <v>8.0368419496994897E-4</v>
      </c>
      <c r="D5262" s="4">
        <v>2.8724294853093701E-3</v>
      </c>
      <c r="E5262" s="3" t="s">
        <v>13031</v>
      </c>
      <c r="F5262" s="3" t="s">
        <v>13032</v>
      </c>
      <c r="G5262" s="3">
        <v>217430</v>
      </c>
      <c r="H5262" s="7" t="str">
        <f>HYPERLINK("http://www.ensembl.org/Mus_musculus/Gene/Summary?db=core;g=ENSMUSG00000045679","ENSMUSG00000045679")</f>
        <v>ENSMUSG00000045679</v>
      </c>
      <c r="I5262" s="7" t="str">
        <f>HYPERLINK("http://www.informatics.jax.org/marker/MGI:2444067","MGI:2444067")</f>
        <v>MGI:2444067</v>
      </c>
      <c r="J5262" s="4" t="s">
        <v>12</v>
      </c>
    </row>
    <row r="5263" spans="1:10" x14ac:dyDescent="0.25">
      <c r="A5263" s="2">
        <v>86.793805769554794</v>
      </c>
      <c r="B5263" s="3">
        <v>-0.42241385697726502</v>
      </c>
      <c r="C5263" s="3">
        <v>2.1508555928404101E-3</v>
      </c>
      <c r="D5263" s="4">
        <v>7.0687677288486803E-3</v>
      </c>
      <c r="E5263" s="3" t="s">
        <v>10666</v>
      </c>
      <c r="F5263" s="3" t="s">
        <v>10667</v>
      </c>
      <c r="G5263" s="3">
        <v>226861</v>
      </c>
      <c r="H5263" s="7" t="str">
        <f>HYPERLINK("http://www.ensembl.org/Mus_musculus/Gene/Summary?db=core;g=ENSMUSG00000037375","ENSMUSG00000037375")</f>
        <v>ENSMUSG00000037375</v>
      </c>
      <c r="I5263" s="7" t="str">
        <f>HYPERLINK("http://www.informatics.jax.org/marker/MGI:2444681","MGI:2444681")</f>
        <v>MGI:2444681</v>
      </c>
      <c r="J5263" s="4" t="s">
        <v>12</v>
      </c>
    </row>
    <row r="5264" spans="1:10" x14ac:dyDescent="0.25">
      <c r="A5264" s="2">
        <v>1238.66195159924</v>
      </c>
      <c r="B5264" s="3">
        <v>-0.42270210252636398</v>
      </c>
      <c r="C5264" s="5">
        <v>3.45389060786124E-10</v>
      </c>
      <c r="D5264" s="6">
        <v>2.8151679932142698E-9</v>
      </c>
      <c r="E5264" s="3" t="s">
        <v>5199</v>
      </c>
      <c r="F5264" s="3" t="s">
        <v>5200</v>
      </c>
      <c r="G5264" s="3">
        <v>75302</v>
      </c>
      <c r="H5264" s="7" t="str">
        <f>HYPERLINK("http://www.ensembl.org/Mus_musculus/Gene/Summary?db=core;g=ENSMUSG00000037486","ENSMUSG00000037486")</f>
        <v>ENSMUSG00000037486</v>
      </c>
      <c r="I5264" s="7" t="str">
        <f>HYPERLINK("http://www.informatics.jax.org/marker/MGI:1922552","MGI:1922552")</f>
        <v>MGI:1922552</v>
      </c>
      <c r="J5264" s="4" t="s">
        <v>12</v>
      </c>
    </row>
    <row r="5265" spans="1:10" x14ac:dyDescent="0.25">
      <c r="A5265" s="2">
        <v>334.57320683594497</v>
      </c>
      <c r="B5265" s="3">
        <v>-0.42305974378623701</v>
      </c>
      <c r="C5265" s="5">
        <v>6.5519506635218594E-5</v>
      </c>
      <c r="D5265" s="4">
        <v>2.8155930403840097E-4</v>
      </c>
      <c r="E5265" s="3" t="s">
        <v>9617</v>
      </c>
      <c r="F5265" s="3" t="s">
        <v>9618</v>
      </c>
      <c r="G5265" s="3">
        <v>668212</v>
      </c>
      <c r="H5265" s="7" t="str">
        <f>HYPERLINK("http://www.ensembl.org/Mus_musculus/Gene/Summary?db=core;g=ENSMUSG00000020658","ENSMUSG00000020658")</f>
        <v>ENSMUSG00000020658</v>
      </c>
      <c r="I5265" s="7" t="str">
        <f>HYPERLINK("http://www.informatics.jax.org/marker/MGI:2444851","MGI:2444851")</f>
        <v>MGI:2444851</v>
      </c>
      <c r="J5265" s="4" t="s">
        <v>12</v>
      </c>
    </row>
    <row r="5266" spans="1:10" x14ac:dyDescent="0.25">
      <c r="A5266" s="2">
        <v>1705.5757199854099</v>
      </c>
      <c r="B5266" s="3">
        <v>-0.42338648155899999</v>
      </c>
      <c r="C5266" s="5">
        <v>1.1636358824008199E-15</v>
      </c>
      <c r="D5266" s="6">
        <v>1.4242621864845502E-14</v>
      </c>
      <c r="E5266" s="3" t="s">
        <v>1544</v>
      </c>
      <c r="F5266" s="3" t="s">
        <v>1545</v>
      </c>
      <c r="G5266" s="3">
        <v>68729</v>
      </c>
      <c r="H5266" s="7" t="str">
        <f>HYPERLINK("http://www.ensembl.org/Mus_musculus/Gene/Summary?db=core;g=ENSMUSG00000018548","ENSMUSG00000018548")</f>
        <v>ENSMUSG00000018548</v>
      </c>
      <c r="I5266" s="7" t="str">
        <f>HYPERLINK("http://www.informatics.jax.org/marker/MGI:2153072","MGI:2153072")</f>
        <v>MGI:2153072</v>
      </c>
      <c r="J5266" s="4" t="s">
        <v>12</v>
      </c>
    </row>
    <row r="5267" spans="1:10" x14ac:dyDescent="0.25">
      <c r="A5267" s="2">
        <v>51.156755481326201</v>
      </c>
      <c r="B5267" s="3">
        <v>-0.42341802633796999</v>
      </c>
      <c r="C5267" s="3">
        <v>1.6262884002029299E-2</v>
      </c>
      <c r="D5267" s="4">
        <v>4.3149084428153302E-2</v>
      </c>
      <c r="E5267" s="3" t="s">
        <v>10422</v>
      </c>
      <c r="F5267" s="3" t="s">
        <v>10423</v>
      </c>
      <c r="G5267" s="3">
        <v>67993</v>
      </c>
      <c r="H5267" s="7" t="str">
        <f>HYPERLINK("http://www.ensembl.org/Mus_musculus/Gene/Summary?db=core;g=ENSMUSG00000024228","ENSMUSG00000024228")</f>
        <v>ENSMUSG00000024228</v>
      </c>
      <c r="I5267" s="7" t="str">
        <f>HYPERLINK("http://www.informatics.jax.org/marker/MGI:1915243","MGI:1915243")</f>
        <v>MGI:1915243</v>
      </c>
      <c r="J5267" s="4" t="s">
        <v>12</v>
      </c>
    </row>
    <row r="5268" spans="1:10" x14ac:dyDescent="0.25">
      <c r="A5268" s="2">
        <v>369.46083263340603</v>
      </c>
      <c r="B5268" s="3">
        <v>-0.42359527361704702</v>
      </c>
      <c r="C5268" s="5">
        <v>3.0776806436590999E-8</v>
      </c>
      <c r="D5268" s="6">
        <v>2.03448421221208E-7</v>
      </c>
      <c r="E5268" s="3" t="s">
        <v>8471</v>
      </c>
      <c r="F5268" s="3" t="s">
        <v>8472</v>
      </c>
      <c r="G5268" s="3">
        <v>69024</v>
      </c>
      <c r="H5268" s="7" t="str">
        <f>HYPERLINK("http://www.ensembl.org/Mus_musculus/Gene/Summary?db=core;g=ENSMUSG00000024787","ENSMUSG00000024787")</f>
        <v>ENSMUSG00000024787</v>
      </c>
      <c r="I5268" s="7" t="str">
        <f>HYPERLINK("http://www.informatics.jax.org/marker/MGI:1916274","MGI:1916274")</f>
        <v>MGI:1916274</v>
      </c>
      <c r="J5268" s="4" t="s">
        <v>12</v>
      </c>
    </row>
    <row r="5269" spans="1:10" x14ac:dyDescent="0.25">
      <c r="A5269" s="2">
        <v>165.47892050988301</v>
      </c>
      <c r="B5269" s="3">
        <v>-0.42377250676648098</v>
      </c>
      <c r="C5269" s="5">
        <v>9.3443389947396794E-5</v>
      </c>
      <c r="D5269" s="4">
        <v>3.9285023801414201E-4</v>
      </c>
      <c r="E5269" s="3" t="s">
        <v>4895</v>
      </c>
      <c r="F5269" s="3" t="s">
        <v>4896</v>
      </c>
      <c r="G5269" s="3">
        <v>237211</v>
      </c>
      <c r="H5269" s="7" t="str">
        <f>HYPERLINK("http://www.ensembl.org/Mus_musculus/Gene/Summary?db=core;g=ENSMUSG00000047757","ENSMUSG00000047757")</f>
        <v>ENSMUSG00000047757</v>
      </c>
      <c r="I5269" s="7" t="str">
        <f>HYPERLINK("http://www.informatics.jax.org/marker/MGI:2448558","MGI:2448558")</f>
        <v>MGI:2448558</v>
      </c>
      <c r="J5269" s="4" t="s">
        <v>12</v>
      </c>
    </row>
    <row r="5270" spans="1:10" x14ac:dyDescent="0.25">
      <c r="A5270" s="2">
        <v>434.14717514634498</v>
      </c>
      <c r="B5270" s="3">
        <v>-0.42380328204027901</v>
      </c>
      <c r="C5270" s="5">
        <v>1.28845937624556E-6</v>
      </c>
      <c r="D5270" s="6">
        <v>7.0878877549276398E-6</v>
      </c>
      <c r="E5270" s="3" t="s">
        <v>4923</v>
      </c>
      <c r="F5270" s="3" t="s">
        <v>4924</v>
      </c>
      <c r="G5270" s="3">
        <v>72114</v>
      </c>
      <c r="H5270" s="7" t="str">
        <f>HYPERLINK("http://www.ensembl.org/Mus_musculus/Gene/Summary?db=core;g=ENSMUSG00000041995","ENSMUSG00000041995")</f>
        <v>ENSMUSG00000041995</v>
      </c>
      <c r="I5270" s="7" t="str">
        <f>HYPERLINK("http://www.informatics.jax.org/marker/MGI:1919364","MGI:1919364")</f>
        <v>MGI:1919364</v>
      </c>
      <c r="J5270" s="4" t="s">
        <v>12</v>
      </c>
    </row>
    <row r="5271" spans="1:10" x14ac:dyDescent="0.25">
      <c r="A5271" s="2">
        <v>465.324913259406</v>
      </c>
      <c r="B5271" s="3">
        <v>-0.42387461614085697</v>
      </c>
      <c r="C5271" s="5">
        <v>1.43135208396717E-9</v>
      </c>
      <c r="D5271" s="6">
        <v>1.0928526070507601E-8</v>
      </c>
      <c r="E5271" s="3" t="s">
        <v>3934</v>
      </c>
      <c r="F5271" s="3" t="s">
        <v>3935</v>
      </c>
      <c r="G5271" s="3">
        <v>76608</v>
      </c>
      <c r="H5271" s="7" t="str">
        <f>HYPERLINK("http://www.ensembl.org/Mus_musculus/Gene/Summary?db=core;g=ENSMUSG00000046861","ENSMUSG00000046861")</f>
        <v>ENSMUSG00000046861</v>
      </c>
      <c r="I5271" s="7" t="str">
        <f>HYPERLINK("http://www.informatics.jax.org/marker/MGI:1923858","MGI:1923858")</f>
        <v>MGI:1923858</v>
      </c>
      <c r="J5271" s="4" t="s">
        <v>12</v>
      </c>
    </row>
    <row r="5272" spans="1:10" x14ac:dyDescent="0.25">
      <c r="A5272" s="2">
        <v>544.09495549687097</v>
      </c>
      <c r="B5272" s="3">
        <v>-0.424361060176844</v>
      </c>
      <c r="C5272" s="3">
        <v>1.4030119049274301E-4</v>
      </c>
      <c r="D5272" s="4">
        <v>5.7139423390619999E-4</v>
      </c>
      <c r="E5272" s="3" t="s">
        <v>6253</v>
      </c>
      <c r="F5272" s="3" t="s">
        <v>6254</v>
      </c>
      <c r="G5272" s="3">
        <v>12704</v>
      </c>
      <c r="H5272" s="7" t="str">
        <f>HYPERLINK("http://www.ensembl.org/Mus_musculus/Gene/Summary?db=core;g=ENSMUSG00000029516","ENSMUSG00000029516")</f>
        <v>ENSMUSG00000029516</v>
      </c>
      <c r="I5272" s="7" t="str">
        <f>HYPERLINK("http://www.informatics.jax.org/marker/MGI:105313","MGI:105313")</f>
        <v>MGI:105313</v>
      </c>
      <c r="J5272" s="4" t="s">
        <v>12</v>
      </c>
    </row>
    <row r="5273" spans="1:10" x14ac:dyDescent="0.25">
      <c r="A5273" s="2">
        <v>412.89828675998302</v>
      </c>
      <c r="B5273" s="3">
        <v>-0.42461922527703699</v>
      </c>
      <c r="C5273" s="5">
        <v>9.12477823413236E-8</v>
      </c>
      <c r="D5273" s="6">
        <v>5.7403894828119595E-7</v>
      </c>
      <c r="E5273" s="3" t="s">
        <v>5339</v>
      </c>
      <c r="F5273" s="3" t="s">
        <v>5340</v>
      </c>
      <c r="G5273" s="3">
        <v>212111</v>
      </c>
      <c r="H5273" s="7" t="str">
        <f>HYPERLINK("http://www.ensembl.org/Mus_musculus/Gene/Summary?db=core;g=ENSMUSG00000025477","ENSMUSG00000025477")</f>
        <v>ENSMUSG00000025477</v>
      </c>
      <c r="I5273" s="7" t="str">
        <f>HYPERLINK("http://www.informatics.jax.org/marker/MGI:2686961","MGI:2686961")</f>
        <v>MGI:2686961</v>
      </c>
      <c r="J5273" s="4" t="s">
        <v>12</v>
      </c>
    </row>
    <row r="5274" spans="1:10" x14ac:dyDescent="0.25">
      <c r="A5274" s="2">
        <v>200.46475912665699</v>
      </c>
      <c r="B5274" s="3">
        <v>-0.42464454635743298</v>
      </c>
      <c r="C5274" s="3">
        <v>1.09007039366578E-4</v>
      </c>
      <c r="D5274" s="4">
        <v>4.5285007806151898E-4</v>
      </c>
      <c r="E5274" s="3" t="s">
        <v>9009</v>
      </c>
      <c r="F5274" s="3" t="s">
        <v>9010</v>
      </c>
      <c r="G5274" s="3">
        <v>69745</v>
      </c>
      <c r="H5274" s="7" t="str">
        <f>HYPERLINK("http://www.ensembl.org/Mus_musculus/Gene/Summary?db=core;g=ENSMUSG00000024854","ENSMUSG00000024854")</f>
        <v>ENSMUSG00000024854</v>
      </c>
      <c r="I5274" s="7" t="str">
        <f>HYPERLINK("http://www.informatics.jax.org/marker/MGI:1916995","MGI:1916995")</f>
        <v>MGI:1916995</v>
      </c>
      <c r="J5274" s="4" t="s">
        <v>12</v>
      </c>
    </row>
    <row r="5275" spans="1:10" x14ac:dyDescent="0.25">
      <c r="A5275" s="2">
        <v>1231.6614228235701</v>
      </c>
      <c r="B5275" s="3">
        <v>-0.42483924346066099</v>
      </c>
      <c r="C5275" s="3">
        <v>1.5463488962711699E-4</v>
      </c>
      <c r="D5275" s="4">
        <v>6.2571511177935205E-4</v>
      </c>
      <c r="E5275" s="3" t="s">
        <v>11133</v>
      </c>
      <c r="F5275" s="3" t="s">
        <v>11134</v>
      </c>
      <c r="G5275" s="3">
        <v>56374</v>
      </c>
      <c r="H5275" s="7" t="str">
        <f>HYPERLINK("http://www.ensembl.org/Mus_musculus/Gene/Summary?db=core;g=ENSMUSG00000028618","ENSMUSG00000028618")</f>
        <v>ENSMUSG00000028618</v>
      </c>
      <c r="I5275" s="7" t="str">
        <f>HYPERLINK("http://www.informatics.jax.org/marker/MGI:1929278","MGI:1929278")</f>
        <v>MGI:1929278</v>
      </c>
      <c r="J5275" s="4" t="s">
        <v>12</v>
      </c>
    </row>
    <row r="5276" spans="1:10" x14ac:dyDescent="0.25">
      <c r="A5276" s="2">
        <v>965.037558120536</v>
      </c>
      <c r="B5276" s="3">
        <v>-0.424914868783696</v>
      </c>
      <c r="C5276" s="5">
        <v>4.8780556241647097E-6</v>
      </c>
      <c r="D5276" s="6">
        <v>2.49796470217482E-5</v>
      </c>
      <c r="E5276" s="3" t="s">
        <v>6299</v>
      </c>
      <c r="F5276" s="3" t="s">
        <v>6300</v>
      </c>
      <c r="G5276" s="3">
        <v>20933</v>
      </c>
      <c r="H5276" s="7" t="str">
        <f>HYPERLINK("http://www.ensembl.org/Mus_musculus/Gene/Summary?db=core;g=ENSMUSG00000015776","ENSMUSG00000015776")</f>
        <v>ENSMUSG00000015776</v>
      </c>
      <c r="I5276" s="7" t="str">
        <f>HYPERLINK("http://www.informatics.jax.org/marker/MGI:98446","MGI:98446")</f>
        <v>MGI:98446</v>
      </c>
      <c r="J5276" s="4" t="s">
        <v>12</v>
      </c>
    </row>
    <row r="5277" spans="1:10" x14ac:dyDescent="0.25">
      <c r="A5277" s="2">
        <v>592.20362504430398</v>
      </c>
      <c r="B5277" s="3">
        <v>-0.425278270816635</v>
      </c>
      <c r="C5277" s="5">
        <v>3.6128429166019301E-7</v>
      </c>
      <c r="D5277" s="6">
        <v>2.1267461936392198E-6</v>
      </c>
      <c r="E5277" s="3" t="s">
        <v>3458</v>
      </c>
      <c r="F5277" s="3" t="s">
        <v>3459</v>
      </c>
      <c r="G5277" s="3">
        <v>66193</v>
      </c>
      <c r="H5277" s="7" t="str">
        <f>HYPERLINK("http://www.ensembl.org/Mus_musculus/Gene/Summary?db=core;g=ENSMUSG00000028669","ENSMUSG00000028669")</f>
        <v>ENSMUSG00000028669</v>
      </c>
      <c r="I5277" s="7" t="str">
        <f>HYPERLINK("http://www.informatics.jax.org/marker/MGI:1913443","MGI:1913443")</f>
        <v>MGI:1913443</v>
      </c>
      <c r="J5277" s="4" t="s">
        <v>12</v>
      </c>
    </row>
    <row r="5278" spans="1:10" x14ac:dyDescent="0.25">
      <c r="A5278" s="2">
        <v>1069.6092341427</v>
      </c>
      <c r="B5278" s="3">
        <v>-0.42529728194791899</v>
      </c>
      <c r="C5278" s="5">
        <v>9.7960437383204199E-8</v>
      </c>
      <c r="D5278" s="6">
        <v>6.1414825294423695E-7</v>
      </c>
      <c r="E5278" s="3" t="s">
        <v>7222</v>
      </c>
      <c r="F5278" s="3" t="s">
        <v>7223</v>
      </c>
      <c r="G5278" s="3">
        <v>71041</v>
      </c>
      <c r="H5278" s="7" t="str">
        <f>HYPERLINK("http://www.ensembl.org/Mus_musculus/Gene/Summary?db=core;g=ENSMUSG00000025050","ENSMUSG00000025050")</f>
        <v>ENSMUSG00000025050</v>
      </c>
      <c r="I5278" s="7" t="str">
        <f>HYPERLINK("http://www.informatics.jax.org/marker/MGI:1918291","MGI:1918291")</f>
        <v>MGI:1918291</v>
      </c>
      <c r="J5278" s="4" t="s">
        <v>12</v>
      </c>
    </row>
    <row r="5279" spans="1:10" x14ac:dyDescent="0.25">
      <c r="A5279" s="2">
        <v>127.572540596333</v>
      </c>
      <c r="B5279" s="3">
        <v>-0.42585370634004399</v>
      </c>
      <c r="C5279" s="3">
        <v>3.32919461632855E-3</v>
      </c>
      <c r="D5279" s="4">
        <v>1.04521226326594E-2</v>
      </c>
      <c r="E5279" s="3" t="s">
        <v>12921</v>
      </c>
      <c r="F5279" s="3" t="s">
        <v>12922</v>
      </c>
      <c r="G5279" s="3">
        <v>94282</v>
      </c>
      <c r="H5279" s="7" t="str">
        <f>HYPERLINK("http://www.ensembl.org/Mus_musculus/Gene/Summary?db=core;g=ENSMUSG00000033720","ENSMUSG00000033720")</f>
        <v>ENSMUSG00000033720</v>
      </c>
      <c r="I5279" s="7" t="str">
        <f>HYPERLINK("http://www.informatics.jax.org/marker/MGI:2137681","MGI:2137681")</f>
        <v>MGI:2137681</v>
      </c>
      <c r="J5279" s="4" t="s">
        <v>12</v>
      </c>
    </row>
    <row r="5280" spans="1:10" x14ac:dyDescent="0.25">
      <c r="A5280" s="2">
        <v>419.36507143516002</v>
      </c>
      <c r="B5280" s="3">
        <v>-0.42608587908810402</v>
      </c>
      <c r="C5280" s="3">
        <v>1.74083483687584E-4</v>
      </c>
      <c r="D5280" s="4">
        <v>6.9821115541509997E-4</v>
      </c>
      <c r="E5280" s="3" t="s">
        <v>3698</v>
      </c>
      <c r="F5280" s="3" t="s">
        <v>3699</v>
      </c>
      <c r="G5280" s="3">
        <v>235086</v>
      </c>
      <c r="H5280" s="7" t="str">
        <f>HYPERLINK("http://www.ensembl.org/Mus_musculus/Gene/Summary?db=core;g=ENSMUSG00000034275","ENSMUSG00000034275")</f>
        <v>ENSMUSG00000034275</v>
      </c>
      <c r="I5280" s="7" t="str">
        <f>HYPERLINK("http://www.informatics.jax.org/marker/MGI:2685354","MGI:2685354")</f>
        <v>MGI:2685354</v>
      </c>
      <c r="J5280" s="4" t="s">
        <v>12</v>
      </c>
    </row>
    <row r="5281" spans="1:10" x14ac:dyDescent="0.25">
      <c r="A5281" s="2">
        <v>90.185658123437406</v>
      </c>
      <c r="B5281" s="3">
        <v>-0.42650650473064899</v>
      </c>
      <c r="C5281" s="3">
        <v>2.9323309073884299E-3</v>
      </c>
      <c r="D5281" s="4">
        <v>9.3201483758552708E-3</v>
      </c>
      <c r="E5281" s="3" t="s">
        <v>12173</v>
      </c>
      <c r="F5281" s="3" t="s">
        <v>12174</v>
      </c>
      <c r="G5281" s="3">
        <v>225289</v>
      </c>
      <c r="H5281" s="7" t="str">
        <f>HYPERLINK("http://www.ensembl.org/Mus_musculus/Gene/Summary?db=core;g=ENSMUSG00000033632","ENSMUSG00000033632")</f>
        <v>ENSMUSG00000033632</v>
      </c>
      <c r="I5281" s="7" t="str">
        <f>HYPERLINK("http://www.informatics.jax.org/marker/MGI:2147376","MGI:2147376")</f>
        <v>MGI:2147376</v>
      </c>
      <c r="J5281" s="4" t="s">
        <v>12</v>
      </c>
    </row>
    <row r="5282" spans="1:10" x14ac:dyDescent="0.25">
      <c r="A5282" s="2">
        <v>144.46910388121</v>
      </c>
      <c r="B5282" s="3">
        <v>-0.42697970055129397</v>
      </c>
      <c r="C5282" s="3">
        <v>1.5370227729600999E-4</v>
      </c>
      <c r="D5282" s="4">
        <v>6.2249422304884005E-4</v>
      </c>
      <c r="E5282" s="3" t="s">
        <v>9719</v>
      </c>
      <c r="F5282" s="3" t="s">
        <v>9720</v>
      </c>
      <c r="G5282" s="3">
        <v>171429</v>
      </c>
      <c r="H5282" s="7" t="str">
        <f>HYPERLINK("http://www.ensembl.org/Mus_musculus/Gene/Summary?db=core;g=ENSMUSG00000023259","ENSMUSG00000023259")</f>
        <v>ENSMUSG00000023259</v>
      </c>
      <c r="I5282" s="7" t="str">
        <f>HYPERLINK("http://www.informatics.jax.org/marker/MGI:2159728","MGI:2159728")</f>
        <v>MGI:2159728</v>
      </c>
      <c r="J5282" s="4" t="s">
        <v>12</v>
      </c>
    </row>
    <row r="5283" spans="1:10" x14ac:dyDescent="0.25">
      <c r="A5283" s="2">
        <v>161.08340399481401</v>
      </c>
      <c r="B5283" s="3">
        <v>-0.42723151475489801</v>
      </c>
      <c r="C5283" s="3">
        <v>3.3396714415998599E-4</v>
      </c>
      <c r="D5283" s="4">
        <v>1.2746704088619401E-3</v>
      </c>
      <c r="E5283" s="3" t="s">
        <v>8273</v>
      </c>
      <c r="F5283" s="3" t="s">
        <v>8274</v>
      </c>
      <c r="G5283" s="3">
        <v>70681</v>
      </c>
      <c r="H5283" s="7" t="str">
        <f>HYPERLINK("http://www.ensembl.org/Mus_musculus/Gene/Summary?db=core;g=ENSMUSG00000035234","ENSMUSG00000035234")</f>
        <v>ENSMUSG00000035234</v>
      </c>
      <c r="I5283" s="7" t="str">
        <f>HYPERLINK("http://www.informatics.jax.org/marker/MGI:1917931","MGI:1917931")</f>
        <v>MGI:1917931</v>
      </c>
      <c r="J5283" s="4" t="s">
        <v>12</v>
      </c>
    </row>
    <row r="5284" spans="1:10" x14ac:dyDescent="0.25">
      <c r="A5284" s="2">
        <v>293.50070824121298</v>
      </c>
      <c r="B5284" s="3">
        <v>-0.42728735364216602</v>
      </c>
      <c r="C5284" s="5">
        <v>1.71458346914217E-6</v>
      </c>
      <c r="D5284" s="6">
        <v>9.2724877522599495E-6</v>
      </c>
      <c r="E5284" s="3" t="s">
        <v>9505</v>
      </c>
      <c r="F5284" s="3" t="s">
        <v>9506</v>
      </c>
      <c r="G5284" s="3">
        <v>14055</v>
      </c>
      <c r="H5284" s="7" t="str">
        <f>HYPERLINK("http://www.ensembl.org/Mus_musculus/Gene/Summary?db=core;g=ENSMUSG00000006920","ENSMUSG00000006920")</f>
        <v>ENSMUSG00000006920</v>
      </c>
      <c r="I5284" s="7" t="str">
        <f>HYPERLINK("http://www.informatics.jax.org/marker/MGI:1097695","MGI:1097695")</f>
        <v>MGI:1097695</v>
      </c>
      <c r="J5284" s="4" t="s">
        <v>12</v>
      </c>
    </row>
    <row r="5285" spans="1:10" x14ac:dyDescent="0.25">
      <c r="A5285" s="2">
        <v>496.654520326024</v>
      </c>
      <c r="B5285" s="3">
        <v>-0.42746121823794903</v>
      </c>
      <c r="C5285" s="5">
        <v>1.9491976458670201E-5</v>
      </c>
      <c r="D5285" s="6">
        <v>9.1298193513046806E-5</v>
      </c>
      <c r="E5285" s="3" t="s">
        <v>5269</v>
      </c>
      <c r="F5285" s="3" t="s">
        <v>5270</v>
      </c>
      <c r="G5285" s="3">
        <v>208727</v>
      </c>
      <c r="H5285" s="7" t="str">
        <f>HYPERLINK("http://www.ensembl.org/Mus_musculus/Gene/Summary?db=core;g=ENSMUSG00000026313","ENSMUSG00000026313")</f>
        <v>ENSMUSG00000026313</v>
      </c>
      <c r="I5285" s="7" t="str">
        <f>HYPERLINK("http://www.informatics.jax.org/marker/MGI:3036234","MGI:3036234")</f>
        <v>MGI:3036234</v>
      </c>
      <c r="J5285" s="4" t="s">
        <v>12</v>
      </c>
    </row>
    <row r="5286" spans="1:10" x14ac:dyDescent="0.25">
      <c r="A5286" s="2">
        <v>772.34821594573395</v>
      </c>
      <c r="B5286" s="3">
        <v>-0.42767131575108203</v>
      </c>
      <c r="C5286" s="5">
        <v>1.39126374050317E-14</v>
      </c>
      <c r="D5286" s="6">
        <v>1.5947032497276899E-13</v>
      </c>
      <c r="E5286" s="3" t="s">
        <v>6279</v>
      </c>
      <c r="F5286" s="3" t="s">
        <v>6280</v>
      </c>
      <c r="G5286" s="3">
        <v>50755</v>
      </c>
      <c r="H5286" s="7" t="str">
        <f>HYPERLINK("http://www.ensembl.org/Mus_musculus/Gene/Summary?db=core;g=ENSMUSG00000058594","ENSMUSG00000058594")</f>
        <v>ENSMUSG00000058594</v>
      </c>
      <c r="I5286" s="7" t="str">
        <f>HYPERLINK("http://www.informatics.jax.org/marker/MGI:1354699","MGI:1354699")</f>
        <v>MGI:1354699</v>
      </c>
      <c r="J5286" s="4" t="s">
        <v>12</v>
      </c>
    </row>
    <row r="5287" spans="1:10" x14ac:dyDescent="0.25">
      <c r="A5287" s="2">
        <v>581.69111512189795</v>
      </c>
      <c r="B5287" s="3">
        <v>-0.428104696774956</v>
      </c>
      <c r="C5287" s="5">
        <v>1.2186681469662E-9</v>
      </c>
      <c r="D5287" s="6">
        <v>9.3595562488238293E-9</v>
      </c>
      <c r="E5287" s="3" t="s">
        <v>5991</v>
      </c>
      <c r="F5287" s="3" t="s">
        <v>5992</v>
      </c>
      <c r="G5287" s="3">
        <v>224938</v>
      </c>
      <c r="H5287" s="7" t="str">
        <f>HYPERLINK("http://www.ensembl.org/Mus_musculus/Gene/Summary?db=core;g=ENSMUSG00000024083","ENSMUSG00000024083")</f>
        <v>ENSMUSG00000024083</v>
      </c>
      <c r="I5287" s="7" t="str">
        <f>HYPERLINK("http://www.informatics.jax.org/marker/MGI:2159342","MGI:2159342")</f>
        <v>MGI:2159342</v>
      </c>
      <c r="J5287" s="4" t="s">
        <v>12</v>
      </c>
    </row>
    <row r="5288" spans="1:10" x14ac:dyDescent="0.25">
      <c r="A5288" s="2">
        <v>905.85138420429996</v>
      </c>
      <c r="B5288" s="3">
        <v>-0.42817725270646501</v>
      </c>
      <c r="C5288" s="5">
        <v>8.1017697433092699E-14</v>
      </c>
      <c r="D5288" s="6">
        <v>8.8363108062125303E-13</v>
      </c>
      <c r="E5288" s="3" t="s">
        <v>3010</v>
      </c>
      <c r="F5288" s="3" t="s">
        <v>3011</v>
      </c>
      <c r="G5288" s="3">
        <v>66616</v>
      </c>
      <c r="H5288" s="7" t="str">
        <f>HYPERLINK("http://www.ensembl.org/Mus_musculus/Gene/Summary?db=core;g=ENSMUSG00000002365","ENSMUSG00000002365")</f>
        <v>ENSMUSG00000002365</v>
      </c>
      <c r="I5288" s="7" t="str">
        <f>HYPERLINK("http://www.informatics.jax.org/marker/MGI:1913866","MGI:1913866")</f>
        <v>MGI:1913866</v>
      </c>
      <c r="J5288" s="4" t="s">
        <v>12</v>
      </c>
    </row>
    <row r="5289" spans="1:10" x14ac:dyDescent="0.25">
      <c r="A5289" s="2">
        <v>2183.15423710508</v>
      </c>
      <c r="B5289" s="3">
        <v>-0.42842372046342098</v>
      </c>
      <c r="C5289" s="5">
        <v>7.2493042350825405E-13</v>
      </c>
      <c r="D5289" s="6">
        <v>7.4432997005284107E-12</v>
      </c>
      <c r="E5289" s="3" t="s">
        <v>5173</v>
      </c>
      <c r="F5289" s="3" t="s">
        <v>5174</v>
      </c>
      <c r="G5289" s="3">
        <v>68097</v>
      </c>
      <c r="H5289" s="7" t="str">
        <f>HYPERLINK("http://www.ensembl.org/Mus_musculus/Gene/Summary?db=core;g=ENSMUSG00000020483","ENSMUSG00000020483")</f>
        <v>ENSMUSG00000020483</v>
      </c>
      <c r="I5289" s="7" t="str">
        <f>HYPERLINK("http://www.informatics.jax.org/marker/MGI:1915347","MGI:1915347")</f>
        <v>MGI:1915347</v>
      </c>
      <c r="J5289" s="4" t="s">
        <v>12</v>
      </c>
    </row>
    <row r="5290" spans="1:10" x14ac:dyDescent="0.25">
      <c r="A5290" s="2">
        <v>2184.1660494136099</v>
      </c>
      <c r="B5290" s="3">
        <v>-0.42898596834807001</v>
      </c>
      <c r="C5290" s="5">
        <v>2.2056202350646502E-22</v>
      </c>
      <c r="D5290" s="6">
        <v>3.9026629887430402E-21</v>
      </c>
      <c r="E5290" s="3" t="s">
        <v>2201</v>
      </c>
      <c r="F5290" s="3" t="s">
        <v>2202</v>
      </c>
      <c r="G5290" s="3">
        <v>26936</v>
      </c>
      <c r="H5290" s="7" t="str">
        <f>HYPERLINK("http://www.ensembl.org/Mus_musculus/Gene/Summary?db=core;g=ENSMUSG00000005417","ENSMUSG00000005417")</f>
        <v>ENSMUSG00000005417</v>
      </c>
      <c r="I5290" s="7" t="str">
        <f>HYPERLINK("http://www.informatics.jax.org/marker/MGI:1349438","MGI:1349438")</f>
        <v>MGI:1349438</v>
      </c>
      <c r="J5290" s="4" t="s">
        <v>12</v>
      </c>
    </row>
    <row r="5291" spans="1:10" x14ac:dyDescent="0.25">
      <c r="A5291" s="2">
        <v>1571.8627011881699</v>
      </c>
      <c r="B5291" s="3">
        <v>-0.42927269748129598</v>
      </c>
      <c r="C5291" s="3">
        <v>2.4649088264832599E-4</v>
      </c>
      <c r="D5291" s="4">
        <v>9.6194782361150701E-4</v>
      </c>
      <c r="E5291" s="3" t="s">
        <v>11703</v>
      </c>
      <c r="F5291" s="3" t="s">
        <v>11704</v>
      </c>
      <c r="G5291" s="3">
        <v>14260</v>
      </c>
      <c r="H5291" s="7" t="str">
        <f>HYPERLINK("http://www.ensembl.org/Mus_musculus/Gene/Summary?db=core;g=ENSMUSG00000044042","ENSMUSG00000044042")</f>
        <v>ENSMUSG00000044042</v>
      </c>
      <c r="I5291" s="7" t="str">
        <f>HYPERLINK("http://www.informatics.jax.org/marker/MGI:101815","MGI:101815")</f>
        <v>MGI:101815</v>
      </c>
      <c r="J5291" s="4" t="s">
        <v>12</v>
      </c>
    </row>
    <row r="5292" spans="1:10" x14ac:dyDescent="0.25">
      <c r="A5292" s="2">
        <v>623.96709240277198</v>
      </c>
      <c r="B5292" s="3">
        <v>-0.42960431931019299</v>
      </c>
      <c r="C5292" s="5">
        <v>1.76994491998684E-12</v>
      </c>
      <c r="D5292" s="6">
        <v>1.75597420613827E-11</v>
      </c>
      <c r="E5292" s="3" t="s">
        <v>4405</v>
      </c>
      <c r="F5292" s="3" t="s">
        <v>4406</v>
      </c>
      <c r="G5292" s="3">
        <v>212139</v>
      </c>
      <c r="H5292" s="7" t="str">
        <f>HYPERLINK("http://www.ensembl.org/Mus_musculus/Gene/Summary?db=core;g=ENSMUSG00000036686","ENSMUSG00000036686")</f>
        <v>ENSMUSG00000036686</v>
      </c>
      <c r="I5292" s="7" t="str">
        <f>HYPERLINK("http://www.informatics.jax.org/marker/MGI:2384831","MGI:2384831")</f>
        <v>MGI:2384831</v>
      </c>
      <c r="J5292" s="4" t="s">
        <v>12</v>
      </c>
    </row>
    <row r="5293" spans="1:10" x14ac:dyDescent="0.25">
      <c r="A5293" s="2">
        <v>438.38752361594402</v>
      </c>
      <c r="B5293" s="3">
        <v>-0.42960668841986399</v>
      </c>
      <c r="C5293" s="5">
        <v>8.7128093186999706E-8</v>
      </c>
      <c r="D5293" s="6">
        <v>5.4887988189874496E-7</v>
      </c>
      <c r="E5293" s="3" t="s">
        <v>6405</v>
      </c>
      <c r="F5293" s="3" t="s">
        <v>6406</v>
      </c>
      <c r="G5293" s="3">
        <v>21885</v>
      </c>
      <c r="H5293" s="7" t="str">
        <f>HYPERLINK("http://www.ensembl.org/Mus_musculus/Gene/Summary?db=core;g=ENSMUSG00000008305","ENSMUSG00000008305")</f>
        <v>ENSMUSG00000008305</v>
      </c>
      <c r="I5293" s="7" t="str">
        <f>HYPERLINK("http://www.informatics.jax.org/marker/MGI:104636","MGI:104636")</f>
        <v>MGI:104636</v>
      </c>
      <c r="J5293" s="4" t="s">
        <v>12</v>
      </c>
    </row>
    <row r="5294" spans="1:10" x14ac:dyDescent="0.25">
      <c r="A5294" s="2">
        <v>375.81828260568199</v>
      </c>
      <c r="B5294" s="3">
        <v>-0.42967204603037001</v>
      </c>
      <c r="C5294" s="5">
        <v>1.1266327757482499E-5</v>
      </c>
      <c r="D5294" s="6">
        <v>5.4681444308953101E-5</v>
      </c>
      <c r="E5294" s="3" t="s">
        <v>8611</v>
      </c>
      <c r="F5294" s="3" t="s">
        <v>8612</v>
      </c>
      <c r="G5294" s="3">
        <v>170749</v>
      </c>
      <c r="H5294" s="7" t="str">
        <f>HYPERLINK("http://www.ensembl.org/Mus_musculus/Gene/Summary?db=core;g=ENSMUSG00000018401","ENSMUSG00000018401")</f>
        <v>ENSMUSG00000018401</v>
      </c>
      <c r="I5294" s="7" t="str">
        <f>HYPERLINK("http://www.informatics.jax.org/marker/MGI:2180699","MGI:2180699")</f>
        <v>MGI:2180699</v>
      </c>
      <c r="J5294" s="4" t="s">
        <v>12</v>
      </c>
    </row>
    <row r="5295" spans="1:10" x14ac:dyDescent="0.25">
      <c r="A5295" s="2">
        <v>477.45842436499299</v>
      </c>
      <c r="B5295" s="3">
        <v>-0.42980207445146701</v>
      </c>
      <c r="C5295" s="5">
        <v>8.6144428036519506E-8</v>
      </c>
      <c r="D5295" s="6">
        <v>5.4305852679542296E-7</v>
      </c>
      <c r="E5295" s="3" t="s">
        <v>8415</v>
      </c>
      <c r="F5295" s="3" t="s">
        <v>8416</v>
      </c>
      <c r="G5295" s="3">
        <v>68080</v>
      </c>
      <c r="H5295" s="7" t="str">
        <f>HYPERLINK("http://www.ensembl.org/Mus_musculus/Gene/Summary?db=core;g=ENSMUSG00000029464","ENSMUSG00000029464")</f>
        <v>ENSMUSG00000029464</v>
      </c>
      <c r="I5295" s="7" t="str">
        <f>HYPERLINK("http://www.informatics.jax.org/marker/MGI:1289326","MGI:1289326")</f>
        <v>MGI:1289326</v>
      </c>
      <c r="J5295" s="4" t="s">
        <v>12</v>
      </c>
    </row>
    <row r="5296" spans="1:10" x14ac:dyDescent="0.25">
      <c r="A5296" s="2">
        <v>234.25532566094401</v>
      </c>
      <c r="B5296" s="3">
        <v>-0.43007149538680001</v>
      </c>
      <c r="C5296" s="5">
        <v>2.5464964265854602E-5</v>
      </c>
      <c r="D5296" s="4">
        <v>1.17137550162847E-4</v>
      </c>
      <c r="E5296" s="3" t="s">
        <v>9327</v>
      </c>
      <c r="F5296" s="3" t="s">
        <v>9328</v>
      </c>
      <c r="G5296" s="3">
        <v>80987</v>
      </c>
      <c r="H5296" s="7" t="str">
        <f>HYPERLINK("http://www.ensembl.org/Mus_musculus/Gene/Summary?db=core;g=ENSMUSG00000032598","ENSMUSG00000032598")</f>
        <v>ENSMUSG00000032598</v>
      </c>
      <c r="I5296" s="7" t="str">
        <f>HYPERLINK("http://www.informatics.jax.org/marker/MGI:1931834","MGI:1931834")</f>
        <v>MGI:1931834</v>
      </c>
      <c r="J5296" s="4" t="s">
        <v>12</v>
      </c>
    </row>
    <row r="5297" spans="1:10" x14ac:dyDescent="0.25">
      <c r="A5297" s="2">
        <v>296.11997619149503</v>
      </c>
      <c r="B5297" s="3">
        <v>-0.43114194870604799</v>
      </c>
      <c r="C5297" s="5">
        <v>4.7507919333453202E-8</v>
      </c>
      <c r="D5297" s="6">
        <v>3.06380689968926E-7</v>
      </c>
      <c r="E5297" s="3" t="s">
        <v>11837</v>
      </c>
      <c r="F5297" s="3" t="s">
        <v>11838</v>
      </c>
      <c r="G5297" s="3">
        <v>102209</v>
      </c>
      <c r="H5297" s="7" t="str">
        <f>HYPERLINK("http://www.ensembl.org/Mus_musculus/Gene/Summary?db=core;g=ENSMUSG00000011837","ENSMUSG00000011837")</f>
        <v>ENSMUSG00000011837</v>
      </c>
      <c r="I5297" s="7" t="str">
        <f>HYPERLINK("http://www.informatics.jax.org/marker/MGI:1914861","MGI:1914861")</f>
        <v>MGI:1914861</v>
      </c>
      <c r="J5297" s="4" t="s">
        <v>12</v>
      </c>
    </row>
    <row r="5298" spans="1:10" x14ac:dyDescent="0.25">
      <c r="A5298" s="2">
        <v>21.531018586330902</v>
      </c>
      <c r="B5298" s="3">
        <v>-0.43138087597882901</v>
      </c>
      <c r="C5298" s="3">
        <v>9.2471289959750694E-2</v>
      </c>
      <c r="D5298" s="4">
        <v>0.19090272536434699</v>
      </c>
      <c r="E5298" s="3" t="s">
        <v>10530</v>
      </c>
      <c r="F5298" s="3" t="s">
        <v>10531</v>
      </c>
      <c r="G5298" s="3">
        <v>215693</v>
      </c>
      <c r="H5298" s="7" t="str">
        <f>HYPERLINK("http://www.ensembl.org/Mus_musculus/Gene/Summary?db=core;g=ENSMUSG00000052676","ENSMUSG00000052676")</f>
        <v>ENSMUSG00000052676</v>
      </c>
      <c r="I5298" s="7" t="str">
        <f>HYPERLINK("http://www.informatics.jax.org/marker/MGI:2442284","MGI:2442284")</f>
        <v>MGI:2442284</v>
      </c>
      <c r="J5298" s="4" t="s">
        <v>12</v>
      </c>
    </row>
    <row r="5299" spans="1:10" x14ac:dyDescent="0.25">
      <c r="A5299" s="2">
        <v>629.57949928630705</v>
      </c>
      <c r="B5299" s="3">
        <v>-0.43195501682814202</v>
      </c>
      <c r="C5299" s="5">
        <v>1.9317272934054999E-8</v>
      </c>
      <c r="D5299" s="6">
        <v>1.30730523291182E-7</v>
      </c>
      <c r="E5299" s="3" t="s">
        <v>4020</v>
      </c>
      <c r="F5299" s="3" t="s">
        <v>4021</v>
      </c>
      <c r="G5299" s="3">
        <v>236930</v>
      </c>
      <c r="H5299" s="7" t="str">
        <f>HYPERLINK("http://www.ensembl.org/Mus_musculus/Gene/Summary?db=core;g=ENSMUSG00000051220","ENSMUSG00000051220")</f>
        <v>ENSMUSG00000051220</v>
      </c>
      <c r="I5299" s="7" t="str">
        <f>HYPERLINK("http://www.informatics.jax.org/marker/MGI:2654144","MGI:2654144")</f>
        <v>MGI:2654144</v>
      </c>
      <c r="J5299" s="4" t="s">
        <v>12</v>
      </c>
    </row>
    <row r="5300" spans="1:10" x14ac:dyDescent="0.25">
      <c r="A5300" s="2">
        <v>330.24211449958</v>
      </c>
      <c r="B5300" s="3">
        <v>-0.43203502476827699</v>
      </c>
      <c r="C5300" s="5">
        <v>2.4898177310463502E-8</v>
      </c>
      <c r="D5300" s="6">
        <v>1.6627676126170701E-7</v>
      </c>
      <c r="E5300" s="3" t="s">
        <v>2539</v>
      </c>
      <c r="F5300" s="3" t="s">
        <v>2540</v>
      </c>
      <c r="G5300" s="3">
        <v>212377</v>
      </c>
      <c r="H5300" s="7" t="str">
        <f>HYPERLINK("http://www.ensembl.org/Mus_musculus/Gene/Summary?db=core;g=ENSMUSG00000045751","ENSMUSG00000045751")</f>
        <v>ENSMUSG00000045751</v>
      </c>
      <c r="I5300" s="7" t="str">
        <f>HYPERLINK("http://www.informatics.jax.org/marker/MGI:2684980","MGI:2684980")</f>
        <v>MGI:2684980</v>
      </c>
      <c r="J5300" s="4" t="s">
        <v>12</v>
      </c>
    </row>
    <row r="5301" spans="1:10" x14ac:dyDescent="0.25">
      <c r="A5301" s="2">
        <v>2102.4739541164799</v>
      </c>
      <c r="B5301" s="3">
        <v>-0.43223360919280501</v>
      </c>
      <c r="C5301" s="5">
        <v>4.3695287144348098E-10</v>
      </c>
      <c r="D5301" s="6">
        <v>3.5252173891356601E-9</v>
      </c>
      <c r="E5301" s="3" t="s">
        <v>3520</v>
      </c>
      <c r="F5301" s="3" t="s">
        <v>3521</v>
      </c>
      <c r="G5301" s="3">
        <v>50927</v>
      </c>
      <c r="H5301" s="7" t="str">
        <f>HYPERLINK("http://www.ensembl.org/Mus_musculus/Gene/Summary?db=core;g=ENSMUSG00000028693","ENSMUSG00000028693")</f>
        <v>ENSMUSG00000028693</v>
      </c>
      <c r="I5301" s="7" t="str">
        <f>HYPERLINK("http://www.informatics.jax.org/marker/MGI:1355328","MGI:1355328")</f>
        <v>MGI:1355328</v>
      </c>
      <c r="J5301" s="4" t="s">
        <v>12</v>
      </c>
    </row>
    <row r="5302" spans="1:10" x14ac:dyDescent="0.25">
      <c r="A5302" s="2">
        <v>587.05969946083803</v>
      </c>
      <c r="B5302" s="3">
        <v>-0.43256565964412302</v>
      </c>
      <c r="C5302" s="5">
        <v>4.4431580822230698E-6</v>
      </c>
      <c r="D5302" s="6">
        <v>2.2861817066209901E-5</v>
      </c>
      <c r="E5302" s="3" t="s">
        <v>5687</v>
      </c>
      <c r="F5302" s="3" t="s">
        <v>5688</v>
      </c>
      <c r="G5302" s="3">
        <v>16534</v>
      </c>
      <c r="H5302" s="7" t="str">
        <f>HYPERLINK("http://www.ensembl.org/Mus_musculus/Gene/Summary?db=core;g=ENSMUSG00000054342","ENSMUSG00000054342")</f>
        <v>ENSMUSG00000054342</v>
      </c>
      <c r="I5302" s="7" t="str">
        <f>HYPERLINK("http://www.informatics.jax.org/marker/MGI:1277957","MGI:1277957")</f>
        <v>MGI:1277957</v>
      </c>
      <c r="J5302" s="4" t="s">
        <v>12</v>
      </c>
    </row>
    <row r="5303" spans="1:10" x14ac:dyDescent="0.25">
      <c r="A5303" s="2">
        <v>254.34886580308799</v>
      </c>
      <c r="B5303" s="3">
        <v>-0.43263584242035202</v>
      </c>
      <c r="C5303" s="3">
        <v>1.3246940889222701E-4</v>
      </c>
      <c r="D5303" s="4">
        <v>5.4216370470712601E-4</v>
      </c>
      <c r="E5303" s="3" t="s">
        <v>8943</v>
      </c>
      <c r="F5303" s="3" t="s">
        <v>8944</v>
      </c>
      <c r="G5303" s="3">
        <v>69534</v>
      </c>
      <c r="H5303" s="7" t="str">
        <f>HYPERLINK("http://www.ensembl.org/Mus_musculus/Gene/Summary?db=core;g=ENSMUSG00000018821","ENSMUSG00000018821")</f>
        <v>ENSMUSG00000018821</v>
      </c>
      <c r="I5303" s="7" t="str">
        <f>HYPERLINK("http://www.informatics.jax.org/marker/MGI:1916784","MGI:1916784")</f>
        <v>MGI:1916784</v>
      </c>
      <c r="J5303" s="4" t="s">
        <v>12</v>
      </c>
    </row>
    <row r="5304" spans="1:10" x14ac:dyDescent="0.25">
      <c r="A5304" s="2">
        <v>84.702157874146394</v>
      </c>
      <c r="B5304" s="3">
        <v>-0.433639573721745</v>
      </c>
      <c r="C5304" s="3">
        <v>1.35763079241802E-3</v>
      </c>
      <c r="D5304" s="4">
        <v>4.6606655719476E-3</v>
      </c>
      <c r="E5304" s="3" t="s">
        <v>8239</v>
      </c>
      <c r="F5304" s="3" t="s">
        <v>8240</v>
      </c>
      <c r="G5304" s="3">
        <v>104871</v>
      </c>
      <c r="H5304" s="7" t="str">
        <f>HYPERLINK("http://www.ensembl.org/Mus_musculus/Gene/Summary?db=core;g=ENSMUSG00000021007","ENSMUSG00000021007")</f>
        <v>ENSMUSG00000021007</v>
      </c>
      <c r="I5304" s="7" t="str">
        <f>HYPERLINK("http://www.informatics.jax.org/marker/MGI:2144877","MGI:2144877")</f>
        <v>MGI:2144877</v>
      </c>
      <c r="J5304" s="4" t="s">
        <v>12</v>
      </c>
    </row>
    <row r="5305" spans="1:10" x14ac:dyDescent="0.25">
      <c r="A5305" s="2">
        <v>7977.6458178346102</v>
      </c>
      <c r="B5305" s="3">
        <v>-0.43365186187378602</v>
      </c>
      <c r="C5305" s="5">
        <v>4.2264924208998599E-36</v>
      </c>
      <c r="D5305" s="6">
        <v>1.2710862107409201E-34</v>
      </c>
      <c r="E5305" s="3" t="s">
        <v>1742</v>
      </c>
      <c r="F5305" s="3" t="s">
        <v>1743</v>
      </c>
      <c r="G5305" s="3">
        <v>21366</v>
      </c>
      <c r="H5305" s="7" t="str">
        <f>HYPERLINK("http://www.ensembl.org/Mus_musculus/Gene/Summary?db=core;g=ENSMUSG00000030096","ENSMUSG00000030096")</f>
        <v>ENSMUSG00000030096</v>
      </c>
      <c r="I5305" s="7" t="str">
        <f>HYPERLINK("http://www.informatics.jax.org/marker/MGI:98488","MGI:98488")</f>
        <v>MGI:98488</v>
      </c>
      <c r="J5305" s="4" t="s">
        <v>12</v>
      </c>
    </row>
    <row r="5306" spans="1:10" x14ac:dyDescent="0.25">
      <c r="A5306" s="2">
        <v>185.84315856196201</v>
      </c>
      <c r="B5306" s="3">
        <v>-0.434464810112344</v>
      </c>
      <c r="C5306" s="5">
        <v>5.2853134262867897E-5</v>
      </c>
      <c r="D5306" s="4">
        <v>2.3099481341505199E-4</v>
      </c>
      <c r="E5306" s="3" t="s">
        <v>11779</v>
      </c>
      <c r="F5306" s="3" t="s">
        <v>11780</v>
      </c>
      <c r="G5306" s="3">
        <v>66050</v>
      </c>
      <c r="H5306" s="7" t="str">
        <f>HYPERLINK("http://www.ensembl.org/Mus_musculus/Gene/Summary?db=core;g=ENSMUSG00000007777","ENSMUSG00000007777")</f>
        <v>ENSMUSG00000007777</v>
      </c>
      <c r="I5306" s="7" t="str">
        <f>HYPERLINK("http://www.informatics.jax.org/marker/MGI:1913300","MGI:1913300")</f>
        <v>MGI:1913300</v>
      </c>
      <c r="J5306" s="4" t="s">
        <v>12</v>
      </c>
    </row>
    <row r="5307" spans="1:10" x14ac:dyDescent="0.25">
      <c r="A5307" s="2">
        <v>459.792890502641</v>
      </c>
      <c r="B5307" s="3">
        <v>-0.43509164889276902</v>
      </c>
      <c r="C5307" s="5">
        <v>1.62379191119874E-6</v>
      </c>
      <c r="D5307" s="6">
        <v>8.8154922792960992E-6</v>
      </c>
      <c r="E5307" s="3" t="s">
        <v>6770</v>
      </c>
      <c r="F5307" s="3" t="s">
        <v>6771</v>
      </c>
      <c r="G5307" s="3">
        <v>225010</v>
      </c>
      <c r="H5307" s="7" t="str">
        <f>HYPERLINK("http://www.ensembl.org/Mus_musculus/Gene/Summary?db=core;g=ENSMUSG00000054469","ENSMUSG00000054469")</f>
        <v>ENSMUSG00000054469</v>
      </c>
      <c r="I5307" s="7" t="str">
        <f>HYPERLINK("http://www.informatics.jax.org/marker/MGI:2684937","MGI:2684937")</f>
        <v>MGI:2684937</v>
      </c>
      <c r="J5307" s="4" t="s">
        <v>12</v>
      </c>
    </row>
    <row r="5308" spans="1:10" x14ac:dyDescent="0.25">
      <c r="A5308" s="2">
        <v>267.298502454301</v>
      </c>
      <c r="B5308" s="3">
        <v>-0.43524630727741098</v>
      </c>
      <c r="C5308" s="5">
        <v>1.7584922880985201E-5</v>
      </c>
      <c r="D5308" s="6">
        <v>8.2919849807491395E-5</v>
      </c>
      <c r="E5308" s="3" t="s">
        <v>6207</v>
      </c>
      <c r="F5308" s="3" t="s">
        <v>6208</v>
      </c>
      <c r="G5308" s="3">
        <v>50724</v>
      </c>
      <c r="H5308" s="7" t="str">
        <f>HYPERLINK("http://www.ensembl.org/Mus_musculus/Gene/Summary?db=core;g=ENSMUSG00000020519","ENSMUSG00000020519")</f>
        <v>ENSMUSG00000020519</v>
      </c>
      <c r="I5308" s="7" t="str">
        <f>HYPERLINK("http://www.informatics.jax.org/marker/MGI:1354709","MGI:1354709")</f>
        <v>MGI:1354709</v>
      </c>
      <c r="J5308" s="4" t="s">
        <v>12</v>
      </c>
    </row>
    <row r="5309" spans="1:10" x14ac:dyDescent="0.25">
      <c r="A5309" s="2">
        <v>3062.9246398425498</v>
      </c>
      <c r="B5309" s="3">
        <v>-0.43585196608865601</v>
      </c>
      <c r="C5309" s="5">
        <v>1.5973473834424701E-11</v>
      </c>
      <c r="D5309" s="6">
        <v>1.4606952364896699E-10</v>
      </c>
      <c r="E5309" s="3" t="s">
        <v>1088</v>
      </c>
      <c r="F5309" s="3" t="s">
        <v>1089</v>
      </c>
      <c r="G5309" s="3">
        <v>17216</v>
      </c>
      <c r="H5309" s="7" t="str">
        <f>HYPERLINK("http://www.ensembl.org/Mus_musculus/Gene/Summary?db=core;g=ENSMUSG00000002870","ENSMUSG00000002870")</f>
        <v>ENSMUSG00000002870</v>
      </c>
      <c r="I5309" s="7" t="str">
        <f>HYPERLINK("http://www.informatics.jax.org/marker/MGI:105380","MGI:105380")</f>
        <v>MGI:105380</v>
      </c>
      <c r="J5309" s="4" t="s">
        <v>12</v>
      </c>
    </row>
    <row r="5310" spans="1:10" x14ac:dyDescent="0.25">
      <c r="A5310" s="2">
        <v>506.885366064371</v>
      </c>
      <c r="B5310" s="3">
        <v>-0.436536447280647</v>
      </c>
      <c r="C5310" s="3">
        <v>1.19036525953172E-4</v>
      </c>
      <c r="D5310" s="4">
        <v>4.9115704901439095E-4</v>
      </c>
      <c r="E5310" s="3" t="s">
        <v>9631</v>
      </c>
      <c r="F5310" s="3" t="s">
        <v>9632</v>
      </c>
      <c r="G5310" s="3">
        <v>210035</v>
      </c>
      <c r="H5310" s="7" t="str">
        <f>HYPERLINK("http://www.ensembl.org/Mus_musculus/Gene/Summary?db=core;g=ENSMUSG00000040195","ENSMUSG00000040195")</f>
        <v>ENSMUSG00000040195</v>
      </c>
      <c r="I5310" s="7" t="str">
        <f>HYPERLINK("http://www.informatics.jax.org/marker/MGI:2446113","MGI:2446113")</f>
        <v>MGI:2446113</v>
      </c>
      <c r="J5310" s="4" t="s">
        <v>12</v>
      </c>
    </row>
    <row r="5311" spans="1:10" x14ac:dyDescent="0.25">
      <c r="A5311" s="2">
        <v>127.125845565749</v>
      </c>
      <c r="B5311" s="3">
        <v>-0.43656986947231502</v>
      </c>
      <c r="C5311" s="5">
        <v>1.9378628279052702E-5</v>
      </c>
      <c r="D5311" s="6">
        <v>9.0790617065741904E-5</v>
      </c>
      <c r="E5311" s="3" t="s">
        <v>10112</v>
      </c>
      <c r="F5311" s="3" t="s">
        <v>10113</v>
      </c>
      <c r="G5311" s="3">
        <v>11797</v>
      </c>
      <c r="H5311" s="7" t="str">
        <f>HYPERLINK("http://www.ensembl.org/Mus_musculus/Gene/Summary?db=core;g=ENSMUSG00000057367","ENSMUSG00000057367")</f>
        <v>ENSMUSG00000057367</v>
      </c>
      <c r="I5311" s="7" t="str">
        <f>HYPERLINK("http://www.informatics.jax.org/marker/MGI:1197009","MGI:1197009")</f>
        <v>MGI:1197009</v>
      </c>
      <c r="J5311" s="4" t="s">
        <v>12</v>
      </c>
    </row>
    <row r="5312" spans="1:10" x14ac:dyDescent="0.25">
      <c r="A5312" s="2">
        <v>1216.17644006151</v>
      </c>
      <c r="B5312" s="3">
        <v>-0.436623097561951</v>
      </c>
      <c r="C5312" s="5">
        <v>7.1555576019982996E-8</v>
      </c>
      <c r="D5312" s="6">
        <v>4.5391589730741099E-7</v>
      </c>
      <c r="E5312" s="3" t="s">
        <v>7834</v>
      </c>
      <c r="F5312" s="3" t="s">
        <v>7835</v>
      </c>
      <c r="G5312" s="3">
        <v>268445</v>
      </c>
      <c r="H5312" s="7" t="str">
        <f>HYPERLINK("http://www.ensembl.org/Mus_musculus/Gene/Summary?db=core;g=ENSMUSG00000037907","ENSMUSG00000037907")</f>
        <v>ENSMUSG00000037907</v>
      </c>
      <c r="I5312" s="7" t="str">
        <f>HYPERLINK("http://www.informatics.jax.org/marker/MGI:2144501","MGI:2144501")</f>
        <v>MGI:2144501</v>
      </c>
      <c r="J5312" s="4" t="s">
        <v>12</v>
      </c>
    </row>
    <row r="5313" spans="1:10" x14ac:dyDescent="0.25">
      <c r="A5313" s="2">
        <v>407.88263325673603</v>
      </c>
      <c r="B5313" s="3">
        <v>-0.43697906969147199</v>
      </c>
      <c r="C5313" s="5">
        <v>1.41839573207003E-5</v>
      </c>
      <c r="D5313" s="6">
        <v>6.7795075313339302E-5</v>
      </c>
      <c r="E5313" s="3" t="s">
        <v>11595</v>
      </c>
      <c r="F5313" s="3" t="s">
        <v>11596</v>
      </c>
      <c r="G5313" s="3">
        <v>320534</v>
      </c>
      <c r="H5313" s="7" t="str">
        <f>HYPERLINK("http://www.ensembl.org/Mus_musculus/Gene/Summary?db=core;g=ENSMUSG00000045980","ENSMUSG00000045980")</f>
        <v>ENSMUSG00000045980</v>
      </c>
      <c r="I5313" s="7" t="str">
        <f>HYPERLINK("http://www.informatics.jax.org/marker/MGI:2444222","MGI:2444222")</f>
        <v>MGI:2444222</v>
      </c>
      <c r="J5313" s="4" t="s">
        <v>12</v>
      </c>
    </row>
    <row r="5314" spans="1:10" x14ac:dyDescent="0.25">
      <c r="A5314" s="2">
        <v>1421.1698862614701</v>
      </c>
      <c r="B5314" s="3">
        <v>-0.437176732114406</v>
      </c>
      <c r="C5314" s="5">
        <v>9.2057628032394896E-10</v>
      </c>
      <c r="D5314" s="6">
        <v>7.1729383107755298E-9</v>
      </c>
      <c r="E5314" s="3" t="s">
        <v>5137</v>
      </c>
      <c r="F5314" s="3" t="s">
        <v>5138</v>
      </c>
      <c r="G5314" s="3">
        <v>16328</v>
      </c>
      <c r="H5314" s="7" t="str">
        <f>HYPERLINK("http://www.ensembl.org/Mus_musculus/Gene/Summary?db=core;g=ENSMUSG00000038241","ENSMUSG00000038241")</f>
        <v>ENSMUSG00000038241</v>
      </c>
      <c r="I5314" s="7" t="str">
        <f>HYPERLINK("http://www.informatics.jax.org/marker/MGI:108084","MGI:108084")</f>
        <v>MGI:108084</v>
      </c>
      <c r="J5314" s="4" t="s">
        <v>12</v>
      </c>
    </row>
    <row r="5315" spans="1:10" x14ac:dyDescent="0.25">
      <c r="A5315" s="2">
        <v>1417.66589403015</v>
      </c>
      <c r="B5315" s="3">
        <v>-0.43723922482433503</v>
      </c>
      <c r="C5315" s="5">
        <v>1.9923468883963098E-9</v>
      </c>
      <c r="D5315" s="6">
        <v>1.4954910231063701E-8</v>
      </c>
      <c r="E5315" s="3" t="s">
        <v>6167</v>
      </c>
      <c r="F5315" s="3" t="s">
        <v>6168</v>
      </c>
      <c r="G5315" s="3">
        <v>319758</v>
      </c>
      <c r="H5315" s="7" t="str">
        <f>HYPERLINK("http://www.ensembl.org/Mus_musculus/Gene/Summary?db=core;g=ENSMUSG00000037674","ENSMUSG00000037674")</f>
        <v>ENSMUSG00000037674</v>
      </c>
      <c r="I5315" s="7" t="str">
        <f>HYPERLINK("http://www.informatics.jax.org/marker/MGI:2442675","MGI:2442675")</f>
        <v>MGI:2442675</v>
      </c>
      <c r="J5315" s="4" t="s">
        <v>12</v>
      </c>
    </row>
    <row r="5316" spans="1:10" x14ac:dyDescent="0.25">
      <c r="A5316" s="2">
        <v>77.310749283506496</v>
      </c>
      <c r="B5316" s="3">
        <v>-0.43727172303488598</v>
      </c>
      <c r="C5316" s="3">
        <v>3.9001558126241401E-3</v>
      </c>
      <c r="D5316" s="4">
        <v>1.2049432855431599E-2</v>
      </c>
      <c r="E5316" s="3" t="s">
        <v>13189</v>
      </c>
      <c r="F5316" s="3" t="s">
        <v>13190</v>
      </c>
      <c r="G5316" s="3">
        <v>67980</v>
      </c>
      <c r="H5316" s="7" t="str">
        <f>HYPERLINK("http://www.ensembl.org/Mus_musculus/Gene/Summary?db=core;g=ENSMUSG00000029209","ENSMUSG00000029209")</f>
        <v>ENSMUSG00000029209</v>
      </c>
      <c r="I5316" s="7" t="str">
        <f>HYPERLINK("http://www.informatics.jax.org/marker/MGI:1915230","MGI:1915230")</f>
        <v>MGI:1915230</v>
      </c>
      <c r="J5316" s="4" t="s">
        <v>12</v>
      </c>
    </row>
    <row r="5317" spans="1:10" x14ac:dyDescent="0.25">
      <c r="A5317" s="2">
        <v>122.562616144</v>
      </c>
      <c r="B5317" s="3">
        <v>-0.43755449997887502</v>
      </c>
      <c r="C5317" s="3">
        <v>9.6604664968893701E-4</v>
      </c>
      <c r="D5317" s="4">
        <v>3.4094113459684099E-3</v>
      </c>
      <c r="E5317" s="3" t="s">
        <v>8589</v>
      </c>
      <c r="F5317" s="3" t="s">
        <v>8590</v>
      </c>
      <c r="G5317" s="3">
        <v>72640</v>
      </c>
      <c r="H5317" s="7" t="str">
        <f>HYPERLINK("http://www.ensembl.org/Mus_musculus/Gene/Summary?db=core;g=ENSMUSG00000074480","ENSMUSG00000074480")</f>
        <v>ENSMUSG00000074480</v>
      </c>
      <c r="I5317" s="7" t="str">
        <f>HYPERLINK("http://www.informatics.jax.org/marker/MGI:1919890","MGI:1919890")</f>
        <v>MGI:1919890</v>
      </c>
      <c r="J5317" s="4" t="s">
        <v>12</v>
      </c>
    </row>
    <row r="5318" spans="1:10" x14ac:dyDescent="0.25">
      <c r="A5318" s="2">
        <v>905.27051523667899</v>
      </c>
      <c r="B5318" s="3">
        <v>-0.43782223202321302</v>
      </c>
      <c r="C5318" s="3">
        <v>1.2874803281630299E-4</v>
      </c>
      <c r="D5318" s="4">
        <v>5.2835687864830397E-4</v>
      </c>
      <c r="E5318" s="3" t="s">
        <v>5657</v>
      </c>
      <c r="F5318" s="3" t="s">
        <v>5658</v>
      </c>
      <c r="G5318" s="3">
        <v>108912</v>
      </c>
      <c r="H5318" s="7" t="str">
        <f>HYPERLINK("http://www.ensembl.org/Mus_musculus/Gene/Summary?db=core;g=ENSMUSG00000048922","ENSMUSG00000048922")</f>
        <v>ENSMUSG00000048922</v>
      </c>
      <c r="I5318" s="7" t="str">
        <f>HYPERLINK("http://www.informatics.jax.org/marker/MGI:1919787","MGI:1919787")</f>
        <v>MGI:1919787</v>
      </c>
      <c r="J5318" s="4" t="s">
        <v>12</v>
      </c>
    </row>
    <row r="5319" spans="1:10" x14ac:dyDescent="0.25">
      <c r="A5319" s="2">
        <v>66.902792340110906</v>
      </c>
      <c r="B5319" s="3">
        <v>-0.43819380652697798</v>
      </c>
      <c r="C5319" s="3">
        <v>1.88111950642529E-3</v>
      </c>
      <c r="D5319" s="4">
        <v>6.2663869502103797E-3</v>
      </c>
      <c r="E5319" s="3" t="s">
        <v>10036</v>
      </c>
      <c r="F5319" s="3" t="s">
        <v>10037</v>
      </c>
      <c r="G5319" s="3">
        <v>74626</v>
      </c>
      <c r="H5319" s="7" t="str">
        <f>HYPERLINK("http://www.ensembl.org/Mus_musculus/Gene/Summary?db=core;g=ENSMUSG00000048174","ENSMUSG00000048174")</f>
        <v>ENSMUSG00000048174</v>
      </c>
      <c r="I5319" s="7" t="str">
        <f>HYPERLINK("http://www.informatics.jax.org/marker/MGI:1921876","MGI:1921876")</f>
        <v>MGI:1921876</v>
      </c>
      <c r="J5319" s="4" t="s">
        <v>12</v>
      </c>
    </row>
    <row r="5320" spans="1:10" x14ac:dyDescent="0.25">
      <c r="A5320" s="2">
        <v>55.6094416613142</v>
      </c>
      <c r="B5320" s="3">
        <v>-0.438379897427913</v>
      </c>
      <c r="C5320" s="3">
        <v>2.5045436345360302E-3</v>
      </c>
      <c r="D5320" s="4">
        <v>8.1017585621972199E-3</v>
      </c>
      <c r="E5320" s="3" t="s">
        <v>11967</v>
      </c>
      <c r="F5320" s="3" t="s">
        <v>11968</v>
      </c>
      <c r="G5320" s="3">
        <v>328232</v>
      </c>
      <c r="H5320" s="7" t="str">
        <f>HYPERLINK("http://www.ensembl.org/Mus_musculus/Gene/Summary?db=core;g=ENSMUSG00000051335","ENSMUSG00000051335")</f>
        <v>ENSMUSG00000051335</v>
      </c>
      <c r="I5320" s="7" t="str">
        <f>HYPERLINK("http://www.informatics.jax.org/marker/MGI:2145304","MGI:2145304")</f>
        <v>MGI:2145304</v>
      </c>
      <c r="J5320" s="4" t="s">
        <v>12</v>
      </c>
    </row>
    <row r="5321" spans="1:10" x14ac:dyDescent="0.25">
      <c r="A5321" s="2">
        <v>1369.16357521551</v>
      </c>
      <c r="B5321" s="3">
        <v>-0.438407975836831</v>
      </c>
      <c r="C5321" s="5">
        <v>6.9986935013631601E-12</v>
      </c>
      <c r="D5321" s="6">
        <v>6.58498652877354E-11</v>
      </c>
      <c r="E5321" s="3" t="s">
        <v>2365</v>
      </c>
      <c r="F5321" s="3" t="s">
        <v>2366</v>
      </c>
      <c r="G5321" s="3">
        <v>269254</v>
      </c>
      <c r="H5321" s="7" t="str">
        <f>HYPERLINK("http://www.ensembl.org/Mus_musculus/Gene/Summary?db=core;g=ENSMUSG00000043535","ENSMUSG00000043535")</f>
        <v>ENSMUSG00000043535</v>
      </c>
      <c r="I5321" s="7" t="str">
        <f>HYPERLINK("http://www.informatics.jax.org/marker/MGI:2443480","MGI:2443480")</f>
        <v>MGI:2443480</v>
      </c>
      <c r="J5321" s="4" t="s">
        <v>12</v>
      </c>
    </row>
    <row r="5322" spans="1:10" x14ac:dyDescent="0.25">
      <c r="A5322" s="2">
        <v>1265.71536570332</v>
      </c>
      <c r="B5322" s="3">
        <v>-0.438458876459625</v>
      </c>
      <c r="C5322" s="5">
        <v>1.8403067446142699E-7</v>
      </c>
      <c r="D5322" s="6">
        <v>1.1209756156616E-6</v>
      </c>
      <c r="E5322" s="3" t="s">
        <v>2776</v>
      </c>
      <c r="F5322" s="3" t="s">
        <v>2777</v>
      </c>
      <c r="G5322" s="3">
        <v>66929</v>
      </c>
      <c r="H5322" s="7" t="str">
        <f>HYPERLINK("http://www.ensembl.org/Mus_musculus/Gene/Summary?db=core;g=ENSMUSG00000005470","ENSMUSG00000005470")</f>
        <v>ENSMUSG00000005470</v>
      </c>
      <c r="I5322" s="7" t="str">
        <f>HYPERLINK("http://www.informatics.jax.org/marker/MGI:1914179","MGI:1914179")</f>
        <v>MGI:1914179</v>
      </c>
      <c r="J5322" s="4" t="s">
        <v>12</v>
      </c>
    </row>
    <row r="5323" spans="1:10" x14ac:dyDescent="0.25">
      <c r="A5323" s="2">
        <v>317.60044824588698</v>
      </c>
      <c r="B5323" s="3">
        <v>-0.43865188417055301</v>
      </c>
      <c r="C5323" s="5">
        <v>1.0858114444578099E-6</v>
      </c>
      <c r="D5323" s="6">
        <v>6.0185260265339198E-6</v>
      </c>
      <c r="E5323" s="3" t="s">
        <v>8023</v>
      </c>
      <c r="F5323" s="3" t="s">
        <v>8024</v>
      </c>
      <c r="G5323" s="3">
        <v>22275</v>
      </c>
      <c r="H5323" s="7" t="str">
        <f>HYPERLINK("http://www.ensembl.org/Mus_musculus/Gene/Summary?db=core;g=ENSMUSG00000028684","ENSMUSG00000028684")</f>
        <v>ENSMUSG00000028684</v>
      </c>
      <c r="I5323" s="7" t="str">
        <f>HYPERLINK("http://www.informatics.jax.org/marker/MGI:98916","MGI:98916")</f>
        <v>MGI:98916</v>
      </c>
      <c r="J5323" s="4" t="s">
        <v>12</v>
      </c>
    </row>
    <row r="5324" spans="1:10" x14ac:dyDescent="0.25">
      <c r="A5324" s="2">
        <v>137.60782917429501</v>
      </c>
      <c r="B5324" s="3">
        <v>-0.438678205959737</v>
      </c>
      <c r="C5324" s="3">
        <v>6.3581141120161899E-4</v>
      </c>
      <c r="D5324" s="4">
        <v>2.31845997782103E-3</v>
      </c>
      <c r="E5324" s="3" t="s">
        <v>9807</v>
      </c>
      <c r="F5324" s="3" t="s">
        <v>9808</v>
      </c>
      <c r="G5324" s="3">
        <v>26447</v>
      </c>
      <c r="H5324" s="7" t="str">
        <f>HYPERLINK("http://www.ensembl.org/Mus_musculus/Gene/Summary?db=core;g=ENSMUSG00000038425","ENSMUSG00000038425")</f>
        <v>ENSMUSG00000038425</v>
      </c>
      <c r="I5324" s="7" t="str">
        <f>HYPERLINK("http://www.informatics.jax.org/marker/MGI:1347081","MGI:1347081")</f>
        <v>MGI:1347081</v>
      </c>
      <c r="J5324" s="4" t="s">
        <v>12</v>
      </c>
    </row>
    <row r="5325" spans="1:10" x14ac:dyDescent="0.25">
      <c r="A5325" s="2">
        <v>716.44852977178198</v>
      </c>
      <c r="B5325" s="3">
        <v>-0.44055055931374698</v>
      </c>
      <c r="C5325" s="5">
        <v>4.2663151518905301E-12</v>
      </c>
      <c r="D5325" s="6">
        <v>4.0858430711090402E-11</v>
      </c>
      <c r="E5325" s="3" t="s">
        <v>5417</v>
      </c>
      <c r="F5325" s="3" t="s">
        <v>5418</v>
      </c>
      <c r="G5325" s="3">
        <v>54151</v>
      </c>
      <c r="H5325" s="7" t="str">
        <f>HYPERLINK("http://www.ensembl.org/Mus_musculus/Gene/Summary?db=core;g=ENSMUSG00000053929","ENSMUSG00000053929")</f>
        <v>ENSMUSG00000053929</v>
      </c>
      <c r="I5325" s="7" t="str">
        <f>HYPERLINK("http://www.informatics.jax.org/marker/MGI:1859320","MGI:1859320")</f>
        <v>MGI:1859320</v>
      </c>
      <c r="J5325" s="4" t="s">
        <v>12</v>
      </c>
    </row>
    <row r="5326" spans="1:10" x14ac:dyDescent="0.25">
      <c r="A5326" s="2">
        <v>196.62928510680899</v>
      </c>
      <c r="B5326" s="3">
        <v>-0.44074492826309603</v>
      </c>
      <c r="C5326" s="5">
        <v>1.0031481907316601E-5</v>
      </c>
      <c r="D5326" s="6">
        <v>4.9040707553874701E-5</v>
      </c>
      <c r="E5326" s="3" t="s">
        <v>9996</v>
      </c>
      <c r="F5326" s="3" t="s">
        <v>9997</v>
      </c>
      <c r="G5326" s="3">
        <v>72106</v>
      </c>
      <c r="H5326" s="7" t="str">
        <f>HYPERLINK("http://www.ensembl.org/Mus_musculus/Gene/Summary?db=core;g=ENSMUSG00000025736","ENSMUSG00000025736")</f>
        <v>ENSMUSG00000025736</v>
      </c>
      <c r="I5326" s="7" t="str">
        <f>HYPERLINK("http://www.informatics.jax.org/marker/MGI:1919356","MGI:1919356")</f>
        <v>MGI:1919356</v>
      </c>
      <c r="J5326" s="4" t="s">
        <v>12</v>
      </c>
    </row>
    <row r="5327" spans="1:10" x14ac:dyDescent="0.25">
      <c r="A5327" s="2">
        <v>1048.79141465159</v>
      </c>
      <c r="B5327" s="3">
        <v>-0.44088910253406</v>
      </c>
      <c r="C5327" s="5">
        <v>1.5782691475869901E-13</v>
      </c>
      <c r="D5327" s="6">
        <v>1.6900091195518701E-12</v>
      </c>
      <c r="E5327" s="3" t="s">
        <v>1772</v>
      </c>
      <c r="F5327" s="3" t="s">
        <v>1773</v>
      </c>
      <c r="G5327" s="3">
        <v>112405</v>
      </c>
      <c r="H5327" s="7" t="str">
        <f>HYPERLINK("http://www.ensembl.org/Mus_musculus/Gene/Summary?db=core;g=ENSMUSG00000031987","ENSMUSG00000031987")</f>
        <v>ENSMUSG00000031987</v>
      </c>
      <c r="I5327" s="7" t="str">
        <f>HYPERLINK("http://www.informatics.jax.org/marker/MGI:1932286","MGI:1932286")</f>
        <v>MGI:1932286</v>
      </c>
      <c r="J5327" s="4" t="s">
        <v>12</v>
      </c>
    </row>
    <row r="5328" spans="1:10" x14ac:dyDescent="0.25">
      <c r="A5328" s="2">
        <v>44.823966067525603</v>
      </c>
      <c r="B5328" s="3">
        <v>-0.44098561945906201</v>
      </c>
      <c r="C5328" s="3">
        <v>1.0226243767417299E-2</v>
      </c>
      <c r="D5328" s="4">
        <v>2.85936318903313E-2</v>
      </c>
      <c r="E5328" s="3" t="s">
        <v>12627</v>
      </c>
      <c r="F5328" s="3" t="s">
        <v>12628</v>
      </c>
      <c r="G5328" s="3">
        <v>101835</v>
      </c>
      <c r="H5328" s="7" t="str">
        <f>HYPERLINK("http://www.ensembl.org/Mus_musculus/Gene/Summary?db=core;g=ENSMUSG00000074166","ENSMUSG00000074166")</f>
        <v>ENSMUSG00000074166</v>
      </c>
      <c r="I5328" s="7" t="str">
        <f>HYPERLINK("http://www.informatics.jax.org/marker/MGI:2142212","MGI:2142212")</f>
        <v>MGI:2142212</v>
      </c>
      <c r="J5328" s="4" t="s">
        <v>12</v>
      </c>
    </row>
    <row r="5329" spans="1:10" x14ac:dyDescent="0.25">
      <c r="A5329" s="2">
        <v>989.61513717347498</v>
      </c>
      <c r="B5329" s="3">
        <v>-0.44100494646677302</v>
      </c>
      <c r="C5329" s="5">
        <v>1.80774529838979E-15</v>
      </c>
      <c r="D5329" s="6">
        <v>2.18042078511938E-14</v>
      </c>
      <c r="E5329" s="3" t="s">
        <v>1744</v>
      </c>
      <c r="F5329" s="3" t="s">
        <v>1745</v>
      </c>
      <c r="G5329" s="3">
        <v>21423</v>
      </c>
      <c r="H5329" s="7" t="str">
        <f>HYPERLINK("http://www.ensembl.org/Mus_musculus/Gene/Summary?db=core;g=ENSMUSG00000020167","ENSMUSG00000020167")</f>
        <v>ENSMUSG00000020167</v>
      </c>
      <c r="I5329" s="7" t="str">
        <f>HYPERLINK("http://www.informatics.jax.org/marker/MGI:98510","MGI:98510")</f>
        <v>MGI:98510</v>
      </c>
      <c r="J5329" s="4" t="s">
        <v>12</v>
      </c>
    </row>
    <row r="5330" spans="1:10" x14ac:dyDescent="0.25">
      <c r="A5330" s="2">
        <v>809.85416063680805</v>
      </c>
      <c r="B5330" s="3">
        <v>-0.441037669064893</v>
      </c>
      <c r="C5330" s="5">
        <v>7.9055395837242798E-13</v>
      </c>
      <c r="D5330" s="6">
        <v>8.0806763271662905E-12</v>
      </c>
      <c r="E5330" s="3" t="s">
        <v>4319</v>
      </c>
      <c r="F5330" s="3" t="s">
        <v>4320</v>
      </c>
      <c r="G5330" s="3">
        <v>227700</v>
      </c>
      <c r="H5330" s="7" t="str">
        <f>HYPERLINK("http://www.ensembl.org/Mus_musculus/Gene/Summary?db=core;g=ENSMUSG00000026860","ENSMUSG00000026860")</f>
        <v>ENSMUSG00000026860</v>
      </c>
      <c r="I5330" s="7" t="str">
        <f>HYPERLINK("http://www.informatics.jax.org/marker/MGI:2385131","MGI:2385131")</f>
        <v>MGI:2385131</v>
      </c>
      <c r="J5330" s="4" t="s">
        <v>12</v>
      </c>
    </row>
    <row r="5331" spans="1:10" x14ac:dyDescent="0.25">
      <c r="A5331" s="2">
        <v>298.76092233376602</v>
      </c>
      <c r="B5331" s="3">
        <v>-0.44117690368814699</v>
      </c>
      <c r="C5331" s="5">
        <v>7.3243448933851198E-11</v>
      </c>
      <c r="D5331" s="6">
        <v>6.3413864932039898E-10</v>
      </c>
      <c r="E5331" s="3" t="s">
        <v>3008</v>
      </c>
      <c r="F5331" s="3" t="s">
        <v>3009</v>
      </c>
      <c r="G5331" s="3">
        <v>66531</v>
      </c>
      <c r="H5331" s="7" t="str">
        <f>HYPERLINK("http://www.ensembl.org/Mus_musculus/Gene/Summary?db=core;g=ENSMUSG00000014633","ENSMUSG00000014633")</f>
        <v>ENSMUSG00000014633</v>
      </c>
      <c r="I5331" s="7" t="str">
        <f>HYPERLINK("http://www.informatics.jax.org/marker/MGI:1913781","MGI:1913781")</f>
        <v>MGI:1913781</v>
      </c>
      <c r="J5331" s="4" t="s">
        <v>12</v>
      </c>
    </row>
    <row r="5332" spans="1:10" x14ac:dyDescent="0.25">
      <c r="A5332" s="2">
        <v>282.35743820065397</v>
      </c>
      <c r="B5332" s="3">
        <v>-0.44200623804622702</v>
      </c>
      <c r="C5332" s="5">
        <v>4.0598642780439897E-5</v>
      </c>
      <c r="D5332" s="4">
        <v>1.8043350040482801E-4</v>
      </c>
      <c r="E5332" s="3" t="s">
        <v>12573</v>
      </c>
      <c r="F5332" s="3" t="s">
        <v>12574</v>
      </c>
      <c r="G5332" s="3">
        <v>68644</v>
      </c>
      <c r="H5332" s="7" t="str">
        <f>HYPERLINK("http://www.ensembl.org/Mus_musculus/Gene/Summary?db=core;g=ENSMUSG00000042210","ENSMUSG00000042210")</f>
        <v>ENSMUSG00000042210</v>
      </c>
      <c r="I5332" s="7" t="str">
        <f>HYPERLINK("http://www.informatics.jax.org/marker/MGI:1915894","MGI:1915894")</f>
        <v>MGI:1915894</v>
      </c>
      <c r="J5332" s="4" t="s">
        <v>12</v>
      </c>
    </row>
    <row r="5333" spans="1:10" x14ac:dyDescent="0.25">
      <c r="A5333" s="2">
        <v>7.8882584665441504</v>
      </c>
      <c r="B5333" s="3">
        <v>-0.44218893866278203</v>
      </c>
      <c r="C5333" s="3">
        <v>0.238747838452044</v>
      </c>
      <c r="D5333" s="4">
        <v>0.401079237820819</v>
      </c>
      <c r="E5333" s="3" t="s">
        <v>13711</v>
      </c>
      <c r="F5333" s="3" t="s">
        <v>13712</v>
      </c>
      <c r="G5333" s="3" t="s">
        <v>83</v>
      </c>
      <c r="H5333" s="7" t="str">
        <f>HYPERLINK("http://www.ensembl.org/Mus_musculus/Gene/Summary?db=core;g=ENSMUSG00000087179","ENSMUSG00000087179")</f>
        <v>ENSMUSG00000087179</v>
      </c>
      <c r="I5333" s="7" t="str">
        <f>HYPERLINK("http://www.informatics.jax.org/marker/MGI:3652157","MGI:3652157")</f>
        <v>MGI:3652157</v>
      </c>
      <c r="J5333" s="4" t="s">
        <v>939</v>
      </c>
    </row>
    <row r="5334" spans="1:10" x14ac:dyDescent="0.25">
      <c r="A5334" s="2">
        <v>434.85749706880102</v>
      </c>
      <c r="B5334" s="3">
        <v>-0.44225906613747701</v>
      </c>
      <c r="C5334" s="5">
        <v>2.2330864229234999E-11</v>
      </c>
      <c r="D5334" s="6">
        <v>2.0197518639097199E-10</v>
      </c>
      <c r="E5334" s="3" t="s">
        <v>2663</v>
      </c>
      <c r="F5334" s="3" t="s">
        <v>2664</v>
      </c>
      <c r="G5334" s="3">
        <v>71743</v>
      </c>
      <c r="H5334" s="7" t="str">
        <f>HYPERLINK("http://www.ensembl.org/Mus_musculus/Gene/Summary?db=core;g=ENSMUSG00000001755","ENSMUSG00000001755")</f>
        <v>ENSMUSG00000001755</v>
      </c>
      <c r="I5334" s="7" t="str">
        <f>HYPERLINK("http://www.informatics.jax.org/marker/MGI:1918993","MGI:1918993")</f>
        <v>MGI:1918993</v>
      </c>
      <c r="J5334" s="4" t="s">
        <v>12</v>
      </c>
    </row>
    <row r="5335" spans="1:10" x14ac:dyDescent="0.25">
      <c r="A5335" s="2">
        <v>575.51090926896495</v>
      </c>
      <c r="B5335" s="3">
        <v>-0.44243861187466199</v>
      </c>
      <c r="C5335" s="5">
        <v>7.5489925317938104E-7</v>
      </c>
      <c r="D5335" s="6">
        <v>4.2476192927428901E-6</v>
      </c>
      <c r="E5335" s="3" t="s">
        <v>3864</v>
      </c>
      <c r="F5335" s="3" t="s">
        <v>3865</v>
      </c>
      <c r="G5335" s="3">
        <v>97031</v>
      </c>
      <c r="H5335" s="7" t="str">
        <f>HYPERLINK("http://www.ensembl.org/Mus_musculus/Gene/Summary?db=core;g=ENSMUSG00000048707","ENSMUSG00000048707")</f>
        <v>ENSMUSG00000048707</v>
      </c>
      <c r="I5335" s="7" t="str">
        <f>HYPERLINK("http://www.informatics.jax.org/marker/MGI:2139535","MGI:2139535")</f>
        <v>MGI:2139535</v>
      </c>
      <c r="J5335" s="4" t="s">
        <v>12</v>
      </c>
    </row>
    <row r="5336" spans="1:10" x14ac:dyDescent="0.25">
      <c r="A5336" s="2">
        <v>1322.4407395348801</v>
      </c>
      <c r="B5336" s="3">
        <v>-0.44314458662825901</v>
      </c>
      <c r="C5336" s="5">
        <v>1.9785768481879301E-10</v>
      </c>
      <c r="D5336" s="6">
        <v>1.64956830092521E-9</v>
      </c>
      <c r="E5336" s="3" t="s">
        <v>3930</v>
      </c>
      <c r="F5336" s="3" t="s">
        <v>3931</v>
      </c>
      <c r="G5336" s="3">
        <v>16194</v>
      </c>
      <c r="H5336" s="7" t="str">
        <f>HYPERLINK("http://www.ensembl.org/Mus_musculus/Gene/Summary?db=core;g=ENSMUSG00000027947","ENSMUSG00000027947")</f>
        <v>ENSMUSG00000027947</v>
      </c>
      <c r="I5336" s="7" t="str">
        <f>HYPERLINK("http://www.informatics.jax.org/marker/MGI:105304","MGI:105304")</f>
        <v>MGI:105304</v>
      </c>
      <c r="J5336" s="4" t="s">
        <v>12</v>
      </c>
    </row>
    <row r="5337" spans="1:10" x14ac:dyDescent="0.25">
      <c r="A5337" s="2">
        <v>1362.3121376100501</v>
      </c>
      <c r="B5337" s="3">
        <v>-0.44315337273490302</v>
      </c>
      <c r="C5337" s="5">
        <v>9.6056625202033105E-6</v>
      </c>
      <c r="D5337" s="6">
        <v>4.7097982090585199E-5</v>
      </c>
      <c r="E5337" s="3" t="s">
        <v>4907</v>
      </c>
      <c r="F5337" s="3" t="s">
        <v>4908</v>
      </c>
      <c r="G5337" s="3">
        <v>109212</v>
      </c>
      <c r="H5337" s="7" t="str">
        <f>HYPERLINK("http://www.ensembl.org/Mus_musculus/Gene/Summary?db=core;g=ENSMUSG00000020808","ENSMUSG00000020808")</f>
        <v>ENSMUSG00000020808</v>
      </c>
      <c r="I5337" s="7" t="str">
        <f>HYPERLINK("http://www.informatics.jax.org/marker/MGI:1924434","MGI:1924434")</f>
        <v>MGI:1924434</v>
      </c>
      <c r="J5337" s="4" t="s">
        <v>12</v>
      </c>
    </row>
    <row r="5338" spans="1:10" x14ac:dyDescent="0.25">
      <c r="A5338" s="2">
        <v>507.95026841433702</v>
      </c>
      <c r="B5338" s="3">
        <v>-0.44316478756301803</v>
      </c>
      <c r="C5338" s="5">
        <v>9.5910668019263906E-9</v>
      </c>
      <c r="D5338" s="6">
        <v>6.6972104392761904E-8</v>
      </c>
      <c r="E5338" s="3" t="s">
        <v>7981</v>
      </c>
      <c r="F5338" s="3" t="s">
        <v>7982</v>
      </c>
      <c r="G5338" s="3">
        <v>227357</v>
      </c>
      <c r="H5338" s="7" t="str">
        <f>HYPERLINK("http://www.ensembl.org/Mus_musculus/Gene/Summary?db=core;g=ENSMUSG00000049515","ENSMUSG00000049515")</f>
        <v>ENSMUSG00000049515</v>
      </c>
      <c r="I5338" s="7" t="str">
        <f>HYPERLINK("http://www.informatics.jax.org/marker/MGI:2685402","MGI:2685402")</f>
        <v>MGI:2685402</v>
      </c>
      <c r="J5338" s="4" t="s">
        <v>12</v>
      </c>
    </row>
    <row r="5339" spans="1:10" x14ac:dyDescent="0.25">
      <c r="A5339" s="2">
        <v>51.2995460382609</v>
      </c>
      <c r="B5339" s="3">
        <v>-0.44357961514018301</v>
      </c>
      <c r="C5339" s="3">
        <v>9.4508202837656E-3</v>
      </c>
      <c r="D5339" s="4">
        <v>2.6662724407372801E-2</v>
      </c>
      <c r="E5339" s="3" t="s">
        <v>11483</v>
      </c>
      <c r="F5339" s="3" t="s">
        <v>11484</v>
      </c>
      <c r="G5339" s="3">
        <v>12589</v>
      </c>
      <c r="H5339" s="7" t="str">
        <f>HYPERLINK("http://www.ensembl.org/Mus_musculus/Gene/Summary?db=core;g=ENSMUSG00000029469","ENSMUSG00000029469")</f>
        <v>ENSMUSG00000029469</v>
      </c>
      <c r="I5339" s="7" t="str">
        <f>HYPERLINK("http://www.informatics.jax.org/marker/MGI:1098597","MGI:1098597")</f>
        <v>MGI:1098597</v>
      </c>
      <c r="J5339" s="4" t="s">
        <v>12</v>
      </c>
    </row>
    <row r="5340" spans="1:10" x14ac:dyDescent="0.25">
      <c r="A5340" s="2">
        <v>1005.29558204518</v>
      </c>
      <c r="B5340" s="3">
        <v>-0.44383384598680498</v>
      </c>
      <c r="C5340" s="5">
        <v>4.6968252550745303E-15</v>
      </c>
      <c r="D5340" s="6">
        <v>5.5261226774521203E-14</v>
      </c>
      <c r="E5340" s="3" t="s">
        <v>2493</v>
      </c>
      <c r="F5340" s="3" t="s">
        <v>2494</v>
      </c>
      <c r="G5340" s="3">
        <v>330662</v>
      </c>
      <c r="H5340" s="7" t="str">
        <f>HYPERLINK("http://www.ensembl.org/Mus_musculus/Gene/Summary?db=core;g=ENSMUSG00000058325","ENSMUSG00000058325")</f>
        <v>ENSMUSG00000058325</v>
      </c>
      <c r="I5340" s="7" t="str">
        <f>HYPERLINK("http://www.informatics.jax.org/marker/MGI:2429765","MGI:2429765")</f>
        <v>MGI:2429765</v>
      </c>
      <c r="J5340" s="4" t="s">
        <v>12</v>
      </c>
    </row>
    <row r="5341" spans="1:10" x14ac:dyDescent="0.25">
      <c r="A5341" s="2">
        <v>3001.6131749031501</v>
      </c>
      <c r="B5341" s="3">
        <v>-0.44384718807404999</v>
      </c>
      <c r="C5341" s="5">
        <v>1.27601340517086E-23</v>
      </c>
      <c r="D5341" s="6">
        <v>2.3925251346953601E-22</v>
      </c>
      <c r="E5341" s="3" t="s">
        <v>1336</v>
      </c>
      <c r="F5341" s="3" t="s">
        <v>1337</v>
      </c>
      <c r="G5341" s="3">
        <v>99138</v>
      </c>
      <c r="H5341" s="7" t="str">
        <f>HYPERLINK("http://www.ensembl.org/Mus_musculus/Gene/Summary?db=core;g=ENSMUSG00000027367","ENSMUSG00000027367")</f>
        <v>ENSMUSG00000027367</v>
      </c>
      <c r="I5341" s="7" t="str">
        <f>HYPERLINK("http://www.informatics.jax.org/marker/MGI:2139090","MGI:2139090")</f>
        <v>MGI:2139090</v>
      </c>
      <c r="J5341" s="4" t="s">
        <v>12</v>
      </c>
    </row>
    <row r="5342" spans="1:10" x14ac:dyDescent="0.25">
      <c r="A5342" s="2">
        <v>395.41042401732301</v>
      </c>
      <c r="B5342" s="3">
        <v>-0.44408851226623097</v>
      </c>
      <c r="C5342" s="3">
        <v>1.8574645138597101E-4</v>
      </c>
      <c r="D5342" s="4">
        <v>7.41236933766E-4</v>
      </c>
      <c r="E5342" s="3" t="s">
        <v>6377</v>
      </c>
      <c r="F5342" s="3" t="s">
        <v>6378</v>
      </c>
      <c r="G5342" s="3">
        <v>69263</v>
      </c>
      <c r="H5342" s="7" t="str">
        <f>HYPERLINK("http://www.ensembl.org/Mus_musculus/Gene/Summary?db=core;g=ENSMUSG00000033970","ENSMUSG00000033970")</f>
        <v>ENSMUSG00000033970</v>
      </c>
      <c r="I5342" s="7" t="str">
        <f>HYPERLINK("http://www.informatics.jax.org/marker/MGI:1916513","MGI:1916513")</f>
        <v>MGI:1916513</v>
      </c>
      <c r="J5342" s="4" t="s">
        <v>12</v>
      </c>
    </row>
    <row r="5343" spans="1:10" x14ac:dyDescent="0.25">
      <c r="A5343" s="2">
        <v>91.631700700737198</v>
      </c>
      <c r="B5343" s="3">
        <v>-0.44422809727506701</v>
      </c>
      <c r="C5343" s="3">
        <v>1.6069745619664E-3</v>
      </c>
      <c r="D5343" s="4">
        <v>5.4376367233266998E-3</v>
      </c>
      <c r="E5343" s="3" t="s">
        <v>8295</v>
      </c>
      <c r="F5343" s="3" t="s">
        <v>8296</v>
      </c>
      <c r="G5343" s="3">
        <v>72083</v>
      </c>
      <c r="H5343" s="7" t="str">
        <f>HYPERLINK("http://www.ensembl.org/Mus_musculus/Gene/Summary?db=core;g=ENSMUSG00000022671","ENSMUSG00000022671")</f>
        <v>ENSMUSG00000022671</v>
      </c>
      <c r="I5343" s="7" t="str">
        <f>HYPERLINK("http://www.informatics.jax.org/marker/MGI:1922845","MGI:1922845")</f>
        <v>MGI:1922845</v>
      </c>
      <c r="J5343" s="4" t="s">
        <v>12</v>
      </c>
    </row>
    <row r="5344" spans="1:10" x14ac:dyDescent="0.25">
      <c r="A5344" s="2">
        <v>337.93083613755499</v>
      </c>
      <c r="B5344" s="3">
        <v>-0.44447049615958001</v>
      </c>
      <c r="C5344" s="5">
        <v>9.4888533932668898E-10</v>
      </c>
      <c r="D5344" s="6">
        <v>7.3714558010353398E-9</v>
      </c>
      <c r="E5344" s="3" t="s">
        <v>6996</v>
      </c>
      <c r="F5344" s="3" t="s">
        <v>6997</v>
      </c>
      <c r="G5344" s="3">
        <v>353282</v>
      </c>
      <c r="H5344" s="7" t="str">
        <f>HYPERLINK("http://www.ensembl.org/Mus_musculus/Gene/Summary?db=core;g=ENSMUSG00000061186","ENSMUSG00000061186")</f>
        <v>ENSMUSG00000061186</v>
      </c>
      <c r="I5344" s="7" t="str">
        <f>HYPERLINK("http://www.informatics.jax.org/marker/MGI:2447794","MGI:2447794")</f>
        <v>MGI:2447794</v>
      </c>
      <c r="J5344" s="4" t="s">
        <v>12</v>
      </c>
    </row>
    <row r="5345" spans="1:10" x14ac:dyDescent="0.25">
      <c r="A5345" s="2">
        <v>1230.5461660349499</v>
      </c>
      <c r="B5345" s="3">
        <v>-0.44463052095129102</v>
      </c>
      <c r="C5345" s="5">
        <v>5.0571993167843599E-10</v>
      </c>
      <c r="D5345" s="6">
        <v>4.05309839702704E-9</v>
      </c>
      <c r="E5345" s="3" t="s">
        <v>6689</v>
      </c>
      <c r="F5345" s="3" t="s">
        <v>6690</v>
      </c>
      <c r="G5345" s="3">
        <v>20416</v>
      </c>
      <c r="H5345" s="7" t="str">
        <f>HYPERLINK("http://www.ensembl.org/Mus_musculus/Gene/Summary?db=core;g=ENSMUSG00000042626","ENSMUSG00000042626")</f>
        <v>ENSMUSG00000042626</v>
      </c>
      <c r="I5345" s="7" t="str">
        <f>HYPERLINK("http://www.informatics.jax.org/marker/MGI:98296","MGI:98296")</f>
        <v>MGI:98296</v>
      </c>
      <c r="J5345" s="4" t="s">
        <v>12</v>
      </c>
    </row>
    <row r="5346" spans="1:10" x14ac:dyDescent="0.25">
      <c r="A5346" s="2">
        <v>290.77288903975301</v>
      </c>
      <c r="B5346" s="3">
        <v>-0.44509374246656003</v>
      </c>
      <c r="C5346" s="3">
        <v>1.3089104771473001E-4</v>
      </c>
      <c r="D5346" s="4">
        <v>5.3620430324959197E-4</v>
      </c>
      <c r="E5346" s="3" t="s">
        <v>10858</v>
      </c>
      <c r="F5346" s="3" t="s">
        <v>10859</v>
      </c>
      <c r="G5346" s="3">
        <v>18163</v>
      </c>
      <c r="H5346" s="7" t="str">
        <f>HYPERLINK("http://www.ensembl.org/Mus_musculus/Gene/Summary?db=core;g=ENSMUSG00000022240","ENSMUSG00000022240")</f>
        <v>ENSMUSG00000022240</v>
      </c>
      <c r="I5346" s="7" t="str">
        <f>HYPERLINK("http://www.informatics.jax.org/marker/MGI:1195966","MGI:1195966")</f>
        <v>MGI:1195966</v>
      </c>
      <c r="J5346" s="4" t="s">
        <v>12</v>
      </c>
    </row>
    <row r="5347" spans="1:10" x14ac:dyDescent="0.25">
      <c r="A5347" s="2">
        <v>2511.3416847408098</v>
      </c>
      <c r="B5347" s="3">
        <v>-0.44516791225136698</v>
      </c>
      <c r="C5347" s="3">
        <v>1.2698203281194601E-3</v>
      </c>
      <c r="D5347" s="4">
        <v>4.3855363805149102E-3</v>
      </c>
      <c r="E5347" s="3" t="s">
        <v>11717</v>
      </c>
      <c r="F5347" s="3" t="s">
        <v>11718</v>
      </c>
      <c r="G5347" s="3">
        <v>20787</v>
      </c>
      <c r="H5347" s="7" t="str">
        <f>HYPERLINK("http://www.ensembl.org/Mus_musculus/Gene/Summary?db=core;g=ENSMUSG00000020538","ENSMUSG00000020538")</f>
        <v>ENSMUSG00000020538</v>
      </c>
      <c r="I5347" s="7" t="str">
        <f>HYPERLINK("http://www.informatics.jax.org/marker/MGI:107606","MGI:107606")</f>
        <v>MGI:107606</v>
      </c>
      <c r="J5347" s="4" t="s">
        <v>12</v>
      </c>
    </row>
    <row r="5348" spans="1:10" x14ac:dyDescent="0.25">
      <c r="A5348" s="2">
        <v>519.70038799534404</v>
      </c>
      <c r="B5348" s="3">
        <v>-0.44596419834971401</v>
      </c>
      <c r="C5348" s="5">
        <v>2.3368422774982601E-6</v>
      </c>
      <c r="D5348" s="6">
        <v>1.24274731565234E-5</v>
      </c>
      <c r="E5348" s="3" t="s">
        <v>4205</v>
      </c>
      <c r="F5348" s="3" t="s">
        <v>4206</v>
      </c>
      <c r="G5348" s="3">
        <v>12545</v>
      </c>
      <c r="H5348" s="7" t="str">
        <f>HYPERLINK("http://www.ensembl.org/Mus_musculus/Gene/Summary?db=core;g=ENSMUSG00000029283","ENSMUSG00000029283")</f>
        <v>ENSMUSG00000029283</v>
      </c>
      <c r="I5348" s="7" t="str">
        <f>HYPERLINK("http://www.informatics.jax.org/marker/MGI:1309511","MGI:1309511")</f>
        <v>MGI:1309511</v>
      </c>
      <c r="J5348" s="4" t="s">
        <v>12</v>
      </c>
    </row>
    <row r="5349" spans="1:10" x14ac:dyDescent="0.25">
      <c r="A5349" s="2">
        <v>1700.2690850476299</v>
      </c>
      <c r="B5349" s="3">
        <v>-0.44612436595274102</v>
      </c>
      <c r="C5349" s="5">
        <v>3.3925541033222101E-28</v>
      </c>
      <c r="D5349" s="6">
        <v>7.8264934851958596E-27</v>
      </c>
      <c r="E5349" s="3" t="s">
        <v>1764</v>
      </c>
      <c r="F5349" s="3" t="s">
        <v>1765</v>
      </c>
      <c r="G5349" s="3">
        <v>72754</v>
      </c>
      <c r="H5349" s="7" t="str">
        <f>HYPERLINK("http://www.ensembl.org/Mus_musculus/Gene/Summary?db=core;g=ENSMUSG00000040964","ENSMUSG00000040964")</f>
        <v>ENSMUSG00000040964</v>
      </c>
      <c r="I5349" s="7" t="str">
        <f>HYPERLINK("http://www.informatics.jax.org/marker/MGI:1920004","MGI:1920004")</f>
        <v>MGI:1920004</v>
      </c>
      <c r="J5349" s="4" t="s">
        <v>12</v>
      </c>
    </row>
    <row r="5350" spans="1:10" x14ac:dyDescent="0.25">
      <c r="A5350" s="2">
        <v>3290.3818844350699</v>
      </c>
      <c r="B5350" s="3">
        <v>-0.446216040262784</v>
      </c>
      <c r="C5350" s="5">
        <v>6.0408727730609998E-16</v>
      </c>
      <c r="D5350" s="6">
        <v>7.5459154413321906E-15</v>
      </c>
      <c r="E5350" s="3" t="s">
        <v>3140</v>
      </c>
      <c r="F5350" s="3" t="s">
        <v>3141</v>
      </c>
      <c r="G5350" s="3">
        <v>216963</v>
      </c>
      <c r="H5350" s="7" t="str">
        <f>HYPERLINK("http://www.ensembl.org/Mus_musculus/Gene/Summary?db=core;g=ENSMUSG00000011877","ENSMUSG00000011877")</f>
        <v>ENSMUSG00000011877</v>
      </c>
      <c r="I5350" s="7" t="str">
        <f>HYPERLINK("http://www.informatics.jax.org/marker/MGI:1927140","MGI:1927140")</f>
        <v>MGI:1927140</v>
      </c>
      <c r="J5350" s="4" t="s">
        <v>12</v>
      </c>
    </row>
    <row r="5351" spans="1:10" x14ac:dyDescent="0.25">
      <c r="A5351" s="2">
        <v>1720.7572198728001</v>
      </c>
      <c r="B5351" s="3">
        <v>-0.446474258380675</v>
      </c>
      <c r="C5351" s="5">
        <v>8.96456460187917E-10</v>
      </c>
      <c r="D5351" s="6">
        <v>6.9969674462204597E-9</v>
      </c>
      <c r="E5351" s="3" t="s">
        <v>4511</v>
      </c>
      <c r="F5351" s="3" t="s">
        <v>4512</v>
      </c>
      <c r="G5351" s="3">
        <v>16765</v>
      </c>
      <c r="H5351" s="7" t="str">
        <f>HYPERLINK("http://www.ensembl.org/Mus_musculus/Gene/Summary?db=core;g=ENSMUSG00000028832","ENSMUSG00000028832")</f>
        <v>ENSMUSG00000028832</v>
      </c>
      <c r="I5351" s="7" t="str">
        <f>HYPERLINK("http://www.informatics.jax.org/marker/MGI:96739","MGI:96739")</f>
        <v>MGI:96739</v>
      </c>
      <c r="J5351" s="4" t="s">
        <v>12</v>
      </c>
    </row>
    <row r="5352" spans="1:10" x14ac:dyDescent="0.25">
      <c r="A5352" s="2">
        <v>184.57918352989199</v>
      </c>
      <c r="B5352" s="3">
        <v>-0.44688105420472601</v>
      </c>
      <c r="C5352" s="5">
        <v>2.4236639527619598E-6</v>
      </c>
      <c r="D5352" s="6">
        <v>1.28666692511176E-5</v>
      </c>
      <c r="E5352" s="3" t="s">
        <v>8751</v>
      </c>
      <c r="F5352" s="3" t="s">
        <v>8752</v>
      </c>
      <c r="G5352" s="3">
        <v>57916</v>
      </c>
      <c r="H5352" s="7" t="str">
        <f>HYPERLINK("http://www.ensembl.org/Mus_musculus/Gene/Summary?db=core;g=ENSMUSG00000010142","ENSMUSG00000010142")</f>
        <v>ENSMUSG00000010142</v>
      </c>
      <c r="I5352" s="7" t="str">
        <f>HYPERLINK("http://www.informatics.jax.org/marker/MGI:1889411","MGI:1889411")</f>
        <v>MGI:1889411</v>
      </c>
      <c r="J5352" s="4" t="s">
        <v>12</v>
      </c>
    </row>
    <row r="5353" spans="1:10" x14ac:dyDescent="0.25">
      <c r="A5353" s="2">
        <v>490.652427632637</v>
      </c>
      <c r="B5353" s="3">
        <v>-0.44705481648457102</v>
      </c>
      <c r="C5353" s="5">
        <v>2.6290671624290201E-7</v>
      </c>
      <c r="D5353" s="6">
        <v>1.57200620194452E-6</v>
      </c>
      <c r="E5353" s="3" t="s">
        <v>5787</v>
      </c>
      <c r="F5353" s="3" t="s">
        <v>5788</v>
      </c>
      <c r="G5353" s="3">
        <v>16554</v>
      </c>
      <c r="H5353" s="7" t="str">
        <f>HYPERLINK("http://www.ensembl.org/Mus_musculus/Gene/Summary?db=core;g=ENSMUSG00000060012","ENSMUSG00000060012")</f>
        <v>ENSMUSG00000060012</v>
      </c>
      <c r="I5353" s="7" t="str">
        <f>HYPERLINK("http://www.informatics.jax.org/marker/MGI:1098265","MGI:1098265")</f>
        <v>MGI:1098265</v>
      </c>
      <c r="J5353" s="4" t="s">
        <v>12</v>
      </c>
    </row>
    <row r="5354" spans="1:10" x14ac:dyDescent="0.25">
      <c r="A5354" s="2">
        <v>16.2892983468792</v>
      </c>
      <c r="B5354" s="3">
        <v>-0.447067694567644</v>
      </c>
      <c r="C5354" s="3">
        <v>0.104517167153201</v>
      </c>
      <c r="D5354" s="4">
        <v>0.21068746503341201</v>
      </c>
      <c r="E5354" s="3" t="s">
        <v>13679</v>
      </c>
      <c r="F5354" s="3" t="s">
        <v>13680</v>
      </c>
      <c r="G5354" s="3" t="s">
        <v>83</v>
      </c>
      <c r="H5354" s="7" t="str">
        <f>HYPERLINK("http://www.ensembl.org/Mus_musculus/Gene/Summary?db=core;g=ENSMUSG00000097636","ENSMUSG00000097636")</f>
        <v>ENSMUSG00000097636</v>
      </c>
      <c r="I5354" s="7" t="str">
        <f>HYPERLINK("http://www.informatics.jax.org/marker/MGI:1922001","MGI:1922001")</f>
        <v>MGI:1922001</v>
      </c>
      <c r="J5354" s="4" t="s">
        <v>331</v>
      </c>
    </row>
    <row r="5355" spans="1:10" x14ac:dyDescent="0.25">
      <c r="A5355" s="2">
        <v>2015.4215327975401</v>
      </c>
      <c r="B5355" s="3">
        <v>-0.447131928873366</v>
      </c>
      <c r="C5355" s="5">
        <v>9.8044081029370109E-10</v>
      </c>
      <c r="D5355" s="6">
        <v>7.5994926136559204E-9</v>
      </c>
      <c r="E5355" s="3" t="s">
        <v>4403</v>
      </c>
      <c r="F5355" s="3" t="s">
        <v>4404</v>
      </c>
      <c r="G5355" s="3">
        <v>104923</v>
      </c>
      <c r="H5355" s="7" t="str">
        <f>HYPERLINK("http://www.ensembl.org/Mus_musculus/Gene/Summary?db=core;g=ENSMUSG00000020629","ENSMUSG00000020629")</f>
        <v>ENSMUSG00000020629</v>
      </c>
      <c r="I5355" s="7" t="str">
        <f>HYPERLINK("http://www.informatics.jax.org/marker/MGI:2144929","MGI:2144929")</f>
        <v>MGI:2144929</v>
      </c>
      <c r="J5355" s="4" t="s">
        <v>12</v>
      </c>
    </row>
    <row r="5356" spans="1:10" x14ac:dyDescent="0.25">
      <c r="A5356" s="2">
        <v>204.01335613897399</v>
      </c>
      <c r="B5356" s="3">
        <v>-0.44714654894690697</v>
      </c>
      <c r="C5356" s="5">
        <v>8.0103019106789093E-6</v>
      </c>
      <c r="D5356" s="6">
        <v>3.9733932447677299E-5</v>
      </c>
      <c r="E5356" s="3" t="s">
        <v>9433</v>
      </c>
      <c r="F5356" s="3" t="s">
        <v>9434</v>
      </c>
      <c r="G5356" s="3">
        <v>69723</v>
      </c>
      <c r="H5356" s="7" t="str">
        <f>HYPERLINK("http://www.ensembl.org/Mus_musculus/Gene/Summary?db=core;g=ENSMUSG00000018449","ENSMUSG00000018449")</f>
        <v>ENSMUSG00000018449</v>
      </c>
      <c r="I5356" s="7" t="str">
        <f>HYPERLINK("http://www.informatics.jax.org/marker/MGI:1916973","MGI:1916973")</f>
        <v>MGI:1916973</v>
      </c>
      <c r="J5356" s="4" t="s">
        <v>12</v>
      </c>
    </row>
    <row r="5357" spans="1:10" x14ac:dyDescent="0.25">
      <c r="A5357" s="2">
        <v>150.78859230125099</v>
      </c>
      <c r="B5357" s="3">
        <v>-0.44723766116270602</v>
      </c>
      <c r="C5357" s="5">
        <v>4.4852606828948199E-5</v>
      </c>
      <c r="D5357" s="4">
        <v>1.9840746588776199E-4</v>
      </c>
      <c r="E5357" s="3" t="s">
        <v>5715</v>
      </c>
      <c r="F5357" s="3" t="s">
        <v>5716</v>
      </c>
      <c r="G5357" s="3">
        <v>58223</v>
      </c>
      <c r="H5357" s="7" t="str">
        <f>HYPERLINK("http://www.ensembl.org/Mus_musculus/Gene/Summary?db=core;g=ENSMUSG00000025355","ENSMUSG00000025355")</f>
        <v>ENSMUSG00000025355</v>
      </c>
      <c r="I5357" s="7" t="str">
        <f>HYPERLINK("http://www.informatics.jax.org/marker/MGI:1927899","MGI:1927899")</f>
        <v>MGI:1927899</v>
      </c>
      <c r="J5357" s="4" t="s">
        <v>12</v>
      </c>
    </row>
    <row r="5358" spans="1:10" x14ac:dyDescent="0.25">
      <c r="A5358" s="2">
        <v>524.18622715648598</v>
      </c>
      <c r="B5358" s="3">
        <v>-0.44734585554962902</v>
      </c>
      <c r="C5358" s="5">
        <v>3.2591001815936297E-10</v>
      </c>
      <c r="D5358" s="6">
        <v>2.6623532411270199E-9</v>
      </c>
      <c r="E5358" s="3" t="s">
        <v>5941</v>
      </c>
      <c r="F5358" s="3" t="s">
        <v>5942</v>
      </c>
      <c r="G5358" s="3">
        <v>67211</v>
      </c>
      <c r="H5358" s="7" t="str">
        <f>HYPERLINK("http://www.ensembl.org/Mus_musculus/Gene/Summary?db=core;g=ENSMUSG00000038525","ENSMUSG00000038525")</f>
        <v>ENSMUSG00000038525</v>
      </c>
      <c r="I5358" s="7" t="str">
        <f>HYPERLINK("http://www.informatics.jax.org/marker/MGI:1914461","MGI:1914461")</f>
        <v>MGI:1914461</v>
      </c>
      <c r="J5358" s="4" t="s">
        <v>12</v>
      </c>
    </row>
    <row r="5359" spans="1:10" x14ac:dyDescent="0.25">
      <c r="A5359" s="2">
        <v>57.187985011162901</v>
      </c>
      <c r="B5359" s="3">
        <v>-0.44753715928153998</v>
      </c>
      <c r="C5359" s="3">
        <v>4.32748753119619E-3</v>
      </c>
      <c r="D5359" s="4">
        <v>1.32130105974285E-2</v>
      </c>
      <c r="E5359" s="3" t="s">
        <v>11309</v>
      </c>
      <c r="F5359" s="3" t="s">
        <v>11310</v>
      </c>
      <c r="G5359" s="3">
        <v>105734</v>
      </c>
      <c r="H5359" s="7" t="str">
        <f>HYPERLINK("http://www.ensembl.org/Mus_musculus/Gene/Summary?db=core;g=ENSMUSG00000103906","ENSMUSG00000103906")</f>
        <v>ENSMUSG00000103906</v>
      </c>
      <c r="I5359" s="7" t="str">
        <f>HYPERLINK("http://www.informatics.jax.org/marker/MGI:2145902","MGI:2145902")</f>
        <v>MGI:2145902</v>
      </c>
      <c r="J5359" s="4" t="s">
        <v>12</v>
      </c>
    </row>
    <row r="5360" spans="1:10" x14ac:dyDescent="0.25">
      <c r="A5360" s="2">
        <v>362.903007316669</v>
      </c>
      <c r="B5360" s="3">
        <v>-0.44803278126476298</v>
      </c>
      <c r="C5360" s="5">
        <v>8.3669716022009899E-10</v>
      </c>
      <c r="D5360" s="6">
        <v>6.5642728131774903E-9</v>
      </c>
      <c r="E5360" s="3" t="s">
        <v>4277</v>
      </c>
      <c r="F5360" s="3" t="s">
        <v>4278</v>
      </c>
      <c r="G5360" s="3">
        <v>68201</v>
      </c>
      <c r="H5360" s="7" t="str">
        <f>HYPERLINK("http://www.ensembl.org/Mus_musculus/Gene/Summary?db=core;g=ENSMUSG00000027160","ENSMUSG00000027160")</f>
        <v>ENSMUSG00000027160</v>
      </c>
      <c r="I5360" s="7" t="str">
        <f>HYPERLINK("http://www.informatics.jax.org/marker/MGI:1915451","MGI:1915451")</f>
        <v>MGI:1915451</v>
      </c>
      <c r="J5360" s="4" t="s">
        <v>12</v>
      </c>
    </row>
    <row r="5361" spans="1:10" x14ac:dyDescent="0.25">
      <c r="A5361" s="2">
        <v>1961.7620084412999</v>
      </c>
      <c r="B5361" s="3">
        <v>-0.44803864324766401</v>
      </c>
      <c r="C5361" s="5">
        <v>4.7564740221031896E-16</v>
      </c>
      <c r="D5361" s="6">
        <v>6.0032367765118203E-15</v>
      </c>
      <c r="E5361" s="3" t="s">
        <v>5763</v>
      </c>
      <c r="F5361" s="3" t="s">
        <v>5764</v>
      </c>
      <c r="G5361" s="3">
        <v>19134</v>
      </c>
      <c r="H5361" s="7" t="str">
        <f>HYPERLINK("http://www.ensembl.org/Mus_musculus/Gene/Summary?db=core;g=ENSMUSG00000021413","ENSMUSG00000021413")</f>
        <v>ENSMUSG00000021413</v>
      </c>
      <c r="I5361" s="7" t="str">
        <f>HYPERLINK("http://www.informatics.jax.org/marker/MGI:109584","MGI:109584")</f>
        <v>MGI:109584</v>
      </c>
      <c r="J5361" s="4" t="s">
        <v>12</v>
      </c>
    </row>
    <row r="5362" spans="1:10" x14ac:dyDescent="0.25">
      <c r="A5362" s="2">
        <v>643.02718318595896</v>
      </c>
      <c r="B5362" s="3">
        <v>-0.44887557419764201</v>
      </c>
      <c r="C5362" s="5">
        <v>6.5350502919415497E-14</v>
      </c>
      <c r="D5362" s="6">
        <v>7.1661426937806803E-13</v>
      </c>
      <c r="E5362" s="3" t="s">
        <v>3370</v>
      </c>
      <c r="F5362" s="3" t="s">
        <v>3371</v>
      </c>
      <c r="G5362" s="3">
        <v>108934</v>
      </c>
      <c r="H5362" s="7" t="str">
        <f>HYPERLINK("http://www.ensembl.org/Mus_musculus/Gene/Summary?db=core;g=ENSMUSG00000091264","ENSMUSG00000091264")</f>
        <v>ENSMUSG00000091264</v>
      </c>
      <c r="I5362" s="7" t="str">
        <f>HYPERLINK("http://www.informatics.jax.org/marker/MGI:2652854","MGI:2652854")</f>
        <v>MGI:2652854</v>
      </c>
      <c r="J5362" s="4" t="s">
        <v>12</v>
      </c>
    </row>
    <row r="5363" spans="1:10" x14ac:dyDescent="0.25">
      <c r="A5363" s="2">
        <v>373.38119496888697</v>
      </c>
      <c r="B5363" s="3">
        <v>-0.44926099811652798</v>
      </c>
      <c r="C5363" s="5">
        <v>7.9811723291658201E-9</v>
      </c>
      <c r="D5363" s="6">
        <v>5.6204353052182002E-8</v>
      </c>
      <c r="E5363" s="3" t="s">
        <v>4719</v>
      </c>
      <c r="F5363" s="3" t="s">
        <v>4720</v>
      </c>
      <c r="G5363" s="3">
        <v>56844</v>
      </c>
      <c r="H5363" s="7" t="str">
        <f>HYPERLINK("http://www.ensembl.org/Mus_musculus/Gene/Summary?db=core;g=ENSMUSG00000045752","ENSMUSG00000045752")</f>
        <v>ENSMUSG00000045752</v>
      </c>
      <c r="I5363" s="7" t="str">
        <f>HYPERLINK("http://www.informatics.jax.org/marker/MGI:1861712","MGI:1861712")</f>
        <v>MGI:1861712</v>
      </c>
      <c r="J5363" s="4" t="s">
        <v>12</v>
      </c>
    </row>
    <row r="5364" spans="1:10" x14ac:dyDescent="0.25">
      <c r="A5364" s="2">
        <v>483.73895354958398</v>
      </c>
      <c r="B5364" s="3">
        <v>-0.44940158421107401</v>
      </c>
      <c r="C5364" s="5">
        <v>1.3377527983687899E-6</v>
      </c>
      <c r="D5364" s="6">
        <v>7.3457501507295104E-6</v>
      </c>
      <c r="E5364" s="3" t="s">
        <v>4545</v>
      </c>
      <c r="F5364" s="3" t="s">
        <v>4546</v>
      </c>
      <c r="G5364" s="3">
        <v>74616</v>
      </c>
      <c r="H5364" s="7" t="str">
        <f>HYPERLINK("http://www.ensembl.org/Mus_musculus/Gene/Summary?db=core;g=ENSMUSG00000008226","ENSMUSG00000008226")</f>
        <v>ENSMUSG00000008226</v>
      </c>
      <c r="I5364" s="7" t="str">
        <f>HYPERLINK("http://www.informatics.jax.org/marker/MGI:1921866","MGI:1921866")</f>
        <v>MGI:1921866</v>
      </c>
      <c r="J5364" s="4" t="s">
        <v>12</v>
      </c>
    </row>
    <row r="5365" spans="1:10" x14ac:dyDescent="0.25">
      <c r="A5365" s="2">
        <v>227.148928114234</v>
      </c>
      <c r="B5365" s="3">
        <v>-0.44952595361949099</v>
      </c>
      <c r="C5365" s="5">
        <v>1.0289949722087801E-7</v>
      </c>
      <c r="D5365" s="6">
        <v>6.4334248262452998E-7</v>
      </c>
      <c r="E5365" s="3" t="s">
        <v>6768</v>
      </c>
      <c r="F5365" s="3" t="s">
        <v>6769</v>
      </c>
      <c r="G5365" s="3">
        <v>67288</v>
      </c>
      <c r="H5365" s="7" t="str">
        <f>HYPERLINK("http://www.ensembl.org/Mus_musculus/Gene/Summary?db=core;g=ENSMUSG00000021716","ENSMUSG00000021716")</f>
        <v>ENSMUSG00000021716</v>
      </c>
      <c r="I5365" s="7" t="str">
        <f>HYPERLINK("http://www.informatics.jax.org/marker/MGI:1914538","MGI:1914538")</f>
        <v>MGI:1914538</v>
      </c>
      <c r="J5365" s="4" t="s">
        <v>12</v>
      </c>
    </row>
    <row r="5366" spans="1:10" x14ac:dyDescent="0.25">
      <c r="A5366" s="2">
        <v>2988.79637511292</v>
      </c>
      <c r="B5366" s="3">
        <v>-0.44960423102069502</v>
      </c>
      <c r="C5366" s="5">
        <v>4.5713708767572203E-23</v>
      </c>
      <c r="D5366" s="6">
        <v>8.34801946181365E-22</v>
      </c>
      <c r="E5366" s="3" t="s">
        <v>1849</v>
      </c>
      <c r="F5366" s="3" t="s">
        <v>1850</v>
      </c>
      <c r="G5366" s="3">
        <v>228880</v>
      </c>
      <c r="H5366" s="7" t="str">
        <f>HYPERLINK("http://www.ensembl.org/Mus_musculus/Gene/Summary?db=core;g=ENSMUSG00000039671","ENSMUSG00000039671")</f>
        <v>ENSMUSG00000039671</v>
      </c>
      <c r="I5366" s="7" t="str">
        <f>HYPERLINK("http://www.informatics.jax.org/marker/MGI:1918025","MGI:1918025")</f>
        <v>MGI:1918025</v>
      </c>
      <c r="J5366" s="4" t="s">
        <v>12</v>
      </c>
    </row>
    <row r="5367" spans="1:10" x14ac:dyDescent="0.25">
      <c r="A5367" s="2">
        <v>286.48048444663698</v>
      </c>
      <c r="B5367" s="3">
        <v>-0.45139055633703501</v>
      </c>
      <c r="C5367" s="5">
        <v>7.6133938199741603E-6</v>
      </c>
      <c r="D5367" s="6">
        <v>3.7890251875758902E-5</v>
      </c>
      <c r="E5367" s="3" t="s">
        <v>11813</v>
      </c>
      <c r="F5367" s="3" t="s">
        <v>11814</v>
      </c>
      <c r="G5367" s="3">
        <v>103080</v>
      </c>
      <c r="H5367" s="7" t="str">
        <f>HYPERLINK("http://www.ensembl.org/Mus_musculus/Gene/Summary?db=core;g=ENSMUSG00000019917","ENSMUSG00000019917")</f>
        <v>ENSMUSG00000019917</v>
      </c>
      <c r="I5367" s="7" t="str">
        <f>HYPERLINK("http://www.informatics.jax.org/marker/MGI:1918110","MGI:1918110")</f>
        <v>MGI:1918110</v>
      </c>
      <c r="J5367" s="4" t="s">
        <v>12</v>
      </c>
    </row>
    <row r="5368" spans="1:10" x14ac:dyDescent="0.25">
      <c r="A5368" s="2">
        <v>378.31221056338097</v>
      </c>
      <c r="B5368" s="3">
        <v>-0.45153450471266698</v>
      </c>
      <c r="C5368" s="5">
        <v>1.50777845686077E-8</v>
      </c>
      <c r="D5368" s="6">
        <v>1.03073002161619E-7</v>
      </c>
      <c r="E5368" s="3" t="s">
        <v>4791</v>
      </c>
      <c r="F5368" s="3" t="s">
        <v>4792</v>
      </c>
      <c r="G5368" s="3">
        <v>80280</v>
      </c>
      <c r="H5368" s="7" t="str">
        <f>HYPERLINK("http://www.ensembl.org/Mus_musculus/Gene/Summary?db=core;g=ENSMUSG00000018669","ENSMUSG00000018669")</f>
        <v>ENSMUSG00000018669</v>
      </c>
      <c r="I5368" s="7" t="str">
        <f>HYPERLINK("http://www.informatics.jax.org/marker/MGI:1933126","MGI:1933126")</f>
        <v>MGI:1933126</v>
      </c>
      <c r="J5368" s="4" t="s">
        <v>12</v>
      </c>
    </row>
    <row r="5369" spans="1:10" x14ac:dyDescent="0.25">
      <c r="A5369" s="2">
        <v>527.41507136909001</v>
      </c>
      <c r="B5369" s="3">
        <v>-0.451535361642243</v>
      </c>
      <c r="C5369" s="5">
        <v>1.3481223954282599E-6</v>
      </c>
      <c r="D5369" s="6">
        <v>7.3982326578380001E-6</v>
      </c>
      <c r="E5369" s="3" t="s">
        <v>3642</v>
      </c>
      <c r="F5369" s="3" t="s">
        <v>3643</v>
      </c>
      <c r="G5369" s="3">
        <v>14841</v>
      </c>
      <c r="H5369" s="7" t="str">
        <f>HYPERLINK("http://www.ensembl.org/Mus_musculus/Gene/Summary?db=core;g=ENSMUSG00000050107","ENSMUSG00000050107")</f>
        <v>ENSMUSG00000050107</v>
      </c>
      <c r="I5369" s="7" t="str">
        <f>HYPERLINK("http://www.informatics.jax.org/marker/MGI:1194498","MGI:1194498")</f>
        <v>MGI:1194498</v>
      </c>
      <c r="J5369" s="4" t="s">
        <v>12</v>
      </c>
    </row>
    <row r="5370" spans="1:10" x14ac:dyDescent="0.25">
      <c r="A5370" s="2">
        <v>291.54442750769198</v>
      </c>
      <c r="B5370" s="3">
        <v>-0.45159716064644401</v>
      </c>
      <c r="C5370" s="5">
        <v>2.2180202467324901E-8</v>
      </c>
      <c r="D5370" s="6">
        <v>1.4883438511303299E-7</v>
      </c>
      <c r="E5370" s="3" t="s">
        <v>2565</v>
      </c>
      <c r="F5370" s="3" t="s">
        <v>2566</v>
      </c>
      <c r="G5370" s="3">
        <v>68145</v>
      </c>
      <c r="H5370" s="7" t="str">
        <f>HYPERLINK("http://www.ensembl.org/Mus_musculus/Gene/Summary?db=core;g=ENSMUSG00000016984","ENSMUSG00000016984")</f>
        <v>ENSMUSG00000016984</v>
      </c>
      <c r="I5370" s="7" t="str">
        <f>HYPERLINK("http://www.informatics.jax.org/marker/MGI:1915395","MGI:1915395")</f>
        <v>MGI:1915395</v>
      </c>
      <c r="J5370" s="4" t="s">
        <v>12</v>
      </c>
    </row>
    <row r="5371" spans="1:10" x14ac:dyDescent="0.25">
      <c r="A5371" s="2">
        <v>230.89634016744699</v>
      </c>
      <c r="B5371" s="3">
        <v>-0.45171448953575599</v>
      </c>
      <c r="C5371" s="5">
        <v>7.1334853429762704E-7</v>
      </c>
      <c r="D5371" s="6">
        <v>4.0225176477643102E-6</v>
      </c>
      <c r="E5371" s="3" t="s">
        <v>9339</v>
      </c>
      <c r="F5371" s="3" t="s">
        <v>9340</v>
      </c>
      <c r="G5371" s="3">
        <v>68259</v>
      </c>
      <c r="H5371" s="7" t="str">
        <f>HYPERLINK("http://www.ensembl.org/Mus_musculus/Gene/Summary?db=core;g=ENSMUSG00000027778","ENSMUSG00000027778")</f>
        <v>ENSMUSG00000027778</v>
      </c>
      <c r="I5371" s="7" t="str">
        <f>HYPERLINK("http://www.informatics.jax.org/marker/MGI:1915509","MGI:1915509")</f>
        <v>MGI:1915509</v>
      </c>
      <c r="J5371" s="4" t="s">
        <v>12</v>
      </c>
    </row>
    <row r="5372" spans="1:10" x14ac:dyDescent="0.25">
      <c r="A5372" s="2">
        <v>73.693807408267006</v>
      </c>
      <c r="B5372" s="3">
        <v>-0.45195572285632402</v>
      </c>
      <c r="C5372" s="3">
        <v>1.7155829100706399E-3</v>
      </c>
      <c r="D5372" s="4">
        <v>5.7612858920282704E-3</v>
      </c>
      <c r="E5372" s="3" t="s">
        <v>9497</v>
      </c>
      <c r="F5372" s="3" t="s">
        <v>9498</v>
      </c>
      <c r="G5372" s="3">
        <v>23957</v>
      </c>
      <c r="H5372" s="7" t="str">
        <f>HYPERLINK("http://www.ensembl.org/Mus_musculus/Gene/Summary?db=core;g=ENSMUSG00000037583","ENSMUSG00000037583")</f>
        <v>ENSMUSG00000037583</v>
      </c>
      <c r="I5372" s="7" t="str">
        <f>HYPERLINK("http://www.informatics.jax.org/marker/MGI:1346344","MGI:1346344")</f>
        <v>MGI:1346344</v>
      </c>
      <c r="J5372" s="4" t="s">
        <v>12</v>
      </c>
    </row>
    <row r="5373" spans="1:10" x14ac:dyDescent="0.25">
      <c r="A5373" s="2">
        <v>528.78569418050199</v>
      </c>
      <c r="B5373" s="3">
        <v>-0.45244354484935401</v>
      </c>
      <c r="C5373" s="5">
        <v>9.3155685725313897E-7</v>
      </c>
      <c r="D5373" s="6">
        <v>5.2014778564455997E-6</v>
      </c>
      <c r="E5373" s="3" t="s">
        <v>3175</v>
      </c>
      <c r="F5373" s="3" t="s">
        <v>3176</v>
      </c>
      <c r="G5373" s="3">
        <v>235380</v>
      </c>
      <c r="H5373" s="7" t="str">
        <f>HYPERLINK("http://www.ensembl.org/Mus_musculus/Gene/Summary?db=core;g=ENSMUSG00000041268","ENSMUSG00000041268")</f>
        <v>ENSMUSG00000041268</v>
      </c>
      <c r="I5373" s="7" t="str">
        <f>HYPERLINK("http://www.informatics.jax.org/marker/MGI:2444630","MGI:2444630")</f>
        <v>MGI:2444630</v>
      </c>
      <c r="J5373" s="4" t="s">
        <v>12</v>
      </c>
    </row>
    <row r="5374" spans="1:10" x14ac:dyDescent="0.25">
      <c r="A5374" s="2">
        <v>242.624392954651</v>
      </c>
      <c r="B5374" s="3">
        <v>-0.452583814049349</v>
      </c>
      <c r="C5374" s="5">
        <v>6.9979615980300904E-7</v>
      </c>
      <c r="D5374" s="6">
        <v>3.9546620193518897E-6</v>
      </c>
      <c r="E5374" s="3" t="s">
        <v>4137</v>
      </c>
      <c r="F5374" s="3" t="s">
        <v>4138</v>
      </c>
      <c r="G5374" s="3">
        <v>67196</v>
      </c>
      <c r="H5374" s="7" t="str">
        <f>HYPERLINK("http://www.ensembl.org/Mus_musculus/Gene/Summary?db=core;g=ENSMUSG00000026429","ENSMUSG00000026429")</f>
        <v>ENSMUSG00000026429</v>
      </c>
      <c r="I5374" s="7" t="str">
        <f>HYPERLINK("http://www.informatics.jax.org/marker/MGI:1914446","MGI:1914446")</f>
        <v>MGI:1914446</v>
      </c>
      <c r="J5374" s="4" t="s">
        <v>12</v>
      </c>
    </row>
    <row r="5375" spans="1:10" x14ac:dyDescent="0.25">
      <c r="A5375" s="2">
        <v>787.26827846623598</v>
      </c>
      <c r="B5375" s="3">
        <v>-0.452725994751215</v>
      </c>
      <c r="C5375" s="5">
        <v>6.2679102293581999E-5</v>
      </c>
      <c r="D5375" s="4">
        <v>2.7050121697857701E-4</v>
      </c>
      <c r="E5375" s="3" t="s">
        <v>6303</v>
      </c>
      <c r="F5375" s="3" t="s">
        <v>6304</v>
      </c>
      <c r="G5375" s="3">
        <v>226539</v>
      </c>
      <c r="H5375" s="7" t="str">
        <f>HYPERLINK("http://www.ensembl.org/Mus_musculus/Gene/Summary?db=core;g=ENSMUSG00000026709","ENSMUSG00000026709")</f>
        <v>ENSMUSG00000026709</v>
      </c>
      <c r="I5375" s="7" t="str">
        <f>HYPERLINK("http://www.informatics.jax.org/marker/MGI:2442510","MGI:2442510")</f>
        <v>MGI:2442510</v>
      </c>
      <c r="J5375" s="4" t="s">
        <v>12</v>
      </c>
    </row>
    <row r="5376" spans="1:10" x14ac:dyDescent="0.25">
      <c r="A5376" s="2">
        <v>769.94886929696997</v>
      </c>
      <c r="B5376" s="3">
        <v>-0.453177375246339</v>
      </c>
      <c r="C5376" s="5">
        <v>9.3374767439646497E-11</v>
      </c>
      <c r="D5376" s="6">
        <v>7.9894607351528505E-10</v>
      </c>
      <c r="E5376" s="3" t="s">
        <v>3846</v>
      </c>
      <c r="F5376" s="3" t="s">
        <v>3847</v>
      </c>
      <c r="G5376" s="3">
        <v>230594</v>
      </c>
      <c r="H5376" s="7" t="str">
        <f>HYPERLINK("http://www.ensembl.org/Mus_musculus/Gene/Summary?db=core;g=ENSMUSG00000034610","ENSMUSG00000034610")</f>
        <v>ENSMUSG00000034610</v>
      </c>
      <c r="I5376" s="7" t="str">
        <f>HYPERLINK("http://www.informatics.jax.org/marker/MGI:2445126","MGI:2445126")</f>
        <v>MGI:2445126</v>
      </c>
      <c r="J5376" s="4" t="s">
        <v>12</v>
      </c>
    </row>
    <row r="5377" spans="1:10" x14ac:dyDescent="0.25">
      <c r="A5377" s="2">
        <v>469.51617494298102</v>
      </c>
      <c r="B5377" s="3">
        <v>-0.453248492674379</v>
      </c>
      <c r="C5377" s="5">
        <v>2.5365426500877702E-13</v>
      </c>
      <c r="D5377" s="6">
        <v>2.6845812890737299E-12</v>
      </c>
      <c r="E5377" s="3" t="s">
        <v>3716</v>
      </c>
      <c r="F5377" s="3" t="s">
        <v>3717</v>
      </c>
      <c r="G5377" s="3">
        <v>231123</v>
      </c>
      <c r="H5377" s="7" t="str">
        <f>HYPERLINK("http://www.ensembl.org/Mus_musculus/Gene/Summary?db=core;g=ENSMUSG00000079555","ENSMUSG00000079555")</f>
        <v>ENSMUSG00000079555</v>
      </c>
      <c r="I5377" s="7" t="str">
        <f>HYPERLINK("http://www.informatics.jax.org/marker/MGI:2387633","MGI:2387633")</f>
        <v>MGI:2387633</v>
      </c>
      <c r="J5377" s="4" t="s">
        <v>12</v>
      </c>
    </row>
    <row r="5378" spans="1:10" x14ac:dyDescent="0.25">
      <c r="A5378" s="2">
        <v>302.44858313248</v>
      </c>
      <c r="B5378" s="3">
        <v>-0.453265905598565</v>
      </c>
      <c r="C5378" s="5">
        <v>2.64155701403798E-10</v>
      </c>
      <c r="D5378" s="6">
        <v>2.18233801363745E-9</v>
      </c>
      <c r="E5378" s="3" t="s">
        <v>5693</v>
      </c>
      <c r="F5378" s="3" t="s">
        <v>5694</v>
      </c>
      <c r="G5378" s="3">
        <v>69930</v>
      </c>
      <c r="H5378" s="7" t="str">
        <f>HYPERLINK("http://www.ensembl.org/Mus_musculus/Gene/Summary?db=core;g=ENSMUSG00000012640","ENSMUSG00000012640")</f>
        <v>ENSMUSG00000012640</v>
      </c>
      <c r="I5378" s="7" t="str">
        <f>HYPERLINK("http://www.informatics.jax.org/marker/MGI:1917180","MGI:1917180")</f>
        <v>MGI:1917180</v>
      </c>
      <c r="J5378" s="4" t="s">
        <v>12</v>
      </c>
    </row>
    <row r="5379" spans="1:10" x14ac:dyDescent="0.25">
      <c r="A5379" s="2">
        <v>3760.0692817599302</v>
      </c>
      <c r="B5379" s="3">
        <v>-0.45333226120898001</v>
      </c>
      <c r="C5379" s="5">
        <v>7.6058350922488296E-10</v>
      </c>
      <c r="D5379" s="6">
        <v>6.0111164161420201E-9</v>
      </c>
      <c r="E5379" s="3" t="s">
        <v>1929</v>
      </c>
      <c r="F5379" s="3" t="s">
        <v>1930</v>
      </c>
      <c r="G5379" s="3">
        <v>17218</v>
      </c>
      <c r="H5379" s="7" t="str">
        <f>HYPERLINK("http://www.ensembl.org/Mus_musculus/Gene/Summary?db=core;g=ENSMUSG00000005410","ENSMUSG00000005410")</f>
        <v>ENSMUSG00000005410</v>
      </c>
      <c r="I5379" s="7" t="str">
        <f>HYPERLINK("http://www.informatics.jax.org/marker/MGI:103197","MGI:103197")</f>
        <v>MGI:103197</v>
      </c>
      <c r="J5379" s="4" t="s">
        <v>12</v>
      </c>
    </row>
    <row r="5380" spans="1:10" x14ac:dyDescent="0.25">
      <c r="A5380" s="2">
        <v>97.093724329775199</v>
      </c>
      <c r="B5380" s="3">
        <v>-0.45379837372314302</v>
      </c>
      <c r="C5380" s="3">
        <v>2.1824491348803801E-4</v>
      </c>
      <c r="D5380" s="4">
        <v>8.6149307955804598E-4</v>
      </c>
      <c r="E5380" s="3" t="s">
        <v>9243</v>
      </c>
      <c r="F5380" s="3" t="s">
        <v>9244</v>
      </c>
      <c r="G5380" s="3">
        <v>68554</v>
      </c>
      <c r="H5380" s="7" t="str">
        <f>HYPERLINK("http://www.ensembl.org/Mus_musculus/Gene/Summary?db=core;g=ENSMUSG00000062691","ENSMUSG00000062691")</f>
        <v>ENSMUSG00000062691</v>
      </c>
      <c r="I5380" s="7" t="str">
        <f>HYPERLINK("http://www.informatics.jax.org/marker/MGI:1915804","MGI:1915804")</f>
        <v>MGI:1915804</v>
      </c>
      <c r="J5380" s="4" t="s">
        <v>12</v>
      </c>
    </row>
    <row r="5381" spans="1:10" x14ac:dyDescent="0.25">
      <c r="A5381" s="2">
        <v>619.66347180570199</v>
      </c>
      <c r="B5381" s="3">
        <v>-0.453865786260093</v>
      </c>
      <c r="C5381" s="5">
        <v>1.42939017003905E-7</v>
      </c>
      <c r="D5381" s="6">
        <v>8.8187663672856198E-7</v>
      </c>
      <c r="E5381" s="3" t="s">
        <v>8631</v>
      </c>
      <c r="F5381" s="3" t="s">
        <v>8632</v>
      </c>
      <c r="G5381" s="3">
        <v>78330</v>
      </c>
      <c r="H5381" s="7" t="str">
        <f>HYPERLINK("http://www.ensembl.org/Mus_musculus/Gene/Summary?db=core;g=ENSMUSG00000024038","ENSMUSG00000024038")</f>
        <v>ENSMUSG00000024038</v>
      </c>
      <c r="I5381" s="7" t="str">
        <f>HYPERLINK("http://www.informatics.jax.org/marker/MGI:1890894","MGI:1890894")</f>
        <v>MGI:1890894</v>
      </c>
      <c r="J5381" s="4" t="s">
        <v>12</v>
      </c>
    </row>
    <row r="5382" spans="1:10" x14ac:dyDescent="0.25">
      <c r="A5382" s="2">
        <v>3.8286044595851099</v>
      </c>
      <c r="B5382" s="3">
        <v>-0.45395338171939398</v>
      </c>
      <c r="C5382" s="3">
        <v>0.29986243213075198</v>
      </c>
      <c r="D5382" s="4">
        <v>0.47352853527276301</v>
      </c>
      <c r="E5382" s="3" t="s">
        <v>13405</v>
      </c>
      <c r="F5382" s="3" t="s">
        <v>13406</v>
      </c>
      <c r="G5382" s="3">
        <v>232790</v>
      </c>
      <c r="H5382" s="7" t="str">
        <f>HYPERLINK("http://www.ensembl.org/Mus_musculus/Gene/Summary?db=core;g=ENSMUSG00000054594","ENSMUSG00000054594")</f>
        <v>ENSMUSG00000054594</v>
      </c>
      <c r="I5382" s="7" t="str">
        <f>HYPERLINK("http://www.informatics.jax.org/marker/MGI:2179720","MGI:2179720")</f>
        <v>MGI:2179720</v>
      </c>
      <c r="J5382" s="4" t="s">
        <v>12</v>
      </c>
    </row>
    <row r="5383" spans="1:10" x14ac:dyDescent="0.25">
      <c r="A5383" s="2">
        <v>461.84385132804499</v>
      </c>
      <c r="B5383" s="3">
        <v>-0.45403062930454902</v>
      </c>
      <c r="C5383" s="3">
        <v>1.12547221806413E-4</v>
      </c>
      <c r="D5383" s="4">
        <v>4.6628168161442802E-4</v>
      </c>
      <c r="E5383" s="3" t="s">
        <v>8157</v>
      </c>
      <c r="F5383" s="3" t="s">
        <v>8158</v>
      </c>
      <c r="G5383" s="3">
        <v>244631</v>
      </c>
      <c r="H5383" s="7" t="str">
        <f>HYPERLINK("http://www.ensembl.org/Mus_musculus/Gene/Summary?db=core;g=ENSMUSG00000048310","ENSMUSG00000048310")</f>
        <v>ENSMUSG00000048310</v>
      </c>
      <c r="I5383" s="7" t="str">
        <f>HYPERLINK("http://www.informatics.jax.org/marker/MGI:3528383","MGI:3528383")</f>
        <v>MGI:3528383</v>
      </c>
      <c r="J5383" s="4" t="s">
        <v>12</v>
      </c>
    </row>
    <row r="5384" spans="1:10" x14ac:dyDescent="0.25">
      <c r="A5384" s="2">
        <v>220.78896023360599</v>
      </c>
      <c r="B5384" s="3">
        <v>-0.45407980035649598</v>
      </c>
      <c r="C5384" s="3">
        <v>5.6903132768598903E-4</v>
      </c>
      <c r="D5384" s="4">
        <v>2.0954932202621001E-3</v>
      </c>
      <c r="E5384" s="3" t="s">
        <v>9319</v>
      </c>
      <c r="F5384" s="3" t="s">
        <v>9320</v>
      </c>
      <c r="G5384" s="3">
        <v>218639</v>
      </c>
      <c r="H5384" s="7" t="str">
        <f>HYPERLINK("http://www.ensembl.org/Mus_musculus/Gene/Summary?db=core;g=ENSMUSG00000042348","ENSMUSG00000042348")</f>
        <v>ENSMUSG00000042348</v>
      </c>
      <c r="I5384" s="7" t="str">
        <f>HYPERLINK("http://www.informatics.jax.org/marker/MGI:2442308","MGI:2442308")</f>
        <v>MGI:2442308</v>
      </c>
      <c r="J5384" s="4" t="s">
        <v>12</v>
      </c>
    </row>
    <row r="5385" spans="1:10" x14ac:dyDescent="0.25">
      <c r="A5385" s="2">
        <v>1014.5000411987201</v>
      </c>
      <c r="B5385" s="3">
        <v>-0.45410783627284801</v>
      </c>
      <c r="C5385" s="5">
        <v>2.0742683397968198E-18</v>
      </c>
      <c r="D5385" s="6">
        <v>2.9979017044248197E-17</v>
      </c>
      <c r="E5385" s="3" t="s">
        <v>3542</v>
      </c>
      <c r="F5385" s="3" t="s">
        <v>3543</v>
      </c>
      <c r="G5385" s="3">
        <v>74192</v>
      </c>
      <c r="H5385" s="7" t="str">
        <f>HYPERLINK("http://www.ensembl.org/Mus_musculus/Gene/Summary?db=core;g=ENSMUSG00000026755","ENSMUSG00000026755")</f>
        <v>ENSMUSG00000026755</v>
      </c>
      <c r="I5385" s="7" t="str">
        <f>HYPERLINK("http://www.informatics.jax.org/marker/MGI:1921442","MGI:1921442")</f>
        <v>MGI:1921442</v>
      </c>
      <c r="J5385" s="4" t="s">
        <v>12</v>
      </c>
    </row>
    <row r="5386" spans="1:10" x14ac:dyDescent="0.25">
      <c r="A5386" s="2">
        <v>100.387199524498</v>
      </c>
      <c r="B5386" s="3">
        <v>-0.45411446726515198</v>
      </c>
      <c r="C5386" s="3">
        <v>1.01351219912098E-4</v>
      </c>
      <c r="D5386" s="4">
        <v>4.2345850135212798E-4</v>
      </c>
      <c r="E5386" s="3" t="s">
        <v>9885</v>
      </c>
      <c r="F5386" s="3" t="s">
        <v>9886</v>
      </c>
      <c r="G5386" s="3">
        <v>72569</v>
      </c>
      <c r="H5386" s="7" t="str">
        <f>HYPERLINK("http://www.ensembl.org/Mus_musculus/Gene/Summary?db=core;g=ENSMUSG00000063145","ENSMUSG00000063145")</f>
        <v>ENSMUSG00000063145</v>
      </c>
      <c r="I5386" s="7" t="str">
        <f>HYPERLINK("http://www.informatics.jax.org/marker/MGI:1919819","MGI:1919819")</f>
        <v>MGI:1919819</v>
      </c>
      <c r="J5386" s="4" t="s">
        <v>12</v>
      </c>
    </row>
    <row r="5387" spans="1:10" x14ac:dyDescent="0.25">
      <c r="A5387" s="2">
        <v>501.213777016405</v>
      </c>
      <c r="B5387" s="3">
        <v>-0.45433534201668202</v>
      </c>
      <c r="C5387" s="5">
        <v>1.21288041270023E-8</v>
      </c>
      <c r="D5387" s="6">
        <v>8.3825352754879195E-8</v>
      </c>
      <c r="E5387" s="3" t="s">
        <v>4031</v>
      </c>
      <c r="F5387" s="3" t="s">
        <v>4032</v>
      </c>
      <c r="G5387" s="3">
        <v>83383</v>
      </c>
      <c r="H5387" s="7" t="str">
        <f>HYPERLINK("http://www.ensembl.org/Mus_musculus/Gene/Summary?db=core;g=ENSMUSG00000005718","ENSMUSG00000005718")</f>
        <v>ENSMUSG00000005718</v>
      </c>
      <c r="I5387" s="7" t="str">
        <f>HYPERLINK("http://www.informatics.jax.org/marker/MGI:103239","MGI:103239")</f>
        <v>MGI:103239</v>
      </c>
      <c r="J5387" s="4" t="s">
        <v>12</v>
      </c>
    </row>
    <row r="5388" spans="1:10" x14ac:dyDescent="0.25">
      <c r="A5388" s="2">
        <v>33.499958299285701</v>
      </c>
      <c r="B5388" s="3">
        <v>-0.45470898652196401</v>
      </c>
      <c r="C5388" s="3">
        <v>1.8236017521934898E-2</v>
      </c>
      <c r="D5388" s="4">
        <v>4.7635290144369201E-2</v>
      </c>
      <c r="E5388" s="3" t="s">
        <v>10474</v>
      </c>
      <c r="F5388" s="3" t="s">
        <v>10475</v>
      </c>
      <c r="G5388" s="3">
        <v>11555</v>
      </c>
      <c r="H5388" s="7" t="str">
        <f>HYPERLINK("http://www.ensembl.org/Mus_musculus/Gene/Summary?db=core;g=ENSMUSG00000045730","ENSMUSG00000045730")</f>
        <v>ENSMUSG00000045730</v>
      </c>
      <c r="I5388" s="7" t="str">
        <f>HYPERLINK("http://www.informatics.jax.org/marker/MGI:87938","MGI:87938")</f>
        <v>MGI:87938</v>
      </c>
      <c r="J5388" s="4" t="s">
        <v>12</v>
      </c>
    </row>
    <row r="5389" spans="1:10" x14ac:dyDescent="0.25">
      <c r="A5389" s="2">
        <v>4.4170748950166496</v>
      </c>
      <c r="B5389" s="3">
        <v>-0.45494842049450102</v>
      </c>
      <c r="C5389" s="3">
        <v>0.30596642694969101</v>
      </c>
      <c r="D5389" s="4">
        <v>0.48033750806771602</v>
      </c>
      <c r="E5389" s="3" t="s">
        <v>13593</v>
      </c>
      <c r="F5389" s="3" t="s">
        <v>13594</v>
      </c>
      <c r="G5389" s="3">
        <v>384059</v>
      </c>
      <c r="H5389" s="7" t="str">
        <f>HYPERLINK("http://www.ensembl.org/Mus_musculus/Gene/Summary?db=core;g=ENSMUSG00000062545","ENSMUSG00000062545")</f>
        <v>ENSMUSG00000062545</v>
      </c>
      <c r="I5389" s="7" t="str">
        <f>HYPERLINK("http://www.informatics.jax.org/marker/MGI:3045221","MGI:3045221")</f>
        <v>MGI:3045221</v>
      </c>
      <c r="J5389" s="4" t="s">
        <v>12</v>
      </c>
    </row>
    <row r="5390" spans="1:10" x14ac:dyDescent="0.25">
      <c r="A5390" s="2">
        <v>105.95861246486101</v>
      </c>
      <c r="B5390" s="3">
        <v>-0.45502578728133902</v>
      </c>
      <c r="C5390" s="3">
        <v>3.60426618630801E-4</v>
      </c>
      <c r="D5390" s="4">
        <v>1.3673553548181399E-3</v>
      </c>
      <c r="E5390" s="3" t="s">
        <v>7858</v>
      </c>
      <c r="F5390" s="3" t="s">
        <v>7859</v>
      </c>
      <c r="G5390" s="3">
        <v>94190</v>
      </c>
      <c r="H5390" s="7" t="str">
        <f>HYPERLINK("http://www.ensembl.org/Mus_musculus/Gene/Summary?db=core;g=ENSMUSG00000031214","ENSMUSG00000031214")</f>
        <v>ENSMUSG00000031214</v>
      </c>
      <c r="I5390" s="7" t="str">
        <f>HYPERLINK("http://www.informatics.jax.org/marker/MGI:2151070","MGI:2151070")</f>
        <v>MGI:2151070</v>
      </c>
      <c r="J5390" s="4" t="s">
        <v>12</v>
      </c>
    </row>
    <row r="5391" spans="1:10" x14ac:dyDescent="0.25">
      <c r="A5391" s="2">
        <v>410.08159526915898</v>
      </c>
      <c r="B5391" s="3">
        <v>-0.45550416425917001</v>
      </c>
      <c r="C5391" s="5">
        <v>2.5769174207331401E-8</v>
      </c>
      <c r="D5391" s="6">
        <v>1.71653216348178E-7</v>
      </c>
      <c r="E5391" s="3" t="s">
        <v>5379</v>
      </c>
      <c r="F5391" s="3" t="s">
        <v>5380</v>
      </c>
      <c r="G5391" s="3">
        <v>93686</v>
      </c>
      <c r="H5391" s="7" t="str">
        <f>HYPERLINK("http://www.ensembl.org/Mus_musculus/Gene/Summary?db=core;g=ENSMUSG00000033565","ENSMUSG00000033565")</f>
        <v>ENSMUSG00000033565</v>
      </c>
      <c r="I5391" s="7" t="str">
        <f>HYPERLINK("http://www.informatics.jax.org/marker/MGI:1933973","MGI:1933973")</f>
        <v>MGI:1933973</v>
      </c>
      <c r="J5391" s="4" t="s">
        <v>12</v>
      </c>
    </row>
    <row r="5392" spans="1:10" x14ac:dyDescent="0.25">
      <c r="A5392" s="2">
        <v>527.52721702123699</v>
      </c>
      <c r="B5392" s="3">
        <v>-0.45556432897575899</v>
      </c>
      <c r="C5392" s="5">
        <v>1.11888875018521E-7</v>
      </c>
      <c r="D5392" s="6">
        <v>6.9620168904490999E-7</v>
      </c>
      <c r="E5392" s="3" t="s">
        <v>2972</v>
      </c>
      <c r="F5392" s="3" t="s">
        <v>2973</v>
      </c>
      <c r="G5392" s="3">
        <v>30954</v>
      </c>
      <c r="H5392" s="7" t="str">
        <f>HYPERLINK("http://www.ensembl.org/Mus_musculus/Gene/Summary?db=core;g=ENSMUSG00000064326","ENSMUSG00000064326")</f>
        <v>ENSMUSG00000064326</v>
      </c>
      <c r="I5392" s="7" t="str">
        <f>HYPERLINK("http://www.informatics.jax.org/marker/MGI:1353606","MGI:1353606")</f>
        <v>MGI:1353606</v>
      </c>
      <c r="J5392" s="4" t="s">
        <v>12</v>
      </c>
    </row>
    <row r="5393" spans="1:10" x14ac:dyDescent="0.25">
      <c r="A5393" s="2">
        <v>291.241017155603</v>
      </c>
      <c r="B5393" s="3">
        <v>-0.45593818271825098</v>
      </c>
      <c r="C5393" s="5">
        <v>5.3651221496739603E-7</v>
      </c>
      <c r="D5393" s="6">
        <v>3.0738557427792501E-6</v>
      </c>
      <c r="E5393" s="3" t="s">
        <v>5109</v>
      </c>
      <c r="F5393" s="3" t="s">
        <v>5110</v>
      </c>
      <c r="G5393" s="3">
        <v>74187</v>
      </c>
      <c r="H5393" s="7" t="str">
        <f>HYPERLINK("http://www.ensembl.org/Mus_musculus/Gene/Summary?db=core;g=ENSMUSG00000031787","ENSMUSG00000031787")</f>
        <v>ENSMUSG00000031787</v>
      </c>
      <c r="I5393" s="7" t="str">
        <f>HYPERLINK("http://www.informatics.jax.org/marker/MGI:1921437","MGI:1921437")</f>
        <v>MGI:1921437</v>
      </c>
      <c r="J5393" s="4" t="s">
        <v>12</v>
      </c>
    </row>
    <row r="5394" spans="1:10" x14ac:dyDescent="0.25">
      <c r="A5394" s="2">
        <v>45.328335105935302</v>
      </c>
      <c r="B5394" s="3">
        <v>-0.456415873497031</v>
      </c>
      <c r="C5394" s="3">
        <v>5.3215402326055802E-3</v>
      </c>
      <c r="D5394" s="4">
        <v>1.59122347398255E-2</v>
      </c>
      <c r="E5394" s="3" t="s">
        <v>12193</v>
      </c>
      <c r="F5394" s="3" t="s">
        <v>12194</v>
      </c>
      <c r="G5394" s="3">
        <v>14168</v>
      </c>
      <c r="H5394" s="7" t="str">
        <f>HYPERLINK("http://www.ensembl.org/Mus_musculus/Gene/Summary?db=core;g=ENSMUSG00000031137","ENSMUSG00000031137")</f>
        <v>ENSMUSG00000031137</v>
      </c>
      <c r="I5394" s="7" t="str">
        <f>HYPERLINK("http://www.informatics.jax.org/marker/MGI:109178","MGI:109178")</f>
        <v>MGI:109178</v>
      </c>
      <c r="J5394" s="4" t="s">
        <v>12</v>
      </c>
    </row>
    <row r="5395" spans="1:10" x14ac:dyDescent="0.25">
      <c r="A5395" s="2">
        <v>768.76911790555596</v>
      </c>
      <c r="B5395" s="3">
        <v>-0.45674501662907702</v>
      </c>
      <c r="C5395" s="5">
        <v>5.4667367175842302E-11</v>
      </c>
      <c r="D5395" s="6">
        <v>4.7853639134472905E-10</v>
      </c>
      <c r="E5395" s="3" t="s">
        <v>5547</v>
      </c>
      <c r="F5395" s="3" t="s">
        <v>5548</v>
      </c>
      <c r="G5395" s="3">
        <v>321003</v>
      </c>
      <c r="H5395" s="7" t="str">
        <f>HYPERLINK("http://www.ensembl.org/Mus_musculus/Gene/Summary?db=core;g=ENSMUSG00000022401","ENSMUSG00000022401")</f>
        <v>ENSMUSG00000022401</v>
      </c>
      <c r="I5395" s="7" t="str">
        <f>HYPERLINK("http://www.informatics.jax.org/marker/MGI:2445217","MGI:2445217")</f>
        <v>MGI:2445217</v>
      </c>
      <c r="J5395" s="4" t="s">
        <v>12</v>
      </c>
    </row>
    <row r="5396" spans="1:10" x14ac:dyDescent="0.25">
      <c r="A5396" s="2">
        <v>222.86102419405901</v>
      </c>
      <c r="B5396" s="3">
        <v>-0.45748673055361799</v>
      </c>
      <c r="C5396" s="5">
        <v>2.95829724155825E-5</v>
      </c>
      <c r="D5396" s="4">
        <v>1.34652765303195E-4</v>
      </c>
      <c r="E5396" s="3" t="s">
        <v>7062</v>
      </c>
      <c r="F5396" s="3" t="s">
        <v>7063</v>
      </c>
      <c r="G5396" s="3">
        <v>170787</v>
      </c>
      <c r="H5396" s="7" t="str">
        <f>HYPERLINK("http://www.ensembl.org/Mus_musculus/Gene/Summary?db=core;g=ENSMUSG00000062906","ENSMUSG00000062906")</f>
        <v>ENSMUSG00000062906</v>
      </c>
      <c r="I5396" s="7" t="str">
        <f>HYPERLINK("http://www.informatics.jax.org/marker/MGI:2158340","MGI:2158340")</f>
        <v>MGI:2158340</v>
      </c>
      <c r="J5396" s="4" t="s">
        <v>12</v>
      </c>
    </row>
    <row r="5397" spans="1:10" x14ac:dyDescent="0.25">
      <c r="A5397" s="2">
        <v>1229.3583095958099</v>
      </c>
      <c r="B5397" s="3">
        <v>-0.45792560963690698</v>
      </c>
      <c r="C5397" s="5">
        <v>5.6348987364180805E-10</v>
      </c>
      <c r="D5397" s="6">
        <v>4.4923897406482698E-9</v>
      </c>
      <c r="E5397" s="3" t="s">
        <v>5525</v>
      </c>
      <c r="F5397" s="3" t="s">
        <v>5526</v>
      </c>
      <c r="G5397" s="3">
        <v>54616</v>
      </c>
      <c r="H5397" s="7" t="str">
        <f>HYPERLINK("http://www.ensembl.org/Mus_musculus/Gene/Summary?db=core;g=ENSMUSG00000021978","ENSMUSG00000021978")</f>
        <v>ENSMUSG00000021978</v>
      </c>
      <c r="I5397" s="7" t="str">
        <f>HYPERLINK("http://www.informatics.jax.org/marker/MGI:1860765","MGI:1860765")</f>
        <v>MGI:1860765</v>
      </c>
      <c r="J5397" s="4" t="s">
        <v>12</v>
      </c>
    </row>
    <row r="5398" spans="1:10" x14ac:dyDescent="0.25">
      <c r="A5398" s="2">
        <v>362.347720434606</v>
      </c>
      <c r="B5398" s="3">
        <v>-0.45807575428359298</v>
      </c>
      <c r="C5398" s="5">
        <v>2.3974523281382002E-7</v>
      </c>
      <c r="D5398" s="6">
        <v>1.44060562744209E-6</v>
      </c>
      <c r="E5398" s="3" t="s">
        <v>5797</v>
      </c>
      <c r="F5398" s="3" t="s">
        <v>5798</v>
      </c>
      <c r="G5398" s="3">
        <v>223690</v>
      </c>
      <c r="H5398" s="7" t="str">
        <f>HYPERLINK("http://www.ensembl.org/Mus_musculus/Gene/Summary?db=core;g=ENSMUSG00000033055","ENSMUSG00000033055")</f>
        <v>ENSMUSG00000033055</v>
      </c>
      <c r="I5398" s="7" t="str">
        <f>HYPERLINK("http://www.informatics.jax.org/marker/MGI:2444209","MGI:2444209")</f>
        <v>MGI:2444209</v>
      </c>
      <c r="J5398" s="4" t="s">
        <v>12</v>
      </c>
    </row>
    <row r="5399" spans="1:10" x14ac:dyDescent="0.25">
      <c r="A5399" s="2">
        <v>867.03588333744494</v>
      </c>
      <c r="B5399" s="3">
        <v>-0.45826049894783499</v>
      </c>
      <c r="C5399" s="5">
        <v>4.3538213935634598E-15</v>
      </c>
      <c r="D5399" s="6">
        <v>5.1524931751749398E-14</v>
      </c>
      <c r="E5399" s="3" t="s">
        <v>3794</v>
      </c>
      <c r="F5399" s="3" t="s">
        <v>3795</v>
      </c>
      <c r="G5399" s="3">
        <v>81004</v>
      </c>
      <c r="H5399" s="7" t="str">
        <f>HYPERLINK("http://www.ensembl.org/Mus_musculus/Gene/Summary?db=core;g=ENSMUSG00000027630","ENSMUSG00000027630")</f>
        <v>ENSMUSG00000027630</v>
      </c>
      <c r="I5399" s="7" t="str">
        <f>HYPERLINK("http://www.informatics.jax.org/marker/MGI:2441730","MGI:2441730")</f>
        <v>MGI:2441730</v>
      </c>
      <c r="J5399" s="4" t="s">
        <v>12</v>
      </c>
    </row>
    <row r="5400" spans="1:10" x14ac:dyDescent="0.25">
      <c r="A5400" s="2">
        <v>1603.22605306164</v>
      </c>
      <c r="B5400" s="3">
        <v>-0.458798130527653</v>
      </c>
      <c r="C5400" s="5">
        <v>2.42909393449705E-12</v>
      </c>
      <c r="D5400" s="6">
        <v>2.3737392469817001E-11</v>
      </c>
      <c r="E5400" s="3" t="s">
        <v>1754</v>
      </c>
      <c r="F5400" s="3" t="s">
        <v>1755</v>
      </c>
      <c r="G5400" s="3">
        <v>16881</v>
      </c>
      <c r="H5400" s="7" t="str">
        <f>HYPERLINK("http://www.ensembl.org/Mus_musculus/Gene/Summary?db=core;g=ENSMUSG00000056394","ENSMUSG00000056394")</f>
        <v>ENSMUSG00000056394</v>
      </c>
      <c r="I5400" s="7" t="str">
        <f>HYPERLINK("http://www.informatics.jax.org/marker/MGI:101789","MGI:101789")</f>
        <v>MGI:101789</v>
      </c>
      <c r="J5400" s="4" t="s">
        <v>12</v>
      </c>
    </row>
    <row r="5401" spans="1:10" x14ac:dyDescent="0.25">
      <c r="A5401" s="2">
        <v>290.50305398717398</v>
      </c>
      <c r="B5401" s="3">
        <v>-0.45898714195166102</v>
      </c>
      <c r="C5401" s="5">
        <v>2.4775273106560899E-6</v>
      </c>
      <c r="D5401" s="6">
        <v>1.3141133654455E-5</v>
      </c>
      <c r="E5401" s="3" t="s">
        <v>6738</v>
      </c>
      <c r="F5401" s="3" t="s">
        <v>6739</v>
      </c>
      <c r="G5401" s="3">
        <v>71909</v>
      </c>
      <c r="H5401" s="7" t="str">
        <f>HYPERLINK("http://www.ensembl.org/Mus_musculus/Gene/Summary?db=core;g=ENSMUSG00000078762","ENSMUSG00000078762")</f>
        <v>ENSMUSG00000078762</v>
      </c>
      <c r="I5401" s="7" t="str">
        <f>HYPERLINK("http://www.informatics.jax.org/marker/MGI:1919159","MGI:1919159")</f>
        <v>MGI:1919159</v>
      </c>
      <c r="J5401" s="4" t="s">
        <v>12</v>
      </c>
    </row>
    <row r="5402" spans="1:10" x14ac:dyDescent="0.25">
      <c r="A5402" s="2">
        <v>131.23266650388001</v>
      </c>
      <c r="B5402" s="3">
        <v>-0.45913959886945599</v>
      </c>
      <c r="C5402" s="5">
        <v>6.8171385523288906E-5</v>
      </c>
      <c r="D5402" s="4">
        <v>2.9212873293250397E-4</v>
      </c>
      <c r="E5402" s="3" t="s">
        <v>9315</v>
      </c>
      <c r="F5402" s="3" t="s">
        <v>9316</v>
      </c>
      <c r="G5402" s="3">
        <v>68240</v>
      </c>
      <c r="H5402" s="7" t="str">
        <f>HYPERLINK("http://www.ensembl.org/Mus_musculus/Gene/Summary?db=core;g=ENSMUSG00000012483","ENSMUSG00000012483")</f>
        <v>ENSMUSG00000012483</v>
      </c>
      <c r="I5402" s="7" t="str">
        <f>HYPERLINK("http://www.informatics.jax.org/marker/MGI:1915490","MGI:1915490")</f>
        <v>MGI:1915490</v>
      </c>
      <c r="J5402" s="4" t="s">
        <v>12</v>
      </c>
    </row>
    <row r="5403" spans="1:10" x14ac:dyDescent="0.25">
      <c r="A5403" s="2">
        <v>211.02095708203001</v>
      </c>
      <c r="B5403" s="3">
        <v>-0.45920343589380602</v>
      </c>
      <c r="C5403" s="5">
        <v>3.6945419193430198E-7</v>
      </c>
      <c r="D5403" s="6">
        <v>2.1734353285999501E-6</v>
      </c>
      <c r="E5403" s="3" t="s">
        <v>6884</v>
      </c>
      <c r="F5403" s="3" t="s">
        <v>6885</v>
      </c>
      <c r="G5403" s="3">
        <v>110542</v>
      </c>
      <c r="H5403" s="7" t="str">
        <f>HYPERLINK("http://www.ensembl.org/Mus_musculus/Gene/Summary?db=core;g=ENSMUSG00000023047","ENSMUSG00000023047")</f>
        <v>ENSMUSG00000023047</v>
      </c>
      <c r="I5403" s="7" t="str">
        <f>HYPERLINK("http://www.informatics.jax.org/marker/MGI:105062","MGI:105062")</f>
        <v>MGI:105062</v>
      </c>
      <c r="J5403" s="4" t="s">
        <v>12</v>
      </c>
    </row>
    <row r="5404" spans="1:10" x14ac:dyDescent="0.25">
      <c r="A5404" s="2">
        <v>447.395826542669</v>
      </c>
      <c r="B5404" s="3">
        <v>-0.45924225237199701</v>
      </c>
      <c r="C5404" s="5">
        <v>2.6732450114196101E-12</v>
      </c>
      <c r="D5404" s="6">
        <v>2.5979549781506499E-11</v>
      </c>
      <c r="E5404" s="3" t="s">
        <v>2696</v>
      </c>
      <c r="F5404" s="3" t="s">
        <v>2697</v>
      </c>
      <c r="G5404" s="3">
        <v>66664</v>
      </c>
      <c r="H5404" s="7" t="str">
        <f>HYPERLINK("http://www.ensembl.org/Mus_musculus/Gene/Summary?db=core;g=ENSMUSG00000022856","ENSMUSG00000022856")</f>
        <v>ENSMUSG00000022856</v>
      </c>
      <c r="I5404" s="7" t="str">
        <f>HYPERLINK("http://www.informatics.jax.org/marker/MGI:1913914","MGI:1913914")</f>
        <v>MGI:1913914</v>
      </c>
      <c r="J5404" s="4" t="s">
        <v>12</v>
      </c>
    </row>
    <row r="5405" spans="1:10" x14ac:dyDescent="0.25">
      <c r="A5405" s="2">
        <v>2342.1714161813702</v>
      </c>
      <c r="B5405" s="3">
        <v>-0.459383914367399</v>
      </c>
      <c r="C5405" s="5">
        <v>1.7751096979330801E-17</v>
      </c>
      <c r="D5405" s="6">
        <v>2.4269598083143599E-16</v>
      </c>
      <c r="E5405" s="3" t="s">
        <v>778</v>
      </c>
      <c r="F5405" s="3" t="s">
        <v>779</v>
      </c>
      <c r="G5405" s="3">
        <v>76044</v>
      </c>
      <c r="H5405" s="7" t="str">
        <f>HYPERLINK("http://www.ensembl.org/Mus_musculus/Gene/Summary?db=core;g=ENSMUSG00000042029","ENSMUSG00000042029")</f>
        <v>ENSMUSG00000042029</v>
      </c>
      <c r="I5405" s="7" t="str">
        <f>HYPERLINK("http://www.informatics.jax.org/marker/MGI:1923294","MGI:1923294")</f>
        <v>MGI:1923294</v>
      </c>
      <c r="J5405" s="4" t="s">
        <v>12</v>
      </c>
    </row>
    <row r="5406" spans="1:10" x14ac:dyDescent="0.25">
      <c r="A5406" s="2">
        <v>401.66646688661899</v>
      </c>
      <c r="B5406" s="3">
        <v>-0.45950819375884699</v>
      </c>
      <c r="C5406" s="5">
        <v>9.0221939009761197E-8</v>
      </c>
      <c r="D5406" s="6">
        <v>5.6817375205697905E-7</v>
      </c>
      <c r="E5406" s="3" t="s">
        <v>7224</v>
      </c>
      <c r="F5406" s="3" t="s">
        <v>7225</v>
      </c>
      <c r="G5406" s="3">
        <v>384281</v>
      </c>
      <c r="H5406" s="7" t="str">
        <f>HYPERLINK("http://www.ensembl.org/Mus_musculus/Gene/Summary?db=core;g=ENSMUSG00000029536","ENSMUSG00000029536")</f>
        <v>ENSMUSG00000029536</v>
      </c>
      <c r="I5406" s="7" t="str">
        <f>HYPERLINK("http://www.informatics.jax.org/marker/MGI:1923776","MGI:1923776")</f>
        <v>MGI:1923776</v>
      </c>
      <c r="J5406" s="4" t="s">
        <v>12</v>
      </c>
    </row>
    <row r="5407" spans="1:10" x14ac:dyDescent="0.25">
      <c r="A5407" s="2">
        <v>77.892354302281504</v>
      </c>
      <c r="B5407" s="3">
        <v>-0.460346860285612</v>
      </c>
      <c r="C5407" s="3">
        <v>4.8367390785132602E-4</v>
      </c>
      <c r="D5407" s="4">
        <v>1.80154444524635E-3</v>
      </c>
      <c r="E5407" s="3" t="s">
        <v>6748</v>
      </c>
      <c r="F5407" s="3" t="s">
        <v>6749</v>
      </c>
      <c r="G5407" s="3">
        <v>66962</v>
      </c>
      <c r="H5407" s="7" t="str">
        <f>HYPERLINK("http://www.ensembl.org/Mus_musculus/Gene/Summary?db=core;g=ENSMUSG00000051238","ENSMUSG00000051238")</f>
        <v>ENSMUSG00000051238</v>
      </c>
      <c r="I5407" s="7" t="str">
        <f>HYPERLINK("http://www.informatics.jax.org/marker/MGI:1914212","MGI:1914212")</f>
        <v>MGI:1914212</v>
      </c>
      <c r="J5407" s="4" t="s">
        <v>12</v>
      </c>
    </row>
    <row r="5408" spans="1:10" x14ac:dyDescent="0.25">
      <c r="A5408" s="2">
        <v>247.39082436912199</v>
      </c>
      <c r="B5408" s="3">
        <v>-0.46050556384192698</v>
      </c>
      <c r="C5408" s="3">
        <v>1.79234049364896E-4</v>
      </c>
      <c r="D5408" s="4">
        <v>7.1715143360213203E-4</v>
      </c>
      <c r="E5408" s="3" t="s">
        <v>3646</v>
      </c>
      <c r="F5408" s="3" t="s">
        <v>3647</v>
      </c>
      <c r="G5408" s="3">
        <v>71643</v>
      </c>
      <c r="H5408" s="7" t="str">
        <f>HYPERLINK("http://www.ensembl.org/Mus_musculus/Gene/Summary?db=core;g=ENSMUSG00000051278","ENSMUSG00000051278")</f>
        <v>ENSMUSG00000051278</v>
      </c>
      <c r="I5408" s="7" t="str">
        <f>HYPERLINK("http://www.informatics.jax.org/marker/MGI:1918893","MGI:1918893")</f>
        <v>MGI:1918893</v>
      </c>
      <c r="J5408" s="4" t="s">
        <v>12</v>
      </c>
    </row>
    <row r="5409" spans="1:10" x14ac:dyDescent="0.25">
      <c r="A5409" s="2">
        <v>563.60246585643597</v>
      </c>
      <c r="B5409" s="3">
        <v>-0.46171972128135003</v>
      </c>
      <c r="C5409" s="5">
        <v>1.4605663293985301E-8</v>
      </c>
      <c r="D5409" s="6">
        <v>9.9995572326401698E-8</v>
      </c>
      <c r="E5409" s="3" t="s">
        <v>8665</v>
      </c>
      <c r="F5409" s="3" t="s">
        <v>8666</v>
      </c>
      <c r="G5409" s="3">
        <v>67976</v>
      </c>
      <c r="H5409" s="7" t="str">
        <f>HYPERLINK("http://www.ensembl.org/Mus_musculus/Gene/Summary?db=core;g=ENSMUSG00000015363","ENSMUSG00000015363")</f>
        <v>ENSMUSG00000015363</v>
      </c>
      <c r="I5409" s="7" t="str">
        <f>HYPERLINK("http://www.informatics.jax.org/marker/MGI:1915226","MGI:1915226")</f>
        <v>MGI:1915226</v>
      </c>
      <c r="J5409" s="4" t="s">
        <v>12</v>
      </c>
    </row>
    <row r="5410" spans="1:10" x14ac:dyDescent="0.25">
      <c r="A5410" s="2">
        <v>757.45549206473595</v>
      </c>
      <c r="B5410" s="3">
        <v>-0.46172135708815198</v>
      </c>
      <c r="C5410" s="5">
        <v>4.0558011872137102E-10</v>
      </c>
      <c r="D5410" s="6">
        <v>3.2910497166950099E-9</v>
      </c>
      <c r="E5410" s="3" t="s">
        <v>4663</v>
      </c>
      <c r="F5410" s="3" t="s">
        <v>4664</v>
      </c>
      <c r="G5410" s="3">
        <v>67005</v>
      </c>
      <c r="H5410" s="7" t="str">
        <f>HYPERLINK("http://www.ensembl.org/Mus_musculus/Gene/Summary?db=core;g=ENSMUSG00000038628","ENSMUSG00000038628")</f>
        <v>ENSMUSG00000038628</v>
      </c>
      <c r="I5410" s="7" t="str">
        <f>HYPERLINK("http://www.informatics.jax.org/marker/MGI:1914255","MGI:1914255")</f>
        <v>MGI:1914255</v>
      </c>
      <c r="J5410" s="4" t="s">
        <v>12</v>
      </c>
    </row>
    <row r="5411" spans="1:10" x14ac:dyDescent="0.25">
      <c r="A5411" s="2">
        <v>560.17432859789096</v>
      </c>
      <c r="B5411" s="3">
        <v>-0.46182130486915202</v>
      </c>
      <c r="C5411" s="5">
        <v>3.32688486052033E-14</v>
      </c>
      <c r="D5411" s="6">
        <v>3.7061416004268299E-13</v>
      </c>
      <c r="E5411" s="3" t="s">
        <v>4337</v>
      </c>
      <c r="F5411" s="3" t="s">
        <v>4338</v>
      </c>
      <c r="G5411" s="3">
        <v>84652</v>
      </c>
      <c r="H5411" s="7" t="str">
        <f>HYPERLINK("http://www.ensembl.org/Mus_musculus/Gene/Summary?db=core;g=ENSMUSG00000028995","ENSMUSG00000028995")</f>
        <v>ENSMUSG00000028995</v>
      </c>
      <c r="I5411" s="7" t="str">
        <f>HYPERLINK("http://www.informatics.jax.org/marker/MGI:2149839","MGI:2149839")</f>
        <v>MGI:2149839</v>
      </c>
      <c r="J5411" s="4" t="s">
        <v>12</v>
      </c>
    </row>
    <row r="5412" spans="1:10" x14ac:dyDescent="0.25">
      <c r="A5412" s="2">
        <v>395.13686565053598</v>
      </c>
      <c r="B5412" s="3">
        <v>-0.46187270837494798</v>
      </c>
      <c r="C5412" s="5">
        <v>1.3932637913273199E-5</v>
      </c>
      <c r="D5412" s="6">
        <v>6.6663776836283406E-5</v>
      </c>
      <c r="E5412" s="3" t="s">
        <v>8397</v>
      </c>
      <c r="F5412" s="3" t="s">
        <v>8398</v>
      </c>
      <c r="G5412" s="3">
        <v>214895</v>
      </c>
      <c r="H5412" s="7" t="str">
        <f>HYPERLINK("http://www.ensembl.org/Mus_musculus/Gene/Summary?db=core;g=ENSMUSG00000001143","ENSMUSG00000001143")</f>
        <v>ENSMUSG00000001143</v>
      </c>
      <c r="I5412" s="7" t="str">
        <f>HYPERLINK("http://www.informatics.jax.org/marker/MGI:2443010","MGI:2443010")</f>
        <v>MGI:2443010</v>
      </c>
      <c r="J5412" s="4" t="s">
        <v>12</v>
      </c>
    </row>
    <row r="5413" spans="1:10" x14ac:dyDescent="0.25">
      <c r="A5413" s="2">
        <v>112.32999663082499</v>
      </c>
      <c r="B5413" s="3">
        <v>-0.46192103922969702</v>
      </c>
      <c r="C5413" s="3">
        <v>5.1356154944699696E-4</v>
      </c>
      <c r="D5413" s="4">
        <v>1.9031433994858701E-3</v>
      </c>
      <c r="E5413" s="3" t="s">
        <v>12965</v>
      </c>
      <c r="F5413" s="3" t="s">
        <v>12966</v>
      </c>
      <c r="G5413" s="3">
        <v>72180</v>
      </c>
      <c r="H5413" s="7" t="str">
        <f>HYPERLINK("http://www.ensembl.org/Mus_musculus/Gene/Summary?db=core;g=ENSMUSG00000034800","ENSMUSG00000034800")</f>
        <v>ENSMUSG00000034800</v>
      </c>
      <c r="I5413" s="7" t="str">
        <f>HYPERLINK("http://www.informatics.jax.org/marker/MGI:1919430","MGI:1919430")</f>
        <v>MGI:1919430</v>
      </c>
      <c r="J5413" s="4" t="s">
        <v>12</v>
      </c>
    </row>
    <row r="5414" spans="1:10" x14ac:dyDescent="0.25">
      <c r="A5414" s="2">
        <v>2158.1906720725501</v>
      </c>
      <c r="B5414" s="3">
        <v>-0.46207116700477502</v>
      </c>
      <c r="C5414" s="5">
        <v>6.95098092770899E-10</v>
      </c>
      <c r="D5414" s="6">
        <v>5.5078968438041904E-9</v>
      </c>
      <c r="E5414" s="3" t="s">
        <v>6762</v>
      </c>
      <c r="F5414" s="3" t="s">
        <v>6763</v>
      </c>
      <c r="G5414" s="3">
        <v>18707</v>
      </c>
      <c r="H5414" s="7" t="str">
        <f>HYPERLINK("http://www.ensembl.org/Mus_musculus/Gene/Summary?db=core;g=ENSMUSG00000039936","ENSMUSG00000039936")</f>
        <v>ENSMUSG00000039936</v>
      </c>
      <c r="I5414" s="7" t="str">
        <f>HYPERLINK("http://www.informatics.jax.org/marker/MGI:1098211","MGI:1098211")</f>
        <v>MGI:1098211</v>
      </c>
      <c r="J5414" s="4" t="s">
        <v>12</v>
      </c>
    </row>
    <row r="5415" spans="1:10" x14ac:dyDescent="0.25">
      <c r="A5415" s="2">
        <v>243.179070105763</v>
      </c>
      <c r="B5415" s="3">
        <v>-0.46211743294260399</v>
      </c>
      <c r="C5415" s="5">
        <v>3.4871028307357501E-6</v>
      </c>
      <c r="D5415" s="6">
        <v>1.8168224439725298E-5</v>
      </c>
      <c r="E5415" s="3" t="s">
        <v>13229</v>
      </c>
      <c r="F5415" s="3" t="s">
        <v>13230</v>
      </c>
      <c r="G5415" s="3">
        <v>71887</v>
      </c>
      <c r="H5415" s="7" t="str">
        <f>HYPERLINK("http://www.ensembl.org/Mus_musculus/Gene/Summary?db=core;g=ENSMUSG00000002228","ENSMUSG00000002228")</f>
        <v>ENSMUSG00000002228</v>
      </c>
      <c r="I5415" s="7" t="str">
        <f>HYPERLINK("http://www.informatics.jax.org/marker/MGI:1919137","MGI:1919137")</f>
        <v>MGI:1919137</v>
      </c>
      <c r="J5415" s="4" t="s">
        <v>12</v>
      </c>
    </row>
    <row r="5416" spans="1:10" x14ac:dyDescent="0.25">
      <c r="A5416" s="2">
        <v>21.720765962008901</v>
      </c>
      <c r="B5416" s="3">
        <v>-0.46215497237632602</v>
      </c>
      <c r="C5416" s="3">
        <v>4.7997495512507898E-2</v>
      </c>
      <c r="D5416" s="4">
        <v>0.11036517230828401</v>
      </c>
      <c r="E5416" s="3" t="s">
        <v>13513</v>
      </c>
      <c r="F5416" s="3" t="s">
        <v>13514</v>
      </c>
      <c r="G5416" s="3">
        <v>21752</v>
      </c>
      <c r="H5416" s="7" t="str">
        <f>HYPERLINK("http://www.ensembl.org/Mus_musculus/Gene/Summary?db=core;g=ENSMUSG00000021611","ENSMUSG00000021611")</f>
        <v>ENSMUSG00000021611</v>
      </c>
      <c r="I5416" s="7" t="str">
        <f>HYPERLINK("http://www.informatics.jax.org/marker/MGI:1202709","MGI:1202709")</f>
        <v>MGI:1202709</v>
      </c>
      <c r="J5416" s="4" t="s">
        <v>12</v>
      </c>
    </row>
    <row r="5417" spans="1:10" x14ac:dyDescent="0.25">
      <c r="A5417" s="2">
        <v>220.89668783872801</v>
      </c>
      <c r="B5417" s="3">
        <v>-0.46263085968210998</v>
      </c>
      <c r="C5417" s="5">
        <v>4.6424597966028101E-5</v>
      </c>
      <c r="D5417" s="4">
        <v>2.0481440279130101E-4</v>
      </c>
      <c r="E5417" s="3" t="s">
        <v>7500</v>
      </c>
      <c r="F5417" s="3" t="s">
        <v>7501</v>
      </c>
      <c r="G5417" s="3">
        <v>98170</v>
      </c>
      <c r="H5417" s="7" t="str">
        <f>HYPERLINK("http://www.ensembl.org/Mus_musculus/Gene/Summary?db=core;g=ENSMUSG00000024736","ENSMUSG00000024736")</f>
        <v>ENSMUSG00000024736</v>
      </c>
      <c r="I5417" s="7" t="str">
        <f>HYPERLINK("http://www.informatics.jax.org/marker/MGI:2147810","MGI:2147810")</f>
        <v>MGI:2147810</v>
      </c>
      <c r="J5417" s="4" t="s">
        <v>12</v>
      </c>
    </row>
    <row r="5418" spans="1:10" x14ac:dyDescent="0.25">
      <c r="A5418" s="2">
        <v>356.65406940487202</v>
      </c>
      <c r="B5418" s="3">
        <v>-0.46273534248433701</v>
      </c>
      <c r="C5418" s="5">
        <v>3.3080653773638299E-8</v>
      </c>
      <c r="D5418" s="6">
        <v>2.17573047645095E-7</v>
      </c>
      <c r="E5418" s="3" t="s">
        <v>8721</v>
      </c>
      <c r="F5418" s="3" t="s">
        <v>8722</v>
      </c>
      <c r="G5418" s="3">
        <v>54194</v>
      </c>
      <c r="H5418" s="7" t="str">
        <f>HYPERLINK("http://www.ensembl.org/Mus_musculus/Gene/Summary?db=core;g=ENSMUSG00000002625","ENSMUSG00000002625")</f>
        <v>ENSMUSG00000002625</v>
      </c>
      <c r="I5418" s="7" t="str">
        <f>HYPERLINK("http://www.informatics.jax.org/marker/MGI:1860606","MGI:1860606")</f>
        <v>MGI:1860606</v>
      </c>
      <c r="J5418" s="4" t="s">
        <v>12</v>
      </c>
    </row>
    <row r="5419" spans="1:10" x14ac:dyDescent="0.25">
      <c r="A5419" s="2">
        <v>109.421107869062</v>
      </c>
      <c r="B5419" s="3">
        <v>-0.46293978069179198</v>
      </c>
      <c r="C5419" s="3">
        <v>9.0479364245097196E-4</v>
      </c>
      <c r="D5419" s="4">
        <v>3.2075207418146199E-3</v>
      </c>
      <c r="E5419" s="3" t="s">
        <v>12779</v>
      </c>
      <c r="F5419" s="3" t="s">
        <v>12780</v>
      </c>
      <c r="G5419" s="3">
        <v>19277</v>
      </c>
      <c r="H5419" s="7" t="str">
        <f>HYPERLINK("http://www.ensembl.org/Mus_musculus/Gene/Summary?db=core;g=ENSMUSG00000030223","ENSMUSG00000030223")</f>
        <v>ENSMUSG00000030223</v>
      </c>
      <c r="I5419" s="7" t="str">
        <f>HYPERLINK("http://www.informatics.jax.org/marker/MGI:1097152","MGI:1097152")</f>
        <v>MGI:1097152</v>
      </c>
      <c r="J5419" s="4" t="s">
        <v>12</v>
      </c>
    </row>
    <row r="5420" spans="1:10" x14ac:dyDescent="0.25">
      <c r="A5420" s="2">
        <v>266.39667487877699</v>
      </c>
      <c r="B5420" s="3">
        <v>-0.46309036074502502</v>
      </c>
      <c r="C5420" s="5">
        <v>1.4528531943889901E-5</v>
      </c>
      <c r="D5420" s="6">
        <v>6.9314789182563504E-5</v>
      </c>
      <c r="E5420" s="3" t="s">
        <v>4427</v>
      </c>
      <c r="F5420" s="3" t="s">
        <v>4428</v>
      </c>
      <c r="G5420" s="3">
        <v>232539</v>
      </c>
      <c r="H5420" s="7" t="str">
        <f>HYPERLINK("http://www.ensembl.org/Mus_musculus/Gene/Summary?db=core;g=ENSMUSG00000040102","ENSMUSG00000040102")</f>
        <v>ENSMUSG00000040102</v>
      </c>
      <c r="I5420" s="7" t="str">
        <f>HYPERLINK("http://www.informatics.jax.org/marker/MGI:2444786","MGI:2444786")</f>
        <v>MGI:2444786</v>
      </c>
      <c r="J5420" s="4" t="s">
        <v>12</v>
      </c>
    </row>
    <row r="5421" spans="1:10" x14ac:dyDescent="0.25">
      <c r="A5421" s="2">
        <v>1412.5388067061201</v>
      </c>
      <c r="B5421" s="3">
        <v>-0.46336299428000399</v>
      </c>
      <c r="C5421" s="5">
        <v>4.2129314324963502E-9</v>
      </c>
      <c r="D5421" s="6">
        <v>3.0736859630602798E-8</v>
      </c>
      <c r="E5421" s="3" t="s">
        <v>5807</v>
      </c>
      <c r="F5421" s="3" t="s">
        <v>5808</v>
      </c>
      <c r="G5421" s="3">
        <v>67442</v>
      </c>
      <c r="H5421" s="7" t="str">
        <f>HYPERLINK("http://www.ensembl.org/Mus_musculus/Gene/Summary?db=core;g=ENSMUSG00000056666","ENSMUSG00000056666")</f>
        <v>ENSMUSG00000056666</v>
      </c>
      <c r="I5421" s="7" t="str">
        <f>HYPERLINK("http://www.informatics.jax.org/marker/MGI:1914692","MGI:1914692")</f>
        <v>MGI:1914692</v>
      </c>
      <c r="J5421" s="4" t="s">
        <v>12</v>
      </c>
    </row>
    <row r="5422" spans="1:10" x14ac:dyDescent="0.25">
      <c r="A5422" s="2">
        <v>381.07801701856101</v>
      </c>
      <c r="B5422" s="3">
        <v>-0.46344569268432301</v>
      </c>
      <c r="C5422" s="5">
        <v>2.75094604326586E-6</v>
      </c>
      <c r="D5422" s="6">
        <v>1.44943601152126E-5</v>
      </c>
      <c r="E5422" s="3" t="s">
        <v>8249</v>
      </c>
      <c r="F5422" s="3" t="s">
        <v>8250</v>
      </c>
      <c r="G5422" s="3">
        <v>66821</v>
      </c>
      <c r="H5422" s="7" t="str">
        <f>HYPERLINK("http://www.ensembl.org/Mus_musculus/Gene/Summary?db=core;g=ENSMUSG00000026172","ENSMUSG00000026172")</f>
        <v>ENSMUSG00000026172</v>
      </c>
      <c r="I5422" s="7" t="str">
        <f>HYPERLINK("http://www.informatics.jax.org/marker/MGI:1914071","MGI:1914071")</f>
        <v>MGI:1914071</v>
      </c>
      <c r="J5422" s="4" t="s">
        <v>12</v>
      </c>
    </row>
    <row r="5423" spans="1:10" x14ac:dyDescent="0.25">
      <c r="A5423" s="2">
        <v>380.04057979919202</v>
      </c>
      <c r="B5423" s="3">
        <v>-0.46365243765555197</v>
      </c>
      <c r="C5423" s="5">
        <v>1.07748765349848E-9</v>
      </c>
      <c r="D5423" s="6">
        <v>8.3173284561667595E-9</v>
      </c>
      <c r="E5423" s="3" t="s">
        <v>7406</v>
      </c>
      <c r="F5423" s="3" t="s">
        <v>7407</v>
      </c>
      <c r="G5423" s="3">
        <v>219022</v>
      </c>
      <c r="H5423" s="7" t="str">
        <f>HYPERLINK("http://www.ensembl.org/Mus_musculus/Gene/Summary?db=core;g=ENSMUSG00000006288","ENSMUSG00000006288")</f>
        <v>ENSMUSG00000006288</v>
      </c>
      <c r="I5423" s="7" t="str">
        <f>HYPERLINK("http://www.informatics.jax.org/marker/MGI:2683584","MGI:2683584")</f>
        <v>MGI:2683584</v>
      </c>
      <c r="J5423" s="4" t="s">
        <v>12</v>
      </c>
    </row>
    <row r="5424" spans="1:10" x14ac:dyDescent="0.25">
      <c r="A5424" s="2">
        <v>1100.5448036877699</v>
      </c>
      <c r="B5424" s="3">
        <v>-0.46377839116909297</v>
      </c>
      <c r="C5424" s="3">
        <v>1.7094195273758501E-4</v>
      </c>
      <c r="D5424" s="4">
        <v>6.8666896377396697E-4</v>
      </c>
      <c r="E5424" s="3" t="s">
        <v>9019</v>
      </c>
      <c r="F5424" s="3" t="s">
        <v>9020</v>
      </c>
      <c r="G5424" s="3">
        <v>27361</v>
      </c>
      <c r="H5424" s="7" t="str">
        <f>HYPERLINK("http://www.ensembl.org/Mus_musculus/Gene/Summary?db=core;g=ENSMUSG00000075705","ENSMUSG00000075705")</f>
        <v>ENSMUSG00000075705</v>
      </c>
      <c r="I5424" s="7" t="str">
        <f>HYPERLINK("http://www.informatics.jax.org/marker/MGI:1351642","MGI:1351642")</f>
        <v>MGI:1351642</v>
      </c>
      <c r="J5424" s="4" t="s">
        <v>12</v>
      </c>
    </row>
    <row r="5425" spans="1:10" x14ac:dyDescent="0.25">
      <c r="A5425" s="2">
        <v>749.54300438883104</v>
      </c>
      <c r="B5425" s="3">
        <v>-0.46384116522587099</v>
      </c>
      <c r="C5425" s="5">
        <v>5.5169603956556902E-14</v>
      </c>
      <c r="D5425" s="6">
        <v>6.0716547832623798E-13</v>
      </c>
      <c r="E5425" s="3" t="s">
        <v>2625</v>
      </c>
      <c r="F5425" s="3" t="s">
        <v>2626</v>
      </c>
      <c r="G5425" s="3">
        <v>329165</v>
      </c>
      <c r="H5425" s="7" t="str">
        <f>HYPERLINK("http://www.ensembl.org/Mus_musculus/Gene/Summary?db=core;g=ENSMUSG00000026782","ENSMUSG00000026782")</f>
        <v>ENSMUSG00000026782</v>
      </c>
      <c r="I5425" s="7" t="str">
        <f>HYPERLINK("http://www.informatics.jax.org/marker/MGI:106913","MGI:106913")</f>
        <v>MGI:106913</v>
      </c>
      <c r="J5425" s="4" t="s">
        <v>12</v>
      </c>
    </row>
    <row r="5426" spans="1:10" x14ac:dyDescent="0.25">
      <c r="A5426" s="2">
        <v>2981.4919220523898</v>
      </c>
      <c r="B5426" s="3">
        <v>-0.46397705342677198</v>
      </c>
      <c r="C5426" s="5">
        <v>3.6007361053267E-9</v>
      </c>
      <c r="D5426" s="6">
        <v>2.6429083978888099E-8</v>
      </c>
      <c r="E5426" s="3" t="s">
        <v>1598</v>
      </c>
      <c r="F5426" s="3" t="s">
        <v>1599</v>
      </c>
      <c r="G5426" s="3">
        <v>17217</v>
      </c>
      <c r="H5426" s="7" t="str">
        <f>HYPERLINK("http://www.ensembl.org/Mus_musculus/Gene/Summary?db=core;g=ENSMUSG00000022673","ENSMUSG00000022673")</f>
        <v>ENSMUSG00000022673</v>
      </c>
      <c r="I5426" s="7" t="str">
        <f>HYPERLINK("http://www.informatics.jax.org/marker/MGI:103199","MGI:103199")</f>
        <v>MGI:103199</v>
      </c>
      <c r="J5426" s="4" t="s">
        <v>12</v>
      </c>
    </row>
    <row r="5427" spans="1:10" x14ac:dyDescent="0.25">
      <c r="A5427" s="2">
        <v>1019.00196746528</v>
      </c>
      <c r="B5427" s="3">
        <v>-0.46414795559368699</v>
      </c>
      <c r="C5427" s="5">
        <v>8.6978505943016898E-12</v>
      </c>
      <c r="D5427" s="6">
        <v>8.1208159365342399E-11</v>
      </c>
      <c r="E5427" s="3" t="s">
        <v>4521</v>
      </c>
      <c r="F5427" s="3" t="s">
        <v>4522</v>
      </c>
      <c r="G5427" s="3">
        <v>15107</v>
      </c>
      <c r="H5427" s="7" t="str">
        <f>HYPERLINK("http://www.ensembl.org/Mus_musculus/Gene/Summary?db=core;g=ENSMUSG00000027984","ENSMUSG00000027984")</f>
        <v>ENSMUSG00000027984</v>
      </c>
      <c r="I5427" s="7" t="str">
        <f>HYPERLINK("http://www.informatics.jax.org/marker/MGI:96009","MGI:96009")</f>
        <v>MGI:96009</v>
      </c>
      <c r="J5427" s="4" t="s">
        <v>12</v>
      </c>
    </row>
    <row r="5428" spans="1:10" x14ac:dyDescent="0.25">
      <c r="A5428" s="2">
        <v>767.17849501284695</v>
      </c>
      <c r="B5428" s="3">
        <v>-0.46423142777944898</v>
      </c>
      <c r="C5428" s="5">
        <v>2.67807116338547E-8</v>
      </c>
      <c r="D5428" s="6">
        <v>1.78065840761402E-7</v>
      </c>
      <c r="E5428" s="3" t="s">
        <v>8019</v>
      </c>
      <c r="F5428" s="3" t="s">
        <v>8020</v>
      </c>
      <c r="G5428" s="3">
        <v>23921</v>
      </c>
      <c r="H5428" s="7" t="str">
        <f>HYPERLINK("http://www.ensembl.org/Mus_musculus/Gene/Summary?db=core;g=ENSMUSG00000005057","ENSMUSG00000005057")</f>
        <v>ENSMUSG00000005057</v>
      </c>
      <c r="I5428" s="7" t="str">
        <f>HYPERLINK("http://www.informatics.jax.org/marker/MGI:1345171","MGI:1345171")</f>
        <v>MGI:1345171</v>
      </c>
      <c r="J5428" s="4" t="s">
        <v>12</v>
      </c>
    </row>
    <row r="5429" spans="1:10" x14ac:dyDescent="0.25">
      <c r="A5429" s="2">
        <v>903.156153481616</v>
      </c>
      <c r="B5429" s="3">
        <v>-0.46444007754494698</v>
      </c>
      <c r="C5429" s="5">
        <v>6.4028865610228598E-13</v>
      </c>
      <c r="D5429" s="6">
        <v>6.58908004374035E-12</v>
      </c>
      <c r="E5429" s="3" t="s">
        <v>3832</v>
      </c>
      <c r="F5429" s="3" t="s">
        <v>3833</v>
      </c>
      <c r="G5429" s="3">
        <v>78885</v>
      </c>
      <c r="H5429" s="7" t="str">
        <f>HYPERLINK("http://www.ensembl.org/Mus_musculus/Gene/Summary?db=core;g=ENSMUSG00000039637","ENSMUSG00000039637")</f>
        <v>ENSMUSG00000039637</v>
      </c>
      <c r="I5429" s="7" t="str">
        <f>HYPERLINK("http://www.informatics.jax.org/marker/MGI:1926135","MGI:1926135")</f>
        <v>MGI:1926135</v>
      </c>
      <c r="J5429" s="4" t="s">
        <v>12</v>
      </c>
    </row>
    <row r="5430" spans="1:10" x14ac:dyDescent="0.25">
      <c r="A5430" s="2">
        <v>561.41893080299405</v>
      </c>
      <c r="B5430" s="3">
        <v>-0.46469080563738402</v>
      </c>
      <c r="C5430" s="5">
        <v>6.7974701824005998E-8</v>
      </c>
      <c r="D5430" s="6">
        <v>4.3180165240240799E-7</v>
      </c>
      <c r="E5430" s="3" t="s">
        <v>7550</v>
      </c>
      <c r="F5430" s="3" t="s">
        <v>7551</v>
      </c>
      <c r="G5430" s="3">
        <v>108958</v>
      </c>
      <c r="H5430" s="7" t="str">
        <f>HYPERLINK("http://www.ensembl.org/Mus_musculus/Gene/Summary?db=core;g=ENSMUSG00000026858","ENSMUSG00000026858")</f>
        <v>ENSMUSG00000026858</v>
      </c>
      <c r="I5430" s="7" t="str">
        <f>HYPERLINK("http://www.informatics.jax.org/marker/MGI:1922035","MGI:1922035")</f>
        <v>MGI:1922035</v>
      </c>
      <c r="J5430" s="4" t="s">
        <v>12</v>
      </c>
    </row>
    <row r="5431" spans="1:10" x14ac:dyDescent="0.25">
      <c r="A5431" s="2">
        <v>5193.5857134778398</v>
      </c>
      <c r="B5431" s="3">
        <v>-0.46486451045139898</v>
      </c>
      <c r="C5431" s="5">
        <v>7.2525163255978298E-8</v>
      </c>
      <c r="D5431" s="6">
        <v>4.5990643713994598E-7</v>
      </c>
      <c r="E5431" s="3" t="s">
        <v>5489</v>
      </c>
      <c r="F5431" s="3" t="s">
        <v>5490</v>
      </c>
      <c r="G5431" s="3">
        <v>22228</v>
      </c>
      <c r="H5431" s="7" t="str">
        <f>HYPERLINK("http://www.ensembl.org/Mus_musculus/Gene/Summary?db=core;g=ENSMUSG00000033685","ENSMUSG00000033685")</f>
        <v>ENSMUSG00000033685</v>
      </c>
      <c r="I5431" s="7" t="str">
        <f>HYPERLINK("http://www.informatics.jax.org/marker/MGI:109354","MGI:109354")</f>
        <v>MGI:109354</v>
      </c>
      <c r="J5431" s="4" t="s">
        <v>12</v>
      </c>
    </row>
    <row r="5432" spans="1:10" x14ac:dyDescent="0.25">
      <c r="A5432" s="2">
        <v>100.318154172695</v>
      </c>
      <c r="B5432" s="3">
        <v>-0.46487399707777599</v>
      </c>
      <c r="C5432" s="3">
        <v>1.8730697671797699E-4</v>
      </c>
      <c r="D5432" s="4">
        <v>7.4713715269974395E-4</v>
      </c>
      <c r="E5432" s="3" t="s">
        <v>7316</v>
      </c>
      <c r="F5432" s="3" t="s">
        <v>7317</v>
      </c>
      <c r="G5432" s="3">
        <v>54636</v>
      </c>
      <c r="H5432" s="7" t="str">
        <f>HYPERLINK("http://www.ensembl.org/Mus_musculus/Gene/Summary?db=core;g=ENSMUSG00000039382","ENSMUSG00000039382")</f>
        <v>ENSMUSG00000039382</v>
      </c>
      <c r="I5432" s="7" t="str">
        <f>HYPERLINK("http://www.informatics.jax.org/marker/MGI:1859606","MGI:1859606")</f>
        <v>MGI:1859606</v>
      </c>
      <c r="J5432" s="4" t="s">
        <v>12</v>
      </c>
    </row>
    <row r="5433" spans="1:10" x14ac:dyDescent="0.25">
      <c r="A5433" s="2">
        <v>1116.39166625293</v>
      </c>
      <c r="B5433" s="3">
        <v>-0.46557630952343898</v>
      </c>
      <c r="C5433" s="5">
        <v>5.1458496924924096E-10</v>
      </c>
      <c r="D5433" s="6">
        <v>4.1187136866786997E-9</v>
      </c>
      <c r="E5433" s="3" t="s">
        <v>2461</v>
      </c>
      <c r="F5433" s="3" t="s">
        <v>2462</v>
      </c>
      <c r="G5433" s="3">
        <v>18968</v>
      </c>
      <c r="H5433" s="7" t="str">
        <f>HYPERLINK("http://www.ensembl.org/Mus_musculus/Gene/Summary?db=core;g=ENSMUSG00000006678","ENSMUSG00000006678")</f>
        <v>ENSMUSG00000006678</v>
      </c>
      <c r="I5433" s="7" t="str">
        <f>HYPERLINK("http://www.informatics.jax.org/marker/MGI:99660","MGI:99660")</f>
        <v>MGI:99660</v>
      </c>
      <c r="J5433" s="4" t="s">
        <v>12</v>
      </c>
    </row>
    <row r="5434" spans="1:10" x14ac:dyDescent="0.25">
      <c r="A5434" s="2">
        <v>492.77460123315097</v>
      </c>
      <c r="B5434" s="3">
        <v>-0.46580467818847698</v>
      </c>
      <c r="C5434" s="3">
        <v>1.4473223630905301E-4</v>
      </c>
      <c r="D5434" s="4">
        <v>5.8838835751338198E-4</v>
      </c>
      <c r="E5434" s="3" t="s">
        <v>10726</v>
      </c>
      <c r="F5434" s="3" t="s">
        <v>10727</v>
      </c>
      <c r="G5434" s="3">
        <v>224624</v>
      </c>
      <c r="H5434" s="7" t="str">
        <f>HYPERLINK("http://www.ensembl.org/Mus_musculus/Gene/Summary?db=core;g=ENSMUSG00000025730","ENSMUSG00000025730")</f>
        <v>ENSMUSG00000025730</v>
      </c>
      <c r="I5434" s="7" t="str">
        <f>HYPERLINK("http://www.informatics.jax.org/marker/MGI:2183454","MGI:2183454")</f>
        <v>MGI:2183454</v>
      </c>
      <c r="J5434" s="4" t="s">
        <v>12</v>
      </c>
    </row>
    <row r="5435" spans="1:10" x14ac:dyDescent="0.25">
      <c r="A5435" s="2">
        <v>65.055923269205806</v>
      </c>
      <c r="B5435" s="3">
        <v>-0.46592151265870402</v>
      </c>
      <c r="C5435" s="3">
        <v>8.1829247461583804E-4</v>
      </c>
      <c r="D5435" s="4">
        <v>2.92018412960126E-3</v>
      </c>
      <c r="E5435" s="3" t="s">
        <v>6081</v>
      </c>
      <c r="F5435" s="3" t="s">
        <v>6082</v>
      </c>
      <c r="G5435" s="3">
        <v>50776</v>
      </c>
      <c r="H5435" s="7" t="str">
        <f>HYPERLINK("http://www.ensembl.org/Mus_musculus/Gene/Summary?db=core;g=ENSMUSG00000020718","ENSMUSG00000020718")</f>
        <v>ENSMUSG00000020718</v>
      </c>
      <c r="I5435" s="7" t="str">
        <f>HYPERLINK("http://www.informatics.jax.org/marker/MGI:1354947","MGI:1354947")</f>
        <v>MGI:1354947</v>
      </c>
      <c r="J5435" s="4" t="s">
        <v>12</v>
      </c>
    </row>
    <row r="5436" spans="1:10" x14ac:dyDescent="0.25">
      <c r="A5436" s="2">
        <v>427.28507563160099</v>
      </c>
      <c r="B5436" s="3">
        <v>-0.46645033524038698</v>
      </c>
      <c r="C5436" s="5">
        <v>4.5949975653292699E-10</v>
      </c>
      <c r="D5436" s="6">
        <v>3.69893244823878E-9</v>
      </c>
      <c r="E5436" s="3" t="s">
        <v>7782</v>
      </c>
      <c r="F5436" s="3" t="s">
        <v>7783</v>
      </c>
      <c r="G5436" s="3">
        <v>57784</v>
      </c>
      <c r="H5436" s="7" t="str">
        <f>HYPERLINK("http://www.ensembl.org/Mus_musculus/Gene/Summary?db=core;g=ENSMUSG00000022089","ENSMUSG00000022089")</f>
        <v>ENSMUSG00000022089</v>
      </c>
      <c r="I5436" s="7" t="str">
        <f>HYPERLINK("http://www.informatics.jax.org/marker/MGI:1929883","MGI:1929883")</f>
        <v>MGI:1929883</v>
      </c>
      <c r="J5436" s="4" t="s">
        <v>12</v>
      </c>
    </row>
    <row r="5437" spans="1:10" x14ac:dyDescent="0.25">
      <c r="A5437" s="2">
        <v>823.96966712604001</v>
      </c>
      <c r="B5437" s="3">
        <v>-0.46645609160881402</v>
      </c>
      <c r="C5437" s="5">
        <v>6.1755969918397903E-13</v>
      </c>
      <c r="D5437" s="6">
        <v>6.3587714788858898E-12</v>
      </c>
      <c r="E5437" s="3" t="s">
        <v>2808</v>
      </c>
      <c r="F5437" s="3" t="s">
        <v>2809</v>
      </c>
      <c r="G5437" s="3">
        <v>233210</v>
      </c>
      <c r="H5437" s="7" t="str">
        <f>HYPERLINK("http://www.ensembl.org/Mus_musculus/Gene/Summary?db=core;g=ENSMUSG00000046574","ENSMUSG00000046574")</f>
        <v>ENSMUSG00000046574</v>
      </c>
      <c r="I5437" s="7" t="str">
        <f>HYPERLINK("http://www.informatics.jax.org/marker/MGI:2679002","MGI:2679002")</f>
        <v>MGI:2679002</v>
      </c>
      <c r="J5437" s="4" t="s">
        <v>12</v>
      </c>
    </row>
    <row r="5438" spans="1:10" x14ac:dyDescent="0.25">
      <c r="A5438" s="2">
        <v>514.63693812758595</v>
      </c>
      <c r="B5438" s="3">
        <v>-0.46688667265342898</v>
      </c>
      <c r="C5438" s="5">
        <v>5.5760332805778498E-11</v>
      </c>
      <c r="D5438" s="6">
        <v>4.8763534807356703E-10</v>
      </c>
      <c r="E5438" s="3" t="s">
        <v>5771</v>
      </c>
      <c r="F5438" s="3" t="s">
        <v>5772</v>
      </c>
      <c r="G5438" s="3">
        <v>67392</v>
      </c>
      <c r="H5438" s="7" t="str">
        <f>HYPERLINK("http://www.ensembl.org/Mus_musculus/Gene/Summary?db=core;g=ENSMUSG00000062822","ENSMUSG00000062822")</f>
        <v>ENSMUSG00000062822</v>
      </c>
      <c r="I5438" s="7" t="str">
        <f>HYPERLINK("http://www.informatics.jax.org/marker/MGI:1914642","MGI:1914642")</f>
        <v>MGI:1914642</v>
      </c>
      <c r="J5438" s="4" t="s">
        <v>12</v>
      </c>
    </row>
    <row r="5439" spans="1:10" x14ac:dyDescent="0.25">
      <c r="A5439" s="2">
        <v>634.23577846871501</v>
      </c>
      <c r="B5439" s="3">
        <v>-0.46730179071640898</v>
      </c>
      <c r="C5439" s="5">
        <v>2.5955553960375901E-9</v>
      </c>
      <c r="D5439" s="6">
        <v>1.9276282433897799E-8</v>
      </c>
      <c r="E5439" s="3" t="s">
        <v>6427</v>
      </c>
      <c r="F5439" s="3" t="s">
        <v>6428</v>
      </c>
      <c r="G5439" s="3">
        <v>72691</v>
      </c>
      <c r="H5439" s="7" t="str">
        <f>HYPERLINK("http://www.ensembl.org/Mus_musculus/Gene/Summary?db=core;g=ENSMUSG00000033033","ENSMUSG00000033033")</f>
        <v>ENSMUSG00000033033</v>
      </c>
      <c r="I5439" s="7" t="str">
        <f>HYPERLINK("http://www.informatics.jax.org/marker/MGI:1919941","MGI:1919941")</f>
        <v>MGI:1919941</v>
      </c>
      <c r="J5439" s="4" t="s">
        <v>12</v>
      </c>
    </row>
    <row r="5440" spans="1:10" x14ac:dyDescent="0.25">
      <c r="A5440" s="2">
        <v>134.83397807757399</v>
      </c>
      <c r="B5440" s="3">
        <v>-0.46774764216805098</v>
      </c>
      <c r="C5440" s="3">
        <v>9.2865294996361805E-4</v>
      </c>
      <c r="D5440" s="4">
        <v>3.2869877671561302E-3</v>
      </c>
      <c r="E5440" s="3" t="s">
        <v>10628</v>
      </c>
      <c r="F5440" s="3" t="s">
        <v>10629</v>
      </c>
      <c r="G5440" s="3">
        <v>15354</v>
      </c>
      <c r="H5440" s="7" t="str">
        <f>HYPERLINK("http://www.ensembl.org/Mus_musculus/Gene/Summary?db=core;g=ENSMUSG00000015217","ENSMUSG00000015217")</f>
        <v>ENSMUSG00000015217</v>
      </c>
      <c r="I5440" s="7" t="str">
        <f>HYPERLINK("http://www.informatics.jax.org/marker/MGI:1098219","MGI:1098219")</f>
        <v>MGI:1098219</v>
      </c>
      <c r="J5440" s="4" t="s">
        <v>12</v>
      </c>
    </row>
    <row r="5441" spans="1:10" x14ac:dyDescent="0.25">
      <c r="A5441" s="2">
        <v>278.21485231251</v>
      </c>
      <c r="B5441" s="3">
        <v>-0.46856543045356203</v>
      </c>
      <c r="C5441" s="5">
        <v>1.0932612283606399E-5</v>
      </c>
      <c r="D5441" s="6">
        <v>5.3146668143165498E-5</v>
      </c>
      <c r="E5441" s="3" t="s">
        <v>7418</v>
      </c>
      <c r="F5441" s="3" t="s">
        <v>7419</v>
      </c>
      <c r="G5441" s="3">
        <v>83815</v>
      </c>
      <c r="H5441" s="7" t="str">
        <f>HYPERLINK("http://www.ensembl.org/Mus_musculus/Gene/Summary?db=core;g=ENSMUSG00000023919","ENSMUSG00000023919")</f>
        <v>ENSMUSG00000023919</v>
      </c>
      <c r="I5441" s="7" t="str">
        <f>HYPERLINK("http://www.informatics.jax.org/marker/MGI:1933744","MGI:1933744")</f>
        <v>MGI:1933744</v>
      </c>
      <c r="J5441" s="4" t="s">
        <v>12</v>
      </c>
    </row>
    <row r="5442" spans="1:10" x14ac:dyDescent="0.25">
      <c r="A5442" s="2">
        <v>1137.2212091874701</v>
      </c>
      <c r="B5442" s="3">
        <v>-0.46867357597157999</v>
      </c>
      <c r="C5442" s="5">
        <v>7.4125946084795993E-18</v>
      </c>
      <c r="D5442" s="6">
        <v>1.03520717808077E-16</v>
      </c>
      <c r="E5442" s="3" t="s">
        <v>2057</v>
      </c>
      <c r="F5442" s="3" t="s">
        <v>2058</v>
      </c>
      <c r="G5442" s="3">
        <v>18747</v>
      </c>
      <c r="H5442" s="7" t="str">
        <f>HYPERLINK("http://www.ensembl.org/Mus_musculus/Gene/Summary?db=core;g=ENSMUSG00000005469","ENSMUSG00000005469")</f>
        <v>ENSMUSG00000005469</v>
      </c>
      <c r="I5442" s="7" t="str">
        <f>HYPERLINK("http://www.informatics.jax.org/marker/MGI:97592","MGI:97592")</f>
        <v>MGI:97592</v>
      </c>
      <c r="J5442" s="4" t="s">
        <v>12</v>
      </c>
    </row>
    <row r="5443" spans="1:10" x14ac:dyDescent="0.25">
      <c r="A5443" s="2">
        <v>186.977179913421</v>
      </c>
      <c r="B5443" s="3">
        <v>-0.46892925192077001</v>
      </c>
      <c r="C5443" s="5">
        <v>2.6320950482688099E-5</v>
      </c>
      <c r="D5443" s="4">
        <v>1.20800635242254E-4</v>
      </c>
      <c r="E5443" s="3" t="s">
        <v>4377</v>
      </c>
      <c r="F5443" s="3" t="s">
        <v>4378</v>
      </c>
      <c r="G5443" s="3">
        <v>116914</v>
      </c>
      <c r="H5443" s="7" t="str">
        <f>HYPERLINK("http://www.ensembl.org/Mus_musculus/Gene/Summary?db=core;g=ENSMUSG00000040918","ENSMUSG00000040918")</f>
        <v>ENSMUSG00000040918</v>
      </c>
      <c r="I5443" s="7" t="str">
        <f>HYPERLINK("http://www.informatics.jax.org/marker/MGI:1928761","MGI:1928761")</f>
        <v>MGI:1928761</v>
      </c>
      <c r="J5443" s="4" t="s">
        <v>12</v>
      </c>
    </row>
    <row r="5444" spans="1:10" x14ac:dyDescent="0.25">
      <c r="A5444" s="2">
        <v>283.15514167266599</v>
      </c>
      <c r="B5444" s="3">
        <v>-0.46933923025503399</v>
      </c>
      <c r="C5444" s="5">
        <v>6.3324008820005804E-7</v>
      </c>
      <c r="D5444" s="6">
        <v>3.5975064237674698E-6</v>
      </c>
      <c r="E5444" s="3" t="s">
        <v>12307</v>
      </c>
      <c r="F5444" s="3" t="s">
        <v>12308</v>
      </c>
      <c r="G5444" s="3">
        <v>23797</v>
      </c>
      <c r="H5444" s="7" t="str">
        <f>HYPERLINK("http://www.ensembl.org/Mus_musculus/Gene/Summary?db=core;g=ENSMUSG00000019699","ENSMUSG00000019699")</f>
        <v>ENSMUSG00000019699</v>
      </c>
      <c r="I5444" s="7" t="str">
        <f>HYPERLINK("http://www.informatics.jax.org/marker/MGI:1345147","MGI:1345147")</f>
        <v>MGI:1345147</v>
      </c>
      <c r="J5444" s="4" t="s">
        <v>12</v>
      </c>
    </row>
    <row r="5445" spans="1:10" x14ac:dyDescent="0.25">
      <c r="A5445" s="2">
        <v>628.75184808819995</v>
      </c>
      <c r="B5445" s="3">
        <v>-0.46960290007593197</v>
      </c>
      <c r="C5445" s="5">
        <v>2.0629806794452901E-10</v>
      </c>
      <c r="D5445" s="6">
        <v>1.71757984846461E-9</v>
      </c>
      <c r="E5445" s="3" t="s">
        <v>5381</v>
      </c>
      <c r="F5445" s="3" t="s">
        <v>5382</v>
      </c>
      <c r="G5445" s="3">
        <v>106512</v>
      </c>
      <c r="H5445" s="7" t="str">
        <f>HYPERLINK("http://www.ensembl.org/Mus_musculus/Gene/Summary?db=core;g=ENSMUSG00000034786","ENSMUSG00000034786")</f>
        <v>ENSMUSG00000034786</v>
      </c>
      <c r="I5445" s="7" t="str">
        <f>HYPERLINK("http://www.informatics.jax.org/marker/MGI:2146785","MGI:2146785")</f>
        <v>MGI:2146785</v>
      </c>
      <c r="J5445" s="4" t="s">
        <v>12</v>
      </c>
    </row>
    <row r="5446" spans="1:10" x14ac:dyDescent="0.25">
      <c r="A5446" s="2">
        <v>1384.7001283167001</v>
      </c>
      <c r="B5446" s="3">
        <v>-0.47001531192005003</v>
      </c>
      <c r="C5446" s="5">
        <v>2.5155336447739699E-17</v>
      </c>
      <c r="D5446" s="6">
        <v>3.40353382895364E-16</v>
      </c>
      <c r="E5446" s="3" t="s">
        <v>2936</v>
      </c>
      <c r="F5446" s="3" t="s">
        <v>2937</v>
      </c>
      <c r="G5446" s="3">
        <v>67938</v>
      </c>
      <c r="H5446" s="7" t="str">
        <f>HYPERLINK("http://www.ensembl.org/Mus_musculus/Gene/Summary?db=core;g=ENSMUSG00000034868","ENSMUSG00000034868")</f>
        <v>ENSMUSG00000034868</v>
      </c>
      <c r="I5446" s="7" t="str">
        <f>HYPERLINK("http://www.informatics.jax.org/marker/MGI:107494","MGI:107494")</f>
        <v>MGI:107494</v>
      </c>
      <c r="J5446" s="4" t="s">
        <v>12</v>
      </c>
    </row>
    <row r="5447" spans="1:10" x14ac:dyDescent="0.25">
      <c r="A5447" s="2">
        <v>513.64726552024399</v>
      </c>
      <c r="B5447" s="3">
        <v>-0.47042435143398598</v>
      </c>
      <c r="C5447" s="5">
        <v>7.0019255706349402E-8</v>
      </c>
      <c r="D5447" s="6">
        <v>4.4432483817834901E-7</v>
      </c>
      <c r="E5447" s="3" t="s">
        <v>10864</v>
      </c>
      <c r="F5447" s="3" t="s">
        <v>10865</v>
      </c>
      <c r="G5447" s="3">
        <v>68614</v>
      </c>
      <c r="H5447" s="7" t="str">
        <f>HYPERLINK("http://www.ensembl.org/Mus_musculus/Gene/Summary?db=core;g=ENSMUSG00000037353","ENSMUSG00000037353")</f>
        <v>ENSMUSG00000037353</v>
      </c>
      <c r="I5447" s="7" t="str">
        <f>HYPERLINK("http://www.informatics.jax.org/marker/MGI:1915864","MGI:1915864")</f>
        <v>MGI:1915864</v>
      </c>
      <c r="J5447" s="4" t="s">
        <v>12</v>
      </c>
    </row>
    <row r="5448" spans="1:10" x14ac:dyDescent="0.25">
      <c r="A5448" s="2">
        <v>467.80786052695697</v>
      </c>
      <c r="B5448" s="3">
        <v>-0.47067570180826201</v>
      </c>
      <c r="C5448" s="5">
        <v>4.77766299004415E-8</v>
      </c>
      <c r="D5448" s="6">
        <v>3.0800462679007602E-7</v>
      </c>
      <c r="E5448" s="3" t="s">
        <v>4018</v>
      </c>
      <c r="F5448" s="3" t="s">
        <v>4019</v>
      </c>
      <c r="G5448" s="3">
        <v>67486</v>
      </c>
      <c r="H5448" s="7" t="str">
        <f>HYPERLINK("http://www.ensembl.org/Mus_musculus/Gene/Summary?db=core;g=ENSMUSG00000035834","ENSMUSG00000035834")</f>
        <v>ENSMUSG00000035834</v>
      </c>
      <c r="I5448" s="7" t="str">
        <f>HYPERLINK("http://www.informatics.jax.org/marker/MGI:1914736","MGI:1914736")</f>
        <v>MGI:1914736</v>
      </c>
      <c r="J5448" s="4" t="s">
        <v>12</v>
      </c>
    </row>
    <row r="5449" spans="1:10" x14ac:dyDescent="0.25">
      <c r="A5449" s="2">
        <v>531.96800823332501</v>
      </c>
      <c r="B5449" s="3">
        <v>-0.47113348955767398</v>
      </c>
      <c r="C5449" s="5">
        <v>8.72867770894184E-10</v>
      </c>
      <c r="D5449" s="6">
        <v>6.8274743023804698E-9</v>
      </c>
      <c r="E5449" s="3" t="s">
        <v>7260</v>
      </c>
      <c r="F5449" s="3" t="s">
        <v>7261</v>
      </c>
      <c r="G5449" s="3">
        <v>320817</v>
      </c>
      <c r="H5449" s="7" t="str">
        <f>HYPERLINK("http://www.ensembl.org/Mus_musculus/Gene/Summary?db=core;g=ENSMUSG00000052812","ENSMUSG00000052812")</f>
        <v>ENSMUSG00000052812</v>
      </c>
      <c r="I5449" s="7" t="str">
        <f>HYPERLINK("http://www.informatics.jax.org/marker/MGI:2444798","MGI:2444798")</f>
        <v>MGI:2444798</v>
      </c>
      <c r="J5449" s="4" t="s">
        <v>12</v>
      </c>
    </row>
    <row r="5450" spans="1:10" x14ac:dyDescent="0.25">
      <c r="A5450" s="2">
        <v>1555.3187440351901</v>
      </c>
      <c r="B5450" s="3">
        <v>-0.471290436574821</v>
      </c>
      <c r="C5450" s="5">
        <v>5.1795931296057099E-9</v>
      </c>
      <c r="D5450" s="6">
        <v>3.7237903269058803E-8</v>
      </c>
      <c r="E5450" s="3" t="s">
        <v>5159</v>
      </c>
      <c r="F5450" s="3" t="s">
        <v>5160</v>
      </c>
      <c r="G5450" s="3">
        <v>546071</v>
      </c>
      <c r="H5450" s="7" t="str">
        <f>HYPERLINK("http://www.ensembl.org/Mus_musculus/Gene/Summary?db=core;g=ENSMUSG00000031833","ENSMUSG00000031833")</f>
        <v>ENSMUSG00000031833</v>
      </c>
      <c r="I5450" s="7" t="str">
        <f>HYPERLINK("http://www.informatics.jax.org/marker/MGI:2683541","MGI:2683541")</f>
        <v>MGI:2683541</v>
      </c>
      <c r="J5450" s="4" t="s">
        <v>12</v>
      </c>
    </row>
    <row r="5451" spans="1:10" x14ac:dyDescent="0.25">
      <c r="A5451" s="2">
        <v>314.57741219244502</v>
      </c>
      <c r="B5451" s="3">
        <v>-0.47137134372310002</v>
      </c>
      <c r="C5451" s="5">
        <v>3.68597378801446E-9</v>
      </c>
      <c r="D5451" s="6">
        <v>2.70112071920239E-8</v>
      </c>
      <c r="E5451" s="3" t="s">
        <v>4475</v>
      </c>
      <c r="F5451" s="3" t="s">
        <v>4476</v>
      </c>
      <c r="G5451" s="3">
        <v>15979</v>
      </c>
      <c r="H5451" s="7" t="str">
        <f>HYPERLINK("http://www.ensembl.org/Mus_musculus/Gene/Summary?db=core;g=ENSMUSG00000020009","ENSMUSG00000020009")</f>
        <v>ENSMUSG00000020009</v>
      </c>
      <c r="I5451" s="7" t="str">
        <f>HYPERLINK("http://www.informatics.jax.org/marker/MGI:107655","MGI:107655")</f>
        <v>MGI:107655</v>
      </c>
      <c r="J5451" s="4" t="s">
        <v>12</v>
      </c>
    </row>
    <row r="5452" spans="1:10" x14ac:dyDescent="0.25">
      <c r="A5452" s="2">
        <v>274.73314527649001</v>
      </c>
      <c r="B5452" s="3">
        <v>-0.471465774754736</v>
      </c>
      <c r="C5452" s="5">
        <v>2.4984254880487799E-8</v>
      </c>
      <c r="D5452" s="6">
        <v>1.66729419698605E-7</v>
      </c>
      <c r="E5452" s="3" t="s">
        <v>9283</v>
      </c>
      <c r="F5452" s="3" t="s">
        <v>9284</v>
      </c>
      <c r="G5452" s="3">
        <v>219105</v>
      </c>
      <c r="H5452" s="7" t="str">
        <f>HYPERLINK("http://www.ensembl.org/Mus_musculus/Gene/Summary?db=core;g=ENSMUSG00000040123","ENSMUSG00000040123")</f>
        <v>ENSMUSG00000040123</v>
      </c>
      <c r="I5452" s="7" t="str">
        <f>HYPERLINK("http://www.informatics.jax.org/marker/MGI:3041170","MGI:3041170")</f>
        <v>MGI:3041170</v>
      </c>
      <c r="J5452" s="4" t="s">
        <v>12</v>
      </c>
    </row>
    <row r="5453" spans="1:10" x14ac:dyDescent="0.25">
      <c r="A5453" s="2">
        <v>89.168841494272797</v>
      </c>
      <c r="B5453" s="3">
        <v>-0.47174238334912399</v>
      </c>
      <c r="C5453" s="3">
        <v>1.4234073506262101E-4</v>
      </c>
      <c r="D5453" s="4">
        <v>5.7918283021126998E-4</v>
      </c>
      <c r="E5453" s="3" t="s">
        <v>7098</v>
      </c>
      <c r="F5453" s="3" t="s">
        <v>7099</v>
      </c>
      <c r="G5453" s="3">
        <v>74149</v>
      </c>
      <c r="H5453" s="7" t="str">
        <f>HYPERLINK("http://www.ensembl.org/Mus_musculus/Gene/Summary?db=core;g=ENSMUSG00000071266","ENSMUSG00000071266")</f>
        <v>ENSMUSG00000071266</v>
      </c>
      <c r="I5453" s="7" t="str">
        <f>HYPERLINK("http://www.informatics.jax.org/marker/MGI:1921399","MGI:1921399")</f>
        <v>MGI:1921399</v>
      </c>
      <c r="J5453" s="4" t="s">
        <v>12</v>
      </c>
    </row>
    <row r="5454" spans="1:10" x14ac:dyDescent="0.25">
      <c r="A5454" s="2">
        <v>530.74682937213197</v>
      </c>
      <c r="B5454" s="3">
        <v>-0.472020864937236</v>
      </c>
      <c r="C5454" s="5">
        <v>3.9238272254020198E-7</v>
      </c>
      <c r="D5454" s="6">
        <v>2.2957223493724501E-6</v>
      </c>
      <c r="E5454" s="3" t="s">
        <v>2345</v>
      </c>
      <c r="F5454" s="3" t="s">
        <v>2346</v>
      </c>
      <c r="G5454" s="3">
        <v>77011</v>
      </c>
      <c r="H5454" s="7" t="str">
        <f>HYPERLINK("http://www.ensembl.org/Mus_musculus/Gene/Summary?db=core;g=ENSMUSG00000046591","ENSMUSG00000046591")</f>
        <v>ENSMUSG00000046591</v>
      </c>
      <c r="I5454" s="7" t="str">
        <f>HYPERLINK("http://www.informatics.jax.org/marker/MGI:1924261","MGI:1924261")</f>
        <v>MGI:1924261</v>
      </c>
      <c r="J5454" s="4" t="s">
        <v>12</v>
      </c>
    </row>
    <row r="5455" spans="1:10" x14ac:dyDescent="0.25">
      <c r="A5455" s="2">
        <v>802.72742207402098</v>
      </c>
      <c r="B5455" s="3">
        <v>-0.47226494442039002</v>
      </c>
      <c r="C5455" s="3">
        <v>1.20875983214492E-4</v>
      </c>
      <c r="D5455" s="4">
        <v>4.9852111203532701E-4</v>
      </c>
      <c r="E5455" s="3" t="s">
        <v>12203</v>
      </c>
      <c r="F5455" s="3" t="s">
        <v>12204</v>
      </c>
      <c r="G5455" s="3">
        <v>56177</v>
      </c>
      <c r="H5455" s="7" t="str">
        <f>HYPERLINK("http://www.ensembl.org/Mus_musculus/Gene/Summary?db=core;g=ENSMUSG00000026833","ENSMUSG00000026833")</f>
        <v>ENSMUSG00000026833</v>
      </c>
      <c r="I5455" s="7" t="str">
        <f>HYPERLINK("http://www.informatics.jax.org/marker/MGI:1860437","MGI:1860437")</f>
        <v>MGI:1860437</v>
      </c>
      <c r="J5455" s="4" t="s">
        <v>12</v>
      </c>
    </row>
    <row r="5456" spans="1:10" x14ac:dyDescent="0.25">
      <c r="A5456" s="2">
        <v>311.65782897459098</v>
      </c>
      <c r="B5456" s="3">
        <v>-0.47236305099695097</v>
      </c>
      <c r="C5456" s="5">
        <v>2.7866206640478999E-8</v>
      </c>
      <c r="D5456" s="6">
        <v>1.8501333917039299E-7</v>
      </c>
      <c r="E5456" s="3" t="s">
        <v>3652</v>
      </c>
      <c r="F5456" s="3" t="s">
        <v>3653</v>
      </c>
      <c r="G5456" s="3">
        <v>16337</v>
      </c>
      <c r="H5456" s="7" t="str">
        <f>HYPERLINK("http://www.ensembl.org/Mus_musculus/Gene/Summary?db=core;g=ENSMUSG00000005534","ENSMUSG00000005534")</f>
        <v>ENSMUSG00000005534</v>
      </c>
      <c r="I5456" s="7" t="str">
        <f>HYPERLINK("http://www.informatics.jax.org/marker/MGI:96575","MGI:96575")</f>
        <v>MGI:96575</v>
      </c>
      <c r="J5456" s="4" t="s">
        <v>12</v>
      </c>
    </row>
    <row r="5457" spans="1:10" x14ac:dyDescent="0.25">
      <c r="A5457" s="2">
        <v>1438.6415181336999</v>
      </c>
      <c r="B5457" s="3">
        <v>-0.47239891994915001</v>
      </c>
      <c r="C5457" s="5">
        <v>7.4702733769236192E-9</v>
      </c>
      <c r="D5457" s="6">
        <v>5.2728788650051498E-8</v>
      </c>
      <c r="E5457" s="3" t="s">
        <v>4317</v>
      </c>
      <c r="F5457" s="3" t="s">
        <v>4318</v>
      </c>
      <c r="G5457" s="3">
        <v>18755</v>
      </c>
      <c r="H5457" s="7" t="str">
        <f>HYPERLINK("http://www.ensembl.org/Mus_musculus/Gene/Summary?db=core;g=ENSMUSG00000021108","ENSMUSG00000021108")</f>
        <v>ENSMUSG00000021108</v>
      </c>
      <c r="I5457" s="7" t="str">
        <f>HYPERLINK("http://www.informatics.jax.org/marker/MGI:97600","MGI:97600")</f>
        <v>MGI:97600</v>
      </c>
      <c r="J5457" s="4" t="s">
        <v>12</v>
      </c>
    </row>
    <row r="5458" spans="1:10" x14ac:dyDescent="0.25">
      <c r="A5458" s="2">
        <v>346.66015910988301</v>
      </c>
      <c r="B5458" s="3">
        <v>-0.47269419485481701</v>
      </c>
      <c r="C5458" s="3">
        <v>2.40208725528974E-4</v>
      </c>
      <c r="D5458" s="4">
        <v>9.3964456380458104E-4</v>
      </c>
      <c r="E5458" s="3" t="s">
        <v>8311</v>
      </c>
      <c r="F5458" s="3" t="s">
        <v>8312</v>
      </c>
      <c r="G5458" s="3">
        <v>140500</v>
      </c>
      <c r="H5458" s="7" t="str">
        <f>HYPERLINK("http://www.ensembl.org/Mus_musculus/Gene/Summary?db=core;g=ENSMUSG00000029033","ENSMUSG00000029033")</f>
        <v>ENSMUSG00000029033</v>
      </c>
      <c r="I5458" s="7" t="str">
        <f>HYPERLINK("http://www.informatics.jax.org/marker/MGI:2153589","MGI:2153589")</f>
        <v>MGI:2153589</v>
      </c>
      <c r="J5458" s="4" t="s">
        <v>12</v>
      </c>
    </row>
    <row r="5459" spans="1:10" x14ac:dyDescent="0.25">
      <c r="A5459" s="2">
        <v>467.20419597015098</v>
      </c>
      <c r="B5459" s="3">
        <v>-0.47323954065856799</v>
      </c>
      <c r="C5459" s="5">
        <v>1.12029629626788E-10</v>
      </c>
      <c r="D5459" s="6">
        <v>9.5186013983599207E-10</v>
      </c>
      <c r="E5459" s="3" t="s">
        <v>3094</v>
      </c>
      <c r="F5459" s="3" t="s">
        <v>3095</v>
      </c>
      <c r="G5459" s="3">
        <v>12366</v>
      </c>
      <c r="H5459" s="7" t="str">
        <f>HYPERLINK("http://www.ensembl.org/Mus_musculus/Gene/Summary?db=core;g=ENSMUSG00000029863","ENSMUSG00000029863")</f>
        <v>ENSMUSG00000029863</v>
      </c>
      <c r="I5459" s="7" t="str">
        <f>HYPERLINK("http://www.informatics.jax.org/marker/MGI:97295","MGI:97295")</f>
        <v>MGI:97295</v>
      </c>
      <c r="J5459" s="4" t="s">
        <v>12</v>
      </c>
    </row>
    <row r="5460" spans="1:10" x14ac:dyDescent="0.25">
      <c r="A5460" s="2">
        <v>291.54877172038402</v>
      </c>
      <c r="B5460" s="3">
        <v>-0.47363211050074</v>
      </c>
      <c r="C5460" s="5">
        <v>2.2726162177742101E-9</v>
      </c>
      <c r="D5460" s="6">
        <v>1.6960864278843198E-8</v>
      </c>
      <c r="E5460" s="3" t="s">
        <v>5907</v>
      </c>
      <c r="F5460" s="3" t="s">
        <v>5908</v>
      </c>
      <c r="G5460" s="3">
        <v>73828</v>
      </c>
      <c r="H5460" s="7" t="str">
        <f>HYPERLINK("http://www.ensembl.org/Mus_musculus/Gene/Summary?db=core;g=ENSMUSG00000021222","ENSMUSG00000021222")</f>
        <v>ENSMUSG00000021222</v>
      </c>
      <c r="I5460" s="7" t="str">
        <f>HYPERLINK("http://www.informatics.jax.org/marker/MGI:1921078","MGI:1921078")</f>
        <v>MGI:1921078</v>
      </c>
      <c r="J5460" s="4" t="s">
        <v>12</v>
      </c>
    </row>
    <row r="5461" spans="1:10" x14ac:dyDescent="0.25">
      <c r="A5461" s="2">
        <v>562.92324319226896</v>
      </c>
      <c r="B5461" s="3">
        <v>-0.475131451084367</v>
      </c>
      <c r="C5461" s="5">
        <v>3.2957221461866798E-7</v>
      </c>
      <c r="D5461" s="6">
        <v>1.94761790253736E-6</v>
      </c>
      <c r="E5461" s="3" t="s">
        <v>5475</v>
      </c>
      <c r="F5461" s="3" t="s">
        <v>5476</v>
      </c>
      <c r="G5461" s="3">
        <v>12499</v>
      </c>
      <c r="H5461" s="7" t="str">
        <f>HYPERLINK("http://www.ensembl.org/Mus_musculus/Gene/Summary?db=core;g=ENSMUSG00000021236","ENSMUSG00000021236")</f>
        <v>ENSMUSG00000021236</v>
      </c>
      <c r="I5461" s="7" t="str">
        <f>HYPERLINK("http://www.informatics.jax.org/marker/MGI:1321385","MGI:1321385")</f>
        <v>MGI:1321385</v>
      </c>
      <c r="J5461" s="4" t="s">
        <v>12</v>
      </c>
    </row>
    <row r="5462" spans="1:10" x14ac:dyDescent="0.25">
      <c r="A5462" s="2">
        <v>1819.98644357442</v>
      </c>
      <c r="B5462" s="3">
        <v>-0.47513513116872003</v>
      </c>
      <c r="C5462" s="5">
        <v>4.5037347942682501E-5</v>
      </c>
      <c r="D5462" s="4">
        <v>1.99031441866001E-4</v>
      </c>
      <c r="E5462" s="3" t="s">
        <v>7076</v>
      </c>
      <c r="F5462" s="3" t="s">
        <v>7077</v>
      </c>
      <c r="G5462" s="3">
        <v>240641</v>
      </c>
      <c r="H5462" s="7" t="str">
        <f>HYPERLINK("http://www.ensembl.org/Mus_musculus/Gene/Summary?db=core;g=ENSMUSG00000024795","ENSMUSG00000024795")</f>
        <v>ENSMUSG00000024795</v>
      </c>
      <c r="I5462" s="7" t="str">
        <f>HYPERLINK("http://www.informatics.jax.org/marker/MGI:2444576","MGI:2444576")</f>
        <v>MGI:2444576</v>
      </c>
      <c r="J5462" s="4" t="s">
        <v>12</v>
      </c>
    </row>
    <row r="5463" spans="1:10" x14ac:dyDescent="0.25">
      <c r="A5463" s="2">
        <v>1069.7970047761</v>
      </c>
      <c r="B5463" s="3">
        <v>-0.47528082106631298</v>
      </c>
      <c r="C5463" s="5">
        <v>7.3774147862861494E-15</v>
      </c>
      <c r="D5463" s="6">
        <v>8.5967637135591496E-14</v>
      </c>
      <c r="E5463" s="3" t="s">
        <v>3566</v>
      </c>
      <c r="F5463" s="3" t="s">
        <v>3567</v>
      </c>
      <c r="G5463" s="3">
        <v>98193</v>
      </c>
      <c r="H5463" s="7" t="str">
        <f>HYPERLINK("http://www.ensembl.org/Mus_musculus/Gene/Summary?db=core;g=ENSMUSG00000026554","ENSMUSG00000026554")</f>
        <v>ENSMUSG00000026554</v>
      </c>
      <c r="I5463" s="7" t="str">
        <f>HYPERLINK("http://www.informatics.jax.org/marker/MGI:91860","MGI:91860")</f>
        <v>MGI:91860</v>
      </c>
      <c r="J5463" s="4" t="s">
        <v>12</v>
      </c>
    </row>
    <row r="5464" spans="1:10" x14ac:dyDescent="0.25">
      <c r="A5464" s="2">
        <v>914.70658104464201</v>
      </c>
      <c r="B5464" s="3">
        <v>-0.47547926445327399</v>
      </c>
      <c r="C5464" s="5">
        <v>9.8458198647366106E-5</v>
      </c>
      <c r="D5464" s="4">
        <v>4.12316330502814E-4</v>
      </c>
      <c r="E5464" s="3" t="s">
        <v>8303</v>
      </c>
      <c r="F5464" s="3" t="s">
        <v>8304</v>
      </c>
      <c r="G5464" s="3">
        <v>21853</v>
      </c>
      <c r="H5464" s="7" t="str">
        <f>HYPERLINK("http://www.ensembl.org/Mus_musculus/Gene/Summary?db=core;g=ENSMUSG00000039994","ENSMUSG00000039994")</f>
        <v>ENSMUSG00000039994</v>
      </c>
      <c r="I5464" s="7" t="str">
        <f>HYPERLINK("http://www.informatics.jax.org/marker/MGI:1321393","MGI:1321393")</f>
        <v>MGI:1321393</v>
      </c>
      <c r="J5464" s="4" t="s">
        <v>12</v>
      </c>
    </row>
    <row r="5465" spans="1:10" x14ac:dyDescent="0.25">
      <c r="A5465" s="2">
        <v>71.095029886647595</v>
      </c>
      <c r="B5465" s="3">
        <v>-0.476621172427589</v>
      </c>
      <c r="C5465" s="3">
        <v>1.8048799707454601E-4</v>
      </c>
      <c r="D5465" s="4">
        <v>7.2183316802361397E-4</v>
      </c>
      <c r="E5465" s="3" t="s">
        <v>8001</v>
      </c>
      <c r="F5465" s="3" t="s">
        <v>8002</v>
      </c>
      <c r="G5465" s="3">
        <v>12183</v>
      </c>
      <c r="H5465" s="7" t="str">
        <f>HYPERLINK("http://www.ensembl.org/Mus_musculus/Gene/Summary?db=core;g=ENSMUSG00000038871","ENSMUSG00000038871")</f>
        <v>ENSMUSG00000038871</v>
      </c>
      <c r="I5465" s="7" t="str">
        <f>HYPERLINK("http://www.informatics.jax.org/marker/MGI:1098242","MGI:1098242")</f>
        <v>MGI:1098242</v>
      </c>
      <c r="J5465" s="4" t="s">
        <v>12</v>
      </c>
    </row>
    <row r="5466" spans="1:10" x14ac:dyDescent="0.25">
      <c r="A5466" s="2">
        <v>148.36581922586601</v>
      </c>
      <c r="B5466" s="3">
        <v>-0.47666364572323</v>
      </c>
      <c r="C5466" s="5">
        <v>7.4354811521137697E-6</v>
      </c>
      <c r="D5466" s="6">
        <v>3.7045282667379299E-5</v>
      </c>
      <c r="E5466" s="3" t="s">
        <v>5761</v>
      </c>
      <c r="F5466" s="3" t="s">
        <v>5762</v>
      </c>
      <c r="G5466" s="3">
        <v>230582</v>
      </c>
      <c r="H5466" s="7" t="str">
        <f>HYPERLINK("http://www.ensembl.org/Mus_musculus/Gene/Summary?db=core;g=ENSMUSG00000028621","ENSMUSG00000028621")</f>
        <v>ENSMUSG00000028621</v>
      </c>
      <c r="I5466" s="7" t="str">
        <f>HYPERLINK("http://www.informatics.jax.org/marker/MGI:1919657","MGI:1919657")</f>
        <v>MGI:1919657</v>
      </c>
      <c r="J5466" s="4" t="s">
        <v>12</v>
      </c>
    </row>
    <row r="5467" spans="1:10" x14ac:dyDescent="0.25">
      <c r="A5467" s="2">
        <v>1101.79656553164</v>
      </c>
      <c r="B5467" s="3">
        <v>-0.47708271131539598</v>
      </c>
      <c r="C5467" s="5">
        <v>4.34052104808871E-7</v>
      </c>
      <c r="D5467" s="6">
        <v>2.5201018190957898E-6</v>
      </c>
      <c r="E5467" s="3" t="s">
        <v>4955</v>
      </c>
      <c r="F5467" s="3" t="s">
        <v>4956</v>
      </c>
      <c r="G5467" s="3">
        <v>16553</v>
      </c>
      <c r="H5467" s="7" t="str">
        <f>HYPERLINK("http://www.ensembl.org/Mus_musculus/Gene/Summary?db=core;g=ENSMUSG00000021375","ENSMUSG00000021375")</f>
        <v>ENSMUSG00000021375</v>
      </c>
      <c r="I5467" s="7" t="str">
        <f>HYPERLINK("http://www.informatics.jax.org/marker/MGI:1098264","MGI:1098264")</f>
        <v>MGI:1098264</v>
      </c>
      <c r="J5467" s="4" t="s">
        <v>12</v>
      </c>
    </row>
    <row r="5468" spans="1:10" x14ac:dyDescent="0.25">
      <c r="A5468" s="2">
        <v>702.13502371484606</v>
      </c>
      <c r="B5468" s="3">
        <v>-0.477249427067865</v>
      </c>
      <c r="C5468" s="5">
        <v>1.9033344533477499E-14</v>
      </c>
      <c r="D5468" s="6">
        <v>2.15857314326463E-13</v>
      </c>
      <c r="E5468" s="3" t="s">
        <v>2836</v>
      </c>
      <c r="F5468" s="3" t="s">
        <v>2837</v>
      </c>
      <c r="G5468" s="3">
        <v>234384</v>
      </c>
      <c r="H5468" s="7" t="str">
        <f>HYPERLINK("http://www.ensembl.org/Mus_musculus/Gene/Summary?db=core;g=ENSMUSG00000035559","ENSMUSG00000035559")</f>
        <v>ENSMUSG00000035559</v>
      </c>
      <c r="I5468" s="7" t="str">
        <f>HYPERLINK("http://www.informatics.jax.org/marker/MGI:2681846","MGI:2681846")</f>
        <v>MGI:2681846</v>
      </c>
      <c r="J5468" s="4" t="s">
        <v>12</v>
      </c>
    </row>
    <row r="5469" spans="1:10" x14ac:dyDescent="0.25">
      <c r="A5469" s="2">
        <v>95.651895813837498</v>
      </c>
      <c r="B5469" s="3">
        <v>-0.47744024437281601</v>
      </c>
      <c r="C5469" s="3">
        <v>1.8168199803028501E-4</v>
      </c>
      <c r="D5469" s="4">
        <v>7.2613035396972404E-4</v>
      </c>
      <c r="E5469" s="3" t="s">
        <v>12065</v>
      </c>
      <c r="F5469" s="3" t="s">
        <v>12066</v>
      </c>
      <c r="G5469" s="3">
        <v>18207</v>
      </c>
      <c r="H5469" s="7" t="str">
        <f>HYPERLINK("http://www.ensembl.org/Mus_musculus/Gene/Summary?db=core;g=ENSMUSG00000041429","ENSMUSG00000041429")</f>
        <v>ENSMUSG00000041429</v>
      </c>
      <c r="I5469" s="7" t="str">
        <f>HYPERLINK("http://www.informatics.jax.org/marker/MGI:1313275","MGI:1313275")</f>
        <v>MGI:1313275</v>
      </c>
      <c r="J5469" s="4" t="s">
        <v>12</v>
      </c>
    </row>
    <row r="5470" spans="1:10" x14ac:dyDescent="0.25">
      <c r="A5470" s="2">
        <v>56.078490944560102</v>
      </c>
      <c r="B5470" s="3">
        <v>-0.47754031700683403</v>
      </c>
      <c r="C5470" s="3">
        <v>6.5672612469661103E-3</v>
      </c>
      <c r="D5470" s="4">
        <v>1.9230131141702699E-2</v>
      </c>
      <c r="E5470" s="3" t="s">
        <v>7766</v>
      </c>
      <c r="F5470" s="3" t="s">
        <v>7767</v>
      </c>
      <c r="G5470" s="3">
        <v>319701</v>
      </c>
      <c r="H5470" s="7" t="str">
        <f>HYPERLINK("http://www.ensembl.org/Mus_musculus/Gene/Summary?db=core;g=ENSMUSG00000044966","ENSMUSG00000044966")</f>
        <v>ENSMUSG00000044966</v>
      </c>
      <c r="I5470" s="7" t="str">
        <f>HYPERLINK("http://www.informatics.jax.org/marker/MGI:2442569","MGI:2442569")</f>
        <v>MGI:2442569</v>
      </c>
      <c r="J5470" s="4" t="s">
        <v>12</v>
      </c>
    </row>
    <row r="5471" spans="1:10" x14ac:dyDescent="0.25">
      <c r="A5471" s="2">
        <v>274.19970040681699</v>
      </c>
      <c r="B5471" s="3">
        <v>-0.47757663633866498</v>
      </c>
      <c r="C5471" s="5">
        <v>8.2038824986220201E-10</v>
      </c>
      <c r="D5471" s="6">
        <v>6.4446447645425201E-9</v>
      </c>
      <c r="E5471" s="3" t="s">
        <v>3730</v>
      </c>
      <c r="F5471" s="3" t="s">
        <v>3731</v>
      </c>
      <c r="G5471" s="3">
        <v>246229</v>
      </c>
      <c r="H5471" s="7" t="str">
        <f>HYPERLINK("http://www.ensembl.org/Mus_musculus/Gene/Summary?db=core;g=ENSMUSG00000041684","ENSMUSG00000041684")</f>
        <v>ENSMUSG00000041684</v>
      </c>
      <c r="I5471" s="7" t="str">
        <f>HYPERLINK("http://www.informatics.jax.org/marker/MGI:2179809","MGI:2179809")</f>
        <v>MGI:2179809</v>
      </c>
      <c r="J5471" s="4" t="s">
        <v>12</v>
      </c>
    </row>
    <row r="5472" spans="1:10" x14ac:dyDescent="0.25">
      <c r="A5472" s="2">
        <v>73.012665921849305</v>
      </c>
      <c r="B5472" s="3">
        <v>-0.47763780288031898</v>
      </c>
      <c r="C5472" s="3">
        <v>4.3921038843281498E-4</v>
      </c>
      <c r="D5472" s="4">
        <v>1.6460228931087901E-3</v>
      </c>
      <c r="E5472" s="3" t="s">
        <v>7890</v>
      </c>
      <c r="F5472" s="3" t="s">
        <v>7891</v>
      </c>
      <c r="G5472" s="3">
        <v>230101</v>
      </c>
      <c r="H5472" s="7" t="str">
        <f>HYPERLINK("http://www.ensembl.org/Mus_musculus/Gene/Summary?db=core;g=ENSMUSG00000028467","ENSMUSG00000028467")</f>
        <v>ENSMUSG00000028467</v>
      </c>
      <c r="I5472" s="7" t="str">
        <f>HYPERLINK("http://www.informatics.jax.org/marker/MGI:2654325","MGI:2654325")</f>
        <v>MGI:2654325</v>
      </c>
      <c r="J5472" s="4" t="s">
        <v>12</v>
      </c>
    </row>
    <row r="5473" spans="1:10" x14ac:dyDescent="0.25">
      <c r="A5473" s="2">
        <v>2296.6218642978101</v>
      </c>
      <c r="B5473" s="3">
        <v>-0.47789310034732102</v>
      </c>
      <c r="C5473" s="5">
        <v>5.2957863468380599E-17</v>
      </c>
      <c r="D5473" s="6">
        <v>7.0398035135757596E-16</v>
      </c>
      <c r="E5473" s="3" t="s">
        <v>3500</v>
      </c>
      <c r="F5473" s="3" t="s">
        <v>3501</v>
      </c>
      <c r="G5473" s="3">
        <v>11487</v>
      </c>
      <c r="H5473" s="7" t="str">
        <f>HYPERLINK("http://www.ensembl.org/Mus_musculus/Gene/Summary?db=core;g=ENSMUSG00000054693","ENSMUSG00000054693")</f>
        <v>ENSMUSG00000054693</v>
      </c>
      <c r="I5473" s="7" t="str">
        <f>HYPERLINK("http://www.informatics.jax.org/marker/MGI:109548","MGI:109548")</f>
        <v>MGI:109548</v>
      </c>
      <c r="J5473" s="4" t="s">
        <v>12</v>
      </c>
    </row>
    <row r="5474" spans="1:10" x14ac:dyDescent="0.25">
      <c r="A5474" s="2">
        <v>734.30569519204698</v>
      </c>
      <c r="B5474" s="3">
        <v>-0.477941770060895</v>
      </c>
      <c r="C5474" s="5">
        <v>8.5994946193882904E-10</v>
      </c>
      <c r="D5474" s="6">
        <v>6.7351005345230597E-9</v>
      </c>
      <c r="E5474" s="3" t="s">
        <v>11084</v>
      </c>
      <c r="F5474" s="3" t="s">
        <v>11085</v>
      </c>
      <c r="G5474" s="3">
        <v>21934</v>
      </c>
      <c r="H5474" s="7" t="str">
        <f>HYPERLINK("http://www.ensembl.org/Mus_musculus/Gene/Summary?db=core;g=ENSMUSG00000026321","ENSMUSG00000026321")</f>
        <v>ENSMUSG00000026321</v>
      </c>
      <c r="I5474" s="7" t="str">
        <f>HYPERLINK("http://www.informatics.jax.org/marker/MGI:1314891","MGI:1314891")</f>
        <v>MGI:1314891</v>
      </c>
      <c r="J5474" s="4" t="s">
        <v>12</v>
      </c>
    </row>
    <row r="5475" spans="1:10" x14ac:dyDescent="0.25">
      <c r="A5475" s="2">
        <v>771.83878422307998</v>
      </c>
      <c r="B5475" s="3">
        <v>-0.47817186189766397</v>
      </c>
      <c r="C5475" s="5">
        <v>2.7676467232436399E-13</v>
      </c>
      <c r="D5475" s="6">
        <v>2.92407892934002E-12</v>
      </c>
      <c r="E5475" s="3" t="s">
        <v>4489</v>
      </c>
      <c r="F5475" s="3" t="s">
        <v>4490</v>
      </c>
      <c r="G5475" s="3">
        <v>171212</v>
      </c>
      <c r="H5475" s="7" t="str">
        <f>HYPERLINK("http://www.ensembl.org/Mus_musculus/Gene/Summary?db=core;g=ENSMUSG00000020520","ENSMUSG00000020520")</f>
        <v>ENSMUSG00000020520</v>
      </c>
      <c r="I5475" s="7" t="str">
        <f>HYPERLINK("http://www.informatics.jax.org/marker/MGI:1890480","MGI:1890480")</f>
        <v>MGI:1890480</v>
      </c>
      <c r="J5475" s="4" t="s">
        <v>12</v>
      </c>
    </row>
    <row r="5476" spans="1:10" x14ac:dyDescent="0.25">
      <c r="A5476" s="2">
        <v>481.15588225237599</v>
      </c>
      <c r="B5476" s="3">
        <v>-0.47834925607790102</v>
      </c>
      <c r="C5476" s="5">
        <v>2.6634910945986E-15</v>
      </c>
      <c r="D5476" s="6">
        <v>3.1830901769875103E-14</v>
      </c>
      <c r="E5476" s="3" t="s">
        <v>3266</v>
      </c>
      <c r="F5476" s="3" t="s">
        <v>3267</v>
      </c>
      <c r="G5476" s="3">
        <v>20866</v>
      </c>
      <c r="H5476" s="7" t="str">
        <f>HYPERLINK("http://www.ensembl.org/Mus_musculus/Gene/Summary?db=core;g=ENSMUSG00000030987","ENSMUSG00000030987")</f>
        <v>ENSMUSG00000030987</v>
      </c>
      <c r="I5476" s="7" t="str">
        <f>HYPERLINK("http://www.informatics.jax.org/marker/MGI:107476","MGI:107476")</f>
        <v>MGI:107476</v>
      </c>
      <c r="J5476" s="4" t="s">
        <v>12</v>
      </c>
    </row>
    <row r="5477" spans="1:10" x14ac:dyDescent="0.25">
      <c r="A5477" s="2">
        <v>84.195836794070601</v>
      </c>
      <c r="B5477" s="3">
        <v>-0.47863467245174701</v>
      </c>
      <c r="C5477" s="3">
        <v>5.8478588949668698E-3</v>
      </c>
      <c r="D5477" s="4">
        <v>1.7295882564227701E-2</v>
      </c>
      <c r="E5477" s="3" t="s">
        <v>9159</v>
      </c>
      <c r="F5477" s="3" t="s">
        <v>9160</v>
      </c>
      <c r="G5477" s="3">
        <v>13846</v>
      </c>
      <c r="H5477" s="7" t="str">
        <f>HYPERLINK("http://www.ensembl.org/Mus_musculus/Gene/Summary?db=core;g=ENSMUSG00000029710","ENSMUSG00000029710")</f>
        <v>ENSMUSG00000029710</v>
      </c>
      <c r="I5477" s="7" t="str">
        <f>HYPERLINK("http://www.informatics.jax.org/marker/MGI:104757","MGI:104757")</f>
        <v>MGI:104757</v>
      </c>
      <c r="J5477" s="4" t="s">
        <v>12</v>
      </c>
    </row>
    <row r="5478" spans="1:10" x14ac:dyDescent="0.25">
      <c r="A5478" s="2">
        <v>219.060818528222</v>
      </c>
      <c r="B5478" s="3">
        <v>-0.47921161677787499</v>
      </c>
      <c r="C5478" s="5">
        <v>1.26718344615799E-7</v>
      </c>
      <c r="D5478" s="6">
        <v>7.8445714355398701E-7</v>
      </c>
      <c r="E5478" s="3" t="s">
        <v>7738</v>
      </c>
      <c r="F5478" s="3" t="s">
        <v>7739</v>
      </c>
      <c r="G5478" s="3">
        <v>329416</v>
      </c>
      <c r="H5478" s="7" t="str">
        <f>HYPERLINK("http://www.ensembl.org/Mus_musculus/Gene/Summary?db=core;g=ENSMUSG00000034738","ENSMUSG00000034738")</f>
        <v>ENSMUSG00000034738</v>
      </c>
      <c r="I5478" s="7" t="str">
        <f>HYPERLINK("http://www.informatics.jax.org/marker/MGI:3606242","MGI:3606242")</f>
        <v>MGI:3606242</v>
      </c>
      <c r="J5478" s="4" t="s">
        <v>12</v>
      </c>
    </row>
    <row r="5479" spans="1:10" x14ac:dyDescent="0.25">
      <c r="A5479" s="2">
        <v>517.995293769407</v>
      </c>
      <c r="B5479" s="3">
        <v>-0.479652440752114</v>
      </c>
      <c r="C5479" s="5">
        <v>2.3624277312161601E-8</v>
      </c>
      <c r="D5479" s="6">
        <v>1.5805890382310799E-7</v>
      </c>
      <c r="E5479" s="3" t="s">
        <v>5125</v>
      </c>
      <c r="F5479" s="3" t="s">
        <v>5126</v>
      </c>
      <c r="G5479" s="3">
        <v>216445</v>
      </c>
      <c r="H5479" s="7" t="str">
        <f>HYPERLINK("http://www.ensembl.org/Mus_musculus/Gene/Summary?db=core;g=ENSMUSG00000040345","ENSMUSG00000040345")</f>
        <v>ENSMUSG00000040345</v>
      </c>
      <c r="I5479" s="7" t="str">
        <f>HYPERLINK("http://www.informatics.jax.org/marker/MGI:2143764","MGI:2143764")</f>
        <v>MGI:2143764</v>
      </c>
      <c r="J5479" s="4" t="s">
        <v>12</v>
      </c>
    </row>
    <row r="5480" spans="1:10" x14ac:dyDescent="0.25">
      <c r="A5480" s="2">
        <v>746.63068520746901</v>
      </c>
      <c r="B5480" s="3">
        <v>-0.47974533548936699</v>
      </c>
      <c r="C5480" s="5">
        <v>4.8717182374717202E-11</v>
      </c>
      <c r="D5480" s="6">
        <v>4.2850900037607202E-10</v>
      </c>
      <c r="E5480" s="3" t="s">
        <v>2193</v>
      </c>
      <c r="F5480" s="3" t="s">
        <v>2194</v>
      </c>
      <c r="G5480" s="3">
        <v>20492</v>
      </c>
      <c r="H5480" s="7" t="str">
        <f>HYPERLINK("http://www.ensembl.org/Mus_musculus/Gene/Summary?db=core;g=ENSMUSG00000004642","ENSMUSG00000004642")</f>
        <v>ENSMUSG00000004642</v>
      </c>
      <c r="I5480" s="7" t="str">
        <f>HYPERLINK("http://www.informatics.jax.org/marker/MGI:108402","MGI:108402")</f>
        <v>MGI:108402</v>
      </c>
      <c r="J5480" s="4" t="s">
        <v>12</v>
      </c>
    </row>
    <row r="5481" spans="1:10" x14ac:dyDescent="0.25">
      <c r="A5481" s="2">
        <v>1249.1042498539</v>
      </c>
      <c r="B5481" s="3">
        <v>-0.47999179732124803</v>
      </c>
      <c r="C5481" s="5">
        <v>1.3346809209632799E-5</v>
      </c>
      <c r="D5481" s="6">
        <v>6.4079042865778602E-5</v>
      </c>
      <c r="E5481" s="3" t="s">
        <v>5129</v>
      </c>
      <c r="F5481" s="3" t="s">
        <v>5130</v>
      </c>
      <c r="G5481" s="3">
        <v>20877</v>
      </c>
      <c r="H5481" s="7" t="str">
        <f>HYPERLINK("http://www.ensembl.org/Mus_musculus/Gene/Summary?db=core;g=ENSMUSG00000020897","ENSMUSG00000020897")</f>
        <v>ENSMUSG00000020897</v>
      </c>
      <c r="I5481" s="7" t="str">
        <f>HYPERLINK("http://www.informatics.jax.org/marker/MGI:107168","MGI:107168")</f>
        <v>MGI:107168</v>
      </c>
      <c r="J5481" s="4" t="s">
        <v>12</v>
      </c>
    </row>
    <row r="5482" spans="1:10" x14ac:dyDescent="0.25">
      <c r="A5482" s="2">
        <v>174.05237634472101</v>
      </c>
      <c r="B5482" s="3">
        <v>-0.48013287062289001</v>
      </c>
      <c r="C5482" s="5">
        <v>1.02898750363731E-7</v>
      </c>
      <c r="D5482" s="6">
        <v>6.4334248262452998E-7</v>
      </c>
      <c r="E5482" s="3" t="s">
        <v>5305</v>
      </c>
      <c r="F5482" s="3" t="s">
        <v>5306</v>
      </c>
      <c r="G5482" s="3">
        <v>107197</v>
      </c>
      <c r="H5482" s="7" t="str">
        <f>HYPERLINK("http://www.ensembl.org/Mus_musculus/Gene/Summary?db=core;g=ENSMUSG00000071654","ENSMUSG00000071654")</f>
        <v>ENSMUSG00000071654</v>
      </c>
      <c r="I5482" s="7" t="str">
        <f>HYPERLINK("http://www.informatics.jax.org/marker/MGI:2147553","MGI:2147553")</f>
        <v>MGI:2147553</v>
      </c>
      <c r="J5482" s="4" t="s">
        <v>12</v>
      </c>
    </row>
    <row r="5483" spans="1:10" x14ac:dyDescent="0.25">
      <c r="A5483" s="2">
        <v>986.78702095605797</v>
      </c>
      <c r="B5483" s="3">
        <v>-0.48028890989435202</v>
      </c>
      <c r="C5483" s="5">
        <v>5.0588519171599602E-13</v>
      </c>
      <c r="D5483" s="6">
        <v>5.2355239176740698E-12</v>
      </c>
      <c r="E5483" s="3" t="s">
        <v>4913</v>
      </c>
      <c r="F5483" s="3" t="s">
        <v>4914</v>
      </c>
      <c r="G5483" s="3">
        <v>219158</v>
      </c>
      <c r="H5483" s="7" t="str">
        <f>HYPERLINK("http://www.ensembl.org/Mus_musculus/Gene/Summary?db=core;g=ENSMUSG00000033712","ENSMUSG00000033712")</f>
        <v>ENSMUSG00000033712</v>
      </c>
      <c r="I5483" s="7" t="str">
        <f>HYPERLINK("http://www.informatics.jax.org/marker/MGI:2444228","MGI:2444228")</f>
        <v>MGI:2444228</v>
      </c>
      <c r="J5483" s="4" t="s">
        <v>12</v>
      </c>
    </row>
    <row r="5484" spans="1:10" x14ac:dyDescent="0.25">
      <c r="A5484" s="2">
        <v>556.62238082875797</v>
      </c>
      <c r="B5484" s="3">
        <v>-0.48040193634530798</v>
      </c>
      <c r="C5484" s="5">
        <v>4.9904629025609102E-5</v>
      </c>
      <c r="D5484" s="4">
        <v>2.19001171199549E-4</v>
      </c>
      <c r="E5484" s="3" t="s">
        <v>10452</v>
      </c>
      <c r="F5484" s="3" t="s">
        <v>10453</v>
      </c>
      <c r="G5484" s="3">
        <v>217830</v>
      </c>
      <c r="H5484" s="7" t="str">
        <f>HYPERLINK("http://www.ensembl.org/Mus_musculus/Gene/Summary?db=core;g=ENSMUSG00000021185","ENSMUSG00000021185")</f>
        <v>ENSMUSG00000021185</v>
      </c>
      <c r="I5484" s="7" t="str">
        <f>HYPERLINK("http://www.informatics.jax.org/marker/MGI:2444813","MGI:2444813")</f>
        <v>MGI:2444813</v>
      </c>
      <c r="J5484" s="4" t="s">
        <v>12</v>
      </c>
    </row>
    <row r="5485" spans="1:10" x14ac:dyDescent="0.25">
      <c r="A5485" s="2">
        <v>309.71119939021401</v>
      </c>
      <c r="B5485" s="3">
        <v>-0.48068555384164602</v>
      </c>
      <c r="C5485" s="5">
        <v>9.2194890972054501E-12</v>
      </c>
      <c r="D5485" s="6">
        <v>8.59024482600048E-11</v>
      </c>
      <c r="E5485" s="3" t="s">
        <v>4485</v>
      </c>
      <c r="F5485" s="3" t="s">
        <v>4486</v>
      </c>
      <c r="G5485" s="3">
        <v>72320</v>
      </c>
      <c r="H5485" s="7" t="str">
        <f>HYPERLINK("http://www.ensembl.org/Mus_musculus/Gene/Summary?db=core;g=ENSMUSG00000036955","ENSMUSG00000036955")</f>
        <v>ENSMUSG00000036955</v>
      </c>
      <c r="I5485" s="7" t="str">
        <f>HYPERLINK("http://www.informatics.jax.org/marker/MGI:1919570","MGI:1919570")</f>
        <v>MGI:1919570</v>
      </c>
      <c r="J5485" s="4" t="s">
        <v>12</v>
      </c>
    </row>
    <row r="5486" spans="1:10" x14ac:dyDescent="0.25">
      <c r="A5486" s="2">
        <v>525.48013387301899</v>
      </c>
      <c r="B5486" s="3">
        <v>-0.48080100516808899</v>
      </c>
      <c r="C5486" s="5">
        <v>1.9039778242512299E-5</v>
      </c>
      <c r="D5486" s="6">
        <v>8.9340874992220994E-5</v>
      </c>
      <c r="E5486" s="3" t="s">
        <v>8719</v>
      </c>
      <c r="F5486" s="3" t="s">
        <v>8720</v>
      </c>
      <c r="G5486" s="3">
        <v>66841</v>
      </c>
      <c r="H5486" s="7" t="str">
        <f>HYPERLINK("http://www.ensembl.org/Mus_musculus/Gene/Summary?db=core;g=ENSMUSG00000027809","ENSMUSG00000027809")</f>
        <v>ENSMUSG00000027809</v>
      </c>
      <c r="I5486" s="7" t="str">
        <f>HYPERLINK("http://www.informatics.jax.org/marker/MGI:106100","MGI:106100")</f>
        <v>MGI:106100</v>
      </c>
      <c r="J5486" s="4" t="s">
        <v>12</v>
      </c>
    </row>
    <row r="5487" spans="1:10" x14ac:dyDescent="0.25">
      <c r="A5487" s="2">
        <v>1413.92698199856</v>
      </c>
      <c r="B5487" s="3">
        <v>-0.48137645534051299</v>
      </c>
      <c r="C5487" s="5">
        <v>9.24794235752752E-11</v>
      </c>
      <c r="D5487" s="6">
        <v>7.92028897866255E-10</v>
      </c>
      <c r="E5487" s="3" t="s">
        <v>3072</v>
      </c>
      <c r="F5487" s="3" t="s">
        <v>3073</v>
      </c>
      <c r="G5487" s="3">
        <v>23854</v>
      </c>
      <c r="H5487" s="7" t="str">
        <f>HYPERLINK("http://www.ensembl.org/Mus_musculus/Gene/Summary?db=core;g=ENSMUSG00000001482","ENSMUSG00000001482")</f>
        <v>ENSMUSG00000001482</v>
      </c>
      <c r="I5487" s="7" t="str">
        <f>HYPERLINK("http://www.informatics.jax.org/marker/MGI:1346331","MGI:1346331")</f>
        <v>MGI:1346331</v>
      </c>
      <c r="J5487" s="4" t="s">
        <v>12</v>
      </c>
    </row>
    <row r="5488" spans="1:10" x14ac:dyDescent="0.25">
      <c r="A5488" s="2">
        <v>675.52575306594099</v>
      </c>
      <c r="B5488" s="3">
        <v>-0.48177714151623902</v>
      </c>
      <c r="C5488" s="5">
        <v>2.0288577554861301E-11</v>
      </c>
      <c r="D5488" s="6">
        <v>1.84143090606248E-10</v>
      </c>
      <c r="E5488" s="3" t="s">
        <v>2888</v>
      </c>
      <c r="F5488" s="3" t="s">
        <v>2889</v>
      </c>
      <c r="G5488" s="3">
        <v>16653</v>
      </c>
      <c r="H5488" s="7" t="str">
        <f>HYPERLINK("http://www.ensembl.org/Mus_musculus/Gene/Summary?db=core;g=ENSMUSG00000030265","ENSMUSG00000030265")</f>
        <v>ENSMUSG00000030265</v>
      </c>
      <c r="I5488" s="7" t="str">
        <f>HYPERLINK("http://www.informatics.jax.org/marker/MGI:96680","MGI:96680")</f>
        <v>MGI:96680</v>
      </c>
      <c r="J5488" s="4" t="s">
        <v>12</v>
      </c>
    </row>
    <row r="5489" spans="1:10" x14ac:dyDescent="0.25">
      <c r="A5489" s="2">
        <v>113.525363010021</v>
      </c>
      <c r="B5489" s="3">
        <v>-0.48268223698035601</v>
      </c>
      <c r="C5489" s="5">
        <v>2.6846450924778799E-5</v>
      </c>
      <c r="D5489" s="4">
        <v>1.23088444806061E-4</v>
      </c>
      <c r="E5489" s="3" t="s">
        <v>8777</v>
      </c>
      <c r="F5489" s="3" t="s">
        <v>8778</v>
      </c>
      <c r="G5489" s="3">
        <v>17117</v>
      </c>
      <c r="H5489" s="7" t="str">
        <f>HYPERLINK("http://www.ensembl.org/Mus_musculus/Gene/Summary?db=core;g=ENSMUSG00000022244","ENSMUSG00000022244")</f>
        <v>ENSMUSG00000022244</v>
      </c>
      <c r="I5489" s="7" t="str">
        <f>HYPERLINK("http://www.informatics.jax.org/marker/MGI:1098273","MGI:1098273")</f>
        <v>MGI:1098273</v>
      </c>
      <c r="J5489" s="4" t="s">
        <v>12</v>
      </c>
    </row>
    <row r="5490" spans="1:10" x14ac:dyDescent="0.25">
      <c r="A5490" s="2">
        <v>48.105484759042398</v>
      </c>
      <c r="B5490" s="3">
        <v>-0.48299709953147102</v>
      </c>
      <c r="C5490" s="3">
        <v>4.7974267852157202E-3</v>
      </c>
      <c r="D5490" s="4">
        <v>1.44780763637285E-2</v>
      </c>
      <c r="E5490" s="3" t="s">
        <v>10338</v>
      </c>
      <c r="F5490" s="3" t="s">
        <v>10339</v>
      </c>
      <c r="G5490" s="3">
        <v>74251</v>
      </c>
      <c r="H5490" s="7" t="str">
        <f>HYPERLINK("http://www.ensembl.org/Mus_musculus/Gene/Summary?db=core;g=ENSMUSG00000037904","ENSMUSG00000037904")</f>
        <v>ENSMUSG00000037904</v>
      </c>
      <c r="I5490" s="7" t="str">
        <f>HYPERLINK("http://www.informatics.jax.org/marker/MGI:1921501","MGI:1921501")</f>
        <v>MGI:1921501</v>
      </c>
      <c r="J5490" s="4" t="s">
        <v>12</v>
      </c>
    </row>
    <row r="5491" spans="1:10" x14ac:dyDescent="0.25">
      <c r="A5491" s="2">
        <v>83.413823173369707</v>
      </c>
      <c r="B5491" s="3">
        <v>-0.48308258708029</v>
      </c>
      <c r="C5491" s="3">
        <v>1.81072531763745E-3</v>
      </c>
      <c r="D5491" s="4">
        <v>6.0518006444053698E-3</v>
      </c>
      <c r="E5491" s="3" t="s">
        <v>13171</v>
      </c>
      <c r="F5491" s="3" t="s">
        <v>13172</v>
      </c>
      <c r="G5491" s="3">
        <v>67454</v>
      </c>
      <c r="H5491" s="7" t="str">
        <f>HYPERLINK("http://www.ensembl.org/Mus_musculus/Gene/Summary?db=core;g=ENSMUSG00000019975","ENSMUSG00000019975")</f>
        <v>ENSMUSG00000019975</v>
      </c>
      <c r="I5491" s="7" t="str">
        <f>HYPERLINK("http://www.informatics.jax.org/marker/MGI:1914704","MGI:1914704")</f>
        <v>MGI:1914704</v>
      </c>
      <c r="J5491" s="4" t="s">
        <v>12</v>
      </c>
    </row>
    <row r="5492" spans="1:10" x14ac:dyDescent="0.25">
      <c r="A5492" s="2">
        <v>1078.43589334593</v>
      </c>
      <c r="B5492" s="3">
        <v>-0.48316528117326701</v>
      </c>
      <c r="C5492" s="5">
        <v>9.8431069822845594E-16</v>
      </c>
      <c r="D5492" s="6">
        <v>1.2120988158928101E-14</v>
      </c>
      <c r="E5492" s="3" t="s">
        <v>3188</v>
      </c>
      <c r="F5492" s="3" t="s">
        <v>3189</v>
      </c>
      <c r="G5492" s="3">
        <v>228607</v>
      </c>
      <c r="H5492" s="7" t="str">
        <f>HYPERLINK("http://www.ensembl.org/Mus_musculus/Gene/Summary?db=core;g=ENSMUSG00000037523","ENSMUSG00000037523")</f>
        <v>ENSMUSG00000037523</v>
      </c>
      <c r="I5492" s="7" t="str">
        <f>HYPERLINK("http://www.informatics.jax.org/marker/MGI:2444773","MGI:2444773")</f>
        <v>MGI:2444773</v>
      </c>
      <c r="J5492" s="4" t="s">
        <v>12</v>
      </c>
    </row>
    <row r="5493" spans="1:10" x14ac:dyDescent="0.25">
      <c r="A5493" s="2">
        <v>245.59309085770599</v>
      </c>
      <c r="B5493" s="3">
        <v>-0.48348423169619198</v>
      </c>
      <c r="C5493" s="5">
        <v>5.1804130384627702E-6</v>
      </c>
      <c r="D5493" s="6">
        <v>2.64314187082822E-5</v>
      </c>
      <c r="E5493" s="3" t="s">
        <v>5869</v>
      </c>
      <c r="F5493" s="3" t="s">
        <v>5870</v>
      </c>
      <c r="G5493" s="3">
        <v>24050</v>
      </c>
      <c r="H5493" s="7" t="str">
        <f>HYPERLINK("http://www.ensembl.org/Mus_musculus/Gene/Summary?db=core;g=ENSMUSG00000022456","ENSMUSG00000022456")</f>
        <v>ENSMUSG00000022456</v>
      </c>
      <c r="I5493" s="7" t="str">
        <f>HYPERLINK("http://www.informatics.jax.org/marker/MGI:1345148","MGI:1345148")</f>
        <v>MGI:1345148</v>
      </c>
      <c r="J5493" s="4" t="s">
        <v>12</v>
      </c>
    </row>
    <row r="5494" spans="1:10" x14ac:dyDescent="0.25">
      <c r="A5494" s="2">
        <v>3143.8933718673802</v>
      </c>
      <c r="B5494" s="3">
        <v>-0.48405017948132201</v>
      </c>
      <c r="C5494" s="5">
        <v>6.0158567158769498E-12</v>
      </c>
      <c r="D5494" s="6">
        <v>5.6837215472709902E-11</v>
      </c>
      <c r="E5494" s="3" t="s">
        <v>6105</v>
      </c>
      <c r="F5494" s="3" t="s">
        <v>6106</v>
      </c>
      <c r="G5494" s="3">
        <v>17449</v>
      </c>
      <c r="H5494" s="7" t="str">
        <f>HYPERLINK("http://www.ensembl.org/Mus_musculus/Gene/Summary?db=core;g=ENSMUSG00000020321","ENSMUSG00000020321")</f>
        <v>ENSMUSG00000020321</v>
      </c>
      <c r="I5494" s="7" t="str">
        <f>HYPERLINK("http://www.informatics.jax.org/marker/MGI:97051","MGI:97051")</f>
        <v>MGI:97051</v>
      </c>
      <c r="J5494" s="4" t="s">
        <v>12</v>
      </c>
    </row>
    <row r="5495" spans="1:10" x14ac:dyDescent="0.25">
      <c r="A5495" s="2">
        <v>705.74440382038301</v>
      </c>
      <c r="B5495" s="3">
        <v>-0.484077172365112</v>
      </c>
      <c r="C5495" s="5">
        <v>4.1923535598589201E-16</v>
      </c>
      <c r="D5495" s="6">
        <v>5.3133270951619496E-15</v>
      </c>
      <c r="E5495" s="3" t="s">
        <v>2027</v>
      </c>
      <c r="F5495" s="3" t="s">
        <v>2028</v>
      </c>
      <c r="G5495" s="3">
        <v>59016</v>
      </c>
      <c r="H5495" s="7" t="str">
        <f>HYPERLINK("http://www.ensembl.org/Mus_musculus/Gene/Summary?db=core;g=ENSMUSG00000036442","ENSMUSG00000036442")</f>
        <v>ENSMUSG00000036442</v>
      </c>
      <c r="I5495" s="7" t="str">
        <f>HYPERLINK("http://www.informatics.jax.org/marker/MGI:1930964","MGI:1930964")</f>
        <v>MGI:1930964</v>
      </c>
      <c r="J5495" s="4" t="s">
        <v>12</v>
      </c>
    </row>
    <row r="5496" spans="1:10" x14ac:dyDescent="0.25">
      <c r="A5496" s="2">
        <v>410.81394147056801</v>
      </c>
      <c r="B5496" s="3">
        <v>-0.48421436525502698</v>
      </c>
      <c r="C5496" s="5">
        <v>2.1409673425557401E-7</v>
      </c>
      <c r="D5496" s="6">
        <v>1.29416682647026E-6</v>
      </c>
      <c r="E5496" s="3" t="s">
        <v>10828</v>
      </c>
      <c r="F5496" s="3" t="s">
        <v>10829</v>
      </c>
      <c r="G5496" s="3">
        <v>211006</v>
      </c>
      <c r="H5496" s="7" t="str">
        <f>HYPERLINK("http://www.ensembl.org/Mus_musculus/Gene/Summary?db=core;g=ENSMUSG00000029173","ENSMUSG00000029173")</f>
        <v>ENSMUSG00000029173</v>
      </c>
      <c r="I5496" s="7" t="str">
        <f>HYPERLINK("http://www.informatics.jax.org/marker/MGI:1098791","MGI:1098791")</f>
        <v>MGI:1098791</v>
      </c>
      <c r="J5496" s="4" t="s">
        <v>12</v>
      </c>
    </row>
    <row r="5497" spans="1:10" x14ac:dyDescent="0.25">
      <c r="A5497" s="2">
        <v>370.08992594019099</v>
      </c>
      <c r="B5497" s="3">
        <v>-0.48478751382065299</v>
      </c>
      <c r="C5497" s="5">
        <v>9.0973846055005605E-10</v>
      </c>
      <c r="D5497" s="6">
        <v>7.0975956521938197E-9</v>
      </c>
      <c r="E5497" s="3" t="s">
        <v>2613</v>
      </c>
      <c r="F5497" s="3" t="s">
        <v>2614</v>
      </c>
      <c r="G5497" s="3">
        <v>12649</v>
      </c>
      <c r="H5497" s="7" t="str">
        <f>HYPERLINK("http://www.ensembl.org/Mus_musculus/Gene/Summary?db=core;g=ENSMUSG00000032113","ENSMUSG00000032113")</f>
        <v>ENSMUSG00000032113</v>
      </c>
      <c r="I5497" s="7" t="str">
        <f>HYPERLINK("http://www.informatics.jax.org/marker/MGI:1202065","MGI:1202065")</f>
        <v>MGI:1202065</v>
      </c>
      <c r="J5497" s="4" t="s">
        <v>12</v>
      </c>
    </row>
    <row r="5498" spans="1:10" x14ac:dyDescent="0.25">
      <c r="A5498" s="2">
        <v>85.071196288179806</v>
      </c>
      <c r="B5498" s="3">
        <v>-0.48546879791383002</v>
      </c>
      <c r="C5498" s="3">
        <v>5.2133833497301999E-3</v>
      </c>
      <c r="D5498" s="4">
        <v>1.5622149218814999E-2</v>
      </c>
      <c r="E5498" s="3" t="s">
        <v>12007</v>
      </c>
      <c r="F5498" s="3" t="s">
        <v>12008</v>
      </c>
      <c r="G5498" s="3">
        <v>24001</v>
      </c>
      <c r="H5498" s="7" t="str">
        <f>HYPERLINK("http://www.ensembl.org/Mus_musculus/Gene/Summary?db=core;g=ENSMUSG00000023800","ENSMUSG00000023800")</f>
        <v>ENSMUSG00000023800</v>
      </c>
      <c r="I5498" s="7" t="str">
        <f>HYPERLINK("http://www.informatics.jax.org/marker/MGI:1344338","MGI:1344338")</f>
        <v>MGI:1344338</v>
      </c>
      <c r="J5498" s="4" t="s">
        <v>12</v>
      </c>
    </row>
    <row r="5499" spans="1:10" x14ac:dyDescent="0.25">
      <c r="A5499" s="2">
        <v>3931.13417314548</v>
      </c>
      <c r="B5499" s="3">
        <v>-0.485636382696844</v>
      </c>
      <c r="C5499" s="5">
        <v>1.08611462941382E-8</v>
      </c>
      <c r="D5499" s="6">
        <v>7.5378671443514194E-8</v>
      </c>
      <c r="E5499" s="3" t="s">
        <v>4141</v>
      </c>
      <c r="F5499" s="3" t="s">
        <v>4142</v>
      </c>
      <c r="G5499" s="3">
        <v>110052</v>
      </c>
      <c r="H5499" s="7" t="str">
        <f>HYPERLINK("http://www.ensembl.org/Mus_musculus/Gene/Summary?db=core;g=ENSMUSG00000021377","ENSMUSG00000021377")</f>
        <v>ENSMUSG00000021377</v>
      </c>
      <c r="I5499" s="7" t="str">
        <f>HYPERLINK("http://www.informatics.jax.org/marker/MGI:1926209","MGI:1926209")</f>
        <v>MGI:1926209</v>
      </c>
      <c r="J5499" s="4" t="s">
        <v>12</v>
      </c>
    </row>
    <row r="5500" spans="1:10" x14ac:dyDescent="0.25">
      <c r="A5500" s="2">
        <v>386.48631930218198</v>
      </c>
      <c r="B5500" s="3">
        <v>-0.48643592136182701</v>
      </c>
      <c r="C5500" s="5">
        <v>1.9706142871927799E-10</v>
      </c>
      <c r="D5500" s="6">
        <v>1.6436817109422601E-9</v>
      </c>
      <c r="E5500" s="3" t="s">
        <v>3854</v>
      </c>
      <c r="F5500" s="3" t="s">
        <v>3855</v>
      </c>
      <c r="G5500" s="3">
        <v>320438</v>
      </c>
      <c r="H5500" s="7" t="str">
        <f>HYPERLINK("http://www.ensembl.org/Mus_musculus/Gene/Summary?db=core;g=ENSMUSG00000073792","ENSMUSG00000073792")</f>
        <v>ENSMUSG00000073792</v>
      </c>
      <c r="I5500" s="7" t="str">
        <f>HYPERLINK("http://www.informatics.jax.org/marker/MGI:2444031","MGI:2444031")</f>
        <v>MGI:2444031</v>
      </c>
      <c r="J5500" s="4" t="s">
        <v>12</v>
      </c>
    </row>
    <row r="5501" spans="1:10" x14ac:dyDescent="0.25">
      <c r="A5501" s="2">
        <v>117.126774408779</v>
      </c>
      <c r="B5501" s="3">
        <v>-0.48652750305760201</v>
      </c>
      <c r="C5501" s="3">
        <v>1.7433402893357499E-3</v>
      </c>
      <c r="D5501" s="4">
        <v>5.8448080892464999E-3</v>
      </c>
      <c r="E5501" s="3" t="s">
        <v>6165</v>
      </c>
      <c r="F5501" s="3" t="s">
        <v>6166</v>
      </c>
      <c r="G5501" s="3">
        <v>26404</v>
      </c>
      <c r="H5501" s="7" t="str">
        <f>HYPERLINK("http://www.ensembl.org/Mus_musculus/Gene/Summary?db=core;g=ENSMUSG00000023050","ENSMUSG00000023050")</f>
        <v>ENSMUSG00000023050</v>
      </c>
      <c r="I5501" s="7" t="str">
        <f>HYPERLINK("http://www.informatics.jax.org/marker/MGI:1346881","MGI:1346881")</f>
        <v>MGI:1346881</v>
      </c>
      <c r="J5501" s="4" t="s">
        <v>12</v>
      </c>
    </row>
    <row r="5502" spans="1:10" x14ac:dyDescent="0.25">
      <c r="A5502" s="2">
        <v>138.19645463709099</v>
      </c>
      <c r="B5502" s="3">
        <v>-0.48656304425624902</v>
      </c>
      <c r="C5502" s="5">
        <v>6.3616899014308902E-5</v>
      </c>
      <c r="D5502" s="4">
        <v>2.7415889915719498E-4</v>
      </c>
      <c r="E5502" s="3" t="s">
        <v>12111</v>
      </c>
      <c r="F5502" s="3" t="s">
        <v>12112</v>
      </c>
      <c r="G5502" s="3">
        <v>93708</v>
      </c>
      <c r="H5502" s="7" t="str">
        <f>HYPERLINK("http://www.ensembl.org/Mus_musculus/Gene/Summary?db=core;g=ENSMUSG00000102543","ENSMUSG00000102543")</f>
        <v>ENSMUSG00000102543</v>
      </c>
      <c r="I5502" s="7" t="str">
        <f>HYPERLINK("http://www.informatics.jax.org/marker/MGI:1935205","MGI:1935205")</f>
        <v>MGI:1935205</v>
      </c>
      <c r="J5502" s="4" t="s">
        <v>12</v>
      </c>
    </row>
    <row r="5503" spans="1:10" x14ac:dyDescent="0.25">
      <c r="A5503" s="2">
        <v>53.695790696771901</v>
      </c>
      <c r="B5503" s="3">
        <v>-0.487756429233073</v>
      </c>
      <c r="C5503" s="3">
        <v>6.4038000390107897E-3</v>
      </c>
      <c r="D5503" s="4">
        <v>1.88028444838041E-2</v>
      </c>
      <c r="E5503" s="3" t="s">
        <v>11559</v>
      </c>
      <c r="F5503" s="3" t="s">
        <v>11560</v>
      </c>
      <c r="G5503" s="3">
        <v>79059</v>
      </c>
      <c r="H5503" s="7" t="str">
        <f>HYPERLINK("http://www.ensembl.org/Mus_musculus/Gene/Summary?db=core;g=ENSMUSG00000073435","ENSMUSG00000073435")</f>
        <v>ENSMUSG00000073435</v>
      </c>
      <c r="I5503" s="7" t="str">
        <f>HYPERLINK("http://www.informatics.jax.org/marker/MGI:1930182","MGI:1930182")</f>
        <v>MGI:1930182</v>
      </c>
      <c r="J5503" s="4" t="s">
        <v>12</v>
      </c>
    </row>
    <row r="5504" spans="1:10" x14ac:dyDescent="0.25">
      <c r="A5504" s="2">
        <v>122.053698421219</v>
      </c>
      <c r="B5504" s="3">
        <v>-0.48815307507538802</v>
      </c>
      <c r="C5504" s="5">
        <v>1.37317988540207E-5</v>
      </c>
      <c r="D5504" s="6">
        <v>6.5745189090783899E-5</v>
      </c>
      <c r="E5504" s="3" t="s">
        <v>5523</v>
      </c>
      <c r="F5504" s="3" t="s">
        <v>5524</v>
      </c>
      <c r="G5504" s="3">
        <v>100737</v>
      </c>
      <c r="H5504" s="7" t="str">
        <f>HYPERLINK("http://www.ensembl.org/Mus_musculus/Gene/Summary?db=core;g=ENSMUSG00000051674","ENSMUSG00000051674")</f>
        <v>ENSMUSG00000051674</v>
      </c>
      <c r="I5504" s="7" t="str">
        <f>HYPERLINK("http://www.informatics.jax.org/marker/MGI:2140972","MGI:2140972")</f>
        <v>MGI:2140972</v>
      </c>
      <c r="J5504" s="4" t="s">
        <v>12</v>
      </c>
    </row>
    <row r="5505" spans="1:10" x14ac:dyDescent="0.25">
      <c r="A5505" s="2">
        <v>367.23568442702998</v>
      </c>
      <c r="B5505" s="3">
        <v>-0.48837152691083802</v>
      </c>
      <c r="C5505" s="5">
        <v>3.8160978973420701E-5</v>
      </c>
      <c r="D5505" s="4">
        <v>1.7004494909305499E-4</v>
      </c>
      <c r="E5505" s="3" t="s">
        <v>8475</v>
      </c>
      <c r="F5505" s="3" t="s">
        <v>8476</v>
      </c>
      <c r="G5505" s="3">
        <v>19895</v>
      </c>
      <c r="H5505" s="7" t="str">
        <f>HYPERLINK("http://www.ensembl.org/Mus_musculus/Gene/Summary?db=core;g=ENSMUSG00000053604","ENSMUSG00000053604")</f>
        <v>ENSMUSG00000053604</v>
      </c>
      <c r="I5505" s="7" t="str">
        <f>HYPERLINK("http://www.informatics.jax.org/marker/MGI:103254","MGI:103254")</f>
        <v>MGI:103254</v>
      </c>
      <c r="J5505" s="4" t="s">
        <v>12</v>
      </c>
    </row>
    <row r="5506" spans="1:10" x14ac:dyDescent="0.25">
      <c r="A5506" s="2">
        <v>162.810350266489</v>
      </c>
      <c r="B5506" s="3">
        <v>-0.48866693118651</v>
      </c>
      <c r="C5506" s="5">
        <v>1.57860120569132E-6</v>
      </c>
      <c r="D5506" s="6">
        <v>8.5880617832012795E-6</v>
      </c>
      <c r="E5506" s="3" t="s">
        <v>8505</v>
      </c>
      <c r="F5506" s="3" t="s">
        <v>8506</v>
      </c>
      <c r="G5506" s="3">
        <v>207683</v>
      </c>
      <c r="H5506" s="7" t="str">
        <f>HYPERLINK("http://www.ensembl.org/Mus_musculus/Gene/Summary?db=core;g=ENSMUSG00000022790","ENSMUSG00000022790")</f>
        <v>ENSMUSG00000022790</v>
      </c>
      <c r="I5506" s="7" t="str">
        <f>HYPERLINK("http://www.informatics.jax.org/marker/MGI:2388477","MGI:2388477")</f>
        <v>MGI:2388477</v>
      </c>
      <c r="J5506" s="4" t="s">
        <v>12</v>
      </c>
    </row>
    <row r="5507" spans="1:10" x14ac:dyDescent="0.25">
      <c r="A5507" s="2">
        <v>1918.0967696272801</v>
      </c>
      <c r="B5507" s="3">
        <v>-0.48869407503212098</v>
      </c>
      <c r="C5507" s="5">
        <v>7.5473571520218797E-11</v>
      </c>
      <c r="D5507" s="6">
        <v>6.5251700235103798E-10</v>
      </c>
      <c r="E5507" s="3" t="s">
        <v>3426</v>
      </c>
      <c r="F5507" s="3" t="s">
        <v>3427</v>
      </c>
      <c r="G5507" s="3">
        <v>668158</v>
      </c>
      <c r="H5507" s="7" t="str">
        <f>HYPERLINK("http://www.ensembl.org/Mus_musculus/Gene/Summary?db=core;g=ENSMUSG00000084883","ENSMUSG00000084883")</f>
        <v>ENSMUSG00000084883</v>
      </c>
      <c r="I5507" s="7" t="str">
        <f>HYPERLINK("http://www.informatics.jax.org/marker/MGI:3644008","MGI:3644008")</f>
        <v>MGI:3644008</v>
      </c>
      <c r="J5507" s="4" t="s">
        <v>12</v>
      </c>
    </row>
    <row r="5508" spans="1:10" x14ac:dyDescent="0.25">
      <c r="A5508" s="2">
        <v>285.58492959931499</v>
      </c>
      <c r="B5508" s="3">
        <v>-0.488791574266141</v>
      </c>
      <c r="C5508" s="5">
        <v>4.97785185309026E-8</v>
      </c>
      <c r="D5508" s="6">
        <v>3.2000476198437401E-7</v>
      </c>
      <c r="E5508" s="3" t="s">
        <v>3514</v>
      </c>
      <c r="F5508" s="3" t="s">
        <v>3515</v>
      </c>
      <c r="G5508" s="3">
        <v>71591</v>
      </c>
      <c r="H5508" s="7" t="str">
        <f>HYPERLINK("http://www.ensembl.org/Mus_musculus/Gene/Summary?db=core;g=ENSMUSG00000022526","ENSMUSG00000022526")</f>
        <v>ENSMUSG00000022526</v>
      </c>
      <c r="I5508" s="7" t="str">
        <f>HYPERLINK("http://www.informatics.jax.org/marker/MGI:1918841","MGI:1918841")</f>
        <v>MGI:1918841</v>
      </c>
      <c r="J5508" s="4" t="s">
        <v>12</v>
      </c>
    </row>
    <row r="5509" spans="1:10" x14ac:dyDescent="0.25">
      <c r="A5509" s="2">
        <v>3534.8332291711699</v>
      </c>
      <c r="B5509" s="3">
        <v>-0.48933510705969202</v>
      </c>
      <c r="C5509" s="5">
        <v>1.4220963529383699E-38</v>
      </c>
      <c r="D5509" s="6">
        <v>4.6782862874190904E-37</v>
      </c>
      <c r="E5509" s="3" t="s">
        <v>776</v>
      </c>
      <c r="F5509" s="3" t="s">
        <v>777</v>
      </c>
      <c r="G5509" s="3">
        <v>117198</v>
      </c>
      <c r="H5509" s="7" t="str">
        <f>HYPERLINK("http://www.ensembl.org/Mus_musculus/Gene/Summary?db=core;g=ENSMUSG00000023150","ENSMUSG00000023150")</f>
        <v>ENSMUSG00000023150</v>
      </c>
      <c r="I5509" s="7" t="str">
        <f>HYPERLINK("http://www.informatics.jax.org/marker/MGI:2152389","MGI:2152389")</f>
        <v>MGI:2152389</v>
      </c>
      <c r="J5509" s="4" t="s">
        <v>12</v>
      </c>
    </row>
    <row r="5510" spans="1:10" x14ac:dyDescent="0.25">
      <c r="A5510" s="2">
        <v>159.51616869560499</v>
      </c>
      <c r="B5510" s="3">
        <v>-0.489531007509376</v>
      </c>
      <c r="C5510" s="3">
        <v>5.3311136559834899E-3</v>
      </c>
      <c r="D5510" s="4">
        <v>1.59382457972932E-2</v>
      </c>
      <c r="E5510" s="3" t="s">
        <v>7370</v>
      </c>
      <c r="F5510" s="3" t="s">
        <v>7371</v>
      </c>
      <c r="G5510" s="3">
        <v>384783</v>
      </c>
      <c r="H5510" s="7" t="str">
        <f>HYPERLINK("http://www.ensembl.org/Mus_musculus/Gene/Summary?db=core;g=ENSMUSG00000038894","ENSMUSG00000038894")</f>
        <v>ENSMUSG00000038894</v>
      </c>
      <c r="I5510" s="7" t="str">
        <f>HYPERLINK("http://www.informatics.jax.org/marker/MGI:109334","MGI:109334")</f>
        <v>MGI:109334</v>
      </c>
      <c r="J5510" s="4" t="s">
        <v>12</v>
      </c>
    </row>
    <row r="5511" spans="1:10" x14ac:dyDescent="0.25">
      <c r="A5511" s="2">
        <v>1937.7850583618799</v>
      </c>
      <c r="B5511" s="3">
        <v>-0.48962929413440498</v>
      </c>
      <c r="C5511" s="5">
        <v>6.58110634558768E-9</v>
      </c>
      <c r="D5511" s="6">
        <v>4.6760492455491399E-8</v>
      </c>
      <c r="E5511" s="3" t="s">
        <v>2003</v>
      </c>
      <c r="F5511" s="3" t="s">
        <v>2004</v>
      </c>
      <c r="G5511" s="3">
        <v>27221</v>
      </c>
      <c r="H5511" s="7" t="str">
        <f>HYPERLINK("http://www.ensembl.org/Mus_musculus/Gene/Summary?db=core;g=ENSMUSG00000002835","ENSMUSG00000002835")</f>
        <v>ENSMUSG00000002835</v>
      </c>
      <c r="I5511" s="7" t="str">
        <f>HYPERLINK("http://www.informatics.jax.org/marker/MGI:1351331","MGI:1351331")</f>
        <v>MGI:1351331</v>
      </c>
      <c r="J5511" s="4" t="s">
        <v>12</v>
      </c>
    </row>
    <row r="5512" spans="1:10" x14ac:dyDescent="0.25">
      <c r="A5512" s="2">
        <v>86.119582636762502</v>
      </c>
      <c r="B5512" s="3">
        <v>-0.48994751699643402</v>
      </c>
      <c r="C5512" s="3">
        <v>2.6203488968208302E-4</v>
      </c>
      <c r="D5512" s="4">
        <v>1.01824858517185E-3</v>
      </c>
      <c r="E5512" s="3" t="s">
        <v>10692</v>
      </c>
      <c r="F5512" s="3" t="s">
        <v>10693</v>
      </c>
      <c r="G5512" s="3" t="s">
        <v>83</v>
      </c>
      <c r="H5512" s="7" t="str">
        <f>HYPERLINK("http://www.ensembl.org/Mus_musculus/Gene/Summary?db=core;g=ENSMUSG00000031736","ENSMUSG00000031736")</f>
        <v>ENSMUSG00000031736</v>
      </c>
      <c r="I5512" s="7" t="str">
        <f>HYPERLINK("http://www.informatics.jax.org/marker/MGI:1918546","MGI:1918546")</f>
        <v>MGI:1918546</v>
      </c>
      <c r="J5512" s="4" t="s">
        <v>331</v>
      </c>
    </row>
    <row r="5513" spans="1:10" x14ac:dyDescent="0.25">
      <c r="A5513" s="2">
        <v>556.61723481645402</v>
      </c>
      <c r="B5513" s="3">
        <v>-0.490238625103745</v>
      </c>
      <c r="C5513" s="5">
        <v>3.18996809247177E-13</v>
      </c>
      <c r="D5513" s="6">
        <v>3.3547125496421202E-12</v>
      </c>
      <c r="E5513" s="3" t="s">
        <v>3392</v>
      </c>
      <c r="F5513" s="3" t="s">
        <v>3393</v>
      </c>
      <c r="G5513" s="3">
        <v>71767</v>
      </c>
      <c r="H5513" s="7" t="str">
        <f>HYPERLINK("http://www.ensembl.org/Mus_musculus/Gene/Summary?db=core;g=ENSMUSG00000020087","ENSMUSG00000020087")</f>
        <v>ENSMUSG00000020087</v>
      </c>
      <c r="I5513" s="7" t="str">
        <f>HYPERLINK("http://www.informatics.jax.org/marker/MGI:1919017","MGI:1919017")</f>
        <v>MGI:1919017</v>
      </c>
      <c r="J5513" s="4" t="s">
        <v>12</v>
      </c>
    </row>
    <row r="5514" spans="1:10" x14ac:dyDescent="0.25">
      <c r="A5514" s="2">
        <v>403.05936065782402</v>
      </c>
      <c r="B5514" s="3">
        <v>-0.490333683283732</v>
      </c>
      <c r="C5514" s="5">
        <v>6.0738615298018402E-14</v>
      </c>
      <c r="D5514" s="6">
        <v>6.6684413482312396E-13</v>
      </c>
      <c r="E5514" s="3" t="s">
        <v>2133</v>
      </c>
      <c r="F5514" s="3" t="s">
        <v>2134</v>
      </c>
      <c r="G5514" s="3">
        <v>109065</v>
      </c>
      <c r="H5514" s="7" t="str">
        <f>HYPERLINK("http://www.ensembl.org/Mus_musculus/Gene/Summary?db=core;g=ENSMUSG00000020973","ENSMUSG00000020973")</f>
        <v>ENSMUSG00000020973</v>
      </c>
      <c r="I5514" s="7" t="str">
        <f>HYPERLINK("http://www.informatics.jax.org/marker/MGI:1923566","MGI:1923566")</f>
        <v>MGI:1923566</v>
      </c>
      <c r="J5514" s="4" t="s">
        <v>12</v>
      </c>
    </row>
    <row r="5515" spans="1:10" x14ac:dyDescent="0.25">
      <c r="A5515" s="2">
        <v>83.557301513637597</v>
      </c>
      <c r="B5515" s="3">
        <v>-0.49056981239298397</v>
      </c>
      <c r="C5515" s="3">
        <v>1.17667507555692E-3</v>
      </c>
      <c r="D5515" s="4">
        <v>4.0855216711802103E-3</v>
      </c>
      <c r="E5515" s="3" t="s">
        <v>7450</v>
      </c>
      <c r="F5515" s="3" t="s">
        <v>7451</v>
      </c>
      <c r="G5515" s="3">
        <v>107221</v>
      </c>
      <c r="H5515" s="7" t="str">
        <f>HYPERLINK("http://www.ensembl.org/Mus_musculus/Gene/Summary?db=core;g=ENSMUSG00000054200","ENSMUSG00000054200")</f>
        <v>ENSMUSG00000054200</v>
      </c>
      <c r="I5515" s="7" t="str">
        <f>HYPERLINK("http://www.informatics.jax.org/marker/MGI:2147577","MGI:2147577")</f>
        <v>MGI:2147577</v>
      </c>
      <c r="J5515" s="4" t="s">
        <v>12</v>
      </c>
    </row>
    <row r="5516" spans="1:10" x14ac:dyDescent="0.25">
      <c r="A5516" s="2">
        <v>292.46328588613699</v>
      </c>
      <c r="B5516" s="3">
        <v>-0.49083964748062903</v>
      </c>
      <c r="C5516" s="5">
        <v>6.7885387372682804E-11</v>
      </c>
      <c r="D5516" s="6">
        <v>5.8914818327006896E-10</v>
      </c>
      <c r="E5516" s="3" t="s">
        <v>3204</v>
      </c>
      <c r="F5516" s="3" t="s">
        <v>3205</v>
      </c>
      <c r="G5516" s="3">
        <v>219249</v>
      </c>
      <c r="H5516" s="7" t="str">
        <f>HYPERLINK("http://www.ensembl.org/Mus_musculus/Gene/Summary?db=core;g=ENSMUSG00000022019","ENSMUSG00000022019")</f>
        <v>ENSMUSG00000022019</v>
      </c>
      <c r="I5516" s="7" t="str">
        <f>HYPERLINK("http://www.informatics.jax.org/marker/MGI:2444023","MGI:2444023")</f>
        <v>MGI:2444023</v>
      </c>
      <c r="J5516" s="4" t="s">
        <v>12</v>
      </c>
    </row>
    <row r="5517" spans="1:10" x14ac:dyDescent="0.25">
      <c r="A5517" s="2">
        <v>21.2936998953478</v>
      </c>
      <c r="B5517" s="3">
        <v>-0.49099813254114899</v>
      </c>
      <c r="C5517" s="3">
        <v>6.7042882245000199E-2</v>
      </c>
      <c r="D5517" s="4">
        <v>0.14606772611059499</v>
      </c>
      <c r="E5517" s="3" t="s">
        <v>12993</v>
      </c>
      <c r="F5517" s="3" t="s">
        <v>12994</v>
      </c>
      <c r="G5517" s="3" t="s">
        <v>83</v>
      </c>
      <c r="H5517" s="7" t="str">
        <f>HYPERLINK("http://www.ensembl.org/Mus_musculus/Gene/Summary?db=core;g=ENSMUSG00000097092","ENSMUSG00000097092")</f>
        <v>ENSMUSG00000097092</v>
      </c>
      <c r="I5517" s="7" t="str">
        <f>HYPERLINK("http://www.informatics.jax.org/marker/MGI:5477219","MGI:5477219")</f>
        <v>MGI:5477219</v>
      </c>
      <c r="J5517" s="4" t="s">
        <v>932</v>
      </c>
    </row>
    <row r="5518" spans="1:10" x14ac:dyDescent="0.25">
      <c r="A5518" s="2">
        <v>899.61199346231001</v>
      </c>
      <c r="B5518" s="3">
        <v>-0.49154684303750401</v>
      </c>
      <c r="C5518" s="5">
        <v>4.2575256225210302E-16</v>
      </c>
      <c r="D5518" s="6">
        <v>5.3884308660031697E-15</v>
      </c>
      <c r="E5518" s="3" t="s">
        <v>3290</v>
      </c>
      <c r="F5518" s="3" t="s">
        <v>3291</v>
      </c>
      <c r="G5518" s="3">
        <v>83796</v>
      </c>
      <c r="H5518" s="7" t="str">
        <f>HYPERLINK("http://www.ensembl.org/Mus_musculus/Gene/Summary?db=core;g=ENSMUSG00000078619","ENSMUSG00000078619")</f>
        <v>ENSMUSG00000078619</v>
      </c>
      <c r="I5518" s="7" t="str">
        <f>HYPERLINK("http://www.informatics.jax.org/marker/MGI:1933621","MGI:1933621")</f>
        <v>MGI:1933621</v>
      </c>
      <c r="J5518" s="4" t="s">
        <v>12</v>
      </c>
    </row>
    <row r="5519" spans="1:10" x14ac:dyDescent="0.25">
      <c r="A5519" s="2">
        <v>3504.0292796353301</v>
      </c>
      <c r="B5519" s="3">
        <v>-0.49195469113382001</v>
      </c>
      <c r="C5519" s="5">
        <v>6.2986163636820202E-6</v>
      </c>
      <c r="D5519" s="6">
        <v>3.1754435194496503E-5</v>
      </c>
      <c r="E5519" s="3" t="s">
        <v>6621</v>
      </c>
      <c r="F5519" s="3" t="s">
        <v>6622</v>
      </c>
      <c r="G5519" s="3">
        <v>12236</v>
      </c>
      <c r="H5519" s="7" t="str">
        <f>HYPERLINK("http://www.ensembl.org/Mus_musculus/Gene/Summary?db=core;g=ENSMUSG00000040084","ENSMUSG00000040084")</f>
        <v>ENSMUSG00000040084</v>
      </c>
      <c r="I5519" s="7" t="str">
        <f>HYPERLINK("http://www.informatics.jax.org/marker/MGI:1333889","MGI:1333889")</f>
        <v>MGI:1333889</v>
      </c>
      <c r="J5519" s="4" t="s">
        <v>12</v>
      </c>
    </row>
    <row r="5520" spans="1:10" x14ac:dyDescent="0.25">
      <c r="A5520" s="2">
        <v>215.18249587323501</v>
      </c>
      <c r="B5520" s="3">
        <v>-0.49196738589866401</v>
      </c>
      <c r="C5520" s="5">
        <v>3.0695217413475901E-8</v>
      </c>
      <c r="D5520" s="6">
        <v>2.0298270586378699E-7</v>
      </c>
      <c r="E5520" s="3" t="s">
        <v>5471</v>
      </c>
      <c r="F5520" s="3" t="s">
        <v>5472</v>
      </c>
      <c r="G5520" s="3">
        <v>210582</v>
      </c>
      <c r="H5520" s="7" t="str">
        <f>HYPERLINK("http://www.ensembl.org/Mus_musculus/Gene/Summary?db=core;g=ENSMUSG00000039914","ENSMUSG00000039914")</f>
        <v>ENSMUSG00000039914</v>
      </c>
      <c r="I5520" s="7" t="str">
        <f>HYPERLINK("http://www.informatics.jax.org/marker/MGI:2684847","MGI:2684847")</f>
        <v>MGI:2684847</v>
      </c>
      <c r="J5520" s="4" t="s">
        <v>12</v>
      </c>
    </row>
    <row r="5521" spans="1:10" x14ac:dyDescent="0.25">
      <c r="A5521" s="2">
        <v>2036.8111842783601</v>
      </c>
      <c r="B5521" s="3">
        <v>-0.49201783112936398</v>
      </c>
      <c r="C5521" s="5">
        <v>1.1829895104191901E-13</v>
      </c>
      <c r="D5521" s="6">
        <v>1.28028407526068E-12</v>
      </c>
      <c r="E5521" s="3" t="s">
        <v>6221</v>
      </c>
      <c r="F5521" s="3" t="s">
        <v>6222</v>
      </c>
      <c r="G5521" s="3">
        <v>78829</v>
      </c>
      <c r="H5521" s="7" t="str">
        <f>HYPERLINK("http://www.ensembl.org/Mus_musculus/Gene/Summary?db=core;g=ENSMUSG00000029723","ENSMUSG00000029723")</f>
        <v>ENSMUSG00000029723</v>
      </c>
      <c r="I5521" s="7" t="str">
        <f>HYPERLINK("http://www.informatics.jax.org/marker/MGI:1926079","MGI:1926079")</f>
        <v>MGI:1926079</v>
      </c>
      <c r="J5521" s="4" t="s">
        <v>12</v>
      </c>
    </row>
    <row r="5522" spans="1:10" x14ac:dyDescent="0.25">
      <c r="A5522" s="2">
        <v>23.820991647415401</v>
      </c>
      <c r="B5522" s="3">
        <v>-0.49202085897309</v>
      </c>
      <c r="C5522" s="3">
        <v>7.48048629064859E-2</v>
      </c>
      <c r="D5522" s="4">
        <v>0.15999514452185201</v>
      </c>
      <c r="E5522" s="3" t="s">
        <v>12337</v>
      </c>
      <c r="F5522" s="3" t="s">
        <v>12338</v>
      </c>
      <c r="G5522" s="3">
        <v>213575</v>
      </c>
      <c r="H5522" s="7" t="str">
        <f>HYPERLINK("http://www.ensembl.org/Mus_musculus/Gene/Summary?db=core;g=ENSMUSG00000024253","ENSMUSG00000024253")</f>
        <v>ENSMUSG00000024253</v>
      </c>
      <c r="I5522" s="7" t="str">
        <f>HYPERLINK("http://www.informatics.jax.org/marker/MGI:1913996","MGI:1913996")</f>
        <v>MGI:1913996</v>
      </c>
      <c r="J5522" s="4" t="s">
        <v>12</v>
      </c>
    </row>
    <row r="5523" spans="1:10" x14ac:dyDescent="0.25">
      <c r="A5523" s="2">
        <v>700.92452862829396</v>
      </c>
      <c r="B5523" s="3">
        <v>-0.49237225531940398</v>
      </c>
      <c r="C5523" s="5">
        <v>2.4560792798646302E-10</v>
      </c>
      <c r="D5523" s="6">
        <v>2.0355636596422499E-9</v>
      </c>
      <c r="E5523" s="3" t="s">
        <v>2736</v>
      </c>
      <c r="F5523" s="3" t="s">
        <v>2737</v>
      </c>
      <c r="G5523" s="3">
        <v>235584</v>
      </c>
      <c r="H5523" s="7" t="str">
        <f>HYPERLINK("http://www.ensembl.org/Mus_musculus/Gene/Summary?db=core;g=ENSMUSG00000053716","ENSMUSG00000053716")</f>
        <v>ENSMUSG00000053716</v>
      </c>
      <c r="I5523" s="7" t="str">
        <f>HYPERLINK("http://www.informatics.jax.org/marker/MGI:2387100","MGI:2387100")</f>
        <v>MGI:2387100</v>
      </c>
      <c r="J5523" s="4" t="s">
        <v>12</v>
      </c>
    </row>
    <row r="5524" spans="1:10" x14ac:dyDescent="0.25">
      <c r="A5524" s="2">
        <v>679.09161194830199</v>
      </c>
      <c r="B5524" s="3">
        <v>-0.49243876090637301</v>
      </c>
      <c r="C5524" s="5">
        <v>1.8744060696589301E-16</v>
      </c>
      <c r="D5524" s="6">
        <v>2.4227695474846801E-15</v>
      </c>
      <c r="E5524" s="3" t="s">
        <v>3042</v>
      </c>
      <c r="F5524" s="3" t="s">
        <v>3043</v>
      </c>
      <c r="G5524" s="3">
        <v>21349</v>
      </c>
      <c r="H5524" s="7" t="str">
        <f>HYPERLINK("http://www.ensembl.org/Mus_musculus/Gene/Summary?db=core;g=ENSMUSG00000028717","ENSMUSG00000028717")</f>
        <v>ENSMUSG00000028717</v>
      </c>
      <c r="I5524" s="7" t="str">
        <f>HYPERLINK("http://www.informatics.jax.org/marker/MGI:98480","MGI:98480")</f>
        <v>MGI:98480</v>
      </c>
      <c r="J5524" s="4" t="s">
        <v>12</v>
      </c>
    </row>
    <row r="5525" spans="1:10" x14ac:dyDescent="0.25">
      <c r="A5525" s="2">
        <v>550.91402104334804</v>
      </c>
      <c r="B5525" s="3">
        <v>-0.49247221676243302</v>
      </c>
      <c r="C5525" s="5">
        <v>7.3501408531593905E-11</v>
      </c>
      <c r="D5525" s="6">
        <v>6.3606988152340896E-10</v>
      </c>
      <c r="E5525" s="3" t="s">
        <v>8575</v>
      </c>
      <c r="F5525" s="3" t="s">
        <v>8576</v>
      </c>
      <c r="G5525" s="3">
        <v>68134</v>
      </c>
      <c r="H5525" s="7" t="str">
        <f>HYPERLINK("http://www.ensembl.org/Mus_musculus/Gene/Summary?db=core;g=ENSMUSG00000036572","ENSMUSG00000036572")</f>
        <v>ENSMUSG00000036572</v>
      </c>
      <c r="I5525" s="7" t="str">
        <f>HYPERLINK("http://www.informatics.jax.org/marker/MGI:1915384","MGI:1915384")</f>
        <v>MGI:1915384</v>
      </c>
      <c r="J5525" s="4" t="s">
        <v>12</v>
      </c>
    </row>
    <row r="5526" spans="1:10" x14ac:dyDescent="0.25">
      <c r="A5526" s="2">
        <v>34.134271358512798</v>
      </c>
      <c r="B5526" s="3">
        <v>-0.49263420177856099</v>
      </c>
      <c r="C5526" s="3">
        <v>2.0415440127738101E-2</v>
      </c>
      <c r="D5526" s="4">
        <v>5.2507958838276601E-2</v>
      </c>
      <c r="E5526" s="3" t="s">
        <v>13745</v>
      </c>
      <c r="F5526" s="3" t="s">
        <v>13746</v>
      </c>
      <c r="G5526" s="3">
        <v>381148</v>
      </c>
      <c r="H5526" s="7" t="str">
        <f>HYPERLINK("http://www.ensembl.org/Mus_musculus/Gene/Summary?db=core;g=ENSMUSG00000073600","ENSMUSG00000073600")</f>
        <v>ENSMUSG00000073600</v>
      </c>
      <c r="I5526" s="7" t="str">
        <f>HYPERLINK("http://www.informatics.jax.org/marker/MGI:2686460","MGI:2686460")</f>
        <v>MGI:2686460</v>
      </c>
      <c r="J5526" s="4" t="s">
        <v>12</v>
      </c>
    </row>
    <row r="5527" spans="1:10" x14ac:dyDescent="0.25">
      <c r="A5527" s="2">
        <v>551.89999473464502</v>
      </c>
      <c r="B5527" s="3">
        <v>-0.492935946988312</v>
      </c>
      <c r="C5527" s="5">
        <v>1.72583574773283E-11</v>
      </c>
      <c r="D5527" s="6">
        <v>1.5750303706775601E-10</v>
      </c>
      <c r="E5527" s="3" t="s">
        <v>3432</v>
      </c>
      <c r="F5527" s="3" t="s">
        <v>3433</v>
      </c>
      <c r="G5527" s="3">
        <v>104479</v>
      </c>
      <c r="H5527" s="7" t="str">
        <f>HYPERLINK("http://www.ensembl.org/Mus_musculus/Gene/Summary?db=core;g=ENSMUSG00000020482","ENSMUSG00000020482")</f>
        <v>ENSMUSG00000020482</v>
      </c>
      <c r="I5527" s="7" t="str">
        <f>HYPERLINK("http://www.informatics.jax.org/marker/MGI:2144383","MGI:2144383")</f>
        <v>MGI:2144383</v>
      </c>
      <c r="J5527" s="4" t="s">
        <v>12</v>
      </c>
    </row>
    <row r="5528" spans="1:10" x14ac:dyDescent="0.25">
      <c r="A5528" s="2">
        <v>506.75209884047598</v>
      </c>
      <c r="B5528" s="3">
        <v>-0.492960426129183</v>
      </c>
      <c r="C5528" s="5">
        <v>1.3239696702933401E-9</v>
      </c>
      <c r="D5528" s="6">
        <v>1.01341231587972E-8</v>
      </c>
      <c r="E5528" s="3" t="s">
        <v>9083</v>
      </c>
      <c r="F5528" s="3" t="s">
        <v>9084</v>
      </c>
      <c r="G5528" s="3">
        <v>67247</v>
      </c>
      <c r="H5528" s="7" t="str">
        <f>HYPERLINK("http://www.ensembl.org/Mus_musculus/Gene/Summary?db=core;g=ENSMUSG00000073481","ENSMUSG00000073481")</f>
        <v>ENSMUSG00000073481</v>
      </c>
      <c r="I5528" s="7" t="str">
        <f>HYPERLINK("http://www.informatics.jax.org/marker/MGI:1914497","MGI:1914497")</f>
        <v>MGI:1914497</v>
      </c>
      <c r="J5528" s="4" t="s">
        <v>12</v>
      </c>
    </row>
    <row r="5529" spans="1:10" x14ac:dyDescent="0.25">
      <c r="A5529" s="2">
        <v>126.994746985728</v>
      </c>
      <c r="B5529" s="3">
        <v>-0.49363222027824599</v>
      </c>
      <c r="C5529" s="5">
        <v>2.3199638636507599E-5</v>
      </c>
      <c r="D5529" s="4">
        <v>1.07394821983833E-4</v>
      </c>
      <c r="E5529" s="3" t="s">
        <v>7724</v>
      </c>
      <c r="F5529" s="3" t="s">
        <v>7725</v>
      </c>
      <c r="G5529" s="3">
        <v>22718</v>
      </c>
      <c r="H5529" s="7" t="str">
        <f>HYPERLINK("http://www.ensembl.org/Mus_musculus/Gene/Summary?db=core;g=ENSMUSG00000037640","ENSMUSG00000037640")</f>
        <v>ENSMUSG00000037640</v>
      </c>
      <c r="I5529" s="7" t="str">
        <f>HYPERLINK("http://www.informatics.jax.org/marker/MGI:99207","MGI:99207")</f>
        <v>MGI:99207</v>
      </c>
      <c r="J5529" s="4" t="s">
        <v>12</v>
      </c>
    </row>
    <row r="5530" spans="1:10" x14ac:dyDescent="0.25">
      <c r="A5530" s="2">
        <v>75.337978507620903</v>
      </c>
      <c r="B5530" s="3">
        <v>-0.49375003759813402</v>
      </c>
      <c r="C5530" s="3">
        <v>1.67580838150597E-3</v>
      </c>
      <c r="D5530" s="4">
        <v>5.6391447106621797E-3</v>
      </c>
      <c r="E5530" s="3" t="s">
        <v>7490</v>
      </c>
      <c r="F5530" s="3" t="s">
        <v>7491</v>
      </c>
      <c r="G5530" s="3">
        <v>70380</v>
      </c>
      <c r="H5530" s="7" t="str">
        <f>HYPERLINK("http://www.ensembl.org/Mus_musculus/Gene/Summary?db=core;g=ENSMUSG00000023074","ENSMUSG00000023074")</f>
        <v>ENSMUSG00000023074</v>
      </c>
      <c r="I5530" s="7" t="str">
        <f>HYPERLINK("http://www.informatics.jax.org/marker/MGI:1917630","MGI:1917630")</f>
        <v>MGI:1917630</v>
      </c>
      <c r="J5530" s="4" t="s">
        <v>12</v>
      </c>
    </row>
    <row r="5531" spans="1:10" x14ac:dyDescent="0.25">
      <c r="A5531" s="2">
        <v>128.39268864115499</v>
      </c>
      <c r="B5531" s="3">
        <v>-0.49389025918653401</v>
      </c>
      <c r="C5531" s="3">
        <v>1.39237439665207E-3</v>
      </c>
      <c r="D5531" s="4">
        <v>4.7699292065759196E-3</v>
      </c>
      <c r="E5531" s="3" t="s">
        <v>11871</v>
      </c>
      <c r="F5531" s="3" t="s">
        <v>11872</v>
      </c>
      <c r="G5531" s="3">
        <v>14924</v>
      </c>
      <c r="H5531" s="7" t="str">
        <f>HYPERLINK("http://www.ensembl.org/Mus_musculus/Gene/Summary?db=core;g=ENSMUSG00000045095","ENSMUSG00000045095")</f>
        <v>ENSMUSG00000045095</v>
      </c>
      <c r="I5531" s="7" t="str">
        <f>HYPERLINK("http://www.informatics.jax.org/marker/MGI:1203522","MGI:1203522")</f>
        <v>MGI:1203522</v>
      </c>
      <c r="J5531" s="4" t="s">
        <v>12</v>
      </c>
    </row>
    <row r="5532" spans="1:10" x14ac:dyDescent="0.25">
      <c r="A5532" s="2">
        <v>1217.5313242772299</v>
      </c>
      <c r="B5532" s="3">
        <v>-0.49398317997372798</v>
      </c>
      <c r="C5532" s="5">
        <v>1.73323543079553E-20</v>
      </c>
      <c r="D5532" s="6">
        <v>2.79037952507061E-19</v>
      </c>
      <c r="E5532" s="3" t="s">
        <v>1114</v>
      </c>
      <c r="F5532" s="3" t="s">
        <v>1115</v>
      </c>
      <c r="G5532" s="3">
        <v>20466</v>
      </c>
      <c r="H5532" s="7" t="str">
        <f>HYPERLINK("http://www.ensembl.org/Mus_musculus/Gene/Summary?db=core;g=ENSMUSG00000042557","ENSMUSG00000042557")</f>
        <v>ENSMUSG00000042557</v>
      </c>
      <c r="I5532" s="7" t="str">
        <f>HYPERLINK("http://www.informatics.jax.org/marker/MGI:107157","MGI:107157")</f>
        <v>MGI:107157</v>
      </c>
      <c r="J5532" s="4" t="s">
        <v>12</v>
      </c>
    </row>
    <row r="5533" spans="1:10" x14ac:dyDescent="0.25">
      <c r="A5533" s="2">
        <v>193.06570742806201</v>
      </c>
      <c r="B5533" s="3">
        <v>-0.49404925095227198</v>
      </c>
      <c r="C5533" s="5">
        <v>1.51827895491191E-6</v>
      </c>
      <c r="D5533" s="6">
        <v>8.2771863455787099E-6</v>
      </c>
      <c r="E5533" s="3" t="s">
        <v>6828</v>
      </c>
      <c r="F5533" s="3" t="s">
        <v>6829</v>
      </c>
      <c r="G5533" s="3">
        <v>71886</v>
      </c>
      <c r="H5533" s="7" t="str">
        <f>HYPERLINK("http://www.ensembl.org/Mus_musculus/Gene/Summary?db=core;g=ENSMUSG00000028396","ENSMUSG00000028396")</f>
        <v>ENSMUSG00000028396</v>
      </c>
      <c r="I5533" s="7" t="str">
        <f>HYPERLINK("http://www.informatics.jax.org/marker/MGI:1916780","MGI:1916780")</f>
        <v>MGI:1916780</v>
      </c>
      <c r="J5533" s="4" t="s">
        <v>12</v>
      </c>
    </row>
    <row r="5534" spans="1:10" x14ac:dyDescent="0.25">
      <c r="A5534" s="2">
        <v>72.191104239133693</v>
      </c>
      <c r="B5534" s="3">
        <v>-0.49441658199762401</v>
      </c>
      <c r="C5534" s="3">
        <v>1.8245212050230699E-4</v>
      </c>
      <c r="D5534" s="4">
        <v>7.2904843151820901E-4</v>
      </c>
      <c r="E5534" s="3" t="s">
        <v>4881</v>
      </c>
      <c r="F5534" s="3" t="s">
        <v>4882</v>
      </c>
      <c r="G5534" s="3">
        <v>30951</v>
      </c>
      <c r="H5534" s="7" t="str">
        <f>HYPERLINK("http://www.ensembl.org/Mus_musculus/Gene/Summary?db=core;g=ENSMUSG00000025578","ENSMUSG00000025578")</f>
        <v>ENSMUSG00000025578</v>
      </c>
      <c r="I5534" s="7" t="str">
        <f>HYPERLINK("http://www.informatics.jax.org/marker/MGI:1353589","MGI:1353589")</f>
        <v>MGI:1353589</v>
      </c>
      <c r="J5534" s="4" t="s">
        <v>12</v>
      </c>
    </row>
    <row r="5535" spans="1:10" x14ac:dyDescent="0.25">
      <c r="A5535" s="2">
        <v>368.28913584685802</v>
      </c>
      <c r="B5535" s="3">
        <v>-0.49486607560804102</v>
      </c>
      <c r="C5535" s="5">
        <v>2.4276675076749699E-9</v>
      </c>
      <c r="D5535" s="6">
        <v>1.8058873603010698E-8</v>
      </c>
      <c r="E5535" s="3" t="s">
        <v>7122</v>
      </c>
      <c r="F5535" s="3" t="s">
        <v>7123</v>
      </c>
      <c r="G5535" s="3">
        <v>69367</v>
      </c>
      <c r="H5535" s="7" t="str">
        <f>HYPERLINK("http://www.ensembl.org/Mus_musculus/Gene/Summary?db=core;g=ENSMUSG00000018196","ENSMUSG00000018196")</f>
        <v>ENSMUSG00000018196</v>
      </c>
      <c r="I5535" s="7" t="str">
        <f>HYPERLINK("http://www.informatics.jax.org/marker/MGI:1916617","MGI:1916617")</f>
        <v>MGI:1916617</v>
      </c>
      <c r="J5535" s="4" t="s">
        <v>12</v>
      </c>
    </row>
    <row r="5536" spans="1:10" x14ac:dyDescent="0.25">
      <c r="A5536" s="2">
        <v>54.963187046790601</v>
      </c>
      <c r="B5536" s="3">
        <v>-0.49583241010992901</v>
      </c>
      <c r="C5536" s="3">
        <v>6.9020187429979303E-4</v>
      </c>
      <c r="D5536" s="4">
        <v>2.49929051442752E-3</v>
      </c>
      <c r="E5536" s="3" t="s">
        <v>9763</v>
      </c>
      <c r="F5536" s="3" t="s">
        <v>9764</v>
      </c>
      <c r="G5536" s="3">
        <v>101122</v>
      </c>
      <c r="H5536" s="7" t="str">
        <f>HYPERLINK("http://www.ensembl.org/Mus_musculus/Gene/Summary?db=core;g=ENSMUSG00000051169","ENSMUSG00000051169")</f>
        <v>ENSMUSG00000051169</v>
      </c>
      <c r="I5536" s="7" t="str">
        <f>HYPERLINK("http://www.informatics.jax.org/marker/MGI:2141440","MGI:2141440")</f>
        <v>MGI:2141440</v>
      </c>
      <c r="J5536" s="4" t="s">
        <v>12</v>
      </c>
    </row>
    <row r="5537" spans="1:10" x14ac:dyDescent="0.25">
      <c r="A5537" s="2">
        <v>202.32004075656101</v>
      </c>
      <c r="B5537" s="3">
        <v>-0.49591602202857998</v>
      </c>
      <c r="C5537" s="5">
        <v>4.0242067503130601E-7</v>
      </c>
      <c r="D5537" s="6">
        <v>2.3499252811424399E-6</v>
      </c>
      <c r="E5537" s="3" t="s">
        <v>5009</v>
      </c>
      <c r="F5537" s="3" t="s">
        <v>5010</v>
      </c>
      <c r="G5537" s="3">
        <v>78412</v>
      </c>
      <c r="H5537" s="7" t="str">
        <f>HYPERLINK("http://www.ensembl.org/Mus_musculus/Gene/Summary?db=core;g=ENSMUSG00000046806","ENSMUSG00000046806")</f>
        <v>ENSMUSG00000046806</v>
      </c>
      <c r="I5537" s="7" t="str">
        <f>HYPERLINK("http://www.informatics.jax.org/marker/MGI:1925662","MGI:1925662")</f>
        <v>MGI:1925662</v>
      </c>
      <c r="J5537" s="4" t="s">
        <v>12</v>
      </c>
    </row>
    <row r="5538" spans="1:10" x14ac:dyDescent="0.25">
      <c r="A5538" s="2">
        <v>277.43653262117402</v>
      </c>
      <c r="B5538" s="3">
        <v>-0.49599376294669401</v>
      </c>
      <c r="C5538" s="5">
        <v>1.88438840438538E-5</v>
      </c>
      <c r="D5538" s="6">
        <v>8.8467229958587198E-5</v>
      </c>
      <c r="E5538" s="3" t="s">
        <v>7640</v>
      </c>
      <c r="F5538" s="3" t="s">
        <v>7641</v>
      </c>
      <c r="G5538" s="3">
        <v>67789</v>
      </c>
      <c r="H5538" s="7" t="str">
        <f>HYPERLINK("http://www.ensembl.org/Mus_musculus/Gene/Summary?db=core;g=ENSMUSG00000019039","ENSMUSG00000019039")</f>
        <v>ENSMUSG00000019039</v>
      </c>
      <c r="I5538" s="7" t="str">
        <f>HYPERLINK("http://www.informatics.jax.org/marker/MGI:1915039","MGI:1915039")</f>
        <v>MGI:1915039</v>
      </c>
      <c r="J5538" s="4" t="s">
        <v>12</v>
      </c>
    </row>
    <row r="5539" spans="1:10" x14ac:dyDescent="0.25">
      <c r="A5539" s="2">
        <v>42.636130019215699</v>
      </c>
      <c r="B5539" s="3">
        <v>-0.49604618321296901</v>
      </c>
      <c r="C5539" s="3">
        <v>1.7864262838759901E-2</v>
      </c>
      <c r="D5539" s="4">
        <v>4.6799150067876702E-2</v>
      </c>
      <c r="E5539" s="3" t="s">
        <v>11433</v>
      </c>
      <c r="F5539" s="3" t="s">
        <v>11434</v>
      </c>
      <c r="G5539" s="3">
        <v>75530</v>
      </c>
      <c r="H5539" s="7" t="str">
        <f>HYPERLINK("http://www.ensembl.org/Mus_musculus/Gene/Summary?db=core;g=ENSMUSG00000020268","ENSMUSG00000020268")</f>
        <v>ENSMUSG00000020268</v>
      </c>
      <c r="I5539" s="7" t="str">
        <f>HYPERLINK("http://www.informatics.jax.org/marker/MGI:1922780","MGI:1922780")</f>
        <v>MGI:1922780</v>
      </c>
      <c r="J5539" s="4" t="s">
        <v>12</v>
      </c>
    </row>
    <row r="5540" spans="1:10" x14ac:dyDescent="0.25">
      <c r="A5540" s="2">
        <v>352.68202033100903</v>
      </c>
      <c r="B5540" s="3">
        <v>-0.49620397293222801</v>
      </c>
      <c r="C5540" s="5">
        <v>1.05468093717285E-7</v>
      </c>
      <c r="D5540" s="6">
        <v>6.5872378615405299E-7</v>
      </c>
      <c r="E5540" s="3" t="s">
        <v>4183</v>
      </c>
      <c r="F5540" s="3" t="s">
        <v>4184</v>
      </c>
      <c r="G5540" s="3">
        <v>230597</v>
      </c>
      <c r="H5540" s="7" t="str">
        <f>HYPERLINK("http://www.ensembl.org/Mus_musculus/Gene/Summary?db=core;g=ENSMUSG00000034557","ENSMUSG00000034557")</f>
        <v>ENSMUSG00000034557</v>
      </c>
      <c r="I5540" s="7" t="str">
        <f>HYPERLINK("http://www.informatics.jax.org/marker/MGI:2652838","MGI:2652838")</f>
        <v>MGI:2652838</v>
      </c>
      <c r="J5540" s="4" t="s">
        <v>12</v>
      </c>
    </row>
    <row r="5541" spans="1:10" x14ac:dyDescent="0.25">
      <c r="A5541" s="2">
        <v>804.59984394151195</v>
      </c>
      <c r="B5541" s="3">
        <v>-0.49620649540108702</v>
      </c>
      <c r="C5541" s="3">
        <v>9.1025425512445996E-4</v>
      </c>
      <c r="D5541" s="4">
        <v>3.22562391593298E-3</v>
      </c>
      <c r="E5541" s="3" t="s">
        <v>11070</v>
      </c>
      <c r="F5541" s="3" t="s">
        <v>11071</v>
      </c>
      <c r="G5541" s="3">
        <v>13808</v>
      </c>
      <c r="H5541" s="7" t="str">
        <f>HYPERLINK("http://www.ensembl.org/Mus_musculus/Gene/Summary?db=core;g=ENSMUSG00000060600","ENSMUSG00000060600")</f>
        <v>ENSMUSG00000060600</v>
      </c>
      <c r="I5541" s="7" t="str">
        <f>HYPERLINK("http://www.informatics.jax.org/marker/MGI:95395","MGI:95395")</f>
        <v>MGI:95395</v>
      </c>
      <c r="J5541" s="4" t="s">
        <v>12</v>
      </c>
    </row>
    <row r="5542" spans="1:10" x14ac:dyDescent="0.25">
      <c r="A5542" s="2">
        <v>58.942730403955402</v>
      </c>
      <c r="B5542" s="3">
        <v>-0.49645747007769198</v>
      </c>
      <c r="C5542" s="3">
        <v>1.85303372519618E-3</v>
      </c>
      <c r="D5542" s="4">
        <v>6.1796046919854299E-3</v>
      </c>
      <c r="E5542" s="3" t="s">
        <v>10998</v>
      </c>
      <c r="F5542" s="3" t="s">
        <v>10999</v>
      </c>
      <c r="G5542" s="3">
        <v>69962</v>
      </c>
      <c r="H5542" s="7" t="str">
        <f>HYPERLINK("http://www.ensembl.org/Mus_musculus/Gene/Summary?db=core;g=ENSMUSG00000041396","ENSMUSG00000041396")</f>
        <v>ENSMUSG00000041396</v>
      </c>
      <c r="I5542" s="7" t="str">
        <f>HYPERLINK("http://www.informatics.jax.org/marker/MGI:1917212","MGI:1917212")</f>
        <v>MGI:1917212</v>
      </c>
      <c r="J5542" s="4" t="s">
        <v>12</v>
      </c>
    </row>
    <row r="5543" spans="1:10" x14ac:dyDescent="0.25">
      <c r="A5543" s="2">
        <v>66.942064411615306</v>
      </c>
      <c r="B5543" s="3">
        <v>-0.49662038711079798</v>
      </c>
      <c r="C5543" s="3">
        <v>1.51622324391742E-3</v>
      </c>
      <c r="D5543" s="4">
        <v>5.1564039224472899E-3</v>
      </c>
      <c r="E5543" s="3" t="s">
        <v>11945</v>
      </c>
      <c r="F5543" s="3" t="s">
        <v>11946</v>
      </c>
      <c r="G5543" s="3">
        <v>22757</v>
      </c>
      <c r="H5543" s="7" t="str">
        <f>HYPERLINK("http://www.ensembl.org/Mus_musculus/Gene/Summary?db=core;g=ENSMUSG00000055991","ENSMUSG00000055991")</f>
        <v>ENSMUSG00000055991</v>
      </c>
      <c r="I5543" s="7" t="str">
        <f>HYPERLINK("http://www.informatics.jax.org/marker/MGI:107533","MGI:107533")</f>
        <v>MGI:107533</v>
      </c>
      <c r="J5543" s="4" t="s">
        <v>12</v>
      </c>
    </row>
    <row r="5544" spans="1:10" x14ac:dyDescent="0.25">
      <c r="A5544" s="2">
        <v>475.972550805997</v>
      </c>
      <c r="B5544" s="3">
        <v>-0.49680139587942701</v>
      </c>
      <c r="C5544" s="5">
        <v>1.2900720369871299E-11</v>
      </c>
      <c r="D5544" s="6">
        <v>1.1874526704086101E-10</v>
      </c>
      <c r="E5544" s="3" t="s">
        <v>3344</v>
      </c>
      <c r="F5544" s="3" t="s">
        <v>3345</v>
      </c>
      <c r="G5544" s="3">
        <v>19076</v>
      </c>
      <c r="H5544" s="7" t="str">
        <f>HYPERLINK("http://www.ensembl.org/Mus_musculus/Gene/Summary?db=core;g=ENSMUSG00000026134","ENSMUSG00000026134")</f>
        <v>ENSMUSG00000026134</v>
      </c>
      <c r="I5544" s="7" t="str">
        <f>HYPERLINK("http://www.informatics.jax.org/marker/MGI:97758","MGI:97758")</f>
        <v>MGI:97758</v>
      </c>
      <c r="J5544" s="4" t="s">
        <v>12</v>
      </c>
    </row>
    <row r="5545" spans="1:10" x14ac:dyDescent="0.25">
      <c r="A5545" s="2">
        <v>24.662211749460099</v>
      </c>
      <c r="B5545" s="3">
        <v>-0.497028412009271</v>
      </c>
      <c r="C5545" s="3">
        <v>5.2569720683017303E-2</v>
      </c>
      <c r="D5545" s="4">
        <v>0.11900175871916401</v>
      </c>
      <c r="E5545" s="3" t="s">
        <v>10746</v>
      </c>
      <c r="F5545" s="3" t="s">
        <v>10747</v>
      </c>
      <c r="G5545" s="3">
        <v>19301</v>
      </c>
      <c r="H5545" s="7" t="str">
        <f>HYPERLINK("http://www.ensembl.org/Mus_musculus/Gene/Summary?db=core;g=ENSMUSG00000029499","ENSMUSG00000029499")</f>
        <v>ENSMUSG00000029499</v>
      </c>
      <c r="I5545" s="7" t="str">
        <f>HYPERLINK("http://www.informatics.jax.org/marker/MGI:107487","MGI:107487")</f>
        <v>MGI:107487</v>
      </c>
      <c r="J5545" s="4" t="s">
        <v>12</v>
      </c>
    </row>
    <row r="5546" spans="1:10" x14ac:dyDescent="0.25">
      <c r="A5546" s="2">
        <v>609.16132692744202</v>
      </c>
      <c r="B5546" s="3">
        <v>-0.49848174808068901</v>
      </c>
      <c r="C5546" s="5">
        <v>1.11569044130623E-17</v>
      </c>
      <c r="D5546" s="6">
        <v>1.5462705926088301E-16</v>
      </c>
      <c r="E5546" s="3" t="s">
        <v>1774</v>
      </c>
      <c r="F5546" s="3" t="s">
        <v>1775</v>
      </c>
      <c r="G5546" s="3">
        <v>225326</v>
      </c>
      <c r="H5546" s="7" t="str">
        <f>HYPERLINK("http://www.ensembl.org/Mus_musculus/Gene/Summary?db=core;g=ENSMUSG00000033628","ENSMUSG00000033628")</f>
        <v>ENSMUSG00000033628</v>
      </c>
      <c r="I5546" s="7" t="str">
        <f>HYPERLINK("http://www.informatics.jax.org/marker/MGI:2445019","MGI:2445019")</f>
        <v>MGI:2445019</v>
      </c>
      <c r="J5546" s="4" t="s">
        <v>12</v>
      </c>
    </row>
    <row r="5547" spans="1:10" x14ac:dyDescent="0.25">
      <c r="A5547" s="2">
        <v>476.27541308897702</v>
      </c>
      <c r="B5547" s="3">
        <v>-0.49873419640187899</v>
      </c>
      <c r="C5547" s="5">
        <v>6.9448089579005005E-10</v>
      </c>
      <c r="D5547" s="6">
        <v>5.5053998807192897E-9</v>
      </c>
      <c r="E5547" s="3" t="s">
        <v>2978</v>
      </c>
      <c r="F5547" s="3" t="s">
        <v>2979</v>
      </c>
      <c r="G5547" s="3">
        <v>381306</v>
      </c>
      <c r="H5547" s="7" t="str">
        <f>HYPERLINK("http://www.ensembl.org/Mus_musculus/Gene/Summary?db=core;g=ENSMUSG00000041406","ENSMUSG00000041406")</f>
        <v>ENSMUSG00000041406</v>
      </c>
      <c r="I5547" s="7" t="str">
        <f>HYPERLINK("http://www.informatics.jax.org/marker/MGI:3590554","MGI:3590554")</f>
        <v>MGI:3590554</v>
      </c>
      <c r="J5547" s="4" t="s">
        <v>12</v>
      </c>
    </row>
    <row r="5548" spans="1:10" x14ac:dyDescent="0.25">
      <c r="A5548" s="2">
        <v>127.58800227811599</v>
      </c>
      <c r="B5548" s="3">
        <v>-0.49896234729952599</v>
      </c>
      <c r="C5548" s="3">
        <v>5.1338549800383001E-4</v>
      </c>
      <c r="D5548" s="4">
        <v>1.90287791358955E-3</v>
      </c>
      <c r="E5548" s="3" t="s">
        <v>7078</v>
      </c>
      <c r="F5548" s="3" t="s">
        <v>7079</v>
      </c>
      <c r="G5548" s="3">
        <v>60411</v>
      </c>
      <c r="H5548" s="7" t="str">
        <f>HYPERLINK("http://www.ensembl.org/Mus_musculus/Gene/Summary?db=core;g=ENSMUSG00000021714","ENSMUSG00000021714")</f>
        <v>ENSMUSG00000021714</v>
      </c>
      <c r="I5548" s="7" t="str">
        <f>HYPERLINK("http://www.informatics.jax.org/marker/MGI:1926210","MGI:1926210")</f>
        <v>MGI:1926210</v>
      </c>
      <c r="J5548" s="4" t="s">
        <v>12</v>
      </c>
    </row>
    <row r="5549" spans="1:10" x14ac:dyDescent="0.25">
      <c r="A5549" s="2">
        <v>378.08506340754502</v>
      </c>
      <c r="B5549" s="3">
        <v>-0.49967207342069497</v>
      </c>
      <c r="C5549" s="5">
        <v>5.11043959791328E-9</v>
      </c>
      <c r="D5549" s="6">
        <v>3.6784266063179101E-8</v>
      </c>
      <c r="E5549" s="3" t="s">
        <v>4363</v>
      </c>
      <c r="F5549" s="3" t="s">
        <v>4364</v>
      </c>
      <c r="G5549" s="3">
        <v>13436</v>
      </c>
      <c r="H5549" s="7" t="str">
        <f>HYPERLINK("http://www.ensembl.org/Mus_musculus/Gene/Summary?db=core;g=ENSMUSG00000027478","ENSMUSG00000027478")</f>
        <v>ENSMUSG00000027478</v>
      </c>
      <c r="I5549" s="7" t="str">
        <f>HYPERLINK("http://www.informatics.jax.org/marker/MGI:1261819","MGI:1261819")</f>
        <v>MGI:1261819</v>
      </c>
      <c r="J5549" s="4" t="s">
        <v>12</v>
      </c>
    </row>
    <row r="5550" spans="1:10" x14ac:dyDescent="0.25">
      <c r="A5550" s="2">
        <v>534.551292349704</v>
      </c>
      <c r="B5550" s="3">
        <v>-0.49994487220977701</v>
      </c>
      <c r="C5550" s="5">
        <v>3.8952533679693898E-5</v>
      </c>
      <c r="D5550" s="4">
        <v>1.7323326654768701E-4</v>
      </c>
      <c r="E5550" s="3" t="s">
        <v>9659</v>
      </c>
      <c r="F5550" s="3" t="s">
        <v>9660</v>
      </c>
      <c r="G5550" s="3">
        <v>14768</v>
      </c>
      <c r="H5550" s="7" t="str">
        <f>HYPERLINK("http://www.ensembl.org/Mus_musculus/Gene/Summary?db=core;g=ENSMUSG00000026000","ENSMUSG00000026000")</f>
        <v>ENSMUSG00000026000</v>
      </c>
      <c r="I5550" s="7" t="str">
        <f>HYPERLINK("http://www.informatics.jax.org/marker/MGI:1336997","MGI:1336997")</f>
        <v>MGI:1336997</v>
      </c>
      <c r="J5550" s="4" t="s">
        <v>12</v>
      </c>
    </row>
    <row r="5551" spans="1:10" x14ac:dyDescent="0.25">
      <c r="A5551" s="2">
        <v>1328.8410353229301</v>
      </c>
      <c r="B5551" s="3">
        <v>-0.50009564712131505</v>
      </c>
      <c r="C5551" s="5">
        <v>9.6079525226143302E-7</v>
      </c>
      <c r="D5551" s="6">
        <v>5.3532538894725198E-6</v>
      </c>
      <c r="E5551" s="3" t="s">
        <v>3924</v>
      </c>
      <c r="F5551" s="3" t="s">
        <v>3925</v>
      </c>
      <c r="G5551" s="3">
        <v>19361</v>
      </c>
      <c r="H5551" s="7" t="str">
        <f>HYPERLINK("http://www.ensembl.org/Mus_musculus/Gene/Summary?db=core;g=ENSMUSG00000027323","ENSMUSG00000027323")</f>
        <v>ENSMUSG00000027323</v>
      </c>
      <c r="I5551" s="7" t="str">
        <f>HYPERLINK("http://www.informatics.jax.org/marker/MGI:97890","MGI:97890")</f>
        <v>MGI:97890</v>
      </c>
      <c r="J5551" s="4" t="s">
        <v>12</v>
      </c>
    </row>
    <row r="5552" spans="1:10" x14ac:dyDescent="0.25">
      <c r="A5552" s="2">
        <v>368.74123843148999</v>
      </c>
      <c r="B5552" s="3">
        <v>-0.50041307111997702</v>
      </c>
      <c r="C5552" s="5">
        <v>3.8024267576530198E-7</v>
      </c>
      <c r="D5552" s="6">
        <v>2.2325782106387301E-6</v>
      </c>
      <c r="E5552" s="3" t="s">
        <v>5557</v>
      </c>
      <c r="F5552" s="3" t="s">
        <v>5558</v>
      </c>
      <c r="G5552" s="3">
        <v>230793</v>
      </c>
      <c r="H5552" s="7" t="str">
        <f>HYPERLINK("http://www.ensembl.org/Mus_musculus/Gene/Summary?db=core;g=ENSMUSG00000037692","ENSMUSG00000037692")</f>
        <v>ENSMUSG00000037692</v>
      </c>
      <c r="I5552" s="7" t="str">
        <f>HYPERLINK("http://www.informatics.jax.org/marker/MGI:2444218","MGI:2444218")</f>
        <v>MGI:2444218</v>
      </c>
      <c r="J5552" s="4" t="s">
        <v>12</v>
      </c>
    </row>
    <row r="5553" spans="1:10" x14ac:dyDescent="0.25">
      <c r="A5553" s="2">
        <v>149.85183492365101</v>
      </c>
      <c r="B5553" s="3">
        <v>-0.50111874586652405</v>
      </c>
      <c r="C5553" s="5">
        <v>8.8301392710270695E-5</v>
      </c>
      <c r="D5553" s="4">
        <v>3.7234911664615498E-4</v>
      </c>
      <c r="E5553" s="3" t="s">
        <v>10680</v>
      </c>
      <c r="F5553" s="3" t="s">
        <v>10681</v>
      </c>
      <c r="G5553" s="3">
        <v>52466</v>
      </c>
      <c r="H5553" s="7" t="str">
        <f>HYPERLINK("http://www.ensembl.org/Mus_musculus/Gene/Summary?db=core;g=ENSMUSG00000020829","ENSMUSG00000020829")</f>
        <v>ENSMUSG00000020829</v>
      </c>
      <c r="I5553" s="7" t="str">
        <f>HYPERLINK("http://www.informatics.jax.org/marker/MGI:1098733","MGI:1098733")</f>
        <v>MGI:1098733</v>
      </c>
      <c r="J5553" s="4" t="s">
        <v>12</v>
      </c>
    </row>
    <row r="5554" spans="1:10" x14ac:dyDescent="0.25">
      <c r="A5554" s="2">
        <v>17.847350698770299</v>
      </c>
      <c r="B5554" s="3">
        <v>-0.50131753201011997</v>
      </c>
      <c r="C5554" s="3">
        <v>6.9452943864647398E-2</v>
      </c>
      <c r="D5554" s="4">
        <v>0.15040160431715799</v>
      </c>
      <c r="E5554" s="3" t="s">
        <v>9033</v>
      </c>
      <c r="F5554" s="3" t="s">
        <v>9034</v>
      </c>
      <c r="G5554" s="3" t="s">
        <v>83</v>
      </c>
      <c r="H5554" s="7" t="str">
        <f>HYPERLINK("http://www.ensembl.org/Mus_musculus/Gene/Summary?db=core;g=ENSMUSG00000085030","ENSMUSG00000085030")</f>
        <v>ENSMUSG00000085030</v>
      </c>
      <c r="I5554" s="7" t="str">
        <f>HYPERLINK("http://www.informatics.jax.org/marker/MGI:1920072","MGI:1920072")</f>
        <v>MGI:1920072</v>
      </c>
      <c r="J5554" s="4" t="s">
        <v>939</v>
      </c>
    </row>
    <row r="5555" spans="1:10" x14ac:dyDescent="0.25">
      <c r="A5555" s="2">
        <v>3.1464799343255301</v>
      </c>
      <c r="B5555" s="3">
        <v>-0.50180949521078499</v>
      </c>
      <c r="C5555" s="3">
        <v>0.25931161433323502</v>
      </c>
      <c r="D5555" s="4">
        <v>0.42599190294061601</v>
      </c>
      <c r="E5555" s="3" t="s">
        <v>13597</v>
      </c>
      <c r="F5555" s="3" t="s">
        <v>13598</v>
      </c>
      <c r="G5555" s="3">
        <v>56229</v>
      </c>
      <c r="H5555" s="7" t="str">
        <f>HYPERLINK("http://www.ensembl.org/Mus_musculus/Gene/Summary?db=core;g=ENSMUSG00000031480","ENSMUSG00000031480")</f>
        <v>ENSMUSG00000031480</v>
      </c>
      <c r="I5555" s="7" t="str">
        <f>HYPERLINK("http://www.informatics.jax.org/marker/MGI:1929096","MGI:1929096")</f>
        <v>MGI:1929096</v>
      </c>
      <c r="J5555" s="4" t="s">
        <v>12</v>
      </c>
    </row>
    <row r="5556" spans="1:10" x14ac:dyDescent="0.25">
      <c r="A5556" s="2">
        <v>431.84800080175</v>
      </c>
      <c r="B5556" s="3">
        <v>-0.50215303461684602</v>
      </c>
      <c r="C5556" s="5">
        <v>1.2916953661180799E-9</v>
      </c>
      <c r="D5556" s="6">
        <v>9.9037223590669208E-9</v>
      </c>
      <c r="E5556" s="3" t="s">
        <v>5311</v>
      </c>
      <c r="F5556" s="3" t="s">
        <v>5312</v>
      </c>
      <c r="G5556" s="3">
        <v>107733</v>
      </c>
      <c r="H5556" s="7" t="str">
        <f>HYPERLINK("http://www.ensembl.org/Mus_musculus/Gene/Summary?db=core;g=ENSMUSG00000036850","ENSMUSG00000036850")</f>
        <v>ENSMUSG00000036850</v>
      </c>
      <c r="I5556" s="7" t="str">
        <f>HYPERLINK("http://www.informatics.jax.org/marker/MGI:1333816","MGI:1333816")</f>
        <v>MGI:1333816</v>
      </c>
      <c r="J5556" s="4" t="s">
        <v>12</v>
      </c>
    </row>
    <row r="5557" spans="1:10" x14ac:dyDescent="0.25">
      <c r="A5557" s="2">
        <v>20.942720500227999</v>
      </c>
      <c r="B5557" s="3">
        <v>-0.50218894936015701</v>
      </c>
      <c r="C5557" s="3">
        <v>5.4704124059429697E-2</v>
      </c>
      <c r="D5557" s="4">
        <v>0.12309947659996399</v>
      </c>
      <c r="E5557" s="3" t="s">
        <v>10462</v>
      </c>
      <c r="F5557" s="3" t="s">
        <v>10463</v>
      </c>
      <c r="G5557" s="3">
        <v>381199</v>
      </c>
      <c r="H5557" s="7" t="str">
        <f>HYPERLINK("http://www.ensembl.org/Mus_musculus/Gene/Summary?db=core;g=ENSMUSG00000061451","ENSMUSG00000061451")</f>
        <v>ENSMUSG00000061451</v>
      </c>
      <c r="I5557" s="7" t="str">
        <f>HYPERLINK("http://www.informatics.jax.org/marker/MGI:2147713","MGI:2147713")</f>
        <v>MGI:2147713</v>
      </c>
      <c r="J5557" s="4" t="s">
        <v>12</v>
      </c>
    </row>
    <row r="5558" spans="1:10" x14ac:dyDescent="0.25">
      <c r="A5558" s="2">
        <v>372.21960328485102</v>
      </c>
      <c r="B5558" s="3">
        <v>-0.50274881569419105</v>
      </c>
      <c r="C5558" s="5">
        <v>3.8607873706260399E-8</v>
      </c>
      <c r="D5558" s="6">
        <v>2.5093741023416398E-7</v>
      </c>
      <c r="E5558" s="3" t="s">
        <v>4771</v>
      </c>
      <c r="F5558" s="3" t="s">
        <v>4772</v>
      </c>
      <c r="G5558" s="3">
        <v>240514</v>
      </c>
      <c r="H5558" s="7" t="str">
        <f>HYPERLINK("http://www.ensembl.org/Mus_musculus/Gene/Summary?db=core;g=ENSMUSG00000095098","ENSMUSG00000095098")</f>
        <v>ENSMUSG00000095098</v>
      </c>
      <c r="I5558" s="7" t="str">
        <f>HYPERLINK("http://www.informatics.jax.org/marker/MGI:2147607","MGI:2147607")</f>
        <v>MGI:2147607</v>
      </c>
      <c r="J5558" s="4" t="s">
        <v>12</v>
      </c>
    </row>
    <row r="5559" spans="1:10" x14ac:dyDescent="0.25">
      <c r="A5559" s="2">
        <v>539.555802770799</v>
      </c>
      <c r="B5559" s="3">
        <v>-0.50325097753043102</v>
      </c>
      <c r="C5559" s="5">
        <v>9.7630431728605597E-13</v>
      </c>
      <c r="D5559" s="6">
        <v>9.8905759769529602E-12</v>
      </c>
      <c r="E5559" s="3" t="s">
        <v>2373</v>
      </c>
      <c r="F5559" s="3" t="s">
        <v>2374</v>
      </c>
      <c r="G5559" s="3">
        <v>213498</v>
      </c>
      <c r="H5559" s="7" t="str">
        <f>HYPERLINK("http://www.ensembl.org/Mus_musculus/Gene/Summary?db=core;g=ENSMUSG00000041977","ENSMUSG00000041977")</f>
        <v>ENSMUSG00000041977</v>
      </c>
      <c r="I5559" s="7" t="str">
        <f>HYPERLINK("http://www.informatics.jax.org/marker/MGI:2441869","MGI:2441869")</f>
        <v>MGI:2441869</v>
      </c>
      <c r="J5559" s="4" t="s">
        <v>12</v>
      </c>
    </row>
    <row r="5560" spans="1:10" x14ac:dyDescent="0.25">
      <c r="A5560" s="2">
        <v>2383.99053569528</v>
      </c>
      <c r="B5560" s="3">
        <v>-0.50331512786059895</v>
      </c>
      <c r="C5560" s="5">
        <v>1.5485057063451E-9</v>
      </c>
      <c r="D5560" s="6">
        <v>1.17835141954654E-8</v>
      </c>
      <c r="E5560" s="3" t="s">
        <v>4929</v>
      </c>
      <c r="F5560" s="3" t="s">
        <v>4930</v>
      </c>
      <c r="G5560" s="3">
        <v>215113</v>
      </c>
      <c r="H5560" s="7" t="str">
        <f>HYPERLINK("http://www.ensembl.org/Mus_musculus/Gene/Summary?db=core;g=ENSMUSG00000038178","ENSMUSG00000038178")</f>
        <v>ENSMUSG00000038178</v>
      </c>
      <c r="I5560" s="7" t="str">
        <f>HYPERLINK("http://www.informatics.jax.org/marker/MGI:2442746","MGI:2442746")</f>
        <v>MGI:2442746</v>
      </c>
      <c r="J5560" s="4" t="s">
        <v>12</v>
      </c>
    </row>
    <row r="5561" spans="1:10" x14ac:dyDescent="0.25">
      <c r="A5561" s="2">
        <v>708.00293480546497</v>
      </c>
      <c r="B5561" s="3">
        <v>-0.50331875117677605</v>
      </c>
      <c r="C5561" s="5">
        <v>5.1563656446598599E-16</v>
      </c>
      <c r="D5561" s="6">
        <v>6.4854909505815004E-15</v>
      </c>
      <c r="E5561" s="3" t="s">
        <v>5509</v>
      </c>
      <c r="F5561" s="3" t="s">
        <v>5510</v>
      </c>
      <c r="G5561" s="3">
        <v>641376</v>
      </c>
      <c r="H5561" s="7" t="str">
        <f>HYPERLINK("http://www.ensembl.org/Mus_musculus/Gene/Summary?db=core;g=ENSMUSG00000005674","ENSMUSG00000005674")</f>
        <v>ENSMUSG00000005674</v>
      </c>
      <c r="I5561" s="7" t="str">
        <f>HYPERLINK("http://www.informatics.jax.org/marker/MGI:3589112","MGI:3589112")</f>
        <v>MGI:3589112</v>
      </c>
      <c r="J5561" s="4" t="s">
        <v>12</v>
      </c>
    </row>
    <row r="5562" spans="1:10" x14ac:dyDescent="0.25">
      <c r="A5562" s="2">
        <v>38.796359323922402</v>
      </c>
      <c r="B5562" s="3">
        <v>-0.50372035039521201</v>
      </c>
      <c r="C5562" s="3">
        <v>7.5356220466857599E-3</v>
      </c>
      <c r="D5562" s="4">
        <v>2.1785645907494901E-2</v>
      </c>
      <c r="E5562" s="3" t="s">
        <v>10072</v>
      </c>
      <c r="F5562" s="3" t="s">
        <v>10073</v>
      </c>
      <c r="G5562" s="3">
        <v>77117</v>
      </c>
      <c r="H5562" s="7" t="str">
        <f>HYPERLINK("http://www.ensembl.org/Mus_musculus/Gene/Summary?db=core;g=ENSMUSG00000074865","ENSMUSG00000074865")</f>
        <v>ENSMUSG00000074865</v>
      </c>
      <c r="I5562" s="7" t="str">
        <f>HYPERLINK("http://www.informatics.jax.org/marker/MGI:1924367","MGI:1924367")</f>
        <v>MGI:1924367</v>
      </c>
      <c r="J5562" s="4" t="s">
        <v>12</v>
      </c>
    </row>
    <row r="5563" spans="1:10" x14ac:dyDescent="0.25">
      <c r="A5563" s="2">
        <v>643.48091017339402</v>
      </c>
      <c r="B5563" s="3">
        <v>-0.50382768868123595</v>
      </c>
      <c r="C5563" s="5">
        <v>1.0113175654950299E-12</v>
      </c>
      <c r="D5563" s="6">
        <v>1.02225527626994E-11</v>
      </c>
      <c r="E5563" s="3" t="s">
        <v>4605</v>
      </c>
      <c r="F5563" s="3" t="s">
        <v>4606</v>
      </c>
      <c r="G5563" s="3">
        <v>19777</v>
      </c>
      <c r="H5563" s="7" t="str">
        <f>HYPERLINK("http://www.ensembl.org/Mus_musculus/Gene/Summary?db=core;g=ENSMUSG00000030421","ENSMUSG00000030421")</f>
        <v>ENSMUSG00000030421</v>
      </c>
      <c r="I5563" s="7" t="str">
        <f>HYPERLINK("http://www.informatics.jax.org/marker/MGI:1342294","MGI:1342294")</f>
        <v>MGI:1342294</v>
      </c>
      <c r="J5563" s="4" t="s">
        <v>12</v>
      </c>
    </row>
    <row r="5564" spans="1:10" x14ac:dyDescent="0.25">
      <c r="A5564" s="2">
        <v>1903.8902882154</v>
      </c>
      <c r="B5564" s="3">
        <v>-0.50420313166309405</v>
      </c>
      <c r="C5564" s="5">
        <v>5.6624420925315604E-26</v>
      </c>
      <c r="D5564" s="6">
        <v>1.1834633845916001E-24</v>
      </c>
      <c r="E5564" s="3" t="s">
        <v>1590</v>
      </c>
      <c r="F5564" s="3" t="s">
        <v>1591</v>
      </c>
      <c r="G5564" s="3">
        <v>13047</v>
      </c>
      <c r="H5564" s="7" t="str">
        <f>HYPERLINK("http://www.ensembl.org/Mus_musculus/Gene/Summary?db=core;g=ENSMUSG00000029705","ENSMUSG00000029705")</f>
        <v>ENSMUSG00000029705</v>
      </c>
      <c r="I5564" s="7" t="str">
        <f>HYPERLINK("http://www.informatics.jax.org/marker/MGI:88568","MGI:88568")</f>
        <v>MGI:88568</v>
      </c>
      <c r="J5564" s="4" t="s">
        <v>12</v>
      </c>
    </row>
    <row r="5565" spans="1:10" x14ac:dyDescent="0.25">
      <c r="A5565" s="2">
        <v>558.84384653445295</v>
      </c>
      <c r="B5565" s="3">
        <v>-0.50445202250981203</v>
      </c>
      <c r="C5565" s="5">
        <v>4.0706301196560697E-15</v>
      </c>
      <c r="D5565" s="6">
        <v>4.8204830364348202E-14</v>
      </c>
      <c r="E5565" s="3" t="s">
        <v>2279</v>
      </c>
      <c r="F5565" s="3" t="s">
        <v>2280</v>
      </c>
      <c r="G5565" s="3">
        <v>71900</v>
      </c>
      <c r="H5565" s="7" t="str">
        <f>HYPERLINK("http://www.ensembl.org/Mus_musculus/Gene/Summary?db=core;g=ENSMUSG00000029571","ENSMUSG00000029571")</f>
        <v>ENSMUSG00000029571</v>
      </c>
      <c r="I5565" s="7" t="str">
        <f>HYPERLINK("http://www.informatics.jax.org/marker/MGI:1919150","MGI:1919150")</f>
        <v>MGI:1919150</v>
      </c>
      <c r="J5565" s="4" t="s">
        <v>12</v>
      </c>
    </row>
    <row r="5566" spans="1:10" x14ac:dyDescent="0.25">
      <c r="A5566" s="2">
        <v>317.26776132928597</v>
      </c>
      <c r="B5566" s="3">
        <v>-0.50457223140068896</v>
      </c>
      <c r="C5566" s="5">
        <v>1.81924043702119E-9</v>
      </c>
      <c r="D5566" s="6">
        <v>1.3746126436447399E-8</v>
      </c>
      <c r="E5566" s="3" t="s">
        <v>3700</v>
      </c>
      <c r="F5566" s="3" t="s">
        <v>3701</v>
      </c>
      <c r="G5566" s="3">
        <v>338364</v>
      </c>
      <c r="H5566" s="7" t="str">
        <f>HYPERLINK("http://www.ensembl.org/Mus_musculus/Gene/Summary?db=core;g=ENSMUSG00000054517","ENSMUSG00000054517")</f>
        <v>ENSMUSG00000054517</v>
      </c>
      <c r="I5566" s="7" t="str">
        <f>HYPERLINK("http://www.informatics.jax.org/marker/MGI:2442815","MGI:2442815")</f>
        <v>MGI:2442815</v>
      </c>
      <c r="J5566" s="4" t="s">
        <v>12</v>
      </c>
    </row>
    <row r="5567" spans="1:10" x14ac:dyDescent="0.25">
      <c r="A5567" s="2">
        <v>135.121494976478</v>
      </c>
      <c r="B5567" s="3">
        <v>-0.50545435442418796</v>
      </c>
      <c r="C5567" s="5">
        <v>2.2449389145809501E-5</v>
      </c>
      <c r="D5567" s="4">
        <v>1.04106900046407E-4</v>
      </c>
      <c r="E5567" s="3" t="s">
        <v>8449</v>
      </c>
      <c r="F5567" s="3" t="s">
        <v>8450</v>
      </c>
      <c r="G5567" s="3" t="s">
        <v>83</v>
      </c>
      <c r="H5567" s="7" t="str">
        <f>HYPERLINK("http://www.ensembl.org/Mus_musculus/Gene/Summary?db=core;g=ENSMUSG00000072847","ENSMUSG00000072847")</f>
        <v>ENSMUSG00000072847</v>
      </c>
      <c r="I5567" s="7" t="str">
        <f>HYPERLINK("http://www.informatics.jax.org/marker/MGI:2144320","MGI:2144320")</f>
        <v>MGI:2144320</v>
      </c>
      <c r="J5567" s="4" t="s">
        <v>939</v>
      </c>
    </row>
    <row r="5568" spans="1:10" x14ac:dyDescent="0.25">
      <c r="A5568" s="2">
        <v>433.38021676862297</v>
      </c>
      <c r="B5568" s="3">
        <v>-0.50552163903720704</v>
      </c>
      <c r="C5568" s="5">
        <v>6.3854039783240497E-11</v>
      </c>
      <c r="D5568" s="6">
        <v>5.5654704689122799E-10</v>
      </c>
      <c r="E5568" s="3" t="s">
        <v>3752</v>
      </c>
      <c r="F5568" s="3" t="s">
        <v>3753</v>
      </c>
      <c r="G5568" s="3">
        <v>27878</v>
      </c>
      <c r="H5568" s="7" t="str">
        <f>HYPERLINK("http://www.ensembl.org/Mus_musculus/Gene/Summary?db=core;g=ENSMUSG00000026563","ENSMUSG00000026563")</f>
        <v>ENSMUSG00000026563</v>
      </c>
      <c r="I5568" s="7" t="str">
        <f>HYPERLINK("http://www.informatics.jax.org/marker/MGI:1196415","MGI:1196415")</f>
        <v>MGI:1196415</v>
      </c>
      <c r="J5568" s="4" t="s">
        <v>12</v>
      </c>
    </row>
    <row r="5569" spans="1:10" x14ac:dyDescent="0.25">
      <c r="A5569" s="2">
        <v>533.742679332948</v>
      </c>
      <c r="B5569" s="3">
        <v>-0.50554204910453904</v>
      </c>
      <c r="C5569" s="3">
        <v>1.6977406507253699E-4</v>
      </c>
      <c r="D5569" s="4">
        <v>6.8257938141340899E-4</v>
      </c>
      <c r="E5569" s="3" t="s">
        <v>9321</v>
      </c>
      <c r="F5569" s="3" t="s">
        <v>9322</v>
      </c>
      <c r="G5569" s="3">
        <v>67865</v>
      </c>
      <c r="H5569" s="7" t="str">
        <f>HYPERLINK("http://www.ensembl.org/Mus_musculus/Gene/Summary?db=core;g=ENSMUSG00000030844","ENSMUSG00000030844")</f>
        <v>ENSMUSG00000030844</v>
      </c>
      <c r="I5569" s="7" t="str">
        <f>HYPERLINK("http://www.informatics.jax.org/marker/MGI:1915115","MGI:1915115")</f>
        <v>MGI:1915115</v>
      </c>
      <c r="J5569" s="4" t="s">
        <v>12</v>
      </c>
    </row>
    <row r="5570" spans="1:10" x14ac:dyDescent="0.25">
      <c r="A5570" s="2">
        <v>800.22001940647203</v>
      </c>
      <c r="B5570" s="3">
        <v>-0.50574057846197695</v>
      </c>
      <c r="C5570" s="5">
        <v>3.7954008593992996E-12</v>
      </c>
      <c r="D5570" s="6">
        <v>3.6540507481538398E-11</v>
      </c>
      <c r="E5570" s="3" t="s">
        <v>1923</v>
      </c>
      <c r="F5570" s="3" t="s">
        <v>1924</v>
      </c>
      <c r="G5570" s="3">
        <v>18018</v>
      </c>
      <c r="H5570" s="7" t="str">
        <f>HYPERLINK("http://www.ensembl.org/Mus_musculus/Gene/Summary?db=core;g=ENSMUSG00000033016","ENSMUSG00000033016")</f>
        <v>ENSMUSG00000033016</v>
      </c>
      <c r="I5570" s="7" t="str">
        <f>HYPERLINK("http://www.informatics.jax.org/marker/MGI:102469","MGI:102469")</f>
        <v>MGI:102469</v>
      </c>
      <c r="J5570" s="4" t="s">
        <v>12</v>
      </c>
    </row>
    <row r="5571" spans="1:10" x14ac:dyDescent="0.25">
      <c r="A5571" s="2">
        <v>166.40983190482299</v>
      </c>
      <c r="B5571" s="3">
        <v>-0.50602078920557103</v>
      </c>
      <c r="C5571" s="3">
        <v>1.29974304847038E-3</v>
      </c>
      <c r="D5571" s="4">
        <v>4.4829328270955E-3</v>
      </c>
      <c r="E5571" s="3" t="s">
        <v>9337</v>
      </c>
      <c r="F5571" s="3" t="s">
        <v>9338</v>
      </c>
      <c r="G5571" s="3">
        <v>56526</v>
      </c>
      <c r="H5571" s="7" t="str">
        <f>HYPERLINK("http://www.ensembl.org/Mus_musculus/Gene/Summary?db=core;g=ENSMUSG00000050379","ENSMUSG00000050379")</f>
        <v>ENSMUSG00000050379</v>
      </c>
      <c r="I5571" s="7" t="str">
        <f>HYPERLINK("http://www.informatics.jax.org/marker/MGI:1888939","MGI:1888939")</f>
        <v>MGI:1888939</v>
      </c>
      <c r="J5571" s="4" t="s">
        <v>12</v>
      </c>
    </row>
    <row r="5572" spans="1:10" x14ac:dyDescent="0.25">
      <c r="A5572" s="2">
        <v>225.82963335725299</v>
      </c>
      <c r="B5572" s="3">
        <v>-0.50650344658223401</v>
      </c>
      <c r="C5572" s="5">
        <v>3.4784082443375403E-7</v>
      </c>
      <c r="D5572" s="6">
        <v>2.05025841698097E-6</v>
      </c>
      <c r="E5572" s="3" t="s">
        <v>7576</v>
      </c>
      <c r="F5572" s="3" t="s">
        <v>7577</v>
      </c>
      <c r="G5572" s="3">
        <v>26412</v>
      </c>
      <c r="H5572" s="7" t="str">
        <f>HYPERLINK("http://www.ensembl.org/Mus_musculus/Gene/Summary?db=core;g=ENSMUSG00000024948","ENSMUSG00000024948")</f>
        <v>ENSMUSG00000024948</v>
      </c>
      <c r="I5572" s="7" t="str">
        <f>HYPERLINK("http://www.informatics.jax.org/marker/MGI:1346883","MGI:1346883")</f>
        <v>MGI:1346883</v>
      </c>
      <c r="J5572" s="4" t="s">
        <v>12</v>
      </c>
    </row>
    <row r="5573" spans="1:10" x14ac:dyDescent="0.25">
      <c r="A5573" s="2">
        <v>338.46328356976198</v>
      </c>
      <c r="B5573" s="3">
        <v>-0.50651409773397305</v>
      </c>
      <c r="C5573" s="5">
        <v>1.1516315490676799E-6</v>
      </c>
      <c r="D5573" s="6">
        <v>6.3659341770574603E-6</v>
      </c>
      <c r="E5573" s="3" t="s">
        <v>5925</v>
      </c>
      <c r="F5573" s="3" t="s">
        <v>5926</v>
      </c>
      <c r="G5573" s="3">
        <v>59052</v>
      </c>
      <c r="H5573" s="7" t="str">
        <f>HYPERLINK("http://www.ensembl.org/Mus_musculus/Gene/Summary?db=core;g=ENSMUSG00000030876","ENSMUSG00000030876")</f>
        <v>ENSMUSG00000030876</v>
      </c>
      <c r="I5573" s="7" t="str">
        <f>HYPERLINK("http://www.informatics.jax.org/marker/MGI:1914862","MGI:1914862")</f>
        <v>MGI:1914862</v>
      </c>
      <c r="J5573" s="4" t="s">
        <v>12</v>
      </c>
    </row>
    <row r="5574" spans="1:10" x14ac:dyDescent="0.25">
      <c r="A5574" s="2">
        <v>153.17381788800299</v>
      </c>
      <c r="B5574" s="3">
        <v>-0.50749303925256095</v>
      </c>
      <c r="C5574" s="5">
        <v>3.0183968871336902E-6</v>
      </c>
      <c r="D5574" s="6">
        <v>1.5839413552551601E-5</v>
      </c>
      <c r="E5574" s="3" t="s">
        <v>7024</v>
      </c>
      <c r="F5574" s="3" t="s">
        <v>7025</v>
      </c>
      <c r="G5574" s="3">
        <v>15199</v>
      </c>
      <c r="H5574" s="7" t="str">
        <f>HYPERLINK("http://www.ensembl.org/Mus_musculus/Gene/Summary?db=core;g=ENSMUSG00000042770","ENSMUSG00000042770")</f>
        <v>ENSMUSG00000042770</v>
      </c>
      <c r="I5574" s="7" t="str">
        <f>HYPERLINK("http://www.informatics.jax.org/marker/MGI:1333880","MGI:1333880")</f>
        <v>MGI:1333880</v>
      </c>
      <c r="J5574" s="4" t="s">
        <v>12</v>
      </c>
    </row>
    <row r="5575" spans="1:10" x14ac:dyDescent="0.25">
      <c r="A5575" s="2">
        <v>62.515894440968196</v>
      </c>
      <c r="B5575" s="3">
        <v>-0.50767262225681398</v>
      </c>
      <c r="C5575" s="3">
        <v>3.4341299479663398E-2</v>
      </c>
      <c r="D5575" s="4">
        <v>8.2699548495885997E-2</v>
      </c>
      <c r="E5575" s="3" t="s">
        <v>13997</v>
      </c>
      <c r="F5575" s="3" t="s">
        <v>13998</v>
      </c>
      <c r="G5575" s="3">
        <v>67608</v>
      </c>
      <c r="H5575" s="7" t="str">
        <f>HYPERLINK("http://www.ensembl.org/Mus_musculus/Gene/Summary?db=core;g=ENSMUSG00000000056","ENSMUSG00000000056")</f>
        <v>ENSMUSG00000000056</v>
      </c>
      <c r="I5575" s="7" t="str">
        <f>HYPERLINK("http://www.informatics.jax.org/marker/MGI:1914858","MGI:1914858")</f>
        <v>MGI:1914858</v>
      </c>
      <c r="J5575" s="4" t="s">
        <v>12</v>
      </c>
    </row>
    <row r="5576" spans="1:10" x14ac:dyDescent="0.25">
      <c r="A5576" s="2">
        <v>8476.8418779166695</v>
      </c>
      <c r="B5576" s="3">
        <v>-0.50775987665439704</v>
      </c>
      <c r="C5576" s="5">
        <v>3.7829330942471001E-25</v>
      </c>
      <c r="D5576" s="6">
        <v>7.5929466566798906E-24</v>
      </c>
      <c r="E5576" s="3" t="s">
        <v>2475</v>
      </c>
      <c r="F5576" s="3" t="s">
        <v>2476</v>
      </c>
      <c r="G5576" s="3">
        <v>104418</v>
      </c>
      <c r="H5576" s="7" t="str">
        <f>HYPERLINK("http://www.ensembl.org/Mus_musculus/Gene/Summary?db=core;g=ENSMUSG00000040479","ENSMUSG00000040479")</f>
        <v>ENSMUSG00000040479</v>
      </c>
      <c r="I5576" s="7" t="str">
        <f>HYPERLINK("http://www.informatics.jax.org/marker/MGI:1278339","MGI:1278339")</f>
        <v>MGI:1278339</v>
      </c>
      <c r="J5576" s="4" t="s">
        <v>12</v>
      </c>
    </row>
    <row r="5577" spans="1:10" x14ac:dyDescent="0.25">
      <c r="A5577" s="2">
        <v>228.93339865832399</v>
      </c>
      <c r="B5577" s="3">
        <v>-0.50820622732971099</v>
      </c>
      <c r="C5577" s="5">
        <v>4.3959048820889702E-10</v>
      </c>
      <c r="D5577" s="6">
        <v>3.5449277201801602E-9</v>
      </c>
      <c r="E5577" s="3" t="s">
        <v>3708</v>
      </c>
      <c r="F5577" s="3" t="s">
        <v>3709</v>
      </c>
      <c r="G5577" s="3">
        <v>399566</v>
      </c>
      <c r="H5577" s="7" t="str">
        <f>HYPERLINK("http://www.ensembl.org/Mus_musculus/Gene/Summary?db=core;g=ENSMUSG00000002803","ENSMUSG00000002803")</f>
        <v>ENSMUSG00000002803</v>
      </c>
      <c r="I5577" s="7" t="str">
        <f>HYPERLINK("http://www.informatics.jax.org/marker/MGI:3026623","MGI:3026623")</f>
        <v>MGI:3026623</v>
      </c>
      <c r="J5577" s="4" t="s">
        <v>12</v>
      </c>
    </row>
    <row r="5578" spans="1:10" x14ac:dyDescent="0.25">
      <c r="A5578" s="2">
        <v>96.557291937798297</v>
      </c>
      <c r="B5578" s="3">
        <v>-0.50870582723467495</v>
      </c>
      <c r="C5578" s="5">
        <v>2.1708297852942E-5</v>
      </c>
      <c r="D5578" s="4">
        <v>1.00932483038503E-4</v>
      </c>
      <c r="E5578" s="3" t="s">
        <v>8573</v>
      </c>
      <c r="F5578" s="3" t="s">
        <v>8574</v>
      </c>
      <c r="G5578" s="3">
        <v>208967</v>
      </c>
      <c r="H5578" s="7" t="str">
        <f>HYPERLINK("http://www.ensembl.org/Mus_musculus/Gene/Summary?db=core;g=ENSMUSG00000048550","ENSMUSG00000048550")</f>
        <v>ENSMUSG00000048550</v>
      </c>
      <c r="I5578" s="7" t="str">
        <f>HYPERLINK("http://www.informatics.jax.org/marker/MGI:2139347","MGI:2139347")</f>
        <v>MGI:2139347</v>
      </c>
      <c r="J5578" s="4" t="s">
        <v>12</v>
      </c>
    </row>
    <row r="5579" spans="1:10" x14ac:dyDescent="0.25">
      <c r="A5579" s="2">
        <v>194.05535374198899</v>
      </c>
      <c r="B5579" s="3">
        <v>-0.50879007464548298</v>
      </c>
      <c r="C5579" s="5">
        <v>4.9421637845422903E-5</v>
      </c>
      <c r="D5579" s="4">
        <v>2.1693385109172299E-4</v>
      </c>
      <c r="E5579" s="3" t="s">
        <v>8773</v>
      </c>
      <c r="F5579" s="3" t="s">
        <v>8774</v>
      </c>
      <c r="G5579" s="3">
        <v>68347</v>
      </c>
      <c r="H5579" s="7" t="str">
        <f>HYPERLINK("http://www.ensembl.org/Mus_musculus/Gene/Summary?db=core;g=ENSMUSG00000025731","ENSMUSG00000025731")</f>
        <v>ENSMUSG00000025731</v>
      </c>
      <c r="I5579" s="7" t="str">
        <f>HYPERLINK("http://www.informatics.jax.org/marker/MGI:1915597","MGI:1915597")</f>
        <v>MGI:1915597</v>
      </c>
      <c r="J5579" s="4" t="s">
        <v>12</v>
      </c>
    </row>
    <row r="5580" spans="1:10" x14ac:dyDescent="0.25">
      <c r="A5580" s="2">
        <v>594.26477552127403</v>
      </c>
      <c r="B5580" s="3">
        <v>-0.50921538389899701</v>
      </c>
      <c r="C5580" s="5">
        <v>7.1137824728718096E-9</v>
      </c>
      <c r="D5580" s="6">
        <v>5.03490041041121E-8</v>
      </c>
      <c r="E5580" s="3" t="s">
        <v>5551</v>
      </c>
      <c r="F5580" s="3" t="s">
        <v>5552</v>
      </c>
      <c r="G5580" s="3">
        <v>70511</v>
      </c>
      <c r="H5580" s="7" t="str">
        <f>HYPERLINK("http://www.ensembl.org/Mus_musculus/Gene/Summary?db=core;g=ENSMUSG00000022544","ENSMUSG00000022544")</f>
        <v>ENSMUSG00000022544</v>
      </c>
      <c r="I5580" s="7" t="str">
        <f>HYPERLINK("http://www.informatics.jax.org/marker/MGI:1917761","MGI:1917761")</f>
        <v>MGI:1917761</v>
      </c>
      <c r="J5580" s="4" t="s">
        <v>12</v>
      </c>
    </row>
    <row r="5581" spans="1:10" x14ac:dyDescent="0.25">
      <c r="A5581" s="2">
        <v>502.63214904151903</v>
      </c>
      <c r="B5581" s="3">
        <v>-0.510575049444006</v>
      </c>
      <c r="C5581" s="5">
        <v>5.2791342498529102E-9</v>
      </c>
      <c r="D5581" s="6">
        <v>3.79086767941565E-8</v>
      </c>
      <c r="E5581" s="3" t="s">
        <v>7366</v>
      </c>
      <c r="F5581" s="3" t="s">
        <v>7367</v>
      </c>
      <c r="G5581" s="3">
        <v>226182</v>
      </c>
      <c r="H5581" s="7" t="str">
        <f>HYPERLINK("http://www.ensembl.org/Mus_musculus/Gene/Summary?db=core;g=ENSMUSG00000025049","ENSMUSG00000025049")</f>
        <v>ENSMUSG00000025049</v>
      </c>
      <c r="I5581" s="7" t="str">
        <f>HYPERLINK("http://www.informatics.jax.org/marker/MGI:2442144","MGI:2442144")</f>
        <v>MGI:2442144</v>
      </c>
      <c r="J5581" s="4" t="s">
        <v>12</v>
      </c>
    </row>
    <row r="5582" spans="1:10" x14ac:dyDescent="0.25">
      <c r="A5582" s="2">
        <v>359.444226590634</v>
      </c>
      <c r="B5582" s="3">
        <v>-0.51062101337641896</v>
      </c>
      <c r="C5582" s="5">
        <v>2.75766488616847E-5</v>
      </c>
      <c r="D5582" s="4">
        <v>1.2624577380160901E-4</v>
      </c>
      <c r="E5582" s="3" t="s">
        <v>8333</v>
      </c>
      <c r="F5582" s="3" t="s">
        <v>8334</v>
      </c>
      <c r="G5582" s="3">
        <v>217335</v>
      </c>
      <c r="H5582" s="7" t="str">
        <f>HYPERLINK("http://www.ensembl.org/Mus_musculus/Gene/Summary?db=core;g=ENSMUSG00000020776","ENSMUSG00000020776")</f>
        <v>ENSMUSG00000020776</v>
      </c>
      <c r="I5582" s="7" t="str">
        <f>HYPERLINK("http://www.informatics.jax.org/marker/MGI:1922033","MGI:1922033")</f>
        <v>MGI:1922033</v>
      </c>
      <c r="J5582" s="4" t="s">
        <v>12</v>
      </c>
    </row>
    <row r="5583" spans="1:10" x14ac:dyDescent="0.25">
      <c r="A5583" s="2">
        <v>265.56140435242298</v>
      </c>
      <c r="B5583" s="3">
        <v>-0.51070160230675099</v>
      </c>
      <c r="C5583" s="5">
        <v>8.7247167917187002E-10</v>
      </c>
      <c r="D5583" s="6">
        <v>6.8273062915016503E-9</v>
      </c>
      <c r="E5583" s="3" t="s">
        <v>2690</v>
      </c>
      <c r="F5583" s="3" t="s">
        <v>2691</v>
      </c>
      <c r="G5583" s="3">
        <v>382406</v>
      </c>
      <c r="H5583" s="7" t="str">
        <f>HYPERLINK("http://www.ensembl.org/Mus_musculus/Gene/Summary?db=core;g=ENSMUSG00000019952","ENSMUSG00000019952")</f>
        <v>ENSMUSG00000019952</v>
      </c>
      <c r="I5583" s="7" t="str">
        <f>HYPERLINK("http://www.informatics.jax.org/marker/MGI:1918511","MGI:1918511")</f>
        <v>MGI:1918511</v>
      </c>
      <c r="J5583" s="4" t="s">
        <v>12</v>
      </c>
    </row>
    <row r="5584" spans="1:10" x14ac:dyDescent="0.25">
      <c r="A5584" s="2">
        <v>756.08989135210197</v>
      </c>
      <c r="B5584" s="3">
        <v>-0.51075627982141203</v>
      </c>
      <c r="C5584" s="5">
        <v>8.1796207996955202E-15</v>
      </c>
      <c r="D5584" s="6">
        <v>9.5133113640364298E-14</v>
      </c>
      <c r="E5584" s="3" t="s">
        <v>2495</v>
      </c>
      <c r="F5584" s="3" t="s">
        <v>2496</v>
      </c>
      <c r="G5584" s="3">
        <v>329015</v>
      </c>
      <c r="H5584" s="7" t="str">
        <f>HYPERLINK("http://www.ensembl.org/Mus_musculus/Gene/Summary?db=core;g=ENSMUSG00000024773","ENSMUSG00000024773")</f>
        <v>ENSMUSG00000024773</v>
      </c>
      <c r="I5584" s="7" t="str">
        <f>HYPERLINK("http://www.informatics.jax.org/marker/MGI:1916291","MGI:1916291")</f>
        <v>MGI:1916291</v>
      </c>
      <c r="J5584" s="4" t="s">
        <v>12</v>
      </c>
    </row>
    <row r="5585" spans="1:10" x14ac:dyDescent="0.25">
      <c r="A5585" s="2">
        <v>916.81885477394701</v>
      </c>
      <c r="B5585" s="3">
        <v>-0.51097849889343505</v>
      </c>
      <c r="C5585" s="5">
        <v>1.6530993463426501E-8</v>
      </c>
      <c r="D5585" s="6">
        <v>1.12416923832443E-7</v>
      </c>
      <c r="E5585" s="3" t="s">
        <v>6417</v>
      </c>
      <c r="F5585" s="3" t="s">
        <v>6418</v>
      </c>
      <c r="G5585" s="3">
        <v>225898</v>
      </c>
      <c r="H5585" s="7" t="str">
        <f>HYPERLINK("http://www.ensembl.org/Mus_musculus/Gene/Summary?db=core;g=ENSMUSG00000071647","ENSMUSG00000071647")</f>
        <v>ENSMUSG00000071647</v>
      </c>
      <c r="I5585" s="7" t="str">
        <f>HYPERLINK("http://www.informatics.jax.org/marker/MGI:2387612","MGI:2387612")</f>
        <v>MGI:2387612</v>
      </c>
      <c r="J5585" s="4" t="s">
        <v>12</v>
      </c>
    </row>
    <row r="5586" spans="1:10" x14ac:dyDescent="0.25">
      <c r="A5586" s="2">
        <v>220.55421114132699</v>
      </c>
      <c r="B5586" s="3">
        <v>-0.51125562132218705</v>
      </c>
      <c r="C5586" s="5">
        <v>1.75567222634209E-7</v>
      </c>
      <c r="D5586" s="6">
        <v>1.07264922310039E-6</v>
      </c>
      <c r="E5586" s="3" t="s">
        <v>3068</v>
      </c>
      <c r="F5586" s="3" t="s">
        <v>3069</v>
      </c>
      <c r="G5586" s="3">
        <v>240334</v>
      </c>
      <c r="H5586" s="7" t="str">
        <f>HYPERLINK("http://www.ensembl.org/Mus_musculus/Gene/Summary?db=core;g=ENSMUSG00000024579","ENSMUSG00000024579")</f>
        <v>ENSMUSG00000024579</v>
      </c>
      <c r="I5586" s="7" t="str">
        <f>HYPERLINK("http://www.informatics.jax.org/marker/MGI:3606062","MGI:3606062")</f>
        <v>MGI:3606062</v>
      </c>
      <c r="J5586" s="4" t="s">
        <v>12</v>
      </c>
    </row>
    <row r="5587" spans="1:10" x14ac:dyDescent="0.25">
      <c r="A5587" s="2">
        <v>190.14165618841301</v>
      </c>
      <c r="B5587" s="3">
        <v>-0.51136013660127599</v>
      </c>
      <c r="C5587" s="5">
        <v>3.9184064280724297E-8</v>
      </c>
      <c r="D5587" s="6">
        <v>2.5459164759935802E-7</v>
      </c>
      <c r="E5587" s="3" t="s">
        <v>7750</v>
      </c>
      <c r="F5587" s="3" t="s">
        <v>7751</v>
      </c>
      <c r="G5587" s="3">
        <v>23830</v>
      </c>
      <c r="H5587" s="7" t="str">
        <f>HYPERLINK("http://www.ensembl.org/Mus_musculus/Gene/Summary?db=core;g=ENSMUSG00000026270","ENSMUSG00000026270")</f>
        <v>ENSMUSG00000026270</v>
      </c>
      <c r="I5587" s="7" t="str">
        <f>HYPERLINK("http://www.informatics.jax.org/marker/MGI:1344392","MGI:1344392")</f>
        <v>MGI:1344392</v>
      </c>
      <c r="J5587" s="4" t="s">
        <v>12</v>
      </c>
    </row>
    <row r="5588" spans="1:10" x14ac:dyDescent="0.25">
      <c r="A5588" s="2">
        <v>1326.9214522738</v>
      </c>
      <c r="B5588" s="3">
        <v>-0.51177133141896203</v>
      </c>
      <c r="C5588" s="5">
        <v>3.5980341502135398E-20</v>
      </c>
      <c r="D5588" s="6">
        <v>5.6676034907209805E-19</v>
      </c>
      <c r="E5588" s="3" t="s">
        <v>1897</v>
      </c>
      <c r="F5588" s="3" t="s">
        <v>1898</v>
      </c>
      <c r="G5588" s="3">
        <v>20182</v>
      </c>
      <c r="H5588" s="7" t="str">
        <f>HYPERLINK("http://www.ensembl.org/Mus_musculus/Gene/Summary?db=core;g=ENSMUSG00000039656","ENSMUSG00000039656")</f>
        <v>ENSMUSG00000039656</v>
      </c>
      <c r="I5588" s="7" t="str">
        <f>HYPERLINK("http://www.informatics.jax.org/marker/MGI:98215","MGI:98215")</f>
        <v>MGI:98215</v>
      </c>
      <c r="J5588" s="4" t="s">
        <v>12</v>
      </c>
    </row>
    <row r="5589" spans="1:10" x14ac:dyDescent="0.25">
      <c r="A5589" s="2">
        <v>164.59433416249101</v>
      </c>
      <c r="B5589" s="3">
        <v>-0.51206604473434703</v>
      </c>
      <c r="C5589" s="3">
        <v>2.2813221251745701E-4</v>
      </c>
      <c r="D5589" s="4">
        <v>8.9721829372694302E-4</v>
      </c>
      <c r="E5589" s="3" t="s">
        <v>8425</v>
      </c>
      <c r="F5589" s="3" t="s">
        <v>8426</v>
      </c>
      <c r="G5589" s="3">
        <v>23992</v>
      </c>
      <c r="H5589" s="7" t="str">
        <f>HYPERLINK("http://www.ensembl.org/Mus_musculus/Gene/Summary?db=core;g=ENSMUSG00000002731","ENSMUSG00000002731")</f>
        <v>ENSMUSG00000002731</v>
      </c>
      <c r="I5589" s="7" t="str">
        <f>HYPERLINK("http://www.informatics.jax.org/marker/MGI:1344375","MGI:1344375")</f>
        <v>MGI:1344375</v>
      </c>
      <c r="J5589" s="4" t="s">
        <v>12</v>
      </c>
    </row>
    <row r="5590" spans="1:10" x14ac:dyDescent="0.25">
      <c r="A5590" s="2">
        <v>172.90976693839599</v>
      </c>
      <c r="B5590" s="3">
        <v>-0.51209175241041105</v>
      </c>
      <c r="C5590" s="5">
        <v>1.7928339382552101E-6</v>
      </c>
      <c r="D5590" s="6">
        <v>9.67270530630584E-6</v>
      </c>
      <c r="E5590" s="3" t="s">
        <v>10048</v>
      </c>
      <c r="F5590" s="3" t="s">
        <v>10049</v>
      </c>
      <c r="G5590" s="3">
        <v>26450</v>
      </c>
      <c r="H5590" s="7" t="str">
        <f>HYPERLINK("http://www.ensembl.org/Mus_musculus/Gene/Summary?db=core;g=ENSMUSG00000027428","ENSMUSG00000027428")</f>
        <v>ENSMUSG00000027428</v>
      </c>
      <c r="I5590" s="7" t="str">
        <f>HYPERLINK("http://www.informatics.jax.org/marker/MGI:1347074","MGI:1347074")</f>
        <v>MGI:1347074</v>
      </c>
      <c r="J5590" s="4" t="s">
        <v>12</v>
      </c>
    </row>
    <row r="5591" spans="1:10" x14ac:dyDescent="0.25">
      <c r="A5591" s="2">
        <v>469.43644495821599</v>
      </c>
      <c r="B5591" s="3">
        <v>-0.51210838653129898</v>
      </c>
      <c r="C5591" s="5">
        <v>5.8510772304934303E-7</v>
      </c>
      <c r="D5591" s="6">
        <v>3.3354983586406799E-6</v>
      </c>
      <c r="E5591" s="3" t="s">
        <v>6990</v>
      </c>
      <c r="F5591" s="3" t="s">
        <v>6991</v>
      </c>
      <c r="G5591" s="3">
        <v>52538</v>
      </c>
      <c r="H5591" s="7" t="str">
        <f>HYPERLINK("http://www.ensembl.org/Mus_musculus/Gene/Summary?db=core;g=ENSMUSG00000036880","ENSMUSG00000036880")</f>
        <v>ENSMUSG00000036880</v>
      </c>
      <c r="I5591" s="7" t="str">
        <f>HYPERLINK("http://www.informatics.jax.org/marker/MGI:1098623","MGI:1098623")</f>
        <v>MGI:1098623</v>
      </c>
      <c r="J5591" s="4" t="s">
        <v>12</v>
      </c>
    </row>
    <row r="5592" spans="1:10" x14ac:dyDescent="0.25">
      <c r="A5592" s="2">
        <v>264.187675766891</v>
      </c>
      <c r="B5592" s="3">
        <v>-0.51217424119154098</v>
      </c>
      <c r="C5592" s="5">
        <v>5.5818292741714204E-7</v>
      </c>
      <c r="D5592" s="6">
        <v>3.1909924254006999E-6</v>
      </c>
      <c r="E5592" s="3" t="s">
        <v>9795</v>
      </c>
      <c r="F5592" s="3" t="s">
        <v>9796</v>
      </c>
      <c r="G5592" s="3">
        <v>102871</v>
      </c>
      <c r="H5592" s="7" t="str">
        <f>HYPERLINK("http://www.ensembl.org/Mus_musculus/Gene/Summary?db=core;g=ENSMUSG00000042498","ENSMUSG00000042498")</f>
        <v>ENSMUSG00000042498</v>
      </c>
      <c r="I5592" s="7" t="str">
        <f>HYPERLINK("http://www.informatics.jax.org/marker/MGI:2147848","MGI:2147848")</f>
        <v>MGI:2147848</v>
      </c>
      <c r="J5592" s="4" t="s">
        <v>12</v>
      </c>
    </row>
    <row r="5593" spans="1:10" x14ac:dyDescent="0.25">
      <c r="A5593" s="2">
        <v>743.57011866938296</v>
      </c>
      <c r="B5593" s="3">
        <v>-0.51234728414188202</v>
      </c>
      <c r="C5593" s="5">
        <v>2.7820462189519702E-13</v>
      </c>
      <c r="D5593" s="6">
        <v>2.9375893592352101E-12</v>
      </c>
      <c r="E5593" s="3" t="s">
        <v>1839</v>
      </c>
      <c r="F5593" s="3" t="s">
        <v>1840</v>
      </c>
      <c r="G5593" s="3">
        <v>12566</v>
      </c>
      <c r="H5593" s="7" t="str">
        <f>HYPERLINK("http://www.ensembl.org/Mus_musculus/Gene/Summary?db=core;g=ENSMUSG00000025358","ENSMUSG00000025358")</f>
        <v>ENSMUSG00000025358</v>
      </c>
      <c r="I5593" s="7" t="str">
        <f>HYPERLINK("http://www.informatics.jax.org/marker/MGI:104772","MGI:104772")</f>
        <v>MGI:104772</v>
      </c>
      <c r="J5593" s="4" t="s">
        <v>12</v>
      </c>
    </row>
    <row r="5594" spans="1:10" x14ac:dyDescent="0.25">
      <c r="A5594" s="2">
        <v>479.542862261415</v>
      </c>
      <c r="B5594" s="3">
        <v>-0.51260283353914504</v>
      </c>
      <c r="C5594" s="5">
        <v>4.4047643924576801E-10</v>
      </c>
      <c r="D5594" s="6">
        <v>3.5505011522574698E-9</v>
      </c>
      <c r="E5594" s="3" t="s">
        <v>3440</v>
      </c>
      <c r="F5594" s="3" t="s">
        <v>3441</v>
      </c>
      <c r="G5594" s="3">
        <v>21763</v>
      </c>
      <c r="H5594" s="7" t="str">
        <f>HYPERLINK("http://www.ensembl.org/Mus_musculus/Gene/Summary?db=core;g=ENSMUSG00000040548","ENSMUSG00000040548")</f>
        <v>ENSMUSG00000040548</v>
      </c>
      <c r="I5594" s="7" t="str">
        <f>HYPERLINK("http://www.informatics.jax.org/marker/MGI:102465","MGI:102465")</f>
        <v>MGI:102465</v>
      </c>
      <c r="J5594" s="4" t="s">
        <v>12</v>
      </c>
    </row>
    <row r="5595" spans="1:10" x14ac:dyDescent="0.25">
      <c r="A5595" s="2">
        <v>437.60221711761898</v>
      </c>
      <c r="B5595" s="3">
        <v>-0.51301421266818303</v>
      </c>
      <c r="C5595" s="5">
        <v>8.4995909248194997E-6</v>
      </c>
      <c r="D5595" s="6">
        <v>4.2025242703427903E-5</v>
      </c>
      <c r="E5595" s="3" t="s">
        <v>9113</v>
      </c>
      <c r="F5595" s="3" t="s">
        <v>9114</v>
      </c>
      <c r="G5595" s="3">
        <v>19724</v>
      </c>
      <c r="H5595" s="7" t="str">
        <f>HYPERLINK("http://www.ensembl.org/Mus_musculus/Gene/Summary?db=core;g=ENSMUSG00000031706","ENSMUSG00000031706")</f>
        <v>ENSMUSG00000031706</v>
      </c>
      <c r="I5595" s="7" t="str">
        <f>HYPERLINK("http://www.informatics.jax.org/marker/MGI:105982","MGI:105982")</f>
        <v>MGI:105982</v>
      </c>
      <c r="J5595" s="4" t="s">
        <v>12</v>
      </c>
    </row>
    <row r="5596" spans="1:10" x14ac:dyDescent="0.25">
      <c r="A5596" s="2">
        <v>991.82604977580002</v>
      </c>
      <c r="B5596" s="3">
        <v>-0.51408522028200498</v>
      </c>
      <c r="C5596" s="5">
        <v>8.0599783039077704E-23</v>
      </c>
      <c r="D5596" s="6">
        <v>1.44864994663431E-21</v>
      </c>
      <c r="E5596" s="3" t="s">
        <v>1939</v>
      </c>
      <c r="F5596" s="3" t="s">
        <v>1940</v>
      </c>
      <c r="G5596" s="3">
        <v>77219</v>
      </c>
      <c r="H5596" s="7" t="str">
        <f>HYPERLINK("http://www.ensembl.org/Mus_musculus/Gene/Summary?db=core;g=ENSMUSG00000072946","ENSMUSG00000072946")</f>
        <v>ENSMUSG00000072946</v>
      </c>
      <c r="I5596" s="7" t="str">
        <f>HYPERLINK("http://www.informatics.jax.org/marker/MGI:1916372","MGI:1916372")</f>
        <v>MGI:1916372</v>
      </c>
      <c r="J5596" s="4" t="s">
        <v>12</v>
      </c>
    </row>
    <row r="5597" spans="1:10" x14ac:dyDescent="0.25">
      <c r="A5597" s="2">
        <v>1111.8469399437599</v>
      </c>
      <c r="B5597" s="3">
        <v>-0.51413147916430202</v>
      </c>
      <c r="C5597" s="5">
        <v>2.3152789528061998E-22</v>
      </c>
      <c r="D5597" s="6">
        <v>4.0927215242379197E-21</v>
      </c>
      <c r="E5597" s="3" t="s">
        <v>1092</v>
      </c>
      <c r="F5597" s="3" t="s">
        <v>1093</v>
      </c>
      <c r="G5597" s="3">
        <v>217946</v>
      </c>
      <c r="H5597" s="7" t="str">
        <f>HYPERLINK("http://www.ensembl.org/Mus_musculus/Gene/Summary?db=core;g=ENSMUSG00000021175","ENSMUSG00000021175")</f>
        <v>ENSMUSG00000021175</v>
      </c>
      <c r="I5597" s="7" t="str">
        <f>HYPERLINK("http://www.informatics.jax.org/marker/MGI:2384982","MGI:2384982")</f>
        <v>MGI:2384982</v>
      </c>
      <c r="J5597" s="4" t="s">
        <v>12</v>
      </c>
    </row>
    <row r="5598" spans="1:10" x14ac:dyDescent="0.25">
      <c r="A5598" s="2">
        <v>696.37895482763395</v>
      </c>
      <c r="B5598" s="3">
        <v>-0.51428255529127997</v>
      </c>
      <c r="C5598" s="5">
        <v>1.9382637138891502E-9</v>
      </c>
      <c r="D5598" s="6">
        <v>1.4578974901209099E-8</v>
      </c>
      <c r="E5598" s="3" t="s">
        <v>2307</v>
      </c>
      <c r="F5598" s="3" t="s">
        <v>2308</v>
      </c>
      <c r="G5598" s="3">
        <v>57748</v>
      </c>
      <c r="H5598" s="7" t="str">
        <f>HYPERLINK("http://www.ensembl.org/Mus_musculus/Gene/Summary?db=core;g=ENSMUSG00000021690","ENSMUSG00000021690")</f>
        <v>ENSMUSG00000021690</v>
      </c>
      <c r="I5598" s="7" t="str">
        <f>HYPERLINK("http://www.informatics.jax.org/marker/MGI:1913096","MGI:1913096")</f>
        <v>MGI:1913096</v>
      </c>
      <c r="J5598" s="4" t="s">
        <v>12</v>
      </c>
    </row>
    <row r="5599" spans="1:10" x14ac:dyDescent="0.25">
      <c r="A5599" s="2">
        <v>105.118474434661</v>
      </c>
      <c r="B5599" s="3">
        <v>-0.51458263375234803</v>
      </c>
      <c r="C5599" s="5">
        <v>1.9527361486855499E-5</v>
      </c>
      <c r="D5599" s="6">
        <v>9.1416944027213504E-5</v>
      </c>
      <c r="E5599" s="3" t="s">
        <v>12219</v>
      </c>
      <c r="F5599" s="3" t="s">
        <v>12220</v>
      </c>
      <c r="G5599" s="3">
        <v>69876</v>
      </c>
      <c r="H5599" s="7" t="str">
        <f>HYPERLINK("http://www.ensembl.org/Mus_musculus/Gene/Summary?db=core;g=ENSMUSG00000039759","ENSMUSG00000039759")</f>
        <v>ENSMUSG00000039759</v>
      </c>
      <c r="I5599" s="7" t="str">
        <f>HYPERLINK("http://www.informatics.jax.org/marker/MGI:1917126","MGI:1917126")</f>
        <v>MGI:1917126</v>
      </c>
      <c r="J5599" s="4" t="s">
        <v>12</v>
      </c>
    </row>
    <row r="5600" spans="1:10" x14ac:dyDescent="0.25">
      <c r="A5600" s="2">
        <v>573.00679165581596</v>
      </c>
      <c r="B5600" s="3">
        <v>-0.51468977143830497</v>
      </c>
      <c r="C5600" s="5">
        <v>2.8138837637161999E-14</v>
      </c>
      <c r="D5600" s="6">
        <v>3.1481296251520999E-13</v>
      </c>
      <c r="E5600" s="3" t="s">
        <v>3880</v>
      </c>
      <c r="F5600" s="3" t="s">
        <v>3881</v>
      </c>
      <c r="G5600" s="3">
        <v>208884</v>
      </c>
      <c r="H5600" s="7" t="str">
        <f>HYPERLINK("http://www.ensembl.org/Mus_musculus/Gene/Summary?db=core;g=ENSMUSG00000036985","ENSMUSG00000036985")</f>
        <v>ENSMUSG00000036985</v>
      </c>
      <c r="I5600" s="7" t="str">
        <f>HYPERLINK("http://www.informatics.jax.org/marker/MGI:2444393","MGI:2444393")</f>
        <v>MGI:2444393</v>
      </c>
      <c r="J5600" s="4" t="s">
        <v>12</v>
      </c>
    </row>
    <row r="5601" spans="1:10" x14ac:dyDescent="0.25">
      <c r="A5601" s="2">
        <v>2740.2909945249098</v>
      </c>
      <c r="B5601" s="3">
        <v>-0.515226722647115</v>
      </c>
      <c r="C5601" s="5">
        <v>3.5801745804584199E-5</v>
      </c>
      <c r="D5601" s="4">
        <v>1.6055285858477999E-4</v>
      </c>
      <c r="E5601" s="3" t="s">
        <v>11293</v>
      </c>
      <c r="F5601" s="3" t="s">
        <v>11294</v>
      </c>
      <c r="G5601" s="3">
        <v>74202</v>
      </c>
      <c r="H5601" s="7" t="str">
        <f>HYPERLINK("http://www.ensembl.org/Mus_musculus/Gene/Summary?db=core;g=ENSMUSG00000006219","ENSMUSG00000006219")</f>
        <v>ENSMUSG00000006219</v>
      </c>
      <c r="I5601" s="7" t="str">
        <f>HYPERLINK("http://www.informatics.jax.org/marker/MGI:1921452","MGI:1921452")</f>
        <v>MGI:1921452</v>
      </c>
      <c r="J5601" s="4" t="s">
        <v>12</v>
      </c>
    </row>
    <row r="5602" spans="1:10" x14ac:dyDescent="0.25">
      <c r="A5602" s="2">
        <v>32.355640113335603</v>
      </c>
      <c r="B5602" s="3">
        <v>-0.51543641055999501</v>
      </c>
      <c r="C5602" s="3">
        <v>6.1095913145149004E-3</v>
      </c>
      <c r="D5602" s="4">
        <v>1.8008620686888899E-2</v>
      </c>
      <c r="E5602" s="3" t="s">
        <v>7156</v>
      </c>
      <c r="F5602" s="3" t="s">
        <v>7157</v>
      </c>
      <c r="G5602" s="3">
        <v>69519</v>
      </c>
      <c r="H5602" s="7" t="str">
        <f>HYPERLINK("http://www.ensembl.org/Mus_musculus/Gene/Summary?db=core;g=ENSMUSG00000032417","ENSMUSG00000032417")</f>
        <v>ENSMUSG00000032417</v>
      </c>
      <c r="I5602" s="7" t="str">
        <f>HYPERLINK("http://www.informatics.jax.org/marker/MGI:1916769","MGI:1916769")</f>
        <v>MGI:1916769</v>
      </c>
      <c r="J5602" s="4" t="s">
        <v>12</v>
      </c>
    </row>
    <row r="5603" spans="1:10" x14ac:dyDescent="0.25">
      <c r="A5603" s="2">
        <v>239.35548233789899</v>
      </c>
      <c r="B5603" s="3">
        <v>-0.51555550955787499</v>
      </c>
      <c r="C5603" s="5">
        <v>2.13370311830141E-6</v>
      </c>
      <c r="D5603" s="6">
        <v>1.1410428207465701E-5</v>
      </c>
      <c r="E5603" s="3" t="s">
        <v>6529</v>
      </c>
      <c r="F5603" s="3" t="s">
        <v>6530</v>
      </c>
      <c r="G5603" s="3">
        <v>76568</v>
      </c>
      <c r="H5603" s="7" t="str">
        <f>HYPERLINK("http://www.ensembl.org/Mus_musculus/Gene/Summary?db=core;g=ENSMUSG00000002031","ENSMUSG00000002031")</f>
        <v>ENSMUSG00000002031</v>
      </c>
      <c r="I5603" s="7" t="str">
        <f>HYPERLINK("http://www.informatics.jax.org/marker/MGI:1923818","MGI:1923818")</f>
        <v>MGI:1923818</v>
      </c>
      <c r="J5603" s="4" t="s">
        <v>12</v>
      </c>
    </row>
    <row r="5604" spans="1:10" x14ac:dyDescent="0.25">
      <c r="A5604" s="2">
        <v>1990.7831716907799</v>
      </c>
      <c r="B5604" s="3">
        <v>-0.51591600913604097</v>
      </c>
      <c r="C5604" s="5">
        <v>2.29358457044631E-9</v>
      </c>
      <c r="D5604" s="6">
        <v>1.7110347440189901E-8</v>
      </c>
      <c r="E5604" s="3" t="s">
        <v>3680</v>
      </c>
      <c r="F5604" s="3" t="s">
        <v>3681</v>
      </c>
      <c r="G5604" s="3">
        <v>20602</v>
      </c>
      <c r="H5604" s="7" t="str">
        <f>HYPERLINK("http://www.ensembl.org/Mus_musculus/Gene/Summary?db=core;g=ENSMUSG00000029478","ENSMUSG00000029478")</f>
        <v>ENSMUSG00000029478</v>
      </c>
      <c r="I5604" s="7" t="str">
        <f>HYPERLINK("http://www.informatics.jax.org/marker/MGI:1337080","MGI:1337080")</f>
        <v>MGI:1337080</v>
      </c>
      <c r="J5604" s="4" t="s">
        <v>12</v>
      </c>
    </row>
    <row r="5605" spans="1:10" x14ac:dyDescent="0.25">
      <c r="A5605" s="2">
        <v>1248.1249276803901</v>
      </c>
      <c r="B5605" s="3">
        <v>-0.51591900003065505</v>
      </c>
      <c r="C5605" s="5">
        <v>1.07331450056031E-12</v>
      </c>
      <c r="D5605" s="6">
        <v>1.0831205300504801E-11</v>
      </c>
      <c r="E5605" s="3" t="s">
        <v>12611</v>
      </c>
      <c r="F5605" s="3" t="s">
        <v>12612</v>
      </c>
      <c r="G5605" s="3">
        <v>71279</v>
      </c>
      <c r="H5605" s="7" t="str">
        <f>HYPERLINK("http://www.ensembl.org/Mus_musculus/Gene/Summary?db=core;g=ENSMUSG00000020100","ENSMUSG00000020100")</f>
        <v>ENSMUSG00000020100</v>
      </c>
      <c r="I5605" s="7" t="str">
        <f>HYPERLINK("http://www.informatics.jax.org/marker/MGI:1918529","MGI:1918529")</f>
        <v>MGI:1918529</v>
      </c>
      <c r="J5605" s="4" t="s">
        <v>12</v>
      </c>
    </row>
    <row r="5606" spans="1:10" x14ac:dyDescent="0.25">
      <c r="A5606" s="2">
        <v>349.81612698385101</v>
      </c>
      <c r="B5606" s="3">
        <v>-0.516611928925932</v>
      </c>
      <c r="C5606" s="5">
        <v>4.0520387199320801E-13</v>
      </c>
      <c r="D5606" s="6">
        <v>4.2295764988981799E-12</v>
      </c>
      <c r="E5606" s="3" t="s">
        <v>5617</v>
      </c>
      <c r="F5606" s="3" t="s">
        <v>5618</v>
      </c>
      <c r="G5606" s="3">
        <v>227095</v>
      </c>
      <c r="H5606" s="7" t="str">
        <f>HYPERLINK("http://www.ensembl.org/Mus_musculus/Gene/Summary?db=core;g=ENSMUSG00000041426","ENSMUSG00000041426")</f>
        <v>ENSMUSG00000041426</v>
      </c>
      <c r="I5606" s="7" t="str">
        <f>HYPERLINK("http://www.informatics.jax.org/marker/MGI:1923792","MGI:1923792")</f>
        <v>MGI:1923792</v>
      </c>
      <c r="J5606" s="4" t="s">
        <v>12</v>
      </c>
    </row>
    <row r="5607" spans="1:10" x14ac:dyDescent="0.25">
      <c r="A5607" s="2">
        <v>743.86200056534994</v>
      </c>
      <c r="B5607" s="3">
        <v>-0.51690976692930202</v>
      </c>
      <c r="C5607" s="3">
        <v>7.7181455800480003E-4</v>
      </c>
      <c r="D5607" s="4">
        <v>2.7678709798578298E-3</v>
      </c>
      <c r="E5607" s="3" t="s">
        <v>10142</v>
      </c>
      <c r="F5607" s="3" t="s">
        <v>10143</v>
      </c>
      <c r="G5607" s="3">
        <v>17533</v>
      </c>
      <c r="H5607" s="7" t="str">
        <f>HYPERLINK("http://www.ensembl.org/Mus_musculus/Gene/Summary?db=core;g=ENSMUSG00000026712","ENSMUSG00000026712")</f>
        <v>ENSMUSG00000026712</v>
      </c>
      <c r="I5607" s="7" t="str">
        <f>HYPERLINK("http://www.informatics.jax.org/marker/MGI:97142","MGI:97142")</f>
        <v>MGI:97142</v>
      </c>
      <c r="J5607" s="4" t="s">
        <v>12</v>
      </c>
    </row>
    <row r="5608" spans="1:10" x14ac:dyDescent="0.25">
      <c r="A5608" s="2">
        <v>781.98965829464601</v>
      </c>
      <c r="B5608" s="3">
        <v>-0.51765733994105201</v>
      </c>
      <c r="C5608" s="5">
        <v>6.9276535545859105E-19</v>
      </c>
      <c r="D5608" s="6">
        <v>1.02647549619779E-17</v>
      </c>
      <c r="E5608" s="3" t="s">
        <v>1710</v>
      </c>
      <c r="F5608" s="3" t="s">
        <v>1711</v>
      </c>
      <c r="G5608" s="3">
        <v>68968</v>
      </c>
      <c r="H5608" s="7" t="str">
        <f>HYPERLINK("http://www.ensembl.org/Mus_musculus/Gene/Summary?db=core;g=ENSMUSG00000027284","ENSMUSG00000027284")</f>
        <v>ENSMUSG00000027284</v>
      </c>
      <c r="I5608" s="7" t="str">
        <f>HYPERLINK("http://www.informatics.jax.org/marker/MGI:1916218","MGI:1916218")</f>
        <v>MGI:1916218</v>
      </c>
      <c r="J5608" s="4" t="s">
        <v>12</v>
      </c>
    </row>
    <row r="5609" spans="1:10" x14ac:dyDescent="0.25">
      <c r="A5609" s="2">
        <v>311.45303246562997</v>
      </c>
      <c r="B5609" s="3">
        <v>-0.51783609513544404</v>
      </c>
      <c r="C5609" s="5">
        <v>5.7404731895150896E-6</v>
      </c>
      <c r="D5609" s="6">
        <v>2.9077299577240801E-5</v>
      </c>
      <c r="E5609" s="3" t="s">
        <v>10060</v>
      </c>
      <c r="F5609" s="3" t="s">
        <v>10061</v>
      </c>
      <c r="G5609" s="3">
        <v>544817</v>
      </c>
      <c r="H5609" s="7" t="str">
        <f>HYPERLINK("http://www.ensembl.org/Mus_musculus/Gene/Summary?db=core;g=ENSMUSG00000034255","ENSMUSG00000034255")</f>
        <v>ENSMUSG00000034255</v>
      </c>
      <c r="I5609" s="7" t="str">
        <f>HYPERLINK("http://www.informatics.jax.org/marker/MGI:1916903","MGI:1916903")</f>
        <v>MGI:1916903</v>
      </c>
      <c r="J5609" s="4" t="s">
        <v>12</v>
      </c>
    </row>
    <row r="5610" spans="1:10" x14ac:dyDescent="0.25">
      <c r="A5610" s="2">
        <v>333.30448321582099</v>
      </c>
      <c r="B5610" s="3">
        <v>-0.51822825829324703</v>
      </c>
      <c r="C5610" s="5">
        <v>2.3792214804994499E-7</v>
      </c>
      <c r="D5610" s="6">
        <v>1.4305942422336699E-6</v>
      </c>
      <c r="E5610" s="3" t="s">
        <v>4987</v>
      </c>
      <c r="F5610" s="3" t="s">
        <v>4988</v>
      </c>
      <c r="G5610" s="3">
        <v>110198</v>
      </c>
      <c r="H5610" s="7" t="str">
        <f>HYPERLINK("http://www.ensembl.org/Mus_musculus/Gene/Summary?db=core;g=ENSMUSG00000028743","ENSMUSG00000028743")</f>
        <v>ENSMUSG00000028743</v>
      </c>
      <c r="I5610" s="7" t="str">
        <f>HYPERLINK("http://www.informatics.jax.org/marker/MGI:107796","MGI:107796")</f>
        <v>MGI:107796</v>
      </c>
      <c r="J5610" s="4" t="s">
        <v>12</v>
      </c>
    </row>
    <row r="5611" spans="1:10" x14ac:dyDescent="0.25">
      <c r="A5611" s="2">
        <v>1442.1328176648899</v>
      </c>
      <c r="B5611" s="3">
        <v>-0.51893869946336102</v>
      </c>
      <c r="C5611" s="5">
        <v>1.54200764807906E-27</v>
      </c>
      <c r="D5611" s="6">
        <v>3.44400605223541E-26</v>
      </c>
      <c r="E5611" s="3" t="s">
        <v>1370</v>
      </c>
      <c r="F5611" s="3" t="s">
        <v>1371</v>
      </c>
      <c r="G5611" s="3">
        <v>18749</v>
      </c>
      <c r="H5611" s="7" t="str">
        <f>HYPERLINK("http://www.ensembl.org/Mus_musculus/Gene/Summary?db=core;g=ENSMUSG00000005034","ENSMUSG00000005034")</f>
        <v>ENSMUSG00000005034</v>
      </c>
      <c r="I5611" s="7" t="str">
        <f>HYPERLINK("http://www.informatics.jax.org/marker/MGI:97594","MGI:97594")</f>
        <v>MGI:97594</v>
      </c>
      <c r="J5611" s="4" t="s">
        <v>12</v>
      </c>
    </row>
    <row r="5612" spans="1:10" x14ac:dyDescent="0.25">
      <c r="A5612" s="2">
        <v>72.733517718033497</v>
      </c>
      <c r="B5612" s="3">
        <v>-0.51927342085230499</v>
      </c>
      <c r="C5612" s="3">
        <v>3.6550305660418502E-3</v>
      </c>
      <c r="D5612" s="4">
        <v>1.13596405296918E-2</v>
      </c>
      <c r="E5612" s="3" t="s">
        <v>11597</v>
      </c>
      <c r="F5612" s="3" t="s">
        <v>11598</v>
      </c>
      <c r="G5612" s="3">
        <v>14453</v>
      </c>
      <c r="H5612" s="7" t="str">
        <f>HYPERLINK("http://www.ensembl.org/Mus_musculus/Gene/Summary?db=core;g=ENSMUSG00000030498","ENSMUSG00000030498")</f>
        <v>ENSMUSG00000030498</v>
      </c>
      <c r="I5612" s="7" t="str">
        <f>HYPERLINK("http://www.informatics.jax.org/marker/MGI:95657","MGI:95657")</f>
        <v>MGI:95657</v>
      </c>
      <c r="J5612" s="4" t="s">
        <v>12</v>
      </c>
    </row>
    <row r="5613" spans="1:10" x14ac:dyDescent="0.25">
      <c r="A5613" s="2">
        <v>196.42789325478901</v>
      </c>
      <c r="B5613" s="3">
        <v>-0.51997609556646596</v>
      </c>
      <c r="C5613" s="5">
        <v>3.78330630228927E-7</v>
      </c>
      <c r="D5613" s="6">
        <v>2.22206759133812E-6</v>
      </c>
      <c r="E5613" s="3" t="s">
        <v>4631</v>
      </c>
      <c r="F5613" s="3" t="s">
        <v>4632</v>
      </c>
      <c r="G5613" s="3">
        <v>71911</v>
      </c>
      <c r="H5613" s="7" t="str">
        <f>HYPERLINK("http://www.ensembl.org/Mus_musculus/Gene/Summary?db=core;g=ENSMUSG00000046598","ENSMUSG00000046598")</f>
        <v>ENSMUSG00000046598</v>
      </c>
      <c r="I5613" s="7" t="str">
        <f>HYPERLINK("http://www.informatics.jax.org/marker/MGI:1919161","MGI:1919161")</f>
        <v>MGI:1919161</v>
      </c>
      <c r="J5613" s="4" t="s">
        <v>12</v>
      </c>
    </row>
    <row r="5614" spans="1:10" x14ac:dyDescent="0.25">
      <c r="A5614" s="2">
        <v>174.90072894072901</v>
      </c>
      <c r="B5614" s="3">
        <v>-0.52003050325245903</v>
      </c>
      <c r="C5614" s="5">
        <v>1.6896060867667899E-5</v>
      </c>
      <c r="D5614" s="6">
        <v>7.9836844519898104E-5</v>
      </c>
      <c r="E5614" s="3" t="s">
        <v>6716</v>
      </c>
      <c r="F5614" s="3" t="s">
        <v>6717</v>
      </c>
      <c r="G5614" s="3">
        <v>103268</v>
      </c>
      <c r="H5614" s="7" t="str">
        <f>HYPERLINK("http://www.ensembl.org/Mus_musculus/Gene/Summary?db=core;g=ENSMUSG00000019813","ENSMUSG00000019813")</f>
        <v>ENSMUSG00000019813</v>
      </c>
      <c r="I5614" s="7" t="str">
        <f>HYPERLINK("http://www.informatics.jax.org/marker/MGI:1915511","MGI:1915511")</f>
        <v>MGI:1915511</v>
      </c>
      <c r="J5614" s="4" t="s">
        <v>12</v>
      </c>
    </row>
    <row r="5615" spans="1:10" x14ac:dyDescent="0.25">
      <c r="A5615" s="2">
        <v>431.36873773581902</v>
      </c>
      <c r="B5615" s="3">
        <v>-0.52010730592522103</v>
      </c>
      <c r="C5615" s="5">
        <v>6.3091084518160997E-11</v>
      </c>
      <c r="D5615" s="6">
        <v>5.5016029442271899E-10</v>
      </c>
      <c r="E5615" s="3" t="s">
        <v>7196</v>
      </c>
      <c r="F5615" s="3" t="s">
        <v>7197</v>
      </c>
      <c r="G5615" s="3">
        <v>52665</v>
      </c>
      <c r="H5615" s="7" t="str">
        <f>HYPERLINK("http://www.ensembl.org/Mus_musculus/Gene/Summary?db=core;g=ENSMUSG00000019883","ENSMUSG00000019883")</f>
        <v>ENSMUSG00000019883</v>
      </c>
      <c r="I5615" s="7" t="str">
        <f>HYPERLINK("http://www.informatics.jax.org/marker/MGI:1277169","MGI:1277169")</f>
        <v>MGI:1277169</v>
      </c>
      <c r="J5615" s="4" t="s">
        <v>12</v>
      </c>
    </row>
    <row r="5616" spans="1:10" x14ac:dyDescent="0.25">
      <c r="A5616" s="2">
        <v>183.05640294871</v>
      </c>
      <c r="B5616" s="3">
        <v>-0.52058303384573601</v>
      </c>
      <c r="C5616" s="5">
        <v>1.41023510728884E-6</v>
      </c>
      <c r="D5616" s="6">
        <v>7.7245920634876795E-6</v>
      </c>
      <c r="E5616" s="3" t="s">
        <v>6964</v>
      </c>
      <c r="F5616" s="3" t="s">
        <v>6965</v>
      </c>
      <c r="G5616" s="3">
        <v>269180</v>
      </c>
      <c r="H5616" s="7" t="str">
        <f>HYPERLINK("http://www.ensembl.org/Mus_musculus/Gene/Summary?db=core;g=ENSMUSG00000026113","ENSMUSG00000026113")</f>
        <v>ENSMUSG00000026113</v>
      </c>
      <c r="I5616" s="7" t="str">
        <f>HYPERLINK("http://www.informatics.jax.org/marker/MGI:1931123","MGI:1931123")</f>
        <v>MGI:1931123</v>
      </c>
      <c r="J5616" s="4" t="s">
        <v>12</v>
      </c>
    </row>
    <row r="5617" spans="1:10" x14ac:dyDescent="0.25">
      <c r="A5617" s="2">
        <v>386.96691464720601</v>
      </c>
      <c r="B5617" s="3">
        <v>-0.521143899472713</v>
      </c>
      <c r="C5617" s="5">
        <v>3.64694322044952E-10</v>
      </c>
      <c r="D5617" s="6">
        <v>2.96588755879931E-9</v>
      </c>
      <c r="E5617" s="3" t="s">
        <v>6369</v>
      </c>
      <c r="F5617" s="3" t="s">
        <v>6370</v>
      </c>
      <c r="G5617" s="3">
        <v>23955</v>
      </c>
      <c r="H5617" s="7" t="str">
        <f>HYPERLINK("http://www.ensembl.org/Mus_musculus/Gene/Summary?db=core;g=ENSMUSG00000021918","ENSMUSG00000021918")</f>
        <v>ENSMUSG00000021918</v>
      </c>
      <c r="I5617" s="7" t="str">
        <f>HYPERLINK("http://www.informatics.jax.org/marker/MGI:1344404","MGI:1344404")</f>
        <v>MGI:1344404</v>
      </c>
      <c r="J5617" s="4" t="s">
        <v>12</v>
      </c>
    </row>
    <row r="5618" spans="1:10" x14ac:dyDescent="0.25">
      <c r="A5618" s="2">
        <v>374.21439928854397</v>
      </c>
      <c r="B5618" s="3">
        <v>-0.52129938153086497</v>
      </c>
      <c r="C5618" s="5">
        <v>1.058322181582E-5</v>
      </c>
      <c r="D5618" s="6">
        <v>5.1585776302037899E-5</v>
      </c>
      <c r="E5618" s="3" t="s">
        <v>7712</v>
      </c>
      <c r="F5618" s="3" t="s">
        <v>7713</v>
      </c>
      <c r="G5618" s="3">
        <v>28010</v>
      </c>
      <c r="H5618" s="7" t="str">
        <f>HYPERLINK("http://www.ensembl.org/Mus_musculus/Gene/Summary?db=core;g=ENSMUSG00000029022","ENSMUSG00000029022")</f>
        <v>ENSMUSG00000029022</v>
      </c>
      <c r="I5618" s="7" t="str">
        <f>HYPERLINK("http://www.informatics.jax.org/marker/MGI:106506","MGI:106506")</f>
        <v>MGI:106506</v>
      </c>
      <c r="J5618" s="4" t="s">
        <v>12</v>
      </c>
    </row>
    <row r="5619" spans="1:10" x14ac:dyDescent="0.25">
      <c r="A5619" s="2">
        <v>47.279763230966402</v>
      </c>
      <c r="B5619" s="3">
        <v>-0.52181458053807706</v>
      </c>
      <c r="C5619" s="3">
        <v>4.6055992734050097E-3</v>
      </c>
      <c r="D5619" s="4">
        <v>1.39615846237203E-2</v>
      </c>
      <c r="E5619" s="3" t="s">
        <v>8337</v>
      </c>
      <c r="F5619" s="3" t="s">
        <v>8338</v>
      </c>
      <c r="G5619" s="3">
        <v>15465</v>
      </c>
      <c r="H5619" s="7" t="str">
        <f>HYPERLINK("http://www.ensembl.org/Mus_musculus/Gene/Summary?db=core;g=ENSMUSG00000053004","ENSMUSG00000053004")</f>
        <v>ENSMUSG00000053004</v>
      </c>
      <c r="I5619" s="7" t="str">
        <f>HYPERLINK("http://www.informatics.jax.org/marker/MGI:107619","MGI:107619")</f>
        <v>MGI:107619</v>
      </c>
      <c r="J5619" s="4" t="s">
        <v>12</v>
      </c>
    </row>
    <row r="5620" spans="1:10" x14ac:dyDescent="0.25">
      <c r="A5620" s="2">
        <v>342.35665004912897</v>
      </c>
      <c r="B5620" s="3">
        <v>-0.52186846266991704</v>
      </c>
      <c r="C5620" s="5">
        <v>8.1667945090004098E-11</v>
      </c>
      <c r="D5620" s="6">
        <v>7.0306957924672903E-10</v>
      </c>
      <c r="E5620" s="3" t="s">
        <v>3824</v>
      </c>
      <c r="F5620" s="3" t="s">
        <v>3825</v>
      </c>
      <c r="G5620" s="3">
        <v>19364</v>
      </c>
      <c r="H5620" s="7" t="str">
        <f>HYPERLINK("http://www.ensembl.org/Mus_musculus/Gene/Summary?db=core;g=ENSMUSG00000018841","ENSMUSG00000018841")</f>
        <v>ENSMUSG00000018841</v>
      </c>
      <c r="I5620" s="7" t="str">
        <f>HYPERLINK("http://www.informatics.jax.org/marker/MGI:1261809","MGI:1261809")</f>
        <v>MGI:1261809</v>
      </c>
      <c r="J5620" s="4" t="s">
        <v>12</v>
      </c>
    </row>
    <row r="5621" spans="1:10" x14ac:dyDescent="0.25">
      <c r="A5621" s="2">
        <v>499.76014437193697</v>
      </c>
      <c r="B5621" s="3">
        <v>-0.521995699721155</v>
      </c>
      <c r="C5621" s="5">
        <v>2.3422660728384598E-13</v>
      </c>
      <c r="D5621" s="6">
        <v>2.4876339847016898E-12</v>
      </c>
      <c r="E5621" s="3" t="s">
        <v>3312</v>
      </c>
      <c r="F5621" s="3" t="s">
        <v>3313</v>
      </c>
      <c r="G5621" s="3">
        <v>235132</v>
      </c>
      <c r="H5621" s="7" t="str">
        <f>HYPERLINK("http://www.ensembl.org/Mus_musculus/Gene/Summary?db=core;g=ENSMUSG00000047412","ENSMUSG00000047412")</f>
        <v>ENSMUSG00000047412</v>
      </c>
      <c r="I5621" s="7" t="str">
        <f>HYPERLINK("http://www.informatics.jax.org/marker/MGI:1925123","MGI:1925123")</f>
        <v>MGI:1925123</v>
      </c>
      <c r="J5621" s="4" t="s">
        <v>12</v>
      </c>
    </row>
    <row r="5622" spans="1:10" x14ac:dyDescent="0.25">
      <c r="A5622" s="2">
        <v>309.02617798338298</v>
      </c>
      <c r="B5622" s="3">
        <v>-0.52201270656927201</v>
      </c>
      <c r="C5622" s="5">
        <v>5.0611763086301304E-10</v>
      </c>
      <c r="D5622" s="6">
        <v>4.05450277911139E-9</v>
      </c>
      <c r="E5622" s="3" t="s">
        <v>3692</v>
      </c>
      <c r="F5622" s="3" t="s">
        <v>3693</v>
      </c>
      <c r="G5622" s="3">
        <v>66455</v>
      </c>
      <c r="H5622" s="7" t="str">
        <f>HYPERLINK("http://www.ensembl.org/Mus_musculus/Gene/Summary?db=core;g=ENSMUSG00000036968","ENSMUSG00000036968")</f>
        <v>ENSMUSG00000036968</v>
      </c>
      <c r="I5622" s="7" t="str">
        <f>HYPERLINK("http://www.informatics.jax.org/marker/MGI:1913705","MGI:1913705")</f>
        <v>MGI:1913705</v>
      </c>
      <c r="J5622" s="4" t="s">
        <v>12</v>
      </c>
    </row>
    <row r="5623" spans="1:10" x14ac:dyDescent="0.25">
      <c r="A5623" s="2">
        <v>1062.02767514177</v>
      </c>
      <c r="B5623" s="3">
        <v>-0.52230139420202804</v>
      </c>
      <c r="C5623" s="5">
        <v>2.4086027885790801E-15</v>
      </c>
      <c r="D5623" s="6">
        <v>2.8860477200429903E-14</v>
      </c>
      <c r="E5623" s="3" t="s">
        <v>5041</v>
      </c>
      <c r="F5623" s="3" t="s">
        <v>5042</v>
      </c>
      <c r="G5623" s="3">
        <v>27223</v>
      </c>
      <c r="H5623" s="7" t="str">
        <f>HYPERLINK("http://www.ensembl.org/Mus_musculus/Gene/Summary?db=core;g=ENSMUSG00000043909","ENSMUSG00000043909")</f>
        <v>ENSMUSG00000043909</v>
      </c>
      <c r="I5623" s="7" t="str">
        <f>HYPERLINK("http://www.informatics.jax.org/marker/MGI:1351320","MGI:1351320")</f>
        <v>MGI:1351320</v>
      </c>
      <c r="J5623" s="4" t="s">
        <v>12</v>
      </c>
    </row>
    <row r="5624" spans="1:10" x14ac:dyDescent="0.25">
      <c r="A5624" s="2">
        <v>1345.2965183408201</v>
      </c>
      <c r="B5624" s="3">
        <v>-0.52291256243319695</v>
      </c>
      <c r="C5624" s="5">
        <v>4.0320010054624601E-13</v>
      </c>
      <c r="D5624" s="6">
        <v>4.2110726833554997E-12</v>
      </c>
      <c r="E5624" s="3" t="s">
        <v>2742</v>
      </c>
      <c r="F5624" s="3" t="s">
        <v>2743</v>
      </c>
      <c r="G5624" s="3">
        <v>102442</v>
      </c>
      <c r="H5624" s="7" t="str">
        <f>HYPERLINK("http://www.ensembl.org/Mus_musculus/Gene/Summary?db=core;g=ENSMUSG00000053641","ENSMUSG00000053641")</f>
        <v>ENSMUSG00000053641</v>
      </c>
      <c r="I5624" s="7" t="str">
        <f>HYPERLINK("http://www.informatics.jax.org/marker/MGI:2142979","MGI:2142979")</f>
        <v>MGI:2142979</v>
      </c>
      <c r="J5624" s="4" t="s">
        <v>12</v>
      </c>
    </row>
    <row r="5625" spans="1:10" x14ac:dyDescent="0.25">
      <c r="A5625" s="2">
        <v>56.7744683196766</v>
      </c>
      <c r="B5625" s="3">
        <v>-0.52299904395959096</v>
      </c>
      <c r="C5625" s="3">
        <v>4.3634149273752204E-3</v>
      </c>
      <c r="D5625" s="4">
        <v>1.3311556252329E-2</v>
      </c>
      <c r="E5625" s="3" t="s">
        <v>9069</v>
      </c>
      <c r="F5625" s="3" t="s">
        <v>9070</v>
      </c>
      <c r="G5625" s="3">
        <v>14349</v>
      </c>
      <c r="H5625" s="7" t="str">
        <f>HYPERLINK("http://www.ensembl.org/Mus_musculus/Gene/Summary?db=core;g=ENSMUSG00000070583","ENSMUSG00000070583")</f>
        <v>ENSMUSG00000070583</v>
      </c>
      <c r="I5625" s="7" t="str">
        <f>HYPERLINK("http://www.informatics.jax.org/marker/MGI:95595","MGI:95595")</f>
        <v>MGI:95595</v>
      </c>
      <c r="J5625" s="4" t="s">
        <v>12</v>
      </c>
    </row>
    <row r="5626" spans="1:10" x14ac:dyDescent="0.25">
      <c r="A5626" s="2">
        <v>335.041014682168</v>
      </c>
      <c r="B5626" s="3">
        <v>-0.523249659341538</v>
      </c>
      <c r="C5626" s="5">
        <v>2.7399271685438699E-10</v>
      </c>
      <c r="D5626" s="6">
        <v>2.25848813417965E-9</v>
      </c>
      <c r="E5626" s="3" t="s">
        <v>4875</v>
      </c>
      <c r="F5626" s="3" t="s">
        <v>4876</v>
      </c>
      <c r="G5626" s="3">
        <v>100972</v>
      </c>
      <c r="H5626" s="7" t="str">
        <f>HYPERLINK("http://www.ensembl.org/Mus_musculus/Gene/Summary?db=core;g=ENSMUSG00000029128","ENSMUSG00000029128")</f>
        <v>ENSMUSG00000029128</v>
      </c>
      <c r="I5626" s="7" t="str">
        <f>HYPERLINK("http://www.informatics.jax.org/marker/MGI:1917285","MGI:1917285")</f>
        <v>MGI:1917285</v>
      </c>
      <c r="J5626" s="4" t="s">
        <v>12</v>
      </c>
    </row>
    <row r="5627" spans="1:10" x14ac:dyDescent="0.25">
      <c r="A5627" s="2">
        <v>448.93321076429299</v>
      </c>
      <c r="B5627" s="3">
        <v>-0.523348094195347</v>
      </c>
      <c r="C5627" s="5">
        <v>2.6013917738345598E-13</v>
      </c>
      <c r="D5627" s="6">
        <v>2.7500211762259199E-12</v>
      </c>
      <c r="E5627" s="3" t="s">
        <v>3668</v>
      </c>
      <c r="F5627" s="3" t="s">
        <v>3669</v>
      </c>
      <c r="G5627" s="3">
        <v>67487</v>
      </c>
      <c r="H5627" s="7" t="str">
        <f>HYPERLINK("http://www.ensembl.org/Mus_musculus/Gene/Summary?db=core;g=ENSMUSG00000018425","ENSMUSG00000018425")</f>
        <v>ENSMUSG00000018425</v>
      </c>
      <c r="I5627" s="7" t="str">
        <f>HYPERLINK("http://www.informatics.jax.org/marker/MGI:1914737","MGI:1914737")</f>
        <v>MGI:1914737</v>
      </c>
      <c r="J5627" s="4" t="s">
        <v>12</v>
      </c>
    </row>
    <row r="5628" spans="1:10" x14ac:dyDescent="0.25">
      <c r="A5628" s="2">
        <v>83.9997528007585</v>
      </c>
      <c r="B5628" s="3">
        <v>-0.52370133328457502</v>
      </c>
      <c r="C5628" s="3">
        <v>2.62284597455312E-4</v>
      </c>
      <c r="D5628" s="4">
        <v>1.0190016603332001E-3</v>
      </c>
      <c r="E5628" s="3" t="s">
        <v>10024</v>
      </c>
      <c r="F5628" s="3" t="s">
        <v>10025</v>
      </c>
      <c r="G5628" s="3">
        <v>217140</v>
      </c>
      <c r="H5628" s="7" t="str">
        <f>HYPERLINK("http://www.ensembl.org/Mus_musculus/Gene/Summary?db=core;g=ENSMUSG00000020877","ENSMUSG00000020877")</f>
        <v>ENSMUSG00000020877</v>
      </c>
      <c r="I5628" s="7" t="str">
        <f>HYPERLINK("http://www.informatics.jax.org/marker/MGI:1343092","MGI:1343092")</f>
        <v>MGI:1343092</v>
      </c>
      <c r="J5628" s="4" t="s">
        <v>12</v>
      </c>
    </row>
    <row r="5629" spans="1:10" x14ac:dyDescent="0.25">
      <c r="A5629" s="2">
        <v>291.83241310660799</v>
      </c>
      <c r="B5629" s="3">
        <v>-0.52375507972632596</v>
      </c>
      <c r="C5629" s="5">
        <v>9.4110196994653795E-10</v>
      </c>
      <c r="D5629" s="6">
        <v>7.3172284139401302E-9</v>
      </c>
      <c r="E5629" s="3" t="s">
        <v>4049</v>
      </c>
      <c r="F5629" s="3" t="s">
        <v>4050</v>
      </c>
      <c r="G5629" s="3">
        <v>67824</v>
      </c>
      <c r="H5629" s="7" t="str">
        <f>HYPERLINK("http://www.ensembl.org/Mus_musculus/Gene/Summary?db=core;g=ENSMUSG00000063445","ENSMUSG00000063445")</f>
        <v>ENSMUSG00000063445</v>
      </c>
      <c r="I5629" s="7" t="str">
        <f>HYPERLINK("http://www.informatics.jax.org/marker/MGI:1915074","MGI:1915074")</f>
        <v>MGI:1915074</v>
      </c>
      <c r="J5629" s="4" t="s">
        <v>12</v>
      </c>
    </row>
    <row r="5630" spans="1:10" x14ac:dyDescent="0.25">
      <c r="A5630" s="2">
        <v>232.316783230434</v>
      </c>
      <c r="B5630" s="3">
        <v>-0.52395972914806899</v>
      </c>
      <c r="C5630" s="5">
        <v>7.3366164613447395E-8</v>
      </c>
      <c r="D5630" s="6">
        <v>4.65077686984375E-7</v>
      </c>
      <c r="E5630" s="3" t="s">
        <v>3588</v>
      </c>
      <c r="F5630" s="3" t="s">
        <v>3589</v>
      </c>
      <c r="G5630" s="3">
        <v>66578</v>
      </c>
      <c r="H5630" s="7" t="str">
        <f>HYPERLINK("http://www.ensembl.org/Mus_musculus/Gene/Summary?db=core;g=ENSMUSG00000022978","ENSMUSG00000022978")</f>
        <v>ENSMUSG00000022978</v>
      </c>
      <c r="I5630" s="7" t="str">
        <f>HYPERLINK("http://www.informatics.jax.org/marker/MGI:1913828","MGI:1913828")</f>
        <v>MGI:1913828</v>
      </c>
      <c r="J5630" s="4" t="s">
        <v>12</v>
      </c>
    </row>
    <row r="5631" spans="1:10" x14ac:dyDescent="0.25">
      <c r="A5631" s="2">
        <v>335.64404504947998</v>
      </c>
      <c r="B5631" s="3">
        <v>-0.52399754448841096</v>
      </c>
      <c r="C5631" s="5">
        <v>2.5356118734738302E-10</v>
      </c>
      <c r="D5631" s="6">
        <v>2.0976634768071099E-9</v>
      </c>
      <c r="E5631" s="3" t="s">
        <v>6155</v>
      </c>
      <c r="F5631" s="3" t="s">
        <v>6156</v>
      </c>
      <c r="G5631" s="3">
        <v>56695</v>
      </c>
      <c r="H5631" s="7" t="str">
        <f>HYPERLINK("http://www.ensembl.org/Mus_musculus/Gene/Summary?db=core;g=ENSMUSG00000026179","ENSMUSG00000026179")</f>
        <v>ENSMUSG00000026179</v>
      </c>
      <c r="I5631" s="7" t="str">
        <f>HYPERLINK("http://www.informatics.jax.org/marker/MGI:1930773","MGI:1930773")</f>
        <v>MGI:1930773</v>
      </c>
      <c r="J5631" s="4" t="s">
        <v>12</v>
      </c>
    </row>
    <row r="5632" spans="1:10" x14ac:dyDescent="0.25">
      <c r="A5632" s="2">
        <v>782.48083293292098</v>
      </c>
      <c r="B5632" s="3">
        <v>-0.524107369995918</v>
      </c>
      <c r="C5632" s="5">
        <v>3.0146916652367602E-18</v>
      </c>
      <c r="D5632" s="6">
        <v>4.32279745074271E-17</v>
      </c>
      <c r="E5632" s="3" t="s">
        <v>1398</v>
      </c>
      <c r="F5632" s="3" t="s">
        <v>1399</v>
      </c>
      <c r="G5632" s="3">
        <v>277854</v>
      </c>
      <c r="H5632" s="7" t="str">
        <f>HYPERLINK("http://www.ensembl.org/Mus_musculus/Gene/Summary?db=core;g=ENSMUSG00000037426","ENSMUSG00000037426")</f>
        <v>ENSMUSG00000037426</v>
      </c>
      <c r="I5632" s="7" t="str">
        <f>HYPERLINK("http://www.informatics.jax.org/marker/MGI:2141101","MGI:2141101")</f>
        <v>MGI:2141101</v>
      </c>
      <c r="J5632" s="4" t="s">
        <v>12</v>
      </c>
    </row>
    <row r="5633" spans="1:10" x14ac:dyDescent="0.25">
      <c r="A5633" s="2">
        <v>536.643763508711</v>
      </c>
      <c r="B5633" s="3">
        <v>-0.52425915858085204</v>
      </c>
      <c r="C5633" s="5">
        <v>9.8130284683072803E-9</v>
      </c>
      <c r="D5633" s="6">
        <v>6.8443338627975597E-8</v>
      </c>
      <c r="E5633" s="3" t="s">
        <v>6353</v>
      </c>
      <c r="F5633" s="3" t="s">
        <v>6354</v>
      </c>
      <c r="G5633" s="3">
        <v>70549</v>
      </c>
      <c r="H5633" s="7" t="str">
        <f>HYPERLINK("http://www.ensembl.org/Mus_musculus/Gene/Summary?db=core;g=ENSMUSG00000052698","ENSMUSG00000052698")</f>
        <v>ENSMUSG00000052698</v>
      </c>
      <c r="I5633" s="7" t="str">
        <f>HYPERLINK("http://www.informatics.jax.org/marker/MGI:1917799","MGI:1917799")</f>
        <v>MGI:1917799</v>
      </c>
      <c r="J5633" s="4" t="s">
        <v>12</v>
      </c>
    </row>
    <row r="5634" spans="1:10" x14ac:dyDescent="0.25">
      <c r="A5634" s="2">
        <v>23.008476573143099</v>
      </c>
      <c r="B5634" s="3">
        <v>-0.52451665777718004</v>
      </c>
      <c r="C5634" s="3">
        <v>1.7798694360321499E-2</v>
      </c>
      <c r="D5634" s="4">
        <v>4.6659064649927001E-2</v>
      </c>
      <c r="E5634" s="3" t="s">
        <v>13987</v>
      </c>
      <c r="F5634" s="3" t="s">
        <v>13988</v>
      </c>
      <c r="G5634" s="3">
        <v>96957</v>
      </c>
      <c r="H5634" s="7" t="str">
        <f>HYPERLINK("http://www.ensembl.org/Mus_musculus/Gene/Summary?db=core;g=ENSMUSG00000054484","ENSMUSG00000054484")</f>
        <v>ENSMUSG00000054484</v>
      </c>
      <c r="I5634" s="7" t="str">
        <f>HYPERLINK("http://www.informatics.jax.org/marker/MGI:2139461","MGI:2139461")</f>
        <v>MGI:2139461</v>
      </c>
      <c r="J5634" s="4" t="s">
        <v>12</v>
      </c>
    </row>
    <row r="5635" spans="1:10" x14ac:dyDescent="0.25">
      <c r="A5635" s="2">
        <v>612.283756491124</v>
      </c>
      <c r="B5635" s="3">
        <v>-0.52578863960931399</v>
      </c>
      <c r="C5635" s="5">
        <v>1.15945017972201E-12</v>
      </c>
      <c r="D5635" s="6">
        <v>1.16748403748415E-11</v>
      </c>
      <c r="E5635" s="3" t="s">
        <v>4283</v>
      </c>
      <c r="F5635" s="3" t="s">
        <v>4284</v>
      </c>
      <c r="G5635" s="3">
        <v>84113</v>
      </c>
      <c r="H5635" s="7" t="str">
        <f>HYPERLINK("http://www.ensembl.org/Mus_musculus/Gene/Summary?db=core;g=ENSMUSG00000038502","ENSMUSG00000038502")</f>
        <v>ENSMUSG00000038502</v>
      </c>
      <c r="I5635" s="7" t="str">
        <f>HYPERLINK("http://www.informatics.jax.org/marker/MGI:1933946","MGI:1933946")</f>
        <v>MGI:1933946</v>
      </c>
      <c r="J5635" s="4" t="s">
        <v>12</v>
      </c>
    </row>
    <row r="5636" spans="1:10" x14ac:dyDescent="0.25">
      <c r="A5636" s="2">
        <v>471.304287516957</v>
      </c>
      <c r="B5636" s="3">
        <v>-0.52581496278916295</v>
      </c>
      <c r="C5636" s="5">
        <v>8.80821734917594E-19</v>
      </c>
      <c r="D5636" s="6">
        <v>1.2956397190373801E-17</v>
      </c>
      <c r="E5636" s="3" t="s">
        <v>1208</v>
      </c>
      <c r="F5636" s="3" t="s">
        <v>1209</v>
      </c>
      <c r="G5636" s="3">
        <v>100502698</v>
      </c>
      <c r="H5636" s="7" t="str">
        <f>HYPERLINK("http://www.ensembl.org/Mus_musculus/Gene/Summary?db=core;g=ENSMUSG00000035629","ENSMUSG00000035629")</f>
        <v>ENSMUSG00000035629</v>
      </c>
      <c r="I5636" s="7" t="str">
        <f>HYPERLINK("http://www.informatics.jax.org/marker/MGI:1915160","MGI:1915160")</f>
        <v>MGI:1915160</v>
      </c>
      <c r="J5636" s="4" t="s">
        <v>12</v>
      </c>
    </row>
    <row r="5637" spans="1:10" x14ac:dyDescent="0.25">
      <c r="A5637" s="2">
        <v>874.42269651300103</v>
      </c>
      <c r="B5637" s="3">
        <v>-0.52595347172184104</v>
      </c>
      <c r="C5637" s="5">
        <v>6.0695940119812003E-7</v>
      </c>
      <c r="D5637" s="6">
        <v>3.4557435447784201E-6</v>
      </c>
      <c r="E5637" s="3" t="s">
        <v>7276</v>
      </c>
      <c r="F5637" s="3" t="s">
        <v>7277</v>
      </c>
      <c r="G5637" s="3">
        <v>215335</v>
      </c>
      <c r="H5637" s="7" t="str">
        <f>HYPERLINK("http://www.ensembl.org/Mus_musculus/Gene/Summary?db=core;g=ENSMUSG00000020261","ENSMUSG00000020261")</f>
        <v>ENSMUSG00000020261</v>
      </c>
      <c r="I5637" s="7" t="str">
        <f>HYPERLINK("http://www.informatics.jax.org/marker/MGI:2445299","MGI:2445299")</f>
        <v>MGI:2445299</v>
      </c>
      <c r="J5637" s="4" t="s">
        <v>12</v>
      </c>
    </row>
    <row r="5638" spans="1:10" x14ac:dyDescent="0.25">
      <c r="A5638" s="2">
        <v>1647.98511479285</v>
      </c>
      <c r="B5638" s="3">
        <v>-0.52691426643230699</v>
      </c>
      <c r="C5638" s="5">
        <v>6.9178432254112503E-12</v>
      </c>
      <c r="D5638" s="6">
        <v>6.5122775197892605E-11</v>
      </c>
      <c r="E5638" s="3" t="s">
        <v>4495</v>
      </c>
      <c r="F5638" s="3" t="s">
        <v>4496</v>
      </c>
      <c r="G5638" s="3">
        <v>14797</v>
      </c>
      <c r="H5638" s="7" t="str">
        <f>HYPERLINK("http://www.ensembl.org/Mus_musculus/Gene/Summary?db=core;g=ENSMUSG00000054452","ENSMUSG00000054452")</f>
        <v>ENSMUSG00000054452</v>
      </c>
      <c r="I5638" s="7" t="str">
        <f>HYPERLINK("http://www.informatics.jax.org/marker/MGI:95806","MGI:95806")</f>
        <v>MGI:95806</v>
      </c>
      <c r="J5638" s="4" t="s">
        <v>12</v>
      </c>
    </row>
    <row r="5639" spans="1:10" x14ac:dyDescent="0.25">
      <c r="A5639" s="2">
        <v>133.54986295303499</v>
      </c>
      <c r="B5639" s="3">
        <v>-0.52727912274152799</v>
      </c>
      <c r="C5639" s="5">
        <v>8.6162234975233298E-7</v>
      </c>
      <c r="D5639" s="6">
        <v>4.8228093747654401E-6</v>
      </c>
      <c r="E5639" s="3" t="s">
        <v>8147</v>
      </c>
      <c r="F5639" s="3" t="s">
        <v>8148</v>
      </c>
      <c r="G5639" s="3">
        <v>14708</v>
      </c>
      <c r="H5639" s="7" t="str">
        <f>HYPERLINK("http://www.ensembl.org/Mus_musculus/Gene/Summary?db=core;g=ENSMUSG00000048240","ENSMUSG00000048240")</f>
        <v>ENSMUSG00000048240</v>
      </c>
      <c r="I5639" s="7" t="str">
        <f>HYPERLINK("http://www.informatics.jax.org/marker/MGI:95787","MGI:95787")</f>
        <v>MGI:95787</v>
      </c>
      <c r="J5639" s="4" t="s">
        <v>12</v>
      </c>
    </row>
    <row r="5640" spans="1:10" x14ac:dyDescent="0.25">
      <c r="A5640" s="2">
        <v>13.9871996345992</v>
      </c>
      <c r="B5640" s="3">
        <v>-0.52752556328509204</v>
      </c>
      <c r="C5640" s="3">
        <v>5.1714447638852398E-2</v>
      </c>
      <c r="D5640" s="4">
        <v>0.11740107227430099</v>
      </c>
      <c r="E5640" s="3" t="s">
        <v>12689</v>
      </c>
      <c r="F5640" s="3" t="s">
        <v>12690</v>
      </c>
      <c r="G5640" s="3">
        <v>13394</v>
      </c>
      <c r="H5640" s="7" t="str">
        <f>HYPERLINK("http://www.ensembl.org/Mus_musculus/Gene/Summary?db=core;g=ENSMUSG00000020871","ENSMUSG00000020871")</f>
        <v>ENSMUSG00000020871</v>
      </c>
      <c r="I5640" s="7" t="str">
        <f>HYPERLINK("http://www.informatics.jax.org/marker/MGI:94904","MGI:94904")</f>
        <v>MGI:94904</v>
      </c>
      <c r="J5640" s="4" t="s">
        <v>12</v>
      </c>
    </row>
    <row r="5641" spans="1:10" x14ac:dyDescent="0.25">
      <c r="A5641" s="2">
        <v>275.31511540619101</v>
      </c>
      <c r="B5641" s="3">
        <v>-0.52767602407673897</v>
      </c>
      <c r="C5641" s="3">
        <v>1.2382226119337199E-4</v>
      </c>
      <c r="D5641" s="4">
        <v>5.0894467980360902E-4</v>
      </c>
      <c r="E5641" s="3" t="s">
        <v>10038</v>
      </c>
      <c r="F5641" s="3" t="s">
        <v>10039</v>
      </c>
      <c r="G5641" s="3">
        <v>68948</v>
      </c>
      <c r="H5641" s="7" t="str">
        <f>HYPERLINK("http://www.ensembl.org/Mus_musculus/Gene/Summary?db=core;g=ENSMUSG00000029463","ENSMUSG00000029463")</f>
        <v>ENSMUSG00000029463</v>
      </c>
      <c r="I5641" s="7" t="str">
        <f>HYPERLINK("http://www.informatics.jax.org/marker/MGI:1916198","MGI:1916198")</f>
        <v>MGI:1916198</v>
      </c>
      <c r="J5641" s="4" t="s">
        <v>12</v>
      </c>
    </row>
    <row r="5642" spans="1:10" x14ac:dyDescent="0.25">
      <c r="A5642" s="2">
        <v>168.91561387190899</v>
      </c>
      <c r="B5642" s="3">
        <v>-0.52773599905464397</v>
      </c>
      <c r="C5642" s="5">
        <v>2.1071933740725101E-8</v>
      </c>
      <c r="D5642" s="6">
        <v>1.4186774747865299E-7</v>
      </c>
      <c r="E5642" s="3" t="s">
        <v>3272</v>
      </c>
      <c r="F5642" s="3" t="s">
        <v>3273</v>
      </c>
      <c r="G5642" s="3">
        <v>70925</v>
      </c>
      <c r="H5642" s="7" t="str">
        <f>HYPERLINK("http://www.ensembl.org/Mus_musculus/Gene/Summary?db=core;g=ENSMUSG00000038069","ENSMUSG00000038069")</f>
        <v>ENSMUSG00000038069</v>
      </c>
      <c r="I5642" s="7" t="str">
        <f>HYPERLINK("http://www.informatics.jax.org/marker/MGI:1918175","MGI:1918175")</f>
        <v>MGI:1918175</v>
      </c>
      <c r="J5642" s="4" t="s">
        <v>12</v>
      </c>
    </row>
    <row r="5643" spans="1:10" x14ac:dyDescent="0.25">
      <c r="A5643" s="2">
        <v>501.98203816370699</v>
      </c>
      <c r="B5643" s="3">
        <v>-0.52783674513262002</v>
      </c>
      <c r="C5643" s="5">
        <v>1.64040634999936E-7</v>
      </c>
      <c r="D5643" s="6">
        <v>1.0049212009659999E-6</v>
      </c>
      <c r="E5643" s="3" t="s">
        <v>6836</v>
      </c>
      <c r="F5643" s="3" t="s">
        <v>6837</v>
      </c>
      <c r="G5643" s="3">
        <v>105835</v>
      </c>
      <c r="H5643" s="7" t="str">
        <f>HYPERLINK("http://www.ensembl.org/Mus_musculus/Gene/Summary?db=core;g=ENSMUSG00000042303","ENSMUSG00000042303")</f>
        <v>ENSMUSG00000042303</v>
      </c>
      <c r="I5643" s="7" t="str">
        <f>HYPERLINK("http://www.informatics.jax.org/marker/MGI:1916329","MGI:1916329")</f>
        <v>MGI:1916329</v>
      </c>
      <c r="J5643" s="4" t="s">
        <v>12</v>
      </c>
    </row>
    <row r="5644" spans="1:10" x14ac:dyDescent="0.25">
      <c r="A5644" s="2">
        <v>2556.8911816516502</v>
      </c>
      <c r="B5644" s="3">
        <v>-0.52810988847409301</v>
      </c>
      <c r="C5644" s="5">
        <v>4.2377559490264297E-8</v>
      </c>
      <c r="D5644" s="6">
        <v>2.7426527759590398E-7</v>
      </c>
      <c r="E5644" s="3" t="s">
        <v>3818</v>
      </c>
      <c r="F5644" s="3" t="s">
        <v>3819</v>
      </c>
      <c r="G5644" s="3">
        <v>72043</v>
      </c>
      <c r="H5644" s="7" t="str">
        <f>HYPERLINK("http://www.ensembl.org/Mus_musculus/Gene/Summary?db=core;g=ENSMUSG00000006800","ENSMUSG00000006800")</f>
        <v>ENSMUSG00000006800</v>
      </c>
      <c r="I5644" s="7" t="str">
        <f>HYPERLINK("http://www.informatics.jax.org/marker/MGI:1919293","MGI:1919293")</f>
        <v>MGI:1919293</v>
      </c>
      <c r="J5644" s="4" t="s">
        <v>12</v>
      </c>
    </row>
    <row r="5645" spans="1:10" x14ac:dyDescent="0.25">
      <c r="A5645" s="2">
        <v>966.64003647646905</v>
      </c>
      <c r="B5645" s="3">
        <v>-0.52829624462539904</v>
      </c>
      <c r="C5645" s="5">
        <v>6.3075533771233796E-16</v>
      </c>
      <c r="D5645" s="6">
        <v>7.8682519026744401E-15</v>
      </c>
      <c r="E5645" s="3" t="s">
        <v>4543</v>
      </c>
      <c r="F5645" s="3" t="s">
        <v>4544</v>
      </c>
      <c r="G5645" s="3">
        <v>67914</v>
      </c>
      <c r="H5645" s="7" t="str">
        <f>HYPERLINK("http://www.ensembl.org/Mus_musculus/Gene/Summary?db=core;g=ENSMUSG00000031782","ENSMUSG00000031782")</f>
        <v>ENSMUSG00000031782</v>
      </c>
      <c r="I5645" s="7" t="str">
        <f>HYPERLINK("http://www.informatics.jax.org/marker/MGI:1915164","MGI:1915164")</f>
        <v>MGI:1915164</v>
      </c>
      <c r="J5645" s="4" t="s">
        <v>12</v>
      </c>
    </row>
    <row r="5646" spans="1:10" x14ac:dyDescent="0.25">
      <c r="A5646" s="2">
        <v>270.46088805107598</v>
      </c>
      <c r="B5646" s="3">
        <v>-0.52855398490384597</v>
      </c>
      <c r="C5646" s="5">
        <v>6.2573497975953999E-7</v>
      </c>
      <c r="D5646" s="6">
        <v>3.5559775510189002E-6</v>
      </c>
      <c r="E5646" s="3" t="s">
        <v>7452</v>
      </c>
      <c r="F5646" s="3" t="s">
        <v>7453</v>
      </c>
      <c r="G5646" s="3">
        <v>331487</v>
      </c>
      <c r="H5646" s="7" t="str">
        <f>HYPERLINK("http://www.ensembl.org/Mus_musculus/Gene/Summary?db=core;g=ENSMUSG00000073016","ENSMUSG00000073016")</f>
        <v>ENSMUSG00000073016</v>
      </c>
      <c r="I5646" s="7" t="str">
        <f>HYPERLINK("http://www.informatics.jax.org/marker/MGI:2685620","MGI:2685620")</f>
        <v>MGI:2685620</v>
      </c>
      <c r="J5646" s="4" t="s">
        <v>12</v>
      </c>
    </row>
    <row r="5647" spans="1:10" x14ac:dyDescent="0.25">
      <c r="A5647" s="2">
        <v>872.21713199434305</v>
      </c>
      <c r="B5647" s="3">
        <v>-0.53006445119204204</v>
      </c>
      <c r="C5647" s="5">
        <v>6.1469315629788803E-22</v>
      </c>
      <c r="D5647" s="6">
        <v>1.06086958082661E-20</v>
      </c>
      <c r="E5647" s="3" t="s">
        <v>1242</v>
      </c>
      <c r="F5647" s="3" t="s">
        <v>1243</v>
      </c>
      <c r="G5647" s="3">
        <v>66622</v>
      </c>
      <c r="H5647" s="7" t="str">
        <f>HYPERLINK("http://www.ensembl.org/Mus_musculus/Gene/Summary?db=core;g=ENSMUSG00000041712","ENSMUSG00000041712")</f>
        <v>ENSMUSG00000041712</v>
      </c>
      <c r="I5647" s="7" t="str">
        <f>HYPERLINK("http://www.informatics.jax.org/marker/MGI:1913872","MGI:1913872")</f>
        <v>MGI:1913872</v>
      </c>
      <c r="J5647" s="4" t="s">
        <v>12</v>
      </c>
    </row>
    <row r="5648" spans="1:10" x14ac:dyDescent="0.25">
      <c r="A5648" s="2">
        <v>238.17501102565001</v>
      </c>
      <c r="B5648" s="3">
        <v>-0.53031107451770798</v>
      </c>
      <c r="C5648" s="5">
        <v>1.8737286732573101E-6</v>
      </c>
      <c r="D5648" s="6">
        <v>1.0082286705082501E-5</v>
      </c>
      <c r="E5648" s="3" t="s">
        <v>11028</v>
      </c>
      <c r="F5648" s="3" t="s">
        <v>11029</v>
      </c>
      <c r="G5648" s="3">
        <v>72522</v>
      </c>
      <c r="H5648" s="7" t="str">
        <f>HYPERLINK("http://www.ensembl.org/Mus_musculus/Gene/Summary?db=core;g=ENSMUSG00000048997","ENSMUSG00000048997")</f>
        <v>ENSMUSG00000048997</v>
      </c>
      <c r="I5648" s="7" t="str">
        <f>HYPERLINK("http://www.informatics.jax.org/marker/MGI:1919772","MGI:1919772")</f>
        <v>MGI:1919772</v>
      </c>
      <c r="J5648" s="4" t="s">
        <v>12</v>
      </c>
    </row>
    <row r="5649" spans="1:10" x14ac:dyDescent="0.25">
      <c r="A5649" s="2">
        <v>67.775050951404296</v>
      </c>
      <c r="B5649" s="3">
        <v>-0.530630650044982</v>
      </c>
      <c r="C5649" s="3">
        <v>5.3824846953367503E-4</v>
      </c>
      <c r="D5649" s="4">
        <v>1.9901761731083798E-3</v>
      </c>
      <c r="E5649" s="3" t="s">
        <v>8159</v>
      </c>
      <c r="F5649" s="3" t="s">
        <v>8160</v>
      </c>
      <c r="G5649" s="3">
        <v>654470</v>
      </c>
      <c r="H5649" s="7" t="str">
        <f>HYPERLINK("http://www.ensembl.org/Mus_musculus/Gene/Summary?db=core;g=ENSMUSG00000038593","ENSMUSG00000038593")</f>
        <v>ENSMUSG00000038593</v>
      </c>
      <c r="I5649" s="7" t="str">
        <f>HYPERLINK("http://www.informatics.jax.org/marker/MGI:3603820","MGI:3603820")</f>
        <v>MGI:3603820</v>
      </c>
      <c r="J5649" s="4" t="s">
        <v>12</v>
      </c>
    </row>
    <row r="5650" spans="1:10" x14ac:dyDescent="0.25">
      <c r="A5650" s="2">
        <v>110.21865283414201</v>
      </c>
      <c r="B5650" s="3">
        <v>-0.53142427722772501</v>
      </c>
      <c r="C5650" s="5">
        <v>8.4012136900965808E-6</v>
      </c>
      <c r="D5650" s="6">
        <v>4.15501002719159E-5</v>
      </c>
      <c r="E5650" s="3" t="s">
        <v>9405</v>
      </c>
      <c r="F5650" s="3" t="s">
        <v>9406</v>
      </c>
      <c r="G5650" s="3">
        <v>214580</v>
      </c>
      <c r="H5650" s="7" t="str">
        <f>HYPERLINK("http://www.ensembl.org/Mus_musculus/Gene/Summary?db=core;g=ENSMUSG00000063179","ENSMUSG00000063179")</f>
        <v>ENSMUSG00000063179</v>
      </c>
      <c r="I5650" s="7" t="str">
        <f>HYPERLINK("http://www.informatics.jax.org/marker/MGI:2685945","MGI:2685945")</f>
        <v>MGI:2685945</v>
      </c>
      <c r="J5650" s="4" t="s">
        <v>12</v>
      </c>
    </row>
    <row r="5651" spans="1:10" x14ac:dyDescent="0.25">
      <c r="A5651" s="2">
        <v>3113.5890079608998</v>
      </c>
      <c r="B5651" s="3">
        <v>-0.53154512241562701</v>
      </c>
      <c r="C5651" s="5">
        <v>4.5488501813224299E-12</v>
      </c>
      <c r="D5651" s="6">
        <v>4.3450101967820403E-11</v>
      </c>
      <c r="E5651" s="3" t="s">
        <v>2547</v>
      </c>
      <c r="F5651" s="3" t="s">
        <v>2548</v>
      </c>
      <c r="G5651" s="3">
        <v>17865</v>
      </c>
      <c r="H5651" s="7" t="str">
        <f>HYPERLINK("http://www.ensembl.org/Mus_musculus/Gene/Summary?db=core;g=ENSMUSG00000017861","ENSMUSG00000017861")</f>
        <v>ENSMUSG00000017861</v>
      </c>
      <c r="I5651" s="7" t="str">
        <f>HYPERLINK("http://www.informatics.jax.org/marker/MGI:101785","MGI:101785")</f>
        <v>MGI:101785</v>
      </c>
      <c r="J5651" s="4" t="s">
        <v>12</v>
      </c>
    </row>
    <row r="5652" spans="1:10" x14ac:dyDescent="0.25">
      <c r="A5652" s="2">
        <v>203.49055646974</v>
      </c>
      <c r="B5652" s="3">
        <v>-0.53177396326982995</v>
      </c>
      <c r="C5652" s="5">
        <v>4.12426982093296E-6</v>
      </c>
      <c r="D5652" s="6">
        <v>2.1293149429604301E-5</v>
      </c>
      <c r="E5652" s="3" t="s">
        <v>10028</v>
      </c>
      <c r="F5652" s="3" t="s">
        <v>10029</v>
      </c>
      <c r="G5652" s="3">
        <v>381319</v>
      </c>
      <c r="H5652" s="7" t="str">
        <f>HYPERLINK("http://www.ensembl.org/Mus_musculus/Gene/Summary?db=core;g=ENSMUSG00000026630","ENSMUSG00000026630")</f>
        <v>ENSMUSG00000026630</v>
      </c>
      <c r="I5652" s="7" t="str">
        <f>HYPERLINK("http://www.informatics.jax.org/marker/MGI:1925491","MGI:1925491")</f>
        <v>MGI:1925491</v>
      </c>
      <c r="J5652" s="4" t="s">
        <v>12</v>
      </c>
    </row>
    <row r="5653" spans="1:10" x14ac:dyDescent="0.25">
      <c r="A5653" s="2">
        <v>190.62425938830901</v>
      </c>
      <c r="B5653" s="3">
        <v>-0.53231147591890704</v>
      </c>
      <c r="C5653" s="3">
        <v>1.7893421526177799E-3</v>
      </c>
      <c r="D5653" s="4">
        <v>5.98802069986393E-3</v>
      </c>
      <c r="E5653" s="3" t="s">
        <v>11825</v>
      </c>
      <c r="F5653" s="3" t="s">
        <v>11826</v>
      </c>
      <c r="G5653" s="3">
        <v>53885</v>
      </c>
      <c r="H5653" s="7" t="str">
        <f>HYPERLINK("http://www.ensembl.org/Mus_musculus/Gene/Summary?db=core;g=ENSMUSG00000027378","ENSMUSG00000027378")</f>
        <v>ENSMUSG00000027378</v>
      </c>
      <c r="I5653" s="7" t="str">
        <f>HYPERLINK("http://www.informatics.jax.org/marker/MGI:1858233","MGI:1858233")</f>
        <v>MGI:1858233</v>
      </c>
      <c r="J5653" s="4" t="s">
        <v>12</v>
      </c>
    </row>
    <row r="5654" spans="1:10" x14ac:dyDescent="0.25">
      <c r="A5654" s="2">
        <v>94.773659887729593</v>
      </c>
      <c r="B5654" s="3">
        <v>-0.53305018711070595</v>
      </c>
      <c r="C5654" s="5">
        <v>4.7683644951076897E-5</v>
      </c>
      <c r="D5654" s="4">
        <v>2.0986100681800901E-4</v>
      </c>
      <c r="E5654" s="3" t="s">
        <v>7977</v>
      </c>
      <c r="F5654" s="3" t="s">
        <v>7978</v>
      </c>
      <c r="G5654" s="3">
        <v>210004</v>
      </c>
      <c r="H5654" s="7" t="str">
        <f>HYPERLINK("http://www.ensembl.org/Mus_musculus/Gene/Summary?db=core;g=ENSMUSG00000046605","ENSMUSG00000046605")</f>
        <v>ENSMUSG00000046605</v>
      </c>
      <c r="I5654" s="7" t="str">
        <f>HYPERLINK("http://www.informatics.jax.org/marker/MGI:2441705","MGI:2441705")</f>
        <v>MGI:2441705</v>
      </c>
      <c r="J5654" s="4" t="s">
        <v>12</v>
      </c>
    </row>
    <row r="5655" spans="1:10" x14ac:dyDescent="0.25">
      <c r="A5655" s="2">
        <v>209.23975266363701</v>
      </c>
      <c r="B5655" s="3">
        <v>-0.53312764440139104</v>
      </c>
      <c r="C5655" s="5">
        <v>2.62850166020751E-8</v>
      </c>
      <c r="D5655" s="6">
        <v>1.7496144177239501E-7</v>
      </c>
      <c r="E5655" s="3" t="s">
        <v>4493</v>
      </c>
      <c r="F5655" s="3" t="s">
        <v>4494</v>
      </c>
      <c r="G5655" s="3">
        <v>72667</v>
      </c>
      <c r="H5655" s="7" t="str">
        <f>HYPERLINK("http://www.ensembl.org/Mus_musculus/Gene/Summary?db=core;g=ENSMUSG00000044876","ENSMUSG00000044876")</f>
        <v>ENSMUSG00000044876</v>
      </c>
      <c r="I5655" s="7" t="str">
        <f>HYPERLINK("http://www.informatics.jax.org/marker/MGI:1923365","MGI:1923365")</f>
        <v>MGI:1923365</v>
      </c>
      <c r="J5655" s="4" t="s">
        <v>12</v>
      </c>
    </row>
    <row r="5656" spans="1:10" x14ac:dyDescent="0.25">
      <c r="A5656" s="2">
        <v>34.8788847059623</v>
      </c>
      <c r="B5656" s="3">
        <v>-0.53326080897169004</v>
      </c>
      <c r="C5656" s="3">
        <v>6.1279307572848999E-3</v>
      </c>
      <c r="D5656" s="4">
        <v>1.8059757123466601E-2</v>
      </c>
      <c r="E5656" s="3" t="s">
        <v>10547</v>
      </c>
      <c r="F5656" s="3" t="s">
        <v>10548</v>
      </c>
      <c r="G5656" s="3">
        <v>72371</v>
      </c>
      <c r="H5656" s="7" t="str">
        <f>HYPERLINK("http://www.ensembl.org/Mus_musculus/Gene/Summary?db=core;g=ENSMUSG00000071252","ENSMUSG00000071252")</f>
        <v>ENSMUSG00000071252</v>
      </c>
      <c r="I5656" s="7" t="str">
        <f>HYPERLINK("http://www.informatics.jax.org/marker/MGI:1919621","MGI:1919621")</f>
        <v>MGI:1919621</v>
      </c>
      <c r="J5656" s="4" t="s">
        <v>12</v>
      </c>
    </row>
    <row r="5657" spans="1:10" x14ac:dyDescent="0.25">
      <c r="A5657" s="2">
        <v>220.017415506649</v>
      </c>
      <c r="B5657" s="3">
        <v>-0.53348892464784703</v>
      </c>
      <c r="C5657" s="5">
        <v>1.5735885037286501E-9</v>
      </c>
      <c r="D5657" s="6">
        <v>1.19594038700811E-8</v>
      </c>
      <c r="E5657" s="3" t="s">
        <v>7268</v>
      </c>
      <c r="F5657" s="3" t="s">
        <v>7269</v>
      </c>
      <c r="G5657" s="3">
        <v>67228</v>
      </c>
      <c r="H5657" s="7" t="str">
        <f>HYPERLINK("http://www.ensembl.org/Mus_musculus/Gene/Summary?db=core;g=ENSMUSG00000026975","ENSMUSG00000026975")</f>
        <v>ENSMUSG00000026975</v>
      </c>
      <c r="I5657" s="7" t="str">
        <f>HYPERLINK("http://www.informatics.jax.org/marker/MGI:1914478","MGI:1914478")</f>
        <v>MGI:1914478</v>
      </c>
      <c r="J5657" s="4" t="s">
        <v>12</v>
      </c>
    </row>
    <row r="5658" spans="1:10" x14ac:dyDescent="0.25">
      <c r="A5658" s="2">
        <v>53.9473568980832</v>
      </c>
      <c r="B5658" s="3">
        <v>-0.53351332947577201</v>
      </c>
      <c r="C5658" s="3">
        <v>3.0713454225330099E-3</v>
      </c>
      <c r="D5658" s="4">
        <v>9.70950049014121E-3</v>
      </c>
      <c r="E5658" s="3" t="s">
        <v>10284</v>
      </c>
      <c r="F5658" s="3" t="s">
        <v>10285</v>
      </c>
      <c r="G5658" s="3">
        <v>243912</v>
      </c>
      <c r="H5658" s="7" t="str">
        <f>HYPERLINK("http://www.ensembl.org/Mus_musculus/Gene/Summary?db=core;g=ENSMUSG00000036854","ENSMUSG00000036854")</f>
        <v>ENSMUSG00000036854</v>
      </c>
      <c r="I5658" s="7" t="str">
        <f>HYPERLINK("http://www.informatics.jax.org/marker/MGI:2685325","MGI:2685325")</f>
        <v>MGI:2685325</v>
      </c>
      <c r="J5658" s="4" t="s">
        <v>12</v>
      </c>
    </row>
    <row r="5659" spans="1:10" x14ac:dyDescent="0.25">
      <c r="A5659" s="2">
        <v>2461.3328032474501</v>
      </c>
      <c r="B5659" s="3">
        <v>-0.53394544321301396</v>
      </c>
      <c r="C5659" s="5">
        <v>1.9702445892193702E-6</v>
      </c>
      <c r="D5659" s="6">
        <v>1.0576644370699001E-5</v>
      </c>
      <c r="E5659" s="3" t="s">
        <v>6607</v>
      </c>
      <c r="F5659" s="3" t="s">
        <v>6608</v>
      </c>
      <c r="G5659" s="3">
        <v>16551</v>
      </c>
      <c r="H5659" s="7" t="str">
        <f>HYPERLINK("http://www.ensembl.org/Mus_musculus/Gene/Summary?db=core;g=ENSMUSG00000012443","ENSMUSG00000012443")</f>
        <v>ENSMUSG00000012443</v>
      </c>
      <c r="I5659" s="7" t="str">
        <f>HYPERLINK("http://www.informatics.jax.org/marker/MGI:1098231","MGI:1098231")</f>
        <v>MGI:1098231</v>
      </c>
      <c r="J5659" s="4" t="s">
        <v>12</v>
      </c>
    </row>
    <row r="5660" spans="1:10" x14ac:dyDescent="0.25">
      <c r="A5660" s="2">
        <v>222.41725146363899</v>
      </c>
      <c r="B5660" s="3">
        <v>-0.53402773859483599</v>
      </c>
      <c r="C5660" s="5">
        <v>6.3637117822536403E-7</v>
      </c>
      <c r="D5660" s="6">
        <v>3.61416787882744E-6</v>
      </c>
      <c r="E5660" s="3" t="s">
        <v>4501</v>
      </c>
      <c r="F5660" s="3" t="s">
        <v>4502</v>
      </c>
      <c r="G5660" s="3">
        <v>102443350</v>
      </c>
      <c r="H5660" s="7" t="str">
        <f>HYPERLINK("http://www.ensembl.org/Mus_musculus/Gene/Summary?db=core;g=ENSMUSG00000099481","ENSMUSG00000099481")</f>
        <v>ENSMUSG00000099481</v>
      </c>
      <c r="I5660" s="7" t="str">
        <f>HYPERLINK("http://www.informatics.jax.org/marker/MGI:5546359","MGI:5546359")</f>
        <v>MGI:5546359</v>
      </c>
      <c r="J5660" s="4" t="s">
        <v>12</v>
      </c>
    </row>
    <row r="5661" spans="1:10" x14ac:dyDescent="0.25">
      <c r="A5661" s="2">
        <v>172.68705150405299</v>
      </c>
      <c r="B5661" s="3">
        <v>-0.53404981517799099</v>
      </c>
      <c r="C5661" s="5">
        <v>4.6932443180743098E-5</v>
      </c>
      <c r="D5661" s="4">
        <v>2.0690463884108401E-4</v>
      </c>
      <c r="E5661" s="3" t="s">
        <v>12587</v>
      </c>
      <c r="F5661" s="3" t="s">
        <v>12588</v>
      </c>
      <c r="G5661" s="3">
        <v>74347</v>
      </c>
      <c r="H5661" s="7" t="str">
        <f>HYPERLINK("http://www.ensembl.org/Mus_musculus/Gene/Summary?db=core;g=ENSMUSG00000034105","ENSMUSG00000034105")</f>
        <v>ENSMUSG00000034105</v>
      </c>
      <c r="I5661" s="7" t="str">
        <f>HYPERLINK("http://www.informatics.jax.org/marker/MGI:1921597","MGI:1921597")</f>
        <v>MGI:1921597</v>
      </c>
      <c r="J5661" s="4" t="s">
        <v>12</v>
      </c>
    </row>
    <row r="5662" spans="1:10" x14ac:dyDescent="0.25">
      <c r="A5662" s="2">
        <v>177.28631595451799</v>
      </c>
      <c r="B5662" s="3">
        <v>-0.53423596207663604</v>
      </c>
      <c r="C5662" s="5">
        <v>7.9447933965013896E-7</v>
      </c>
      <c r="D5662" s="6">
        <v>4.4634358708766302E-6</v>
      </c>
      <c r="E5662" s="3" t="s">
        <v>5645</v>
      </c>
      <c r="F5662" s="3" t="s">
        <v>5646</v>
      </c>
      <c r="G5662" s="3">
        <v>237928</v>
      </c>
      <c r="H5662" s="7" t="str">
        <f>HYPERLINK("http://www.ensembl.org/Mus_musculus/Gene/Summary?db=core;g=ENSMUSG00000050860","ENSMUSG00000050860")</f>
        <v>ENSMUSG00000050860</v>
      </c>
      <c r="I5662" s="7" t="str">
        <f>HYPERLINK("http://www.informatics.jax.org/marker/MGI:2447348","MGI:2447348")</f>
        <v>MGI:2447348</v>
      </c>
      <c r="J5662" s="4" t="s">
        <v>12</v>
      </c>
    </row>
    <row r="5663" spans="1:10" x14ac:dyDescent="0.25">
      <c r="A5663" s="2">
        <v>252.57621712135199</v>
      </c>
      <c r="B5663" s="3">
        <v>-0.53448800436671295</v>
      </c>
      <c r="C5663" s="5">
        <v>4.41113554362181E-7</v>
      </c>
      <c r="D5663" s="6">
        <v>2.5577945013373001E-6</v>
      </c>
      <c r="E5663" s="3" t="s">
        <v>11495</v>
      </c>
      <c r="F5663" s="3" t="s">
        <v>11496</v>
      </c>
      <c r="G5663" s="3">
        <v>382073</v>
      </c>
      <c r="H5663" s="7" t="str">
        <f>HYPERLINK("http://www.ensembl.org/Mus_musculus/Gene/Summary?db=core;g=ENSMUSG00000043923","ENSMUSG00000043923")</f>
        <v>ENSMUSG00000043923</v>
      </c>
      <c r="I5663" s="7" t="str">
        <f>HYPERLINK("http://www.informatics.jax.org/marker/MGI:2685960","MGI:2685960")</f>
        <v>MGI:2685960</v>
      </c>
      <c r="J5663" s="4" t="s">
        <v>12</v>
      </c>
    </row>
    <row r="5664" spans="1:10" x14ac:dyDescent="0.25">
      <c r="A5664" s="2">
        <v>252.47834457206201</v>
      </c>
      <c r="B5664" s="3">
        <v>-0.53527813570085203</v>
      </c>
      <c r="C5664" s="5">
        <v>1.3515912422304999E-11</v>
      </c>
      <c r="D5664" s="6">
        <v>1.24157008012353E-10</v>
      </c>
      <c r="E5664" s="3" t="s">
        <v>3136</v>
      </c>
      <c r="F5664" s="3" t="s">
        <v>3137</v>
      </c>
      <c r="G5664" s="3">
        <v>67379</v>
      </c>
      <c r="H5664" s="7" t="str">
        <f>HYPERLINK("http://www.ensembl.org/Mus_musculus/Gene/Summary?db=core;g=ENSMUSG00000054499","ENSMUSG00000054499")</f>
        <v>ENSMUSG00000054499</v>
      </c>
      <c r="I5664" s="7" t="str">
        <f>HYPERLINK("http://www.informatics.jax.org/marker/MGI:1914629","MGI:1914629")</f>
        <v>MGI:1914629</v>
      </c>
      <c r="J5664" s="4" t="s">
        <v>12</v>
      </c>
    </row>
    <row r="5665" spans="1:10" x14ac:dyDescent="0.25">
      <c r="A5665" s="2">
        <v>270.94311034062798</v>
      </c>
      <c r="B5665" s="3">
        <v>-0.53532997025374796</v>
      </c>
      <c r="C5665" s="5">
        <v>5.0817033356861705E-7</v>
      </c>
      <c r="D5665" s="6">
        <v>2.9271189409886399E-6</v>
      </c>
      <c r="E5665" s="3" t="s">
        <v>5949</v>
      </c>
      <c r="F5665" s="3" t="s">
        <v>5950</v>
      </c>
      <c r="G5665" s="3">
        <v>80986</v>
      </c>
      <c r="H5665" s="7" t="str">
        <f>HYPERLINK("http://www.ensembl.org/Mus_musculus/Gene/Summary?db=core;g=ENSMUSG00000037725","ENSMUSG00000037725")</f>
        <v>ENSMUSG00000037725</v>
      </c>
      <c r="I5665" s="7" t="str">
        <f>HYPERLINK("http://www.informatics.jax.org/marker/MGI:1931797","MGI:1931797")</f>
        <v>MGI:1931797</v>
      </c>
      <c r="J5665" s="4" t="s">
        <v>12</v>
      </c>
    </row>
    <row r="5666" spans="1:10" x14ac:dyDescent="0.25">
      <c r="A5666" s="2">
        <v>4479.61387490174</v>
      </c>
      <c r="B5666" s="3">
        <v>-0.53593000943806701</v>
      </c>
      <c r="C5666" s="5">
        <v>2.1823116945636299E-10</v>
      </c>
      <c r="D5666" s="6">
        <v>1.81361744794447E-9</v>
      </c>
      <c r="E5666" s="3" t="s">
        <v>1969</v>
      </c>
      <c r="F5666" s="3" t="s">
        <v>1970</v>
      </c>
      <c r="G5666" s="3">
        <v>12419</v>
      </c>
      <c r="H5666" s="7" t="str">
        <f>HYPERLINK("http://www.ensembl.org/Mus_musculus/Gene/Summary?db=core;g=ENSMUSG00000009575","ENSMUSG00000009575")</f>
        <v>ENSMUSG00000009575</v>
      </c>
      <c r="I5666" s="7" t="str">
        <f>HYPERLINK("http://www.informatics.jax.org/marker/MGI:109372","MGI:109372")</f>
        <v>MGI:109372</v>
      </c>
      <c r="J5666" s="4" t="s">
        <v>12</v>
      </c>
    </row>
    <row r="5667" spans="1:10" x14ac:dyDescent="0.25">
      <c r="A5667" s="2">
        <v>328.84709741861701</v>
      </c>
      <c r="B5667" s="3">
        <v>-0.53608238578536904</v>
      </c>
      <c r="C5667" s="5">
        <v>5.6444214115692097E-9</v>
      </c>
      <c r="D5667" s="6">
        <v>4.03885277682956E-8</v>
      </c>
      <c r="E5667" s="3" t="s">
        <v>4083</v>
      </c>
      <c r="F5667" s="3" t="s">
        <v>4084</v>
      </c>
      <c r="G5667" s="3">
        <v>109145</v>
      </c>
      <c r="H5667" s="7" t="str">
        <f>HYPERLINK("http://www.ensembl.org/Mus_musculus/Gene/Summary?db=core;g=ENSMUSG00000031546","ENSMUSG00000031546")</f>
        <v>ENSMUSG00000031546</v>
      </c>
      <c r="I5667" s="7" t="str">
        <f>HYPERLINK("http://www.informatics.jax.org/marker/MGI:1923847","MGI:1923847")</f>
        <v>MGI:1923847</v>
      </c>
      <c r="J5667" s="4" t="s">
        <v>12</v>
      </c>
    </row>
    <row r="5668" spans="1:10" x14ac:dyDescent="0.25">
      <c r="A5668" s="2">
        <v>214.01072694027101</v>
      </c>
      <c r="B5668" s="3">
        <v>-0.53616427788963605</v>
      </c>
      <c r="C5668" s="5">
        <v>8.6563233139824404E-8</v>
      </c>
      <c r="D5668" s="6">
        <v>5.4551000137389302E-7</v>
      </c>
      <c r="E5668" s="3" t="s">
        <v>4487</v>
      </c>
      <c r="F5668" s="3" t="s">
        <v>4488</v>
      </c>
      <c r="G5668" s="3">
        <v>69726</v>
      </c>
      <c r="H5668" s="7" t="str">
        <f>HYPERLINK("http://www.ensembl.org/Mus_musculus/Gene/Summary?db=core;g=ENSMUSG00000055067","ENSMUSG00000055067")</f>
        <v>ENSMUSG00000055067</v>
      </c>
      <c r="I5668" s="7" t="str">
        <f>HYPERLINK("http://www.informatics.jax.org/marker/MGI:1916976","MGI:1916976")</f>
        <v>MGI:1916976</v>
      </c>
      <c r="J5668" s="4" t="s">
        <v>12</v>
      </c>
    </row>
    <row r="5669" spans="1:10" x14ac:dyDescent="0.25">
      <c r="A5669" s="2">
        <v>159.74309648780101</v>
      </c>
      <c r="B5669" s="3">
        <v>-0.536195102715328</v>
      </c>
      <c r="C5669" s="3">
        <v>1.6449198539024299E-4</v>
      </c>
      <c r="D5669" s="4">
        <v>6.6265836289504301E-4</v>
      </c>
      <c r="E5669" s="3" t="s">
        <v>13081</v>
      </c>
      <c r="F5669" s="3" t="s">
        <v>13082</v>
      </c>
      <c r="G5669" s="3">
        <v>74354</v>
      </c>
      <c r="H5669" s="7" t="str">
        <f>HYPERLINK("http://www.ensembl.org/Mus_musculus/Gene/Summary?db=core;g=ENSMUSG00000056215","ENSMUSG00000056215")</f>
        <v>ENSMUSG00000056215</v>
      </c>
      <c r="I5669" s="7" t="str">
        <f>HYPERLINK("http://www.informatics.jax.org/marker/MGI:1921604","MGI:1921604")</f>
        <v>MGI:1921604</v>
      </c>
      <c r="J5669" s="4" t="s">
        <v>12</v>
      </c>
    </row>
    <row r="5670" spans="1:10" x14ac:dyDescent="0.25">
      <c r="A5670" s="2">
        <v>3188.0108468997901</v>
      </c>
      <c r="B5670" s="3">
        <v>-0.53645492601663103</v>
      </c>
      <c r="C5670" s="5">
        <v>5.8535447288620796E-7</v>
      </c>
      <c r="D5670" s="6">
        <v>3.33586155983463E-6</v>
      </c>
      <c r="E5670" s="3" t="s">
        <v>7967</v>
      </c>
      <c r="F5670" s="3" t="s">
        <v>7968</v>
      </c>
      <c r="G5670" s="3">
        <v>76192</v>
      </c>
      <c r="H5670" s="7" t="str">
        <f>HYPERLINK("http://www.ensembl.org/Mus_musculus/Gene/Summary?db=core;g=ENSMUSG00000032046","ENSMUSG00000032046")</f>
        <v>ENSMUSG00000032046</v>
      </c>
      <c r="I5670" s="7" t="str">
        <f>HYPERLINK("http://www.informatics.jax.org/marker/MGI:1923442","MGI:1923442")</f>
        <v>MGI:1923442</v>
      </c>
      <c r="J5670" s="4" t="s">
        <v>12</v>
      </c>
    </row>
    <row r="5671" spans="1:10" x14ac:dyDescent="0.25">
      <c r="A5671" s="2">
        <v>50.255290401694197</v>
      </c>
      <c r="B5671" s="3">
        <v>-0.53676451293831695</v>
      </c>
      <c r="C5671" s="3">
        <v>3.0401674583401101E-3</v>
      </c>
      <c r="D5671" s="4">
        <v>9.6209501525001805E-3</v>
      </c>
      <c r="E5671" s="3" t="s">
        <v>9919</v>
      </c>
      <c r="F5671" s="3" t="s">
        <v>9920</v>
      </c>
      <c r="G5671" s="3">
        <v>114606</v>
      </c>
      <c r="H5671" s="7" t="str">
        <f>HYPERLINK("http://www.ensembl.org/Mus_musculus/Gene/Summary?db=core;g=ENSMUSG00000034758","ENSMUSG00000034758")</f>
        <v>ENSMUSG00000034758</v>
      </c>
      <c r="I5671" s="7" t="str">
        <f>HYPERLINK("http://www.informatics.jax.org/marker/MGI:2149593","MGI:2149593")</f>
        <v>MGI:2149593</v>
      </c>
      <c r="J5671" s="4" t="s">
        <v>12</v>
      </c>
    </row>
    <row r="5672" spans="1:10" x14ac:dyDescent="0.25">
      <c r="A5672" s="2">
        <v>14.2797471078086</v>
      </c>
      <c r="B5672" s="3">
        <v>-0.53711068147416996</v>
      </c>
      <c r="C5672" s="3">
        <v>7.04785779903674E-2</v>
      </c>
      <c r="D5672" s="4">
        <v>0.15225171910392701</v>
      </c>
      <c r="E5672" s="3" t="s">
        <v>13843</v>
      </c>
      <c r="F5672" s="3" t="s">
        <v>13844</v>
      </c>
      <c r="G5672" s="3">
        <v>385674</v>
      </c>
      <c r="H5672" s="7" t="str">
        <f>HYPERLINK("http://www.ensembl.org/Mus_musculus/Gene/Summary?db=core;g=ENSMUSG00000054939","ENSMUSG00000054939")</f>
        <v>ENSMUSG00000054939</v>
      </c>
      <c r="I5672" s="7" t="str">
        <f>HYPERLINK("http://www.informatics.jax.org/marker/MGI:2686600","MGI:2686600")</f>
        <v>MGI:2686600</v>
      </c>
      <c r="J5672" s="4" t="s">
        <v>12</v>
      </c>
    </row>
    <row r="5673" spans="1:10" x14ac:dyDescent="0.25">
      <c r="A5673" s="2">
        <v>2336.3605482791299</v>
      </c>
      <c r="B5673" s="3">
        <v>-0.53798786658883302</v>
      </c>
      <c r="C5673" s="5">
        <v>5.57218574912715E-10</v>
      </c>
      <c r="D5673" s="6">
        <v>4.4443363360106004E-9</v>
      </c>
      <c r="E5673" s="3" t="s">
        <v>3146</v>
      </c>
      <c r="F5673" s="3" t="s">
        <v>3147</v>
      </c>
      <c r="G5673" s="3">
        <v>16906</v>
      </c>
      <c r="H5673" s="7" t="str">
        <f>HYPERLINK("http://www.ensembl.org/Mus_musculus/Gene/Summary?db=core;g=ENSMUSG00000024590","ENSMUSG00000024590")</f>
        <v>ENSMUSG00000024590</v>
      </c>
      <c r="I5673" s="7" t="str">
        <f>HYPERLINK("http://www.informatics.jax.org/marker/MGI:96795","MGI:96795")</f>
        <v>MGI:96795</v>
      </c>
      <c r="J5673" s="4" t="s">
        <v>12</v>
      </c>
    </row>
    <row r="5674" spans="1:10" x14ac:dyDescent="0.25">
      <c r="A5674" s="2">
        <v>1149.9080321967899</v>
      </c>
      <c r="B5674" s="3">
        <v>-0.53840059714112198</v>
      </c>
      <c r="C5674" s="5">
        <v>5.7885091183871603E-5</v>
      </c>
      <c r="D5674" s="4">
        <v>2.5155758175679602E-4</v>
      </c>
      <c r="E5674" s="3" t="s">
        <v>12799</v>
      </c>
      <c r="F5674" s="3" t="s">
        <v>12800</v>
      </c>
      <c r="G5674" s="3">
        <v>64294</v>
      </c>
      <c r="H5674" s="7" t="str">
        <f>HYPERLINK("http://www.ensembl.org/Mus_musculus/Gene/Summary?db=core;g=ENSMUSG00000026223","ENSMUSG00000026223")</f>
        <v>ENSMUSG00000026223</v>
      </c>
      <c r="I5674" s="7" t="str">
        <f>HYPERLINK("http://www.informatics.jax.org/marker/MGI:1927594","MGI:1927594")</f>
        <v>MGI:1927594</v>
      </c>
      <c r="J5674" s="4" t="s">
        <v>12</v>
      </c>
    </row>
    <row r="5675" spans="1:10" x14ac:dyDescent="0.25">
      <c r="A5675" s="2">
        <v>886.64442508392801</v>
      </c>
      <c r="B5675" s="3">
        <v>-0.53947364522463304</v>
      </c>
      <c r="C5675" s="5">
        <v>6.2766082361152398E-23</v>
      </c>
      <c r="D5675" s="6">
        <v>1.13596013012115E-21</v>
      </c>
      <c r="E5675" s="3" t="s">
        <v>2571</v>
      </c>
      <c r="F5675" s="3" t="s">
        <v>2572</v>
      </c>
      <c r="G5675" s="3">
        <v>100855</v>
      </c>
      <c r="H5675" s="7" t="str">
        <f>HYPERLINK("http://www.ensembl.org/Mus_musculus/Gene/Summary?db=core;g=ENSMUSG00000029192","ENSMUSG00000029192")</f>
        <v>ENSMUSG00000029192</v>
      </c>
      <c r="I5675" s="7" t="str">
        <f>HYPERLINK("http://www.informatics.jax.org/marker/MGI:1098708","MGI:1098708")</f>
        <v>MGI:1098708</v>
      </c>
      <c r="J5675" s="4" t="s">
        <v>12</v>
      </c>
    </row>
    <row r="5676" spans="1:10" x14ac:dyDescent="0.25">
      <c r="A5676" s="2">
        <v>364.24452857844801</v>
      </c>
      <c r="B5676" s="3">
        <v>-0.53965039348144905</v>
      </c>
      <c r="C5676" s="5">
        <v>1.05339338546716E-5</v>
      </c>
      <c r="D5676" s="6">
        <v>5.1373011640725402E-5</v>
      </c>
      <c r="E5676" s="3" t="s">
        <v>6015</v>
      </c>
      <c r="F5676" s="3" t="s">
        <v>6016</v>
      </c>
      <c r="G5676" s="3">
        <v>228421</v>
      </c>
      <c r="H5676" s="7" t="str">
        <f>HYPERLINK("http://www.ensembl.org/Mus_musculus/Gene/Summary?db=core;g=ENSMUSG00000027115","ENSMUSG00000027115")</f>
        <v>ENSMUSG00000027115</v>
      </c>
      <c r="I5676" s="7" t="str">
        <f>HYPERLINK("http://www.informatics.jax.org/marker/MGI:2446977","MGI:2446977")</f>
        <v>MGI:2446977</v>
      </c>
      <c r="J5676" s="4" t="s">
        <v>12</v>
      </c>
    </row>
    <row r="5677" spans="1:10" x14ac:dyDescent="0.25">
      <c r="A5677" s="2">
        <v>329.08836672259798</v>
      </c>
      <c r="B5677" s="3">
        <v>-0.53971881635046604</v>
      </c>
      <c r="C5677" s="5">
        <v>6.0695114467487905E-8</v>
      </c>
      <c r="D5677" s="6">
        <v>3.8758530524525797E-7</v>
      </c>
      <c r="E5677" s="3" t="s">
        <v>8297</v>
      </c>
      <c r="F5677" s="3" t="s">
        <v>8298</v>
      </c>
      <c r="G5677" s="3">
        <v>218100</v>
      </c>
      <c r="H5677" s="7" t="str">
        <f>HYPERLINK("http://www.ensembl.org/Mus_musculus/Gene/Summary?db=core;g=ENSMUSG00000046351","ENSMUSG00000046351")</f>
        <v>ENSMUSG00000046351</v>
      </c>
      <c r="I5677" s="7" t="str">
        <f>HYPERLINK("http://www.informatics.jax.org/marker/MGI:2442566","MGI:2442566")</f>
        <v>MGI:2442566</v>
      </c>
      <c r="J5677" s="4" t="s">
        <v>12</v>
      </c>
    </row>
    <row r="5678" spans="1:10" x14ac:dyDescent="0.25">
      <c r="A5678" s="2">
        <v>1073.3043717221001</v>
      </c>
      <c r="B5678" s="3">
        <v>-0.54013868860651904</v>
      </c>
      <c r="C5678" s="5">
        <v>1.6962621724379499E-26</v>
      </c>
      <c r="D5678" s="6">
        <v>3.6284481329438399E-25</v>
      </c>
      <c r="E5678" s="3" t="s">
        <v>1418</v>
      </c>
      <c r="F5678" s="3" t="s">
        <v>1419</v>
      </c>
      <c r="G5678" s="3">
        <v>12445</v>
      </c>
      <c r="H5678" s="7" t="str">
        <f>HYPERLINK("http://www.ensembl.org/Mus_musculus/Gene/Summary?db=core;g=ENSMUSG00000034165","ENSMUSG00000034165")</f>
        <v>ENSMUSG00000034165</v>
      </c>
      <c r="I5678" s="7" t="str">
        <f>HYPERLINK("http://www.informatics.jax.org/marker/MGI:88315","MGI:88315")</f>
        <v>MGI:88315</v>
      </c>
      <c r="J5678" s="4" t="s">
        <v>12</v>
      </c>
    </row>
    <row r="5679" spans="1:10" x14ac:dyDescent="0.25">
      <c r="A5679" s="2">
        <v>114.130333876671</v>
      </c>
      <c r="B5679" s="3">
        <v>-0.54028032008445703</v>
      </c>
      <c r="C5679" s="5">
        <v>7.2328205804970001E-6</v>
      </c>
      <c r="D5679" s="6">
        <v>3.6084904210117102E-5</v>
      </c>
      <c r="E5679" s="3" t="s">
        <v>9281</v>
      </c>
      <c r="F5679" s="3" t="s">
        <v>9282</v>
      </c>
      <c r="G5679" s="3" t="s">
        <v>83</v>
      </c>
      <c r="H5679" s="7" t="str">
        <f>HYPERLINK("http://www.ensembl.org/Mus_musculus/Gene/Summary?db=core;g=ENSMUSG00000092412","ENSMUSG00000092412")</f>
        <v>ENSMUSG00000092412</v>
      </c>
      <c r="I5679" s="7" t="str">
        <f>HYPERLINK("http://www.informatics.jax.org/marker/MGI:5141972","MGI:5141972")</f>
        <v>MGI:5141972</v>
      </c>
      <c r="J5679" s="4" t="s">
        <v>331</v>
      </c>
    </row>
    <row r="5680" spans="1:10" x14ac:dyDescent="0.25">
      <c r="A5680" s="2">
        <v>341.57998130926899</v>
      </c>
      <c r="B5680" s="3">
        <v>-0.54106639696009595</v>
      </c>
      <c r="C5680" s="5">
        <v>3.2136132081709602E-8</v>
      </c>
      <c r="D5680" s="6">
        <v>2.11972858193687E-7</v>
      </c>
      <c r="E5680" s="3" t="s">
        <v>5847</v>
      </c>
      <c r="F5680" s="3" t="s">
        <v>5848</v>
      </c>
      <c r="G5680" s="3">
        <v>52055</v>
      </c>
      <c r="H5680" s="7" t="str">
        <f>HYPERLINK("http://www.ensembl.org/Mus_musculus/Gene/Summary?db=core;g=ENSMUSG00000051343","ENSMUSG00000051343")</f>
        <v>ENSMUSG00000051343</v>
      </c>
      <c r="I5680" s="7" t="str">
        <f>HYPERLINK("http://www.informatics.jax.org/marker/MGI:1098586","MGI:1098586")</f>
        <v>MGI:1098586</v>
      </c>
      <c r="J5680" s="4" t="s">
        <v>12</v>
      </c>
    </row>
    <row r="5681" spans="1:10" x14ac:dyDescent="0.25">
      <c r="A5681" s="2">
        <v>439.76458783339098</v>
      </c>
      <c r="B5681" s="3">
        <v>-0.54287449772019203</v>
      </c>
      <c r="C5681" s="5">
        <v>1.2034101858076501E-7</v>
      </c>
      <c r="D5681" s="6">
        <v>7.4675351162221602E-7</v>
      </c>
      <c r="E5681" s="3" t="s">
        <v>9909</v>
      </c>
      <c r="F5681" s="3" t="s">
        <v>9910</v>
      </c>
      <c r="G5681" s="3">
        <v>13713</v>
      </c>
      <c r="H5681" s="7" t="str">
        <f>HYPERLINK("http://www.ensembl.org/Mus_musculus/Gene/Summary?db=core;g=ENSMUSG00000008398","ENSMUSG00000008398")</f>
        <v>ENSMUSG00000008398</v>
      </c>
      <c r="I5681" s="7" t="str">
        <f>HYPERLINK("http://www.informatics.jax.org/marker/MGI:101762","MGI:101762")</f>
        <v>MGI:101762</v>
      </c>
      <c r="J5681" s="4" t="s">
        <v>12</v>
      </c>
    </row>
    <row r="5682" spans="1:10" x14ac:dyDescent="0.25">
      <c r="A5682" s="2">
        <v>199.954230046503</v>
      </c>
      <c r="B5682" s="3">
        <v>-0.54316738305822698</v>
      </c>
      <c r="C5682" s="3">
        <v>1.8875957380429199E-3</v>
      </c>
      <c r="D5682" s="4">
        <v>6.2845144913833096E-3</v>
      </c>
      <c r="E5682" s="3" t="s">
        <v>8285</v>
      </c>
      <c r="F5682" s="3" t="s">
        <v>8286</v>
      </c>
      <c r="G5682" s="3">
        <v>242702</v>
      </c>
      <c r="H5682" s="7" t="str">
        <f>HYPERLINK("http://www.ensembl.org/Mus_musculus/Gene/Summary?db=core;g=ENSMUSG00000037139","ENSMUSG00000037139")</f>
        <v>ENSMUSG00000037139</v>
      </c>
      <c r="I5682" s="7" t="str">
        <f>HYPERLINK("http://www.informatics.jax.org/marker/MGI:2685280","MGI:2685280")</f>
        <v>MGI:2685280</v>
      </c>
      <c r="J5682" s="4" t="s">
        <v>12</v>
      </c>
    </row>
    <row r="5683" spans="1:10" x14ac:dyDescent="0.25">
      <c r="A5683" s="2">
        <v>1141.8531070696199</v>
      </c>
      <c r="B5683" s="3">
        <v>-0.54327142673448103</v>
      </c>
      <c r="C5683" s="5">
        <v>3.8439083177487996E-9</v>
      </c>
      <c r="D5683" s="6">
        <v>2.8157246419200901E-8</v>
      </c>
      <c r="E5683" s="3" t="s">
        <v>3910</v>
      </c>
      <c r="F5683" s="3" t="s">
        <v>3911</v>
      </c>
      <c r="G5683" s="3">
        <v>14235</v>
      </c>
      <c r="H5683" s="7" t="str">
        <f>HYPERLINK("http://www.ensembl.org/Mus_musculus/Gene/Summary?db=core;g=ENSMUSG00000001517","ENSMUSG00000001517")</f>
        <v>ENSMUSG00000001517</v>
      </c>
      <c r="I5683" s="7" t="str">
        <f>HYPERLINK("http://www.informatics.jax.org/marker/MGI:1347487","MGI:1347487")</f>
        <v>MGI:1347487</v>
      </c>
      <c r="J5683" s="4" t="s">
        <v>12</v>
      </c>
    </row>
    <row r="5684" spans="1:10" x14ac:dyDescent="0.25">
      <c r="A5684" s="2">
        <v>578.01700443002005</v>
      </c>
      <c r="B5684" s="3">
        <v>-0.54332331823815205</v>
      </c>
      <c r="C5684" s="5">
        <v>1.83597076578711E-7</v>
      </c>
      <c r="D5684" s="6">
        <v>1.1187083653116001E-6</v>
      </c>
      <c r="E5684" s="3" t="s">
        <v>3338</v>
      </c>
      <c r="F5684" s="3" t="s">
        <v>3339</v>
      </c>
      <c r="G5684" s="3">
        <v>210544</v>
      </c>
      <c r="H5684" s="7" t="str">
        <f>HYPERLINK("http://www.ensembl.org/Mus_musculus/Gene/Summary?db=core;g=ENSMUSG00000022364","ENSMUSG00000022364")</f>
        <v>ENSMUSG00000022364</v>
      </c>
      <c r="I5684" s="7" t="str">
        <f>HYPERLINK("http://www.informatics.jax.org/marker/MGI:2684931","MGI:2684931")</f>
        <v>MGI:2684931</v>
      </c>
      <c r="J5684" s="4" t="s">
        <v>12</v>
      </c>
    </row>
    <row r="5685" spans="1:10" x14ac:dyDescent="0.25">
      <c r="A5685" s="2">
        <v>357.96411426472503</v>
      </c>
      <c r="B5685" s="3">
        <v>-0.54371284245418094</v>
      </c>
      <c r="C5685" s="5">
        <v>3.70416262042147E-6</v>
      </c>
      <c r="D5685" s="6">
        <v>1.92167275141421E-5</v>
      </c>
      <c r="E5685" s="3" t="s">
        <v>8811</v>
      </c>
      <c r="F5685" s="3" t="s">
        <v>8812</v>
      </c>
      <c r="G5685" s="3">
        <v>19729</v>
      </c>
      <c r="H5685" s="7" t="str">
        <f>HYPERLINK("http://www.ensembl.org/Mus_musculus/Gene/Summary?db=core;g=ENSMUSG00000027953","ENSMUSG00000027953")</f>
        <v>ENSMUSG00000027953</v>
      </c>
      <c r="I5685" s="7" t="str">
        <f>HYPERLINK("http://www.informatics.jax.org/marker/MGI:107417","MGI:107417")</f>
        <v>MGI:107417</v>
      </c>
      <c r="J5685" s="4" t="s">
        <v>12</v>
      </c>
    </row>
    <row r="5686" spans="1:10" x14ac:dyDescent="0.25">
      <c r="A5686" s="2">
        <v>1479.3627894086001</v>
      </c>
      <c r="B5686" s="3">
        <v>-0.54447911121274295</v>
      </c>
      <c r="C5686" s="5">
        <v>1.1000550099630399E-21</v>
      </c>
      <c r="D5686" s="6">
        <v>1.8736918277174199E-20</v>
      </c>
      <c r="E5686" s="3" t="s">
        <v>1392</v>
      </c>
      <c r="F5686" s="3" t="s">
        <v>1393</v>
      </c>
      <c r="G5686" s="3">
        <v>67382</v>
      </c>
      <c r="H5686" s="7" t="str">
        <f>HYPERLINK("http://www.ensembl.org/Mus_musculus/Gene/Summary?db=core;g=ENSMUSG00000026918","ENSMUSG00000026918")</f>
        <v>ENSMUSG00000026918</v>
      </c>
      <c r="I5686" s="7" t="str">
        <f>HYPERLINK("http://www.informatics.jax.org/marker/MGI:1914632","MGI:1914632")</f>
        <v>MGI:1914632</v>
      </c>
      <c r="J5686" s="4" t="s">
        <v>12</v>
      </c>
    </row>
    <row r="5687" spans="1:10" x14ac:dyDescent="0.25">
      <c r="A5687" s="2">
        <v>268.352651420982</v>
      </c>
      <c r="B5687" s="3">
        <v>-0.54455312142123702</v>
      </c>
      <c r="C5687" s="5">
        <v>9.1938184458378302E-10</v>
      </c>
      <c r="D5687" s="6">
        <v>7.1666955164839298E-9</v>
      </c>
      <c r="E5687" s="3" t="s">
        <v>3326</v>
      </c>
      <c r="F5687" s="3" t="s">
        <v>3327</v>
      </c>
      <c r="G5687" s="3">
        <v>67087</v>
      </c>
      <c r="H5687" s="7" t="str">
        <f>HYPERLINK("http://www.ensembl.org/Mus_musculus/Gene/Summary?db=core;g=ENSMUSG00000028988","ENSMUSG00000028988")</f>
        <v>ENSMUSG00000028988</v>
      </c>
      <c r="I5687" s="7" t="str">
        <f>HYPERLINK("http://www.informatics.jax.org/marker/MGI:1915756","MGI:1915756")</f>
        <v>MGI:1915756</v>
      </c>
      <c r="J5687" s="4" t="s">
        <v>12</v>
      </c>
    </row>
    <row r="5688" spans="1:10" x14ac:dyDescent="0.25">
      <c r="A5688" s="2">
        <v>92.745206755769701</v>
      </c>
      <c r="B5688" s="3">
        <v>-0.54544647885234099</v>
      </c>
      <c r="C5688" s="3">
        <v>5.0049154892859999E-4</v>
      </c>
      <c r="D5688" s="4">
        <v>1.86000376819407E-3</v>
      </c>
      <c r="E5688" s="3" t="s">
        <v>7822</v>
      </c>
      <c r="F5688" s="3" t="s">
        <v>7823</v>
      </c>
      <c r="G5688" s="3">
        <v>69159</v>
      </c>
      <c r="H5688" s="7" t="str">
        <f>HYPERLINK("http://www.ensembl.org/Mus_musculus/Gene/Summary?db=core;g=ENSMUSG00000023755","ENSMUSG00000023755")</f>
        <v>ENSMUSG00000023755</v>
      </c>
      <c r="I5688" s="7" t="str">
        <f>HYPERLINK("http://www.informatics.jax.org/marker/MGI:1916409","MGI:1916409")</f>
        <v>MGI:1916409</v>
      </c>
      <c r="J5688" s="4" t="s">
        <v>12</v>
      </c>
    </row>
    <row r="5689" spans="1:10" x14ac:dyDescent="0.25">
      <c r="A5689" s="2">
        <v>167.34177192867099</v>
      </c>
      <c r="B5689" s="3">
        <v>-0.54572344663717698</v>
      </c>
      <c r="C5689" s="5">
        <v>1.6049751237296699E-6</v>
      </c>
      <c r="D5689" s="6">
        <v>8.7211304800158893E-6</v>
      </c>
      <c r="E5689" s="3" t="s">
        <v>3762</v>
      </c>
      <c r="F5689" s="3" t="s">
        <v>3763</v>
      </c>
      <c r="G5689" s="3">
        <v>100637</v>
      </c>
      <c r="H5689" s="7" t="str">
        <f>HYPERLINK("http://www.ensembl.org/Mus_musculus/Gene/Summary?db=core;g=ENSMUSG00000041132","ENSMUSG00000041132")</f>
        <v>ENSMUSG00000041132</v>
      </c>
      <c r="I5689" s="7" t="str">
        <f>HYPERLINK("http://www.informatics.jax.org/marker/MGI:2140872","MGI:2140872")</f>
        <v>MGI:2140872</v>
      </c>
      <c r="J5689" s="4" t="s">
        <v>12</v>
      </c>
    </row>
    <row r="5690" spans="1:10" x14ac:dyDescent="0.25">
      <c r="A5690" s="2">
        <v>81.964689301182901</v>
      </c>
      <c r="B5690" s="3">
        <v>-0.54711568415856504</v>
      </c>
      <c r="C5690" s="5">
        <v>2.5943526364101101E-5</v>
      </c>
      <c r="D5690" s="4">
        <v>1.1915845967382599E-4</v>
      </c>
      <c r="E5690" s="3" t="s">
        <v>9509</v>
      </c>
      <c r="F5690" s="3" t="s">
        <v>9510</v>
      </c>
      <c r="G5690" s="3">
        <v>29861</v>
      </c>
      <c r="H5690" s="7" t="str">
        <f>HYPERLINK("http://www.ensembl.org/Mus_musculus/Gene/Summary?db=core;g=ENSMUSG00000030584","ENSMUSG00000030584")</f>
        <v>ENSMUSG00000030584</v>
      </c>
      <c r="I5690" s="7" t="str">
        <f>HYPERLINK("http://www.informatics.jax.org/marker/MGI:1352748","MGI:1352748")</f>
        <v>MGI:1352748</v>
      </c>
      <c r="J5690" s="4" t="s">
        <v>12</v>
      </c>
    </row>
    <row r="5691" spans="1:10" x14ac:dyDescent="0.25">
      <c r="A5691" s="2">
        <v>317.78901106015201</v>
      </c>
      <c r="B5691" s="3">
        <v>-0.54762053393168098</v>
      </c>
      <c r="C5691" s="5">
        <v>1.4452671399585E-10</v>
      </c>
      <c r="D5691" s="6">
        <v>1.22397739896578E-9</v>
      </c>
      <c r="E5691" s="3" t="s">
        <v>6948</v>
      </c>
      <c r="F5691" s="3" t="s">
        <v>6949</v>
      </c>
      <c r="G5691" s="3">
        <v>68971</v>
      </c>
      <c r="H5691" s="7" t="str">
        <f>HYPERLINK("http://www.ensembl.org/Mus_musculus/Gene/Summary?db=core;g=ENSMUSG00000030316","ENSMUSG00000030316")</f>
        <v>ENSMUSG00000030316</v>
      </c>
      <c r="I5691" s="7" t="str">
        <f>HYPERLINK("http://www.informatics.jax.org/marker/MGI:1916221","MGI:1916221")</f>
        <v>MGI:1916221</v>
      </c>
      <c r="J5691" s="4" t="s">
        <v>12</v>
      </c>
    </row>
    <row r="5692" spans="1:10" x14ac:dyDescent="0.25">
      <c r="A5692" s="2">
        <v>221.63908181728999</v>
      </c>
      <c r="B5692" s="3">
        <v>-0.54819171781011999</v>
      </c>
      <c r="C5692" s="5">
        <v>8.4782943244872504E-9</v>
      </c>
      <c r="D5692" s="6">
        <v>5.9544090197988501E-8</v>
      </c>
      <c r="E5692" s="3" t="s">
        <v>5015</v>
      </c>
      <c r="F5692" s="3" t="s">
        <v>5016</v>
      </c>
      <c r="G5692" s="3">
        <v>19062</v>
      </c>
      <c r="H5692" s="7" t="str">
        <f>HYPERLINK("http://www.ensembl.org/Mus_musculus/Gene/Summary?db=core;g=ENSMUSG00000006127","ENSMUSG00000006127")</f>
        <v>ENSMUSG00000006127</v>
      </c>
      <c r="I5692" s="7" t="str">
        <f>HYPERLINK("http://www.informatics.jax.org/marker/MGI:1194899","MGI:1194899")</f>
        <v>MGI:1194899</v>
      </c>
      <c r="J5692" s="4" t="s">
        <v>12</v>
      </c>
    </row>
    <row r="5693" spans="1:10" x14ac:dyDescent="0.25">
      <c r="A5693" s="2">
        <v>327.21802449246599</v>
      </c>
      <c r="B5693" s="3">
        <v>-0.54822019978478898</v>
      </c>
      <c r="C5693" s="5">
        <v>5.7805914197727302E-8</v>
      </c>
      <c r="D5693" s="6">
        <v>3.70303264061012E-7</v>
      </c>
      <c r="E5693" s="3" t="s">
        <v>4245</v>
      </c>
      <c r="F5693" s="3" t="s">
        <v>4246</v>
      </c>
      <c r="G5693" s="3">
        <v>381318</v>
      </c>
      <c r="H5693" s="7" t="str">
        <f>HYPERLINK("http://www.ensembl.org/Mus_musculus/Gene/Summary?db=core;g=ENSMUSG00000062510","ENSMUSG00000062510")</f>
        <v>ENSMUSG00000062510</v>
      </c>
      <c r="I5693" s="7" t="str">
        <f>HYPERLINK("http://www.informatics.jax.org/marker/MGI:2685830","MGI:2685830")</f>
        <v>MGI:2685830</v>
      </c>
      <c r="J5693" s="4" t="s">
        <v>12</v>
      </c>
    </row>
    <row r="5694" spans="1:10" x14ac:dyDescent="0.25">
      <c r="A5694" s="2">
        <v>125.032647128367</v>
      </c>
      <c r="B5694" s="3">
        <v>-0.54825097764325303</v>
      </c>
      <c r="C5694" s="5">
        <v>4.8219772654945701E-5</v>
      </c>
      <c r="D5694" s="4">
        <v>2.1201576758416999E-4</v>
      </c>
      <c r="E5694" s="3" t="s">
        <v>8287</v>
      </c>
      <c r="F5694" s="3" t="s">
        <v>8288</v>
      </c>
      <c r="G5694" s="3">
        <v>231093</v>
      </c>
      <c r="H5694" s="7" t="str">
        <f>HYPERLINK("http://www.ensembl.org/Mus_musculus/Gene/Summary?db=core;g=ENSMUSG00000029165","ENSMUSG00000029165")</f>
        <v>ENSMUSG00000029165</v>
      </c>
      <c r="I5694" s="7" t="str">
        <f>HYPERLINK("http://www.informatics.jax.org/marker/MGI:2441745","MGI:2441745")</f>
        <v>MGI:2441745</v>
      </c>
      <c r="J5694" s="4" t="s">
        <v>12</v>
      </c>
    </row>
    <row r="5695" spans="1:10" x14ac:dyDescent="0.25">
      <c r="A5695" s="2">
        <v>501.46942397851302</v>
      </c>
      <c r="B5695" s="3">
        <v>-0.54892704715095597</v>
      </c>
      <c r="C5695" s="5">
        <v>4.88826982962941E-16</v>
      </c>
      <c r="D5695" s="6">
        <v>6.1653091795845E-15</v>
      </c>
      <c r="E5695" s="3" t="s">
        <v>2643</v>
      </c>
      <c r="F5695" s="3" t="s">
        <v>2644</v>
      </c>
      <c r="G5695" s="3">
        <v>228019</v>
      </c>
      <c r="H5695" s="7" t="str">
        <f>HYPERLINK("http://www.ensembl.org/Mus_musculus/Gene/Summary?db=core;g=ENSMUSG00000041975","ENSMUSG00000041975")</f>
        <v>ENSMUSG00000041975</v>
      </c>
      <c r="I5695" s="7" t="str">
        <f>HYPERLINK("http://www.informatics.jax.org/marker/MGI:2385142","MGI:2385142")</f>
        <v>MGI:2385142</v>
      </c>
      <c r="J5695" s="4" t="s">
        <v>12</v>
      </c>
    </row>
    <row r="5696" spans="1:10" x14ac:dyDescent="0.25">
      <c r="A5696" s="2">
        <v>112.075065832948</v>
      </c>
      <c r="B5696" s="3">
        <v>-0.54907499029403795</v>
      </c>
      <c r="C5696" s="5">
        <v>2.47759549908084E-5</v>
      </c>
      <c r="D5696" s="4">
        <v>1.14227619455473E-4</v>
      </c>
      <c r="E5696" s="3" t="s">
        <v>8301</v>
      </c>
      <c r="F5696" s="3" t="s">
        <v>8302</v>
      </c>
      <c r="G5696" s="3">
        <v>68017</v>
      </c>
      <c r="H5696" s="7" t="str">
        <f>HYPERLINK("http://www.ensembl.org/Mus_musculus/Gene/Summary?db=core;g=ENSMUSG00000029557","ENSMUSG00000029557")</f>
        <v>ENSMUSG00000029557</v>
      </c>
      <c r="I5696" s="7" t="str">
        <f>HYPERLINK("http://www.informatics.jax.org/marker/MGI:1915267","MGI:1915267")</f>
        <v>MGI:1915267</v>
      </c>
      <c r="J5696" s="4" t="s">
        <v>12</v>
      </c>
    </row>
    <row r="5697" spans="1:10" x14ac:dyDescent="0.25">
      <c r="A5697" s="2">
        <v>2536.5729405164798</v>
      </c>
      <c r="B5697" s="3">
        <v>-0.549099416641185</v>
      </c>
      <c r="C5697" s="5">
        <v>5.0163455157119799E-11</v>
      </c>
      <c r="D5697" s="6">
        <v>4.4016801648459801E-10</v>
      </c>
      <c r="E5697" s="3" t="s">
        <v>1480</v>
      </c>
      <c r="F5697" s="3" t="s">
        <v>1481</v>
      </c>
      <c r="G5697" s="3">
        <v>70472</v>
      </c>
      <c r="H5697" s="7" t="str">
        <f>HYPERLINK("http://www.ensembl.org/Mus_musculus/Gene/Summary?db=core;g=ENSMUSG00000022360","ENSMUSG00000022360")</f>
        <v>ENSMUSG00000022360</v>
      </c>
      <c r="I5697" s="7" t="str">
        <f>HYPERLINK("http://www.informatics.jax.org/marker/MGI:1917722","MGI:1917722")</f>
        <v>MGI:1917722</v>
      </c>
      <c r="J5697" s="4" t="s">
        <v>12</v>
      </c>
    </row>
    <row r="5698" spans="1:10" x14ac:dyDescent="0.25">
      <c r="A5698" s="2">
        <v>550.16541683069102</v>
      </c>
      <c r="B5698" s="3">
        <v>-0.54960241667769305</v>
      </c>
      <c r="C5698" s="5">
        <v>4.8533556109858299E-10</v>
      </c>
      <c r="D5698" s="6">
        <v>3.8948659625811001E-9</v>
      </c>
      <c r="E5698" s="3" t="s">
        <v>4389</v>
      </c>
      <c r="F5698" s="3" t="s">
        <v>4390</v>
      </c>
      <c r="G5698" s="3">
        <v>74504</v>
      </c>
      <c r="H5698" s="7" t="str">
        <f>HYPERLINK("http://www.ensembl.org/Mus_musculus/Gene/Summary?db=core;g=ENSMUSG00000037339","ENSMUSG00000037339")</f>
        <v>ENSMUSG00000037339</v>
      </c>
      <c r="I5698" s="7" t="str">
        <f>HYPERLINK("http://www.informatics.jax.org/marker/MGI:1919225","MGI:1919225")</f>
        <v>MGI:1919225</v>
      </c>
      <c r="J5698" s="4" t="s">
        <v>12</v>
      </c>
    </row>
    <row r="5699" spans="1:10" x14ac:dyDescent="0.25">
      <c r="A5699" s="2">
        <v>86.728920255955799</v>
      </c>
      <c r="B5699" s="3">
        <v>-0.54970113226342998</v>
      </c>
      <c r="C5699" s="5">
        <v>8.8808538403107004E-5</v>
      </c>
      <c r="D5699" s="4">
        <v>3.7440102067930301E-4</v>
      </c>
      <c r="E5699" s="3" t="s">
        <v>12099</v>
      </c>
      <c r="F5699" s="3" t="s">
        <v>12100</v>
      </c>
      <c r="G5699" s="3">
        <v>72296</v>
      </c>
      <c r="H5699" s="7" t="str">
        <f>HYPERLINK("http://www.ensembl.org/Mus_musculus/Gene/Summary?db=core;g=ENSMUSG00000041263","ENSMUSG00000041263")</f>
        <v>ENSMUSG00000041263</v>
      </c>
      <c r="I5699" s="7" t="str">
        <f>HYPERLINK("http://www.informatics.jax.org/marker/MGI:1919546","MGI:1919546")</f>
        <v>MGI:1919546</v>
      </c>
      <c r="J5699" s="4" t="s">
        <v>12</v>
      </c>
    </row>
    <row r="5700" spans="1:10" x14ac:dyDescent="0.25">
      <c r="A5700" s="2">
        <v>495.68159851358803</v>
      </c>
      <c r="B5700" s="3">
        <v>-0.55040399133396001</v>
      </c>
      <c r="C5700" s="5">
        <v>2.8628483085889599E-8</v>
      </c>
      <c r="D5700" s="6">
        <v>1.8972876517830399E-7</v>
      </c>
      <c r="E5700" s="3" t="s">
        <v>6123</v>
      </c>
      <c r="F5700" s="3" t="s">
        <v>6124</v>
      </c>
      <c r="G5700" s="3">
        <v>102334</v>
      </c>
      <c r="H5700" s="7" t="str">
        <f>HYPERLINK("http://www.ensembl.org/Mus_musculus/Gene/Summary?db=core;g=ENSMUSG00000031508","ENSMUSG00000031508")</f>
        <v>ENSMUSG00000031508</v>
      </c>
      <c r="I5700" s="7" t="str">
        <f>HYPERLINK("http://www.informatics.jax.org/marker/MGI:1921840","MGI:1921840")</f>
        <v>MGI:1921840</v>
      </c>
      <c r="J5700" s="4" t="s">
        <v>12</v>
      </c>
    </row>
    <row r="5701" spans="1:10" x14ac:dyDescent="0.25">
      <c r="A5701" s="2">
        <v>962.86690734546198</v>
      </c>
      <c r="B5701" s="3">
        <v>-0.550667779847131</v>
      </c>
      <c r="C5701" s="3">
        <v>1.12463412159914E-4</v>
      </c>
      <c r="D5701" s="4">
        <v>4.6604040168586499E-4</v>
      </c>
      <c r="E5701" s="3" t="s">
        <v>10486</v>
      </c>
      <c r="F5701" s="3" t="s">
        <v>10487</v>
      </c>
      <c r="G5701" s="3">
        <v>73804</v>
      </c>
      <c r="H5701" s="7" t="str">
        <f>HYPERLINK("http://www.ensembl.org/Mus_musculus/Gene/Summary?db=core;g=ENSMUSG00000028678","ENSMUSG00000028678")</f>
        <v>ENSMUSG00000028678</v>
      </c>
      <c r="I5701" s="7" t="str">
        <f>HYPERLINK("http://www.informatics.jax.org/marker/MGI:1921054","MGI:1921054")</f>
        <v>MGI:1921054</v>
      </c>
      <c r="J5701" s="4" t="s">
        <v>12</v>
      </c>
    </row>
    <row r="5702" spans="1:10" x14ac:dyDescent="0.25">
      <c r="A5702" s="2">
        <v>512.03356218614704</v>
      </c>
      <c r="B5702" s="3">
        <v>-0.55082533089660402</v>
      </c>
      <c r="C5702" s="5">
        <v>3.2279441222220101E-13</v>
      </c>
      <c r="D5702" s="6">
        <v>3.39073669322744E-12</v>
      </c>
      <c r="E5702" s="3" t="s">
        <v>4311</v>
      </c>
      <c r="F5702" s="3" t="s">
        <v>4312</v>
      </c>
      <c r="G5702" s="3">
        <v>14732</v>
      </c>
      <c r="H5702" s="7" t="str">
        <f>HYPERLINK("http://www.ensembl.org/Mus_musculus/Gene/Summary?db=core;g=ENSMUSG00000024978","ENSMUSG00000024978")</f>
        <v>ENSMUSG00000024978</v>
      </c>
      <c r="I5702" s="7" t="str">
        <f>HYPERLINK("http://www.informatics.jax.org/marker/MGI:109162","MGI:109162")</f>
        <v>MGI:109162</v>
      </c>
      <c r="J5702" s="4" t="s">
        <v>12</v>
      </c>
    </row>
    <row r="5703" spans="1:10" x14ac:dyDescent="0.25">
      <c r="A5703" s="2">
        <v>127.786428984518</v>
      </c>
      <c r="B5703" s="3">
        <v>-0.55118556695870402</v>
      </c>
      <c r="C5703" s="5">
        <v>3.9649815675794797E-5</v>
      </c>
      <c r="D5703" s="4">
        <v>1.76291263891525E-4</v>
      </c>
      <c r="E5703" s="3" t="s">
        <v>6281</v>
      </c>
      <c r="F5703" s="3" t="s">
        <v>6282</v>
      </c>
      <c r="G5703" s="3">
        <v>68876</v>
      </c>
      <c r="H5703" s="7" t="str">
        <f>HYPERLINK("http://www.ensembl.org/Mus_musculus/Gene/Summary?db=core;g=ENSMUSG00000025436","ENSMUSG00000025436")</f>
        <v>ENSMUSG00000025436</v>
      </c>
      <c r="I5703" s="7" t="str">
        <f>HYPERLINK("http://www.informatics.jax.org/marker/MGI:1916984","MGI:1916984")</f>
        <v>MGI:1916984</v>
      </c>
      <c r="J5703" s="4" t="s">
        <v>12</v>
      </c>
    </row>
    <row r="5704" spans="1:10" x14ac:dyDescent="0.25">
      <c r="A5704" s="2">
        <v>3235.98575585259</v>
      </c>
      <c r="B5704" s="3">
        <v>-0.551416044949116</v>
      </c>
      <c r="C5704" s="5">
        <v>1.3318267548821799E-26</v>
      </c>
      <c r="D5704" s="6">
        <v>2.8623281377037398E-25</v>
      </c>
      <c r="E5704" s="3" t="s">
        <v>1893</v>
      </c>
      <c r="F5704" s="3" t="s">
        <v>1894</v>
      </c>
      <c r="G5704" s="3">
        <v>14886</v>
      </c>
      <c r="H5704" s="7" t="str">
        <f>HYPERLINK("http://www.ensembl.org/Mus_musculus/Gene/Summary?db=core;g=ENSMUSG00000060261","ENSMUSG00000060261")</f>
        <v>ENSMUSG00000060261</v>
      </c>
      <c r="I5704" s="7" t="str">
        <f>HYPERLINK("http://www.informatics.jax.org/marker/MGI:1202722","MGI:1202722")</f>
        <v>MGI:1202722</v>
      </c>
      <c r="J5704" s="4" t="s">
        <v>12</v>
      </c>
    </row>
    <row r="5705" spans="1:10" x14ac:dyDescent="0.25">
      <c r="A5705" s="2">
        <v>28.0925271713391</v>
      </c>
      <c r="B5705" s="3">
        <v>-0.55142659099491997</v>
      </c>
      <c r="C5705" s="3">
        <v>1.9823471133626099E-2</v>
      </c>
      <c r="D5705" s="4">
        <v>5.12530516967422E-2</v>
      </c>
      <c r="E5705" s="3" t="s">
        <v>13489</v>
      </c>
      <c r="F5705" s="3" t="s">
        <v>13490</v>
      </c>
      <c r="G5705" s="3" t="s">
        <v>83</v>
      </c>
      <c r="H5705" s="7" t="str">
        <f>HYPERLINK("http://www.ensembl.org/Mus_musculus/Gene/Summary?db=core;g=ENSMUSG00000098404","ENSMUSG00000098404")</f>
        <v>ENSMUSG00000098404</v>
      </c>
      <c r="I5705" s="7" t="str">
        <f>HYPERLINK("http://www.informatics.jax.org/marker/MGI:3645947","MGI:3645947")</f>
        <v>MGI:3645947</v>
      </c>
      <c r="J5705" s="4" t="s">
        <v>2683</v>
      </c>
    </row>
    <row r="5706" spans="1:10" x14ac:dyDescent="0.25">
      <c r="A5706" s="2">
        <v>3629.5694433572298</v>
      </c>
      <c r="B5706" s="3">
        <v>-0.55182887878202902</v>
      </c>
      <c r="C5706" s="5">
        <v>7.8756320680459099E-32</v>
      </c>
      <c r="D5706" s="6">
        <v>2.0741820005800099E-30</v>
      </c>
      <c r="E5706" s="3" t="s">
        <v>2245</v>
      </c>
      <c r="F5706" s="3" t="s">
        <v>2246</v>
      </c>
      <c r="G5706" s="3">
        <v>110147</v>
      </c>
      <c r="H5706" s="7" t="str">
        <f>HYPERLINK("http://www.ensembl.org/Mus_musculus/Gene/Summary?db=core;g=ENSMUSG00000013787","ENSMUSG00000013787")</f>
        <v>ENSMUSG00000013787</v>
      </c>
      <c r="I5706" s="7" t="str">
        <f>HYPERLINK("http://www.informatics.jax.org/marker/MGI:2148922","MGI:2148922")</f>
        <v>MGI:2148922</v>
      </c>
      <c r="J5706" s="4" t="s">
        <v>12</v>
      </c>
    </row>
    <row r="5707" spans="1:10" x14ac:dyDescent="0.25">
      <c r="A5707" s="2">
        <v>729.02988554995898</v>
      </c>
      <c r="B5707" s="3">
        <v>-0.55224744710642304</v>
      </c>
      <c r="C5707" s="5">
        <v>7.7260907292196795E-11</v>
      </c>
      <c r="D5707" s="6">
        <v>6.6670456221604502E-10</v>
      </c>
      <c r="E5707" s="3" t="s">
        <v>2802</v>
      </c>
      <c r="F5707" s="3" t="s">
        <v>2803</v>
      </c>
      <c r="G5707" s="3">
        <v>237860</v>
      </c>
      <c r="H5707" s="7" t="str">
        <f>HYPERLINK("http://www.ensembl.org/Mus_musculus/Gene/Summary?db=core;g=ENSMUSG00000037926","ENSMUSG00000037926")</f>
        <v>ENSMUSG00000037926</v>
      </c>
      <c r="I5707" s="7" t="str">
        <f>HYPERLINK("http://www.informatics.jax.org/marker/MGI:2679255","MGI:2679255")</f>
        <v>MGI:2679255</v>
      </c>
      <c r="J5707" s="4" t="s">
        <v>12</v>
      </c>
    </row>
    <row r="5708" spans="1:10" x14ac:dyDescent="0.25">
      <c r="A5708" s="2">
        <v>100.484937528618</v>
      </c>
      <c r="B5708" s="3">
        <v>-0.55336323194581405</v>
      </c>
      <c r="C5708" s="3">
        <v>7.6368402936539004E-4</v>
      </c>
      <c r="D5708" s="4">
        <v>2.7403310563465701E-3</v>
      </c>
      <c r="E5708" s="3" t="s">
        <v>9363</v>
      </c>
      <c r="F5708" s="3" t="s">
        <v>9364</v>
      </c>
      <c r="G5708" s="3">
        <v>71836</v>
      </c>
      <c r="H5708" s="7" t="str">
        <f>HYPERLINK("http://www.ensembl.org/Mus_musculus/Gene/Summary?db=core;g=ENSMUSG00000042708","ENSMUSG00000042708")</f>
        <v>ENSMUSG00000042708</v>
      </c>
      <c r="I5708" s="7" t="str">
        <f>HYPERLINK("http://www.informatics.jax.org/marker/MGI:1919086","MGI:1919086")</f>
        <v>MGI:1919086</v>
      </c>
      <c r="J5708" s="4" t="s">
        <v>12</v>
      </c>
    </row>
    <row r="5709" spans="1:10" x14ac:dyDescent="0.25">
      <c r="A5709" s="2">
        <v>2.3582353572907699</v>
      </c>
      <c r="B5709" s="3">
        <v>-0.55350074060280596</v>
      </c>
      <c r="C5709" s="3">
        <v>0.23944154506923601</v>
      </c>
      <c r="D5709" s="4">
        <v>0.40193627695374701</v>
      </c>
      <c r="E5709" s="3" t="s">
        <v>12045</v>
      </c>
      <c r="F5709" s="3" t="s">
        <v>12046</v>
      </c>
      <c r="G5709" s="3" t="s">
        <v>83</v>
      </c>
      <c r="H5709" s="7" t="str">
        <f>HYPERLINK("http://www.ensembl.org/Mus_musculus/Gene/Summary?db=core;g=ENSMUSG00000080076","ENSMUSG00000080076")</f>
        <v>ENSMUSG00000080076</v>
      </c>
      <c r="I5709" s="7" t="str">
        <f>HYPERLINK("http://www.informatics.jax.org/marker/MGI:2448312","MGI:2448312")</f>
        <v>MGI:2448312</v>
      </c>
      <c r="J5709" s="4" t="s">
        <v>2683</v>
      </c>
    </row>
    <row r="5710" spans="1:10" x14ac:dyDescent="0.25">
      <c r="A5710" s="2">
        <v>206.22493267353801</v>
      </c>
      <c r="B5710" s="3">
        <v>-0.55373962931482601</v>
      </c>
      <c r="C5710" s="5">
        <v>3.3079088851892098E-7</v>
      </c>
      <c r="D5710" s="6">
        <v>1.95418604319524E-6</v>
      </c>
      <c r="E5710" s="3" t="s">
        <v>3462</v>
      </c>
      <c r="F5710" s="3" t="s">
        <v>3463</v>
      </c>
      <c r="G5710" s="3">
        <v>58245</v>
      </c>
      <c r="H5710" s="7" t="str">
        <f>HYPERLINK("http://www.ensembl.org/Mus_musculus/Gene/Summary?db=core;g=ENSMUSG00000022131","ENSMUSG00000022131")</f>
        <v>ENSMUSG00000022131</v>
      </c>
      <c r="I5710" s="7" t="str">
        <f>HYPERLINK("http://www.informatics.jax.org/marker/MGI:1930949","MGI:1930949")</f>
        <v>MGI:1930949</v>
      </c>
      <c r="J5710" s="4" t="s">
        <v>12</v>
      </c>
    </row>
    <row r="5711" spans="1:10" x14ac:dyDescent="0.25">
      <c r="A5711" s="2">
        <v>315.04984526574702</v>
      </c>
      <c r="B5711" s="3">
        <v>-0.55382784756780101</v>
      </c>
      <c r="C5711" s="5">
        <v>3.0395781407374699E-14</v>
      </c>
      <c r="D5711" s="6">
        <v>3.39438183915076E-13</v>
      </c>
      <c r="E5711" s="3" t="s">
        <v>2728</v>
      </c>
      <c r="F5711" s="3" t="s">
        <v>2729</v>
      </c>
      <c r="G5711" s="3">
        <v>13350</v>
      </c>
      <c r="H5711" s="7" t="str">
        <f>HYPERLINK("http://www.ensembl.org/Mus_musculus/Gene/Summary?db=core;g=ENSMUSG00000022555","ENSMUSG00000022555")</f>
        <v>ENSMUSG00000022555</v>
      </c>
      <c r="I5711" s="7" t="str">
        <f>HYPERLINK("http://www.informatics.jax.org/marker/MGI:1333825","MGI:1333825")</f>
        <v>MGI:1333825</v>
      </c>
      <c r="J5711" s="4" t="s">
        <v>12</v>
      </c>
    </row>
    <row r="5712" spans="1:10" x14ac:dyDescent="0.25">
      <c r="A5712" s="2">
        <v>30.992719601443401</v>
      </c>
      <c r="B5712" s="3">
        <v>-0.55388868479772702</v>
      </c>
      <c r="C5712" s="3">
        <v>7.0066728357431399E-3</v>
      </c>
      <c r="D5712" s="4">
        <v>2.04118626009301E-2</v>
      </c>
      <c r="E5712" s="3" t="s">
        <v>7540</v>
      </c>
      <c r="F5712" s="3" t="s">
        <v>7541</v>
      </c>
      <c r="G5712" s="3">
        <v>52028</v>
      </c>
      <c r="H5712" s="7" t="str">
        <f>HYPERLINK("http://www.ensembl.org/Mus_musculus/Gene/Summary?db=core;g=ENSMUSG00000006464","ENSMUSG00000006464")</f>
        <v>ENSMUSG00000006464</v>
      </c>
      <c r="I5712" s="7" t="str">
        <f>HYPERLINK("http://www.informatics.jax.org/marker/MGI:1277215","MGI:1277215")</f>
        <v>MGI:1277215</v>
      </c>
      <c r="J5712" s="4" t="s">
        <v>12</v>
      </c>
    </row>
    <row r="5713" spans="1:10" x14ac:dyDescent="0.25">
      <c r="A5713" s="2">
        <v>380.44484989384898</v>
      </c>
      <c r="B5713" s="3">
        <v>-0.55403787637212698</v>
      </c>
      <c r="C5713" s="5">
        <v>4.9631900795607703E-11</v>
      </c>
      <c r="D5713" s="6">
        <v>4.36133747348096E-10</v>
      </c>
      <c r="E5713" s="3" t="s">
        <v>3848</v>
      </c>
      <c r="F5713" s="3" t="s">
        <v>3849</v>
      </c>
      <c r="G5713" s="3">
        <v>77975</v>
      </c>
      <c r="H5713" s="7" t="str">
        <f>HYPERLINK("http://www.ensembl.org/Mus_musculus/Gene/Summary?db=core;g=ENSMUSG00000022964","ENSMUSG00000022964")</f>
        <v>ENSMUSG00000022964</v>
      </c>
      <c r="I5713" s="7" t="str">
        <f>HYPERLINK("http://www.informatics.jax.org/marker/MGI:1925225","MGI:1925225")</f>
        <v>MGI:1925225</v>
      </c>
      <c r="J5713" s="4" t="s">
        <v>12</v>
      </c>
    </row>
    <row r="5714" spans="1:10" x14ac:dyDescent="0.25">
      <c r="A5714" s="2">
        <v>48.493002453914002</v>
      </c>
      <c r="B5714" s="3">
        <v>-0.55618979223864495</v>
      </c>
      <c r="C5714" s="3">
        <v>7.0169692282541604E-4</v>
      </c>
      <c r="D5714" s="4">
        <v>2.53688284437477E-3</v>
      </c>
      <c r="E5714" s="3" t="s">
        <v>12350</v>
      </c>
      <c r="F5714" s="3" t="s">
        <v>12351</v>
      </c>
      <c r="G5714" s="3">
        <v>320226</v>
      </c>
      <c r="H5714" s="7" t="str">
        <f>HYPERLINK("http://www.ensembl.org/Mus_musculus/Gene/Summary?db=core;g=ENSMUSG00000052407","ENSMUSG00000052407")</f>
        <v>ENSMUSG00000052407</v>
      </c>
      <c r="I5714" s="7" t="str">
        <f>HYPERLINK("http://www.informatics.jax.org/marker/MGI:1922152","MGI:1922152")</f>
        <v>MGI:1922152</v>
      </c>
      <c r="J5714" s="4" t="s">
        <v>12</v>
      </c>
    </row>
    <row r="5715" spans="1:10" x14ac:dyDescent="0.25">
      <c r="A5715" s="2">
        <v>784.39874596991297</v>
      </c>
      <c r="B5715" s="3">
        <v>-0.55630761618546598</v>
      </c>
      <c r="C5715" s="5">
        <v>2.02014761620003E-14</v>
      </c>
      <c r="D5715" s="6">
        <v>2.2853625267067399E-13</v>
      </c>
      <c r="E5715" s="3" t="s">
        <v>2091</v>
      </c>
      <c r="F5715" s="3" t="s">
        <v>2092</v>
      </c>
      <c r="G5715" s="3">
        <v>67078</v>
      </c>
      <c r="H5715" s="7" t="str">
        <f>HYPERLINK("http://www.ensembl.org/Mus_musculus/Gene/Summary?db=core;g=ENSMUSG00000043445","ENSMUSG00000043445")</f>
        <v>ENSMUSG00000043445</v>
      </c>
      <c r="I5715" s="7" t="str">
        <f>HYPERLINK("http://www.informatics.jax.org/marker/MGI:1914328","MGI:1914328")</f>
        <v>MGI:1914328</v>
      </c>
      <c r="J5715" s="4" t="s">
        <v>12</v>
      </c>
    </row>
    <row r="5716" spans="1:10" x14ac:dyDescent="0.25">
      <c r="A5716" s="2">
        <v>758.21434132276295</v>
      </c>
      <c r="B5716" s="3">
        <v>-0.55631720762139902</v>
      </c>
      <c r="C5716" s="5">
        <v>4.6493784446174599E-10</v>
      </c>
      <c r="D5716" s="6">
        <v>3.7410561657021296E-9</v>
      </c>
      <c r="E5716" s="3" t="s">
        <v>1887</v>
      </c>
      <c r="F5716" s="3" t="s">
        <v>1888</v>
      </c>
      <c r="G5716" s="3">
        <v>12544</v>
      </c>
      <c r="H5716" s="7" t="str">
        <f>HYPERLINK("http://www.ensembl.org/Mus_musculus/Gene/Summary?db=core;g=ENSMUSG00000000028","ENSMUSG00000000028")</f>
        <v>ENSMUSG00000000028</v>
      </c>
      <c r="I5716" s="7" t="str">
        <f>HYPERLINK("http://www.informatics.jax.org/marker/MGI:1338073","MGI:1338073")</f>
        <v>MGI:1338073</v>
      </c>
      <c r="J5716" s="4" t="s">
        <v>12</v>
      </c>
    </row>
    <row r="5717" spans="1:10" x14ac:dyDescent="0.25">
      <c r="A5717" s="2">
        <v>5366.5290353230903</v>
      </c>
      <c r="B5717" s="3">
        <v>-0.55668613650227805</v>
      </c>
      <c r="C5717" s="5">
        <v>8.5302885434476994E-18</v>
      </c>
      <c r="D5717" s="6">
        <v>1.1876585844486999E-16</v>
      </c>
      <c r="E5717" s="3" t="s">
        <v>816</v>
      </c>
      <c r="F5717" s="3" t="s">
        <v>817</v>
      </c>
      <c r="G5717" s="3">
        <v>13433</v>
      </c>
      <c r="H5717" s="7" t="str">
        <f>HYPERLINK("http://www.ensembl.org/Mus_musculus/Gene/Summary?db=core;g=ENSMUSG00000004099","ENSMUSG00000004099")</f>
        <v>ENSMUSG00000004099</v>
      </c>
      <c r="I5717" s="7" t="str">
        <f>HYPERLINK("http://www.informatics.jax.org/marker/MGI:94912","MGI:94912")</f>
        <v>MGI:94912</v>
      </c>
      <c r="J5717" s="4" t="s">
        <v>12</v>
      </c>
    </row>
    <row r="5718" spans="1:10" x14ac:dyDescent="0.25">
      <c r="A5718" s="2">
        <v>294.485070439661</v>
      </c>
      <c r="B5718" s="3">
        <v>-0.556917418966971</v>
      </c>
      <c r="C5718" s="5">
        <v>2.9147860505603901E-9</v>
      </c>
      <c r="D5718" s="6">
        <v>2.15942990940907E-8</v>
      </c>
      <c r="E5718" s="3" t="s">
        <v>5567</v>
      </c>
      <c r="F5718" s="3" t="s">
        <v>5568</v>
      </c>
      <c r="G5718" s="3">
        <v>68241</v>
      </c>
      <c r="H5718" s="7" t="str">
        <f>HYPERLINK("http://www.ensembl.org/Mus_musculus/Gene/Summary?db=core;g=ENSMUSG00000025732","ENSMUSG00000025732")</f>
        <v>ENSMUSG00000025732</v>
      </c>
      <c r="I5718" s="7" t="str">
        <f>HYPERLINK("http://www.informatics.jax.org/marker/MGI:1915491","MGI:1915491")</f>
        <v>MGI:1915491</v>
      </c>
      <c r="J5718" s="4" t="s">
        <v>12</v>
      </c>
    </row>
    <row r="5719" spans="1:10" x14ac:dyDescent="0.25">
      <c r="A5719" s="2">
        <v>14.5474853091835</v>
      </c>
      <c r="B5719" s="3">
        <v>-0.557116976671581</v>
      </c>
      <c r="C5719" s="3">
        <v>4.1734784184000999E-2</v>
      </c>
      <c r="D5719" s="4">
        <v>9.7916637712850002E-2</v>
      </c>
      <c r="E5719" s="3" t="s">
        <v>13933</v>
      </c>
      <c r="F5719" s="3" t="s">
        <v>13934</v>
      </c>
      <c r="G5719" s="3">
        <v>69129</v>
      </c>
      <c r="H5719" s="7" t="str">
        <f>HYPERLINK("http://www.ensembl.org/Mus_musculus/Gene/Summary?db=core;g=ENSMUSG00000069633","ENSMUSG00000069633")</f>
        <v>ENSMUSG00000069633</v>
      </c>
      <c r="I5719" s="7" t="str">
        <f>HYPERLINK("http://www.informatics.jax.org/marker/MGI:1920905","MGI:1920905")</f>
        <v>MGI:1920905</v>
      </c>
      <c r="J5719" s="4" t="s">
        <v>12</v>
      </c>
    </row>
    <row r="5720" spans="1:10" x14ac:dyDescent="0.25">
      <c r="A5720" s="2">
        <v>255.457330407527</v>
      </c>
      <c r="B5720" s="3">
        <v>-0.55760118231795897</v>
      </c>
      <c r="C5720" s="5">
        <v>5.1572388736153099E-12</v>
      </c>
      <c r="D5720" s="6">
        <v>4.9030087882962503E-11</v>
      </c>
      <c r="E5720" s="3" t="s">
        <v>5363</v>
      </c>
      <c r="F5720" s="3" t="s">
        <v>5364</v>
      </c>
      <c r="G5720" s="3">
        <v>234730</v>
      </c>
      <c r="H5720" s="7" t="str">
        <f>HYPERLINK("http://www.ensembl.org/Mus_musculus/Gene/Summary?db=core;g=ENSMUSG00000033703","ENSMUSG00000033703")</f>
        <v>ENSMUSG00000033703</v>
      </c>
      <c r="I5720" s="7" t="str">
        <f>HYPERLINK("http://www.informatics.jax.org/marker/MGI:1916071","MGI:1916071")</f>
        <v>MGI:1916071</v>
      </c>
      <c r="J5720" s="4" t="s">
        <v>12</v>
      </c>
    </row>
    <row r="5721" spans="1:10" x14ac:dyDescent="0.25">
      <c r="A5721" s="2">
        <v>1208.1131357806901</v>
      </c>
      <c r="B5721" s="3">
        <v>-0.55766579675768702</v>
      </c>
      <c r="C5721" s="5">
        <v>8.4670557821127394E-21</v>
      </c>
      <c r="D5721" s="6">
        <v>1.3777865324018299E-19</v>
      </c>
      <c r="E5721" s="3" t="s">
        <v>1989</v>
      </c>
      <c r="F5721" s="3" t="s">
        <v>1990</v>
      </c>
      <c r="G5721" s="3">
        <v>101739</v>
      </c>
      <c r="H5721" s="7" t="str">
        <f>HYPERLINK("http://www.ensembl.org/Mus_musculus/Gene/Summary?db=core;g=ENSMUSG00000028484","ENSMUSG00000028484")</f>
        <v>ENSMUSG00000028484</v>
      </c>
      <c r="I5721" s="7" t="str">
        <f>HYPERLINK("http://www.informatics.jax.org/marker/MGI:2142116","MGI:2142116")</f>
        <v>MGI:2142116</v>
      </c>
      <c r="J5721" s="4" t="s">
        <v>12</v>
      </c>
    </row>
    <row r="5722" spans="1:10" x14ac:dyDescent="0.25">
      <c r="A5722" s="2">
        <v>193.21987305683899</v>
      </c>
      <c r="B5722" s="3">
        <v>-0.55792982547759096</v>
      </c>
      <c r="C5722" s="5">
        <v>2.9966142192287999E-9</v>
      </c>
      <c r="D5722" s="6">
        <v>2.2146510196855201E-8</v>
      </c>
      <c r="E5722" s="3" t="s">
        <v>3626</v>
      </c>
      <c r="F5722" s="3" t="s">
        <v>3627</v>
      </c>
      <c r="G5722" s="3" t="s">
        <v>83</v>
      </c>
      <c r="H5722" s="7" t="str">
        <f>HYPERLINK("http://www.ensembl.org/Mus_musculus/Gene/Summary?db=core;g=ENSMUSG00000113786","ENSMUSG00000113786")</f>
        <v>ENSMUSG00000113786</v>
      </c>
      <c r="I5722" s="7" t="str">
        <f>HYPERLINK("http://www.informatics.jax.org/marker/MGI:6121607","MGI:6121607")</f>
        <v>MGI:6121607</v>
      </c>
      <c r="J5722" s="4" t="s">
        <v>12</v>
      </c>
    </row>
    <row r="5723" spans="1:10" x14ac:dyDescent="0.25">
      <c r="A5723" s="2">
        <v>320.31552428637201</v>
      </c>
      <c r="B5723" s="3">
        <v>-0.55849263234509905</v>
      </c>
      <c r="C5723" s="5">
        <v>2.6425451999551501E-11</v>
      </c>
      <c r="D5723" s="6">
        <v>2.3689319365067699E-10</v>
      </c>
      <c r="E5723" s="3" t="s">
        <v>4565</v>
      </c>
      <c r="F5723" s="3" t="s">
        <v>4566</v>
      </c>
      <c r="G5723" s="3">
        <v>72826</v>
      </c>
      <c r="H5723" s="7" t="str">
        <f>HYPERLINK("http://www.ensembl.org/Mus_musculus/Gene/Summary?db=core;g=ENSMUSG00000037808","ENSMUSG00000037808")</f>
        <v>ENSMUSG00000037808</v>
      </c>
      <c r="I5723" s="7" t="str">
        <f>HYPERLINK("http://www.informatics.jax.org/marker/MGI:1920076","MGI:1920076")</f>
        <v>MGI:1920076</v>
      </c>
      <c r="J5723" s="4" t="s">
        <v>12</v>
      </c>
    </row>
    <row r="5724" spans="1:10" x14ac:dyDescent="0.25">
      <c r="A5724" s="2">
        <v>1166.3934772068201</v>
      </c>
      <c r="B5724" s="3">
        <v>-0.55870688361096199</v>
      </c>
      <c r="C5724" s="5">
        <v>1.1703927684068001E-13</v>
      </c>
      <c r="D5724" s="6">
        <v>1.26740393370255E-12</v>
      </c>
      <c r="E5724" s="3" t="s">
        <v>1620</v>
      </c>
      <c r="F5724" s="3" t="s">
        <v>1621</v>
      </c>
      <c r="G5724" s="3">
        <v>19891</v>
      </c>
      <c r="H5724" s="7" t="str">
        <f>HYPERLINK("http://www.ensembl.org/Mus_musculus/Gene/Summary?db=core;g=ENSMUSG00000028884","ENSMUSG00000028884")</f>
        <v>ENSMUSG00000028884</v>
      </c>
      <c r="I5724" s="7" t="str">
        <f>HYPERLINK("http://www.informatics.jax.org/marker/MGI:1339939","MGI:1339939")</f>
        <v>MGI:1339939</v>
      </c>
      <c r="J5724" s="4" t="s">
        <v>12</v>
      </c>
    </row>
    <row r="5725" spans="1:10" x14ac:dyDescent="0.25">
      <c r="A5725" s="2">
        <v>2978.4562485502302</v>
      </c>
      <c r="B5725" s="3">
        <v>-0.55994946298190096</v>
      </c>
      <c r="C5725" s="5">
        <v>1.39751853770936E-39</v>
      </c>
      <c r="D5725" s="6">
        <v>4.7518237592822901E-38</v>
      </c>
      <c r="E5725" s="3" t="s">
        <v>900</v>
      </c>
      <c r="F5725" s="3" t="s">
        <v>901</v>
      </c>
      <c r="G5725" s="3">
        <v>56758</v>
      </c>
      <c r="H5725" s="7" t="str">
        <f>HYPERLINK("http://www.ensembl.org/Mus_musculus/Gene/Summary?db=core;g=ENSMUSG00000027763","ENSMUSG00000027763")</f>
        <v>ENSMUSG00000027763</v>
      </c>
      <c r="I5725" s="7" t="str">
        <f>HYPERLINK("http://www.informatics.jax.org/marker/MGI:1928482","MGI:1928482")</f>
        <v>MGI:1928482</v>
      </c>
      <c r="J5725" s="4" t="s">
        <v>12</v>
      </c>
    </row>
    <row r="5726" spans="1:10" x14ac:dyDescent="0.25">
      <c r="A5726" s="2">
        <v>1324.3950300398999</v>
      </c>
      <c r="B5726" s="3">
        <v>-0.55998758853923503</v>
      </c>
      <c r="C5726" s="5">
        <v>4.6183877438846698E-23</v>
      </c>
      <c r="D5726" s="6">
        <v>8.4254371003301399E-22</v>
      </c>
      <c r="E5726" s="3" t="s">
        <v>2627</v>
      </c>
      <c r="F5726" s="3" t="s">
        <v>2628</v>
      </c>
      <c r="G5726" s="3">
        <v>269593</v>
      </c>
      <c r="H5726" s="7" t="str">
        <f>HYPERLINK("http://www.ensembl.org/Mus_musculus/Gene/Summary?db=core;g=ENSMUSG00000001089","ENSMUSG00000001089")</f>
        <v>ENSMUSG00000001089</v>
      </c>
      <c r="I5726" s="7" t="str">
        <f>HYPERLINK("http://www.informatics.jax.org/marker/MGI:107629","MGI:107629")</f>
        <v>MGI:107629</v>
      </c>
      <c r="J5726" s="4" t="s">
        <v>12</v>
      </c>
    </row>
    <row r="5727" spans="1:10" x14ac:dyDescent="0.25">
      <c r="A5727" s="2">
        <v>755.45669441183998</v>
      </c>
      <c r="B5727" s="3">
        <v>-0.56015913072954904</v>
      </c>
      <c r="C5727" s="5">
        <v>2.05839106388991E-7</v>
      </c>
      <c r="D5727" s="6">
        <v>1.24673237419055E-6</v>
      </c>
      <c r="E5727" s="3" t="s">
        <v>6687</v>
      </c>
      <c r="F5727" s="3" t="s">
        <v>6688</v>
      </c>
      <c r="G5727" s="3">
        <v>66972</v>
      </c>
      <c r="H5727" s="7" t="str">
        <f>HYPERLINK("http://www.ensembl.org/Mus_musculus/Gene/Summary?db=core;g=ENSMUSG00000046329","ENSMUSG00000046329")</f>
        <v>ENSMUSG00000046329</v>
      </c>
      <c r="I5727" s="7" t="str">
        <f>HYPERLINK("http://www.informatics.jax.org/marker/MGI:1914222","MGI:1914222")</f>
        <v>MGI:1914222</v>
      </c>
      <c r="J5727" s="4" t="s">
        <v>12</v>
      </c>
    </row>
    <row r="5728" spans="1:10" x14ac:dyDescent="0.25">
      <c r="A5728" s="2">
        <v>1262.1887667040701</v>
      </c>
      <c r="B5728" s="3">
        <v>-0.56085086971398801</v>
      </c>
      <c r="C5728" s="5">
        <v>3.43262270990029E-23</v>
      </c>
      <c r="D5728" s="6">
        <v>6.3064061378964603E-22</v>
      </c>
      <c r="E5728" s="3" t="s">
        <v>1644</v>
      </c>
      <c r="F5728" s="3" t="s">
        <v>1645</v>
      </c>
      <c r="G5728" s="3">
        <v>227292</v>
      </c>
      <c r="H5728" s="7" t="str">
        <f>HYPERLINK("http://www.ensembl.org/Mus_musculus/Gene/Summary?db=core;g=ENSMUSG00000026176","ENSMUSG00000026176")</f>
        <v>ENSMUSG00000026176</v>
      </c>
      <c r="I5728" s="7" t="str">
        <f>HYPERLINK("http://www.informatics.jax.org/marker/MGI:2654470","MGI:2654470")</f>
        <v>MGI:2654470</v>
      </c>
      <c r="J5728" s="4" t="s">
        <v>12</v>
      </c>
    </row>
    <row r="5729" spans="1:10" x14ac:dyDescent="0.25">
      <c r="A5729" s="2">
        <v>1403.4071649268201</v>
      </c>
      <c r="B5729" s="3">
        <v>-0.56139423452131498</v>
      </c>
      <c r="C5729" s="5">
        <v>6.4230901631031104E-17</v>
      </c>
      <c r="D5729" s="6">
        <v>8.5135140525493999E-16</v>
      </c>
      <c r="E5729" s="3" t="s">
        <v>3100</v>
      </c>
      <c r="F5729" s="3" t="s">
        <v>3101</v>
      </c>
      <c r="G5729" s="3">
        <v>67974</v>
      </c>
      <c r="H5729" s="7" t="str">
        <f>HYPERLINK("http://www.ensembl.org/Mus_musculus/Gene/Summary?db=core;g=ENSMUSG00000024286","ENSMUSG00000024286")</f>
        <v>ENSMUSG00000024286</v>
      </c>
      <c r="I5729" s="7" t="str">
        <f>HYPERLINK("http://www.informatics.jax.org/marker/MGI:1915224","MGI:1915224")</f>
        <v>MGI:1915224</v>
      </c>
      <c r="J5729" s="4" t="s">
        <v>12</v>
      </c>
    </row>
    <row r="5730" spans="1:10" x14ac:dyDescent="0.25">
      <c r="A5730" s="2">
        <v>511.676441957968</v>
      </c>
      <c r="B5730" s="3">
        <v>-0.562051790025345</v>
      </c>
      <c r="C5730" s="5">
        <v>5.12254765329322E-13</v>
      </c>
      <c r="D5730" s="6">
        <v>5.2954300046096899E-12</v>
      </c>
      <c r="E5730" s="3" t="s">
        <v>3454</v>
      </c>
      <c r="F5730" s="3" t="s">
        <v>3455</v>
      </c>
      <c r="G5730" s="3">
        <v>69890</v>
      </c>
      <c r="H5730" s="7" t="str">
        <f>HYPERLINK("http://www.ensembl.org/Mus_musculus/Gene/Summary?db=core;g=ENSMUSG00000049295","ENSMUSG00000049295")</f>
        <v>ENSMUSG00000049295</v>
      </c>
      <c r="I5730" s="7" t="str">
        <f>HYPERLINK("http://www.informatics.jax.org/marker/MGI:1917140","MGI:1917140")</f>
        <v>MGI:1917140</v>
      </c>
      <c r="J5730" s="4" t="s">
        <v>12</v>
      </c>
    </row>
    <row r="5731" spans="1:10" x14ac:dyDescent="0.25">
      <c r="A5731" s="2">
        <v>750.74041134597996</v>
      </c>
      <c r="B5731" s="3">
        <v>-0.56209979070526905</v>
      </c>
      <c r="C5731" s="5">
        <v>3.86490105388913E-15</v>
      </c>
      <c r="D5731" s="6">
        <v>4.5828120824417198E-14</v>
      </c>
      <c r="E5731" s="3" t="s">
        <v>2243</v>
      </c>
      <c r="F5731" s="3" t="s">
        <v>2244</v>
      </c>
      <c r="G5731" s="3">
        <v>106326</v>
      </c>
      <c r="H5731" s="7" t="str">
        <f>HYPERLINK("http://www.ensembl.org/Mus_musculus/Gene/Summary?db=core;g=ENSMUSG00000022807","ENSMUSG00000022807")</f>
        <v>ENSMUSG00000022807</v>
      </c>
      <c r="I5731" s="7" t="str">
        <f>HYPERLINK("http://www.informatics.jax.org/marker/MGI:2146553","MGI:2146553")</f>
        <v>MGI:2146553</v>
      </c>
      <c r="J5731" s="4" t="s">
        <v>12</v>
      </c>
    </row>
    <row r="5732" spans="1:10" x14ac:dyDescent="0.25">
      <c r="A5732" s="2">
        <v>137.57496338534099</v>
      </c>
      <c r="B5732" s="3">
        <v>-0.56227209052947802</v>
      </c>
      <c r="C5732" s="5">
        <v>9.4727075015146803E-7</v>
      </c>
      <c r="D5732" s="6">
        <v>5.2811286085991104E-6</v>
      </c>
      <c r="E5732" s="3" t="s">
        <v>11315</v>
      </c>
      <c r="F5732" s="3" t="s">
        <v>11316</v>
      </c>
      <c r="G5732" s="3">
        <v>68708</v>
      </c>
      <c r="H5732" s="7" t="str">
        <f>HYPERLINK("http://www.ensembl.org/Mus_musculus/Gene/Summary?db=core;g=ENSMUSG00000022621","ENSMUSG00000022621")</f>
        <v>ENSMUSG00000022621</v>
      </c>
      <c r="I5732" s="7" t="str">
        <f>HYPERLINK("http://www.informatics.jax.org/marker/MGI:1915958","MGI:1915958")</f>
        <v>MGI:1915958</v>
      </c>
      <c r="J5732" s="4" t="s">
        <v>12</v>
      </c>
    </row>
    <row r="5733" spans="1:10" x14ac:dyDescent="0.25">
      <c r="A5733" s="2">
        <v>1354.2614850395701</v>
      </c>
      <c r="B5733" s="3">
        <v>-0.56227668127970298</v>
      </c>
      <c r="C5733" s="5">
        <v>3.35716398741683E-21</v>
      </c>
      <c r="D5733" s="6">
        <v>5.58251037141166E-20</v>
      </c>
      <c r="E5733" s="3" t="s">
        <v>2413</v>
      </c>
      <c r="F5733" s="3" t="s">
        <v>2414</v>
      </c>
      <c r="G5733" s="3">
        <v>100710</v>
      </c>
      <c r="H5733" s="7" t="str">
        <f>HYPERLINK("http://www.ensembl.org/Mus_musculus/Gene/Summary?db=core;g=ENSMUSG00000034021","ENSMUSG00000034021")</f>
        <v>ENSMUSG00000034021</v>
      </c>
      <c r="I5733" s="7" t="str">
        <f>HYPERLINK("http://www.informatics.jax.org/marker/MGI:2140945","MGI:2140945")</f>
        <v>MGI:2140945</v>
      </c>
      <c r="J5733" s="4" t="s">
        <v>12</v>
      </c>
    </row>
    <row r="5734" spans="1:10" x14ac:dyDescent="0.25">
      <c r="A5734" s="2">
        <v>68.522797420271203</v>
      </c>
      <c r="B5734" s="3">
        <v>-0.56238540255606095</v>
      </c>
      <c r="C5734" s="3">
        <v>9.8308291165010711E-4</v>
      </c>
      <c r="D5734" s="4">
        <v>3.4641697727809699E-3</v>
      </c>
      <c r="E5734" s="3" t="s">
        <v>8841</v>
      </c>
      <c r="F5734" s="3" t="s">
        <v>8842</v>
      </c>
      <c r="G5734" s="3" t="s">
        <v>83</v>
      </c>
      <c r="H5734" s="7" t="str">
        <f>HYPERLINK("http://www.ensembl.org/Mus_musculus/Gene/Summary?db=core;g=ENSMUSG00000097287","ENSMUSG00000097287")</f>
        <v>ENSMUSG00000097287</v>
      </c>
      <c r="I5734" s="7" t="str">
        <f>HYPERLINK("http://www.informatics.jax.org/marker/MGI:2443273","MGI:2443273")</f>
        <v>MGI:2443273</v>
      </c>
      <c r="J5734" s="4" t="s">
        <v>939</v>
      </c>
    </row>
    <row r="5735" spans="1:10" x14ac:dyDescent="0.25">
      <c r="A5735" s="2">
        <v>109.718564085476</v>
      </c>
      <c r="B5735" s="3">
        <v>-0.562613774360462</v>
      </c>
      <c r="C5735" s="5">
        <v>3.8415347468357598E-7</v>
      </c>
      <c r="D5735" s="6">
        <v>2.2540879189015299E-6</v>
      </c>
      <c r="E5735" s="3" t="s">
        <v>4465</v>
      </c>
      <c r="F5735" s="3" t="s">
        <v>4466</v>
      </c>
      <c r="G5735" s="3">
        <v>13972</v>
      </c>
      <c r="H5735" s="7" t="str">
        <f>HYPERLINK("http://www.ensembl.org/Mus_musculus/Gene/Summary?db=core;g=ENSMUSG00000000884","ENSMUSG00000000884")</f>
        <v>ENSMUSG00000000884</v>
      </c>
      <c r="I5735" s="7" t="str">
        <f>HYPERLINK("http://www.informatics.jax.org/marker/MGI:1338057","MGI:1338057")</f>
        <v>MGI:1338057</v>
      </c>
      <c r="J5735" s="4" t="s">
        <v>12</v>
      </c>
    </row>
    <row r="5736" spans="1:10" x14ac:dyDescent="0.25">
      <c r="A5736" s="2">
        <v>325.22753581518498</v>
      </c>
      <c r="B5736" s="3">
        <v>-0.56307016141762301</v>
      </c>
      <c r="C5736" s="5">
        <v>1.36288505247389E-11</v>
      </c>
      <c r="D5736" s="6">
        <v>1.25131385800184E-10</v>
      </c>
      <c r="E5736" s="3" t="s">
        <v>2886</v>
      </c>
      <c r="F5736" s="3" t="s">
        <v>2887</v>
      </c>
      <c r="G5736" s="3">
        <v>245622</v>
      </c>
      <c r="H5736" s="7" t="str">
        <f>HYPERLINK("http://www.ensembl.org/Mus_musculus/Gene/Summary?db=core;g=ENSMUSG00000042595","ENSMUSG00000042595")</f>
        <v>ENSMUSG00000042595</v>
      </c>
      <c r="I5736" s="7" t="str">
        <f>HYPERLINK("http://www.informatics.jax.org/marker/MGI:2384304","MGI:2384304")</f>
        <v>MGI:2384304</v>
      </c>
      <c r="J5736" s="4" t="s">
        <v>12</v>
      </c>
    </row>
    <row r="5737" spans="1:10" x14ac:dyDescent="0.25">
      <c r="A5737" s="2">
        <v>187.761206794392</v>
      </c>
      <c r="B5737" s="3">
        <v>-0.56340769596563101</v>
      </c>
      <c r="C5737" s="5">
        <v>4.9495125445135101E-9</v>
      </c>
      <c r="D5737" s="6">
        <v>3.5724699454954E-8</v>
      </c>
      <c r="E5737" s="3" t="s">
        <v>7862</v>
      </c>
      <c r="F5737" s="3" t="s">
        <v>7863</v>
      </c>
      <c r="G5737" s="3">
        <v>67939</v>
      </c>
      <c r="H5737" s="7" t="str">
        <f>HYPERLINK("http://www.ensembl.org/Mus_musculus/Gene/Summary?db=core;g=ENSMUSG00000032673","ENSMUSG00000032673")</f>
        <v>ENSMUSG00000032673</v>
      </c>
      <c r="I5737" s="7" t="str">
        <f>HYPERLINK("http://www.informatics.jax.org/marker/MGI:1915189","MGI:1915189")</f>
        <v>MGI:1915189</v>
      </c>
      <c r="J5737" s="4" t="s">
        <v>12</v>
      </c>
    </row>
    <row r="5738" spans="1:10" x14ac:dyDescent="0.25">
      <c r="A5738" s="2">
        <v>855.71337286069604</v>
      </c>
      <c r="B5738" s="3">
        <v>-0.56350621247993005</v>
      </c>
      <c r="C5738" s="5">
        <v>9.2661016617177805E-7</v>
      </c>
      <c r="D5738" s="6">
        <v>5.1770295151688096E-6</v>
      </c>
      <c r="E5738" s="3" t="s">
        <v>5501</v>
      </c>
      <c r="F5738" s="3" t="s">
        <v>5502</v>
      </c>
      <c r="G5738" s="3">
        <v>76524</v>
      </c>
      <c r="H5738" s="7" t="str">
        <f>HYPERLINK("http://www.ensembl.org/Mus_musculus/Gene/Summary?db=core;g=ENSMUSG00000032245","ENSMUSG00000032245")</f>
        <v>ENSMUSG00000032245</v>
      </c>
      <c r="I5738" s="7" t="str">
        <f>HYPERLINK("http://www.informatics.jax.org/marker/MGI:2159324","MGI:2159324")</f>
        <v>MGI:2159324</v>
      </c>
      <c r="J5738" s="4" t="s">
        <v>12</v>
      </c>
    </row>
    <row r="5739" spans="1:10" x14ac:dyDescent="0.25">
      <c r="A5739" s="2">
        <v>227.449513541811</v>
      </c>
      <c r="B5739" s="3">
        <v>-0.56364254132889202</v>
      </c>
      <c r="C5739" s="5">
        <v>1.8850814937890998E-11</v>
      </c>
      <c r="D5739" s="6">
        <v>1.7126425834649301E-10</v>
      </c>
      <c r="E5739" s="3" t="s">
        <v>4225</v>
      </c>
      <c r="F5739" s="3" t="s">
        <v>4226</v>
      </c>
      <c r="G5739" s="3">
        <v>226419</v>
      </c>
      <c r="H5739" s="7" t="str">
        <f>HYPERLINK("http://www.ensembl.org/Mus_musculus/Gene/Summary?db=core;g=ENSMUSG00000016526","ENSMUSG00000016526")</f>
        <v>ENSMUSG00000016526</v>
      </c>
      <c r="I5739" s="7" t="str">
        <f>HYPERLINK("http://www.informatics.jax.org/marker/MGI:1330300","MGI:1330300")</f>
        <v>MGI:1330300</v>
      </c>
      <c r="J5739" s="4" t="s">
        <v>12</v>
      </c>
    </row>
    <row r="5740" spans="1:10" x14ac:dyDescent="0.25">
      <c r="A5740" s="2">
        <v>422.21239929752301</v>
      </c>
      <c r="B5740" s="3">
        <v>-0.56366400512067005</v>
      </c>
      <c r="C5740" s="5">
        <v>3.1541556688367598E-10</v>
      </c>
      <c r="D5740" s="6">
        <v>2.58241181781446E-9</v>
      </c>
      <c r="E5740" s="3" t="s">
        <v>3438</v>
      </c>
      <c r="F5740" s="3" t="s">
        <v>3439</v>
      </c>
      <c r="G5740" s="3">
        <v>76967</v>
      </c>
      <c r="H5740" s="7" t="str">
        <f>HYPERLINK("http://www.ensembl.org/Mus_musculus/Gene/Summary?db=core;g=ENSMUSG00000034601","ENSMUSG00000034601")</f>
        <v>ENSMUSG00000034601</v>
      </c>
      <c r="I5740" s="7" t="str">
        <f>HYPERLINK("http://www.informatics.jax.org/marker/MGI:1924217","MGI:1924217")</f>
        <v>MGI:1924217</v>
      </c>
      <c r="J5740" s="4" t="s">
        <v>12</v>
      </c>
    </row>
    <row r="5741" spans="1:10" x14ac:dyDescent="0.25">
      <c r="A5741" s="2">
        <v>45.540490405660996</v>
      </c>
      <c r="B5741" s="3">
        <v>-0.56420418489037505</v>
      </c>
      <c r="C5741" s="3">
        <v>4.3612955149877899E-4</v>
      </c>
      <c r="D5741" s="4">
        <v>1.63514936763325E-3</v>
      </c>
      <c r="E5741" s="3" t="s">
        <v>8477</v>
      </c>
      <c r="F5741" s="3" t="s">
        <v>8478</v>
      </c>
      <c r="G5741" s="3">
        <v>101197</v>
      </c>
      <c r="H5741" s="7" t="str">
        <f>HYPERLINK("http://www.ensembl.org/Mus_musculus/Gene/Summary?db=core;g=ENSMUSG00000045466","ENSMUSG00000045466")</f>
        <v>ENSMUSG00000045466</v>
      </c>
      <c r="I5741" s="7" t="str">
        <f>HYPERLINK("http://www.informatics.jax.org/marker/MGI:2141515","MGI:2141515")</f>
        <v>MGI:2141515</v>
      </c>
      <c r="J5741" s="4" t="s">
        <v>12</v>
      </c>
    </row>
    <row r="5742" spans="1:10" x14ac:dyDescent="0.25">
      <c r="A5742" s="2">
        <v>1748.03684247007</v>
      </c>
      <c r="B5742" s="3">
        <v>-0.56437874483972905</v>
      </c>
      <c r="C5742" s="5">
        <v>1.8043852358220299E-15</v>
      </c>
      <c r="D5742" s="6">
        <v>2.1778093326395001E-14</v>
      </c>
      <c r="E5742" s="3" t="s">
        <v>2399</v>
      </c>
      <c r="F5742" s="3" t="s">
        <v>2400</v>
      </c>
      <c r="G5742" s="3">
        <v>230815</v>
      </c>
      <c r="H5742" s="7" t="str">
        <f>HYPERLINK("http://www.ensembl.org/Mus_musculus/Gene/Summary?db=core;g=ENSMUSG00000037306","ENSMUSG00000037306")</f>
        <v>ENSMUSG00000037306</v>
      </c>
      <c r="I5742" s="7" t="str">
        <f>HYPERLINK("http://www.informatics.jax.org/marker/MGI:2446214","MGI:2446214")</f>
        <v>MGI:2446214</v>
      </c>
      <c r="J5742" s="4" t="s">
        <v>12</v>
      </c>
    </row>
    <row r="5743" spans="1:10" x14ac:dyDescent="0.25">
      <c r="A5743" s="2">
        <v>11.6771908404497</v>
      </c>
      <c r="B5743" s="3">
        <v>-0.56485605508994396</v>
      </c>
      <c r="C5743" s="3">
        <v>8.8164079262674194E-2</v>
      </c>
      <c r="D5743" s="4">
        <v>0.18354927399614299</v>
      </c>
      <c r="E5743" s="3" t="s">
        <v>11751</v>
      </c>
      <c r="F5743" s="3" t="s">
        <v>11752</v>
      </c>
      <c r="G5743" s="3">
        <v>14555</v>
      </c>
      <c r="H5743" s="7" t="str">
        <f>HYPERLINK("http://www.ensembl.org/Mus_musculus/Gene/Summary?db=core;g=ENSMUSG00000023019","ENSMUSG00000023019")</f>
        <v>ENSMUSG00000023019</v>
      </c>
      <c r="I5743" s="7" t="str">
        <f>HYPERLINK("http://www.informatics.jax.org/marker/MGI:95679","MGI:95679")</f>
        <v>MGI:95679</v>
      </c>
      <c r="J5743" s="4" t="s">
        <v>12</v>
      </c>
    </row>
    <row r="5744" spans="1:10" x14ac:dyDescent="0.25">
      <c r="A5744" s="2">
        <v>247.297358315049</v>
      </c>
      <c r="B5744" s="3">
        <v>-0.56530208236270396</v>
      </c>
      <c r="C5744" s="3">
        <v>3.5593559005901601E-4</v>
      </c>
      <c r="D5744" s="4">
        <v>1.3517245527871599E-3</v>
      </c>
      <c r="E5744" s="3" t="s">
        <v>4933</v>
      </c>
      <c r="F5744" s="3" t="s">
        <v>4934</v>
      </c>
      <c r="G5744" s="3">
        <v>12416</v>
      </c>
      <c r="H5744" s="7" t="str">
        <f>HYPERLINK("http://www.ensembl.org/Mus_musculus/Gene/Summary?db=core;g=ENSMUSG00000025577","ENSMUSG00000025577")</f>
        <v>ENSMUSG00000025577</v>
      </c>
      <c r="I5744" s="7" t="str">
        <f>HYPERLINK("http://www.informatics.jax.org/marker/MGI:88289","MGI:88289")</f>
        <v>MGI:88289</v>
      </c>
      <c r="J5744" s="4" t="s">
        <v>12</v>
      </c>
    </row>
    <row r="5745" spans="1:10" x14ac:dyDescent="0.25">
      <c r="A5745" s="2">
        <v>147.40082077902301</v>
      </c>
      <c r="B5745" s="3">
        <v>-0.56552589949132204</v>
      </c>
      <c r="C5745" s="5">
        <v>9.786468320238229E-7</v>
      </c>
      <c r="D5745" s="6">
        <v>5.4443951506819796E-6</v>
      </c>
      <c r="E5745" s="3" t="s">
        <v>10504</v>
      </c>
      <c r="F5745" s="3" t="s">
        <v>10505</v>
      </c>
      <c r="G5745" s="3">
        <v>94346</v>
      </c>
      <c r="H5745" s="7" t="str">
        <f>HYPERLINK("http://www.ensembl.org/Mus_musculus/Gene/Summary?db=core;g=ENSMUSG00000059900","ENSMUSG00000059900")</f>
        <v>ENSMUSG00000059900</v>
      </c>
      <c r="I5745" s="7" t="str">
        <f>HYPERLINK("http://www.informatics.jax.org/marker/MGI:2137870","MGI:2137870")</f>
        <v>MGI:2137870</v>
      </c>
      <c r="J5745" s="4" t="s">
        <v>12</v>
      </c>
    </row>
    <row r="5746" spans="1:10" x14ac:dyDescent="0.25">
      <c r="A5746" s="2">
        <v>551.81318136876803</v>
      </c>
      <c r="B5746" s="3">
        <v>-0.56628177343352704</v>
      </c>
      <c r="C5746" s="5">
        <v>1.4882537697513199E-7</v>
      </c>
      <c r="D5746" s="6">
        <v>9.1695148592690704E-7</v>
      </c>
      <c r="E5746" s="3" t="s">
        <v>4887</v>
      </c>
      <c r="F5746" s="3" t="s">
        <v>4888</v>
      </c>
      <c r="G5746" s="3">
        <v>272551</v>
      </c>
      <c r="H5746" s="7" t="str">
        <f>HYPERLINK("http://www.ensembl.org/Mus_musculus/Gene/Summary?db=core;g=ENSMUSG00000031821","ENSMUSG00000031821")</f>
        <v>ENSMUSG00000031821</v>
      </c>
      <c r="I5746" s="7" t="str">
        <f>HYPERLINK("http://www.informatics.jax.org/marker/MGI:1921019","MGI:1921019")</f>
        <v>MGI:1921019</v>
      </c>
      <c r="J5746" s="4" t="s">
        <v>12</v>
      </c>
    </row>
    <row r="5747" spans="1:10" x14ac:dyDescent="0.25">
      <c r="A5747" s="2">
        <v>125.817115416364</v>
      </c>
      <c r="B5747" s="3">
        <v>-0.56659243556716499</v>
      </c>
      <c r="C5747" s="5">
        <v>1.8785065529394299E-5</v>
      </c>
      <c r="D5747" s="6">
        <v>8.8236551359075001E-5</v>
      </c>
      <c r="E5747" s="3" t="s">
        <v>7386</v>
      </c>
      <c r="F5747" s="3" t="s">
        <v>7387</v>
      </c>
      <c r="G5747" s="3">
        <v>68053</v>
      </c>
      <c r="H5747" s="7" t="str">
        <f>HYPERLINK("http://www.ensembl.org/Mus_musculus/Gene/Summary?db=core;g=ENSMUSG00000028243","ENSMUSG00000028243")</f>
        <v>ENSMUSG00000028243</v>
      </c>
      <c r="I5747" s="7" t="str">
        <f>HYPERLINK("http://www.informatics.jax.org/marker/MGI:1915303","MGI:1915303")</f>
        <v>MGI:1915303</v>
      </c>
      <c r="J5747" s="4" t="s">
        <v>12</v>
      </c>
    </row>
    <row r="5748" spans="1:10" x14ac:dyDescent="0.25">
      <c r="A5748" s="2">
        <v>9.3927257832388307</v>
      </c>
      <c r="B5748" s="3">
        <v>-0.56714556866090504</v>
      </c>
      <c r="C5748" s="3">
        <v>6.8236369411051295E-2</v>
      </c>
      <c r="D5748" s="4">
        <v>0.148207345074057</v>
      </c>
      <c r="E5748" s="3" t="s">
        <v>13955</v>
      </c>
      <c r="F5748" s="3" t="s">
        <v>13956</v>
      </c>
      <c r="G5748" s="3" t="s">
        <v>83</v>
      </c>
      <c r="H5748" s="7" t="str">
        <f>HYPERLINK("http://www.ensembl.org/Mus_musculus/Gene/Summary?db=core;g=ENSMUSG00000097316","ENSMUSG00000097316")</f>
        <v>ENSMUSG00000097316</v>
      </c>
      <c r="I5748" s="7" t="str">
        <f>HYPERLINK("http://www.informatics.jax.org/marker/MGI:3641979","MGI:3641979")</f>
        <v>MGI:3641979</v>
      </c>
      <c r="J5748" s="4" t="s">
        <v>932</v>
      </c>
    </row>
    <row r="5749" spans="1:10" x14ac:dyDescent="0.25">
      <c r="A5749" s="2">
        <v>143.46326534077701</v>
      </c>
      <c r="B5749" s="3">
        <v>-0.56722723751057202</v>
      </c>
      <c r="C5749" s="5">
        <v>3.4135691033327398E-8</v>
      </c>
      <c r="D5749" s="6">
        <v>2.2410769779625099E-7</v>
      </c>
      <c r="E5749" s="3" t="s">
        <v>12889</v>
      </c>
      <c r="F5749" s="3" t="s">
        <v>12890</v>
      </c>
      <c r="G5749" s="3">
        <v>21422</v>
      </c>
      <c r="H5749" s="7" t="str">
        <f>HYPERLINK("http://www.ensembl.org/Mus_musculus/Gene/Summary?db=core;g=ENSMUSG00000009733","ENSMUSG00000009733")</f>
        <v>ENSMUSG00000009733</v>
      </c>
      <c r="I5749" s="7" t="str">
        <f>HYPERLINK("http://www.informatics.jax.org/marker/MGI:98509","MGI:98509")</f>
        <v>MGI:98509</v>
      </c>
      <c r="J5749" s="4" t="s">
        <v>12</v>
      </c>
    </row>
    <row r="5750" spans="1:10" x14ac:dyDescent="0.25">
      <c r="A5750" s="2">
        <v>295.67716626871299</v>
      </c>
      <c r="B5750" s="3">
        <v>-0.56729117266451701</v>
      </c>
      <c r="C5750" s="5">
        <v>1.5612828464605E-12</v>
      </c>
      <c r="D5750" s="6">
        <v>1.55914410283521E-11</v>
      </c>
      <c r="E5750" s="3" t="s">
        <v>4627</v>
      </c>
      <c r="F5750" s="3" t="s">
        <v>4628</v>
      </c>
      <c r="G5750" s="3">
        <v>73694</v>
      </c>
      <c r="H5750" s="7" t="str">
        <f>HYPERLINK("http://www.ensembl.org/Mus_musculus/Gene/Summary?db=core;g=ENSMUSG00000024082","ENSMUSG00000024082")</f>
        <v>ENSMUSG00000024082</v>
      </c>
      <c r="I5750" s="7" t="str">
        <f>HYPERLINK("http://www.informatics.jax.org/marker/MGI:1920944","MGI:1920944")</f>
        <v>MGI:1920944</v>
      </c>
      <c r="J5750" s="4" t="s">
        <v>12</v>
      </c>
    </row>
    <row r="5751" spans="1:10" x14ac:dyDescent="0.25">
      <c r="A5751" s="2">
        <v>278.758401435211</v>
      </c>
      <c r="B5751" s="3">
        <v>-0.56738758190294902</v>
      </c>
      <c r="C5751" s="5">
        <v>1.0733724352905801E-11</v>
      </c>
      <c r="D5751" s="6">
        <v>9.9452021520949897E-11</v>
      </c>
      <c r="E5751" s="3" t="s">
        <v>4255</v>
      </c>
      <c r="F5751" s="3" t="s">
        <v>4256</v>
      </c>
      <c r="G5751" s="3">
        <v>52535</v>
      </c>
      <c r="H5751" s="7" t="str">
        <f>HYPERLINK("http://www.ensembl.org/Mus_musculus/Gene/Summary?db=core;g=ENSMUSG00000004561","ENSMUSG00000004561")</f>
        <v>ENSMUSG00000004561</v>
      </c>
      <c r="I5751" s="7" t="str">
        <f>HYPERLINK("http://www.informatics.jax.org/marker/MGI:1098577","MGI:1098577")</f>
        <v>MGI:1098577</v>
      </c>
      <c r="J5751" s="4" t="s">
        <v>12</v>
      </c>
    </row>
    <row r="5752" spans="1:10" x14ac:dyDescent="0.25">
      <c r="A5752" s="2">
        <v>41.309351851864903</v>
      </c>
      <c r="B5752" s="3">
        <v>-0.56809974128542295</v>
      </c>
      <c r="C5752" s="3">
        <v>2.0995921725446699E-3</v>
      </c>
      <c r="D5752" s="4">
        <v>6.9095462883038503E-3</v>
      </c>
      <c r="E5752" s="3" t="s">
        <v>8305</v>
      </c>
      <c r="F5752" s="3" t="s">
        <v>8306</v>
      </c>
      <c r="G5752" s="3">
        <v>56794</v>
      </c>
      <c r="H5752" s="7" t="str">
        <f>HYPERLINK("http://www.ensembl.org/Mus_musculus/Gene/Summary?db=core;g=ENSMUSG00000021884","ENSMUSG00000021884")</f>
        <v>ENSMUSG00000021884</v>
      </c>
      <c r="I5752" s="7" t="str">
        <f>HYPERLINK("http://www.informatics.jax.org/marker/MGI:1929657","MGI:1929657")</f>
        <v>MGI:1929657</v>
      </c>
      <c r="J5752" s="4" t="s">
        <v>12</v>
      </c>
    </row>
    <row r="5753" spans="1:10" x14ac:dyDescent="0.25">
      <c r="A5753" s="2">
        <v>347.57943355164502</v>
      </c>
      <c r="B5753" s="3">
        <v>-0.56825299834023002</v>
      </c>
      <c r="C5753" s="5">
        <v>3.8455871260083501E-11</v>
      </c>
      <c r="D5753" s="6">
        <v>3.40553087325084E-10</v>
      </c>
      <c r="E5753" s="3" t="s">
        <v>6021</v>
      </c>
      <c r="F5753" s="3" t="s">
        <v>6022</v>
      </c>
      <c r="G5753" s="3">
        <v>381629</v>
      </c>
      <c r="H5753" s="7" t="str">
        <f>HYPERLINK("http://www.ensembl.org/Mus_musculus/Gene/Summary?db=core;g=ENSMUSG00000013622","ENSMUSG00000013622")</f>
        <v>ENSMUSG00000013622</v>
      </c>
      <c r="I5753" s="7" t="str">
        <f>HYPERLINK("http://www.informatics.jax.org/marker/MGI:1918918","MGI:1918918")</f>
        <v>MGI:1918918</v>
      </c>
      <c r="J5753" s="4" t="s">
        <v>12</v>
      </c>
    </row>
    <row r="5754" spans="1:10" x14ac:dyDescent="0.25">
      <c r="A5754" s="2">
        <v>3112.8562646926798</v>
      </c>
      <c r="B5754" s="3">
        <v>-0.568372757438806</v>
      </c>
      <c r="C5754" s="5">
        <v>2.4342494781521602E-34</v>
      </c>
      <c r="D5754" s="6">
        <v>6.9755026319690395E-33</v>
      </c>
      <c r="E5754" s="3" t="s">
        <v>1148</v>
      </c>
      <c r="F5754" s="3" t="s">
        <v>1149</v>
      </c>
      <c r="G5754" s="3">
        <v>20778</v>
      </c>
      <c r="H5754" s="7" t="str">
        <f>HYPERLINK("http://www.ensembl.org/Mus_musculus/Gene/Summary?db=core;g=ENSMUSG00000037936","ENSMUSG00000037936")</f>
        <v>ENSMUSG00000037936</v>
      </c>
      <c r="I5754" s="7" t="str">
        <f>HYPERLINK("http://www.informatics.jax.org/marker/MGI:893578","MGI:893578")</f>
        <v>MGI:893578</v>
      </c>
      <c r="J5754" s="4" t="s">
        <v>12</v>
      </c>
    </row>
    <row r="5755" spans="1:10" x14ac:dyDescent="0.25">
      <c r="A5755" s="2">
        <v>713.98164264594698</v>
      </c>
      <c r="B5755" s="3">
        <v>-0.56855348962677799</v>
      </c>
      <c r="C5755" s="5">
        <v>1.7678318103719199E-22</v>
      </c>
      <c r="D5755" s="6">
        <v>3.14881072830355E-21</v>
      </c>
      <c r="E5755" s="3" t="s">
        <v>1588</v>
      </c>
      <c r="F5755" s="3" t="s">
        <v>1589</v>
      </c>
      <c r="G5755" s="3">
        <v>116871</v>
      </c>
      <c r="H5755" s="7" t="str">
        <f>HYPERLINK("http://www.ensembl.org/Mus_musculus/Gene/Summary?db=core;g=ENSMUSG00000055817","ENSMUSG00000055817")</f>
        <v>ENSMUSG00000055817</v>
      </c>
      <c r="I5755" s="7" t="str">
        <f>HYPERLINK("http://www.informatics.jax.org/marker/MGI:2151172","MGI:2151172")</f>
        <v>MGI:2151172</v>
      </c>
      <c r="J5755" s="4" t="s">
        <v>12</v>
      </c>
    </row>
    <row r="5756" spans="1:10" x14ac:dyDescent="0.25">
      <c r="A5756" s="2">
        <v>656.60658783832696</v>
      </c>
      <c r="B5756" s="3">
        <v>-0.56868956304140195</v>
      </c>
      <c r="C5756" s="5">
        <v>5.3611291372930897E-18</v>
      </c>
      <c r="D5756" s="6">
        <v>7.5682864854505496E-17</v>
      </c>
      <c r="E5756" s="3" t="s">
        <v>1402</v>
      </c>
      <c r="F5756" s="3" t="s">
        <v>1403</v>
      </c>
      <c r="G5756" s="3">
        <v>26951</v>
      </c>
      <c r="H5756" s="7" t="str">
        <f>HYPERLINK("http://www.ensembl.org/Mus_musculus/Gene/Summary?db=core;g=ENSMUSG00000032264","ENSMUSG00000032264")</f>
        <v>ENSMUSG00000032264</v>
      </c>
      <c r="I5756" s="7" t="str">
        <f>HYPERLINK("http://www.informatics.jax.org/marker/MGI:1349478","MGI:1349478")</f>
        <v>MGI:1349478</v>
      </c>
      <c r="J5756" s="4" t="s">
        <v>12</v>
      </c>
    </row>
    <row r="5757" spans="1:10" x14ac:dyDescent="0.25">
      <c r="A5757" s="2">
        <v>112.488379122136</v>
      </c>
      <c r="B5757" s="3">
        <v>-0.56897279373715104</v>
      </c>
      <c r="C5757" s="5">
        <v>7.02597301278043E-6</v>
      </c>
      <c r="D5757" s="6">
        <v>3.5149151292320399E-5</v>
      </c>
      <c r="E5757" s="3" t="s">
        <v>7306</v>
      </c>
      <c r="F5757" s="3" t="s">
        <v>7307</v>
      </c>
      <c r="G5757" s="3">
        <v>78887</v>
      </c>
      <c r="H5757" s="7" t="str">
        <f>HYPERLINK("http://www.ensembl.org/Mus_musculus/Gene/Summary?db=core;g=ENSMUSG00000023764","ENSMUSG00000023764")</f>
        <v>ENSMUSG00000023764</v>
      </c>
      <c r="I5757" s="7" t="str">
        <f>HYPERLINK("http://www.informatics.jax.org/marker/MGI:1926137","MGI:1926137")</f>
        <v>MGI:1926137</v>
      </c>
      <c r="J5757" s="4" t="s">
        <v>12</v>
      </c>
    </row>
    <row r="5758" spans="1:10" x14ac:dyDescent="0.25">
      <c r="A5758" s="2">
        <v>329.136784824399</v>
      </c>
      <c r="B5758" s="3">
        <v>-0.56945803546611495</v>
      </c>
      <c r="C5758" s="5">
        <v>1.46164547893616E-8</v>
      </c>
      <c r="D5758" s="6">
        <v>1.00031877031962E-7</v>
      </c>
      <c r="E5758" s="3" t="s">
        <v>4181</v>
      </c>
      <c r="F5758" s="3" t="s">
        <v>4182</v>
      </c>
      <c r="G5758" s="3">
        <v>74764</v>
      </c>
      <c r="H5758" s="7" t="str">
        <f>HYPERLINK("http://www.ensembl.org/Mus_musculus/Gene/Summary?db=core;g=ENSMUSG00000003546","ENSMUSG00000003546")</f>
        <v>ENSMUSG00000003546</v>
      </c>
      <c r="I5758" s="7" t="str">
        <f>HYPERLINK("http://www.informatics.jax.org/marker/MGI:1922014","MGI:1922014")</f>
        <v>MGI:1922014</v>
      </c>
      <c r="J5758" s="4" t="s">
        <v>12</v>
      </c>
    </row>
    <row r="5759" spans="1:10" x14ac:dyDescent="0.25">
      <c r="A5759" s="2">
        <v>18.255687308706602</v>
      </c>
      <c r="B5759" s="3">
        <v>-0.56994611165638398</v>
      </c>
      <c r="C5759" s="3">
        <v>5.8221118968987899E-2</v>
      </c>
      <c r="D5759" s="4">
        <v>0.12976395905708801</v>
      </c>
      <c r="E5759" s="3" t="s">
        <v>9721</v>
      </c>
      <c r="F5759" s="3" t="s">
        <v>9722</v>
      </c>
      <c r="G5759" s="3">
        <v>11838</v>
      </c>
      <c r="H5759" s="7" t="str">
        <f>HYPERLINK("http://www.ensembl.org/Mus_musculus/Gene/Summary?db=core;g=ENSMUSG00000022602","ENSMUSG00000022602")</f>
        <v>ENSMUSG00000022602</v>
      </c>
      <c r="I5759" s="7" t="str">
        <f>HYPERLINK("http://www.informatics.jax.org/marker/MGI:88067","MGI:88067")</f>
        <v>MGI:88067</v>
      </c>
      <c r="J5759" s="4" t="s">
        <v>12</v>
      </c>
    </row>
    <row r="5760" spans="1:10" x14ac:dyDescent="0.25">
      <c r="A5760" s="2">
        <v>160.37609996406201</v>
      </c>
      <c r="B5760" s="3">
        <v>-0.56995072148637305</v>
      </c>
      <c r="C5760" s="5">
        <v>3.3154488570542799E-7</v>
      </c>
      <c r="D5760" s="6">
        <v>1.9580056843750598E-6</v>
      </c>
      <c r="E5760" s="3" t="s">
        <v>7112</v>
      </c>
      <c r="F5760" s="3" t="s">
        <v>7113</v>
      </c>
      <c r="G5760" s="3">
        <v>71923</v>
      </c>
      <c r="H5760" s="7" t="str">
        <f>HYPERLINK("http://www.ensembl.org/Mus_musculus/Gene/Summary?db=core;g=ENSMUSG00000045176","ENSMUSG00000045176")</f>
        <v>ENSMUSG00000045176</v>
      </c>
      <c r="I5760" s="7" t="str">
        <f>HYPERLINK("http://www.informatics.jax.org/marker/MGI:1919173","MGI:1919173")</f>
        <v>MGI:1919173</v>
      </c>
      <c r="J5760" s="4" t="s">
        <v>12</v>
      </c>
    </row>
    <row r="5761" spans="1:10" x14ac:dyDescent="0.25">
      <c r="A5761" s="2">
        <v>2939.3208574157902</v>
      </c>
      <c r="B5761" s="3">
        <v>-0.56997472319230102</v>
      </c>
      <c r="C5761" s="5">
        <v>1.9698159122703098E-12</v>
      </c>
      <c r="D5761" s="6">
        <v>1.9447397075366401E-11</v>
      </c>
      <c r="E5761" s="3" t="s">
        <v>2165</v>
      </c>
      <c r="F5761" s="3" t="s">
        <v>2166</v>
      </c>
      <c r="G5761" s="3">
        <v>320528</v>
      </c>
      <c r="H5761" s="7" t="str">
        <f>HYPERLINK("http://www.ensembl.org/Mus_musculus/Gene/Summary?db=core;g=ENSMUSG00000035284","ENSMUSG00000035284")</f>
        <v>ENSMUSG00000035284</v>
      </c>
      <c r="I5761" s="7" t="str">
        <f>HYPERLINK("http://www.informatics.jax.org/marker/MGI:2444207","MGI:2444207")</f>
        <v>MGI:2444207</v>
      </c>
      <c r="J5761" s="4" t="s">
        <v>12</v>
      </c>
    </row>
    <row r="5762" spans="1:10" x14ac:dyDescent="0.25">
      <c r="A5762" s="2">
        <v>470.979706492216</v>
      </c>
      <c r="B5762" s="3">
        <v>-0.57015130528649105</v>
      </c>
      <c r="C5762" s="5">
        <v>1.55286531443047E-9</v>
      </c>
      <c r="D5762" s="6">
        <v>1.18117572435289E-8</v>
      </c>
      <c r="E5762" s="3" t="s">
        <v>3992</v>
      </c>
      <c r="F5762" s="3" t="s">
        <v>3993</v>
      </c>
      <c r="G5762" s="3">
        <v>106344</v>
      </c>
      <c r="H5762" s="7" t="str">
        <f>HYPERLINK("http://www.ensembl.org/Mus_musculus/Gene/Summary?db=core;g=ENSMUSG00000022881","ENSMUSG00000022881")</f>
        <v>ENSMUSG00000022881</v>
      </c>
      <c r="I5762" s="7" t="str">
        <f>HYPERLINK("http://www.informatics.jax.org/marker/MGI:2146571","MGI:2146571")</f>
        <v>MGI:2146571</v>
      </c>
      <c r="J5762" s="4" t="s">
        <v>12</v>
      </c>
    </row>
    <row r="5763" spans="1:10" x14ac:dyDescent="0.25">
      <c r="A5763" s="2">
        <v>95.027650573931297</v>
      </c>
      <c r="B5763" s="3">
        <v>-0.57265655742909105</v>
      </c>
      <c r="C5763" s="5">
        <v>7.0678293199992907E-5</v>
      </c>
      <c r="D5763" s="4">
        <v>3.0237368393658899E-4</v>
      </c>
      <c r="E5763" s="3" t="s">
        <v>6912</v>
      </c>
      <c r="F5763" s="3" t="s">
        <v>6913</v>
      </c>
      <c r="G5763" s="3">
        <v>70603</v>
      </c>
      <c r="H5763" s="7" t="str">
        <f>HYPERLINK("http://www.ensembl.org/Mus_musculus/Gene/Summary?db=core;g=ENSMUSG00000028687","ENSMUSG00000028687")</f>
        <v>ENSMUSG00000028687</v>
      </c>
      <c r="I5763" s="7" t="str">
        <f>HYPERLINK("http://www.informatics.jax.org/marker/MGI:1917853","MGI:1917853")</f>
        <v>MGI:1917853</v>
      </c>
      <c r="J5763" s="4" t="s">
        <v>12</v>
      </c>
    </row>
    <row r="5764" spans="1:10" x14ac:dyDescent="0.25">
      <c r="A5764" s="2">
        <v>506.87179389662202</v>
      </c>
      <c r="B5764" s="3">
        <v>-0.57368442334426895</v>
      </c>
      <c r="C5764" s="5">
        <v>6.89282430316805E-14</v>
      </c>
      <c r="D5764" s="6">
        <v>7.5539220039228903E-13</v>
      </c>
      <c r="E5764" s="3" t="s">
        <v>2157</v>
      </c>
      <c r="F5764" s="3" t="s">
        <v>2158</v>
      </c>
      <c r="G5764" s="3">
        <v>214901</v>
      </c>
      <c r="H5764" s="7" t="str">
        <f>HYPERLINK("http://www.ensembl.org/Mus_musculus/Gene/Summary?db=core;g=ENSMUSG00000019214","ENSMUSG00000019214")</f>
        <v>ENSMUSG00000019214</v>
      </c>
      <c r="I5764" s="7" t="str">
        <f>HYPERLINK("http://www.informatics.jax.org/marker/MGI:2384887","MGI:2384887")</f>
        <v>MGI:2384887</v>
      </c>
      <c r="J5764" s="4" t="s">
        <v>12</v>
      </c>
    </row>
    <row r="5765" spans="1:10" x14ac:dyDescent="0.25">
      <c r="A5765" s="2">
        <v>50.084497793607703</v>
      </c>
      <c r="B5765" s="3">
        <v>-0.57378841911754896</v>
      </c>
      <c r="C5765" s="3">
        <v>8.8727588682514303E-4</v>
      </c>
      <c r="D5765" s="4">
        <v>3.1491980612401399E-3</v>
      </c>
      <c r="E5765" s="3" t="s">
        <v>7948</v>
      </c>
      <c r="F5765" s="3" t="s">
        <v>7949</v>
      </c>
      <c r="G5765" s="3" t="s">
        <v>83</v>
      </c>
      <c r="H5765" s="7" t="str">
        <f>HYPERLINK("http://www.ensembl.org/Mus_musculus/Gene/Summary?db=core;g=ENSMUSG00000093726","ENSMUSG00000093726")</f>
        <v>ENSMUSG00000093726</v>
      </c>
      <c r="I5765" s="7" t="str">
        <f>HYPERLINK("http://www.informatics.jax.org/marker/MGI:5313114","MGI:5313114")</f>
        <v>MGI:5313114</v>
      </c>
      <c r="J5765" s="4" t="s">
        <v>7950</v>
      </c>
    </row>
    <row r="5766" spans="1:10" x14ac:dyDescent="0.25">
      <c r="A5766" s="2">
        <v>3.98122620952432</v>
      </c>
      <c r="B5766" s="3">
        <v>-0.57381243225394596</v>
      </c>
      <c r="C5766" s="3">
        <v>0.188200408097907</v>
      </c>
      <c r="D5766" s="4">
        <v>0.33567747480762899</v>
      </c>
      <c r="E5766" s="3" t="s">
        <v>13465</v>
      </c>
      <c r="F5766" s="3" t="s">
        <v>13466</v>
      </c>
      <c r="G5766" s="3">
        <v>213980</v>
      </c>
      <c r="H5766" s="7" t="str">
        <f>HYPERLINK("http://www.ensembl.org/Mus_musculus/Gene/Summary?db=core;g=ENSMUSG00000090173","ENSMUSG00000090173")</f>
        <v>ENSMUSG00000090173</v>
      </c>
      <c r="I5766" s="7" t="str">
        <f>HYPERLINK("http://www.informatics.jax.org/marker/MGI:3052463","MGI:3052463")</f>
        <v>MGI:3052463</v>
      </c>
      <c r="J5766" s="4" t="s">
        <v>12</v>
      </c>
    </row>
    <row r="5767" spans="1:10" x14ac:dyDescent="0.25">
      <c r="A5767" s="2">
        <v>414.22632007908499</v>
      </c>
      <c r="B5767" s="3">
        <v>-0.57396200354112803</v>
      </c>
      <c r="C5767" s="5">
        <v>2.1369483185094E-8</v>
      </c>
      <c r="D5767" s="6">
        <v>1.43711745774294E-7</v>
      </c>
      <c r="E5767" s="3" t="s">
        <v>5315</v>
      </c>
      <c r="F5767" s="3" t="s">
        <v>5316</v>
      </c>
      <c r="G5767" s="3" t="s">
        <v>83</v>
      </c>
      <c r="H5767" s="7" t="str">
        <f>HYPERLINK("http://www.ensembl.org/Mus_musculus/Gene/Summary?db=core;g=ENSMUSG00000111409","ENSMUSG00000111409")</f>
        <v>ENSMUSG00000111409</v>
      </c>
      <c r="I5767" s="7" t="str">
        <f>HYPERLINK("http://www.informatics.jax.org/marker/MGI:6121601","MGI:6121601")</f>
        <v>MGI:6121601</v>
      </c>
      <c r="J5767" s="4" t="s">
        <v>12</v>
      </c>
    </row>
    <row r="5768" spans="1:10" x14ac:dyDescent="0.25">
      <c r="A5768" s="2">
        <v>831.79525811869303</v>
      </c>
      <c r="B5768" s="3">
        <v>-0.57412791129984997</v>
      </c>
      <c r="C5768" s="5">
        <v>3.0042240856350201E-30</v>
      </c>
      <c r="D5768" s="6">
        <v>7.5105602140875395E-29</v>
      </c>
      <c r="E5768" s="3" t="s">
        <v>740</v>
      </c>
      <c r="F5768" s="3" t="s">
        <v>741</v>
      </c>
      <c r="G5768" s="3">
        <v>210992</v>
      </c>
      <c r="H5768" s="7" t="str">
        <f>HYPERLINK("http://www.ensembl.org/Mus_musculus/Gene/Summary?db=core;g=ENSMUSG00000021608","ENSMUSG00000021608")</f>
        <v>ENSMUSG00000021608</v>
      </c>
      <c r="I5768" s="7" t="str">
        <f>HYPERLINK("http://www.informatics.jax.org/marker/MGI:2384812","MGI:2384812")</f>
        <v>MGI:2384812</v>
      </c>
      <c r="J5768" s="4" t="s">
        <v>12</v>
      </c>
    </row>
    <row r="5769" spans="1:10" x14ac:dyDescent="0.25">
      <c r="A5769" s="2">
        <v>1414.3959488267101</v>
      </c>
      <c r="B5769" s="3">
        <v>-0.57431304593289401</v>
      </c>
      <c r="C5769" s="5">
        <v>1.37590664977085E-19</v>
      </c>
      <c r="D5769" s="6">
        <v>2.1036827761806801E-18</v>
      </c>
      <c r="E5769" s="3" t="s">
        <v>3157</v>
      </c>
      <c r="F5769" s="3" t="s">
        <v>3158</v>
      </c>
      <c r="G5769" s="3">
        <v>11364</v>
      </c>
      <c r="H5769" s="7" t="str">
        <f>HYPERLINK("http://www.ensembl.org/Mus_musculus/Gene/Summary?db=core;g=ENSMUSG00000062908","ENSMUSG00000062908")</f>
        <v>ENSMUSG00000062908</v>
      </c>
      <c r="I5769" s="7" t="str">
        <f>HYPERLINK("http://www.informatics.jax.org/marker/MGI:87867","MGI:87867")</f>
        <v>MGI:87867</v>
      </c>
      <c r="J5769" s="4" t="s">
        <v>12</v>
      </c>
    </row>
    <row r="5770" spans="1:10" x14ac:dyDescent="0.25">
      <c r="A5770" s="2">
        <v>322.38315951803099</v>
      </c>
      <c r="B5770" s="3">
        <v>-0.57438183622288197</v>
      </c>
      <c r="C5770" s="5">
        <v>4.5078730432026902E-17</v>
      </c>
      <c r="D5770" s="6">
        <v>6.0187535686717201E-16</v>
      </c>
      <c r="E5770" s="3" t="s">
        <v>2655</v>
      </c>
      <c r="F5770" s="3" t="s">
        <v>2656</v>
      </c>
      <c r="G5770" s="3">
        <v>55934</v>
      </c>
      <c r="H5770" s="7" t="str">
        <f>HYPERLINK("http://www.ensembl.org/Mus_musculus/Gene/Summary?db=core;g=ENSMUSG00000032239","ENSMUSG00000032239")</f>
        <v>ENSMUSG00000032239</v>
      </c>
      <c r="I5770" s="7" t="str">
        <f>HYPERLINK("http://www.informatics.jax.org/marker/MGI:2157166","MGI:2157166")</f>
        <v>MGI:2157166</v>
      </c>
      <c r="J5770" s="4" t="s">
        <v>12</v>
      </c>
    </row>
    <row r="5771" spans="1:10" x14ac:dyDescent="0.25">
      <c r="A5771" s="2">
        <v>3493.2476478684298</v>
      </c>
      <c r="B5771" s="3">
        <v>-0.57452958129466403</v>
      </c>
      <c r="C5771" s="5">
        <v>4.4624479516522703E-9</v>
      </c>
      <c r="D5771" s="6">
        <v>3.2401639011498997E-8</v>
      </c>
      <c r="E5771" s="3" t="s">
        <v>6613</v>
      </c>
      <c r="F5771" s="3" t="s">
        <v>6614</v>
      </c>
      <c r="G5771" s="3">
        <v>73341</v>
      </c>
      <c r="H5771" s="7" t="str">
        <f>HYPERLINK("http://www.ensembl.org/Mus_musculus/Gene/Summary?db=core;g=ENSMUSG00000031133","ENSMUSG00000031133")</f>
        <v>ENSMUSG00000031133</v>
      </c>
      <c r="I5771" s="7" t="str">
        <f>HYPERLINK("http://www.informatics.jax.org/marker/MGI:1920591","MGI:1920591")</f>
        <v>MGI:1920591</v>
      </c>
      <c r="J5771" s="4" t="s">
        <v>12</v>
      </c>
    </row>
    <row r="5772" spans="1:10" x14ac:dyDescent="0.25">
      <c r="A5772" s="2">
        <v>2027.66879929732</v>
      </c>
      <c r="B5772" s="3">
        <v>-0.574841409930271</v>
      </c>
      <c r="C5772" s="5">
        <v>6.5512899771257595E-11</v>
      </c>
      <c r="D5772" s="6">
        <v>5.7045991320170495E-10</v>
      </c>
      <c r="E5772" s="3" t="s">
        <v>3488</v>
      </c>
      <c r="F5772" s="3" t="s">
        <v>3489</v>
      </c>
      <c r="G5772" s="3">
        <v>228026</v>
      </c>
      <c r="H5772" s="7" t="str">
        <f>HYPERLINK("http://www.ensembl.org/Mus_musculus/Gene/Summary?db=core;g=ENSMUSG00000006494","ENSMUSG00000006494")</f>
        <v>ENSMUSG00000006494</v>
      </c>
      <c r="I5772" s="7" t="str">
        <f>HYPERLINK("http://www.informatics.jax.org/marker/MGI:1926119","MGI:1926119")</f>
        <v>MGI:1926119</v>
      </c>
      <c r="J5772" s="4" t="s">
        <v>12</v>
      </c>
    </row>
    <row r="5773" spans="1:10" x14ac:dyDescent="0.25">
      <c r="A5773" s="2">
        <v>1320.02233267714</v>
      </c>
      <c r="B5773" s="3">
        <v>-0.57505399329071405</v>
      </c>
      <c r="C5773" s="5">
        <v>4.0348765099819902E-12</v>
      </c>
      <c r="D5773" s="6">
        <v>3.8784612022374403E-11</v>
      </c>
      <c r="E5773" s="3" t="s">
        <v>2607</v>
      </c>
      <c r="F5773" s="3" t="s">
        <v>2608</v>
      </c>
      <c r="G5773" s="3">
        <v>110074</v>
      </c>
      <c r="H5773" s="7" t="str">
        <f>HYPERLINK("http://www.ensembl.org/Mus_musculus/Gene/Summary?db=core;g=ENSMUSG00000027203","ENSMUSG00000027203")</f>
        <v>ENSMUSG00000027203</v>
      </c>
      <c r="I5773" s="7" t="str">
        <f>HYPERLINK("http://www.informatics.jax.org/marker/MGI:1346051","MGI:1346051")</f>
        <v>MGI:1346051</v>
      </c>
      <c r="J5773" s="4" t="s">
        <v>12</v>
      </c>
    </row>
    <row r="5774" spans="1:10" x14ac:dyDescent="0.25">
      <c r="A5774" s="2">
        <v>214.844855840599</v>
      </c>
      <c r="B5774" s="3">
        <v>-0.57516935287489201</v>
      </c>
      <c r="C5774" s="5">
        <v>1.41230492227307E-7</v>
      </c>
      <c r="D5774" s="6">
        <v>8.7199224202389998E-7</v>
      </c>
      <c r="E5774" s="3" t="s">
        <v>4063</v>
      </c>
      <c r="F5774" s="3" t="s">
        <v>4064</v>
      </c>
      <c r="G5774" s="3">
        <v>382010</v>
      </c>
      <c r="H5774" s="7" t="str">
        <f>HYPERLINK("http://www.ensembl.org/Mus_musculus/Gene/Summary?db=core;g=ENSMUSG00000038215","ENSMUSG00000038215")</f>
        <v>ENSMUSG00000038215</v>
      </c>
      <c r="I5774" s="7" t="str">
        <f>HYPERLINK("http://www.informatics.jax.org/marker/MGI:3525111","MGI:3525111")</f>
        <v>MGI:3525111</v>
      </c>
      <c r="J5774" s="4" t="s">
        <v>12</v>
      </c>
    </row>
    <row r="5775" spans="1:10" x14ac:dyDescent="0.25">
      <c r="A5775" s="2">
        <v>311.88145195064197</v>
      </c>
      <c r="B5775" s="3">
        <v>-0.57558794944563896</v>
      </c>
      <c r="C5775" s="5">
        <v>6.6092207254231703E-12</v>
      </c>
      <c r="D5775" s="6">
        <v>6.2281824054207495E-11</v>
      </c>
      <c r="E5775" s="3" t="s">
        <v>4695</v>
      </c>
      <c r="F5775" s="3" t="s">
        <v>4696</v>
      </c>
      <c r="G5775" s="3">
        <v>72775</v>
      </c>
      <c r="H5775" s="7" t="str">
        <f>HYPERLINK("http://www.ensembl.org/Mus_musculus/Gene/Summary?db=core;g=ENSMUSG00000007570","ENSMUSG00000007570")</f>
        <v>ENSMUSG00000007570</v>
      </c>
      <c r="I5775" s="7" t="str">
        <f>HYPERLINK("http://www.informatics.jax.org/marker/MGI:1920025","MGI:1920025")</f>
        <v>MGI:1920025</v>
      </c>
      <c r="J5775" s="4" t="s">
        <v>12</v>
      </c>
    </row>
    <row r="5776" spans="1:10" x14ac:dyDescent="0.25">
      <c r="A5776" s="2">
        <v>62.002678092767503</v>
      </c>
      <c r="B5776" s="3">
        <v>-0.57635818368174496</v>
      </c>
      <c r="C5776" s="5">
        <v>5.70059363220485E-5</v>
      </c>
      <c r="D5776" s="4">
        <v>2.4813307606146002E-4</v>
      </c>
      <c r="E5776" s="3" t="s">
        <v>11775</v>
      </c>
      <c r="F5776" s="3" t="s">
        <v>11776</v>
      </c>
      <c r="G5776" s="3">
        <v>72307</v>
      </c>
      <c r="H5776" s="7" t="str">
        <f>HYPERLINK("http://www.ensembl.org/Mus_musculus/Gene/Summary?db=core;g=ENSMUSG00000071632","ENSMUSG00000071632")</f>
        <v>ENSMUSG00000071632</v>
      </c>
      <c r="I5776" s="7" t="str">
        <f>HYPERLINK("http://www.informatics.jax.org/marker/MGI:1919557","MGI:1919557")</f>
        <v>MGI:1919557</v>
      </c>
      <c r="J5776" s="4" t="s">
        <v>12</v>
      </c>
    </row>
    <row r="5777" spans="1:10" x14ac:dyDescent="0.25">
      <c r="A5777" s="2">
        <v>87.698987543224007</v>
      </c>
      <c r="B5777" s="3">
        <v>-0.57778813849020805</v>
      </c>
      <c r="C5777" s="5">
        <v>5.4020351989395299E-6</v>
      </c>
      <c r="D5777" s="6">
        <v>2.7485229341338101E-5</v>
      </c>
      <c r="E5777" s="3" t="s">
        <v>5765</v>
      </c>
      <c r="F5777" s="3" t="s">
        <v>5766</v>
      </c>
      <c r="G5777" s="3">
        <v>240064</v>
      </c>
      <c r="H5777" s="7" t="str">
        <f>HYPERLINK("http://www.ensembl.org/Mus_musculus/Gene/Summary?db=core;g=ENSMUSG00000095253","ENSMUSG00000095253")</f>
        <v>ENSMUSG00000095253</v>
      </c>
      <c r="I5777" s="7" t="str">
        <f>HYPERLINK("http://www.informatics.jax.org/marker/MGI:2443934","MGI:2443934")</f>
        <v>MGI:2443934</v>
      </c>
      <c r="J5777" s="4" t="s">
        <v>12</v>
      </c>
    </row>
    <row r="5778" spans="1:10" x14ac:dyDescent="0.25">
      <c r="A5778" s="2">
        <v>2110.41242328416</v>
      </c>
      <c r="B5778" s="3">
        <v>-0.57780464927685105</v>
      </c>
      <c r="C5778" s="5">
        <v>4.04720494807605E-26</v>
      </c>
      <c r="D5778" s="6">
        <v>8.5075328925820005E-25</v>
      </c>
      <c r="E5778" s="3" t="s">
        <v>2071</v>
      </c>
      <c r="F5778" s="3" t="s">
        <v>2072</v>
      </c>
      <c r="G5778" s="3">
        <v>59126</v>
      </c>
      <c r="H5778" s="7" t="str">
        <f>HYPERLINK("http://www.ensembl.org/Mus_musculus/Gene/Summary?db=core;g=ENSMUSG00000026749","ENSMUSG00000026749")</f>
        <v>ENSMUSG00000026749</v>
      </c>
      <c r="I5778" s="7" t="str">
        <f>HYPERLINK("http://www.informatics.jax.org/marker/MGI:1891638","MGI:1891638")</f>
        <v>MGI:1891638</v>
      </c>
      <c r="J5778" s="4" t="s">
        <v>12</v>
      </c>
    </row>
    <row r="5779" spans="1:10" x14ac:dyDescent="0.25">
      <c r="A5779" s="2">
        <v>86.735664515147107</v>
      </c>
      <c r="B5779" s="3">
        <v>-0.578940561219353</v>
      </c>
      <c r="C5779" s="3">
        <v>3.91418804813093E-4</v>
      </c>
      <c r="D5779" s="4">
        <v>1.4787744025121501E-3</v>
      </c>
      <c r="E5779" s="3" t="s">
        <v>13533</v>
      </c>
      <c r="F5779" s="3" t="s">
        <v>13534</v>
      </c>
      <c r="G5779" s="3">
        <v>50782</v>
      </c>
      <c r="H5779" s="7" t="str">
        <f>HYPERLINK("http://www.ensembl.org/Mus_musculus/Gene/Summary?db=core;g=ENSMUSG00000024186","ENSMUSG00000024186")</f>
        <v>ENSMUSG00000024186</v>
      </c>
      <c r="I5779" s="7" t="str">
        <f>HYPERLINK("http://www.informatics.jax.org/marker/MGI:1354739","MGI:1354739")</f>
        <v>MGI:1354739</v>
      </c>
      <c r="J5779" s="4" t="s">
        <v>12</v>
      </c>
    </row>
    <row r="5780" spans="1:10" x14ac:dyDescent="0.25">
      <c r="A5780" s="2">
        <v>901.15062658884005</v>
      </c>
      <c r="B5780" s="3">
        <v>-0.57935191920229701</v>
      </c>
      <c r="C5780" s="5">
        <v>3.1130498584397802E-14</v>
      </c>
      <c r="D5780" s="6">
        <v>3.4743008983505899E-13</v>
      </c>
      <c r="E5780" s="3" t="s">
        <v>2357</v>
      </c>
      <c r="F5780" s="3" t="s">
        <v>2358</v>
      </c>
      <c r="G5780" s="3">
        <v>68816</v>
      </c>
      <c r="H5780" s="7" t="str">
        <f>HYPERLINK("http://www.ensembl.org/Mus_musculus/Gene/Summary?db=core;g=ENSMUSG00000024007","ENSMUSG00000024007")</f>
        <v>ENSMUSG00000024007</v>
      </c>
      <c r="I5780" s="7" t="str">
        <f>HYPERLINK("http://www.informatics.jax.org/marker/MGI:1916066","MGI:1916066")</f>
        <v>MGI:1916066</v>
      </c>
      <c r="J5780" s="4" t="s">
        <v>12</v>
      </c>
    </row>
    <row r="5781" spans="1:10" x14ac:dyDescent="0.25">
      <c r="A5781" s="2">
        <v>159.727380112117</v>
      </c>
      <c r="B5781" s="3">
        <v>-0.57943820275977198</v>
      </c>
      <c r="C5781" s="5">
        <v>2.0729520247260399E-7</v>
      </c>
      <c r="D5781" s="6">
        <v>1.2543011504193901E-6</v>
      </c>
      <c r="E5781" s="3" t="s">
        <v>4111</v>
      </c>
      <c r="F5781" s="3" t="s">
        <v>4112</v>
      </c>
      <c r="G5781" s="3">
        <v>224836</v>
      </c>
      <c r="H5781" s="7" t="str">
        <f>HYPERLINK("http://www.ensembl.org/Mus_musculus/Gene/Summary?db=core;g=ENSMUSG00000090115","ENSMUSG00000090115")</f>
        <v>ENSMUSG00000090115</v>
      </c>
      <c r="I5781" s="7" t="str">
        <f>HYPERLINK("http://www.informatics.jax.org/marker/MGI:2685391","MGI:2685391")</f>
        <v>MGI:2685391</v>
      </c>
      <c r="J5781" s="4" t="s">
        <v>12</v>
      </c>
    </row>
    <row r="5782" spans="1:10" x14ac:dyDescent="0.25">
      <c r="A5782" s="2">
        <v>114.21291680502701</v>
      </c>
      <c r="B5782" s="3">
        <v>-0.57977331535756604</v>
      </c>
      <c r="C5782" s="5">
        <v>1.31470477040994E-5</v>
      </c>
      <c r="D5782" s="6">
        <v>6.3203625536062399E-5</v>
      </c>
      <c r="E5782" s="3" t="s">
        <v>4577</v>
      </c>
      <c r="F5782" s="3" t="s">
        <v>4578</v>
      </c>
      <c r="G5782" s="3">
        <v>228662</v>
      </c>
      <c r="H5782" s="7" t="str">
        <f>HYPERLINK("http://www.ensembl.org/Mus_musculus/Gene/Summary?db=core;g=ENSMUSG00000062098","ENSMUSG00000062098")</f>
        <v>ENSMUSG00000062098</v>
      </c>
      <c r="I5782" s="7" t="str">
        <f>HYPERLINK("http://www.informatics.jax.org/marker/MGI:2385155","MGI:2385155")</f>
        <v>MGI:2385155</v>
      </c>
      <c r="J5782" s="4" t="s">
        <v>12</v>
      </c>
    </row>
    <row r="5783" spans="1:10" x14ac:dyDescent="0.25">
      <c r="A5783" s="2">
        <v>133.974867114311</v>
      </c>
      <c r="B5783" s="3">
        <v>-0.57999069829245598</v>
      </c>
      <c r="C5783" s="5">
        <v>1.0433400954269801E-6</v>
      </c>
      <c r="D5783" s="6">
        <v>5.7936847163792702E-6</v>
      </c>
      <c r="E5783" s="3" t="s">
        <v>7194</v>
      </c>
      <c r="F5783" s="3" t="s">
        <v>7195</v>
      </c>
      <c r="G5783" s="3">
        <v>68021</v>
      </c>
      <c r="H5783" s="7" t="str">
        <f>HYPERLINK("http://www.ensembl.org/Mus_musculus/Gene/Summary?db=core;g=ENSMUSG00000038286","ENSMUSG00000038286")</f>
        <v>ENSMUSG00000038286</v>
      </c>
      <c r="I5783" s="7" t="str">
        <f>HYPERLINK("http://www.informatics.jax.org/marker/MGI:1915271","MGI:1915271")</f>
        <v>MGI:1915271</v>
      </c>
      <c r="J5783" s="4" t="s">
        <v>12</v>
      </c>
    </row>
    <row r="5784" spans="1:10" x14ac:dyDescent="0.25">
      <c r="A5784" s="2">
        <v>3120.4699770400698</v>
      </c>
      <c r="B5784" s="3">
        <v>-0.58033558002283403</v>
      </c>
      <c r="C5784" s="5">
        <v>6.1506480036402501E-24</v>
      </c>
      <c r="D5784" s="6">
        <v>1.16644703294842E-22</v>
      </c>
      <c r="E5784" s="3" t="s">
        <v>1628</v>
      </c>
      <c r="F5784" s="3" t="s">
        <v>1629</v>
      </c>
      <c r="G5784" s="3">
        <v>14218</v>
      </c>
      <c r="H5784" s="7" t="str">
        <f>HYPERLINK("http://www.ensembl.org/Mus_musculus/Gene/Summary?db=core;g=ENSMUSG00000053617","ENSMUSG00000053617")</f>
        <v>ENSMUSG00000053617</v>
      </c>
      <c r="I5784" s="7" t="str">
        <f>HYPERLINK("http://www.informatics.jax.org/marker/MGI:1298393","MGI:1298393")</f>
        <v>MGI:1298393</v>
      </c>
      <c r="J5784" s="4" t="s">
        <v>12</v>
      </c>
    </row>
    <row r="5785" spans="1:10" x14ac:dyDescent="0.25">
      <c r="A5785" s="2">
        <v>477.17699038547403</v>
      </c>
      <c r="B5785" s="3">
        <v>-0.580495096655264</v>
      </c>
      <c r="C5785" s="5">
        <v>1.53152472126201E-21</v>
      </c>
      <c r="D5785" s="6">
        <v>2.5916469865366999E-20</v>
      </c>
      <c r="E5785" s="3" t="s">
        <v>2361</v>
      </c>
      <c r="F5785" s="3" t="s">
        <v>2362</v>
      </c>
      <c r="G5785" s="3">
        <v>12396</v>
      </c>
      <c r="H5785" s="7" t="str">
        <f>HYPERLINK("http://www.ensembl.org/Mus_musculus/Gene/Summary?db=core;g=ENSMUSG00000038533","ENSMUSG00000038533")</f>
        <v>ENSMUSG00000038533</v>
      </c>
      <c r="I5785" s="7" t="str">
        <f>HYPERLINK("http://www.informatics.jax.org/marker/MGI:1333833","MGI:1333833")</f>
        <v>MGI:1333833</v>
      </c>
      <c r="J5785" s="4" t="s">
        <v>12</v>
      </c>
    </row>
    <row r="5786" spans="1:10" x14ac:dyDescent="0.25">
      <c r="A5786" s="2">
        <v>217.78269335355</v>
      </c>
      <c r="B5786" s="3">
        <v>-0.58093946341578695</v>
      </c>
      <c r="C5786" s="5">
        <v>4.9272962588526903E-7</v>
      </c>
      <c r="D5786" s="6">
        <v>2.8426709185688602E-6</v>
      </c>
      <c r="E5786" s="3" t="s">
        <v>6984</v>
      </c>
      <c r="F5786" s="3" t="s">
        <v>6985</v>
      </c>
      <c r="G5786" s="3">
        <v>212986</v>
      </c>
      <c r="H5786" s="7" t="str">
        <f>HYPERLINK("http://www.ensembl.org/Mus_musculus/Gene/Summary?db=core;g=ENSMUSG00000062110","ENSMUSG00000062110")</f>
        <v>ENSMUSG00000062110</v>
      </c>
      <c r="I5786" s="7" t="str">
        <f>HYPERLINK("http://www.informatics.jax.org/marker/MGI:2443446","MGI:2443446")</f>
        <v>MGI:2443446</v>
      </c>
      <c r="J5786" s="4" t="s">
        <v>12</v>
      </c>
    </row>
    <row r="5787" spans="1:10" x14ac:dyDescent="0.25">
      <c r="A5787" s="2">
        <v>125.007216058986</v>
      </c>
      <c r="B5787" s="3">
        <v>-0.58144824268305995</v>
      </c>
      <c r="C5787" s="5">
        <v>2.0748799518960401E-5</v>
      </c>
      <c r="D5787" s="6">
        <v>9.6712754791062299E-5</v>
      </c>
      <c r="E5787" s="3" t="s">
        <v>3546</v>
      </c>
      <c r="F5787" s="3" t="s">
        <v>3547</v>
      </c>
      <c r="G5787" s="3">
        <v>17082</v>
      </c>
      <c r="H5787" s="7" t="str">
        <f>HYPERLINK("http://www.ensembl.org/Mus_musculus/Gene/Summary?db=core;g=ENSMUSG00000026069","ENSMUSG00000026069")</f>
        <v>ENSMUSG00000026069</v>
      </c>
      <c r="I5787" s="7" t="str">
        <f>HYPERLINK("http://www.informatics.jax.org/marker/MGI:98427","MGI:98427")</f>
        <v>MGI:98427</v>
      </c>
      <c r="J5787" s="4" t="s">
        <v>12</v>
      </c>
    </row>
    <row r="5788" spans="1:10" x14ac:dyDescent="0.25">
      <c r="A5788" s="2">
        <v>173.09257299580901</v>
      </c>
      <c r="B5788" s="3">
        <v>-0.58154080080947201</v>
      </c>
      <c r="C5788" s="5">
        <v>2.9839731960462999E-8</v>
      </c>
      <c r="D5788" s="6">
        <v>1.97612323757063E-7</v>
      </c>
      <c r="E5788" s="3" t="s">
        <v>4657</v>
      </c>
      <c r="F5788" s="3" t="s">
        <v>4658</v>
      </c>
      <c r="G5788" s="3">
        <v>73467</v>
      </c>
      <c r="H5788" s="7" t="str">
        <f>HYPERLINK("http://www.ensembl.org/Mus_musculus/Gene/Summary?db=core;g=ENSMUSG00000038323","ENSMUSG00000038323")</f>
        <v>ENSMUSG00000038323</v>
      </c>
      <c r="I5788" s="7" t="str">
        <f>HYPERLINK("http://www.informatics.jax.org/marker/MGI:1920717","MGI:1920717")</f>
        <v>MGI:1920717</v>
      </c>
      <c r="J5788" s="4" t="s">
        <v>12</v>
      </c>
    </row>
    <row r="5789" spans="1:10" x14ac:dyDescent="0.25">
      <c r="A5789" s="2">
        <v>169.517176289471</v>
      </c>
      <c r="B5789" s="3">
        <v>-0.58308021027912604</v>
      </c>
      <c r="C5789" s="5">
        <v>4.0927398123478599E-7</v>
      </c>
      <c r="D5789" s="6">
        <v>2.38612229942546E-6</v>
      </c>
      <c r="E5789" s="3" t="s">
        <v>7816</v>
      </c>
      <c r="F5789" s="3" t="s">
        <v>7817</v>
      </c>
      <c r="G5789" s="3">
        <v>71891</v>
      </c>
      <c r="H5789" s="7" t="str">
        <f>HYPERLINK("http://www.ensembl.org/Mus_musculus/Gene/Summary?db=core;g=ENSMUSG00000021982","ENSMUSG00000021982")</f>
        <v>ENSMUSG00000021982</v>
      </c>
      <c r="I5789" s="7" t="str">
        <f>HYPERLINK("http://www.informatics.jax.org/marker/MGI:1919141","MGI:1919141")</f>
        <v>MGI:1919141</v>
      </c>
      <c r="J5789" s="4" t="s">
        <v>12</v>
      </c>
    </row>
    <row r="5790" spans="1:10" x14ac:dyDescent="0.25">
      <c r="A5790" s="2">
        <v>1330.55106535084</v>
      </c>
      <c r="B5790" s="3">
        <v>-0.58330510673365998</v>
      </c>
      <c r="C5790" s="5">
        <v>3.0409221864408301E-24</v>
      </c>
      <c r="D5790" s="6">
        <v>5.8215133243575803E-23</v>
      </c>
      <c r="E5790" s="3" t="s">
        <v>870</v>
      </c>
      <c r="F5790" s="3" t="s">
        <v>871</v>
      </c>
      <c r="G5790" s="3">
        <v>18971</v>
      </c>
      <c r="H5790" s="7" t="str">
        <f>HYPERLINK("http://www.ensembl.org/Mus_musculus/Gene/Summary?db=core;g=ENSMUSG00000038644","ENSMUSG00000038644")</f>
        <v>ENSMUSG00000038644</v>
      </c>
      <c r="I5790" s="7" t="str">
        <f>HYPERLINK("http://www.informatics.jax.org/marker/MGI:97741","MGI:97741")</f>
        <v>MGI:97741</v>
      </c>
      <c r="J5790" s="4" t="s">
        <v>12</v>
      </c>
    </row>
    <row r="5791" spans="1:10" x14ac:dyDescent="0.25">
      <c r="A5791" s="2">
        <v>66.366300455326595</v>
      </c>
      <c r="B5791" s="3">
        <v>-0.58344500481929495</v>
      </c>
      <c r="C5791" s="5">
        <v>7.2807069119649399E-5</v>
      </c>
      <c r="D5791" s="4">
        <v>3.1082427610813101E-4</v>
      </c>
      <c r="E5791" s="3" t="s">
        <v>6023</v>
      </c>
      <c r="F5791" s="3" t="s">
        <v>6024</v>
      </c>
      <c r="G5791" s="3">
        <v>78767</v>
      </c>
      <c r="H5791" s="7" t="str">
        <f>HYPERLINK("http://www.ensembl.org/Mus_musculus/Gene/Summary?db=core;g=ENSMUSG00000021176","ENSMUSG00000021176")</f>
        <v>ENSMUSG00000021176</v>
      </c>
      <c r="I5791" s="7" t="str">
        <f>HYPERLINK("http://www.informatics.jax.org/marker/MGI:1926017","MGI:1926017")</f>
        <v>MGI:1926017</v>
      </c>
      <c r="J5791" s="4" t="s">
        <v>12</v>
      </c>
    </row>
    <row r="5792" spans="1:10" x14ac:dyDescent="0.25">
      <c r="A5792" s="2">
        <v>183.340961522665</v>
      </c>
      <c r="B5792" s="3">
        <v>-0.58357632095232104</v>
      </c>
      <c r="C5792" s="5">
        <v>4.6904731160717298E-7</v>
      </c>
      <c r="D5792" s="6">
        <v>2.7120517937946501E-6</v>
      </c>
      <c r="E5792" s="3" t="s">
        <v>6940</v>
      </c>
      <c r="F5792" s="3" t="s">
        <v>6941</v>
      </c>
      <c r="G5792" s="3">
        <v>212514</v>
      </c>
      <c r="H5792" s="7" t="str">
        <f>HYPERLINK("http://www.ensembl.org/Mus_musculus/Gene/Summary?db=core;g=ENSMUSG00000043065","ENSMUSG00000043065")</f>
        <v>ENSMUSG00000043065</v>
      </c>
      <c r="I5792" s="7" t="str">
        <f>HYPERLINK("http://www.informatics.jax.org/marker/MGI:1196252","MGI:1196252")</f>
        <v>MGI:1196252</v>
      </c>
      <c r="J5792" s="4" t="s">
        <v>12</v>
      </c>
    </row>
    <row r="5793" spans="1:10" x14ac:dyDescent="0.25">
      <c r="A5793" s="2">
        <v>108.030765636796</v>
      </c>
      <c r="B5793" s="3">
        <v>-0.58410834379134302</v>
      </c>
      <c r="C5793" s="5">
        <v>5.10336623246226E-7</v>
      </c>
      <c r="D5793" s="6">
        <v>2.9384665492366898E-6</v>
      </c>
      <c r="E5793" s="3" t="s">
        <v>8763</v>
      </c>
      <c r="F5793" s="3" t="s">
        <v>8764</v>
      </c>
      <c r="G5793" s="3">
        <v>66361</v>
      </c>
      <c r="H5793" s="7" t="str">
        <f>HYPERLINK("http://www.ensembl.org/Mus_musculus/Gene/Summary?db=core;g=ENSMUSG00000039795","ENSMUSG00000039795")</f>
        <v>ENSMUSG00000039795</v>
      </c>
      <c r="I5793" s="7" t="str">
        <f>HYPERLINK("http://www.informatics.jax.org/marker/MGI:1913611","MGI:1913611")</f>
        <v>MGI:1913611</v>
      </c>
      <c r="J5793" s="4" t="s">
        <v>12</v>
      </c>
    </row>
    <row r="5794" spans="1:10" x14ac:dyDescent="0.25">
      <c r="A5794" s="2">
        <v>261.96669198431499</v>
      </c>
      <c r="B5794" s="3">
        <v>-0.58416313927368202</v>
      </c>
      <c r="C5794" s="5">
        <v>9.7564476112672807E-7</v>
      </c>
      <c r="D5794" s="6">
        <v>5.42935138062126E-6</v>
      </c>
      <c r="E5794" s="3" t="s">
        <v>7298</v>
      </c>
      <c r="F5794" s="3" t="s">
        <v>7299</v>
      </c>
      <c r="G5794" s="3">
        <v>66570</v>
      </c>
      <c r="H5794" s="7" t="str">
        <f>HYPERLINK("http://www.ensembl.org/Mus_musculus/Gene/Summary?db=core;g=ENSMUSG00000068101","ENSMUSG00000068101")</f>
        <v>ENSMUSG00000068101</v>
      </c>
      <c r="I5794" s="7" t="str">
        <f>HYPERLINK("http://www.informatics.jax.org/marker/MGI:1913820","MGI:1913820")</f>
        <v>MGI:1913820</v>
      </c>
      <c r="J5794" s="4" t="s">
        <v>12</v>
      </c>
    </row>
    <row r="5795" spans="1:10" x14ac:dyDescent="0.25">
      <c r="A5795" s="2">
        <v>108.100802199784</v>
      </c>
      <c r="B5795" s="3">
        <v>-0.58453276390579501</v>
      </c>
      <c r="C5795" s="3">
        <v>3.9828675156951E-4</v>
      </c>
      <c r="D5795" s="4">
        <v>1.5009876028441501E-3</v>
      </c>
      <c r="E5795" s="3" t="s">
        <v>8917</v>
      </c>
      <c r="F5795" s="3" t="s">
        <v>8918</v>
      </c>
      <c r="G5795" s="3">
        <v>19363</v>
      </c>
      <c r="H5795" s="7" t="str">
        <f>HYPERLINK("http://www.ensembl.org/Mus_musculus/Gene/Summary?db=core;g=ENSMUSG00000059060","ENSMUSG00000059060")</f>
        <v>ENSMUSG00000059060</v>
      </c>
      <c r="I5795" s="7" t="str">
        <f>HYPERLINK("http://www.informatics.jax.org/marker/MGI:1099436","MGI:1099436")</f>
        <v>MGI:1099436</v>
      </c>
      <c r="J5795" s="4" t="s">
        <v>12</v>
      </c>
    </row>
    <row r="5796" spans="1:10" x14ac:dyDescent="0.25">
      <c r="A5796" s="2">
        <v>661.412071564244</v>
      </c>
      <c r="B5796" s="3">
        <v>-0.58517352183052995</v>
      </c>
      <c r="C5796" s="5">
        <v>4.3587535577276102E-23</v>
      </c>
      <c r="D5796" s="6">
        <v>7.9677315536194195E-22</v>
      </c>
      <c r="E5796" s="3" t="s">
        <v>2281</v>
      </c>
      <c r="F5796" s="3" t="s">
        <v>2282</v>
      </c>
      <c r="G5796" s="3">
        <v>26411</v>
      </c>
      <c r="H5796" s="7" t="str">
        <f>HYPERLINK("http://www.ensembl.org/Mus_musculus/Gene/Summary?db=core;g=ENSMUSG00000037337","ENSMUSG00000037337")</f>
        <v>ENSMUSG00000037337</v>
      </c>
      <c r="I5796" s="7" t="str">
        <f>HYPERLINK("http://www.informatics.jax.org/marker/MGI:1346882","MGI:1346882")</f>
        <v>MGI:1346882</v>
      </c>
      <c r="J5796" s="4" t="s">
        <v>12</v>
      </c>
    </row>
    <row r="5797" spans="1:10" x14ac:dyDescent="0.25">
      <c r="A5797" s="2">
        <v>95.902066449568494</v>
      </c>
      <c r="B5797" s="3">
        <v>-0.58529825638685595</v>
      </c>
      <c r="C5797" s="5">
        <v>4.5635421692498601E-5</v>
      </c>
      <c r="D5797" s="4">
        <v>2.0147906016128501E-4</v>
      </c>
      <c r="E5797" s="3" t="s">
        <v>4999</v>
      </c>
      <c r="F5797" s="3" t="s">
        <v>5000</v>
      </c>
      <c r="G5797" s="3">
        <v>234353</v>
      </c>
      <c r="H5797" s="7" t="str">
        <f>HYPERLINK("http://www.ensembl.org/Mus_musculus/Gene/Summary?db=core;g=ENSMUSG00000030465","ENSMUSG00000030465")</f>
        <v>ENSMUSG00000030465</v>
      </c>
      <c r="I5797" s="7" t="str">
        <f>HYPERLINK("http://www.informatics.jax.org/marker/MGI:1918215","MGI:1918215")</f>
        <v>MGI:1918215</v>
      </c>
      <c r="J5797" s="4" t="s">
        <v>12</v>
      </c>
    </row>
    <row r="5798" spans="1:10" x14ac:dyDescent="0.25">
      <c r="A5798" s="2">
        <v>916.79093217610205</v>
      </c>
      <c r="B5798" s="3">
        <v>-0.58539566112331398</v>
      </c>
      <c r="C5798" s="5">
        <v>2.1641418935284598E-15</v>
      </c>
      <c r="D5798" s="6">
        <v>2.5982533603133199E-14</v>
      </c>
      <c r="E5798" s="3" t="s">
        <v>1935</v>
      </c>
      <c r="F5798" s="3" t="s">
        <v>1936</v>
      </c>
      <c r="G5798" s="3">
        <v>16001</v>
      </c>
      <c r="H5798" s="7" t="str">
        <f>HYPERLINK("http://www.ensembl.org/Mus_musculus/Gene/Summary?db=core;g=ENSMUSG00000005533","ENSMUSG00000005533")</f>
        <v>ENSMUSG00000005533</v>
      </c>
      <c r="I5798" s="7" t="str">
        <f>HYPERLINK("http://www.informatics.jax.org/marker/MGI:96433","MGI:96433")</f>
        <v>MGI:96433</v>
      </c>
      <c r="J5798" s="4" t="s">
        <v>12</v>
      </c>
    </row>
    <row r="5799" spans="1:10" x14ac:dyDescent="0.25">
      <c r="A5799" s="2">
        <v>43.204137906448899</v>
      </c>
      <c r="B5799" s="3">
        <v>-0.58546589874751798</v>
      </c>
      <c r="C5799" s="3">
        <v>4.9357883976551701E-3</v>
      </c>
      <c r="D5799" s="4">
        <v>1.4861183470554399E-2</v>
      </c>
      <c r="E5799" s="3" t="s">
        <v>11243</v>
      </c>
      <c r="F5799" s="3" t="s">
        <v>11244</v>
      </c>
      <c r="G5799" s="3">
        <v>432442</v>
      </c>
      <c r="H5799" s="7" t="str">
        <f>HYPERLINK("http://www.ensembl.org/Mus_musculus/Gene/Summary?db=core;g=ENSMUSG00000039166","ENSMUSG00000039166")</f>
        <v>ENSMUSG00000039166</v>
      </c>
      <c r="I5799" s="7" t="str">
        <f>HYPERLINK("http://www.informatics.jax.org/marker/MGI:1859150","MGI:1859150")</f>
        <v>MGI:1859150</v>
      </c>
      <c r="J5799" s="4" t="s">
        <v>12</v>
      </c>
    </row>
    <row r="5800" spans="1:10" x14ac:dyDescent="0.25">
      <c r="A5800" s="2">
        <v>89.731108701727393</v>
      </c>
      <c r="B5800" s="3">
        <v>-0.58564547556892599</v>
      </c>
      <c r="C5800" s="5">
        <v>3.1762732227270402E-6</v>
      </c>
      <c r="D5800" s="6">
        <v>1.66104962651938E-5</v>
      </c>
      <c r="E5800" s="3" t="s">
        <v>8489</v>
      </c>
      <c r="F5800" s="3" t="s">
        <v>8490</v>
      </c>
      <c r="G5800" s="3">
        <v>12905</v>
      </c>
      <c r="H5800" s="7" t="str">
        <f>HYPERLINK("http://www.ensembl.org/Mus_musculus/Gene/Summary?db=core;g=ENSMUSG00000045867","ENSMUSG00000045867")</f>
        <v>ENSMUSG00000045867</v>
      </c>
      <c r="I5800" s="7" t="str">
        <f>HYPERLINK("http://www.informatics.jax.org/marker/MGI:1336168","MGI:1336168")</f>
        <v>MGI:1336168</v>
      </c>
      <c r="J5800" s="4" t="s">
        <v>12</v>
      </c>
    </row>
    <row r="5801" spans="1:10" x14ac:dyDescent="0.25">
      <c r="A5801" s="2">
        <v>162.04387209711001</v>
      </c>
      <c r="B5801" s="3">
        <v>-0.58601524229888802</v>
      </c>
      <c r="C5801" s="5">
        <v>1.36368119456246E-5</v>
      </c>
      <c r="D5801" s="6">
        <v>6.5351274706549803E-5</v>
      </c>
      <c r="E5801" s="3" t="s">
        <v>8347</v>
      </c>
      <c r="F5801" s="3" t="s">
        <v>8348</v>
      </c>
      <c r="G5801" s="3">
        <v>18996</v>
      </c>
      <c r="H5801" s="7" t="str">
        <f>HYPERLINK("http://www.ensembl.org/Mus_musculus/Gene/Summary?db=core;g=ENSMUSG00000048349","ENSMUSG00000048349")</f>
        <v>ENSMUSG00000048349</v>
      </c>
      <c r="I5801" s="7" t="str">
        <f>HYPERLINK("http://www.informatics.jax.org/marker/MGI:102525","MGI:102525")</f>
        <v>MGI:102525</v>
      </c>
      <c r="J5801" s="4" t="s">
        <v>12</v>
      </c>
    </row>
    <row r="5802" spans="1:10" x14ac:dyDescent="0.25">
      <c r="A5802" s="2">
        <v>101.870850977245</v>
      </c>
      <c r="B5802" s="3">
        <v>-0.58617118002389001</v>
      </c>
      <c r="C5802" s="5">
        <v>2.03159323208816E-5</v>
      </c>
      <c r="D5802" s="6">
        <v>9.4840642046123698E-5</v>
      </c>
      <c r="E5802" s="3" t="s">
        <v>10630</v>
      </c>
      <c r="F5802" s="3" t="s">
        <v>10631</v>
      </c>
      <c r="G5802" s="3">
        <v>15394</v>
      </c>
      <c r="H5802" s="7" t="str">
        <f>HYPERLINK("http://www.ensembl.org/Mus_musculus/Gene/Summary?db=core;g=ENSMUSG00000029844","ENSMUSG00000029844")</f>
        <v>ENSMUSG00000029844</v>
      </c>
      <c r="I5802" s="7" t="str">
        <f>HYPERLINK("http://www.informatics.jax.org/marker/MGI:96170","MGI:96170")</f>
        <v>MGI:96170</v>
      </c>
      <c r="J5802" s="4" t="s">
        <v>12</v>
      </c>
    </row>
    <row r="5803" spans="1:10" x14ac:dyDescent="0.25">
      <c r="A5803" s="2">
        <v>373.66230126829402</v>
      </c>
      <c r="B5803" s="3">
        <v>-0.58634435117880102</v>
      </c>
      <c r="C5803" s="5">
        <v>7.1996293042401895E-11</v>
      </c>
      <c r="D5803" s="6">
        <v>6.2363709158639499E-10</v>
      </c>
      <c r="E5803" s="3" t="s">
        <v>7416</v>
      </c>
      <c r="F5803" s="3" t="s">
        <v>7417</v>
      </c>
      <c r="G5803" s="3">
        <v>26879</v>
      </c>
      <c r="H5803" s="7" t="str">
        <f>HYPERLINK("http://www.ensembl.org/Mus_musculus/Gene/Summary?db=core;g=ENSMUSG00000043300","ENSMUSG00000043300")</f>
        <v>ENSMUSG00000043300</v>
      </c>
      <c r="I5803" s="7" t="str">
        <f>HYPERLINK("http://www.informatics.jax.org/marker/MGI:1349405","MGI:1349405")</f>
        <v>MGI:1349405</v>
      </c>
      <c r="J5803" s="4" t="s">
        <v>12</v>
      </c>
    </row>
    <row r="5804" spans="1:10" x14ac:dyDescent="0.25">
      <c r="A5804" s="2">
        <v>2508.8467091697698</v>
      </c>
      <c r="B5804" s="3">
        <v>-0.58660760619784202</v>
      </c>
      <c r="C5804" s="5">
        <v>6.1559615438070503E-25</v>
      </c>
      <c r="D5804" s="6">
        <v>1.22347218250691E-23</v>
      </c>
      <c r="E5804" s="3" t="s">
        <v>698</v>
      </c>
      <c r="F5804" s="3" t="s">
        <v>699</v>
      </c>
      <c r="G5804" s="3">
        <v>235559</v>
      </c>
      <c r="H5804" s="7" t="str">
        <f>HYPERLINK("http://www.ensembl.org/Mus_musculus/Gene/Summary?db=core;g=ENSMUSG00000032555","ENSMUSG00000032555")</f>
        <v>ENSMUSG00000032555</v>
      </c>
      <c r="I5804" s="7" t="str">
        <f>HYPERLINK("http://www.informatics.jax.org/marker/MGI:1920018","MGI:1920018")</f>
        <v>MGI:1920018</v>
      </c>
      <c r="J5804" s="4" t="s">
        <v>12</v>
      </c>
    </row>
    <row r="5805" spans="1:10" x14ac:dyDescent="0.25">
      <c r="A5805" s="2">
        <v>104.209614771329</v>
      </c>
      <c r="B5805" s="3">
        <v>-0.58670514682427399</v>
      </c>
      <c r="C5805" s="3">
        <v>1.1415586458588199E-4</v>
      </c>
      <c r="D5805" s="4">
        <v>4.7230207311639197E-4</v>
      </c>
      <c r="E5805" s="3" t="s">
        <v>9587</v>
      </c>
      <c r="F5805" s="3" t="s">
        <v>9588</v>
      </c>
      <c r="G5805" s="3">
        <v>71276</v>
      </c>
      <c r="H5805" s="7" t="str">
        <f>HYPERLINK("http://www.ensembl.org/Mus_musculus/Gene/Summary?db=core;g=ENSMUSG00000048445","ENSMUSG00000048445")</f>
        <v>ENSMUSG00000048445</v>
      </c>
      <c r="I5805" s="7" t="str">
        <f>HYPERLINK("http://www.informatics.jax.org/marker/MGI:1918526","MGI:1918526")</f>
        <v>MGI:1918526</v>
      </c>
      <c r="J5805" s="4" t="s">
        <v>12</v>
      </c>
    </row>
    <row r="5806" spans="1:10" x14ac:dyDescent="0.25">
      <c r="A5806" s="2">
        <v>99.330337362572394</v>
      </c>
      <c r="B5806" s="3">
        <v>-0.58681274477985201</v>
      </c>
      <c r="C5806" s="3">
        <v>2.2644230902241501E-4</v>
      </c>
      <c r="D5806" s="4">
        <v>8.9114901358961797E-4</v>
      </c>
      <c r="E5806" s="3" t="s">
        <v>10510</v>
      </c>
      <c r="F5806" s="3" t="s">
        <v>10511</v>
      </c>
      <c r="G5806" s="3">
        <v>22685</v>
      </c>
      <c r="H5806" s="7" t="str">
        <f>HYPERLINK("http://www.ensembl.org/Mus_musculus/Gene/Summary?db=core;g=ENSMUSG00000042097","ENSMUSG00000042097")</f>
        <v>ENSMUSG00000042097</v>
      </c>
      <c r="I5806" s="7" t="str">
        <f>HYPERLINK("http://www.informatics.jax.org/marker/MGI:1306812","MGI:1306812")</f>
        <v>MGI:1306812</v>
      </c>
      <c r="J5806" s="4" t="s">
        <v>12</v>
      </c>
    </row>
    <row r="5807" spans="1:10" x14ac:dyDescent="0.25">
      <c r="A5807" s="2">
        <v>123.58157136362099</v>
      </c>
      <c r="B5807" s="3">
        <v>-0.58727256157271901</v>
      </c>
      <c r="C5807" s="5">
        <v>3.5555102075061898E-6</v>
      </c>
      <c r="D5807" s="6">
        <v>1.8487638668131301E-5</v>
      </c>
      <c r="E5807" s="3" t="s">
        <v>7160</v>
      </c>
      <c r="F5807" s="3" t="s">
        <v>7161</v>
      </c>
      <c r="G5807" s="3" t="s">
        <v>83</v>
      </c>
      <c r="H5807" s="7" t="str">
        <f>HYPERLINK("http://www.ensembl.org/Mus_musculus/Gene/Summary?db=core;g=ENSMUSG00000116995","ENSMUSG00000116995")</f>
        <v>ENSMUSG00000116995</v>
      </c>
      <c r="I5807" s="7" t="str">
        <f>HYPERLINK("http://www.informatics.jax.org/marker/MGI:5439378","MGI:5439378")</f>
        <v>MGI:5439378</v>
      </c>
      <c r="J5807" s="4" t="s">
        <v>5705</v>
      </c>
    </row>
    <row r="5808" spans="1:10" x14ac:dyDescent="0.25">
      <c r="A5808" s="2">
        <v>652.00121155674697</v>
      </c>
      <c r="B5808" s="3">
        <v>-0.58750420705782003</v>
      </c>
      <c r="C5808" s="5">
        <v>4.1393050913479401E-8</v>
      </c>
      <c r="D5808" s="6">
        <v>2.68274663192803E-7</v>
      </c>
      <c r="E5808" s="3" t="s">
        <v>4743</v>
      </c>
      <c r="F5808" s="3" t="s">
        <v>4744</v>
      </c>
      <c r="G5808" s="3">
        <v>17691</v>
      </c>
      <c r="H5808" s="7" t="str">
        <f>HYPERLINK("http://www.ensembl.org/Mus_musculus/Gene/Summary?db=core;g=ENSMUSG00000024042","ENSMUSG00000024042")</f>
        <v>ENSMUSG00000024042</v>
      </c>
      <c r="I5808" s="7" t="str">
        <f>HYPERLINK("http://www.informatics.jax.org/marker/MGI:104754","MGI:104754")</f>
        <v>MGI:104754</v>
      </c>
      <c r="J5808" s="4" t="s">
        <v>12</v>
      </c>
    </row>
    <row r="5809" spans="1:10" x14ac:dyDescent="0.25">
      <c r="A5809" s="2">
        <v>75.196242437956698</v>
      </c>
      <c r="B5809" s="3">
        <v>-0.58765877516699405</v>
      </c>
      <c r="C5809" s="3">
        <v>4.4168329919030502E-4</v>
      </c>
      <c r="D5809" s="4">
        <v>1.65461009820007E-3</v>
      </c>
      <c r="E5809" s="3" t="s">
        <v>9717</v>
      </c>
      <c r="F5809" s="3" t="s">
        <v>9718</v>
      </c>
      <c r="G5809" s="3">
        <v>238328</v>
      </c>
      <c r="H5809" s="7" t="str">
        <f>HYPERLINK("http://www.ensembl.org/Mus_musculus/Gene/Summary?db=core;g=ENSMUSG00000021256","ENSMUSG00000021256")</f>
        <v>ENSMUSG00000021256</v>
      </c>
      <c r="I5809" s="7" t="str">
        <f>HYPERLINK("http://www.informatics.jax.org/marker/MGI:2442543","MGI:2442543")</f>
        <v>MGI:2442543</v>
      </c>
      <c r="J5809" s="4" t="s">
        <v>12</v>
      </c>
    </row>
    <row r="5810" spans="1:10" x14ac:dyDescent="0.25">
      <c r="A5810" s="2">
        <v>67.366871820073598</v>
      </c>
      <c r="B5810" s="3">
        <v>-0.587671352953968</v>
      </c>
      <c r="C5810" s="3">
        <v>4.5000544714568898E-4</v>
      </c>
      <c r="D5810" s="4">
        <v>1.68336397254314E-3</v>
      </c>
      <c r="E5810" s="3" t="s">
        <v>13115</v>
      </c>
      <c r="F5810" s="3" t="s">
        <v>13116</v>
      </c>
      <c r="G5810" s="3">
        <v>58239</v>
      </c>
      <c r="H5810" s="7" t="str">
        <f>HYPERLINK("http://www.ensembl.org/Mus_musculus/Gene/Summary?db=core;g=ENSMUSG00000038055","ENSMUSG00000038055")</f>
        <v>ENSMUSG00000038055</v>
      </c>
      <c r="I5810" s="7" t="str">
        <f>HYPERLINK("http://www.informatics.jax.org/marker/MGI:1926236","MGI:1926236")</f>
        <v>MGI:1926236</v>
      </c>
      <c r="J5810" s="4" t="s">
        <v>12</v>
      </c>
    </row>
    <row r="5811" spans="1:10" x14ac:dyDescent="0.25">
      <c r="A5811" s="2">
        <v>17.637236912196801</v>
      </c>
      <c r="B5811" s="3">
        <v>-0.58773469352394703</v>
      </c>
      <c r="C5811" s="3">
        <v>2.7363298501152999E-2</v>
      </c>
      <c r="D5811" s="4">
        <v>6.7849811589593703E-2</v>
      </c>
      <c r="E5811" s="3" t="s">
        <v>12981</v>
      </c>
      <c r="F5811" s="3" t="s">
        <v>12982</v>
      </c>
      <c r="G5811" s="3">
        <v>213027</v>
      </c>
      <c r="H5811" s="7" t="str">
        <f>HYPERLINK("http://www.ensembl.org/Mus_musculus/Gene/Summary?db=core;g=ENSMUSG00000011832","ENSMUSG00000011832")</f>
        <v>ENSMUSG00000011832</v>
      </c>
      <c r="I5811" s="7" t="str">
        <f>HYPERLINK("http://www.informatics.jax.org/marker/MGI:2442167","MGI:2442167")</f>
        <v>MGI:2442167</v>
      </c>
      <c r="J5811" s="4" t="s">
        <v>12</v>
      </c>
    </row>
    <row r="5812" spans="1:10" x14ac:dyDescent="0.25">
      <c r="A5812" s="2">
        <v>141.04342729512999</v>
      </c>
      <c r="B5812" s="3">
        <v>-0.58823320609973695</v>
      </c>
      <c r="C5812" s="5">
        <v>9.8221989085318096E-9</v>
      </c>
      <c r="D5812" s="6">
        <v>6.8481092237181394E-8</v>
      </c>
      <c r="E5812" s="3" t="s">
        <v>5457</v>
      </c>
      <c r="F5812" s="3" t="s">
        <v>5458</v>
      </c>
      <c r="G5812" s="3">
        <v>212153</v>
      </c>
      <c r="H5812" s="7" t="str">
        <f>HYPERLINK("http://www.ensembl.org/Mus_musculus/Gene/Summary?db=core;g=ENSMUSG00000022701","ENSMUSG00000022701")</f>
        <v>ENSMUSG00000022701</v>
      </c>
      <c r="I5812" s="7" t="str">
        <f>HYPERLINK("http://www.informatics.jax.org/marker/MGI:1922661","MGI:1922661")</f>
        <v>MGI:1922661</v>
      </c>
      <c r="J5812" s="4" t="s">
        <v>12</v>
      </c>
    </row>
    <row r="5813" spans="1:10" x14ac:dyDescent="0.25">
      <c r="A5813" s="2">
        <v>176.681080005882</v>
      </c>
      <c r="B5813" s="3">
        <v>-0.58840347028990203</v>
      </c>
      <c r="C5813" s="5">
        <v>3.8845343752605901E-7</v>
      </c>
      <c r="D5813" s="6">
        <v>2.2756553837712702E-6</v>
      </c>
      <c r="E5813" s="3" t="s">
        <v>9211</v>
      </c>
      <c r="F5813" s="3" t="s">
        <v>9212</v>
      </c>
      <c r="G5813" s="3">
        <v>232933</v>
      </c>
      <c r="H5813" s="7" t="str">
        <f>HYPERLINK("http://www.ensembl.org/Mus_musculus/Gene/Summary?db=core;g=ENSMUSG00000074358","ENSMUSG00000074358")</f>
        <v>ENSMUSG00000074358</v>
      </c>
      <c r="I5813" s="7" t="str">
        <f>HYPERLINK("http://www.informatics.jax.org/marker/MGI:2685005","MGI:2685005")</f>
        <v>MGI:2685005</v>
      </c>
      <c r="J5813" s="4" t="s">
        <v>12</v>
      </c>
    </row>
    <row r="5814" spans="1:10" x14ac:dyDescent="0.25">
      <c r="A5814" s="2">
        <v>524.00343106837795</v>
      </c>
      <c r="B5814" s="3">
        <v>-0.58891038273032204</v>
      </c>
      <c r="C5814" s="5">
        <v>1.37751173284351E-8</v>
      </c>
      <c r="D5814" s="6">
        <v>9.4629292616181298E-8</v>
      </c>
      <c r="E5814" s="3" t="s">
        <v>5161</v>
      </c>
      <c r="F5814" s="3" t="s">
        <v>5162</v>
      </c>
      <c r="G5814" s="3">
        <v>213211</v>
      </c>
      <c r="H5814" s="7" t="str">
        <f>HYPERLINK("http://www.ensembl.org/Mus_musculus/Gene/Summary?db=core;g=ENSMUSG00000053128","ENSMUSG00000053128")</f>
        <v>ENSMUSG00000053128</v>
      </c>
      <c r="I5814" s="7" t="str">
        <f>HYPERLINK("http://www.informatics.jax.org/marker/MGI:2388131","MGI:2388131")</f>
        <v>MGI:2388131</v>
      </c>
      <c r="J5814" s="4" t="s">
        <v>12</v>
      </c>
    </row>
    <row r="5815" spans="1:10" x14ac:dyDescent="0.25">
      <c r="A5815" s="2">
        <v>359.71348626132198</v>
      </c>
      <c r="B5815" s="3">
        <v>-0.58907935941244105</v>
      </c>
      <c r="C5815" s="5">
        <v>1.1638038338425299E-6</v>
      </c>
      <c r="D5815" s="6">
        <v>6.43126891200126E-6</v>
      </c>
      <c r="E5815" s="3" t="s">
        <v>9689</v>
      </c>
      <c r="F5815" s="3" t="s">
        <v>9690</v>
      </c>
      <c r="G5815" s="3">
        <v>15284</v>
      </c>
      <c r="H5815" s="7" t="str">
        <f>HYPERLINK("http://www.ensembl.org/Mus_musculus/Gene/Summary?db=core;g=ENSMUSG00000039377","ENSMUSG00000039377")</f>
        <v>ENSMUSG00000039377</v>
      </c>
      <c r="I5815" s="7" t="str">
        <f>HYPERLINK("http://www.informatics.jax.org/marker/MGI:96109","MGI:96109")</f>
        <v>MGI:96109</v>
      </c>
      <c r="J5815" s="4" t="s">
        <v>12</v>
      </c>
    </row>
    <row r="5816" spans="1:10" x14ac:dyDescent="0.25">
      <c r="A5816" s="2">
        <v>106.219617327615</v>
      </c>
      <c r="B5816" s="3">
        <v>-0.58941456386374702</v>
      </c>
      <c r="C5816" s="5">
        <v>1.36717727313402E-5</v>
      </c>
      <c r="D5816" s="6">
        <v>6.5484377931320704E-5</v>
      </c>
      <c r="E5816" s="3" t="s">
        <v>9163</v>
      </c>
      <c r="F5816" s="3" t="s">
        <v>9164</v>
      </c>
      <c r="G5816" s="3">
        <v>14357</v>
      </c>
      <c r="H5816" s="7" t="str">
        <f>HYPERLINK("http://www.ensembl.org/Mus_musculus/Gene/Summary?db=core;g=ENSMUSG00000029603","ENSMUSG00000029603")</f>
        <v>ENSMUSG00000029603</v>
      </c>
      <c r="I5816" s="7" t="str">
        <f>HYPERLINK("http://www.informatics.jax.org/marker/MGI:1352744","MGI:1352744")</f>
        <v>MGI:1352744</v>
      </c>
      <c r="J5816" s="4" t="s">
        <v>12</v>
      </c>
    </row>
    <row r="5817" spans="1:10" x14ac:dyDescent="0.25">
      <c r="A5817" s="2">
        <v>318.70085244253499</v>
      </c>
      <c r="B5817" s="3">
        <v>-0.59006515788910796</v>
      </c>
      <c r="C5817" s="5">
        <v>7.5069379242169996E-8</v>
      </c>
      <c r="D5817" s="6">
        <v>4.7521342017663998E-7</v>
      </c>
      <c r="E5817" s="3" t="s">
        <v>8911</v>
      </c>
      <c r="F5817" s="3" t="s">
        <v>8912</v>
      </c>
      <c r="G5817" s="3">
        <v>26408</v>
      </c>
      <c r="H5817" s="7" t="str">
        <f>HYPERLINK("http://www.ensembl.org/Mus_musculus/Gene/Summary?db=core;g=ENSMUSG00000071369","ENSMUSG00000071369")</f>
        <v>ENSMUSG00000071369</v>
      </c>
      <c r="I5817" s="7" t="str">
        <f>HYPERLINK("http://www.informatics.jax.org/marker/MGI:1346876","MGI:1346876")</f>
        <v>MGI:1346876</v>
      </c>
      <c r="J5817" s="4" t="s">
        <v>12</v>
      </c>
    </row>
    <row r="5818" spans="1:10" x14ac:dyDescent="0.25">
      <c r="A5818" s="2">
        <v>578.99677642532095</v>
      </c>
      <c r="B5818" s="3">
        <v>-0.59016996249250697</v>
      </c>
      <c r="C5818" s="5">
        <v>1.8144355708784101E-23</v>
      </c>
      <c r="D5818" s="6">
        <v>3.3881237991044101E-22</v>
      </c>
      <c r="E5818" s="3" t="s">
        <v>2029</v>
      </c>
      <c r="F5818" s="3" t="s">
        <v>2030</v>
      </c>
      <c r="G5818" s="3">
        <v>103199</v>
      </c>
      <c r="H5818" s="7" t="str">
        <f>HYPERLINK("http://www.ensembl.org/Mus_musculus/Gene/Summary?db=core;g=ENSMUSG00000038417","ENSMUSG00000038417")</f>
        <v>ENSMUSG00000038417</v>
      </c>
      <c r="I5818" s="7" t="str">
        <f>HYPERLINK("http://www.informatics.jax.org/marker/MGI:2143585","MGI:2143585")</f>
        <v>MGI:2143585</v>
      </c>
      <c r="J5818" s="4" t="s">
        <v>12</v>
      </c>
    </row>
    <row r="5819" spans="1:10" x14ac:dyDescent="0.25">
      <c r="A5819" s="2">
        <v>298.151796697186</v>
      </c>
      <c r="B5819" s="3">
        <v>-0.59022893521041297</v>
      </c>
      <c r="C5819" s="5">
        <v>2.24465293800644E-6</v>
      </c>
      <c r="D5819" s="6">
        <v>1.19686365696803E-5</v>
      </c>
      <c r="E5819" s="3" t="s">
        <v>6784</v>
      </c>
      <c r="F5819" s="3" t="s">
        <v>6785</v>
      </c>
      <c r="G5819" s="3">
        <v>19415</v>
      </c>
      <c r="H5819" s="7" t="str">
        <f>HYPERLINK("http://www.ensembl.org/Mus_musculus/Gene/Summary?db=core;g=ENSMUSG00000029602","ENSMUSG00000029602")</f>
        <v>ENSMUSG00000029602</v>
      </c>
      <c r="I5819" s="7" t="str">
        <f>HYPERLINK("http://www.informatics.jax.org/marker/MGI:1330842","MGI:1330842")</f>
        <v>MGI:1330842</v>
      </c>
      <c r="J5819" s="4" t="s">
        <v>12</v>
      </c>
    </row>
    <row r="5820" spans="1:10" x14ac:dyDescent="0.25">
      <c r="A5820" s="2">
        <v>656.79912828064505</v>
      </c>
      <c r="B5820" s="3">
        <v>-0.59027257496659802</v>
      </c>
      <c r="C5820" s="5">
        <v>2.8251639211457199E-16</v>
      </c>
      <c r="D5820" s="6">
        <v>3.6157733471124103E-15</v>
      </c>
      <c r="E5820" s="3" t="s">
        <v>4115</v>
      </c>
      <c r="F5820" s="3" t="s">
        <v>4116</v>
      </c>
      <c r="G5820" s="3">
        <v>224014</v>
      </c>
      <c r="H5820" s="7" t="str">
        <f>HYPERLINK("http://www.ensembl.org/Mus_musculus/Gene/Summary?db=core;g=ENSMUSG00000022788","ENSMUSG00000022788")</f>
        <v>ENSMUSG00000022788</v>
      </c>
      <c r="I5820" s="7" t="str">
        <f>HYPERLINK("http://www.informatics.jax.org/marker/MGI:2183747","MGI:2183747")</f>
        <v>MGI:2183747</v>
      </c>
      <c r="J5820" s="4" t="s">
        <v>12</v>
      </c>
    </row>
    <row r="5821" spans="1:10" x14ac:dyDescent="0.25">
      <c r="A5821" s="2">
        <v>314.40540459666801</v>
      </c>
      <c r="B5821" s="3">
        <v>-0.59032969988015005</v>
      </c>
      <c r="C5821" s="5">
        <v>1.7816669092829301E-12</v>
      </c>
      <c r="D5821" s="6">
        <v>1.7656813171115498E-11</v>
      </c>
      <c r="E5821" s="3" t="s">
        <v>3210</v>
      </c>
      <c r="F5821" s="3" t="s">
        <v>3211</v>
      </c>
      <c r="G5821" s="3">
        <v>22036</v>
      </c>
      <c r="H5821" s="7" t="str">
        <f>HYPERLINK("http://www.ensembl.org/Mus_musculus/Gene/Summary?db=core;g=ENSMUSG00000032586","ENSMUSG00000032586")</f>
        <v>ENSMUSG00000032586</v>
      </c>
      <c r="I5821" s="7" t="str">
        <f>HYPERLINK("http://www.informatics.jax.org/marker/MGI:1096377","MGI:1096377")</f>
        <v>MGI:1096377</v>
      </c>
      <c r="J5821" s="4" t="s">
        <v>12</v>
      </c>
    </row>
    <row r="5822" spans="1:10" x14ac:dyDescent="0.25">
      <c r="A5822" s="2">
        <v>1134.05460605234</v>
      </c>
      <c r="B5822" s="3">
        <v>-0.59101802118107305</v>
      </c>
      <c r="C5822" s="5">
        <v>1.0981429084662201E-12</v>
      </c>
      <c r="D5822" s="6">
        <v>1.1075625072936899E-11</v>
      </c>
      <c r="E5822" s="3" t="s">
        <v>3664</v>
      </c>
      <c r="F5822" s="3" t="s">
        <v>3665</v>
      </c>
      <c r="G5822" s="3">
        <v>16907</v>
      </c>
      <c r="H5822" s="7" t="str">
        <f>HYPERLINK("http://www.ensembl.org/Mus_musculus/Gene/Summary?db=core;g=ENSMUSG00000062075","ENSMUSG00000062075")</f>
        <v>ENSMUSG00000062075</v>
      </c>
      <c r="I5822" s="7" t="str">
        <f>HYPERLINK("http://www.informatics.jax.org/marker/MGI:96796","MGI:96796")</f>
        <v>MGI:96796</v>
      </c>
      <c r="J5822" s="4" t="s">
        <v>12</v>
      </c>
    </row>
    <row r="5823" spans="1:10" x14ac:dyDescent="0.25">
      <c r="A5823" s="2">
        <v>11.3355450772446</v>
      </c>
      <c r="B5823" s="3">
        <v>-0.59125902048188705</v>
      </c>
      <c r="C5823" s="3">
        <v>4.6207273335976802E-2</v>
      </c>
      <c r="D5823" s="4">
        <v>0.106963998037365</v>
      </c>
      <c r="E5823" s="3" t="s">
        <v>13881</v>
      </c>
      <c r="F5823" s="3" t="s">
        <v>13882</v>
      </c>
      <c r="G5823" s="3" t="s">
        <v>83</v>
      </c>
      <c r="H5823" s="7" t="str">
        <f>HYPERLINK("http://www.ensembl.org/Mus_musculus/Gene/Summary?db=core;g=ENSMUSG00000086342","ENSMUSG00000086342")</f>
        <v>ENSMUSG00000086342</v>
      </c>
      <c r="I5823" s="7" t="str">
        <f>HYPERLINK("http://www.informatics.jax.org/marker/MGI:3651151","MGI:3651151")</f>
        <v>MGI:3651151</v>
      </c>
      <c r="J5823" s="4" t="s">
        <v>932</v>
      </c>
    </row>
    <row r="5824" spans="1:10" x14ac:dyDescent="0.25">
      <c r="A5824" s="2">
        <v>755.33827832126701</v>
      </c>
      <c r="B5824" s="3">
        <v>-0.59157099151633996</v>
      </c>
      <c r="C5824" s="5">
        <v>1.9523952709847E-5</v>
      </c>
      <c r="D5824" s="6">
        <v>9.1416944027213504E-5</v>
      </c>
      <c r="E5824" s="3" t="s">
        <v>9115</v>
      </c>
      <c r="F5824" s="3" t="s">
        <v>9116</v>
      </c>
      <c r="G5824" s="3">
        <v>99011</v>
      </c>
      <c r="H5824" s="7" t="str">
        <f>HYPERLINK("http://www.ensembl.org/Mus_musculus/Gene/Summary?db=core;g=ENSMUSG00000039254","ENSMUSG00000039254")</f>
        <v>ENSMUSG00000039254</v>
      </c>
      <c r="I5824" s="7" t="str">
        <f>HYPERLINK("http://www.informatics.jax.org/marker/MGI:2138994","MGI:2138994")</f>
        <v>MGI:2138994</v>
      </c>
      <c r="J5824" s="4" t="s">
        <v>12</v>
      </c>
    </row>
    <row r="5825" spans="1:10" x14ac:dyDescent="0.25">
      <c r="A5825" s="2">
        <v>34.132746311625603</v>
      </c>
      <c r="B5825" s="3">
        <v>-0.59169446551322902</v>
      </c>
      <c r="C5825" s="3">
        <v>4.0245481392455797E-3</v>
      </c>
      <c r="D5825" s="4">
        <v>1.2381395988816799E-2</v>
      </c>
      <c r="E5825" s="3" t="s">
        <v>13967</v>
      </c>
      <c r="F5825" s="3" t="s">
        <v>13968</v>
      </c>
      <c r="G5825" s="3" t="s">
        <v>83</v>
      </c>
      <c r="H5825" s="7" t="str">
        <f>HYPERLINK("http://www.ensembl.org/Mus_musculus/Gene/Summary?db=core;g=ENSMUSG00000097397","ENSMUSG00000097397")</f>
        <v>ENSMUSG00000097397</v>
      </c>
      <c r="I5825" s="7" t="str">
        <f>HYPERLINK("http://www.informatics.jax.org/marker/MGI:4439785","MGI:4439785")</f>
        <v>MGI:4439785</v>
      </c>
      <c r="J5825" s="4" t="s">
        <v>932</v>
      </c>
    </row>
    <row r="5826" spans="1:10" x14ac:dyDescent="0.25">
      <c r="A5826" s="2">
        <v>36.221342023144899</v>
      </c>
      <c r="B5826" s="3">
        <v>-0.59242180965860403</v>
      </c>
      <c r="C5826" s="3">
        <v>3.0287416916477601E-3</v>
      </c>
      <c r="D5826" s="4">
        <v>9.5870167829534107E-3</v>
      </c>
      <c r="E5826" s="3" t="s">
        <v>10553</v>
      </c>
      <c r="F5826" s="3" t="s">
        <v>10554</v>
      </c>
      <c r="G5826" s="3">
        <v>71699</v>
      </c>
      <c r="H5826" s="7" t="str">
        <f>HYPERLINK("http://www.ensembl.org/Mus_musculus/Gene/Summary?db=core;g=ENSMUSG00000030089","ENSMUSG00000030089")</f>
        <v>ENSMUSG00000030089</v>
      </c>
      <c r="I5826" s="7" t="str">
        <f>HYPERLINK("http://www.informatics.jax.org/marker/MGI:1918949","MGI:1918949")</f>
        <v>MGI:1918949</v>
      </c>
      <c r="J5826" s="4" t="s">
        <v>12</v>
      </c>
    </row>
    <row r="5827" spans="1:10" x14ac:dyDescent="0.25">
      <c r="A5827" s="2">
        <v>704.56887412404103</v>
      </c>
      <c r="B5827" s="3">
        <v>-0.59284428356569396</v>
      </c>
      <c r="C5827" s="5">
        <v>3.48542069983737E-15</v>
      </c>
      <c r="D5827" s="6">
        <v>4.1382275084388298E-14</v>
      </c>
      <c r="E5827" s="3" t="s">
        <v>2784</v>
      </c>
      <c r="F5827" s="3" t="s">
        <v>2785</v>
      </c>
      <c r="G5827" s="3">
        <v>20585</v>
      </c>
      <c r="H5827" s="7" t="str">
        <f>HYPERLINK("http://www.ensembl.org/Mus_musculus/Gene/Summary?db=core;g=ENSMUSG00000002428","ENSMUSG00000002428")</f>
        <v>ENSMUSG00000002428</v>
      </c>
      <c r="I5827" s="7" t="str">
        <f>HYPERLINK("http://www.informatics.jax.org/marker/MGI:1196437","MGI:1196437")</f>
        <v>MGI:1196437</v>
      </c>
      <c r="J5827" s="4" t="s">
        <v>12</v>
      </c>
    </row>
    <row r="5828" spans="1:10" x14ac:dyDescent="0.25">
      <c r="A5828" s="2">
        <v>188.67721656517401</v>
      </c>
      <c r="B5828" s="3">
        <v>-0.59310581339789903</v>
      </c>
      <c r="C5828" s="5">
        <v>2.9089020956230402E-10</v>
      </c>
      <c r="D5828" s="6">
        <v>2.3912828458606101E-9</v>
      </c>
      <c r="E5828" s="3" t="s">
        <v>6135</v>
      </c>
      <c r="F5828" s="3" t="s">
        <v>6136</v>
      </c>
      <c r="G5828" s="3">
        <v>70551</v>
      </c>
      <c r="H5828" s="7" t="str">
        <f>HYPERLINK("http://www.ensembl.org/Mus_musculus/Gene/Summary?db=core;g=ENSMUSG00000041594","ENSMUSG00000041594")</f>
        <v>ENSMUSG00000041594</v>
      </c>
      <c r="I5828" s="7" t="str">
        <f>HYPERLINK("http://www.informatics.jax.org/marker/MGI:1921050","MGI:1921050")</f>
        <v>MGI:1921050</v>
      </c>
      <c r="J5828" s="4" t="s">
        <v>12</v>
      </c>
    </row>
    <row r="5829" spans="1:10" x14ac:dyDescent="0.25">
      <c r="A5829" s="2">
        <v>13916.6494938345</v>
      </c>
      <c r="B5829" s="3">
        <v>-0.59333567561264</v>
      </c>
      <c r="C5829" s="5">
        <v>8.2385730676154004E-49</v>
      </c>
      <c r="D5829" s="6">
        <v>3.8598456081565702E-47</v>
      </c>
      <c r="E5829" s="3" t="s">
        <v>1346</v>
      </c>
      <c r="F5829" s="3" t="s">
        <v>1347</v>
      </c>
      <c r="G5829" s="3">
        <v>16792</v>
      </c>
      <c r="H5829" s="7" t="str">
        <f>HYPERLINK("http://www.ensembl.org/Mus_musculus/Gene/Summary?db=core;g=ENSMUSG00000028581","ENSMUSG00000028581")</f>
        <v>ENSMUSG00000028581</v>
      </c>
      <c r="I5829" s="7" t="str">
        <f>HYPERLINK("http://www.informatics.jax.org/marker/MGI:108046","MGI:108046")</f>
        <v>MGI:108046</v>
      </c>
      <c r="J5829" s="4" t="s">
        <v>12</v>
      </c>
    </row>
    <row r="5830" spans="1:10" x14ac:dyDescent="0.25">
      <c r="A5830" s="2">
        <v>411.11062268514303</v>
      </c>
      <c r="B5830" s="3">
        <v>-0.59383112398627302</v>
      </c>
      <c r="C5830" s="3">
        <v>4.0283631570293998E-4</v>
      </c>
      <c r="D5830" s="4">
        <v>1.51750555057587E-3</v>
      </c>
      <c r="E5830" s="3" t="s">
        <v>13861</v>
      </c>
      <c r="F5830" s="3" t="s">
        <v>13862</v>
      </c>
      <c r="G5830" s="3">
        <v>12522</v>
      </c>
      <c r="H5830" s="7" t="str">
        <f>HYPERLINK("http://www.ensembl.org/Mus_musculus/Gene/Summary?db=core;g=ENSMUSG00000015396","ENSMUSG00000015396")</f>
        <v>ENSMUSG00000015396</v>
      </c>
      <c r="I5830" s="7" t="str">
        <f>HYPERLINK("http://www.informatics.jax.org/marker/MGI:1328316","MGI:1328316")</f>
        <v>MGI:1328316</v>
      </c>
      <c r="J5830" s="4" t="s">
        <v>12</v>
      </c>
    </row>
    <row r="5831" spans="1:10" x14ac:dyDescent="0.25">
      <c r="A5831" s="2">
        <v>129.51683218512201</v>
      </c>
      <c r="B5831" s="3">
        <v>-0.59403173313278901</v>
      </c>
      <c r="C5831" s="5">
        <v>2.4863106905569702E-6</v>
      </c>
      <c r="D5831" s="6">
        <v>1.31762176026173E-5</v>
      </c>
      <c r="E5831" s="3" t="s">
        <v>5335</v>
      </c>
      <c r="F5831" s="3" t="s">
        <v>5336</v>
      </c>
      <c r="G5831" s="3">
        <v>225471</v>
      </c>
      <c r="H5831" s="7" t="str">
        <f>HYPERLINK("http://www.ensembl.org/Mus_musculus/Gene/Summary?db=core;g=ENSMUSG00000056130","ENSMUSG00000056130")</f>
        <v>ENSMUSG00000056130</v>
      </c>
      <c r="I5831" s="7" t="str">
        <f>HYPERLINK("http://www.informatics.jax.org/marker/MGI:3040056","MGI:3040056")</f>
        <v>MGI:3040056</v>
      </c>
      <c r="J5831" s="4" t="s">
        <v>12</v>
      </c>
    </row>
    <row r="5832" spans="1:10" x14ac:dyDescent="0.25">
      <c r="A5832" s="2">
        <v>971.49539526724595</v>
      </c>
      <c r="B5832" s="3">
        <v>-0.59414169487801005</v>
      </c>
      <c r="C5832" s="5">
        <v>1.04559318967563E-8</v>
      </c>
      <c r="D5832" s="6">
        <v>7.2677100998620797E-8</v>
      </c>
      <c r="E5832" s="3" t="s">
        <v>2976</v>
      </c>
      <c r="F5832" s="3" t="s">
        <v>2977</v>
      </c>
      <c r="G5832" s="3">
        <v>68026</v>
      </c>
      <c r="H5832" s="7" t="str">
        <f>HYPERLINK("http://www.ensembl.org/Mus_musculus/Gene/Summary?db=core;g=ENSMUSG00000040204","ENSMUSG00000040204")</f>
        <v>ENSMUSG00000040204</v>
      </c>
      <c r="I5832" s="7" t="str">
        <f>HYPERLINK("http://www.informatics.jax.org/marker/MGI:1915276","MGI:1915276")</f>
        <v>MGI:1915276</v>
      </c>
      <c r="J5832" s="4" t="s">
        <v>12</v>
      </c>
    </row>
    <row r="5833" spans="1:10" x14ac:dyDescent="0.25">
      <c r="A5833" s="2">
        <v>1825.6987746218499</v>
      </c>
      <c r="B5833" s="3">
        <v>-0.59440626833254995</v>
      </c>
      <c r="C5833" s="5">
        <v>4.3026938061318004E-28</v>
      </c>
      <c r="D5833" s="6">
        <v>9.8389704663427905E-27</v>
      </c>
      <c r="E5833" s="3" t="s">
        <v>1632</v>
      </c>
      <c r="F5833" s="3" t="s">
        <v>1633</v>
      </c>
      <c r="G5833" s="3">
        <v>13822</v>
      </c>
      <c r="H5833" s="7" t="str">
        <f>HYPERLINK("http://www.ensembl.org/Mus_musculus/Gene/Summary?db=core;g=ENSMUSG00000019978","ENSMUSG00000019978")</f>
        <v>ENSMUSG00000019978</v>
      </c>
      <c r="I5833" s="7" t="str">
        <f>HYPERLINK("http://www.informatics.jax.org/marker/MGI:103009","MGI:103009")</f>
        <v>MGI:103009</v>
      </c>
      <c r="J5833" s="4" t="s">
        <v>12</v>
      </c>
    </row>
    <row r="5834" spans="1:10" x14ac:dyDescent="0.25">
      <c r="A5834" s="2">
        <v>252.47515151487599</v>
      </c>
      <c r="B5834" s="3">
        <v>-0.59441391868152604</v>
      </c>
      <c r="C5834" s="5">
        <v>9.7322217259798302E-11</v>
      </c>
      <c r="D5834" s="6">
        <v>8.3194062362093101E-10</v>
      </c>
      <c r="E5834" s="3" t="s">
        <v>4835</v>
      </c>
      <c r="F5834" s="3" t="s">
        <v>4836</v>
      </c>
      <c r="G5834" s="3">
        <v>74477</v>
      </c>
      <c r="H5834" s="7" t="str">
        <f>HYPERLINK("http://www.ensembl.org/Mus_musculus/Gene/Summary?db=core;g=ENSMUSG00000020807","ENSMUSG00000020807")</f>
        <v>ENSMUSG00000020807</v>
      </c>
      <c r="I5834" s="7" t="str">
        <f>HYPERLINK("http://www.informatics.jax.org/marker/MGI:1921727","MGI:1921727")</f>
        <v>MGI:1921727</v>
      </c>
      <c r="J5834" s="4" t="s">
        <v>12</v>
      </c>
    </row>
    <row r="5835" spans="1:10" x14ac:dyDescent="0.25">
      <c r="A5835" s="2">
        <v>1108.62698172453</v>
      </c>
      <c r="B5835" s="3">
        <v>-0.59458068176158296</v>
      </c>
      <c r="C5835" s="5">
        <v>1.0137382058327999E-14</v>
      </c>
      <c r="D5835" s="6">
        <v>1.17303992389224E-13</v>
      </c>
      <c r="E5835" s="3" t="s">
        <v>890</v>
      </c>
      <c r="F5835" s="3" t="s">
        <v>891</v>
      </c>
      <c r="G5835" s="3">
        <v>76843</v>
      </c>
      <c r="H5835" s="7" t="str">
        <f>HYPERLINK("http://www.ensembl.org/Mus_musculus/Gene/Summary?db=core;g=ENSMUSG00000037474","ENSMUSG00000037474")</f>
        <v>ENSMUSG00000037474</v>
      </c>
      <c r="I5835" s="7" t="str">
        <f>HYPERLINK("http://www.informatics.jax.org/marker/MGI:1924093","MGI:1924093")</f>
        <v>MGI:1924093</v>
      </c>
      <c r="J5835" s="4" t="s">
        <v>12</v>
      </c>
    </row>
    <row r="5836" spans="1:10" x14ac:dyDescent="0.25">
      <c r="A5836" s="2">
        <v>202.083313004487</v>
      </c>
      <c r="B5836" s="3">
        <v>-0.59488819166398199</v>
      </c>
      <c r="C5836" s="5">
        <v>6.7404199590160495E-7</v>
      </c>
      <c r="D5836" s="6">
        <v>3.8174068910213602E-6</v>
      </c>
      <c r="E5836" s="3" t="s">
        <v>5601</v>
      </c>
      <c r="F5836" s="3" t="s">
        <v>5602</v>
      </c>
      <c r="G5836" s="3">
        <v>66089</v>
      </c>
      <c r="H5836" s="7" t="str">
        <f>HYPERLINK("http://www.ensembl.org/Mus_musculus/Gene/Summary?db=core;g=ENSMUSG00000001054","ENSMUSG00000001054")</f>
        <v>ENSMUSG00000001054</v>
      </c>
      <c r="I5836" s="7" t="str">
        <f>HYPERLINK("http://www.informatics.jax.org/marker/MGI:1913339","MGI:1913339")</f>
        <v>MGI:1913339</v>
      </c>
      <c r="J5836" s="4" t="s">
        <v>12</v>
      </c>
    </row>
    <row r="5837" spans="1:10" x14ac:dyDescent="0.25">
      <c r="A5837" s="2">
        <v>53.163004342927501</v>
      </c>
      <c r="B5837" s="3">
        <v>-0.59516719232647597</v>
      </c>
      <c r="C5837" s="3">
        <v>6.82198336768195E-4</v>
      </c>
      <c r="D5837" s="4">
        <v>2.4732573478417298E-3</v>
      </c>
      <c r="E5837" s="3" t="s">
        <v>12109</v>
      </c>
      <c r="F5837" s="3" t="s">
        <v>12110</v>
      </c>
      <c r="G5837" s="3">
        <v>66431</v>
      </c>
      <c r="H5837" s="7" t="str">
        <f>HYPERLINK("http://www.ensembl.org/Mus_musculus/Gene/Summary?db=core;g=ENSMUSG00000039670","ENSMUSG00000039670")</f>
        <v>ENSMUSG00000039670</v>
      </c>
      <c r="I5837" s="7" t="str">
        <f>HYPERLINK("http://www.informatics.jax.org/marker/MGI:1913681","MGI:1913681")</f>
        <v>MGI:1913681</v>
      </c>
      <c r="J5837" s="4" t="s">
        <v>12</v>
      </c>
    </row>
    <row r="5838" spans="1:10" x14ac:dyDescent="0.25">
      <c r="A5838" s="2">
        <v>676.34324914967601</v>
      </c>
      <c r="B5838" s="3">
        <v>-0.59563237377147205</v>
      </c>
      <c r="C5838" s="5">
        <v>6.0745839329133496E-10</v>
      </c>
      <c r="D5838" s="6">
        <v>4.8344669073076696E-9</v>
      </c>
      <c r="E5838" s="3" t="s">
        <v>3478</v>
      </c>
      <c r="F5838" s="3" t="s">
        <v>3479</v>
      </c>
      <c r="G5838" s="3">
        <v>235633</v>
      </c>
      <c r="H5838" s="7" t="str">
        <f>HYPERLINK("http://www.ensembl.org/Mus_musculus/Gene/Summary?db=core;g=ENSMUSG00000044037","ENSMUSG00000044037")</f>
        <v>ENSMUSG00000044037</v>
      </c>
      <c r="I5838" s="7" t="str">
        <f>HYPERLINK("http://www.informatics.jax.org/marker/MGI:2447532","MGI:2447532")</f>
        <v>MGI:2447532</v>
      </c>
      <c r="J5838" s="4" t="s">
        <v>12</v>
      </c>
    </row>
    <row r="5839" spans="1:10" x14ac:dyDescent="0.25">
      <c r="A5839" s="2">
        <v>67.204065127040593</v>
      </c>
      <c r="B5839" s="3">
        <v>-0.59611872521118503</v>
      </c>
      <c r="C5839" s="3">
        <v>1.4756773762127201E-4</v>
      </c>
      <c r="D5839" s="4">
        <v>5.9898040493266698E-4</v>
      </c>
      <c r="E5839" s="3" t="s">
        <v>11283</v>
      </c>
      <c r="F5839" s="3" t="s">
        <v>11284</v>
      </c>
      <c r="G5839" s="3">
        <v>227696</v>
      </c>
      <c r="H5839" s="7" t="str">
        <f>HYPERLINK("http://www.ensembl.org/Mus_musculus/Gene/Summary?db=core;g=ENSMUSG00000079484","ENSMUSG00000079484")</f>
        <v>ENSMUSG00000079484</v>
      </c>
      <c r="I5839" s="7" t="str">
        <f>HYPERLINK("http://www.informatics.jax.org/marker/MGI:3612860","MGI:3612860")</f>
        <v>MGI:3612860</v>
      </c>
      <c r="J5839" s="4" t="s">
        <v>12</v>
      </c>
    </row>
    <row r="5840" spans="1:10" x14ac:dyDescent="0.25">
      <c r="A5840" s="2">
        <v>99.233696600755195</v>
      </c>
      <c r="B5840" s="3">
        <v>-0.59649594560199504</v>
      </c>
      <c r="C5840" s="5">
        <v>1.0281831355641E-5</v>
      </c>
      <c r="D5840" s="6">
        <v>5.0210711805079799E-5</v>
      </c>
      <c r="E5840" s="3" t="s">
        <v>5517</v>
      </c>
      <c r="F5840" s="3" t="s">
        <v>5518</v>
      </c>
      <c r="G5840" s="3">
        <v>66994</v>
      </c>
      <c r="H5840" s="7" t="str">
        <f>HYPERLINK("http://www.ensembl.org/Mus_musculus/Gene/Summary?db=core;g=ENSMUSG00000035790","ENSMUSG00000035790")</f>
        <v>ENSMUSG00000035790</v>
      </c>
      <c r="I5840" s="7" t="str">
        <f>HYPERLINK("http://www.informatics.jax.org/marker/MGI:1914244","MGI:1914244")</f>
        <v>MGI:1914244</v>
      </c>
      <c r="J5840" s="4" t="s">
        <v>12</v>
      </c>
    </row>
    <row r="5841" spans="1:10" x14ac:dyDescent="0.25">
      <c r="A5841" s="2">
        <v>134.93037070109401</v>
      </c>
      <c r="B5841" s="3">
        <v>-0.59699816902495595</v>
      </c>
      <c r="C5841" s="5">
        <v>3.2549779921668801E-8</v>
      </c>
      <c r="D5841" s="6">
        <v>2.1454601774770799E-7</v>
      </c>
      <c r="E5841" s="3" t="s">
        <v>5233</v>
      </c>
      <c r="F5841" s="3" t="s">
        <v>5234</v>
      </c>
      <c r="G5841" s="3">
        <v>101602</v>
      </c>
      <c r="H5841" s="7" t="str">
        <f>HYPERLINK("http://www.ensembl.org/Mus_musculus/Gene/Summary?db=core;g=ENSMUSG00000045165","ENSMUSG00000045165")</f>
        <v>ENSMUSG00000045165</v>
      </c>
      <c r="I5841" s="7" t="str">
        <f>HYPERLINK("http://www.informatics.jax.org/marker/MGI:2141979","MGI:2141979")</f>
        <v>MGI:2141979</v>
      </c>
      <c r="J5841" s="4" t="s">
        <v>12</v>
      </c>
    </row>
    <row r="5842" spans="1:10" x14ac:dyDescent="0.25">
      <c r="A5842" s="2">
        <v>171.409062379207</v>
      </c>
      <c r="B5842" s="3">
        <v>-0.59717808335172795</v>
      </c>
      <c r="C5842" s="3">
        <v>1.0034630106896801E-3</v>
      </c>
      <c r="D5842" s="4">
        <v>3.5305238165674701E-3</v>
      </c>
      <c r="E5842" s="3" t="s">
        <v>10632</v>
      </c>
      <c r="F5842" s="3" t="s">
        <v>10633</v>
      </c>
      <c r="G5842" s="3">
        <v>211666</v>
      </c>
      <c r="H5842" s="7" t="str">
        <f>HYPERLINK("http://www.ensembl.org/Mus_musculus/Gene/Summary?db=core;g=ENSMUSG00000074604","ENSMUSG00000074604")</f>
        <v>ENSMUSG00000074604</v>
      </c>
      <c r="I5842" s="7" t="str">
        <f>HYPERLINK("http://www.informatics.jax.org/marker/MGI:2448481","MGI:2448481")</f>
        <v>MGI:2448481</v>
      </c>
      <c r="J5842" s="4" t="s">
        <v>12</v>
      </c>
    </row>
    <row r="5843" spans="1:10" x14ac:dyDescent="0.25">
      <c r="A5843" s="2">
        <v>1087.74476933096</v>
      </c>
      <c r="B5843" s="3">
        <v>-0.59759817547229599</v>
      </c>
      <c r="C5843" s="5">
        <v>1.5803565211908001E-15</v>
      </c>
      <c r="D5843" s="6">
        <v>1.91757640470722E-14</v>
      </c>
      <c r="E5843" s="3" t="s">
        <v>3778</v>
      </c>
      <c r="F5843" s="3" t="s">
        <v>3779</v>
      </c>
      <c r="G5843" s="3" t="s">
        <v>83</v>
      </c>
      <c r="H5843" s="7" t="str">
        <f>HYPERLINK("http://www.ensembl.org/Mus_musculus/Gene/Summary?db=core;g=ENSMUSG00000116207","ENSMUSG00000116207")</f>
        <v>ENSMUSG00000116207</v>
      </c>
      <c r="I5843" s="7" t="str">
        <f>HYPERLINK("http://www.informatics.jax.org/marker/MGI:109279","MGI:109279")</f>
        <v>MGI:109279</v>
      </c>
      <c r="J5843" s="4" t="s">
        <v>12</v>
      </c>
    </row>
    <row r="5844" spans="1:10" x14ac:dyDescent="0.25">
      <c r="A5844" s="2">
        <v>387.24711679512501</v>
      </c>
      <c r="B5844" s="3">
        <v>-0.59797983718747605</v>
      </c>
      <c r="C5844" s="5">
        <v>5.7787987080997299E-18</v>
      </c>
      <c r="D5844" s="6">
        <v>8.1389958620647196E-17</v>
      </c>
      <c r="E5844" s="3" t="s">
        <v>2916</v>
      </c>
      <c r="F5844" s="3" t="s">
        <v>2917</v>
      </c>
      <c r="G5844" s="3">
        <v>232536</v>
      </c>
      <c r="H5844" s="7" t="str">
        <f>HYPERLINK("http://www.ensembl.org/Mus_musculus/Gene/Summary?db=core;g=ENSMUSG00000040112","ENSMUSG00000040112")</f>
        <v>ENSMUSG00000040112</v>
      </c>
      <c r="I5844" s="7" t="str">
        <f>HYPERLINK("http://www.informatics.jax.org/marker/MGI:2385255","MGI:2385255")</f>
        <v>MGI:2385255</v>
      </c>
      <c r="J5844" s="4" t="s">
        <v>12</v>
      </c>
    </row>
    <row r="5845" spans="1:10" x14ac:dyDescent="0.25">
      <c r="A5845" s="2">
        <v>379.89271145942001</v>
      </c>
      <c r="B5845" s="3">
        <v>-0.59807329169849199</v>
      </c>
      <c r="C5845" s="5">
        <v>1.8819131308243299E-18</v>
      </c>
      <c r="D5845" s="6">
        <v>2.72205292137091E-17</v>
      </c>
      <c r="E5845" s="3" t="s">
        <v>1284</v>
      </c>
      <c r="F5845" s="3" t="s">
        <v>1285</v>
      </c>
      <c r="G5845" s="3">
        <v>231670</v>
      </c>
      <c r="H5845" s="7" t="str">
        <f>HYPERLINK("http://www.ensembl.org/Mus_musculus/Gene/Summary?db=core;g=ENSMUSG00000032898","ENSMUSG00000032898")</f>
        <v>ENSMUSG00000032898</v>
      </c>
      <c r="I5845" s="7" t="str">
        <f>HYPERLINK("http://www.informatics.jax.org/marker/MGI:1924223","MGI:1924223")</f>
        <v>MGI:1924223</v>
      </c>
      <c r="J5845" s="4" t="s">
        <v>12</v>
      </c>
    </row>
    <row r="5846" spans="1:10" x14ac:dyDescent="0.25">
      <c r="A5846" s="2">
        <v>63.094513929030001</v>
      </c>
      <c r="B5846" s="3">
        <v>-0.59819602206145495</v>
      </c>
      <c r="C5846" s="3">
        <v>6.8335461807770095E-4</v>
      </c>
      <c r="D5846" s="4">
        <v>2.4769566257887999E-3</v>
      </c>
      <c r="E5846" s="3" t="s">
        <v>6904</v>
      </c>
      <c r="F5846" s="3" t="s">
        <v>6905</v>
      </c>
      <c r="G5846" s="3">
        <v>18628</v>
      </c>
      <c r="H5846" s="7" t="str">
        <f>HYPERLINK("http://www.ensembl.org/Mus_musculus/Gene/Summary?db=core;g=ENSMUSG00000028957","ENSMUSG00000028957")</f>
        <v>ENSMUSG00000028957</v>
      </c>
      <c r="I5846" s="7" t="str">
        <f>HYPERLINK("http://www.informatics.jax.org/marker/MGI:1277134","MGI:1277134")</f>
        <v>MGI:1277134</v>
      </c>
      <c r="J5846" s="4" t="s">
        <v>12</v>
      </c>
    </row>
    <row r="5847" spans="1:10" x14ac:dyDescent="0.25">
      <c r="A5847" s="2">
        <v>4.0259549609017498</v>
      </c>
      <c r="B5847" s="3">
        <v>-0.59846333340678104</v>
      </c>
      <c r="C5847" s="3">
        <v>0.16232161982207899</v>
      </c>
      <c r="D5847" s="4">
        <v>0.29984913047409301</v>
      </c>
      <c r="E5847" s="3" t="s">
        <v>12613</v>
      </c>
      <c r="F5847" s="3" t="s">
        <v>12614</v>
      </c>
      <c r="G5847" s="3">
        <v>13865</v>
      </c>
      <c r="H5847" s="7" t="str">
        <f>HYPERLINK("http://www.ensembl.org/Mus_musculus/Gene/Summary?db=core;g=ENSMUSG00000069171","ENSMUSG00000069171")</f>
        <v>ENSMUSG00000069171</v>
      </c>
      <c r="I5847" s="7" t="str">
        <f>HYPERLINK("http://www.informatics.jax.org/marker/MGI:1352451","MGI:1352451")</f>
        <v>MGI:1352451</v>
      </c>
      <c r="J5847" s="4" t="s">
        <v>12</v>
      </c>
    </row>
    <row r="5848" spans="1:10" x14ac:dyDescent="0.25">
      <c r="A5848" s="2">
        <v>167.34328238897601</v>
      </c>
      <c r="B5848" s="3">
        <v>-0.59870871434554096</v>
      </c>
      <c r="C5848" s="5">
        <v>1.0844578857907199E-9</v>
      </c>
      <c r="D5848" s="6">
        <v>8.3675888943843392E-9</v>
      </c>
      <c r="E5848" s="3" t="s">
        <v>4147</v>
      </c>
      <c r="F5848" s="3" t="s">
        <v>4148</v>
      </c>
      <c r="G5848" s="3">
        <v>67727</v>
      </c>
      <c r="H5848" s="7" t="str">
        <f>HYPERLINK("http://www.ensembl.org/Mus_musculus/Gene/Summary?db=core;g=ENSMUSG00000061455","ENSMUSG00000061455")</f>
        <v>ENSMUSG00000061455</v>
      </c>
      <c r="I5848" s="7" t="str">
        <f>HYPERLINK("http://www.informatics.jax.org/marker/MGI:1914977","MGI:1914977")</f>
        <v>MGI:1914977</v>
      </c>
      <c r="J5848" s="4" t="s">
        <v>12</v>
      </c>
    </row>
    <row r="5849" spans="1:10" x14ac:dyDescent="0.25">
      <c r="A5849" s="2">
        <v>426.42783581333998</v>
      </c>
      <c r="B5849" s="3">
        <v>-0.59927204344586504</v>
      </c>
      <c r="C5849" s="5">
        <v>1.35563593228112E-13</v>
      </c>
      <c r="D5849" s="6">
        <v>1.45846900034376E-12</v>
      </c>
      <c r="E5849" s="3" t="s">
        <v>1304</v>
      </c>
      <c r="F5849" s="3" t="s">
        <v>1305</v>
      </c>
      <c r="G5849" s="3">
        <v>320782</v>
      </c>
      <c r="H5849" s="7" t="str">
        <f>HYPERLINK("http://www.ensembl.org/Mus_musculus/Gene/Summary?db=core;g=ENSMUSG00000056498","ENSMUSG00000056498")</f>
        <v>ENSMUSG00000056498</v>
      </c>
      <c r="I5849" s="7" t="str">
        <f>HYPERLINK("http://www.informatics.jax.org/marker/MGI:2444725","MGI:2444725")</f>
        <v>MGI:2444725</v>
      </c>
      <c r="J5849" s="4" t="s">
        <v>12</v>
      </c>
    </row>
    <row r="5850" spans="1:10" x14ac:dyDescent="0.25">
      <c r="A5850" s="2">
        <v>388.803175106879</v>
      </c>
      <c r="B5850" s="3">
        <v>-0.60058533503999101</v>
      </c>
      <c r="C5850" s="5">
        <v>1.21152207780776E-18</v>
      </c>
      <c r="D5850" s="6">
        <v>1.77064874643516E-17</v>
      </c>
      <c r="E5850" s="3" t="s">
        <v>2810</v>
      </c>
      <c r="F5850" s="3" t="s">
        <v>2811</v>
      </c>
      <c r="G5850" s="3">
        <v>235323</v>
      </c>
      <c r="H5850" s="7" t="str">
        <f>HYPERLINK("http://www.ensembl.org/Mus_musculus/Gene/Summary?db=core;g=ENSMUSG00000032267","ENSMUSG00000032267")</f>
        <v>ENSMUSG00000032267</v>
      </c>
      <c r="I5850" s="7" t="str">
        <f>HYPERLINK("http://www.informatics.jax.org/marker/MGI:2442293","MGI:2442293")</f>
        <v>MGI:2442293</v>
      </c>
      <c r="J5850" s="4" t="s">
        <v>12</v>
      </c>
    </row>
    <row r="5851" spans="1:10" x14ac:dyDescent="0.25">
      <c r="A5851" s="2">
        <v>586.87772490679197</v>
      </c>
      <c r="B5851" s="3">
        <v>-0.60070662555429299</v>
      </c>
      <c r="C5851" s="5">
        <v>1.1127355140333499E-16</v>
      </c>
      <c r="D5851" s="6">
        <v>1.4579155099394599E-15</v>
      </c>
      <c r="E5851" s="3" t="s">
        <v>2714</v>
      </c>
      <c r="F5851" s="3" t="s">
        <v>2715</v>
      </c>
      <c r="G5851" s="3" t="s">
        <v>83</v>
      </c>
      <c r="H5851" s="7" t="str">
        <f>HYPERLINK("http://www.ensembl.org/Mus_musculus/Gene/Summary?db=core;g=ENSMUSG00000116069","ENSMUSG00000116069")</f>
        <v>ENSMUSG00000116069</v>
      </c>
      <c r="I5851" s="7" t="str">
        <f>HYPERLINK("http://www.informatics.jax.org/marker/MGI:6155200","MGI:6155200")</f>
        <v>MGI:6155200</v>
      </c>
      <c r="J5851" s="4" t="s">
        <v>12</v>
      </c>
    </row>
    <row r="5852" spans="1:10" x14ac:dyDescent="0.25">
      <c r="A5852" s="2">
        <v>122.989266389056</v>
      </c>
      <c r="B5852" s="3">
        <v>-0.60101942827662203</v>
      </c>
      <c r="C5852" s="5">
        <v>9.3289262440615296E-7</v>
      </c>
      <c r="D5852" s="6">
        <v>5.2073409126499702E-6</v>
      </c>
      <c r="E5852" s="3" t="s">
        <v>10178</v>
      </c>
      <c r="F5852" s="3" t="s">
        <v>10179</v>
      </c>
      <c r="G5852" s="3">
        <v>74043</v>
      </c>
      <c r="H5852" s="7" t="str">
        <f>HYPERLINK("http://www.ensembl.org/Mus_musculus/Gene/Summary?db=core;g=ENSMUSG00000067825","ENSMUSG00000067825")</f>
        <v>ENSMUSG00000067825</v>
      </c>
      <c r="I5852" s="7" t="str">
        <f>HYPERLINK("http://www.informatics.jax.org/marker/MGI:1921293","MGI:1921293")</f>
        <v>MGI:1921293</v>
      </c>
      <c r="J5852" s="4" t="s">
        <v>12</v>
      </c>
    </row>
    <row r="5853" spans="1:10" x14ac:dyDescent="0.25">
      <c r="A5853" s="2">
        <v>79.234599601468204</v>
      </c>
      <c r="B5853" s="3">
        <v>-0.60123430163016001</v>
      </c>
      <c r="C5853" s="3">
        <v>1.1993097840653001E-3</v>
      </c>
      <c r="D5853" s="4">
        <v>4.1593569580571201E-3</v>
      </c>
      <c r="E5853" s="3" t="s">
        <v>9571</v>
      </c>
      <c r="F5853" s="3" t="s">
        <v>9572</v>
      </c>
      <c r="G5853" s="3">
        <v>66257</v>
      </c>
      <c r="H5853" s="7" t="str">
        <f>HYPERLINK("http://www.ensembl.org/Mus_musculus/Gene/Summary?db=core;g=ENSMUSG00000032606","ENSMUSG00000032606")</f>
        <v>ENSMUSG00000032606</v>
      </c>
      <c r="I5853" s="7" t="str">
        <f>HYPERLINK("http://www.informatics.jax.org/marker/MGI:1913507","MGI:1913507")</f>
        <v>MGI:1913507</v>
      </c>
      <c r="J5853" s="4" t="s">
        <v>12</v>
      </c>
    </row>
    <row r="5854" spans="1:10" x14ac:dyDescent="0.25">
      <c r="A5854" s="2">
        <v>97.907254383882602</v>
      </c>
      <c r="B5854" s="3">
        <v>-0.60247300481267896</v>
      </c>
      <c r="C5854" s="5">
        <v>3.1501364575217699E-6</v>
      </c>
      <c r="D5854" s="6">
        <v>1.6483272161451099E-5</v>
      </c>
      <c r="E5854" s="3" t="s">
        <v>9675</v>
      </c>
      <c r="F5854" s="3" t="s">
        <v>9676</v>
      </c>
      <c r="G5854" s="3">
        <v>22592</v>
      </c>
      <c r="H5854" s="7" t="str">
        <f>HYPERLINK("http://www.ensembl.org/Mus_musculus/Gene/Summary?db=core;g=ENSMUSG00000026048","ENSMUSG00000026048")</f>
        <v>ENSMUSG00000026048</v>
      </c>
      <c r="I5854" s="7" t="str">
        <f>HYPERLINK("http://www.informatics.jax.org/marker/MGI:103582","MGI:103582")</f>
        <v>MGI:103582</v>
      </c>
      <c r="J5854" s="4" t="s">
        <v>12</v>
      </c>
    </row>
    <row r="5855" spans="1:10" x14ac:dyDescent="0.25">
      <c r="A5855" s="2">
        <v>108.05737721979099</v>
      </c>
      <c r="B5855" s="3">
        <v>-0.60300438527441802</v>
      </c>
      <c r="C5855" s="5">
        <v>4.3495635039056096E-6</v>
      </c>
      <c r="D5855" s="6">
        <v>2.2411873016307499E-5</v>
      </c>
      <c r="E5855" s="3" t="s">
        <v>9329</v>
      </c>
      <c r="F5855" s="3" t="s">
        <v>9330</v>
      </c>
      <c r="G5855" s="3">
        <v>98711</v>
      </c>
      <c r="H5855" s="7" t="str">
        <f>HYPERLINK("http://www.ensembl.org/Mus_musculus/Gene/Summary?db=core;g=ENSMUSG00000025921","ENSMUSG00000025921")</f>
        <v>ENSMUSG00000025921</v>
      </c>
      <c r="I5855" s="7" t="str">
        <f>HYPERLINK("http://www.informatics.jax.org/marker/MGI:1924238","MGI:1924238")</f>
        <v>MGI:1924238</v>
      </c>
      <c r="J5855" s="4" t="s">
        <v>12</v>
      </c>
    </row>
    <row r="5856" spans="1:10" x14ac:dyDescent="0.25">
      <c r="A5856" s="2">
        <v>1195.8499812083901</v>
      </c>
      <c r="B5856" s="3">
        <v>-0.603363757037225</v>
      </c>
      <c r="C5856" s="5">
        <v>2.4087743716350399E-9</v>
      </c>
      <c r="D5856" s="6">
        <v>1.7925648396508201E-8</v>
      </c>
      <c r="E5856" s="3" t="s">
        <v>3026</v>
      </c>
      <c r="F5856" s="3" t="s">
        <v>3027</v>
      </c>
      <c r="G5856" s="3">
        <v>666704</v>
      </c>
      <c r="H5856" s="7" t="str">
        <f>HYPERLINK("http://www.ensembl.org/Mus_musculus/Gene/Summary?db=core;g=ENSMUSG00000079003","ENSMUSG00000079003")</f>
        <v>ENSMUSG00000079003</v>
      </c>
      <c r="I5856" s="7" t="str">
        <f>HYPERLINK("http://www.informatics.jax.org/marker/MGI:2142433","MGI:2142433")</f>
        <v>MGI:2142433</v>
      </c>
      <c r="J5856" s="4" t="s">
        <v>12</v>
      </c>
    </row>
    <row r="5857" spans="1:10" x14ac:dyDescent="0.25">
      <c r="A5857" s="2">
        <v>544.93674542447195</v>
      </c>
      <c r="B5857" s="3">
        <v>-0.60364533940357601</v>
      </c>
      <c r="C5857" s="5">
        <v>4.5445833283374801E-21</v>
      </c>
      <c r="D5857" s="6">
        <v>7.4954779329367095E-20</v>
      </c>
      <c r="E5857" s="3" t="s">
        <v>2659</v>
      </c>
      <c r="F5857" s="3" t="s">
        <v>2660</v>
      </c>
      <c r="G5857" s="3">
        <v>233328</v>
      </c>
      <c r="H5857" s="7" t="str">
        <f>HYPERLINK("http://www.ensembl.org/Mus_musculus/Gene/Summary?db=core;g=ENSMUSG00000015133","ENSMUSG00000015133")</f>
        <v>ENSMUSG00000015133</v>
      </c>
      <c r="I5857" s="7" t="str">
        <f>HYPERLINK("http://www.informatics.jax.org/marker/MGI:2142227","MGI:2142227")</f>
        <v>MGI:2142227</v>
      </c>
      <c r="J5857" s="4" t="s">
        <v>12</v>
      </c>
    </row>
    <row r="5858" spans="1:10" x14ac:dyDescent="0.25">
      <c r="A5858" s="2">
        <v>88.526425589559807</v>
      </c>
      <c r="B5858" s="3">
        <v>-0.60375719377107295</v>
      </c>
      <c r="C5858" s="5">
        <v>2.3544017963143898E-5</v>
      </c>
      <c r="D5858" s="4">
        <v>1.08933670316907E-4</v>
      </c>
      <c r="E5858" s="3" t="s">
        <v>4735</v>
      </c>
      <c r="F5858" s="3" t="s">
        <v>4736</v>
      </c>
      <c r="G5858" s="3">
        <v>20688</v>
      </c>
      <c r="H5858" s="7" t="str">
        <f>HYPERLINK("http://www.ensembl.org/Mus_musculus/Gene/Summary?db=core;g=ENSMUSG00000025323","ENSMUSG00000025323")</f>
        <v>ENSMUSG00000025323</v>
      </c>
      <c r="I5858" s="7" t="str">
        <f>HYPERLINK("http://www.informatics.jax.org/marker/MGI:107595","MGI:107595")</f>
        <v>MGI:107595</v>
      </c>
      <c r="J5858" s="4" t="s">
        <v>12</v>
      </c>
    </row>
    <row r="5859" spans="1:10" x14ac:dyDescent="0.25">
      <c r="A5859" s="2">
        <v>890.63139036341101</v>
      </c>
      <c r="B5859" s="3">
        <v>-0.60402639417552695</v>
      </c>
      <c r="C5859" s="5">
        <v>1.3182607191426201E-21</v>
      </c>
      <c r="D5859" s="6">
        <v>2.23907750292397E-20</v>
      </c>
      <c r="E5859" s="3" t="s">
        <v>2255</v>
      </c>
      <c r="F5859" s="3" t="s">
        <v>2256</v>
      </c>
      <c r="G5859" s="3">
        <v>110094</v>
      </c>
      <c r="H5859" s="7" t="str">
        <f>HYPERLINK("http://www.ensembl.org/Mus_musculus/Gene/Summary?db=core;g=ENSMUSG00000031295","ENSMUSG00000031295")</f>
        <v>ENSMUSG00000031295</v>
      </c>
      <c r="I5859" s="7" t="str">
        <f>HYPERLINK("http://www.informatics.jax.org/marker/MGI:97577","MGI:97577")</f>
        <v>MGI:97577</v>
      </c>
      <c r="J5859" s="4" t="s">
        <v>12</v>
      </c>
    </row>
    <row r="5860" spans="1:10" x14ac:dyDescent="0.25">
      <c r="A5860" s="2">
        <v>255.01845634241599</v>
      </c>
      <c r="B5860" s="3">
        <v>-0.60442780384063999</v>
      </c>
      <c r="C5860" s="5">
        <v>9.5716108000863094E-12</v>
      </c>
      <c r="D5860" s="6">
        <v>8.9001330016108704E-11</v>
      </c>
      <c r="E5860" s="3" t="s">
        <v>4271</v>
      </c>
      <c r="F5860" s="3" t="s">
        <v>4272</v>
      </c>
      <c r="G5860" s="3">
        <v>74477</v>
      </c>
      <c r="H5860" s="7" t="str">
        <f>HYPERLINK("http://www.ensembl.org/Mus_musculus/Gene/Summary?db=core;g=ENSMUSG00000107877","ENSMUSG00000107877")</f>
        <v>ENSMUSG00000107877</v>
      </c>
      <c r="I5860" s="7" t="str">
        <f>HYPERLINK("http://www.informatics.jax.org/marker/MGI:5690343","MGI:5690343")</f>
        <v>MGI:5690343</v>
      </c>
      <c r="J5860" s="4" t="s">
        <v>12</v>
      </c>
    </row>
    <row r="5861" spans="1:10" x14ac:dyDescent="0.25">
      <c r="A5861" s="2">
        <v>529.82544637606304</v>
      </c>
      <c r="B5861" s="3">
        <v>-0.60457013426953499</v>
      </c>
      <c r="C5861" s="3">
        <v>4.1170755505487103E-3</v>
      </c>
      <c r="D5861" s="4">
        <v>1.2638263326199399E-2</v>
      </c>
      <c r="E5861" s="3" t="s">
        <v>9543</v>
      </c>
      <c r="F5861" s="3" t="s">
        <v>9544</v>
      </c>
      <c r="G5861" s="3">
        <v>235461</v>
      </c>
      <c r="H5861" s="7" t="str">
        <f>HYPERLINK("http://www.ensembl.org/Mus_musculus/Gene/Summary?db=core;g=ENSMUSG00000042444","ENSMUSG00000042444")</f>
        <v>ENSMUSG00000042444</v>
      </c>
      <c r="I5861" s="7" t="str">
        <f>HYPERLINK("http://www.informatics.jax.org/marker/MGI:2443086","MGI:2443086")</f>
        <v>MGI:2443086</v>
      </c>
      <c r="J5861" s="4" t="s">
        <v>12</v>
      </c>
    </row>
    <row r="5862" spans="1:10" x14ac:dyDescent="0.25">
      <c r="A5862" s="2">
        <v>640.87212098523298</v>
      </c>
      <c r="B5862" s="3">
        <v>-0.60478397281644503</v>
      </c>
      <c r="C5862" s="5">
        <v>2.1857620973783499E-13</v>
      </c>
      <c r="D5862" s="6">
        <v>2.3254824416065601E-12</v>
      </c>
      <c r="E5862" s="3" t="s">
        <v>5465</v>
      </c>
      <c r="F5862" s="3" t="s">
        <v>5466</v>
      </c>
      <c r="G5862" s="3">
        <v>11666</v>
      </c>
      <c r="H5862" s="7" t="str">
        <f>HYPERLINK("http://www.ensembl.org/Mus_musculus/Gene/Summary?db=core;g=ENSMUSG00000031378","ENSMUSG00000031378")</f>
        <v>ENSMUSG00000031378</v>
      </c>
      <c r="I5862" s="7" t="str">
        <f>HYPERLINK("http://www.informatics.jax.org/marker/MGI:1349215","MGI:1349215")</f>
        <v>MGI:1349215</v>
      </c>
      <c r="J5862" s="4" t="s">
        <v>12</v>
      </c>
    </row>
    <row r="5863" spans="1:10" x14ac:dyDescent="0.25">
      <c r="A5863" s="2">
        <v>51.360727844246703</v>
      </c>
      <c r="B5863" s="3">
        <v>-0.605051347590852</v>
      </c>
      <c r="C5863" s="3">
        <v>5.51563519567359E-4</v>
      </c>
      <c r="D5863" s="4">
        <v>2.03610393844746E-3</v>
      </c>
      <c r="E5863" s="3" t="s">
        <v>13059</v>
      </c>
      <c r="F5863" s="3" t="s">
        <v>13060</v>
      </c>
      <c r="G5863" s="3" t="s">
        <v>83</v>
      </c>
      <c r="H5863" s="7" t="str">
        <f>HYPERLINK("http://www.ensembl.org/Mus_musculus/Gene/Summary?db=core;g=ENSMUSG00000097254","ENSMUSG00000097254")</f>
        <v>ENSMUSG00000097254</v>
      </c>
      <c r="I5863" s="7" t="str">
        <f>HYPERLINK("http://www.informatics.jax.org/marker/MGI:2443186","MGI:2443186")</f>
        <v>MGI:2443186</v>
      </c>
      <c r="J5863" s="4" t="s">
        <v>939</v>
      </c>
    </row>
    <row r="5864" spans="1:10" x14ac:dyDescent="0.25">
      <c r="A5864" s="2">
        <v>29.514799829107101</v>
      </c>
      <c r="B5864" s="3">
        <v>-0.60584514408354795</v>
      </c>
      <c r="C5864" s="3">
        <v>4.3684666027716404E-3</v>
      </c>
      <c r="D5864" s="4">
        <v>1.3320278373015399E-2</v>
      </c>
      <c r="E5864" s="3" t="s">
        <v>7790</v>
      </c>
      <c r="F5864" s="3" t="s">
        <v>7791</v>
      </c>
      <c r="G5864" s="3" t="s">
        <v>83</v>
      </c>
      <c r="H5864" s="7" t="str">
        <f>HYPERLINK("http://www.ensembl.org/Mus_musculus/Gene/Summary?db=core;g=ENSMUSG00000115022","ENSMUSG00000115022")</f>
        <v>ENSMUSG00000115022</v>
      </c>
      <c r="I5864" s="7" t="str">
        <f>HYPERLINK("http://www.informatics.jax.org/marker/MGI:6121612","MGI:6121612")</f>
        <v>MGI:6121612</v>
      </c>
      <c r="J5864" s="4" t="s">
        <v>12</v>
      </c>
    </row>
    <row r="5865" spans="1:10" x14ac:dyDescent="0.25">
      <c r="A5865" s="2">
        <v>20.781597573170298</v>
      </c>
      <c r="B5865" s="3">
        <v>-0.60687444229371501</v>
      </c>
      <c r="C5865" s="3">
        <v>1.3091532300929401E-2</v>
      </c>
      <c r="D5865" s="4">
        <v>3.56103932008199E-2</v>
      </c>
      <c r="E5865" s="3" t="s">
        <v>12089</v>
      </c>
      <c r="F5865" s="3" t="s">
        <v>12090</v>
      </c>
      <c r="G5865" s="3">
        <v>56846</v>
      </c>
      <c r="H5865" s="7" t="str">
        <f>HYPERLINK("http://www.ensembl.org/Mus_musculus/Gene/Summary?db=core;g=ENSMUSG00000027489","ENSMUSG00000027489")</f>
        <v>ENSMUSG00000027489</v>
      </c>
      <c r="I5865" s="7" t="str">
        <f>HYPERLINK("http://www.informatics.jax.org/marker/MGI:1861721","MGI:1861721")</f>
        <v>MGI:1861721</v>
      </c>
      <c r="J5865" s="4" t="s">
        <v>12</v>
      </c>
    </row>
    <row r="5866" spans="1:10" x14ac:dyDescent="0.25">
      <c r="A5866" s="2">
        <v>205.74933614536701</v>
      </c>
      <c r="B5866" s="3">
        <v>-0.60752177207751601</v>
      </c>
      <c r="C5866" s="5">
        <v>4.18587259440406E-10</v>
      </c>
      <c r="D5866" s="6">
        <v>3.3890505567753898E-9</v>
      </c>
      <c r="E5866" s="3" t="s">
        <v>5171</v>
      </c>
      <c r="F5866" s="3" t="s">
        <v>5172</v>
      </c>
      <c r="G5866" s="3">
        <v>26886</v>
      </c>
      <c r="H5866" s="7" t="str">
        <f>HYPERLINK("http://www.ensembl.org/Mus_musculus/Gene/Summary?db=core;g=ENSMUSG00000045273","ENSMUSG00000045273")</f>
        <v>ENSMUSG00000045273</v>
      </c>
      <c r="I5866" s="7" t="str">
        <f>HYPERLINK("http://www.informatics.jax.org/marker/MGI:1349448","MGI:1349448")</f>
        <v>MGI:1349448</v>
      </c>
      <c r="J5866" s="4" t="s">
        <v>12</v>
      </c>
    </row>
    <row r="5867" spans="1:10" x14ac:dyDescent="0.25">
      <c r="A5867" s="2">
        <v>1795.9028056760001</v>
      </c>
      <c r="B5867" s="3">
        <v>-0.60800541187320201</v>
      </c>
      <c r="C5867" s="5">
        <v>2.7049285763026901E-5</v>
      </c>
      <c r="D5867" s="4">
        <v>1.23987231647677E-4</v>
      </c>
      <c r="E5867" s="3" t="s">
        <v>10774</v>
      </c>
      <c r="F5867" s="3" t="s">
        <v>10775</v>
      </c>
      <c r="G5867" s="3">
        <v>12262</v>
      </c>
      <c r="H5867" s="7" t="str">
        <f>HYPERLINK("http://www.ensembl.org/Mus_musculus/Gene/Summary?db=core;g=ENSMUSG00000036896","ENSMUSG00000036896")</f>
        <v>ENSMUSG00000036896</v>
      </c>
      <c r="I5867" s="7" t="str">
        <f>HYPERLINK("http://www.informatics.jax.org/marker/MGI:88225","MGI:88225")</f>
        <v>MGI:88225</v>
      </c>
      <c r="J5867" s="4" t="s">
        <v>12</v>
      </c>
    </row>
    <row r="5868" spans="1:10" x14ac:dyDescent="0.25">
      <c r="A5868" s="2">
        <v>438.75292974182599</v>
      </c>
      <c r="B5868" s="3">
        <v>-0.60803649882076505</v>
      </c>
      <c r="C5868" s="5">
        <v>1.0647019615681299E-11</v>
      </c>
      <c r="D5868" s="6">
        <v>9.8698846640789496E-11</v>
      </c>
      <c r="E5868" s="3" t="s">
        <v>1758</v>
      </c>
      <c r="F5868" s="3" t="s">
        <v>1759</v>
      </c>
      <c r="G5868" s="3">
        <v>104806</v>
      </c>
      <c r="H5868" s="7" t="str">
        <f>HYPERLINK("http://www.ensembl.org/Mus_musculus/Gene/Summary?db=core;g=ENSMUSG00000055884","ENSMUSG00000055884")</f>
        <v>ENSMUSG00000055884</v>
      </c>
      <c r="I5868" s="7" t="str">
        <f>HYPERLINK("http://www.informatics.jax.org/marker/MGI:2442306","MGI:2442306")</f>
        <v>MGI:2442306</v>
      </c>
      <c r="J5868" s="4" t="s">
        <v>12</v>
      </c>
    </row>
    <row r="5869" spans="1:10" x14ac:dyDescent="0.25">
      <c r="A5869" s="2">
        <v>370.80568486137099</v>
      </c>
      <c r="B5869" s="3">
        <v>-0.60826629485654704</v>
      </c>
      <c r="C5869" s="5">
        <v>3.9207478435515197E-14</v>
      </c>
      <c r="D5869" s="6">
        <v>4.3438072613207601E-13</v>
      </c>
      <c r="E5869" s="3" t="s">
        <v>4645</v>
      </c>
      <c r="F5869" s="3" t="s">
        <v>4646</v>
      </c>
      <c r="G5869" s="3">
        <v>216829</v>
      </c>
      <c r="H5869" s="7" t="str">
        <f>HYPERLINK("http://www.ensembl.org/Mus_musculus/Gene/Summary?db=core;g=ENSMUSG00000048497","ENSMUSG00000048497")</f>
        <v>ENSMUSG00000048497</v>
      </c>
      <c r="I5869" s="7" t="str">
        <f>HYPERLINK("http://www.informatics.jax.org/marker/MGI:2448491","MGI:2448491")</f>
        <v>MGI:2448491</v>
      </c>
      <c r="J5869" s="4" t="s">
        <v>12</v>
      </c>
    </row>
    <row r="5870" spans="1:10" x14ac:dyDescent="0.25">
      <c r="A5870" s="2">
        <v>285.62298342792701</v>
      </c>
      <c r="B5870" s="3">
        <v>-0.60829555660161105</v>
      </c>
      <c r="C5870" s="5">
        <v>8.0801714429226505E-13</v>
      </c>
      <c r="D5870" s="6">
        <v>8.2499229438243904E-12</v>
      </c>
      <c r="E5870" s="3" t="s">
        <v>3560</v>
      </c>
      <c r="F5870" s="3" t="s">
        <v>3561</v>
      </c>
      <c r="G5870" s="3">
        <v>66078</v>
      </c>
      <c r="H5870" s="7" t="str">
        <f>HYPERLINK("http://www.ensembl.org/Mus_musculus/Gene/Summary?db=core;g=ENSMUSG00000035585","ENSMUSG00000035585")</f>
        <v>ENSMUSG00000035585</v>
      </c>
      <c r="I5870" s="7" t="str">
        <f>HYPERLINK("http://www.informatics.jax.org/marker/MGI:1913328","MGI:1913328")</f>
        <v>MGI:1913328</v>
      </c>
      <c r="J5870" s="4" t="s">
        <v>12</v>
      </c>
    </row>
    <row r="5871" spans="1:10" x14ac:dyDescent="0.25">
      <c r="A5871" s="2">
        <v>1291.87547136894</v>
      </c>
      <c r="B5871" s="3">
        <v>-0.60867118279585497</v>
      </c>
      <c r="C5871" s="5">
        <v>2.3578719151181401E-6</v>
      </c>
      <c r="D5871" s="6">
        <v>1.25356521741622E-5</v>
      </c>
      <c r="E5871" s="3" t="s">
        <v>6217</v>
      </c>
      <c r="F5871" s="3" t="s">
        <v>6218</v>
      </c>
      <c r="G5871" s="3">
        <v>12531</v>
      </c>
      <c r="H5871" s="7" t="str">
        <f>HYPERLINK("http://www.ensembl.org/Mus_musculus/Gene/Summary?db=core;g=ENSMUSG00000027330","ENSMUSG00000027330")</f>
        <v>ENSMUSG00000027330</v>
      </c>
      <c r="I5871" s="7" t="str">
        <f>HYPERLINK("http://www.informatics.jax.org/marker/MGI:99701","MGI:99701")</f>
        <v>MGI:99701</v>
      </c>
      <c r="J5871" s="4" t="s">
        <v>12</v>
      </c>
    </row>
    <row r="5872" spans="1:10" x14ac:dyDescent="0.25">
      <c r="A5872" s="2">
        <v>342.81345868578597</v>
      </c>
      <c r="B5872" s="3">
        <v>-0.60920388974253203</v>
      </c>
      <c r="C5872" s="5">
        <v>1.0128789650833E-10</v>
      </c>
      <c r="D5872" s="6">
        <v>8.6462384724324198E-10</v>
      </c>
      <c r="E5872" s="3" t="s">
        <v>4585</v>
      </c>
      <c r="F5872" s="3" t="s">
        <v>4586</v>
      </c>
      <c r="G5872" s="3">
        <v>22619</v>
      </c>
      <c r="H5872" s="7" t="str">
        <f>HYPERLINK("http://www.ensembl.org/Mus_musculus/Gene/Summary?db=core;g=ENSMUSG00000001942","ENSMUSG00000001942")</f>
        <v>ENSMUSG00000001942</v>
      </c>
      <c r="I5872" s="7" t="str">
        <f>HYPERLINK("http://www.informatics.jax.org/marker/MGI:104803","MGI:104803")</f>
        <v>MGI:104803</v>
      </c>
      <c r="J5872" s="4" t="s">
        <v>12</v>
      </c>
    </row>
    <row r="5873" spans="1:10" x14ac:dyDescent="0.25">
      <c r="A5873" s="2">
        <v>88.013695733280002</v>
      </c>
      <c r="B5873" s="3">
        <v>-0.60921161970276705</v>
      </c>
      <c r="C5873" s="5">
        <v>9.9309388244606194E-6</v>
      </c>
      <c r="D5873" s="6">
        <v>4.8575244250079101E-5</v>
      </c>
      <c r="E5873" s="3" t="s">
        <v>8175</v>
      </c>
      <c r="F5873" s="3" t="s">
        <v>8176</v>
      </c>
      <c r="G5873" s="3">
        <v>319262</v>
      </c>
      <c r="H5873" s="7" t="str">
        <f>HYPERLINK("http://www.ensembl.org/Mus_musculus/Gene/Summary?db=core;g=ENSMUSG00000038524","ENSMUSG00000038524")</f>
        <v>ENSMUSG00000038524</v>
      </c>
      <c r="I5873" s="7" t="str">
        <f>HYPERLINK("http://www.informatics.jax.org/marker/MGI:2441771","MGI:2441771")</f>
        <v>MGI:2441771</v>
      </c>
      <c r="J5873" s="4" t="s">
        <v>12</v>
      </c>
    </row>
    <row r="5874" spans="1:10" x14ac:dyDescent="0.25">
      <c r="A5874" s="2">
        <v>1703.66812505395</v>
      </c>
      <c r="B5874" s="3">
        <v>-0.60937399616529897</v>
      </c>
      <c r="C5874" s="5">
        <v>1.1066183452305701E-8</v>
      </c>
      <c r="D5874" s="6">
        <v>7.6743224283969205E-8</v>
      </c>
      <c r="E5874" s="3" t="s">
        <v>1847</v>
      </c>
      <c r="F5874" s="3" t="s">
        <v>1848</v>
      </c>
      <c r="G5874" s="3">
        <v>20135</v>
      </c>
      <c r="H5874" s="7" t="str">
        <f>HYPERLINK("http://www.ensembl.org/Mus_musculus/Gene/Summary?db=core;g=ENSMUSG00000020649","ENSMUSG00000020649")</f>
        <v>ENSMUSG00000020649</v>
      </c>
      <c r="I5874" s="7" t="str">
        <f>HYPERLINK("http://www.informatics.jax.org/marker/MGI:98181","MGI:98181")</f>
        <v>MGI:98181</v>
      </c>
      <c r="J5874" s="4" t="s">
        <v>12</v>
      </c>
    </row>
    <row r="5875" spans="1:10" x14ac:dyDescent="0.25">
      <c r="A5875" s="2">
        <v>259.81815814113702</v>
      </c>
      <c r="B5875" s="3">
        <v>-0.61003409958241905</v>
      </c>
      <c r="C5875" s="5">
        <v>6.4646007788202596E-5</v>
      </c>
      <c r="D5875" s="4">
        <v>2.7826487764288899E-4</v>
      </c>
      <c r="E5875" s="3" t="s">
        <v>7694</v>
      </c>
      <c r="F5875" s="3" t="s">
        <v>7695</v>
      </c>
      <c r="G5875" s="3">
        <v>208198</v>
      </c>
      <c r="H5875" s="7" t="str">
        <f>HYPERLINK("http://www.ensembl.org/Mus_musculus/Gene/Summary?db=core;g=ENSMUSG00000003344","ENSMUSG00000003344")</f>
        <v>ENSMUSG00000003344</v>
      </c>
      <c r="I5875" s="7" t="str">
        <f>HYPERLINK("http://www.informatics.jax.org/marker/MGI:1933831","MGI:1933831")</f>
        <v>MGI:1933831</v>
      </c>
      <c r="J5875" s="4" t="s">
        <v>12</v>
      </c>
    </row>
    <row r="5876" spans="1:10" x14ac:dyDescent="0.25">
      <c r="A5876" s="2">
        <v>691.64570994836004</v>
      </c>
      <c r="B5876" s="3">
        <v>-0.61099713991501803</v>
      </c>
      <c r="C5876" s="5">
        <v>1.4151936113364501E-19</v>
      </c>
      <c r="D5876" s="6">
        <v>2.1601259268514899E-18</v>
      </c>
      <c r="E5876" s="3" t="s">
        <v>1376</v>
      </c>
      <c r="F5876" s="3" t="s">
        <v>1377</v>
      </c>
      <c r="G5876" s="3">
        <v>53902</v>
      </c>
      <c r="H5876" s="7" t="str">
        <f>HYPERLINK("http://www.ensembl.org/Mus_musculus/Gene/Summary?db=core;g=ENSMUSG00000059713","ENSMUSG00000059713")</f>
        <v>ENSMUSG00000059713</v>
      </c>
      <c r="I5876" s="7" t="str">
        <f>HYPERLINK("http://www.informatics.jax.org/marker/MGI:1858220","MGI:1858220")</f>
        <v>MGI:1858220</v>
      </c>
      <c r="J5876" s="4" t="s">
        <v>12</v>
      </c>
    </row>
    <row r="5877" spans="1:10" x14ac:dyDescent="0.25">
      <c r="A5877" s="2">
        <v>267.99554025103902</v>
      </c>
      <c r="B5877" s="3">
        <v>-0.61125050120740898</v>
      </c>
      <c r="C5877" s="5">
        <v>9.3982176476100908E-12</v>
      </c>
      <c r="D5877" s="6">
        <v>8.7478302669915102E-11</v>
      </c>
      <c r="E5877" s="3" t="s">
        <v>2101</v>
      </c>
      <c r="F5877" s="3" t="s">
        <v>2102</v>
      </c>
      <c r="G5877" s="3">
        <v>260409</v>
      </c>
      <c r="H5877" s="7" t="str">
        <f>HYPERLINK("http://www.ensembl.org/Mus_musculus/Gene/Summary?db=core;g=ENSMUSG00000036533","ENSMUSG00000036533")</f>
        <v>ENSMUSG00000036533</v>
      </c>
      <c r="I5877" s="7" t="str">
        <f>HYPERLINK("http://www.informatics.jax.org/marker/MGI:2384718","MGI:2384718")</f>
        <v>MGI:2384718</v>
      </c>
      <c r="J5877" s="4" t="s">
        <v>12</v>
      </c>
    </row>
    <row r="5878" spans="1:10" x14ac:dyDescent="0.25">
      <c r="A5878" s="2">
        <v>1103.22801098474</v>
      </c>
      <c r="B5878" s="3">
        <v>-0.61163539106190501</v>
      </c>
      <c r="C5878" s="5">
        <v>3.5839892174769302E-17</v>
      </c>
      <c r="D5878" s="6">
        <v>4.8098824365623804E-16</v>
      </c>
      <c r="E5878" s="3" t="s">
        <v>3778</v>
      </c>
      <c r="F5878" s="3" t="s">
        <v>3779</v>
      </c>
      <c r="G5878" s="3">
        <v>18115</v>
      </c>
      <c r="H5878" s="7" t="str">
        <f>HYPERLINK("http://www.ensembl.org/Mus_musculus/Gene/Summary?db=core;g=ENSMUSG00000025453","ENSMUSG00000025453")</f>
        <v>ENSMUSG00000025453</v>
      </c>
      <c r="I5878" s="7" t="str">
        <f>HYPERLINK("http://www.informatics.jax.org/marker/MGI:109279","MGI:109279")</f>
        <v>MGI:109279</v>
      </c>
      <c r="J5878" s="4" t="s">
        <v>12</v>
      </c>
    </row>
    <row r="5879" spans="1:10" x14ac:dyDescent="0.25">
      <c r="A5879" s="2">
        <v>184.47474181046601</v>
      </c>
      <c r="B5879" s="3">
        <v>-0.61166110208435898</v>
      </c>
      <c r="C5879" s="5">
        <v>2.4022529088829202E-7</v>
      </c>
      <c r="D5879" s="6">
        <v>1.4430144780616699E-6</v>
      </c>
      <c r="E5879" s="3" t="s">
        <v>3402</v>
      </c>
      <c r="F5879" s="3" t="s">
        <v>3403</v>
      </c>
      <c r="G5879" s="3">
        <v>223970</v>
      </c>
      <c r="H5879" s="7" t="str">
        <f>HYPERLINK("http://www.ensembl.org/Mus_musculus/Gene/Summary?db=core;g=ENSMUSG00000037991","ENSMUSG00000037991")</f>
        <v>ENSMUSG00000037991</v>
      </c>
      <c r="I5879" s="7" t="str">
        <f>HYPERLINK("http://www.informatics.jax.org/marker/MGI:2685383","MGI:2685383")</f>
        <v>MGI:2685383</v>
      </c>
      <c r="J5879" s="4" t="s">
        <v>12</v>
      </c>
    </row>
    <row r="5880" spans="1:10" x14ac:dyDescent="0.25">
      <c r="A5880" s="2">
        <v>981.49882480096005</v>
      </c>
      <c r="B5880" s="3">
        <v>-0.61169115550623199</v>
      </c>
      <c r="C5880" s="5">
        <v>5.3465257168783203E-38</v>
      </c>
      <c r="D5880" s="6">
        <v>1.7276672196827501E-36</v>
      </c>
      <c r="E5880" s="3" t="s">
        <v>1486</v>
      </c>
      <c r="F5880" s="3" t="s">
        <v>1487</v>
      </c>
      <c r="G5880" s="3">
        <v>218503</v>
      </c>
      <c r="H5880" s="7" t="str">
        <f>HYPERLINK("http://www.ensembl.org/Mus_musculus/Gene/Summary?db=core;g=ENSMUSG00000041685","ENSMUSG00000041685")</f>
        <v>ENSMUSG00000041685</v>
      </c>
      <c r="I5880" s="7" t="str">
        <f>HYPERLINK("http://www.informatics.jax.org/marker/MGI:3505790","MGI:3505790")</f>
        <v>MGI:3505790</v>
      </c>
      <c r="J5880" s="4" t="s">
        <v>12</v>
      </c>
    </row>
    <row r="5881" spans="1:10" x14ac:dyDescent="0.25">
      <c r="A5881" s="2">
        <v>360.97870158663397</v>
      </c>
      <c r="B5881" s="3">
        <v>-0.611872849802654</v>
      </c>
      <c r="C5881" s="5">
        <v>1.3573850861807599E-12</v>
      </c>
      <c r="D5881" s="6">
        <v>1.35850319580694E-11</v>
      </c>
      <c r="E5881" s="3" t="s">
        <v>2187</v>
      </c>
      <c r="F5881" s="3" t="s">
        <v>2188</v>
      </c>
      <c r="G5881" s="3">
        <v>11781</v>
      </c>
      <c r="H5881" s="7" t="str">
        <f>HYPERLINK("http://www.ensembl.org/Mus_musculus/Gene/Summary?db=core;g=ENSMUSG00000019518","ENSMUSG00000019518")</f>
        <v>ENSMUSG00000019518</v>
      </c>
      <c r="I5881" s="7" t="str">
        <f>HYPERLINK("http://www.informatics.jax.org/marker/MGI:1337063","MGI:1337063")</f>
        <v>MGI:1337063</v>
      </c>
      <c r="J5881" s="4" t="s">
        <v>12</v>
      </c>
    </row>
    <row r="5882" spans="1:10" x14ac:dyDescent="0.25">
      <c r="A5882" s="2">
        <v>439.394532195816</v>
      </c>
      <c r="B5882" s="3">
        <v>-0.61224810222853598</v>
      </c>
      <c r="C5882" s="5">
        <v>4.3649967813814002E-10</v>
      </c>
      <c r="D5882" s="6">
        <v>3.5231207413939802E-9</v>
      </c>
      <c r="E5882" s="3" t="s">
        <v>3734</v>
      </c>
      <c r="F5882" s="3" t="s">
        <v>3735</v>
      </c>
      <c r="G5882" s="3">
        <v>17537</v>
      </c>
      <c r="H5882" s="7" t="str">
        <f>HYPERLINK("http://www.ensembl.org/Mus_musculus/Gene/Summary?db=core;g=ENSMUSG00000041420","ENSMUSG00000041420")</f>
        <v>ENSMUSG00000041420</v>
      </c>
      <c r="I5882" s="7" t="str">
        <f>HYPERLINK("http://www.informatics.jax.org/marker/MGI:108519","MGI:108519")</f>
        <v>MGI:108519</v>
      </c>
      <c r="J5882" s="4" t="s">
        <v>12</v>
      </c>
    </row>
    <row r="5883" spans="1:10" x14ac:dyDescent="0.25">
      <c r="A5883" s="2">
        <v>12705.2044759086</v>
      </c>
      <c r="B5883" s="3">
        <v>-0.61237724155779205</v>
      </c>
      <c r="C5883" s="5">
        <v>3.7066150788093897E-8</v>
      </c>
      <c r="D5883" s="6">
        <v>2.4160607943956099E-7</v>
      </c>
      <c r="E5883" s="3" t="s">
        <v>6639</v>
      </c>
      <c r="F5883" s="3" t="s">
        <v>6640</v>
      </c>
      <c r="G5883" s="3">
        <v>19141</v>
      </c>
      <c r="H5883" s="7" t="str">
        <f>HYPERLINK("http://www.ensembl.org/Mus_musculus/Gene/Summary?db=core;g=ENSMUSG00000021190","ENSMUSG00000021190")</f>
        <v>ENSMUSG00000021190</v>
      </c>
      <c r="I5883" s="7" t="str">
        <f>HYPERLINK("http://www.informatics.jax.org/marker/MGI:1330838","MGI:1330838")</f>
        <v>MGI:1330838</v>
      </c>
      <c r="J5883" s="4" t="s">
        <v>12</v>
      </c>
    </row>
    <row r="5884" spans="1:10" x14ac:dyDescent="0.25">
      <c r="A5884" s="2">
        <v>11.572533619298699</v>
      </c>
      <c r="B5884" s="3">
        <v>-0.61274704554569603</v>
      </c>
      <c r="C5884" s="3">
        <v>6.2845785686688804E-2</v>
      </c>
      <c r="D5884" s="4">
        <v>0.13826224579187599</v>
      </c>
      <c r="E5884" s="3" t="s">
        <v>12323</v>
      </c>
      <c r="F5884" s="3" t="s">
        <v>12324</v>
      </c>
      <c r="G5884" s="3">
        <v>18132</v>
      </c>
      <c r="H5884" s="7" t="str">
        <f>HYPERLINK("http://www.ensembl.org/Mus_musculus/Gene/Summary?db=core;g=ENSMUSG00000015468","ENSMUSG00000015468")</f>
        <v>ENSMUSG00000015468</v>
      </c>
      <c r="I5884" s="7" t="str">
        <f>HYPERLINK("http://www.informatics.jax.org/marker/MGI:107471","MGI:107471")</f>
        <v>MGI:107471</v>
      </c>
      <c r="J5884" s="4" t="s">
        <v>12</v>
      </c>
    </row>
    <row r="5885" spans="1:10" x14ac:dyDescent="0.25">
      <c r="A5885" s="2">
        <v>1036.14679922408</v>
      </c>
      <c r="B5885" s="3">
        <v>-0.61298945419578998</v>
      </c>
      <c r="C5885" s="5">
        <v>1.5707189187853601E-10</v>
      </c>
      <c r="D5885" s="6">
        <v>1.3252940877251401E-9</v>
      </c>
      <c r="E5885" s="3" t="s">
        <v>4301</v>
      </c>
      <c r="F5885" s="3" t="s">
        <v>4302</v>
      </c>
      <c r="G5885" s="3">
        <v>74044</v>
      </c>
      <c r="H5885" s="7" t="str">
        <f>HYPERLINK("http://www.ensembl.org/Mus_musculus/Gene/Summary?db=core;g=ENSMUSG00000033222","ENSMUSG00000033222")</f>
        <v>ENSMUSG00000033222</v>
      </c>
      <c r="I5885" s="7" t="str">
        <f>HYPERLINK("http://www.informatics.jax.org/marker/MGI:1921294","MGI:1921294")</f>
        <v>MGI:1921294</v>
      </c>
      <c r="J5885" s="4" t="s">
        <v>12</v>
      </c>
    </row>
    <row r="5886" spans="1:10" x14ac:dyDescent="0.25">
      <c r="A5886" s="2">
        <v>322.05782123361797</v>
      </c>
      <c r="B5886" s="3">
        <v>-0.61306540020492395</v>
      </c>
      <c r="C5886" s="5">
        <v>6.1024122121862601E-6</v>
      </c>
      <c r="D5886" s="6">
        <v>3.0799352690970499E-5</v>
      </c>
      <c r="E5886" s="3" t="s">
        <v>4599</v>
      </c>
      <c r="F5886" s="3" t="s">
        <v>4600</v>
      </c>
      <c r="G5886" s="3">
        <v>208836</v>
      </c>
      <c r="H5886" s="7" t="str">
        <f>HYPERLINK("http://www.ensembl.org/Mus_musculus/Gene/Summary?db=core;g=ENSMUSG00000039187","ENSMUSG00000039187")</f>
        <v>ENSMUSG00000039187</v>
      </c>
      <c r="I5886" s="7" t="str">
        <f>HYPERLINK("http://www.informatics.jax.org/marker/MGI:2384790","MGI:2384790")</f>
        <v>MGI:2384790</v>
      </c>
      <c r="J5886" s="4" t="s">
        <v>12</v>
      </c>
    </row>
    <row r="5887" spans="1:10" x14ac:dyDescent="0.25">
      <c r="A5887" s="2">
        <v>22.563950773977499</v>
      </c>
      <c r="B5887" s="3">
        <v>-0.61317388174699905</v>
      </c>
      <c r="C5887" s="3">
        <v>4.54547047007028E-2</v>
      </c>
      <c r="D5887" s="4">
        <v>0.10544959179866401</v>
      </c>
      <c r="E5887" s="3" t="s">
        <v>13129</v>
      </c>
      <c r="F5887" s="3" t="s">
        <v>13130</v>
      </c>
      <c r="G5887" s="3">
        <v>192166</v>
      </c>
      <c r="H5887" s="7" t="str">
        <f>HYPERLINK("http://www.ensembl.org/Mus_musculus/Gene/Summary?db=core;g=ENSMUSG00000009614","ENSMUSG00000009614")</f>
        <v>ENSMUSG00000009614</v>
      </c>
      <c r="I5887" s="7" t="str">
        <f>HYPERLINK("http://www.informatics.jax.org/marker/MGI:2183102","MGI:2183102")</f>
        <v>MGI:2183102</v>
      </c>
      <c r="J5887" s="4" t="s">
        <v>12</v>
      </c>
    </row>
    <row r="5888" spans="1:10" x14ac:dyDescent="0.25">
      <c r="A5888" s="2">
        <v>662.92964111438005</v>
      </c>
      <c r="B5888" s="3">
        <v>-0.61382843601442405</v>
      </c>
      <c r="C5888" s="5">
        <v>6.8484228482389699E-18</v>
      </c>
      <c r="D5888" s="6">
        <v>9.5715112276959499E-17</v>
      </c>
      <c r="E5888" s="3" t="s">
        <v>3658</v>
      </c>
      <c r="F5888" s="3" t="s">
        <v>3659</v>
      </c>
      <c r="G5888" s="3">
        <v>19253</v>
      </c>
      <c r="H5888" s="7" t="str">
        <f>HYPERLINK("http://www.ensembl.org/Mus_musculus/Gene/Summary?db=core;g=ENSMUSG00000026126","ENSMUSG00000026126")</f>
        <v>ENSMUSG00000026126</v>
      </c>
      <c r="I5888" s="7" t="str">
        <f>HYPERLINK("http://www.informatics.jax.org/marker/MGI:108410","MGI:108410")</f>
        <v>MGI:108410</v>
      </c>
      <c r="J5888" s="4" t="s">
        <v>12</v>
      </c>
    </row>
    <row r="5889" spans="1:10" x14ac:dyDescent="0.25">
      <c r="A5889" s="2">
        <v>379.24282717899001</v>
      </c>
      <c r="B5889" s="3">
        <v>-0.61416946235108005</v>
      </c>
      <c r="C5889" s="5">
        <v>2.28939345881662E-15</v>
      </c>
      <c r="D5889" s="6">
        <v>2.74501288071928E-14</v>
      </c>
      <c r="E5889" s="3" t="s">
        <v>1925</v>
      </c>
      <c r="F5889" s="3" t="s">
        <v>1926</v>
      </c>
      <c r="G5889" s="3">
        <v>230809</v>
      </c>
      <c r="H5889" s="7" t="str">
        <f>HYPERLINK("http://www.ensembl.org/Mus_musculus/Gene/Summary?db=core;g=ENSMUSG00000050890","ENSMUSG00000050890")</f>
        <v>ENSMUSG00000050890</v>
      </c>
      <c r="I5889" s="7" t="str">
        <f>HYPERLINK("http://www.informatics.jax.org/marker/MGI:2385213","MGI:2385213")</f>
        <v>MGI:2385213</v>
      </c>
      <c r="J5889" s="4" t="s">
        <v>12</v>
      </c>
    </row>
    <row r="5890" spans="1:10" x14ac:dyDescent="0.25">
      <c r="A5890" s="2">
        <v>793.62365980000095</v>
      </c>
      <c r="B5890" s="3">
        <v>-0.61421906267725601</v>
      </c>
      <c r="C5890" s="5">
        <v>1.4357730175014998E-14</v>
      </c>
      <c r="D5890" s="6">
        <v>1.64365347009829E-13</v>
      </c>
      <c r="E5890" s="3" t="s">
        <v>704</v>
      </c>
      <c r="F5890" s="3" t="s">
        <v>705</v>
      </c>
      <c r="G5890" s="3">
        <v>218973</v>
      </c>
      <c r="H5890" s="7" t="str">
        <f>HYPERLINK("http://www.ensembl.org/Mus_musculus/Gene/Summary?db=core;g=ENSMUSG00000037572","ENSMUSG00000037572")</f>
        <v>ENSMUSG00000037572</v>
      </c>
      <c r="I5890" s="7" t="str">
        <f>HYPERLINK("http://www.informatics.jax.org/marker/MGI:2443514","MGI:2443514")</f>
        <v>MGI:2443514</v>
      </c>
      <c r="J5890" s="4" t="s">
        <v>12</v>
      </c>
    </row>
    <row r="5891" spans="1:10" x14ac:dyDescent="0.25">
      <c r="A5891" s="2">
        <v>181.91977789180299</v>
      </c>
      <c r="B5891" s="3">
        <v>-0.615141856187432</v>
      </c>
      <c r="C5891" s="5">
        <v>3.5698941334364201E-9</v>
      </c>
      <c r="D5891" s="6">
        <v>2.62238293357028E-8</v>
      </c>
      <c r="E5891" s="3" t="s">
        <v>2561</v>
      </c>
      <c r="F5891" s="3" t="s">
        <v>2562</v>
      </c>
      <c r="G5891" s="3">
        <v>75939</v>
      </c>
      <c r="H5891" s="7" t="str">
        <f>HYPERLINK("http://www.ensembl.org/Mus_musculus/Gene/Summary?db=core;g=ENSMUSG00000027811","ENSMUSG00000027811")</f>
        <v>ENSMUSG00000027811</v>
      </c>
      <c r="I5891" s="7" t="str">
        <f>HYPERLINK("http://www.informatics.jax.org/marker/MGI:1923189","MGI:1923189")</f>
        <v>MGI:1923189</v>
      </c>
      <c r="J5891" s="4" t="s">
        <v>12</v>
      </c>
    </row>
    <row r="5892" spans="1:10" x14ac:dyDescent="0.25">
      <c r="A5892" s="2">
        <v>319.94638714488002</v>
      </c>
      <c r="B5892" s="3">
        <v>-0.61585961026089697</v>
      </c>
      <c r="C5892" s="5">
        <v>1.5394961459641E-14</v>
      </c>
      <c r="D5892" s="6">
        <v>1.75797727194209E-13</v>
      </c>
      <c r="E5892" s="3" t="s">
        <v>2405</v>
      </c>
      <c r="F5892" s="3" t="s">
        <v>2406</v>
      </c>
      <c r="G5892" s="3">
        <v>215201</v>
      </c>
      <c r="H5892" s="7" t="str">
        <f>HYPERLINK("http://www.ensembl.org/Mus_musculus/Gene/Summary?db=core;g=ENSMUSG00000067369","ENSMUSG00000067369")</f>
        <v>ENSMUSG00000067369</v>
      </c>
      <c r="I5892" s="7" t="str">
        <f>HYPERLINK("http://www.informatics.jax.org/marker/MGI:2442530","MGI:2442530")</f>
        <v>MGI:2442530</v>
      </c>
      <c r="J5892" s="4" t="s">
        <v>12</v>
      </c>
    </row>
    <row r="5893" spans="1:10" x14ac:dyDescent="0.25">
      <c r="A5893" s="2">
        <v>2957.4752007237298</v>
      </c>
      <c r="B5893" s="3">
        <v>-0.61636386249623398</v>
      </c>
      <c r="C5893" s="5">
        <v>3.4075489775614897E-10</v>
      </c>
      <c r="D5893" s="6">
        <v>2.7786389313672599E-9</v>
      </c>
      <c r="E5893" s="3" t="s">
        <v>5175</v>
      </c>
      <c r="F5893" s="3" t="s">
        <v>5176</v>
      </c>
      <c r="G5893" s="3">
        <v>216848</v>
      </c>
      <c r="H5893" s="7" t="str">
        <f>HYPERLINK("http://www.ensembl.org/Mus_musculus/Gene/Summary?db=core;g=ENSMUSG00000018474","ENSMUSG00000018474")</f>
        <v>ENSMUSG00000018474</v>
      </c>
      <c r="I5893" s="7" t="str">
        <f>HYPERLINK("http://www.informatics.jax.org/marker/MGI:1344395","MGI:1344395")</f>
        <v>MGI:1344395</v>
      </c>
      <c r="J5893" s="4" t="s">
        <v>12</v>
      </c>
    </row>
    <row r="5894" spans="1:10" x14ac:dyDescent="0.25">
      <c r="A5894" s="2">
        <v>1252.7034184771901</v>
      </c>
      <c r="B5894" s="3">
        <v>-0.61649198795019999</v>
      </c>
      <c r="C5894" s="5">
        <v>2.16252215070439E-15</v>
      </c>
      <c r="D5894" s="6">
        <v>2.59802018434986E-14</v>
      </c>
      <c r="E5894" s="3" t="s">
        <v>2872</v>
      </c>
      <c r="F5894" s="3" t="s">
        <v>2873</v>
      </c>
      <c r="G5894" s="3">
        <v>110639</v>
      </c>
      <c r="H5894" s="7" t="str">
        <f>HYPERLINK("http://www.ensembl.org/Mus_musculus/Gene/Summary?db=core;g=ENSMUSG00000025742","ENSMUSG00000025742")</f>
        <v>ENSMUSG00000025742</v>
      </c>
      <c r="I5894" s="7" t="str">
        <f>HYPERLINK("http://www.informatics.jax.org/marker/MGI:97776","MGI:97776")</f>
        <v>MGI:97776</v>
      </c>
      <c r="J5894" s="4" t="s">
        <v>12</v>
      </c>
    </row>
    <row r="5895" spans="1:10" x14ac:dyDescent="0.25">
      <c r="A5895" s="2">
        <v>574.78411432816199</v>
      </c>
      <c r="B5895" s="3">
        <v>-0.61682810486625805</v>
      </c>
      <c r="C5895" s="5">
        <v>8.3862030162080799E-13</v>
      </c>
      <c r="D5895" s="6">
        <v>8.5432392381437806E-12</v>
      </c>
      <c r="E5895" s="3" t="s">
        <v>4295</v>
      </c>
      <c r="F5895" s="3" t="s">
        <v>4296</v>
      </c>
      <c r="G5895" s="3">
        <v>268880</v>
      </c>
      <c r="H5895" s="7" t="str">
        <f>HYPERLINK("http://www.ensembl.org/Mus_musculus/Gene/Summary?db=core;g=ENSMUSG00000047434","ENSMUSG00000047434")</f>
        <v>ENSMUSG00000047434</v>
      </c>
      <c r="I5895" s="7" t="str">
        <f>HYPERLINK("http://www.informatics.jax.org/marker/MGI:2146443","MGI:2146443")</f>
        <v>MGI:2146443</v>
      </c>
      <c r="J5895" s="4" t="s">
        <v>12</v>
      </c>
    </row>
    <row r="5896" spans="1:10" x14ac:dyDescent="0.25">
      <c r="A5896" s="2">
        <v>2.6155568044367401</v>
      </c>
      <c r="B5896" s="3">
        <v>-0.61807063815303498</v>
      </c>
      <c r="C5896" s="3">
        <v>0.19014436354109801</v>
      </c>
      <c r="D5896" s="4">
        <v>0.33815193457616199</v>
      </c>
      <c r="E5896" s="3" t="s">
        <v>13939</v>
      </c>
      <c r="F5896" s="3" t="s">
        <v>13940</v>
      </c>
      <c r="G5896" s="3">
        <v>442827</v>
      </c>
      <c r="H5896" s="7" t="str">
        <f>HYPERLINK("http://www.ensembl.org/Mus_musculus/Gene/Summary?db=core;g=ENSMUSG00000064147","ENSMUSG00000064147")</f>
        <v>ENSMUSG00000064147</v>
      </c>
      <c r="I5896" s="7" t="str">
        <f>HYPERLINK("http://www.informatics.jax.org/marker/MGI:3045302","MGI:3045302")</f>
        <v>MGI:3045302</v>
      </c>
      <c r="J5896" s="4" t="s">
        <v>12</v>
      </c>
    </row>
    <row r="5897" spans="1:10" x14ac:dyDescent="0.25">
      <c r="A5897" s="2">
        <v>151.58841775996399</v>
      </c>
      <c r="B5897" s="3">
        <v>-0.61810309090825799</v>
      </c>
      <c r="C5897" s="5">
        <v>3.2570517648055498E-10</v>
      </c>
      <c r="D5897" s="6">
        <v>2.6618730230305501E-9</v>
      </c>
      <c r="E5897" s="3" t="s">
        <v>8871</v>
      </c>
      <c r="F5897" s="3" t="s">
        <v>8872</v>
      </c>
      <c r="G5897" s="3">
        <v>76889</v>
      </c>
      <c r="H5897" s="7" t="str">
        <f>HYPERLINK("http://www.ensembl.org/Mus_musculus/Gene/Summary?db=core;g=ENSMUSG00000003762","ENSMUSG00000003762")</f>
        <v>ENSMUSG00000003762</v>
      </c>
      <c r="I5897" s="7" t="str">
        <f>HYPERLINK("http://www.informatics.jax.org/marker/MGI:1924139","MGI:1924139")</f>
        <v>MGI:1924139</v>
      </c>
      <c r="J5897" s="4" t="s">
        <v>12</v>
      </c>
    </row>
    <row r="5898" spans="1:10" x14ac:dyDescent="0.25">
      <c r="A5898" s="2">
        <v>237.144797057473</v>
      </c>
      <c r="B5898" s="3">
        <v>-0.61886810045593599</v>
      </c>
      <c r="C5898" s="5">
        <v>3.6064885510362899E-8</v>
      </c>
      <c r="D5898" s="6">
        <v>2.3550073035699099E-7</v>
      </c>
      <c r="E5898" s="3" t="s">
        <v>6475</v>
      </c>
      <c r="F5898" s="3" t="s">
        <v>6476</v>
      </c>
      <c r="G5898" s="3">
        <v>382062</v>
      </c>
      <c r="H5898" s="7" t="str">
        <f>HYPERLINK("http://www.ensembl.org/Mus_musculus/Gene/Summary?db=core;g=ENSMUSG00000057191","ENSMUSG00000057191")</f>
        <v>ENSMUSG00000057191</v>
      </c>
      <c r="I5898" s="7" t="str">
        <f>HYPERLINK("http://www.informatics.jax.org/marker/MGI:3043001","MGI:3043001")</f>
        <v>MGI:3043001</v>
      </c>
      <c r="J5898" s="4" t="s">
        <v>12</v>
      </c>
    </row>
    <row r="5899" spans="1:10" x14ac:dyDescent="0.25">
      <c r="A5899" s="2">
        <v>233.62935414648999</v>
      </c>
      <c r="B5899" s="3">
        <v>-0.61915843399191695</v>
      </c>
      <c r="C5899" s="5">
        <v>2.3242153626710499E-8</v>
      </c>
      <c r="D5899" s="6">
        <v>1.5567374121528799E-7</v>
      </c>
      <c r="E5899" s="3" t="s">
        <v>3882</v>
      </c>
      <c r="F5899" s="3" t="s">
        <v>3883</v>
      </c>
      <c r="G5899" s="3">
        <v>21847</v>
      </c>
      <c r="H5899" s="7" t="str">
        <f>HYPERLINK("http://www.ensembl.org/Mus_musculus/Gene/Summary?db=core;g=ENSMUSG00000037465","ENSMUSG00000037465")</f>
        <v>ENSMUSG00000037465</v>
      </c>
      <c r="I5899" s="7" t="str">
        <f>HYPERLINK("http://www.informatics.jax.org/marker/MGI:1101353","MGI:1101353")</f>
        <v>MGI:1101353</v>
      </c>
      <c r="J5899" s="4" t="s">
        <v>12</v>
      </c>
    </row>
    <row r="5900" spans="1:10" x14ac:dyDescent="0.25">
      <c r="A5900" s="2">
        <v>59.555086656135003</v>
      </c>
      <c r="B5900" s="3">
        <v>-0.619210671953352</v>
      </c>
      <c r="C5900" s="3">
        <v>1.6340056177624601E-4</v>
      </c>
      <c r="D5900" s="4">
        <v>6.5869834956250404E-4</v>
      </c>
      <c r="E5900" s="3" t="s">
        <v>6133</v>
      </c>
      <c r="F5900" s="3" t="s">
        <v>6134</v>
      </c>
      <c r="G5900" s="3">
        <v>243963</v>
      </c>
      <c r="H5900" s="7" t="str">
        <f>HYPERLINK("http://www.ensembl.org/Mus_musculus/Gene/Summary?db=core;g=ENSMUSG00000048012","ENSMUSG00000048012")</f>
        <v>ENSMUSG00000048012</v>
      </c>
      <c r="I5900" s="7" t="str">
        <f>HYPERLINK("http://www.informatics.jax.org/marker/MGI:2442697","MGI:2442697")</f>
        <v>MGI:2442697</v>
      </c>
      <c r="J5900" s="4" t="s">
        <v>12</v>
      </c>
    </row>
    <row r="5901" spans="1:10" x14ac:dyDescent="0.25">
      <c r="A5901" s="2">
        <v>352.22335854454798</v>
      </c>
      <c r="B5901" s="3">
        <v>-0.61952884386819496</v>
      </c>
      <c r="C5901" s="5">
        <v>1.34453538754776E-14</v>
      </c>
      <c r="D5901" s="6">
        <v>1.5430829620943301E-13</v>
      </c>
      <c r="E5901" s="3" t="s">
        <v>3602</v>
      </c>
      <c r="F5901" s="3" t="s">
        <v>3603</v>
      </c>
      <c r="G5901" s="3">
        <v>54607</v>
      </c>
      <c r="H5901" s="7" t="str">
        <f>HYPERLINK("http://www.ensembl.org/Mus_musculus/Gene/Summary?db=core;g=ENSMUSG00000056153","ENSMUSG00000056153")</f>
        <v>ENSMUSG00000056153</v>
      </c>
      <c r="I5901" s="7" t="str">
        <f>HYPERLINK("http://www.informatics.jax.org/marker/MGI:1924885","MGI:1924885")</f>
        <v>MGI:1924885</v>
      </c>
      <c r="J5901" s="4" t="s">
        <v>12</v>
      </c>
    </row>
    <row r="5902" spans="1:10" x14ac:dyDescent="0.25">
      <c r="A5902" s="2">
        <v>118.23512709176001</v>
      </c>
      <c r="B5902" s="3">
        <v>-0.61957927002596902</v>
      </c>
      <c r="C5902" s="3">
        <v>1.1225165295449599E-4</v>
      </c>
      <c r="D5902" s="4">
        <v>4.6537451662777301E-4</v>
      </c>
      <c r="E5902" s="3" t="s">
        <v>9369</v>
      </c>
      <c r="F5902" s="3" t="s">
        <v>9370</v>
      </c>
      <c r="G5902" s="3">
        <v>14789</v>
      </c>
      <c r="H5902" s="7" t="str">
        <f>HYPERLINK("http://www.ensembl.org/Mus_musculus/Gene/Summary?db=core;g=ENSMUSG00000023191","ENSMUSG00000023191")</f>
        <v>ENSMUSG00000023191</v>
      </c>
      <c r="I5902" s="7" t="str">
        <f>HYPERLINK("http://www.informatics.jax.org/marker/MGI:1315208","MGI:1315208")</f>
        <v>MGI:1315208</v>
      </c>
      <c r="J5902" s="4" t="s">
        <v>12</v>
      </c>
    </row>
    <row r="5903" spans="1:10" x14ac:dyDescent="0.25">
      <c r="A5903" s="2">
        <v>15.899796230810599</v>
      </c>
      <c r="B5903" s="3">
        <v>-0.62018628099158801</v>
      </c>
      <c r="C5903" s="3">
        <v>4.4129065771766597E-2</v>
      </c>
      <c r="D5903" s="4">
        <v>0.102701088454916</v>
      </c>
      <c r="E5903" s="3" t="s">
        <v>12477</v>
      </c>
      <c r="F5903" s="3" t="s">
        <v>12478</v>
      </c>
      <c r="G5903" s="3">
        <v>271697</v>
      </c>
      <c r="H5903" s="7" t="str">
        <f>HYPERLINK("http://www.ensembl.org/Mus_musculus/Gene/Summary?db=core;g=ENSMUSG00000026023","ENSMUSG00000026023")</f>
        <v>ENSMUSG00000026023</v>
      </c>
      <c r="I5903" s="7" t="str">
        <f>HYPERLINK("http://www.informatics.jax.org/marker/MGI:3583944","MGI:3583944")</f>
        <v>MGI:3583944</v>
      </c>
      <c r="J5903" s="4" t="s">
        <v>12</v>
      </c>
    </row>
    <row r="5904" spans="1:10" x14ac:dyDescent="0.25">
      <c r="A5904" s="2">
        <v>149.20919873746101</v>
      </c>
      <c r="B5904" s="3">
        <v>-0.62048479735359396</v>
      </c>
      <c r="C5904" s="5">
        <v>5.98251431741181E-5</v>
      </c>
      <c r="D5904" s="4">
        <v>2.5898176587845601E-4</v>
      </c>
      <c r="E5904" s="3" t="s">
        <v>9161</v>
      </c>
      <c r="F5904" s="3" t="s">
        <v>9162</v>
      </c>
      <c r="G5904" s="3">
        <v>271305</v>
      </c>
      <c r="H5904" s="7" t="str">
        <f>HYPERLINK("http://www.ensembl.org/Mus_musculus/Gene/Summary?db=core;g=ENSMUSG00000016624","ENSMUSG00000016624")</f>
        <v>ENSMUSG00000016624</v>
      </c>
      <c r="I5904" s="7" t="str">
        <f>HYPERLINK("http://www.informatics.jax.org/marker/MGI:2443812","MGI:2443812")</f>
        <v>MGI:2443812</v>
      </c>
      <c r="J5904" s="4" t="s">
        <v>12</v>
      </c>
    </row>
    <row r="5905" spans="1:10" x14ac:dyDescent="0.25">
      <c r="A5905" s="2">
        <v>49.608665357004597</v>
      </c>
      <c r="B5905" s="3">
        <v>-0.62059202044373296</v>
      </c>
      <c r="C5905" s="3">
        <v>1.3771146051083801E-4</v>
      </c>
      <c r="D5905" s="4">
        <v>5.6172591043196496E-4</v>
      </c>
      <c r="E5905" s="3" t="s">
        <v>9357</v>
      </c>
      <c r="F5905" s="3" t="s">
        <v>9358</v>
      </c>
      <c r="G5905" s="3">
        <v>268670</v>
      </c>
      <c r="H5905" s="7" t="str">
        <f>HYPERLINK("http://www.ensembl.org/Mus_musculus/Gene/Summary?db=core;g=ENSMUSG00000057396","ENSMUSG00000057396")</f>
        <v>ENSMUSG00000057396</v>
      </c>
      <c r="I5905" s="7" t="str">
        <f>HYPERLINK("http://www.informatics.jax.org/marker/MGI:2446280","MGI:2446280")</f>
        <v>MGI:2446280</v>
      </c>
      <c r="J5905" s="4" t="s">
        <v>12</v>
      </c>
    </row>
    <row r="5906" spans="1:10" x14ac:dyDescent="0.25">
      <c r="A5906" s="2">
        <v>402.23768153662797</v>
      </c>
      <c r="B5906" s="3">
        <v>-0.62124437425928303</v>
      </c>
      <c r="C5906" s="5">
        <v>1.07517629074364E-8</v>
      </c>
      <c r="D5906" s="6">
        <v>7.4676402053364401E-8</v>
      </c>
      <c r="E5906" s="3" t="s">
        <v>3302</v>
      </c>
      <c r="F5906" s="3" t="s">
        <v>3303</v>
      </c>
      <c r="G5906" s="3">
        <v>67141</v>
      </c>
      <c r="H5906" s="7" t="str">
        <f>HYPERLINK("http://www.ensembl.org/Mus_musculus/Gene/Summary?db=core;g=ENSMUSG00000019773","ENSMUSG00000019773")</f>
        <v>ENSMUSG00000019773</v>
      </c>
      <c r="I5906" s="7" t="str">
        <f>HYPERLINK("http://www.informatics.jax.org/marker/MGI:1914391","MGI:1914391")</f>
        <v>MGI:1914391</v>
      </c>
      <c r="J5906" s="4" t="s">
        <v>12</v>
      </c>
    </row>
    <row r="5907" spans="1:10" x14ac:dyDescent="0.25">
      <c r="A5907" s="2">
        <v>1502.6332114213301</v>
      </c>
      <c r="B5907" s="3">
        <v>-0.62164364746780998</v>
      </c>
      <c r="C5907" s="5">
        <v>3.47919332358184E-8</v>
      </c>
      <c r="D5907" s="6">
        <v>2.2792343034607799E-7</v>
      </c>
      <c r="E5907" s="3" t="s">
        <v>7706</v>
      </c>
      <c r="F5907" s="3" t="s">
        <v>7707</v>
      </c>
      <c r="G5907" s="3">
        <v>14629</v>
      </c>
      <c r="H5907" s="7" t="str">
        <f>HYPERLINK("http://www.ensembl.org/Mus_musculus/Gene/Summary?db=core;g=ENSMUSG00000032350","ENSMUSG00000032350")</f>
        <v>ENSMUSG00000032350</v>
      </c>
      <c r="I5907" s="7" t="str">
        <f>HYPERLINK("http://www.informatics.jax.org/marker/MGI:104990","MGI:104990")</f>
        <v>MGI:104990</v>
      </c>
      <c r="J5907" s="4" t="s">
        <v>12</v>
      </c>
    </row>
    <row r="5908" spans="1:10" x14ac:dyDescent="0.25">
      <c r="A5908" s="2">
        <v>236.26496953594901</v>
      </c>
      <c r="B5908" s="3">
        <v>-0.62239029442274596</v>
      </c>
      <c r="C5908" s="5">
        <v>7.0693071686603602E-7</v>
      </c>
      <c r="D5908" s="6">
        <v>3.9900316862445002E-6</v>
      </c>
      <c r="E5908" s="3" t="s">
        <v>4509</v>
      </c>
      <c r="F5908" s="3" t="s">
        <v>4510</v>
      </c>
      <c r="G5908" s="3">
        <v>12576</v>
      </c>
      <c r="H5908" s="7" t="str">
        <f>HYPERLINK("http://www.ensembl.org/Mus_musculus/Gene/Summary?db=core;g=ENSMUSG00000003031","ENSMUSG00000003031")</f>
        <v>ENSMUSG00000003031</v>
      </c>
      <c r="I5908" s="7" t="str">
        <f>HYPERLINK("http://www.informatics.jax.org/marker/MGI:104565","MGI:104565")</f>
        <v>MGI:104565</v>
      </c>
      <c r="J5908" s="4" t="s">
        <v>12</v>
      </c>
    </row>
    <row r="5909" spans="1:10" x14ac:dyDescent="0.25">
      <c r="A5909" s="2">
        <v>136.03655252430801</v>
      </c>
      <c r="B5909" s="3">
        <v>-0.62363363383819803</v>
      </c>
      <c r="C5909" s="5">
        <v>1.2988609124863399E-6</v>
      </c>
      <c r="D5909" s="6">
        <v>7.14079641932537E-6</v>
      </c>
      <c r="E5909" s="3" t="s">
        <v>7512</v>
      </c>
      <c r="F5909" s="3" t="s">
        <v>7513</v>
      </c>
      <c r="G5909" s="3">
        <v>98314</v>
      </c>
      <c r="H5909" s="7" t="str">
        <f>HYPERLINK("http://www.ensembl.org/Mus_musculus/Gene/Summary?db=core;g=ENSMUSG00000073609","ENSMUSG00000073609")</f>
        <v>ENSMUSG00000073609</v>
      </c>
      <c r="I5909" s="7" t="str">
        <f>HYPERLINK("http://www.informatics.jax.org/marker/MGI:2138209","MGI:2138209")</f>
        <v>MGI:2138209</v>
      </c>
      <c r="J5909" s="4" t="s">
        <v>12</v>
      </c>
    </row>
    <row r="5910" spans="1:10" x14ac:dyDescent="0.25">
      <c r="A5910" s="2">
        <v>724.92377979524997</v>
      </c>
      <c r="B5910" s="3">
        <v>-0.62442039629168899</v>
      </c>
      <c r="C5910" s="5">
        <v>1.9363255643643999E-8</v>
      </c>
      <c r="D5910" s="6">
        <v>1.30944465345236E-7</v>
      </c>
      <c r="E5910" s="3" t="s">
        <v>5349</v>
      </c>
      <c r="F5910" s="3" t="s">
        <v>5350</v>
      </c>
      <c r="G5910" s="3">
        <v>332579</v>
      </c>
      <c r="H5910" s="7" t="str">
        <f>HYPERLINK("http://www.ensembl.org/Mus_musculus/Gene/Summary?db=core;g=ENSMUSG00000026928","ENSMUSG00000026928")</f>
        <v>ENSMUSG00000026928</v>
      </c>
      <c r="I5910" s="7" t="str">
        <f>HYPERLINK("http://www.informatics.jax.org/marker/MGI:2685628","MGI:2685628")</f>
        <v>MGI:2685628</v>
      </c>
      <c r="J5910" s="4" t="s">
        <v>12</v>
      </c>
    </row>
    <row r="5911" spans="1:10" x14ac:dyDescent="0.25">
      <c r="A5911" s="2">
        <v>493.54983055866597</v>
      </c>
      <c r="B5911" s="3">
        <v>-0.62447405561389502</v>
      </c>
      <c r="C5911" s="5">
        <v>2.45984192115519E-18</v>
      </c>
      <c r="D5911" s="6">
        <v>3.5467261877415603E-17</v>
      </c>
      <c r="E5911" s="3" t="s">
        <v>2619</v>
      </c>
      <c r="F5911" s="3" t="s">
        <v>2620</v>
      </c>
      <c r="G5911" s="3">
        <v>54354</v>
      </c>
      <c r="H5911" s="7" t="str">
        <f>HYPERLINK("http://www.ensembl.org/Mus_musculus/Gene/Summary?db=core;g=ENSMUSG00000026430","ENSMUSG00000026430")</f>
        <v>ENSMUSG00000026430</v>
      </c>
      <c r="I5911" s="7" t="str">
        <f>HYPERLINK("http://www.informatics.jax.org/marker/MGI:1926375","MGI:1926375")</f>
        <v>MGI:1926375</v>
      </c>
      <c r="J5911" s="4" t="s">
        <v>12</v>
      </c>
    </row>
    <row r="5912" spans="1:10" x14ac:dyDescent="0.25">
      <c r="A5912" s="2">
        <v>625.05882990302496</v>
      </c>
      <c r="B5912" s="3">
        <v>-0.624945423281418</v>
      </c>
      <c r="C5912" s="5">
        <v>1.42451987759131E-5</v>
      </c>
      <c r="D5912" s="6">
        <v>6.8069939090460398E-5</v>
      </c>
      <c r="E5912" s="3" t="s">
        <v>7936</v>
      </c>
      <c r="F5912" s="3" t="s">
        <v>7937</v>
      </c>
      <c r="G5912" s="3">
        <v>17750</v>
      </c>
      <c r="H5912" s="7" t="str">
        <f>HYPERLINK("http://www.ensembl.org/Mus_musculus/Gene/Summary?db=core;g=ENSMUSG00000031762","ENSMUSG00000031762")</f>
        <v>ENSMUSG00000031762</v>
      </c>
      <c r="I5912" s="7" t="str">
        <f>HYPERLINK("http://www.informatics.jax.org/marker/MGI:97172","MGI:97172")</f>
        <v>MGI:97172</v>
      </c>
      <c r="J5912" s="4" t="s">
        <v>12</v>
      </c>
    </row>
    <row r="5913" spans="1:10" x14ac:dyDescent="0.25">
      <c r="A5913" s="2">
        <v>94.730559297068893</v>
      </c>
      <c r="B5913" s="3">
        <v>-0.62616365464682999</v>
      </c>
      <c r="C5913" s="5">
        <v>5.9248084914564901E-5</v>
      </c>
      <c r="D5913" s="4">
        <v>2.5684974965935902E-4</v>
      </c>
      <c r="E5913" s="3" t="s">
        <v>6816</v>
      </c>
      <c r="F5913" s="3" t="s">
        <v>6817</v>
      </c>
      <c r="G5913" s="3">
        <v>21848</v>
      </c>
      <c r="H5913" s="7" t="str">
        <f>HYPERLINK("http://www.ensembl.org/Mus_musculus/Gene/Summary?db=core;g=ENSMUSG00000029833","ENSMUSG00000029833")</f>
        <v>ENSMUSG00000029833</v>
      </c>
      <c r="I5913" s="7" t="str">
        <f>HYPERLINK("http://www.informatics.jax.org/marker/MGI:109275","MGI:109275")</f>
        <v>MGI:109275</v>
      </c>
      <c r="J5913" s="4" t="s">
        <v>12</v>
      </c>
    </row>
    <row r="5914" spans="1:10" x14ac:dyDescent="0.25">
      <c r="A5914" s="2">
        <v>237.23083322079799</v>
      </c>
      <c r="B5914" s="3">
        <v>-0.62617315001625895</v>
      </c>
      <c r="C5914" s="5">
        <v>1.2141895840711001E-13</v>
      </c>
      <c r="D5914" s="6">
        <v>1.3109363252189401E-12</v>
      </c>
      <c r="E5914" s="3" t="s">
        <v>3706</v>
      </c>
      <c r="F5914" s="3" t="s">
        <v>3707</v>
      </c>
      <c r="G5914" s="3">
        <v>170936</v>
      </c>
      <c r="H5914" s="7" t="str">
        <f>HYPERLINK("http://www.ensembl.org/Mus_musculus/Gene/Summary?db=core;g=ENSMUSG00000021514","ENSMUSG00000021514")</f>
        <v>ENSMUSG00000021514</v>
      </c>
      <c r="I5914" s="7" t="str">
        <f>HYPERLINK("http://www.informatics.jax.org/marker/MGI:2176229","MGI:2176229")</f>
        <v>MGI:2176229</v>
      </c>
      <c r="J5914" s="4" t="s">
        <v>12</v>
      </c>
    </row>
    <row r="5915" spans="1:10" x14ac:dyDescent="0.25">
      <c r="A5915" s="2">
        <v>215.29307614902001</v>
      </c>
      <c r="B5915" s="3">
        <v>-0.62620212559741895</v>
      </c>
      <c r="C5915" s="5">
        <v>4.5783695809840501E-13</v>
      </c>
      <c r="D5915" s="6">
        <v>4.7598850891862103E-12</v>
      </c>
      <c r="E5915" s="3" t="s">
        <v>3216</v>
      </c>
      <c r="F5915" s="3" t="s">
        <v>3217</v>
      </c>
      <c r="G5915" s="3">
        <v>22591</v>
      </c>
      <c r="H5915" s="7" t="str">
        <f>HYPERLINK("http://www.ensembl.org/Mus_musculus/Gene/Summary?db=core;g=ENSMUSG00000030094","ENSMUSG00000030094")</f>
        <v>ENSMUSG00000030094</v>
      </c>
      <c r="I5915" s="7" t="str">
        <f>HYPERLINK("http://www.informatics.jax.org/marker/MGI:103557","MGI:103557")</f>
        <v>MGI:103557</v>
      </c>
      <c r="J5915" s="4" t="s">
        <v>12</v>
      </c>
    </row>
    <row r="5916" spans="1:10" x14ac:dyDescent="0.25">
      <c r="A5916" s="2">
        <v>154.67104406698499</v>
      </c>
      <c r="B5916" s="3">
        <v>-0.62702313741638604</v>
      </c>
      <c r="C5916" s="5">
        <v>1.06795921355872E-7</v>
      </c>
      <c r="D5916" s="6">
        <v>6.6633196395439002E-7</v>
      </c>
      <c r="E5916" s="3" t="s">
        <v>4713</v>
      </c>
      <c r="F5916" s="3" t="s">
        <v>4714</v>
      </c>
      <c r="G5916" s="3">
        <v>52609</v>
      </c>
      <c r="H5916" s="7" t="str">
        <f>HYPERLINK("http://www.ensembl.org/Mus_musculus/Gene/Summary?db=core;g=ENSMUSG00000053411","ENSMUSG00000053411")</f>
        <v>ENSMUSG00000053411</v>
      </c>
      <c r="I5916" s="7" t="str">
        <f>HYPERLINK("http://www.informatics.jax.org/marker/MGI:1196439","MGI:1196439")</f>
        <v>MGI:1196439</v>
      </c>
      <c r="J5916" s="4" t="s">
        <v>12</v>
      </c>
    </row>
    <row r="5917" spans="1:10" x14ac:dyDescent="0.25">
      <c r="A5917" s="2">
        <v>210.864489003074</v>
      </c>
      <c r="B5917" s="3">
        <v>-0.62725662768165003</v>
      </c>
      <c r="C5917" s="5">
        <v>1.1594766023848101E-12</v>
      </c>
      <c r="D5917" s="6">
        <v>1.16748403748415E-11</v>
      </c>
      <c r="E5917" s="3" t="s">
        <v>2209</v>
      </c>
      <c r="F5917" s="3" t="s">
        <v>2210</v>
      </c>
      <c r="G5917" s="3">
        <v>320799</v>
      </c>
      <c r="H5917" s="7" t="str">
        <f>HYPERLINK("http://www.ensembl.org/Mus_musculus/Gene/Summary?db=core;g=ENSMUSG00000035877","ENSMUSG00000035877")</f>
        <v>ENSMUSG00000035877</v>
      </c>
      <c r="I5917" s="7" t="str">
        <f>HYPERLINK("http://www.informatics.jax.org/marker/MGI:2444772","MGI:2444772")</f>
        <v>MGI:2444772</v>
      </c>
      <c r="J5917" s="4" t="s">
        <v>12</v>
      </c>
    </row>
    <row r="5918" spans="1:10" x14ac:dyDescent="0.25">
      <c r="A5918" s="2">
        <v>38.286486768777102</v>
      </c>
      <c r="B5918" s="3">
        <v>-0.62726499210299502</v>
      </c>
      <c r="C5918" s="3">
        <v>5.5664822396548899E-3</v>
      </c>
      <c r="D5918" s="4">
        <v>1.6546915481603398E-2</v>
      </c>
      <c r="E5918" s="3" t="s">
        <v>12995</v>
      </c>
      <c r="F5918" s="3" t="s">
        <v>12996</v>
      </c>
      <c r="G5918" s="3">
        <v>329731</v>
      </c>
      <c r="H5918" s="7" t="str">
        <f>HYPERLINK("http://www.ensembl.org/Mus_musculus/Gene/Summary?db=core;g=ENSMUSG00000055865","ENSMUSG00000055865")</f>
        <v>ENSMUSG00000055865</v>
      </c>
      <c r="I5918" s="7" t="str">
        <f>HYPERLINK("http://www.informatics.jax.org/marker/MGI:3046463","MGI:3046463")</f>
        <v>MGI:3046463</v>
      </c>
      <c r="J5918" s="4" t="s">
        <v>12</v>
      </c>
    </row>
    <row r="5919" spans="1:10" x14ac:dyDescent="0.25">
      <c r="A5919" s="2">
        <v>70.2666316715965</v>
      </c>
      <c r="B5919" s="3">
        <v>-0.62744988684465497</v>
      </c>
      <c r="C5919" s="5">
        <v>4.0781814512398297E-6</v>
      </c>
      <c r="D5919" s="6">
        <v>2.10747191938178E-5</v>
      </c>
      <c r="E5919" s="3" t="s">
        <v>7232</v>
      </c>
      <c r="F5919" s="3" t="s">
        <v>7233</v>
      </c>
      <c r="G5919" s="3">
        <v>22698</v>
      </c>
      <c r="H5919" s="7" t="str">
        <f>HYPERLINK("http://www.ensembl.org/Mus_musculus/Gene/Summary?db=core;g=ENSMUSG00000037001","ENSMUSG00000037001")</f>
        <v>ENSMUSG00000037001</v>
      </c>
      <c r="I5919" s="7" t="str">
        <f>HYPERLINK("http://www.informatics.jax.org/marker/MGI:99183","MGI:99183")</f>
        <v>MGI:99183</v>
      </c>
      <c r="J5919" s="4" t="s">
        <v>12</v>
      </c>
    </row>
    <row r="5920" spans="1:10" x14ac:dyDescent="0.25">
      <c r="A5920" s="2">
        <v>162.770803727443</v>
      </c>
      <c r="B5920" s="3">
        <v>-0.62799069748870995</v>
      </c>
      <c r="C5920" s="5">
        <v>2.08028022693879E-9</v>
      </c>
      <c r="D5920" s="6">
        <v>1.5589271026299101E-8</v>
      </c>
      <c r="E5920" s="3" t="s">
        <v>6772</v>
      </c>
      <c r="F5920" s="3" t="s">
        <v>6773</v>
      </c>
      <c r="G5920" s="3">
        <v>171567</v>
      </c>
      <c r="H5920" s="7" t="str">
        <f>HYPERLINK("http://www.ensembl.org/Mus_musculus/Gene/Summary?db=core;g=ENSMUSG00000026575","ENSMUSG00000026575")</f>
        <v>ENSMUSG00000026575</v>
      </c>
      <c r="I5920" s="7" t="str">
        <f>HYPERLINK("http://www.informatics.jax.org/marker/MGI:2449121","MGI:2449121")</f>
        <v>MGI:2449121</v>
      </c>
      <c r="J5920" s="4" t="s">
        <v>12</v>
      </c>
    </row>
    <row r="5921" spans="1:10" x14ac:dyDescent="0.25">
      <c r="A5921" s="2">
        <v>700.38358965958002</v>
      </c>
      <c r="B5921" s="3">
        <v>-0.62801522508000096</v>
      </c>
      <c r="C5921" s="5">
        <v>1.7889487341909199E-14</v>
      </c>
      <c r="D5921" s="6">
        <v>2.0351804419868599E-13</v>
      </c>
      <c r="E5921" s="3" t="s">
        <v>3842</v>
      </c>
      <c r="F5921" s="3" t="s">
        <v>3843</v>
      </c>
      <c r="G5921" s="3">
        <v>66958</v>
      </c>
      <c r="H5921" s="7" t="str">
        <f>HYPERLINK("http://www.ensembl.org/Mus_musculus/Gene/Summary?db=core;g=ENSMUSG00000050043","ENSMUSG00000050043")</f>
        <v>ENSMUSG00000050043</v>
      </c>
      <c r="I5921" s="7" t="str">
        <f>HYPERLINK("http://www.informatics.jax.org/marker/MGI:1914208","MGI:1914208")</f>
        <v>MGI:1914208</v>
      </c>
      <c r="J5921" s="4" t="s">
        <v>12</v>
      </c>
    </row>
    <row r="5922" spans="1:10" x14ac:dyDescent="0.25">
      <c r="A5922" s="2">
        <v>620.66449425932399</v>
      </c>
      <c r="B5922" s="3">
        <v>-0.62831239002094397</v>
      </c>
      <c r="C5922" s="5">
        <v>6.1276812529759397E-18</v>
      </c>
      <c r="D5922" s="6">
        <v>8.6170517619974104E-17</v>
      </c>
      <c r="E5922" s="3" t="s">
        <v>1951</v>
      </c>
      <c r="F5922" s="3" t="s">
        <v>1952</v>
      </c>
      <c r="G5922" s="3">
        <v>73340</v>
      </c>
      <c r="H5922" s="7" t="str">
        <f>HYPERLINK("http://www.ensembl.org/Mus_musculus/Gene/Summary?db=core;g=ENSMUSG00000022421","ENSMUSG00000022421")</f>
        <v>ENSMUSG00000022421</v>
      </c>
      <c r="I5922" s="7" t="str">
        <f>HYPERLINK("http://www.informatics.jax.org/marker/MGI:1920590","MGI:1920590")</f>
        <v>MGI:1920590</v>
      </c>
      <c r="J5922" s="4" t="s">
        <v>12</v>
      </c>
    </row>
    <row r="5923" spans="1:10" x14ac:dyDescent="0.25">
      <c r="A5923" s="2">
        <v>916.76663329945904</v>
      </c>
      <c r="B5923" s="3">
        <v>-0.62840283500831495</v>
      </c>
      <c r="C5923" s="5">
        <v>4.7941842591172E-22</v>
      </c>
      <c r="D5923" s="6">
        <v>8.3372145154972199E-21</v>
      </c>
      <c r="E5923" s="3" t="s">
        <v>2543</v>
      </c>
      <c r="F5923" s="3" t="s">
        <v>2544</v>
      </c>
      <c r="G5923" s="3">
        <v>14247</v>
      </c>
      <c r="H5923" s="7" t="str">
        <f>HYPERLINK("http://www.ensembl.org/Mus_musculus/Gene/Summary?db=core;g=ENSMUSG00000016087","ENSMUSG00000016087")</f>
        <v>ENSMUSG00000016087</v>
      </c>
      <c r="I5923" s="7" t="str">
        <f>HYPERLINK("http://www.informatics.jax.org/marker/MGI:95554","MGI:95554")</f>
        <v>MGI:95554</v>
      </c>
      <c r="J5923" s="4" t="s">
        <v>12</v>
      </c>
    </row>
    <row r="5924" spans="1:10" x14ac:dyDescent="0.25">
      <c r="A5924" s="2">
        <v>1344.1983973111401</v>
      </c>
      <c r="B5924" s="3">
        <v>-0.62893720239229201</v>
      </c>
      <c r="C5924" s="5">
        <v>2.9288329466507702E-35</v>
      </c>
      <c r="D5924" s="6">
        <v>8.6093516859210301E-34</v>
      </c>
      <c r="E5924" s="3" t="s">
        <v>937</v>
      </c>
      <c r="F5924" s="3" t="s">
        <v>938</v>
      </c>
      <c r="G5924" s="3" t="s">
        <v>83</v>
      </c>
      <c r="H5924" s="7" t="str">
        <f>HYPERLINK("http://www.ensembl.org/Mus_musculus/Gene/Summary?db=core;g=ENSMUSG00000085438","ENSMUSG00000085438")</f>
        <v>ENSMUSG00000085438</v>
      </c>
      <c r="I5924" s="7" t="str">
        <f>HYPERLINK("http://www.informatics.jax.org/marker/MGI:1913852","MGI:1913852")</f>
        <v>MGI:1913852</v>
      </c>
      <c r="J5924" s="4" t="s">
        <v>939</v>
      </c>
    </row>
    <row r="5925" spans="1:10" x14ac:dyDescent="0.25">
      <c r="A5925" s="2">
        <v>389.25383759470799</v>
      </c>
      <c r="B5925" s="3">
        <v>-0.62910737934515504</v>
      </c>
      <c r="C5925" s="5">
        <v>4.1575443514422302E-9</v>
      </c>
      <c r="D5925" s="6">
        <v>3.0344912216673903E-8</v>
      </c>
      <c r="E5925" s="3" t="s">
        <v>6089</v>
      </c>
      <c r="F5925" s="3" t="s">
        <v>6090</v>
      </c>
      <c r="G5925" s="3">
        <v>66566</v>
      </c>
      <c r="H5925" s="7" t="str">
        <f>HYPERLINK("http://www.ensembl.org/Mus_musculus/Gene/Summary?db=core;g=ENSMUSG00000031851","ENSMUSG00000031851")</f>
        <v>ENSMUSG00000031851</v>
      </c>
      <c r="I5925" s="7" t="str">
        <f>HYPERLINK("http://www.informatics.jax.org/marker/MGI:1913816","MGI:1913816")</f>
        <v>MGI:1913816</v>
      </c>
      <c r="J5925" s="4" t="s">
        <v>12</v>
      </c>
    </row>
    <row r="5926" spans="1:10" x14ac:dyDescent="0.25">
      <c r="A5926" s="2">
        <v>317.90348018744498</v>
      </c>
      <c r="B5926" s="3">
        <v>-0.62911601402350803</v>
      </c>
      <c r="C5926" s="5">
        <v>7.6711953701151804E-13</v>
      </c>
      <c r="D5926" s="6">
        <v>7.8499458517882693E-12</v>
      </c>
      <c r="E5926" s="3" t="s">
        <v>2954</v>
      </c>
      <c r="F5926" s="3" t="s">
        <v>2955</v>
      </c>
      <c r="G5926" s="3">
        <v>207375</v>
      </c>
      <c r="H5926" s="7" t="str">
        <f>HYPERLINK("http://www.ensembl.org/Mus_musculus/Gene/Summary?db=core;g=ENSMUSG00000025262","ENSMUSG00000025262")</f>
        <v>ENSMUSG00000025262</v>
      </c>
      <c r="I5926" s="7" t="str">
        <f>HYPERLINK("http://www.informatics.jax.org/marker/MGI:2387687","MGI:2387687")</f>
        <v>MGI:2387687</v>
      </c>
      <c r="J5926" s="4" t="s">
        <v>12</v>
      </c>
    </row>
    <row r="5927" spans="1:10" x14ac:dyDescent="0.25">
      <c r="A5927" s="2">
        <v>162.020472064442</v>
      </c>
      <c r="B5927" s="3">
        <v>-0.62915813448998403</v>
      </c>
      <c r="C5927" s="5">
        <v>2.4503729639469799E-7</v>
      </c>
      <c r="D5927" s="6">
        <v>1.4709501735155999E-6</v>
      </c>
      <c r="E5927" s="3" t="s">
        <v>6235</v>
      </c>
      <c r="F5927" s="3" t="s">
        <v>6236</v>
      </c>
      <c r="G5927" s="3">
        <v>217935</v>
      </c>
      <c r="H5927" s="7" t="str">
        <f>HYPERLINK("http://www.ensembl.org/Mus_musculus/Gene/Summary?db=core;g=ENSMUSG00000042050","ENSMUSG00000042050")</f>
        <v>ENSMUSG00000042050</v>
      </c>
      <c r="I5927" s="7" t="str">
        <f>HYPERLINK("http://www.informatics.jax.org/marker/MGI:2445085","MGI:2445085")</f>
        <v>MGI:2445085</v>
      </c>
      <c r="J5927" s="4" t="s">
        <v>12</v>
      </c>
    </row>
    <row r="5928" spans="1:10" x14ac:dyDescent="0.25">
      <c r="A5928" s="2">
        <v>345.79773853887002</v>
      </c>
      <c r="B5928" s="3">
        <v>-0.63008734395510002</v>
      </c>
      <c r="C5928" s="5">
        <v>2.1141221297950499E-13</v>
      </c>
      <c r="D5928" s="6">
        <v>2.2532091120184102E-12</v>
      </c>
      <c r="E5928" s="3" t="s">
        <v>3020</v>
      </c>
      <c r="F5928" s="3" t="s">
        <v>3021</v>
      </c>
      <c r="G5928" s="3">
        <v>76775</v>
      </c>
      <c r="H5928" s="7" t="str">
        <f>HYPERLINK("http://www.ensembl.org/Mus_musculus/Gene/Summary?db=core;g=ENSMUSG00000031684","ENSMUSG00000031684")</f>
        <v>ENSMUSG00000031684</v>
      </c>
      <c r="I5928" s="7" t="str">
        <f>HYPERLINK("http://www.informatics.jax.org/marker/MGI:1924025","MGI:1924025")</f>
        <v>MGI:1924025</v>
      </c>
      <c r="J5928" s="4" t="s">
        <v>12</v>
      </c>
    </row>
    <row r="5929" spans="1:10" x14ac:dyDescent="0.25">
      <c r="A5929" s="2">
        <v>620.89905391795298</v>
      </c>
      <c r="B5929" s="3">
        <v>-0.63009084222760203</v>
      </c>
      <c r="C5929" s="5">
        <v>4.2571718831613799E-12</v>
      </c>
      <c r="D5929" s="6">
        <v>4.0792301561838203E-11</v>
      </c>
      <c r="E5929" s="3" t="s">
        <v>2069</v>
      </c>
      <c r="F5929" s="3" t="s">
        <v>2070</v>
      </c>
      <c r="G5929" s="3">
        <v>263406</v>
      </c>
      <c r="H5929" s="7" t="str">
        <f>HYPERLINK("http://www.ensembl.org/Mus_musculus/Gene/Summary?db=core;g=ENSMUSG00000052609","ENSMUSG00000052609")</f>
        <v>ENSMUSG00000052609</v>
      </c>
      <c r="I5929" s="7" t="str">
        <f>HYPERLINK("http://www.informatics.jax.org/marker/MGI:2388284","MGI:2388284")</f>
        <v>MGI:2388284</v>
      </c>
      <c r="J5929" s="4" t="s">
        <v>12</v>
      </c>
    </row>
    <row r="5930" spans="1:10" x14ac:dyDescent="0.25">
      <c r="A5930" s="2">
        <v>475.06908266907601</v>
      </c>
      <c r="B5930" s="3">
        <v>-0.63015440519664401</v>
      </c>
      <c r="C5930" s="5">
        <v>2.0922795594293299E-22</v>
      </c>
      <c r="D5930" s="6">
        <v>3.7057137969484403E-21</v>
      </c>
      <c r="E5930" s="3" t="s">
        <v>2445</v>
      </c>
      <c r="F5930" s="3" t="s">
        <v>2446</v>
      </c>
      <c r="G5930" s="3">
        <v>56196</v>
      </c>
      <c r="H5930" s="7" t="str">
        <f>HYPERLINK("http://www.ensembl.org/Mus_musculus/Gene/Summary?db=core;g=ENSMUSG00000035958","ENSMUSG00000035958")</f>
        <v>ENSMUSG00000035958</v>
      </c>
      <c r="I5930" s="7" t="str">
        <f>HYPERLINK("http://www.informatics.jax.org/marker/MGI:1860486","MGI:1860486")</f>
        <v>MGI:1860486</v>
      </c>
      <c r="J5930" s="4" t="s">
        <v>12</v>
      </c>
    </row>
    <row r="5931" spans="1:10" x14ac:dyDescent="0.25">
      <c r="A5931" s="2">
        <v>277.46822593593203</v>
      </c>
      <c r="B5931" s="3">
        <v>-0.63102960046968704</v>
      </c>
      <c r="C5931" s="5">
        <v>2.8153988799802401E-7</v>
      </c>
      <c r="D5931" s="6">
        <v>1.67791512713014E-6</v>
      </c>
      <c r="E5931" s="3" t="s">
        <v>8545</v>
      </c>
      <c r="F5931" s="3" t="s">
        <v>8546</v>
      </c>
      <c r="G5931" s="3">
        <v>77832</v>
      </c>
      <c r="H5931" s="7" t="str">
        <f>HYPERLINK("http://www.ensembl.org/Mus_musculus/Gene/Summary?db=core;g=ENSMUSG00000002486","ENSMUSG00000002486")</f>
        <v>ENSMUSG00000002486</v>
      </c>
      <c r="I5931" s="7" t="str">
        <f>HYPERLINK("http://www.informatics.jax.org/marker/MGI:1925082","MGI:1925082")</f>
        <v>MGI:1925082</v>
      </c>
      <c r="J5931" s="4" t="s">
        <v>12</v>
      </c>
    </row>
    <row r="5932" spans="1:10" x14ac:dyDescent="0.25">
      <c r="A5932" s="2">
        <v>670.97599983458804</v>
      </c>
      <c r="B5932" s="3">
        <v>-0.63117175975576401</v>
      </c>
      <c r="C5932" s="5">
        <v>6.9104855345352898E-14</v>
      </c>
      <c r="D5932" s="6">
        <v>7.5687258934438503E-13</v>
      </c>
      <c r="E5932" s="3" t="s">
        <v>4309</v>
      </c>
      <c r="F5932" s="3" t="s">
        <v>4310</v>
      </c>
      <c r="G5932" s="3">
        <v>12367</v>
      </c>
      <c r="H5932" s="7" t="str">
        <f>HYPERLINK("http://www.ensembl.org/Mus_musculus/Gene/Summary?db=core;g=ENSMUSG00000031628","ENSMUSG00000031628")</f>
        <v>ENSMUSG00000031628</v>
      </c>
      <c r="I5932" s="7" t="str">
        <f>HYPERLINK("http://www.informatics.jax.org/marker/MGI:107739","MGI:107739")</f>
        <v>MGI:107739</v>
      </c>
      <c r="J5932" s="4" t="s">
        <v>12</v>
      </c>
    </row>
    <row r="5933" spans="1:10" x14ac:dyDescent="0.25">
      <c r="A5933" s="2">
        <v>334.35347700015399</v>
      </c>
      <c r="B5933" s="3">
        <v>-0.63125617306988702</v>
      </c>
      <c r="C5933" s="5">
        <v>5.4262790218769996E-10</v>
      </c>
      <c r="D5933" s="6">
        <v>4.3355517393120697E-9</v>
      </c>
      <c r="E5933" s="3" t="s">
        <v>5121</v>
      </c>
      <c r="F5933" s="3" t="s">
        <v>5122</v>
      </c>
      <c r="G5933" s="3">
        <v>13804</v>
      </c>
      <c r="H5933" s="7" t="str">
        <f>HYPERLINK("http://www.ensembl.org/Mus_musculus/Gene/Summary?db=core;g=ENSMUSG00000015337","ENSMUSG00000015337")</f>
        <v>ENSMUSG00000015337</v>
      </c>
      <c r="I5933" s="7" t="str">
        <f>HYPERLINK("http://www.informatics.jax.org/marker/MGI:1261433","MGI:1261433")</f>
        <v>MGI:1261433</v>
      </c>
      <c r="J5933" s="4" t="s">
        <v>12</v>
      </c>
    </row>
    <row r="5934" spans="1:10" x14ac:dyDescent="0.25">
      <c r="A5934" s="2">
        <v>610.63414237143002</v>
      </c>
      <c r="B5934" s="3">
        <v>-0.63131934075345897</v>
      </c>
      <c r="C5934" s="5">
        <v>1.49438484728561E-15</v>
      </c>
      <c r="D5934" s="6">
        <v>1.8168888486844799E-14</v>
      </c>
      <c r="E5934" s="3" t="s">
        <v>985</v>
      </c>
      <c r="F5934" s="3" t="s">
        <v>986</v>
      </c>
      <c r="G5934" s="3">
        <v>237877</v>
      </c>
      <c r="H5934" s="7" t="str">
        <f>HYPERLINK("http://www.ensembl.org/Mus_musculus/Gene/Summary?db=core;g=ENSMUSG00000017550","ENSMUSG00000017550")</f>
        <v>ENSMUSG00000017550</v>
      </c>
      <c r="I5934" s="7" t="str">
        <f>HYPERLINK("http://www.informatics.jax.org/marker/MGI:2442925","MGI:2442925")</f>
        <v>MGI:2442925</v>
      </c>
      <c r="J5934" s="4" t="s">
        <v>12</v>
      </c>
    </row>
    <row r="5935" spans="1:10" x14ac:dyDescent="0.25">
      <c r="A5935" s="2">
        <v>644.69765008397201</v>
      </c>
      <c r="B5935" s="3">
        <v>-0.632418575416693</v>
      </c>
      <c r="C5935" s="5">
        <v>2.0950814161346701E-25</v>
      </c>
      <c r="D5935" s="6">
        <v>4.26624120771557E-24</v>
      </c>
      <c r="E5935" s="3" t="s">
        <v>818</v>
      </c>
      <c r="F5935" s="3" t="s">
        <v>819</v>
      </c>
      <c r="G5935" s="3">
        <v>78658</v>
      </c>
      <c r="H5935" s="7" t="str">
        <f>HYPERLINK("http://www.ensembl.org/Mus_musculus/Gene/Summary?db=core;g=ENSMUSG00000035024","ENSMUSG00000035024")</f>
        <v>ENSMUSG00000035024</v>
      </c>
      <c r="I5935" s="7" t="str">
        <f>HYPERLINK("http://www.informatics.jax.org/marker/MGI:2142989","MGI:2142989")</f>
        <v>MGI:2142989</v>
      </c>
      <c r="J5935" s="4" t="s">
        <v>12</v>
      </c>
    </row>
    <row r="5936" spans="1:10" x14ac:dyDescent="0.25">
      <c r="A5936" s="2">
        <v>82.879672104621406</v>
      </c>
      <c r="B5936" s="3">
        <v>-0.63260684042647497</v>
      </c>
      <c r="C5936" s="5">
        <v>1.86001297788656E-5</v>
      </c>
      <c r="D5936" s="6">
        <v>8.7458040562390606E-5</v>
      </c>
      <c r="E5936" s="3" t="s">
        <v>9986</v>
      </c>
      <c r="F5936" s="3" t="s">
        <v>9987</v>
      </c>
      <c r="G5936" s="3" t="s">
        <v>83</v>
      </c>
      <c r="H5936" s="7" t="str">
        <f>HYPERLINK("http://www.ensembl.org/Mus_musculus/Gene/Summary?db=core;g=ENSMUSG00000085882","ENSMUSG00000085882")</f>
        <v>ENSMUSG00000085882</v>
      </c>
      <c r="I5936" s="7" t="str">
        <f>HYPERLINK("http://www.informatics.jax.org/marker/MGI:1919453","MGI:1919453")</f>
        <v>MGI:1919453</v>
      </c>
      <c r="J5936" s="4" t="s">
        <v>331</v>
      </c>
    </row>
    <row r="5937" spans="1:10" x14ac:dyDescent="0.25">
      <c r="A5937" s="2">
        <v>400.97212804990698</v>
      </c>
      <c r="B5937" s="3">
        <v>-0.63320445753223897</v>
      </c>
      <c r="C5937" s="5">
        <v>1.21417082399546E-18</v>
      </c>
      <c r="D5937" s="6">
        <v>1.7730980182145299E-17</v>
      </c>
      <c r="E5937" s="3" t="s">
        <v>3018</v>
      </c>
      <c r="F5937" s="3" t="s">
        <v>3019</v>
      </c>
      <c r="G5937" s="3">
        <v>56364</v>
      </c>
      <c r="H5937" s="7" t="str">
        <f>HYPERLINK("http://www.ensembl.org/Mus_musculus/Gene/Summary?db=core;g=ENSMUSG00000031310","ENSMUSG00000031310")</f>
        <v>ENSMUSG00000031310</v>
      </c>
      <c r="I5937" s="7" t="str">
        <f>HYPERLINK("http://www.informatics.jax.org/marker/MGI:1927231","MGI:1927231")</f>
        <v>MGI:1927231</v>
      </c>
      <c r="J5937" s="4" t="s">
        <v>12</v>
      </c>
    </row>
    <row r="5938" spans="1:10" x14ac:dyDescent="0.25">
      <c r="A5938" s="2">
        <v>937.61482926679298</v>
      </c>
      <c r="B5938" s="3">
        <v>-0.633369434378518</v>
      </c>
      <c r="C5938" s="3">
        <v>5.7621966983470798E-4</v>
      </c>
      <c r="D5938" s="4">
        <v>2.1198230687802899E-3</v>
      </c>
      <c r="E5938" s="3" t="s">
        <v>13267</v>
      </c>
      <c r="F5938" s="3" t="s">
        <v>13268</v>
      </c>
      <c r="G5938" s="3">
        <v>11565</v>
      </c>
      <c r="H5938" s="7" t="str">
        <f>HYPERLINK("http://www.ensembl.org/Mus_musculus/Gene/Summary?db=core;g=ENSMUSG00000011148","ENSMUSG00000011148")</f>
        <v>ENSMUSG00000011148</v>
      </c>
      <c r="I5938" s="7" t="str">
        <f>HYPERLINK("http://www.informatics.jax.org/marker/MGI:87947","MGI:87947")</f>
        <v>MGI:87947</v>
      </c>
      <c r="J5938" s="4" t="s">
        <v>12</v>
      </c>
    </row>
    <row r="5939" spans="1:10" x14ac:dyDescent="0.25">
      <c r="A5939" s="2">
        <v>319.15703440235802</v>
      </c>
      <c r="B5939" s="3">
        <v>-0.63413882866280202</v>
      </c>
      <c r="C5939" s="5">
        <v>1.7354767588241399E-10</v>
      </c>
      <c r="D5939" s="6">
        <v>1.4553986486550299E-9</v>
      </c>
      <c r="E5939" s="3" t="s">
        <v>3620</v>
      </c>
      <c r="F5939" s="3" t="s">
        <v>3621</v>
      </c>
      <c r="G5939" s="3">
        <v>71764</v>
      </c>
      <c r="H5939" s="7" t="str">
        <f>HYPERLINK("http://www.ensembl.org/Mus_musculus/Gene/Summary?db=core;g=ENSMUSG00000032120","ENSMUSG00000032120")</f>
        <v>ENSMUSG00000032120</v>
      </c>
      <c r="I5939" s="7" t="str">
        <f>HYPERLINK("http://www.informatics.jax.org/marker/MGI:1919014","MGI:1919014")</f>
        <v>MGI:1919014</v>
      </c>
      <c r="J5939" s="4" t="s">
        <v>12</v>
      </c>
    </row>
    <row r="5940" spans="1:10" x14ac:dyDescent="0.25">
      <c r="A5940" s="2">
        <v>9504.6640412745492</v>
      </c>
      <c r="B5940" s="3">
        <v>-0.63458733032836601</v>
      </c>
      <c r="C5940" s="5">
        <v>5.4270816078834297E-21</v>
      </c>
      <c r="D5940" s="6">
        <v>8.9106812886194194E-20</v>
      </c>
      <c r="E5940" s="3" t="s">
        <v>2563</v>
      </c>
      <c r="F5940" s="3" t="s">
        <v>2564</v>
      </c>
      <c r="G5940" s="3">
        <v>26943</v>
      </c>
      <c r="H5940" s="7" t="str">
        <f>HYPERLINK("http://www.ensembl.org/Mus_musculus/Gene/Summary?db=core;g=ENSMUSG00000017707","ENSMUSG00000017707")</f>
        <v>ENSMUSG00000017707</v>
      </c>
      <c r="I5940" s="7" t="str">
        <f>HYPERLINK("http://www.informatics.jax.org/marker/MGI:1349457","MGI:1349457")</f>
        <v>MGI:1349457</v>
      </c>
      <c r="J5940" s="4" t="s">
        <v>12</v>
      </c>
    </row>
    <row r="5941" spans="1:10" x14ac:dyDescent="0.25">
      <c r="A5941" s="2">
        <v>37.414576912276999</v>
      </c>
      <c r="B5941" s="3">
        <v>-0.63685887667496499</v>
      </c>
      <c r="C5941" s="3">
        <v>3.24846006404848E-3</v>
      </c>
      <c r="D5941" s="4">
        <v>1.0219779849349801E-2</v>
      </c>
      <c r="E5941" s="3" t="s">
        <v>11199</v>
      </c>
      <c r="F5941" s="3" t="s">
        <v>11200</v>
      </c>
      <c r="G5941" s="3">
        <v>319845</v>
      </c>
      <c r="H5941" s="7" t="str">
        <f>HYPERLINK("http://www.ensembl.org/Mus_musculus/Gene/Summary?db=core;g=ENSMUSG00000035919","ENSMUSG00000035919")</f>
        <v>ENSMUSG00000035919</v>
      </c>
      <c r="I5941" s="7" t="str">
        <f>HYPERLINK("http://www.informatics.jax.org/marker/MGI:2442833","MGI:2442833")</f>
        <v>MGI:2442833</v>
      </c>
      <c r="J5941" s="4" t="s">
        <v>12</v>
      </c>
    </row>
    <row r="5942" spans="1:10" x14ac:dyDescent="0.25">
      <c r="A5942" s="2">
        <v>288.111488897973</v>
      </c>
      <c r="B5942" s="3">
        <v>-0.637330314594446</v>
      </c>
      <c r="C5942" s="5">
        <v>4.0813612832720903E-17</v>
      </c>
      <c r="D5942" s="6">
        <v>5.4572860886011704E-16</v>
      </c>
      <c r="E5942" s="3" t="s">
        <v>4733</v>
      </c>
      <c r="F5942" s="3" t="s">
        <v>4734</v>
      </c>
      <c r="G5942" s="3">
        <v>236794</v>
      </c>
      <c r="H5942" s="7" t="str">
        <f>HYPERLINK("http://www.ensembl.org/Mus_musculus/Gene/Summary?db=core;g=ENSMUSG00000060681","ENSMUSG00000060681")</f>
        <v>ENSMUSG00000060681</v>
      </c>
      <c r="I5942" s="7" t="str">
        <f>HYPERLINK("http://www.informatics.jax.org/marker/MGI:2443511","MGI:2443511")</f>
        <v>MGI:2443511</v>
      </c>
      <c r="J5942" s="4" t="s">
        <v>12</v>
      </c>
    </row>
    <row r="5943" spans="1:10" x14ac:dyDescent="0.25">
      <c r="A5943" s="2">
        <v>486.64532971760099</v>
      </c>
      <c r="B5943" s="3">
        <v>-0.63762920167426196</v>
      </c>
      <c r="C5943" s="3">
        <v>2.9871758428861102E-3</v>
      </c>
      <c r="D5943" s="4">
        <v>9.47134303002772E-3</v>
      </c>
      <c r="E5943" s="3" t="s">
        <v>5795</v>
      </c>
      <c r="F5943" s="3" t="s">
        <v>5796</v>
      </c>
      <c r="G5943" s="3">
        <v>22256</v>
      </c>
      <c r="H5943" s="7" t="str">
        <f>HYPERLINK("http://www.ensembl.org/Mus_musculus/Gene/Summary?db=core;g=ENSMUSG00000029591","ENSMUSG00000029591")</f>
        <v>ENSMUSG00000029591</v>
      </c>
      <c r="I5943" s="7" t="str">
        <f>HYPERLINK("http://www.informatics.jax.org/marker/MGI:109352","MGI:109352")</f>
        <v>MGI:109352</v>
      </c>
      <c r="J5943" s="4" t="s">
        <v>12</v>
      </c>
    </row>
    <row r="5944" spans="1:10" x14ac:dyDescent="0.25">
      <c r="A5944" s="2">
        <v>72.252617628663202</v>
      </c>
      <c r="B5944" s="3">
        <v>-0.63903901293472998</v>
      </c>
      <c r="C5944" s="5">
        <v>7.3250266093170601E-5</v>
      </c>
      <c r="D5944" s="4">
        <v>3.1235051463454199E-4</v>
      </c>
      <c r="E5944" s="3" t="s">
        <v>8675</v>
      </c>
      <c r="F5944" s="3" t="s">
        <v>8676</v>
      </c>
      <c r="G5944" s="3">
        <v>243834</v>
      </c>
      <c r="H5944" s="7" t="str">
        <f>HYPERLINK("http://www.ensembl.org/Mus_musculus/Gene/Summary?db=core;g=ENSMUSG00000004500","ENSMUSG00000004500")</f>
        <v>ENSMUSG00000004500</v>
      </c>
      <c r="I5944" s="7" t="str">
        <f>HYPERLINK("http://www.informatics.jax.org/marker/MGI:2444641","MGI:2444641")</f>
        <v>MGI:2444641</v>
      </c>
      <c r="J5944" s="4" t="s">
        <v>12</v>
      </c>
    </row>
    <row r="5945" spans="1:10" x14ac:dyDescent="0.25">
      <c r="A5945" s="2">
        <v>726.49549213098203</v>
      </c>
      <c r="B5945" s="3">
        <v>-0.63946453525465896</v>
      </c>
      <c r="C5945" s="5">
        <v>4.3703860317368002E-26</v>
      </c>
      <c r="D5945" s="6">
        <v>9.1763001645625801E-25</v>
      </c>
      <c r="E5945" s="3" t="s">
        <v>1552</v>
      </c>
      <c r="F5945" s="3" t="s">
        <v>1553</v>
      </c>
      <c r="G5945" s="3">
        <v>107568</v>
      </c>
      <c r="H5945" s="7" t="str">
        <f>HYPERLINK("http://www.ensembl.org/Mus_musculus/Gene/Summary?db=core;g=ENSMUSG00000041058","ENSMUSG00000041058")</f>
        <v>ENSMUSG00000041058</v>
      </c>
      <c r="I5945" s="7" t="str">
        <f>HYPERLINK("http://www.informatics.jax.org/marker/MGI:1861728","MGI:1861728")</f>
        <v>MGI:1861728</v>
      </c>
      <c r="J5945" s="4" t="s">
        <v>12</v>
      </c>
    </row>
    <row r="5946" spans="1:10" x14ac:dyDescent="0.25">
      <c r="A5946" s="2">
        <v>200.83471209012299</v>
      </c>
      <c r="B5946" s="3">
        <v>-0.63949071851143602</v>
      </c>
      <c r="C5946" s="5">
        <v>1.8974703348475299E-5</v>
      </c>
      <c r="D5946" s="6">
        <v>8.9058451848046094E-5</v>
      </c>
      <c r="E5946" s="3" t="s">
        <v>8599</v>
      </c>
      <c r="F5946" s="3" t="s">
        <v>8600</v>
      </c>
      <c r="G5946" s="3">
        <v>214932</v>
      </c>
      <c r="H5946" s="7" t="str">
        <f>HYPERLINK("http://www.ensembl.org/Mus_musculus/Gene/Summary?db=core;g=ENSMUSG00000058979","ENSMUSG00000058979")</f>
        <v>ENSMUSG00000058979</v>
      </c>
      <c r="I5946" s="7" t="str">
        <f>HYPERLINK("http://www.informatics.jax.org/marker/MGI:2136976","MGI:2136976")</f>
        <v>MGI:2136976</v>
      </c>
      <c r="J5946" s="4" t="s">
        <v>12</v>
      </c>
    </row>
    <row r="5947" spans="1:10" x14ac:dyDescent="0.25">
      <c r="A5947" s="2">
        <v>6.0108966104068999</v>
      </c>
      <c r="B5947" s="3">
        <v>-0.63968322493701002</v>
      </c>
      <c r="C5947" s="3">
        <v>8.2855121587699296E-2</v>
      </c>
      <c r="D5947" s="4">
        <v>0.17446840501851901</v>
      </c>
      <c r="E5947" s="3" t="s">
        <v>12541</v>
      </c>
      <c r="F5947" s="3" t="s">
        <v>12542</v>
      </c>
      <c r="G5947" s="3">
        <v>330863</v>
      </c>
      <c r="H5947" s="7" t="str">
        <f>HYPERLINK("http://www.ensembl.org/Mus_musculus/Gene/Summary?db=core;g=ENSMUSG00000036913","ENSMUSG00000036913")</f>
        <v>ENSMUSG00000036913</v>
      </c>
      <c r="I5947" s="7" t="str">
        <f>HYPERLINK("http://www.informatics.jax.org/marker/MGI:3045323","MGI:3045323")</f>
        <v>MGI:3045323</v>
      </c>
      <c r="J5947" s="4" t="s">
        <v>12</v>
      </c>
    </row>
    <row r="5948" spans="1:10" x14ac:dyDescent="0.25">
      <c r="A5948" s="2">
        <v>643.14470523309706</v>
      </c>
      <c r="B5948" s="3">
        <v>-0.64070767230844194</v>
      </c>
      <c r="C5948" s="3">
        <v>1.49493945693399E-4</v>
      </c>
      <c r="D5948" s="4">
        <v>6.0612395111505897E-4</v>
      </c>
      <c r="E5948" s="3" t="s">
        <v>7486</v>
      </c>
      <c r="F5948" s="3" t="s">
        <v>7487</v>
      </c>
      <c r="G5948" s="3">
        <v>211651</v>
      </c>
      <c r="H5948" s="7" t="str">
        <f>HYPERLINK("http://www.ensembl.org/Mus_musculus/Gene/Summary?db=core;g=ENSMUSG00000034023","ENSMUSG00000034023")</f>
        <v>ENSMUSG00000034023</v>
      </c>
      <c r="I5948" s="7" t="str">
        <f>HYPERLINK("http://www.informatics.jax.org/marker/MGI:2448480","MGI:2448480")</f>
        <v>MGI:2448480</v>
      </c>
      <c r="J5948" s="4" t="s">
        <v>12</v>
      </c>
    </row>
    <row r="5949" spans="1:10" x14ac:dyDescent="0.25">
      <c r="A5949" s="2">
        <v>600.27265487841703</v>
      </c>
      <c r="B5949" s="3">
        <v>-0.64089795705874997</v>
      </c>
      <c r="C5949" s="5">
        <v>9.0591818369246292E-22</v>
      </c>
      <c r="D5949" s="6">
        <v>1.55318522086502E-20</v>
      </c>
      <c r="E5949" s="3" t="s">
        <v>3179</v>
      </c>
      <c r="F5949" s="3" t="s">
        <v>3180</v>
      </c>
      <c r="G5949" s="3">
        <v>68646</v>
      </c>
      <c r="H5949" s="7" t="str">
        <f>HYPERLINK("http://www.ensembl.org/Mus_musculus/Gene/Summary?db=core;g=ENSMUSG00000022253","ENSMUSG00000022253")</f>
        <v>ENSMUSG00000022253</v>
      </c>
      <c r="I5949" s="7" t="str">
        <f>HYPERLINK("http://www.informatics.jax.org/marker/MGI:1915896","MGI:1915896")</f>
        <v>MGI:1915896</v>
      </c>
      <c r="J5949" s="4" t="s">
        <v>12</v>
      </c>
    </row>
    <row r="5950" spans="1:10" x14ac:dyDescent="0.25">
      <c r="A5950" s="2">
        <v>233.70836349575501</v>
      </c>
      <c r="B5950" s="3">
        <v>-0.64146307127371704</v>
      </c>
      <c r="C5950" s="5">
        <v>7.0540042071996E-7</v>
      </c>
      <c r="D5950" s="6">
        <v>3.9826278400313698E-6</v>
      </c>
      <c r="E5950" s="3" t="s">
        <v>6453</v>
      </c>
      <c r="F5950" s="3" t="s">
        <v>6454</v>
      </c>
      <c r="G5950" s="3">
        <v>225870</v>
      </c>
      <c r="H5950" s="7" t="str">
        <f>HYPERLINK("http://www.ensembl.org/Mus_musculus/Gene/Summary?db=core;g=ENSMUSG00000024883","ENSMUSG00000024883")</f>
        <v>ENSMUSG00000024883</v>
      </c>
      <c r="I5950" s="7" t="str">
        <f>HYPERLINK("http://www.informatics.jax.org/marker/MGI:2385695","MGI:2385695")</f>
        <v>MGI:2385695</v>
      </c>
      <c r="J5950" s="4" t="s">
        <v>12</v>
      </c>
    </row>
    <row r="5951" spans="1:10" x14ac:dyDescent="0.25">
      <c r="A5951" s="2">
        <v>443.65098300691199</v>
      </c>
      <c r="B5951" s="3">
        <v>-0.64198506715107695</v>
      </c>
      <c r="C5951" s="5">
        <v>5.1255711365415203E-20</v>
      </c>
      <c r="D5951" s="6">
        <v>7.9977340722148298E-19</v>
      </c>
      <c r="E5951" s="3" t="s">
        <v>3712</v>
      </c>
      <c r="F5951" s="3" t="s">
        <v>3713</v>
      </c>
      <c r="G5951" s="3">
        <v>107375</v>
      </c>
      <c r="H5951" s="7" t="str">
        <f>HYPERLINK("http://www.ensembl.org/Mus_musculus/Gene/Summary?db=core;g=ENSMUSG00000024818","ENSMUSG00000024818")</f>
        <v>ENSMUSG00000024818</v>
      </c>
      <c r="I5951" s="7" t="str">
        <f>HYPERLINK("http://www.informatics.jax.org/marker/MGI:2147731","MGI:2147731")</f>
        <v>MGI:2147731</v>
      </c>
      <c r="J5951" s="4" t="s">
        <v>12</v>
      </c>
    </row>
    <row r="5952" spans="1:10" x14ac:dyDescent="0.25">
      <c r="A5952" s="2">
        <v>646.178146601511</v>
      </c>
      <c r="B5952" s="3">
        <v>-0.64270808339485697</v>
      </c>
      <c r="C5952" s="5">
        <v>4.9217623147959599E-18</v>
      </c>
      <c r="D5952" s="6">
        <v>6.9642172505556206E-17</v>
      </c>
      <c r="E5952" s="3" t="s">
        <v>2794</v>
      </c>
      <c r="F5952" s="3" t="s">
        <v>2795</v>
      </c>
      <c r="G5952" s="3">
        <v>94280</v>
      </c>
      <c r="H5952" s="7" t="str">
        <f>HYPERLINK("http://www.ensembl.org/Mus_musculus/Gene/Summary?db=core;g=ENSMUSG00000025212","ENSMUSG00000025212")</f>
        <v>ENSMUSG00000025212</v>
      </c>
      <c r="I5952" s="7" t="str">
        <f>HYPERLINK("http://www.informatics.jax.org/marker/MGI:2137679","MGI:2137679")</f>
        <v>MGI:2137679</v>
      </c>
      <c r="J5952" s="4" t="s">
        <v>12</v>
      </c>
    </row>
    <row r="5953" spans="1:10" x14ac:dyDescent="0.25">
      <c r="A5953" s="2">
        <v>90.452847529840497</v>
      </c>
      <c r="B5953" s="3">
        <v>-0.64270812702160596</v>
      </c>
      <c r="C5953" s="5">
        <v>2.40798380198099E-6</v>
      </c>
      <c r="D5953" s="6">
        <v>1.27908786916653E-5</v>
      </c>
      <c r="E5953" s="3" t="s">
        <v>11056</v>
      </c>
      <c r="F5953" s="3" t="s">
        <v>11057</v>
      </c>
      <c r="G5953" s="3">
        <v>18551</v>
      </c>
      <c r="H5953" s="7" t="str">
        <f>HYPERLINK("http://www.ensembl.org/Mus_musculus/Gene/Summary?db=core;g=ENSMUSG00000020131","ENSMUSG00000020131")</f>
        <v>ENSMUSG00000020131</v>
      </c>
      <c r="I5953" s="7" t="str">
        <f>HYPERLINK("http://www.informatics.jax.org/marker/MGI:97514","MGI:97514")</f>
        <v>MGI:97514</v>
      </c>
      <c r="J5953" s="4" t="s">
        <v>12</v>
      </c>
    </row>
    <row r="5954" spans="1:10" x14ac:dyDescent="0.25">
      <c r="A5954" s="2">
        <v>628.74806665020299</v>
      </c>
      <c r="B5954" s="3">
        <v>-0.642740827299349</v>
      </c>
      <c r="C5954" s="5">
        <v>1.7405891096037099E-15</v>
      </c>
      <c r="D5954" s="6">
        <v>2.10359658637451E-14</v>
      </c>
      <c r="E5954" s="3" t="s">
        <v>3990</v>
      </c>
      <c r="F5954" s="3" t="s">
        <v>3991</v>
      </c>
      <c r="G5954" s="3">
        <v>70297</v>
      </c>
      <c r="H5954" s="7" t="str">
        <f>HYPERLINK("http://www.ensembl.org/Mus_musculus/Gene/Summary?db=core;g=ENSMUSG00000038039","ENSMUSG00000038039")</f>
        <v>ENSMUSG00000038039</v>
      </c>
      <c r="I5954" s="7" t="str">
        <f>HYPERLINK("http://www.informatics.jax.org/marker/MGI:1917547","MGI:1917547")</f>
        <v>MGI:1917547</v>
      </c>
      <c r="J5954" s="4" t="s">
        <v>12</v>
      </c>
    </row>
    <row r="5955" spans="1:10" x14ac:dyDescent="0.25">
      <c r="A5955" s="2">
        <v>1362.3060378062601</v>
      </c>
      <c r="B5955" s="3">
        <v>-0.64312452223212602</v>
      </c>
      <c r="C5955" s="5">
        <v>8.1965955661005305E-29</v>
      </c>
      <c r="D5955" s="6">
        <v>1.9151660793869498E-27</v>
      </c>
      <c r="E5955" s="3" t="s">
        <v>2603</v>
      </c>
      <c r="F5955" s="3" t="s">
        <v>2604</v>
      </c>
      <c r="G5955" s="3">
        <v>59125</v>
      </c>
      <c r="H5955" s="7" t="str">
        <f>HYPERLINK("http://www.ensembl.org/Mus_musculus/Gene/Summary?db=core;g=ENSMUSG00000026393","ENSMUSG00000026393")</f>
        <v>ENSMUSG00000026393</v>
      </c>
      <c r="I5955" s="7" t="str">
        <f>HYPERLINK("http://www.informatics.jax.org/marker/MGI:1890645","MGI:1890645")</f>
        <v>MGI:1890645</v>
      </c>
      <c r="J5955" s="4" t="s">
        <v>12</v>
      </c>
    </row>
    <row r="5956" spans="1:10" x14ac:dyDescent="0.25">
      <c r="A5956" s="2">
        <v>307.92088983398099</v>
      </c>
      <c r="B5956" s="3">
        <v>-0.64460066473850197</v>
      </c>
      <c r="C5956" s="5">
        <v>1.0786469382198501E-5</v>
      </c>
      <c r="D5956" s="6">
        <v>5.24782179633121E-5</v>
      </c>
      <c r="E5956" s="3" t="s">
        <v>8193</v>
      </c>
      <c r="F5956" s="3" t="s">
        <v>8194</v>
      </c>
      <c r="G5956" s="3">
        <v>74480</v>
      </c>
      <c r="H5956" s="7" t="str">
        <f>HYPERLINK("http://www.ensembl.org/Mus_musculus/Gene/Summary?db=core;g=ENSMUSG00000021838","ENSMUSG00000021838")</f>
        <v>ENSMUSG00000021838</v>
      </c>
      <c r="I5956" s="7" t="str">
        <f>HYPERLINK("http://www.informatics.jax.org/marker/MGI:1921730","MGI:1921730")</f>
        <v>MGI:1921730</v>
      </c>
      <c r="J5956" s="4" t="s">
        <v>12</v>
      </c>
    </row>
    <row r="5957" spans="1:10" x14ac:dyDescent="0.25">
      <c r="A5957" s="2">
        <v>3266.2407018276299</v>
      </c>
      <c r="B5957" s="3">
        <v>-0.64545987828992502</v>
      </c>
      <c r="C5957" s="5">
        <v>5.9663375906407003E-37</v>
      </c>
      <c r="D5957" s="6">
        <v>1.85557171654312E-35</v>
      </c>
      <c r="E5957" s="3" t="s">
        <v>716</v>
      </c>
      <c r="F5957" s="3" t="s">
        <v>717</v>
      </c>
      <c r="G5957" s="3">
        <v>13688</v>
      </c>
      <c r="H5957" s="7" t="str">
        <f>HYPERLINK("http://www.ensembl.org/Mus_musculus/Gene/Summary?db=core;g=ENSMUSG00000020091","ENSMUSG00000020091")</f>
        <v>ENSMUSG00000020091</v>
      </c>
      <c r="I5957" s="7" t="str">
        <f>HYPERLINK("http://www.informatics.jax.org/marker/MGI:109198","MGI:109198")</f>
        <v>MGI:109198</v>
      </c>
      <c r="J5957" s="4" t="s">
        <v>12</v>
      </c>
    </row>
    <row r="5958" spans="1:10" x14ac:dyDescent="0.25">
      <c r="A5958" s="2">
        <v>21.677270755012501</v>
      </c>
      <c r="B5958" s="3">
        <v>-0.64583038785763802</v>
      </c>
      <c r="C5958" s="3">
        <v>1.06780924514772E-2</v>
      </c>
      <c r="D5958" s="4">
        <v>2.9733878522256899E-2</v>
      </c>
      <c r="E5958" s="3" t="s">
        <v>9459</v>
      </c>
      <c r="F5958" s="3" t="s">
        <v>9460</v>
      </c>
      <c r="G5958" s="3" t="s">
        <v>83</v>
      </c>
      <c r="H5958" s="7" t="str">
        <f>HYPERLINK("http://www.ensembl.org/Mus_musculus/Gene/Summary?db=core;g=ENSMUSG00000086075","ENSMUSG00000086075")</f>
        <v>ENSMUSG00000086075</v>
      </c>
      <c r="I5958" s="7" t="str">
        <f>HYPERLINK("http://www.informatics.jax.org/marker/MGI:3783171","MGI:3783171")</f>
        <v>MGI:3783171</v>
      </c>
      <c r="J5958" s="4" t="s">
        <v>939</v>
      </c>
    </row>
    <row r="5959" spans="1:10" x14ac:dyDescent="0.25">
      <c r="A5959" s="2">
        <v>3.7797407599544299</v>
      </c>
      <c r="B5959" s="3">
        <v>-0.64654003474393495</v>
      </c>
      <c r="C5959" s="3">
        <v>0.119741901763736</v>
      </c>
      <c r="D5959" s="4">
        <v>0.235720043167432</v>
      </c>
      <c r="E5959" s="3" t="s">
        <v>13163</v>
      </c>
      <c r="F5959" s="3" t="s">
        <v>13164</v>
      </c>
      <c r="G5959" s="3" t="s">
        <v>83</v>
      </c>
      <c r="H5959" s="7" t="str">
        <f>HYPERLINK("http://www.ensembl.org/Mus_musculus/Gene/Summary?db=core;g=ENSMUSG00000102246","ENSMUSG00000102246")</f>
        <v>ENSMUSG00000102246</v>
      </c>
      <c r="I5959" s="7" t="str">
        <f>HYPERLINK("http://www.informatics.jax.org/marker/MGI:1924535","MGI:1924535")</f>
        <v>MGI:1924535</v>
      </c>
      <c r="J5959" s="4" t="s">
        <v>1828</v>
      </c>
    </row>
    <row r="5960" spans="1:10" x14ac:dyDescent="0.25">
      <c r="A5960" s="2">
        <v>13.0000935230929</v>
      </c>
      <c r="B5960" s="3">
        <v>-0.64687164038754197</v>
      </c>
      <c r="C5960" s="3">
        <v>5.42493726913411E-2</v>
      </c>
      <c r="D5960" s="4">
        <v>0.122257303981661</v>
      </c>
      <c r="E5960" s="3" t="s">
        <v>12741</v>
      </c>
      <c r="F5960" s="3" t="s">
        <v>12742</v>
      </c>
      <c r="G5960" s="3">
        <v>279029</v>
      </c>
      <c r="H5960" s="7" t="str">
        <f>HYPERLINK("http://www.ensembl.org/Mus_musculus/Gene/Summary?db=core;g=ENSMUSG00000049897","ENSMUSG00000049897")</f>
        <v>ENSMUSG00000049897</v>
      </c>
      <c r="I5960" s="7" t="str">
        <f>HYPERLINK("http://www.informatics.jax.org/marker/MGI:2685557","MGI:2685557")</f>
        <v>MGI:2685557</v>
      </c>
      <c r="J5960" s="4" t="s">
        <v>12</v>
      </c>
    </row>
    <row r="5961" spans="1:10" x14ac:dyDescent="0.25">
      <c r="A5961" s="2">
        <v>43.1013162978605</v>
      </c>
      <c r="B5961" s="3">
        <v>-0.64687293084059305</v>
      </c>
      <c r="C5961" s="3">
        <v>1.29596440710362E-4</v>
      </c>
      <c r="D5961" s="4">
        <v>5.3147955264319104E-4</v>
      </c>
      <c r="E5961" s="3" t="s">
        <v>9627</v>
      </c>
      <c r="F5961" s="3" t="s">
        <v>9628</v>
      </c>
      <c r="G5961" s="3" t="s">
        <v>83</v>
      </c>
      <c r="H5961" s="7" t="str">
        <f>HYPERLINK("http://www.ensembl.org/Mus_musculus/Gene/Summary?db=core;g=ENSMUSG00000116864","ENSMUSG00000116864")</f>
        <v>ENSMUSG00000116864</v>
      </c>
      <c r="I5961" s="7" t="str">
        <f>HYPERLINK("http://www.informatics.jax.org/marker/MGI:3781498","MGI:3781498")</f>
        <v>MGI:3781498</v>
      </c>
      <c r="J5961" s="4" t="s">
        <v>1043</v>
      </c>
    </row>
    <row r="5962" spans="1:10" x14ac:dyDescent="0.25">
      <c r="A5962" s="2">
        <v>252.38475362408701</v>
      </c>
      <c r="B5962" s="3">
        <v>-0.64687347723254196</v>
      </c>
      <c r="C5962" s="5">
        <v>1.33309987474357E-11</v>
      </c>
      <c r="D5962" s="6">
        <v>1.22520147338384E-10</v>
      </c>
      <c r="E5962" s="3" t="s">
        <v>5353</v>
      </c>
      <c r="F5962" s="3" t="s">
        <v>5354</v>
      </c>
      <c r="G5962" s="3">
        <v>71683</v>
      </c>
      <c r="H5962" s="7" t="str">
        <f>HYPERLINK("http://www.ensembl.org/Mus_musculus/Gene/Summary?db=core;g=ENSMUSG00000090523","ENSMUSG00000090523")</f>
        <v>ENSMUSG00000090523</v>
      </c>
      <c r="I5962" s="7" t="str">
        <f>HYPERLINK("http://www.informatics.jax.org/marker/MGI:1098566","MGI:1098566")</f>
        <v>MGI:1098566</v>
      </c>
      <c r="J5962" s="4" t="s">
        <v>12</v>
      </c>
    </row>
    <row r="5963" spans="1:10" x14ac:dyDescent="0.25">
      <c r="A5963" s="2">
        <v>995.26076170199701</v>
      </c>
      <c r="B5963" s="3">
        <v>-0.64717872582042402</v>
      </c>
      <c r="C5963" s="5">
        <v>2.8493081233113E-24</v>
      </c>
      <c r="D5963" s="6">
        <v>5.4719326182664205E-23</v>
      </c>
      <c r="E5963" s="3" t="s">
        <v>2986</v>
      </c>
      <c r="F5963" s="3" t="s">
        <v>2987</v>
      </c>
      <c r="G5963" s="3">
        <v>94275</v>
      </c>
      <c r="H5963" s="7" t="str">
        <f>HYPERLINK("http://www.ensembl.org/Mus_musculus/Gene/Summary?db=core;g=ENSMUSG00000025151","ENSMUSG00000025151")</f>
        <v>ENSMUSG00000025151</v>
      </c>
      <c r="I5963" s="7" t="str">
        <f>HYPERLINK("http://www.informatics.jax.org/marker/MGI:1930187","MGI:1930187")</f>
        <v>MGI:1930187</v>
      </c>
      <c r="J5963" s="4" t="s">
        <v>12</v>
      </c>
    </row>
    <row r="5964" spans="1:10" x14ac:dyDescent="0.25">
      <c r="A5964" s="2">
        <v>3445.3542984573</v>
      </c>
      <c r="B5964" s="3">
        <v>-0.647245445252698</v>
      </c>
      <c r="C5964" s="3">
        <v>1.8485835267050799E-4</v>
      </c>
      <c r="D5964" s="4">
        <v>7.3833957427569901E-4</v>
      </c>
      <c r="E5964" s="3" t="s">
        <v>11541</v>
      </c>
      <c r="F5964" s="3" t="s">
        <v>11542</v>
      </c>
      <c r="G5964" s="3">
        <v>83433</v>
      </c>
      <c r="H5964" s="7" t="str">
        <f>HYPERLINK("http://www.ensembl.org/Mus_musculus/Gene/Summary?db=core;g=ENSMUSG00000023992","ENSMUSG00000023992")</f>
        <v>ENSMUSG00000023992</v>
      </c>
      <c r="I5964" s="7" t="str">
        <f>HYPERLINK("http://www.informatics.jax.org/marker/MGI:1913150","MGI:1913150")</f>
        <v>MGI:1913150</v>
      </c>
      <c r="J5964" s="4" t="s">
        <v>12</v>
      </c>
    </row>
    <row r="5965" spans="1:10" x14ac:dyDescent="0.25">
      <c r="A5965" s="2">
        <v>77.793018840490703</v>
      </c>
      <c r="B5965" s="3">
        <v>-0.64737945553383602</v>
      </c>
      <c r="C5965" s="5">
        <v>4.3684484445258599E-7</v>
      </c>
      <c r="D5965" s="6">
        <v>2.5355086911300602E-6</v>
      </c>
      <c r="E5965" s="3" t="s">
        <v>7484</v>
      </c>
      <c r="F5965" s="3" t="s">
        <v>7485</v>
      </c>
      <c r="G5965" s="3">
        <v>14430</v>
      </c>
      <c r="H5965" s="7" t="str">
        <f>HYPERLINK("http://www.ensembl.org/Mus_musculus/Gene/Summary?db=core;g=ENSMUSG00000036073","ENSMUSG00000036073")</f>
        <v>ENSMUSG00000036073</v>
      </c>
      <c r="I5965" s="7" t="str">
        <f>HYPERLINK("http://www.informatics.jax.org/marker/MGI:95638","MGI:95638")</f>
        <v>MGI:95638</v>
      </c>
      <c r="J5965" s="4" t="s">
        <v>12</v>
      </c>
    </row>
    <row r="5966" spans="1:10" x14ac:dyDescent="0.25">
      <c r="A5966" s="2">
        <v>1298.1080115613199</v>
      </c>
      <c r="B5966" s="3">
        <v>-0.647949127443187</v>
      </c>
      <c r="C5966" s="5">
        <v>2.6088298444645901E-6</v>
      </c>
      <c r="D5966" s="6">
        <v>1.37974242354519E-5</v>
      </c>
      <c r="E5966" s="3" t="s">
        <v>6397</v>
      </c>
      <c r="F5966" s="3" t="s">
        <v>6398</v>
      </c>
      <c r="G5966" s="3">
        <v>668880</v>
      </c>
      <c r="H5966" s="7" t="str">
        <f>HYPERLINK("http://www.ensembl.org/Mus_musculus/Gene/Summary?db=core;g=ENSMUSG00000033705","ENSMUSG00000033705")</f>
        <v>ENSMUSG00000033705</v>
      </c>
      <c r="I5966" s="7" t="str">
        <f>HYPERLINK("http://www.informatics.jax.org/marker/MGI:3045258","MGI:3045258")</f>
        <v>MGI:3045258</v>
      </c>
      <c r="J5966" s="4" t="s">
        <v>12</v>
      </c>
    </row>
    <row r="5967" spans="1:10" x14ac:dyDescent="0.25">
      <c r="A5967" s="2">
        <v>714.48023057774003</v>
      </c>
      <c r="B5967" s="3">
        <v>-0.64808092844004805</v>
      </c>
      <c r="C5967" s="5">
        <v>8.8384440192158205E-14</v>
      </c>
      <c r="D5967" s="6">
        <v>9.6110168407045504E-13</v>
      </c>
      <c r="E5967" s="3" t="s">
        <v>4989</v>
      </c>
      <c r="F5967" s="3" t="s">
        <v>4990</v>
      </c>
      <c r="G5967" s="3">
        <v>209586</v>
      </c>
      <c r="H5967" s="7" t="str">
        <f>HYPERLINK("http://www.ensembl.org/Mus_musculus/Gene/Summary?db=core;g=ENSMUSG00000053838","ENSMUSG00000053838")</f>
        <v>ENSMUSG00000053838</v>
      </c>
      <c r="I5967" s="7" t="str">
        <f>HYPERLINK("http://www.informatics.jax.org/marker/MGI:2144158","MGI:2144158")</f>
        <v>MGI:2144158</v>
      </c>
      <c r="J5967" s="4" t="s">
        <v>12</v>
      </c>
    </row>
    <row r="5968" spans="1:10" x14ac:dyDescent="0.25">
      <c r="A5968" s="2">
        <v>121.667963271373</v>
      </c>
      <c r="B5968" s="3">
        <v>-0.64812081704170699</v>
      </c>
      <c r="C5968" s="5">
        <v>1.79881541622515E-7</v>
      </c>
      <c r="D5968" s="6">
        <v>1.0971690415228699E-6</v>
      </c>
      <c r="E5968" s="3" t="s">
        <v>4873</v>
      </c>
      <c r="F5968" s="3" t="s">
        <v>4874</v>
      </c>
      <c r="G5968" s="3">
        <v>66910</v>
      </c>
      <c r="H5968" s="7" t="str">
        <f>HYPERLINK("http://www.ensembl.org/Mus_musculus/Gene/Summary?db=core;g=ENSMUSG00000020895","ENSMUSG00000020895")</f>
        <v>ENSMUSG00000020895</v>
      </c>
      <c r="I5968" s="7" t="str">
        <f>HYPERLINK("http://www.informatics.jax.org/marker/MGI:1914160","MGI:1914160")</f>
        <v>MGI:1914160</v>
      </c>
      <c r="J5968" s="4" t="s">
        <v>12</v>
      </c>
    </row>
    <row r="5969" spans="1:10" x14ac:dyDescent="0.25">
      <c r="A5969" s="2">
        <v>334.92541705850101</v>
      </c>
      <c r="B5969" s="3">
        <v>-0.64854739086005797</v>
      </c>
      <c r="C5969" s="3">
        <v>4.4599808085050699E-3</v>
      </c>
      <c r="D5969" s="4">
        <v>1.35562291919621E-2</v>
      </c>
      <c r="E5969" s="3" t="s">
        <v>10274</v>
      </c>
      <c r="F5969" s="3" t="s">
        <v>10275</v>
      </c>
      <c r="G5969" s="3">
        <v>236790</v>
      </c>
      <c r="H5969" s="7" t="str">
        <f>HYPERLINK("http://www.ensembl.org/Mus_musculus/Gene/Summary?db=core;g=ENSMUSG00000035967","ENSMUSG00000035967")</f>
        <v>ENSMUSG00000035967</v>
      </c>
      <c r="I5969" s="7" t="str">
        <f>HYPERLINK("http://www.informatics.jax.org/marker/MGI:2442593","MGI:2442593")</f>
        <v>MGI:2442593</v>
      </c>
      <c r="J5969" s="4" t="s">
        <v>12</v>
      </c>
    </row>
    <row r="5970" spans="1:10" x14ac:dyDescent="0.25">
      <c r="A5970" s="2">
        <v>565.43214023182895</v>
      </c>
      <c r="B5970" s="3">
        <v>-0.64868523093799302</v>
      </c>
      <c r="C5970" s="5">
        <v>1.0636862712530399E-5</v>
      </c>
      <c r="D5970" s="6">
        <v>5.1833375116541802E-5</v>
      </c>
      <c r="E5970" s="3" t="s">
        <v>4219</v>
      </c>
      <c r="F5970" s="3" t="s">
        <v>4220</v>
      </c>
      <c r="G5970" s="3">
        <v>241303</v>
      </c>
      <c r="H5970" s="7" t="str">
        <f>HYPERLINK("http://www.ensembl.org/Mus_musculus/Gene/Summary?db=core;g=ENSMUSG00000050592","ENSMUSG00000050592")</f>
        <v>ENSMUSG00000050592</v>
      </c>
      <c r="I5970" s="7" t="str">
        <f>HYPERLINK("http://www.informatics.jax.org/marker/MGI:2443569","MGI:2443569")</f>
        <v>MGI:2443569</v>
      </c>
      <c r="J5970" s="4" t="s">
        <v>12</v>
      </c>
    </row>
    <row r="5971" spans="1:10" x14ac:dyDescent="0.25">
      <c r="A5971" s="2">
        <v>257.79728581181399</v>
      </c>
      <c r="B5971" s="3">
        <v>-0.64888839111235597</v>
      </c>
      <c r="C5971" s="5">
        <v>7.68281557995498E-8</v>
      </c>
      <c r="D5971" s="6">
        <v>4.8600942014814104E-7</v>
      </c>
      <c r="E5971" s="3" t="s">
        <v>4421</v>
      </c>
      <c r="F5971" s="3" t="s">
        <v>4422</v>
      </c>
      <c r="G5971" s="3">
        <v>13860</v>
      </c>
      <c r="H5971" s="7" t="str">
        <f>HYPERLINK("http://www.ensembl.org/Mus_musculus/Gene/Summary?db=core;g=ENSMUSG00000015766","ENSMUSG00000015766")</f>
        <v>ENSMUSG00000015766</v>
      </c>
      <c r="I5971" s="7" t="str">
        <f>HYPERLINK("http://www.informatics.jax.org/marker/MGI:104684","MGI:104684")</f>
        <v>MGI:104684</v>
      </c>
      <c r="J5971" s="4" t="s">
        <v>12</v>
      </c>
    </row>
    <row r="5972" spans="1:10" x14ac:dyDescent="0.25">
      <c r="A5972" s="2">
        <v>663.17678157089802</v>
      </c>
      <c r="B5972" s="3">
        <v>-0.64900449936558902</v>
      </c>
      <c r="C5972" s="5">
        <v>4.5649570052897396E-15</v>
      </c>
      <c r="D5972" s="6">
        <v>5.3813933649033302E-14</v>
      </c>
      <c r="E5972" s="3" t="s">
        <v>3155</v>
      </c>
      <c r="F5972" s="3" t="s">
        <v>3156</v>
      </c>
      <c r="G5972" s="3">
        <v>108723</v>
      </c>
      <c r="H5972" s="7" t="str">
        <f>HYPERLINK("http://www.ensembl.org/Mus_musculus/Gene/Summary?db=core;g=ENSMUSG00000036526","ENSMUSG00000036526")</f>
        <v>ENSMUSG00000036526</v>
      </c>
      <c r="I5972" s="7" t="str">
        <f>HYPERLINK("http://www.informatics.jax.org/marker/MGI:1916978","MGI:1916978")</f>
        <v>MGI:1916978</v>
      </c>
      <c r="J5972" s="4" t="s">
        <v>12</v>
      </c>
    </row>
    <row r="5973" spans="1:10" x14ac:dyDescent="0.25">
      <c r="A5973" s="2">
        <v>81.424282026391197</v>
      </c>
      <c r="B5973" s="3">
        <v>-0.64911421048437101</v>
      </c>
      <c r="C5973" s="5">
        <v>2.7167382773491601E-6</v>
      </c>
      <c r="D5973" s="6">
        <v>1.43239663121616E-5</v>
      </c>
      <c r="E5973" s="3" t="s">
        <v>4941</v>
      </c>
      <c r="F5973" s="3" t="s">
        <v>4942</v>
      </c>
      <c r="G5973" s="3">
        <v>12696</v>
      </c>
      <c r="H5973" s="7" t="str">
        <f>HYPERLINK("http://www.ensembl.org/Mus_musculus/Gene/Summary?db=core;g=ENSMUSG00000045193","ENSMUSG00000045193")</f>
        <v>ENSMUSG00000045193</v>
      </c>
      <c r="I5973" s="7" t="str">
        <f>HYPERLINK("http://www.informatics.jax.org/marker/MGI:893588","MGI:893588")</f>
        <v>MGI:893588</v>
      </c>
      <c r="J5973" s="4" t="s">
        <v>12</v>
      </c>
    </row>
    <row r="5974" spans="1:10" x14ac:dyDescent="0.25">
      <c r="A5974" s="2">
        <v>289.34858220899901</v>
      </c>
      <c r="B5974" s="3">
        <v>-0.64928344249228698</v>
      </c>
      <c r="C5974" s="5">
        <v>5.53368629637381E-9</v>
      </c>
      <c r="D5974" s="6">
        <v>3.9642858785932597E-8</v>
      </c>
      <c r="E5974" s="3" t="s">
        <v>5873</v>
      </c>
      <c r="F5974" s="3" t="s">
        <v>5874</v>
      </c>
      <c r="G5974" s="3">
        <v>50753</v>
      </c>
      <c r="H5974" s="7" t="str">
        <f>HYPERLINK("http://www.ensembl.org/Mus_musculus/Gene/Summary?db=core;g=ENSMUSG00000038206","ENSMUSG00000038206")</f>
        <v>ENSMUSG00000038206</v>
      </c>
      <c r="I5974" s="7" t="str">
        <f>HYPERLINK("http://www.informatics.jax.org/marker/MGI:1354696","MGI:1354696")</f>
        <v>MGI:1354696</v>
      </c>
      <c r="J5974" s="4" t="s">
        <v>12</v>
      </c>
    </row>
    <row r="5975" spans="1:10" x14ac:dyDescent="0.25">
      <c r="A5975" s="2">
        <v>60.315133998981501</v>
      </c>
      <c r="B5975" s="3">
        <v>-0.64939706242509798</v>
      </c>
      <c r="C5975" s="5">
        <v>4.5303667044901699E-5</v>
      </c>
      <c r="D5975" s="4">
        <v>2.00111326198093E-4</v>
      </c>
      <c r="E5975" s="3" t="s">
        <v>7969</v>
      </c>
      <c r="F5975" s="3" t="s">
        <v>7970</v>
      </c>
      <c r="G5975" s="3">
        <v>22377</v>
      </c>
      <c r="H5975" s="7" t="str">
        <f>HYPERLINK("http://www.ensembl.org/Mus_musculus/Gene/Summary?db=core;g=ENSMUSG00000030035","ENSMUSG00000030035")</f>
        <v>ENSMUSG00000030035</v>
      </c>
      <c r="I5975" s="7" t="str">
        <f>HYPERLINK("http://www.informatics.jax.org/marker/MGI:104710","MGI:104710")</f>
        <v>MGI:104710</v>
      </c>
      <c r="J5975" s="4" t="s">
        <v>12</v>
      </c>
    </row>
    <row r="5976" spans="1:10" x14ac:dyDescent="0.25">
      <c r="A5976" s="2">
        <v>1608.79748218138</v>
      </c>
      <c r="B5976" s="3">
        <v>-0.64953457462492403</v>
      </c>
      <c r="C5976" s="5">
        <v>1.56597781243753E-10</v>
      </c>
      <c r="D5976" s="6">
        <v>1.3219057726574399E-9</v>
      </c>
      <c r="E5976" s="3" t="s">
        <v>9273</v>
      </c>
      <c r="F5976" s="3" t="s">
        <v>9274</v>
      </c>
      <c r="G5976" s="3">
        <v>104759</v>
      </c>
      <c r="H5976" s="7" t="str">
        <f>HYPERLINK("http://www.ensembl.org/Mus_musculus/Gene/Summary?db=core;g=ENSMUSG00000052160","ENSMUSG00000052160")</f>
        <v>ENSMUSG00000052160</v>
      </c>
      <c r="I5976" s="7" t="str">
        <f>HYPERLINK("http://www.informatics.jax.org/marker/MGI:2144765","MGI:2144765")</f>
        <v>MGI:2144765</v>
      </c>
      <c r="J5976" s="4" t="s">
        <v>12</v>
      </c>
    </row>
    <row r="5977" spans="1:10" x14ac:dyDescent="0.25">
      <c r="A5977" s="2">
        <v>3215.9850345014102</v>
      </c>
      <c r="B5977" s="3">
        <v>-0.64953490595587604</v>
      </c>
      <c r="C5977" s="5">
        <v>4.85431358260025E-21</v>
      </c>
      <c r="D5977" s="6">
        <v>7.9918577274516305E-20</v>
      </c>
      <c r="E5977" s="3" t="s">
        <v>1634</v>
      </c>
      <c r="F5977" s="3" t="s">
        <v>1635</v>
      </c>
      <c r="G5977" s="3">
        <v>18007</v>
      </c>
      <c r="H5977" s="7" t="str">
        <f>HYPERLINK("http://www.ensembl.org/Mus_musculus/Gene/Summary?db=core;g=ENSMUSG00000032340","ENSMUSG00000032340")</f>
        <v>ENSMUSG00000032340</v>
      </c>
      <c r="I5977" s="7" t="str">
        <f>HYPERLINK("http://www.informatics.jax.org/marker/MGI:1097159","MGI:1097159")</f>
        <v>MGI:1097159</v>
      </c>
      <c r="J5977" s="4" t="s">
        <v>12</v>
      </c>
    </row>
    <row r="5978" spans="1:10" x14ac:dyDescent="0.25">
      <c r="A5978" s="2">
        <v>555.88692807043606</v>
      </c>
      <c r="B5978" s="3">
        <v>-0.64992520651083097</v>
      </c>
      <c r="C5978" s="5">
        <v>1.0717428133060899E-9</v>
      </c>
      <c r="D5978" s="6">
        <v>8.2764884629251902E-9</v>
      </c>
      <c r="E5978" s="3" t="s">
        <v>2141</v>
      </c>
      <c r="F5978" s="3" t="s">
        <v>2142</v>
      </c>
      <c r="G5978" s="3">
        <v>12190</v>
      </c>
      <c r="H5978" s="7" t="str">
        <f>HYPERLINK("http://www.ensembl.org/Mus_musculus/Gene/Summary?db=core;g=ENSMUSG00000041147","ENSMUSG00000041147")</f>
        <v>ENSMUSG00000041147</v>
      </c>
      <c r="I5978" s="7" t="str">
        <f>HYPERLINK("http://www.informatics.jax.org/marker/MGI:109337","MGI:109337")</f>
        <v>MGI:109337</v>
      </c>
      <c r="J5978" s="4" t="s">
        <v>12</v>
      </c>
    </row>
    <row r="5979" spans="1:10" x14ac:dyDescent="0.25">
      <c r="A5979" s="2">
        <v>153.522232794601</v>
      </c>
      <c r="B5979" s="3">
        <v>-0.65046261400048</v>
      </c>
      <c r="C5979" s="5">
        <v>1.93605851629319E-8</v>
      </c>
      <c r="D5979" s="6">
        <v>1.30944465345236E-7</v>
      </c>
      <c r="E5979" s="3" t="s">
        <v>5127</v>
      </c>
      <c r="F5979" s="3" t="s">
        <v>5128</v>
      </c>
      <c r="G5979" s="3">
        <v>67161</v>
      </c>
      <c r="H5979" s="7" t="str">
        <f>HYPERLINK("http://www.ensembl.org/Mus_musculus/Gene/Summary?db=core;g=ENSMUSG00000059834","ENSMUSG00000059834")</f>
        <v>ENSMUSG00000059834</v>
      </c>
      <c r="I5979" s="7" t="str">
        <f>HYPERLINK("http://www.informatics.jax.org/marker/MGI:1914411","MGI:1914411")</f>
        <v>MGI:1914411</v>
      </c>
      <c r="J5979" s="4" t="s">
        <v>12</v>
      </c>
    </row>
    <row r="5980" spans="1:10" x14ac:dyDescent="0.25">
      <c r="A5980" s="2">
        <v>99.186691327155899</v>
      </c>
      <c r="B5980" s="3">
        <v>-0.65055981055512602</v>
      </c>
      <c r="C5980" s="5">
        <v>5.3840915673527997E-8</v>
      </c>
      <c r="D5980" s="6">
        <v>3.4563250727370498E-7</v>
      </c>
      <c r="E5980" s="3" t="s">
        <v>7310</v>
      </c>
      <c r="F5980" s="3" t="s">
        <v>7311</v>
      </c>
      <c r="G5980" s="3">
        <v>18230</v>
      </c>
      <c r="H5980" s="7" t="str">
        <f>HYPERLINK("http://www.ensembl.org/Mus_musculus/Gene/Summary?db=core;g=ENSMUSG00000020844","ENSMUSG00000020844")</f>
        <v>ENSMUSG00000020844</v>
      </c>
      <c r="I5980" s="7" t="str">
        <f>HYPERLINK("http://www.informatics.jax.org/marker/MGI:109331","MGI:109331")</f>
        <v>MGI:109331</v>
      </c>
      <c r="J5980" s="4" t="s">
        <v>12</v>
      </c>
    </row>
    <row r="5981" spans="1:10" x14ac:dyDescent="0.25">
      <c r="A5981" s="2">
        <v>182.919201868915</v>
      </c>
      <c r="B5981" s="3">
        <v>-0.65090329546701597</v>
      </c>
      <c r="C5981" s="5">
        <v>4.9894723520578501E-9</v>
      </c>
      <c r="D5981" s="6">
        <v>3.5985698432637502E-8</v>
      </c>
      <c r="E5981" s="3" t="s">
        <v>6958</v>
      </c>
      <c r="F5981" s="3" t="s">
        <v>6959</v>
      </c>
      <c r="G5981" s="3">
        <v>72355</v>
      </c>
      <c r="H5981" s="7" t="str">
        <f>HYPERLINK("http://www.ensembl.org/Mus_musculus/Gene/Summary?db=core;g=ENSMUSG00000064284","ENSMUSG00000064284")</f>
        <v>ENSMUSG00000064284</v>
      </c>
      <c r="I5981" s="7" t="str">
        <f>HYPERLINK("http://www.informatics.jax.org/marker/MGI:1919605","MGI:1919605")</f>
        <v>MGI:1919605</v>
      </c>
      <c r="J5981" s="4" t="s">
        <v>12</v>
      </c>
    </row>
    <row r="5982" spans="1:10" x14ac:dyDescent="0.25">
      <c r="A5982" s="2">
        <v>26.030385883685899</v>
      </c>
      <c r="B5982" s="3">
        <v>-0.65090894331321203</v>
      </c>
      <c r="C5982" s="3">
        <v>2.8638566537099001E-3</v>
      </c>
      <c r="D5982" s="4">
        <v>9.1327712185236797E-3</v>
      </c>
      <c r="E5982" s="3" t="s">
        <v>10490</v>
      </c>
      <c r="F5982" s="3" t="s">
        <v>10491</v>
      </c>
      <c r="G5982" s="3" t="s">
        <v>83</v>
      </c>
      <c r="H5982" s="7" t="str">
        <f>HYPERLINK("http://www.ensembl.org/Mus_musculus/Gene/Summary?db=core;g=ENSMUSG00000093483","ENSMUSG00000093483")</f>
        <v>ENSMUSG00000093483</v>
      </c>
      <c r="I5982" s="7" t="str">
        <f>HYPERLINK("http://www.informatics.jax.org/marker/MGI:2671018","MGI:2671018")</f>
        <v>MGI:2671018</v>
      </c>
      <c r="J5982" s="4" t="s">
        <v>331</v>
      </c>
    </row>
    <row r="5983" spans="1:10" x14ac:dyDescent="0.25">
      <c r="A5983" s="2">
        <v>297.00104543322601</v>
      </c>
      <c r="B5983" s="3">
        <v>-0.65161573846085596</v>
      </c>
      <c r="C5983" s="5">
        <v>2.9147354439857499E-11</v>
      </c>
      <c r="D5983" s="6">
        <v>2.6065286293739099E-10</v>
      </c>
      <c r="E5983" s="3" t="s">
        <v>7362</v>
      </c>
      <c r="F5983" s="3" t="s">
        <v>7363</v>
      </c>
      <c r="G5983" s="3">
        <v>72325</v>
      </c>
      <c r="H5983" s="7" t="str">
        <f>HYPERLINK("http://www.ensembl.org/Mus_musculus/Gene/Summary?db=core;g=ENSMUSG00000001062","ENSMUSG00000001062")</f>
        <v>ENSMUSG00000001062</v>
      </c>
      <c r="I5983" s="7" t="str">
        <f>HYPERLINK("http://www.informatics.jax.org/marker/MGI:1914143","MGI:1914143")</f>
        <v>MGI:1914143</v>
      </c>
      <c r="J5983" s="4" t="s">
        <v>12</v>
      </c>
    </row>
    <row r="5984" spans="1:10" x14ac:dyDescent="0.25">
      <c r="A5984" s="2">
        <v>281.73769372630898</v>
      </c>
      <c r="B5984" s="3">
        <v>-0.65275552670208903</v>
      </c>
      <c r="C5984" s="5">
        <v>1.3392026693317999E-12</v>
      </c>
      <c r="D5984" s="6">
        <v>1.3417794749077601E-11</v>
      </c>
      <c r="E5984" s="3" t="s">
        <v>4087</v>
      </c>
      <c r="F5984" s="3" t="s">
        <v>4088</v>
      </c>
      <c r="G5984" s="3">
        <v>66349</v>
      </c>
      <c r="H5984" s="7" t="str">
        <f>HYPERLINK("http://www.ensembl.org/Mus_musculus/Gene/Summary?db=core;g=ENSMUSG00000057229","ENSMUSG00000057229")</f>
        <v>ENSMUSG00000057229</v>
      </c>
      <c r="I5984" s="7" t="str">
        <f>HYPERLINK("http://www.informatics.jax.org/marker/MGI:1913599","MGI:1913599")</f>
        <v>MGI:1913599</v>
      </c>
      <c r="J5984" s="4" t="s">
        <v>12</v>
      </c>
    </row>
    <row r="5985" spans="1:10" x14ac:dyDescent="0.25">
      <c r="A5985" s="2">
        <v>751.96525256583595</v>
      </c>
      <c r="B5985" s="3">
        <v>-0.65307815346616305</v>
      </c>
      <c r="C5985" s="5">
        <v>3.8387767324786402E-7</v>
      </c>
      <c r="D5985" s="6">
        <v>2.2531950386287698E-6</v>
      </c>
      <c r="E5985" s="3" t="s">
        <v>5221</v>
      </c>
      <c r="F5985" s="3" t="s">
        <v>5222</v>
      </c>
      <c r="G5985" s="3">
        <v>209737</v>
      </c>
      <c r="H5985" s="7" t="str">
        <f>HYPERLINK("http://www.ensembl.org/Mus_musculus/Gene/Summary?db=core;g=ENSMUSG00000036768","ENSMUSG00000036768")</f>
        <v>ENSMUSG00000036768</v>
      </c>
      <c r="I5985" s="7" t="str">
        <f>HYPERLINK("http://www.informatics.jax.org/marker/MGI:1098258","MGI:1098258")</f>
        <v>MGI:1098258</v>
      </c>
      <c r="J5985" s="4" t="s">
        <v>12</v>
      </c>
    </row>
    <row r="5986" spans="1:10" x14ac:dyDescent="0.25">
      <c r="A5986" s="2">
        <v>778.162408338776</v>
      </c>
      <c r="B5986" s="3">
        <v>-0.65317949382519103</v>
      </c>
      <c r="C5986" s="5">
        <v>1.6528043827758499E-14</v>
      </c>
      <c r="D5986" s="6">
        <v>1.8861840874195301E-13</v>
      </c>
      <c r="E5986" s="3" t="s">
        <v>3912</v>
      </c>
      <c r="F5986" s="3" t="s">
        <v>3913</v>
      </c>
      <c r="G5986" s="3">
        <v>67092</v>
      </c>
      <c r="H5986" s="7" t="str">
        <f>HYPERLINK("http://www.ensembl.org/Mus_musculus/Gene/Summary?db=core;g=ENSMUSG00000027199","ENSMUSG00000027199")</f>
        <v>ENSMUSG00000027199</v>
      </c>
      <c r="I5986" s="7" t="str">
        <f>HYPERLINK("http://www.informatics.jax.org/marker/MGI:1914342","MGI:1914342")</f>
        <v>MGI:1914342</v>
      </c>
      <c r="J5986" s="4" t="s">
        <v>12</v>
      </c>
    </row>
    <row r="5987" spans="1:10" x14ac:dyDescent="0.25">
      <c r="A5987" s="2">
        <v>119.331099526485</v>
      </c>
      <c r="B5987" s="3">
        <v>-0.65362566501449504</v>
      </c>
      <c r="C5987" s="5">
        <v>2.82402492783516E-6</v>
      </c>
      <c r="D5987" s="6">
        <v>1.48579256090634E-5</v>
      </c>
      <c r="E5987" s="3" t="s">
        <v>9383</v>
      </c>
      <c r="F5987" s="3" t="s">
        <v>9384</v>
      </c>
      <c r="G5987" s="3">
        <v>329977</v>
      </c>
      <c r="H5987" s="7" t="str">
        <f>HYPERLINK("http://www.ensembl.org/Mus_musculus/Gene/Summary?db=core;g=ENSMUSG00000051435","ENSMUSG00000051435")</f>
        <v>ENSMUSG00000051435</v>
      </c>
      <c r="I5987" s="7" t="str">
        <f>HYPERLINK("http://www.informatics.jax.org/marker/MGI:1920323","MGI:1920323")</f>
        <v>MGI:1920323</v>
      </c>
      <c r="J5987" s="4" t="s">
        <v>12</v>
      </c>
    </row>
    <row r="5988" spans="1:10" x14ac:dyDescent="0.25">
      <c r="A5988" s="2">
        <v>1522.26806237815</v>
      </c>
      <c r="B5988" s="3">
        <v>-0.65375494651393196</v>
      </c>
      <c r="C5988" s="5">
        <v>2.5240585305859E-22</v>
      </c>
      <c r="D5988" s="6">
        <v>4.4531429544944796E-21</v>
      </c>
      <c r="E5988" s="3" t="s">
        <v>2507</v>
      </c>
      <c r="F5988" s="3" t="s">
        <v>2508</v>
      </c>
      <c r="G5988" s="3">
        <v>20469</v>
      </c>
      <c r="H5988" s="7" t="str">
        <f>HYPERLINK("http://www.ensembl.org/Mus_musculus/Gene/Summary?db=core;g=ENSMUSG00000056917","ENSMUSG00000056917")</f>
        <v>ENSMUSG00000056917</v>
      </c>
      <c r="I5988" s="7" t="str">
        <f>HYPERLINK("http://www.informatics.jax.org/marker/MGI:107576","MGI:107576")</f>
        <v>MGI:107576</v>
      </c>
      <c r="J5988" s="4" t="s">
        <v>12</v>
      </c>
    </row>
    <row r="5989" spans="1:10" x14ac:dyDescent="0.25">
      <c r="A5989" s="2">
        <v>1024.32509069498</v>
      </c>
      <c r="B5989" s="3">
        <v>-0.65378242070457004</v>
      </c>
      <c r="C5989" s="5">
        <v>3.94102678548938E-22</v>
      </c>
      <c r="D5989" s="6">
        <v>6.89301469918848E-21</v>
      </c>
      <c r="E5989" s="3" t="s">
        <v>3756</v>
      </c>
      <c r="F5989" s="3" t="s">
        <v>3757</v>
      </c>
      <c r="G5989" s="3">
        <v>73218</v>
      </c>
      <c r="H5989" s="7" t="str">
        <f>HYPERLINK("http://www.ensembl.org/Mus_musculus/Gene/Summary?db=core;g=ENSMUSG00000035206","ENSMUSG00000035206")</f>
        <v>ENSMUSG00000035206</v>
      </c>
      <c r="I5989" s="7" t="str">
        <f>HYPERLINK("http://www.informatics.jax.org/marker/MGI:1920468","MGI:1920468")</f>
        <v>MGI:1920468</v>
      </c>
      <c r="J5989" s="4" t="s">
        <v>12</v>
      </c>
    </row>
    <row r="5990" spans="1:10" x14ac:dyDescent="0.25">
      <c r="A5990" s="2">
        <v>64.325590843822098</v>
      </c>
      <c r="B5990" s="3">
        <v>-0.65403500054947195</v>
      </c>
      <c r="C5990" s="5">
        <v>1.0855091242086E-5</v>
      </c>
      <c r="D5990" s="6">
        <v>5.2797981821995398E-5</v>
      </c>
      <c r="E5990" s="3" t="s">
        <v>4285</v>
      </c>
      <c r="F5990" s="3" t="s">
        <v>4286</v>
      </c>
      <c r="G5990" s="3">
        <v>74201</v>
      </c>
      <c r="H5990" s="7" t="str">
        <f>HYPERLINK("http://www.ensembl.org/Mus_musculus/Gene/Summary?db=core;g=ENSMUSG00000022604","ENSMUSG00000022604")</f>
        <v>ENSMUSG00000022604</v>
      </c>
      <c r="I5990" s="7" t="str">
        <f>HYPERLINK("http://www.informatics.jax.org/marker/MGI:1921451","MGI:1921451")</f>
        <v>MGI:1921451</v>
      </c>
      <c r="J5990" s="4" t="s">
        <v>12</v>
      </c>
    </row>
    <row r="5991" spans="1:10" x14ac:dyDescent="0.25">
      <c r="A5991" s="2">
        <v>3343.07028670304</v>
      </c>
      <c r="B5991" s="3">
        <v>-0.65470788465914498</v>
      </c>
      <c r="C5991" s="5">
        <v>6.5251743005108302E-10</v>
      </c>
      <c r="D5991" s="6">
        <v>5.1840148921887499E-9</v>
      </c>
      <c r="E5991" s="3" t="s">
        <v>1352</v>
      </c>
      <c r="F5991" s="3" t="s">
        <v>1353</v>
      </c>
      <c r="G5991" s="3">
        <v>18140</v>
      </c>
      <c r="H5991" s="7" t="str">
        <f>HYPERLINK("http://www.ensembl.org/Mus_musculus/Gene/Summary?db=core;g=ENSMUSG00000001228","ENSMUSG00000001228")</f>
        <v>ENSMUSG00000001228</v>
      </c>
      <c r="I5991" s="7" t="str">
        <f>HYPERLINK("http://www.informatics.jax.org/marker/MGI:1338889","MGI:1338889")</f>
        <v>MGI:1338889</v>
      </c>
      <c r="J5991" s="4" t="s">
        <v>12</v>
      </c>
    </row>
    <row r="5992" spans="1:10" x14ac:dyDescent="0.25">
      <c r="A5992" s="2">
        <v>46.202574619828802</v>
      </c>
      <c r="B5992" s="3">
        <v>-0.65476483638014804</v>
      </c>
      <c r="C5992" s="5">
        <v>8.9430931225700598E-5</v>
      </c>
      <c r="D5992" s="4">
        <v>3.7658935341691198E-4</v>
      </c>
      <c r="E5992" s="3" t="s">
        <v>5619</v>
      </c>
      <c r="F5992" s="3" t="s">
        <v>5620</v>
      </c>
      <c r="G5992" s="3">
        <v>100503583</v>
      </c>
      <c r="H5992" s="7" t="str">
        <f>HYPERLINK("http://www.ensembl.org/Mus_musculus/Gene/Summary?db=core;g=ENSMUSG00000094595","ENSMUSG00000094595")</f>
        <v>ENSMUSG00000094595</v>
      </c>
      <c r="I5992" s="7" t="str">
        <f>HYPERLINK("http://www.informatics.jax.org/marker/MGI:5301008","MGI:5301008")</f>
        <v>MGI:5301008</v>
      </c>
      <c r="J5992" s="4" t="s">
        <v>12</v>
      </c>
    </row>
    <row r="5993" spans="1:10" x14ac:dyDescent="0.25">
      <c r="A5993" s="2">
        <v>125.97429881926401</v>
      </c>
      <c r="B5993" s="3">
        <v>-0.65483547893264904</v>
      </c>
      <c r="C5993" s="5">
        <v>2.4772914843848701E-8</v>
      </c>
      <c r="D5993" s="6">
        <v>1.6550086987871801E-7</v>
      </c>
      <c r="E5993" s="3" t="s">
        <v>7338</v>
      </c>
      <c r="F5993" s="3" t="s">
        <v>7339</v>
      </c>
      <c r="G5993" s="3" t="s">
        <v>83</v>
      </c>
      <c r="H5993" s="7" t="str">
        <f>HYPERLINK("http://www.ensembl.org/Mus_musculus/Gene/Summary?db=core;g=ENSMUSG00000079671","ENSMUSG00000079671")</f>
        <v>ENSMUSG00000079671</v>
      </c>
      <c r="I5993" s="7" t="str">
        <f>HYPERLINK("http://www.informatics.jax.org/marker/MGI:1919731","MGI:1919731")</f>
        <v>MGI:1919731</v>
      </c>
      <c r="J5993" s="4" t="s">
        <v>331</v>
      </c>
    </row>
    <row r="5994" spans="1:10" x14ac:dyDescent="0.25">
      <c r="A5994" s="2">
        <v>830.55448736576705</v>
      </c>
      <c r="B5994" s="3">
        <v>-0.655436370722975</v>
      </c>
      <c r="C5994" s="5">
        <v>2.5751462254594202E-22</v>
      </c>
      <c r="D5994" s="6">
        <v>4.5388820076400298E-21</v>
      </c>
      <c r="E5994" s="3" t="s">
        <v>2575</v>
      </c>
      <c r="F5994" s="3" t="s">
        <v>2576</v>
      </c>
      <c r="G5994" s="3">
        <v>244745</v>
      </c>
      <c r="H5994" s="7" t="str">
        <f>HYPERLINK("http://www.ensembl.org/Mus_musculus/Gene/Summary?db=core;g=ENSMUSG00000043067","ENSMUSG00000043067")</f>
        <v>ENSMUSG00000043067</v>
      </c>
      <c r="I5994" s="7" t="str">
        <f>HYPERLINK("http://www.informatics.jax.org/marker/MGI:1915685","MGI:1915685")</f>
        <v>MGI:1915685</v>
      </c>
      <c r="J5994" s="4" t="s">
        <v>12</v>
      </c>
    </row>
    <row r="5995" spans="1:10" x14ac:dyDescent="0.25">
      <c r="A5995" s="2">
        <v>105.629335883512</v>
      </c>
      <c r="B5995" s="3">
        <v>-0.65544065024746501</v>
      </c>
      <c r="C5995" s="5">
        <v>8.2900197763844605E-8</v>
      </c>
      <c r="D5995" s="6">
        <v>5.2311728712915404E-7</v>
      </c>
      <c r="E5995" s="3" t="s">
        <v>6876</v>
      </c>
      <c r="F5995" s="3" t="s">
        <v>6877</v>
      </c>
      <c r="G5995" s="3">
        <v>72139</v>
      </c>
      <c r="H5995" s="7" t="str">
        <f>HYPERLINK("http://www.ensembl.org/Mus_musculus/Gene/Summary?db=core;g=ENSMUSG00000071302","ENSMUSG00000071302")</f>
        <v>ENSMUSG00000071302</v>
      </c>
      <c r="I5995" s="7" t="str">
        <f>HYPERLINK("http://www.informatics.jax.org/marker/MGI:1919389","MGI:1919389")</f>
        <v>MGI:1919389</v>
      </c>
      <c r="J5995" s="4" t="s">
        <v>12</v>
      </c>
    </row>
    <row r="5996" spans="1:10" x14ac:dyDescent="0.25">
      <c r="A5996" s="2">
        <v>76.592219896204597</v>
      </c>
      <c r="B5996" s="3">
        <v>-0.65588996994874604</v>
      </c>
      <c r="C5996" s="5">
        <v>3.2340835731776703E-5</v>
      </c>
      <c r="D5996" s="4">
        <v>1.4618346508225001E-4</v>
      </c>
      <c r="E5996" s="3" t="s">
        <v>6986</v>
      </c>
      <c r="F5996" s="3" t="s">
        <v>6987</v>
      </c>
      <c r="G5996" s="3">
        <v>13170</v>
      </c>
      <c r="H5996" s="7" t="str">
        <f>HYPERLINK("http://www.ensembl.org/Mus_musculus/Gene/Summary?db=core;g=ENSMUSG00000059824","ENSMUSG00000059824")</f>
        <v>ENSMUSG00000059824</v>
      </c>
      <c r="I5996" s="7" t="str">
        <f>HYPERLINK("http://www.informatics.jax.org/marker/MGI:94866","MGI:94866")</f>
        <v>MGI:94866</v>
      </c>
      <c r="J5996" s="4" t="s">
        <v>12</v>
      </c>
    </row>
    <row r="5997" spans="1:10" x14ac:dyDescent="0.25">
      <c r="A5997" s="2">
        <v>261.020234933366</v>
      </c>
      <c r="B5997" s="3">
        <v>-0.655905039324711</v>
      </c>
      <c r="C5997" s="5">
        <v>5.0000446733531101E-16</v>
      </c>
      <c r="D5997" s="6">
        <v>6.3019235250249199E-15</v>
      </c>
      <c r="E5997" s="3" t="s">
        <v>1610</v>
      </c>
      <c r="F5997" s="3" t="s">
        <v>1611</v>
      </c>
      <c r="G5997" s="3">
        <v>504193</v>
      </c>
      <c r="H5997" s="7" t="str">
        <f>HYPERLINK("http://www.ensembl.org/Mus_musculus/Gene/Summary?db=core;g=ENSMUSG00000089837","ENSMUSG00000089837")</f>
        <v>ENSMUSG00000089837</v>
      </c>
      <c r="I5997" s="7" t="str">
        <f>HYPERLINK("http://www.informatics.jax.org/marker/MGI:3845555","MGI:3845555")</f>
        <v>MGI:3845555</v>
      </c>
      <c r="J5997" s="4" t="s">
        <v>12</v>
      </c>
    </row>
    <row r="5998" spans="1:10" x14ac:dyDescent="0.25">
      <c r="A5998" s="2">
        <v>120.91414050466901</v>
      </c>
      <c r="B5998" s="3">
        <v>-0.65654967209852799</v>
      </c>
      <c r="C5998" s="5">
        <v>1.0174834583780701E-8</v>
      </c>
      <c r="D5998" s="6">
        <v>7.0912566076253594E-8</v>
      </c>
      <c r="E5998" s="3" t="s">
        <v>5105</v>
      </c>
      <c r="F5998" s="3" t="s">
        <v>5106</v>
      </c>
      <c r="G5998" s="3">
        <v>320678</v>
      </c>
      <c r="H5998" s="7" t="str">
        <f>HYPERLINK("http://www.ensembl.org/Mus_musculus/Gene/Summary?db=core;g=ENSMUSG00000038271","ENSMUSG00000038271")</f>
        <v>ENSMUSG00000038271</v>
      </c>
      <c r="I5998" s="7" t="str">
        <f>HYPERLINK("http://www.informatics.jax.org/marker/MGI:2444516","MGI:2444516")</f>
        <v>MGI:2444516</v>
      </c>
      <c r="J5998" s="4" t="s">
        <v>12</v>
      </c>
    </row>
    <row r="5999" spans="1:10" x14ac:dyDescent="0.25">
      <c r="A5999" s="2">
        <v>121.769887047083</v>
      </c>
      <c r="B5999" s="3">
        <v>-0.65661066670855806</v>
      </c>
      <c r="C5999" s="5">
        <v>3.5389557748133699E-5</v>
      </c>
      <c r="D5999" s="4">
        <v>1.58821642442683E-4</v>
      </c>
      <c r="E5999" s="3" t="s">
        <v>6846</v>
      </c>
      <c r="F5999" s="3" t="s">
        <v>6847</v>
      </c>
      <c r="G5999" s="3">
        <v>67603</v>
      </c>
      <c r="H5999" s="7" t="str">
        <f>HYPERLINK("http://www.ensembl.org/Mus_musculus/Gene/Summary?db=core;g=ENSMUSG00000019960","ENSMUSG00000019960")</f>
        <v>ENSMUSG00000019960</v>
      </c>
      <c r="I5999" s="7" t="str">
        <f>HYPERLINK("http://www.informatics.jax.org/marker/MGI:1914853","MGI:1914853")</f>
        <v>MGI:1914853</v>
      </c>
      <c r="J5999" s="4" t="s">
        <v>12</v>
      </c>
    </row>
    <row r="6000" spans="1:10" x14ac:dyDescent="0.25">
      <c r="A6000" s="2">
        <v>22.8192724126475</v>
      </c>
      <c r="B6000" s="3">
        <v>-0.65661551397934004</v>
      </c>
      <c r="C6000" s="3">
        <v>1.5757866425229999E-2</v>
      </c>
      <c r="D6000" s="4">
        <v>4.2023282938223099E-2</v>
      </c>
      <c r="E6000" s="3" t="s">
        <v>12703</v>
      </c>
      <c r="F6000" s="3" t="s">
        <v>12704</v>
      </c>
      <c r="G6000" s="3" t="s">
        <v>83</v>
      </c>
      <c r="H6000" s="7" t="str">
        <f>HYPERLINK("http://www.ensembl.org/Mus_musculus/Gene/Summary?db=core;g=ENSMUSG00000104342","ENSMUSG00000104342")</f>
        <v>ENSMUSG00000104342</v>
      </c>
      <c r="I6000" s="7" t="str">
        <f>HYPERLINK("http://www.informatics.jax.org/marker/MGI:5595560","MGI:5595560")</f>
        <v>MGI:5595560</v>
      </c>
      <c r="J6000" s="4" t="s">
        <v>1828</v>
      </c>
    </row>
    <row r="6001" spans="1:10" x14ac:dyDescent="0.25">
      <c r="A6001" s="2">
        <v>1421.9710308803001</v>
      </c>
      <c r="B6001" s="3">
        <v>-0.65745624214742504</v>
      </c>
      <c r="C6001" s="5">
        <v>1.4593125351660601E-13</v>
      </c>
      <c r="D6001" s="6">
        <v>1.56908383205908E-12</v>
      </c>
      <c r="E6001" s="3" t="s">
        <v>3592</v>
      </c>
      <c r="F6001" s="3" t="s">
        <v>3593</v>
      </c>
      <c r="G6001" s="3">
        <v>215690</v>
      </c>
      <c r="H6001" s="7" t="str">
        <f>HYPERLINK("http://www.ensembl.org/Mus_musculus/Gene/Summary?db=core;g=ENSMUSG00000009418","ENSMUSG00000009418")</f>
        <v>ENSMUSG00000009418</v>
      </c>
      <c r="I6001" s="7" t="str">
        <f>HYPERLINK("http://www.informatics.jax.org/marker/MGI:2183683","MGI:2183683")</f>
        <v>MGI:2183683</v>
      </c>
      <c r="J6001" s="4" t="s">
        <v>12</v>
      </c>
    </row>
    <row r="6002" spans="1:10" x14ac:dyDescent="0.25">
      <c r="A6002" s="2">
        <v>369.219403734911</v>
      </c>
      <c r="B6002" s="3">
        <v>-0.65754895396338997</v>
      </c>
      <c r="C6002" s="5">
        <v>1.54699015773714E-16</v>
      </c>
      <c r="D6002" s="6">
        <v>2.0124122501612699E-15</v>
      </c>
      <c r="E6002" s="3" t="s">
        <v>5051</v>
      </c>
      <c r="F6002" s="3" t="s">
        <v>5052</v>
      </c>
      <c r="G6002" s="3">
        <v>244962</v>
      </c>
      <c r="H6002" s="7" t="str">
        <f>HYPERLINK("http://www.ensembl.org/Mus_musculus/Gene/Summary?db=core;g=ENSMUSG00000032422","ENSMUSG00000032422")</f>
        <v>ENSMUSG00000032422</v>
      </c>
      <c r="I6002" s="7" t="str">
        <f>HYPERLINK("http://www.informatics.jax.org/marker/MGI:2155664","MGI:2155664")</f>
        <v>MGI:2155664</v>
      </c>
      <c r="J6002" s="4" t="s">
        <v>12</v>
      </c>
    </row>
    <row r="6003" spans="1:10" x14ac:dyDescent="0.25">
      <c r="A6003" s="2">
        <v>96.520278628769006</v>
      </c>
      <c r="B6003" s="3">
        <v>-0.65761988646646996</v>
      </c>
      <c r="C6003" s="5">
        <v>6.7667492037280095E-8</v>
      </c>
      <c r="D6003" s="6">
        <v>4.3000001477664902E-7</v>
      </c>
      <c r="E6003" s="3" t="s">
        <v>8377</v>
      </c>
      <c r="F6003" s="3" t="s">
        <v>8378</v>
      </c>
      <c r="G6003" s="3">
        <v>67528</v>
      </c>
      <c r="H6003" s="7" t="str">
        <f>HYPERLINK("http://www.ensembl.org/Mus_musculus/Gene/Summary?db=core;g=ENSMUSG00000031767","ENSMUSG00000031767")</f>
        <v>ENSMUSG00000031767</v>
      </c>
      <c r="I6003" s="7" t="str">
        <f>HYPERLINK("http://www.informatics.jax.org/marker/MGI:1914778","MGI:1914778")</f>
        <v>MGI:1914778</v>
      </c>
      <c r="J6003" s="4" t="s">
        <v>12</v>
      </c>
    </row>
    <row r="6004" spans="1:10" x14ac:dyDescent="0.25">
      <c r="A6004" s="2">
        <v>80.290756152546393</v>
      </c>
      <c r="B6004" s="3">
        <v>-0.65777790803027902</v>
      </c>
      <c r="C6004" s="5">
        <v>3.2948584710970197E-5</v>
      </c>
      <c r="D6004" s="4">
        <v>1.4874608777741701E-4</v>
      </c>
      <c r="E6004" s="3" t="s">
        <v>4233</v>
      </c>
      <c r="F6004" s="3" t="s">
        <v>4234</v>
      </c>
      <c r="G6004" s="3">
        <v>67893</v>
      </c>
      <c r="H6004" s="7" t="str">
        <f>HYPERLINK("http://www.ensembl.org/Mus_musculus/Gene/Summary?db=core;g=ENSMUSG00000010307","ENSMUSG00000010307")</f>
        <v>ENSMUSG00000010307</v>
      </c>
      <c r="I6004" s="7" t="str">
        <f>HYPERLINK("http://www.informatics.jax.org/marker/MGI:1915143","MGI:1915143")</f>
        <v>MGI:1915143</v>
      </c>
      <c r="J6004" s="4" t="s">
        <v>12</v>
      </c>
    </row>
    <row r="6005" spans="1:10" x14ac:dyDescent="0.25">
      <c r="A6005" s="2">
        <v>571.50243127496299</v>
      </c>
      <c r="B6005" s="3">
        <v>-0.65818817349288194</v>
      </c>
      <c r="C6005" s="5">
        <v>4.7558916975440999E-7</v>
      </c>
      <c r="D6005" s="6">
        <v>2.74726231973823E-6</v>
      </c>
      <c r="E6005" s="3" t="s">
        <v>2804</v>
      </c>
      <c r="F6005" s="3" t="s">
        <v>2805</v>
      </c>
      <c r="G6005" s="3">
        <v>327762</v>
      </c>
      <c r="H6005" s="7" t="str">
        <f>HYPERLINK("http://www.ensembl.org/Mus_musculus/Gene/Summary?db=core;g=ENSMUSG00000036875","ENSMUSG00000036875")</f>
        <v>ENSMUSG00000036875</v>
      </c>
      <c r="I6005" s="7" t="str">
        <f>HYPERLINK("http://www.informatics.jax.org/marker/MGI:2443732","MGI:2443732")</f>
        <v>MGI:2443732</v>
      </c>
      <c r="J6005" s="4" t="s">
        <v>12</v>
      </c>
    </row>
    <row r="6006" spans="1:10" x14ac:dyDescent="0.25">
      <c r="A6006" s="2">
        <v>137.646912357867</v>
      </c>
      <c r="B6006" s="3">
        <v>-0.65833122853794102</v>
      </c>
      <c r="C6006" s="5">
        <v>3.2238552605696698E-7</v>
      </c>
      <c r="D6006" s="6">
        <v>1.9076221468793001E-6</v>
      </c>
      <c r="E6006" s="3" t="s">
        <v>5147</v>
      </c>
      <c r="F6006" s="3" t="s">
        <v>5148</v>
      </c>
      <c r="G6006" s="3">
        <v>56690</v>
      </c>
      <c r="H6006" s="7" t="str">
        <f>HYPERLINK("http://www.ensembl.org/Mus_musculus/Gene/Summary?db=core;g=ENSMUSG00000074064","ENSMUSG00000074064")</f>
        <v>ENSMUSG00000074064</v>
      </c>
      <c r="I6006" s="7" t="str">
        <f>HYPERLINK("http://www.informatics.jax.org/marker/MGI:1928485","MGI:1928485")</f>
        <v>MGI:1928485</v>
      </c>
      <c r="J6006" s="4" t="s">
        <v>12</v>
      </c>
    </row>
    <row r="6007" spans="1:10" x14ac:dyDescent="0.25">
      <c r="A6007" s="2">
        <v>675.78877597775295</v>
      </c>
      <c r="B6007" s="3">
        <v>-0.65883539982082795</v>
      </c>
      <c r="C6007" s="5">
        <v>6.6640310254674603E-18</v>
      </c>
      <c r="D6007" s="6">
        <v>9.3209489976319599E-17</v>
      </c>
      <c r="E6007" s="3" t="s">
        <v>3298</v>
      </c>
      <c r="F6007" s="3" t="s">
        <v>3299</v>
      </c>
      <c r="G6007" s="3">
        <v>68731</v>
      </c>
      <c r="H6007" s="7" t="str">
        <f>HYPERLINK("http://www.ensembl.org/Mus_musculus/Gene/Summary?db=core;g=ENSMUSG00000024570","ENSMUSG00000024570")</f>
        <v>ENSMUSG00000024570</v>
      </c>
      <c r="I6007" s="7" t="str">
        <f>HYPERLINK("http://www.informatics.jax.org/marker/MGI:1915981","MGI:1915981")</f>
        <v>MGI:1915981</v>
      </c>
      <c r="J6007" s="4" t="s">
        <v>12</v>
      </c>
    </row>
    <row r="6008" spans="1:10" x14ac:dyDescent="0.25">
      <c r="A6008" s="2">
        <v>288.735032568615</v>
      </c>
      <c r="B6008" s="3">
        <v>-0.65898313180609303</v>
      </c>
      <c r="C6008" s="5">
        <v>6.9831667670877203E-11</v>
      </c>
      <c r="D6008" s="6">
        <v>6.0575066316122596E-10</v>
      </c>
      <c r="E6008" s="3" t="s">
        <v>3508</v>
      </c>
      <c r="F6008" s="3" t="s">
        <v>3509</v>
      </c>
      <c r="G6008" s="3">
        <v>69769</v>
      </c>
      <c r="H6008" s="7" t="str">
        <f>HYPERLINK("http://www.ensembl.org/Mus_musculus/Gene/Summary?db=core;g=ENSMUSG00000013707","ENSMUSG00000013707")</f>
        <v>ENSMUSG00000013707</v>
      </c>
      <c r="I6008" s="7" t="str">
        <f>HYPERLINK("http://www.informatics.jax.org/marker/MGI:1917019","MGI:1917019")</f>
        <v>MGI:1917019</v>
      </c>
      <c r="J6008" s="4" t="s">
        <v>12</v>
      </c>
    </row>
    <row r="6009" spans="1:10" x14ac:dyDescent="0.25">
      <c r="A6009" s="2">
        <v>59.488101236819503</v>
      </c>
      <c r="B6009" s="3">
        <v>-0.65901920555328897</v>
      </c>
      <c r="C6009" s="3">
        <v>7.32775884674185E-4</v>
      </c>
      <c r="D6009" s="4">
        <v>2.6366911151405798E-3</v>
      </c>
      <c r="E6009" s="3" t="s">
        <v>11078</v>
      </c>
      <c r="F6009" s="3" t="s">
        <v>11079</v>
      </c>
      <c r="G6009" s="3">
        <v>243510</v>
      </c>
      <c r="H6009" s="7" t="str">
        <f>HYPERLINK("http://www.ensembl.org/Mus_musculus/Gene/Summary?db=core;g=ENSMUSG00000107499","ENSMUSG00000107499")</f>
        <v>ENSMUSG00000107499</v>
      </c>
      <c r="I6009" s="7" t="str">
        <f>HYPERLINK("http://www.informatics.jax.org/marker/MGI:3045292","MGI:3045292")</f>
        <v>MGI:3045292</v>
      </c>
      <c r="J6009" s="4" t="s">
        <v>12</v>
      </c>
    </row>
    <row r="6010" spans="1:10" x14ac:dyDescent="0.25">
      <c r="A6010" s="2">
        <v>1429.6305391452199</v>
      </c>
      <c r="B6010" s="3">
        <v>-0.65960960945345504</v>
      </c>
      <c r="C6010" s="5">
        <v>1.24809381330039E-22</v>
      </c>
      <c r="D6010" s="6">
        <v>2.2300499752352499E-21</v>
      </c>
      <c r="E6010" s="3" t="s">
        <v>2337</v>
      </c>
      <c r="F6010" s="3" t="s">
        <v>2338</v>
      </c>
      <c r="G6010" s="3">
        <v>110078</v>
      </c>
      <c r="H6010" s="7" t="str">
        <f>HYPERLINK("http://www.ensembl.org/Mus_musculus/Gene/Summary?db=core;g=ENSMUSG00000033059","ENSMUSG00000033059")</f>
        <v>ENSMUSG00000033059</v>
      </c>
      <c r="I6010" s="7" t="str">
        <f>HYPERLINK("http://www.informatics.jax.org/marker/MGI:97828","MGI:97828")</f>
        <v>MGI:97828</v>
      </c>
      <c r="J6010" s="4" t="s">
        <v>12</v>
      </c>
    </row>
    <row r="6011" spans="1:10" x14ac:dyDescent="0.25">
      <c r="A6011" s="2">
        <v>17.687188184166299</v>
      </c>
      <c r="B6011" s="3">
        <v>-0.659682103929361</v>
      </c>
      <c r="C6011" s="3">
        <v>1.30123609474999E-2</v>
      </c>
      <c r="D6011" s="4">
        <v>3.5427289851835402E-2</v>
      </c>
      <c r="E6011" s="3" t="s">
        <v>12079</v>
      </c>
      <c r="F6011" s="3" t="s">
        <v>12080</v>
      </c>
      <c r="G6011" s="3" t="s">
        <v>83</v>
      </c>
      <c r="H6011" s="7" t="str">
        <f>HYPERLINK("http://www.ensembl.org/Mus_musculus/Gene/Summary?db=core;g=ENSMUSG00000105851","ENSMUSG00000105851")</f>
        <v>ENSMUSG00000105851</v>
      </c>
      <c r="I6011" s="7" t="str">
        <f>HYPERLINK("http://www.informatics.jax.org/marker/MGI:1924957","MGI:1924957")</f>
        <v>MGI:1924957</v>
      </c>
      <c r="J6011" s="4" t="s">
        <v>939</v>
      </c>
    </row>
    <row r="6012" spans="1:10" x14ac:dyDescent="0.25">
      <c r="A6012" s="2">
        <v>595.96067033799898</v>
      </c>
      <c r="B6012" s="3">
        <v>-0.65988495354202503</v>
      </c>
      <c r="C6012" s="5">
        <v>6.5434476729012004E-23</v>
      </c>
      <c r="D6012" s="6">
        <v>1.1819061827415699E-21</v>
      </c>
      <c r="E6012" s="3" t="s">
        <v>4077</v>
      </c>
      <c r="F6012" s="3" t="s">
        <v>4078</v>
      </c>
      <c r="G6012" s="3">
        <v>21413</v>
      </c>
      <c r="H6012" s="7" t="str">
        <f>HYPERLINK("http://www.ensembl.org/Mus_musculus/Gene/Summary?db=core;g=ENSMUSG00000053477","ENSMUSG00000053477")</f>
        <v>ENSMUSG00000053477</v>
      </c>
      <c r="I6012" s="7" t="str">
        <f>HYPERLINK("http://www.informatics.jax.org/marker/MGI:98506","MGI:98506")</f>
        <v>MGI:98506</v>
      </c>
      <c r="J6012" s="4" t="s">
        <v>12</v>
      </c>
    </row>
    <row r="6013" spans="1:10" x14ac:dyDescent="0.25">
      <c r="A6013" s="2">
        <v>230.62187177357399</v>
      </c>
      <c r="B6013" s="3">
        <v>-0.66001203155007304</v>
      </c>
      <c r="C6013" s="5">
        <v>4.3471458474149799E-10</v>
      </c>
      <c r="D6013" s="6">
        <v>3.51026730479123E-9</v>
      </c>
      <c r="E6013" s="3" t="s">
        <v>5623</v>
      </c>
      <c r="F6013" s="3" t="s">
        <v>5624</v>
      </c>
      <c r="G6013" s="3">
        <v>60611</v>
      </c>
      <c r="H6013" s="7" t="str">
        <f>HYPERLINK("http://www.ensembl.org/Mus_musculus/Gene/Summary?db=core;g=ENSMUSG00000003154","ENSMUSG00000003154")</f>
        <v>ENSMUSG00000003154</v>
      </c>
      <c r="I6013" s="7" t="str">
        <f>HYPERLINK("http://www.informatics.jax.org/marker/MGI:1926805","MGI:1926805")</f>
        <v>MGI:1926805</v>
      </c>
      <c r="J6013" s="4" t="s">
        <v>12</v>
      </c>
    </row>
    <row r="6014" spans="1:10" x14ac:dyDescent="0.25">
      <c r="A6014" s="2">
        <v>63.543050156026297</v>
      </c>
      <c r="B6014" s="3">
        <v>-0.66002501371612499</v>
      </c>
      <c r="C6014" s="3">
        <v>3.3927259570878498E-4</v>
      </c>
      <c r="D6014" s="4">
        <v>1.2935654930528501E-3</v>
      </c>
      <c r="E6014" s="3" t="s">
        <v>8323</v>
      </c>
      <c r="F6014" s="3" t="s">
        <v>8324</v>
      </c>
      <c r="G6014" s="3">
        <v>18805</v>
      </c>
      <c r="H6014" s="7" t="str">
        <f>HYPERLINK("http://www.ensembl.org/Mus_musculus/Gene/Summary?db=core;g=ENSMUSG00000027695","ENSMUSG00000027695")</f>
        <v>ENSMUSG00000027695</v>
      </c>
      <c r="I6014" s="7" t="str">
        <f>HYPERLINK("http://www.informatics.jax.org/marker/MGI:109585","MGI:109585")</f>
        <v>MGI:109585</v>
      </c>
      <c r="J6014" s="4" t="s">
        <v>12</v>
      </c>
    </row>
    <row r="6015" spans="1:10" x14ac:dyDescent="0.25">
      <c r="A6015" s="2">
        <v>106.117695597905</v>
      </c>
      <c r="B6015" s="3">
        <v>-0.66018479048574397</v>
      </c>
      <c r="C6015" s="5">
        <v>2.1152890166764099E-6</v>
      </c>
      <c r="D6015" s="6">
        <v>1.13185972780175E-5</v>
      </c>
      <c r="E6015" s="3" t="s">
        <v>6736</v>
      </c>
      <c r="F6015" s="3" t="s">
        <v>6737</v>
      </c>
      <c r="G6015" s="3">
        <v>73833</v>
      </c>
      <c r="H6015" s="7" t="str">
        <f>HYPERLINK("http://www.ensembl.org/Mus_musculus/Gene/Summary?db=core;g=ENSMUSG00000030590","ENSMUSG00000030590")</f>
        <v>ENSMUSG00000030590</v>
      </c>
      <c r="I6015" s="7" t="str">
        <f>HYPERLINK("http://www.informatics.jax.org/marker/MGI:1921083","MGI:1921083")</f>
        <v>MGI:1921083</v>
      </c>
      <c r="J6015" s="4" t="s">
        <v>12</v>
      </c>
    </row>
    <row r="6016" spans="1:10" x14ac:dyDescent="0.25">
      <c r="A6016" s="2">
        <v>851.48110930136102</v>
      </c>
      <c r="B6016" s="3">
        <v>-0.66165766452491304</v>
      </c>
      <c r="C6016" s="5">
        <v>8.8375002524701496E-18</v>
      </c>
      <c r="D6016" s="6">
        <v>1.22923109321639E-16</v>
      </c>
      <c r="E6016" s="3" t="s">
        <v>830</v>
      </c>
      <c r="F6016" s="3" t="s">
        <v>831</v>
      </c>
      <c r="G6016" s="3">
        <v>213988</v>
      </c>
      <c r="H6016" s="7" t="str">
        <f>HYPERLINK("http://www.ensembl.org/Mus_musculus/Gene/Summary?db=core;g=ENSMUSG00000047888","ENSMUSG00000047888")</f>
        <v>ENSMUSG00000047888</v>
      </c>
      <c r="I6016" s="7" t="str">
        <f>HYPERLINK("http://www.informatics.jax.org/marker/MGI:2443730","MGI:2443730")</f>
        <v>MGI:2443730</v>
      </c>
      <c r="J6016" s="4" t="s">
        <v>12</v>
      </c>
    </row>
    <row r="6017" spans="1:10" x14ac:dyDescent="0.25">
      <c r="A6017" s="2">
        <v>1186.5887491322301</v>
      </c>
      <c r="B6017" s="3">
        <v>-0.66215921826830004</v>
      </c>
      <c r="C6017" s="5">
        <v>2.81405767739746E-19</v>
      </c>
      <c r="D6017" s="6">
        <v>4.2385290223610504E-18</v>
      </c>
      <c r="E6017" s="3" t="s">
        <v>4569</v>
      </c>
      <c r="F6017" s="3" t="s">
        <v>4570</v>
      </c>
      <c r="G6017" s="3">
        <v>226154</v>
      </c>
      <c r="H6017" s="7" t="str">
        <f>HYPERLINK("http://www.ensembl.org/Mus_musculus/Gene/Summary?db=core;g=ENSMUSG00000035342","ENSMUSG00000035342")</f>
        <v>ENSMUSG00000035342</v>
      </c>
      <c r="I6017" s="7" t="str">
        <f>HYPERLINK("http://www.informatics.jax.org/marker/MGI:2385095","MGI:2385095")</f>
        <v>MGI:2385095</v>
      </c>
      <c r="J6017" s="4" t="s">
        <v>12</v>
      </c>
    </row>
    <row r="6018" spans="1:10" x14ac:dyDescent="0.25">
      <c r="A6018" s="2">
        <v>21.806115923426699</v>
      </c>
      <c r="B6018" s="3">
        <v>-0.66216807793061905</v>
      </c>
      <c r="C6018" s="3">
        <v>4.2126901727643704E-3</v>
      </c>
      <c r="D6018" s="4">
        <v>1.28927419645056E-2</v>
      </c>
      <c r="E6018" s="3" t="s">
        <v>12885</v>
      </c>
      <c r="F6018" s="3" t="s">
        <v>12886</v>
      </c>
      <c r="G6018" s="3" t="s">
        <v>83</v>
      </c>
      <c r="H6018" s="7" t="str">
        <f>HYPERLINK("http://www.ensembl.org/Mus_musculus/Gene/Summary?db=core;g=ENSMUSG00000110730","ENSMUSG00000110730")</f>
        <v>ENSMUSG00000110730</v>
      </c>
      <c r="I6018" s="7" t="str">
        <f>HYPERLINK("http://www.informatics.jax.org/marker/MGI:5011570","MGI:5011570")</f>
        <v>MGI:5011570</v>
      </c>
      <c r="J6018" s="4" t="s">
        <v>939</v>
      </c>
    </row>
    <row r="6019" spans="1:10" x14ac:dyDescent="0.25">
      <c r="A6019" s="2">
        <v>146.041706004253</v>
      </c>
      <c r="B6019" s="3">
        <v>-0.66228275796061797</v>
      </c>
      <c r="C6019" s="5">
        <v>1.0290651670032E-8</v>
      </c>
      <c r="D6019" s="6">
        <v>7.1655237728734594E-8</v>
      </c>
      <c r="E6019" s="3" t="s">
        <v>2894</v>
      </c>
      <c r="F6019" s="3" t="s">
        <v>2895</v>
      </c>
      <c r="G6019" s="3">
        <v>69706</v>
      </c>
      <c r="H6019" s="7" t="str">
        <f>HYPERLINK("http://www.ensembl.org/Mus_musculus/Gene/Summary?db=core;g=ENSMUSG00000034883","ENSMUSG00000034883")</f>
        <v>ENSMUSG00000034883</v>
      </c>
      <c r="I6019" s="7" t="str">
        <f>HYPERLINK("http://www.informatics.jax.org/marker/MGI:1916956","MGI:1916956")</f>
        <v>MGI:1916956</v>
      </c>
      <c r="J6019" s="4" t="s">
        <v>12</v>
      </c>
    </row>
    <row r="6020" spans="1:10" x14ac:dyDescent="0.25">
      <c r="A6020" s="2">
        <v>45.076866161879302</v>
      </c>
      <c r="B6020" s="3">
        <v>-0.66317621890053202</v>
      </c>
      <c r="C6020" s="3">
        <v>3.9886369548612702E-3</v>
      </c>
      <c r="D6020" s="4">
        <v>1.2283357300159999E-2</v>
      </c>
      <c r="E6020" s="3" t="s">
        <v>13941</v>
      </c>
      <c r="F6020" s="3" t="s">
        <v>13942</v>
      </c>
      <c r="G6020" s="3" t="s">
        <v>83</v>
      </c>
      <c r="H6020" s="7" t="str">
        <f>HYPERLINK("http://www.ensembl.org/Mus_musculus/Gene/Summary?db=core;g=ENSMUSG00000086389","ENSMUSG00000086389")</f>
        <v>ENSMUSG00000086389</v>
      </c>
      <c r="I6020" s="7" t="str">
        <f>HYPERLINK("http://www.informatics.jax.org/marker/MGI:3802094","MGI:3802094")</f>
        <v>MGI:3802094</v>
      </c>
      <c r="J6020" s="4" t="s">
        <v>932</v>
      </c>
    </row>
    <row r="6021" spans="1:10" x14ac:dyDescent="0.25">
      <c r="A6021" s="2">
        <v>242.85364547613699</v>
      </c>
      <c r="B6021" s="3">
        <v>-0.663502187241508</v>
      </c>
      <c r="C6021" s="5">
        <v>1.18388601858859E-11</v>
      </c>
      <c r="D6021" s="6">
        <v>1.09357945710984E-10</v>
      </c>
      <c r="E6021" s="3" t="s">
        <v>4693</v>
      </c>
      <c r="F6021" s="3" t="s">
        <v>4694</v>
      </c>
      <c r="G6021" s="3">
        <v>219094</v>
      </c>
      <c r="H6021" s="7" t="str">
        <f>HYPERLINK("http://www.ensembl.org/Mus_musculus/Gene/Summary?db=core;g=ENSMUSG00000047153","ENSMUSG00000047153")</f>
        <v>ENSMUSG00000047153</v>
      </c>
      <c r="I6021" s="7" t="str">
        <f>HYPERLINK("http://www.informatics.jax.org/marker/MGI:2451333","MGI:2451333")</f>
        <v>MGI:2451333</v>
      </c>
      <c r="J6021" s="4" t="s">
        <v>12</v>
      </c>
    </row>
    <row r="6022" spans="1:10" x14ac:dyDescent="0.25">
      <c r="A6022" s="2">
        <v>623.70435578934303</v>
      </c>
      <c r="B6022" s="3">
        <v>-0.663655597039572</v>
      </c>
      <c r="C6022" s="5">
        <v>1.32750541681193E-18</v>
      </c>
      <c r="D6022" s="6">
        <v>1.9355028977118E-17</v>
      </c>
      <c r="E6022" s="3" t="s">
        <v>3167</v>
      </c>
      <c r="F6022" s="3" t="s">
        <v>3168</v>
      </c>
      <c r="G6022" s="3">
        <v>66939</v>
      </c>
      <c r="H6022" s="7" t="str">
        <f>HYPERLINK("http://www.ensembl.org/Mus_musculus/Gene/Summary?db=core;g=ENSMUSG00000037257","ENSMUSG00000037257")</f>
        <v>ENSMUSG00000037257</v>
      </c>
      <c r="I6022" s="7" t="str">
        <f>HYPERLINK("http://www.informatics.jax.org/marker/MGI:1914189","MGI:1914189")</f>
        <v>MGI:1914189</v>
      </c>
      <c r="J6022" s="4" t="s">
        <v>12</v>
      </c>
    </row>
    <row r="6023" spans="1:10" x14ac:dyDescent="0.25">
      <c r="A6023" s="2">
        <v>225.73545990499099</v>
      </c>
      <c r="B6023" s="3">
        <v>-0.663683471676348</v>
      </c>
      <c r="C6023" s="5">
        <v>1.2788937766817799E-12</v>
      </c>
      <c r="D6023" s="6">
        <v>1.2827649466167001E-11</v>
      </c>
      <c r="E6023" s="3" t="s">
        <v>4321</v>
      </c>
      <c r="F6023" s="3" t="s">
        <v>4322</v>
      </c>
      <c r="G6023" s="3">
        <v>67468</v>
      </c>
      <c r="H6023" s="7" t="str">
        <f>HYPERLINK("http://www.ensembl.org/Mus_musculus/Gene/Summary?db=core;g=ENSMUSG00000003948","ENSMUSG00000003948")</f>
        <v>ENSMUSG00000003948</v>
      </c>
      <c r="I6023" s="7" t="str">
        <f>HYPERLINK("http://www.informatics.jax.org/marker/MGI:1914718","MGI:1914718")</f>
        <v>MGI:1914718</v>
      </c>
      <c r="J6023" s="4" t="s">
        <v>12</v>
      </c>
    </row>
    <row r="6024" spans="1:10" x14ac:dyDescent="0.25">
      <c r="A6024" s="2">
        <v>106.683084445327</v>
      </c>
      <c r="B6024" s="3">
        <v>-0.66388194810297496</v>
      </c>
      <c r="C6024" s="5">
        <v>1.4105592530747299E-6</v>
      </c>
      <c r="D6024" s="6">
        <v>7.7245920634876795E-6</v>
      </c>
      <c r="E6024" s="3" t="s">
        <v>6099</v>
      </c>
      <c r="F6024" s="3" t="s">
        <v>6100</v>
      </c>
      <c r="G6024" s="3">
        <v>13619</v>
      </c>
      <c r="H6024" s="7" t="str">
        <f>HYPERLINK("http://www.ensembl.org/Mus_musculus/Gene/Summary?db=core;g=ENSMUSG00000040669","ENSMUSG00000040669")</f>
        <v>ENSMUSG00000040669</v>
      </c>
      <c r="I6024" s="7" t="str">
        <f>HYPERLINK("http://www.informatics.jax.org/marker/MGI:103248","MGI:103248")</f>
        <v>MGI:103248</v>
      </c>
      <c r="J6024" s="4" t="s">
        <v>12</v>
      </c>
    </row>
    <row r="6025" spans="1:10" x14ac:dyDescent="0.25">
      <c r="A6025" s="2">
        <v>2218.8013249607502</v>
      </c>
      <c r="B6025" s="3">
        <v>-0.66393130492400698</v>
      </c>
      <c r="C6025" s="5">
        <v>8.01120900385318E-29</v>
      </c>
      <c r="D6025" s="6">
        <v>1.8742526841492199E-27</v>
      </c>
      <c r="E6025" s="3" t="s">
        <v>1959</v>
      </c>
      <c r="F6025" s="3" t="s">
        <v>1960</v>
      </c>
      <c r="G6025" s="3">
        <v>76088</v>
      </c>
      <c r="H6025" s="7" t="str">
        <f>HYPERLINK("http://www.ensembl.org/Mus_musculus/Gene/Summary?db=core;g=ENSMUSG00000052085","ENSMUSG00000052085")</f>
        <v>ENSMUSG00000052085</v>
      </c>
      <c r="I6025" s="7" t="str">
        <f>HYPERLINK("http://www.informatics.jax.org/marker/MGI:1921396","MGI:1921396")</f>
        <v>MGI:1921396</v>
      </c>
      <c r="J6025" s="4" t="s">
        <v>12</v>
      </c>
    </row>
    <row r="6026" spans="1:10" x14ac:dyDescent="0.25">
      <c r="A6026" s="2">
        <v>338.42533594281099</v>
      </c>
      <c r="B6026" s="3">
        <v>-0.66415153575541597</v>
      </c>
      <c r="C6026" s="5">
        <v>2.47812741886327E-12</v>
      </c>
      <c r="D6026" s="6">
        <v>2.41906117883144E-11</v>
      </c>
      <c r="E6026" s="3" t="s">
        <v>5793</v>
      </c>
      <c r="F6026" s="3" t="s">
        <v>5794</v>
      </c>
      <c r="G6026" s="3">
        <v>217366</v>
      </c>
      <c r="H6026" s="7" t="str">
        <f>HYPERLINK("http://www.ensembl.org/Mus_musculus/Gene/Summary?db=core;g=ENSMUSG00000025145","ENSMUSG00000025145")</f>
        <v>ENSMUSG00000025145</v>
      </c>
      <c r="I6026" s="7" t="str">
        <f>HYPERLINK("http://www.informatics.jax.org/marker/MGI:2387183","MGI:2387183")</f>
        <v>MGI:2387183</v>
      </c>
      <c r="J6026" s="4" t="s">
        <v>12</v>
      </c>
    </row>
    <row r="6027" spans="1:10" x14ac:dyDescent="0.25">
      <c r="A6027" s="2">
        <v>2085.7563870590202</v>
      </c>
      <c r="B6027" s="3">
        <v>-0.66434703854196298</v>
      </c>
      <c r="C6027" s="5">
        <v>2.4393029375757199E-15</v>
      </c>
      <c r="D6027" s="6">
        <v>2.9189951436190101E-14</v>
      </c>
      <c r="E6027" s="3" t="s">
        <v>3044</v>
      </c>
      <c r="F6027" s="3" t="s">
        <v>3045</v>
      </c>
      <c r="G6027" s="3">
        <v>544963</v>
      </c>
      <c r="H6027" s="7" t="str">
        <f>HYPERLINK("http://www.ensembl.org/Mus_musculus/Gene/Summary?db=core;g=ENSMUSG00000021676","ENSMUSG00000021676")</f>
        <v>ENSMUSG00000021676</v>
      </c>
      <c r="I6027" s="7" t="str">
        <f>HYPERLINK("http://www.informatics.jax.org/marker/MGI:2449975","MGI:2449975")</f>
        <v>MGI:2449975</v>
      </c>
      <c r="J6027" s="4" t="s">
        <v>12</v>
      </c>
    </row>
    <row r="6028" spans="1:10" x14ac:dyDescent="0.25">
      <c r="A6028" s="2">
        <v>143.53215704862299</v>
      </c>
      <c r="B6028" s="3">
        <v>-0.66472081271513195</v>
      </c>
      <c r="C6028" s="5">
        <v>2.097511149952E-10</v>
      </c>
      <c r="D6028" s="6">
        <v>1.74473485658947E-9</v>
      </c>
      <c r="E6028" s="3" t="s">
        <v>8391</v>
      </c>
      <c r="F6028" s="3" t="s">
        <v>8392</v>
      </c>
      <c r="G6028" s="3">
        <v>108168101</v>
      </c>
      <c r="H6028" s="7" t="str">
        <f>HYPERLINK("http://www.ensembl.org/Mus_musculus/Gene/Summary?db=core;g=ENSMUSG00000113204","ENSMUSG00000113204")</f>
        <v>ENSMUSG00000113204</v>
      </c>
      <c r="I6028" s="7" t="str">
        <f>HYPERLINK("http://www.informatics.jax.org/marker/MGI:5826067","MGI:5826067")</f>
        <v>MGI:5826067</v>
      </c>
      <c r="J6028" s="4" t="s">
        <v>939</v>
      </c>
    </row>
    <row r="6029" spans="1:10" x14ac:dyDescent="0.25">
      <c r="A6029" s="2">
        <v>84.574258963328802</v>
      </c>
      <c r="B6029" s="3">
        <v>-0.66550887251997304</v>
      </c>
      <c r="C6029" s="5">
        <v>2.4792396816487298E-5</v>
      </c>
      <c r="D6029" s="4">
        <v>1.14274514916662E-4</v>
      </c>
      <c r="E6029" s="3" t="s">
        <v>10884</v>
      </c>
      <c r="F6029" s="3" t="s">
        <v>10885</v>
      </c>
      <c r="G6029" s="3">
        <v>69288</v>
      </c>
      <c r="H6029" s="7" t="str">
        <f>HYPERLINK("http://www.ensembl.org/Mus_musculus/Gene/Summary?db=core;g=ENSMUSG00000019944","ENSMUSG00000019944")</f>
        <v>ENSMUSG00000019944</v>
      </c>
      <c r="I6029" s="7" t="str">
        <f>HYPERLINK("http://www.informatics.jax.org/marker/MGI:1916538","MGI:1916538")</f>
        <v>MGI:1916538</v>
      </c>
      <c r="J6029" s="4" t="s">
        <v>12</v>
      </c>
    </row>
    <row r="6030" spans="1:10" x14ac:dyDescent="0.25">
      <c r="A6030" s="2">
        <v>156.01808487069701</v>
      </c>
      <c r="B6030" s="3">
        <v>-0.66551123644951304</v>
      </c>
      <c r="C6030" s="5">
        <v>3.82283260476186E-10</v>
      </c>
      <c r="D6030" s="6">
        <v>3.1061580125628599E-9</v>
      </c>
      <c r="E6030" s="3" t="s">
        <v>4717</v>
      </c>
      <c r="F6030" s="3" t="s">
        <v>4718</v>
      </c>
      <c r="G6030" s="3">
        <v>102443351</v>
      </c>
      <c r="H6030" s="7" t="str">
        <f>HYPERLINK("http://www.ensembl.org/Mus_musculus/Gene/Summary?db=core;g=ENSMUSG00000070425","ENSMUSG00000070425")</f>
        <v>ENSMUSG00000070425</v>
      </c>
      <c r="I6030" s="7" t="str">
        <f>HYPERLINK("http://www.informatics.jax.org/marker/MGI:5546370","MGI:5546370")</f>
        <v>MGI:5546370</v>
      </c>
      <c r="J6030" s="4" t="s">
        <v>12</v>
      </c>
    </row>
    <row r="6031" spans="1:10" x14ac:dyDescent="0.25">
      <c r="A6031" s="2">
        <v>612.02662771134203</v>
      </c>
      <c r="B6031" s="3">
        <v>-0.665915382674375</v>
      </c>
      <c r="C6031" s="5">
        <v>1.0154726524769899E-12</v>
      </c>
      <c r="D6031" s="6">
        <v>1.0258863132701299E-11</v>
      </c>
      <c r="E6031" s="3" t="s">
        <v>2675</v>
      </c>
      <c r="F6031" s="3" t="s">
        <v>2676</v>
      </c>
      <c r="G6031" s="3">
        <v>333789</v>
      </c>
      <c r="H6031" s="7" t="str">
        <f>HYPERLINK("http://www.ensembl.org/Mus_musculus/Gene/Summary?db=core;g=ENSMUSG00000037795","ENSMUSG00000037795")</f>
        <v>ENSMUSG00000037795</v>
      </c>
      <c r="I6031" s="7" t="str">
        <f>HYPERLINK("http://www.informatics.jax.org/marker/MGI:2684414","MGI:2684414")</f>
        <v>MGI:2684414</v>
      </c>
      <c r="J6031" s="4" t="s">
        <v>12</v>
      </c>
    </row>
    <row r="6032" spans="1:10" x14ac:dyDescent="0.25">
      <c r="A6032" s="2">
        <v>36.337261762529501</v>
      </c>
      <c r="B6032" s="3">
        <v>-0.66665192586719502</v>
      </c>
      <c r="C6032" s="3">
        <v>2.1060629324041601E-4</v>
      </c>
      <c r="D6032" s="4">
        <v>8.3405034643776305E-4</v>
      </c>
      <c r="E6032" s="3" t="s">
        <v>4969</v>
      </c>
      <c r="F6032" s="3" t="s">
        <v>4970</v>
      </c>
      <c r="G6032" s="3">
        <v>66443</v>
      </c>
      <c r="H6032" s="7" t="str">
        <f>HYPERLINK("http://www.ensembl.org/Mus_musculus/Gene/Summary?db=core;g=ENSMUSG00000044469","ENSMUSG00000044469")</f>
        <v>ENSMUSG00000044469</v>
      </c>
      <c r="I6032" s="7" t="str">
        <f>HYPERLINK("http://www.informatics.jax.org/marker/MGI:1913693","MGI:1913693")</f>
        <v>MGI:1913693</v>
      </c>
      <c r="J6032" s="4" t="s">
        <v>12</v>
      </c>
    </row>
    <row r="6033" spans="1:10" x14ac:dyDescent="0.25">
      <c r="A6033" s="2">
        <v>498.917798577648</v>
      </c>
      <c r="B6033" s="3">
        <v>-0.66684377642888604</v>
      </c>
      <c r="C6033" s="5">
        <v>1.6780525801258101E-16</v>
      </c>
      <c r="D6033" s="6">
        <v>2.1766909802699499E-15</v>
      </c>
      <c r="E6033" s="3" t="s">
        <v>2657</v>
      </c>
      <c r="F6033" s="3" t="s">
        <v>2658</v>
      </c>
      <c r="G6033" s="3">
        <v>13864</v>
      </c>
      <c r="H6033" s="7" t="str">
        <f>HYPERLINK("http://www.ensembl.org/Mus_musculus/Gene/Summary?db=core;g=ENSMUSG00000002393","ENSMUSG00000002393")</f>
        <v>ENSMUSG00000002393</v>
      </c>
      <c r="I6033" s="7" t="str">
        <f>HYPERLINK("http://www.informatics.jax.org/marker/MGI:1352453","MGI:1352453")</f>
        <v>MGI:1352453</v>
      </c>
      <c r="J6033" s="4" t="s">
        <v>12</v>
      </c>
    </row>
    <row r="6034" spans="1:10" x14ac:dyDescent="0.25">
      <c r="A6034" s="2">
        <v>1262.74797951051</v>
      </c>
      <c r="B6034" s="3">
        <v>-0.66713527536353801</v>
      </c>
      <c r="C6034" s="5">
        <v>1.0367561313560699E-8</v>
      </c>
      <c r="D6034" s="6">
        <v>7.2117864480779905E-8</v>
      </c>
      <c r="E6034" s="3" t="s">
        <v>5706</v>
      </c>
      <c r="F6034" s="3" t="s">
        <v>83</v>
      </c>
      <c r="G6034" s="3" t="s">
        <v>83</v>
      </c>
      <c r="H6034" s="7" t="str">
        <f>HYPERLINK("http://www.ensembl.org/Mus_musculus/Gene/Summary?db=core;g=ENSMUSG00000095041","ENSMUSG00000095041")</f>
        <v>ENSMUSG00000095041</v>
      </c>
      <c r="I6034" s="3" t="s">
        <v>83</v>
      </c>
      <c r="J6034" s="4" t="s">
        <v>12</v>
      </c>
    </row>
    <row r="6035" spans="1:10" x14ac:dyDescent="0.25">
      <c r="A6035" s="2">
        <v>165.53277977414399</v>
      </c>
      <c r="B6035" s="3">
        <v>-0.66715010142988096</v>
      </c>
      <c r="C6035" s="5">
        <v>1.1935133111543101E-9</v>
      </c>
      <c r="D6035" s="6">
        <v>9.18571794585615E-9</v>
      </c>
      <c r="E6035" s="3" t="s">
        <v>2261</v>
      </c>
      <c r="F6035" s="3" t="s">
        <v>2262</v>
      </c>
      <c r="G6035" s="3">
        <v>29869</v>
      </c>
      <c r="H6035" s="7" t="str">
        <f>HYPERLINK("http://www.ensembl.org/Mus_musculus/Gene/Summary?db=core;g=ENSMUSG00000004798","ENSMUSG00000004798")</f>
        <v>ENSMUSG00000004798</v>
      </c>
      <c r="I6035" s="7" t="str">
        <f>HYPERLINK("http://www.informatics.jax.org/marker/MGI:1352758","MGI:1352758")</f>
        <v>MGI:1352758</v>
      </c>
      <c r="J6035" s="4" t="s">
        <v>12</v>
      </c>
    </row>
    <row r="6036" spans="1:10" x14ac:dyDescent="0.25">
      <c r="A6036" s="2">
        <v>551.06089102560099</v>
      </c>
      <c r="B6036" s="3">
        <v>-0.66715418659074399</v>
      </c>
      <c r="C6036" s="5">
        <v>1.08778409026167E-7</v>
      </c>
      <c r="D6036" s="6">
        <v>6.7846902960365702E-7</v>
      </c>
      <c r="E6036" s="3" t="s">
        <v>3414</v>
      </c>
      <c r="F6036" s="3" t="s">
        <v>3415</v>
      </c>
      <c r="G6036" s="3">
        <v>67484</v>
      </c>
      <c r="H6036" s="7" t="str">
        <f>HYPERLINK("http://www.ensembl.org/Mus_musculus/Gene/Summary?db=core;g=ENSMUSG00000036611","ENSMUSG00000036611")</f>
        <v>ENSMUSG00000036611</v>
      </c>
      <c r="I6036" s="7" t="str">
        <f>HYPERLINK("http://www.informatics.jax.org/marker/MGI:1914734","MGI:1914734")</f>
        <v>MGI:1914734</v>
      </c>
      <c r="J6036" s="4" t="s">
        <v>12</v>
      </c>
    </row>
    <row r="6037" spans="1:10" x14ac:dyDescent="0.25">
      <c r="A6037" s="2">
        <v>2837.98098730627</v>
      </c>
      <c r="B6037" s="3">
        <v>-0.66727912169534298</v>
      </c>
      <c r="C6037" s="5">
        <v>3.1921054053980202E-30</v>
      </c>
      <c r="D6037" s="6">
        <v>7.9475575154889199E-29</v>
      </c>
      <c r="E6037" s="3" t="s">
        <v>728</v>
      </c>
      <c r="F6037" s="3" t="s">
        <v>729</v>
      </c>
      <c r="G6037" s="3">
        <v>252972</v>
      </c>
      <c r="H6037" s="7" t="str">
        <f>HYPERLINK("http://www.ensembl.org/Mus_musculus/Gene/Summary?db=core;g=ENSMUSG00000032741","ENSMUSG00000032741")</f>
        <v>ENSMUSG00000032741</v>
      </c>
      <c r="I6037" s="7" t="str">
        <f>HYPERLINK("http://www.informatics.jax.org/marker/MGI:2182472","MGI:2182472")</f>
        <v>MGI:2182472</v>
      </c>
      <c r="J6037" s="4" t="s">
        <v>12</v>
      </c>
    </row>
    <row r="6038" spans="1:10" x14ac:dyDescent="0.25">
      <c r="A6038" s="2">
        <v>381.701880867814</v>
      </c>
      <c r="B6038" s="3">
        <v>-0.667347315741599</v>
      </c>
      <c r="C6038" s="5">
        <v>1.7759804836318199E-10</v>
      </c>
      <c r="D6038" s="6">
        <v>1.4867820080013701E-9</v>
      </c>
      <c r="E6038" s="3" t="s">
        <v>2559</v>
      </c>
      <c r="F6038" s="3" t="s">
        <v>2560</v>
      </c>
      <c r="G6038" s="3">
        <v>216846</v>
      </c>
      <c r="H6038" s="7" t="str">
        <f>HYPERLINK("http://www.ensembl.org/Mus_musculus/Gene/Summary?db=core;g=ENSMUSG00000032782","ENSMUSG00000032782")</f>
        <v>ENSMUSG00000032782</v>
      </c>
      <c r="I6038" s="7" t="str">
        <f>HYPERLINK("http://www.informatics.jax.org/marker/MGI:2443290","MGI:2443290")</f>
        <v>MGI:2443290</v>
      </c>
      <c r="J6038" s="4" t="s">
        <v>12</v>
      </c>
    </row>
    <row r="6039" spans="1:10" x14ac:dyDescent="0.25">
      <c r="A6039" s="2">
        <v>615.71352379440498</v>
      </c>
      <c r="B6039" s="3">
        <v>-0.66769588484476605</v>
      </c>
      <c r="C6039" s="5">
        <v>6.4503215165994398E-26</v>
      </c>
      <c r="D6039" s="6">
        <v>1.34504702105291E-24</v>
      </c>
      <c r="E6039" s="3" t="s">
        <v>1005</v>
      </c>
      <c r="F6039" s="3" t="s">
        <v>1006</v>
      </c>
      <c r="G6039" s="3">
        <v>226525</v>
      </c>
      <c r="H6039" s="7" t="str">
        <f>HYPERLINK("http://www.ensembl.org/Mus_musculus/Gene/Summary?db=core;g=ENSMUSG00000070565","ENSMUSG00000070565")</f>
        <v>ENSMUSG00000070565</v>
      </c>
      <c r="I6039" s="7" t="str">
        <f>HYPERLINK("http://www.informatics.jax.org/marker/MGI:2443881","MGI:2443881")</f>
        <v>MGI:2443881</v>
      </c>
      <c r="J6039" s="4" t="s">
        <v>12</v>
      </c>
    </row>
    <row r="6040" spans="1:10" x14ac:dyDescent="0.25">
      <c r="A6040" s="2">
        <v>135.040264567919</v>
      </c>
      <c r="B6040" s="3">
        <v>-0.66792729994730304</v>
      </c>
      <c r="C6040" s="5">
        <v>5.7156728634815699E-7</v>
      </c>
      <c r="D6040" s="6">
        <v>3.2613693781137001E-6</v>
      </c>
      <c r="E6040" s="3" t="s">
        <v>6039</v>
      </c>
      <c r="F6040" s="3" t="s">
        <v>6040</v>
      </c>
      <c r="G6040" s="3">
        <v>21833</v>
      </c>
      <c r="H6040" s="7" t="str">
        <f>HYPERLINK("http://www.ensembl.org/Mus_musculus/Gene/Summary?db=core;g=ENSMUSG00000058756","ENSMUSG00000058756")</f>
        <v>ENSMUSG00000058756</v>
      </c>
      <c r="I6040" s="7" t="str">
        <f>HYPERLINK("http://www.informatics.jax.org/marker/MGI:98742","MGI:98742")</f>
        <v>MGI:98742</v>
      </c>
      <c r="J6040" s="4" t="s">
        <v>12</v>
      </c>
    </row>
    <row r="6041" spans="1:10" x14ac:dyDescent="0.25">
      <c r="A6041" s="2">
        <v>105.516120557709</v>
      </c>
      <c r="B6041" s="3">
        <v>-0.66813783800429305</v>
      </c>
      <c r="C6041" s="5">
        <v>4.9149162203387802E-8</v>
      </c>
      <c r="D6041" s="6">
        <v>3.1618195593249001E-7</v>
      </c>
      <c r="E6041" s="3" t="s">
        <v>6125</v>
      </c>
      <c r="F6041" s="3" t="s">
        <v>6126</v>
      </c>
      <c r="G6041" s="3">
        <v>232089</v>
      </c>
      <c r="H6041" s="7" t="str">
        <f>HYPERLINK("http://www.ensembl.org/Mus_musculus/Gene/Summary?db=core;g=ENSMUSG00000056698","ENSMUSG00000056698")</f>
        <v>ENSMUSG00000056698</v>
      </c>
      <c r="I6041" s="7" t="str">
        <f>HYPERLINK("http://www.informatics.jax.org/marker/MGI:2445168","MGI:2445168")</f>
        <v>MGI:2445168</v>
      </c>
      <c r="J6041" s="4" t="s">
        <v>12</v>
      </c>
    </row>
    <row r="6042" spans="1:10" x14ac:dyDescent="0.25">
      <c r="A6042" s="2">
        <v>666.69882669356605</v>
      </c>
      <c r="B6042" s="3">
        <v>-0.66842883994746005</v>
      </c>
      <c r="C6042" s="5">
        <v>8.1155219492611205E-7</v>
      </c>
      <c r="D6042" s="6">
        <v>4.5537373006552896E-6</v>
      </c>
      <c r="E6042" s="3" t="s">
        <v>6750</v>
      </c>
      <c r="F6042" s="3" t="s">
        <v>6751</v>
      </c>
      <c r="G6042" s="3">
        <v>66977</v>
      </c>
      <c r="H6042" s="7" t="str">
        <f>HYPERLINK("http://www.ensembl.org/Mus_musculus/Gene/Summary?db=core;g=ENSMUSG00000026683","ENSMUSG00000026683")</f>
        <v>ENSMUSG00000026683</v>
      </c>
      <c r="I6042" s="7" t="str">
        <f>HYPERLINK("http://www.informatics.jax.org/marker/MGI:1914227","MGI:1914227")</f>
        <v>MGI:1914227</v>
      </c>
      <c r="J6042" s="4" t="s">
        <v>12</v>
      </c>
    </row>
    <row r="6043" spans="1:10" x14ac:dyDescent="0.25">
      <c r="A6043" s="2">
        <v>69.152771589735295</v>
      </c>
      <c r="B6043" s="3">
        <v>-0.66861596163075898</v>
      </c>
      <c r="C6043" s="3">
        <v>2.10451088666392E-4</v>
      </c>
      <c r="D6043" s="4">
        <v>8.33616842196261E-4</v>
      </c>
      <c r="E6043" s="3" t="s">
        <v>5843</v>
      </c>
      <c r="F6043" s="3" t="s">
        <v>5844</v>
      </c>
      <c r="G6043" s="3">
        <v>272347</v>
      </c>
      <c r="H6043" s="7" t="str">
        <f>HYPERLINK("http://www.ensembl.org/Mus_musculus/Gene/Summary?db=core;g=ENSMUSG00000062519","ENSMUSG00000062519")</f>
        <v>ENSMUSG00000062519</v>
      </c>
      <c r="I6043" s="7" t="str">
        <f>HYPERLINK("http://www.informatics.jax.org/marker/MGI:1917856","MGI:1917856")</f>
        <v>MGI:1917856</v>
      </c>
      <c r="J6043" s="4" t="s">
        <v>12</v>
      </c>
    </row>
    <row r="6044" spans="1:10" x14ac:dyDescent="0.25">
      <c r="A6044" s="2">
        <v>356.41239415619498</v>
      </c>
      <c r="B6044" s="3">
        <v>-0.66908110153491296</v>
      </c>
      <c r="C6044" s="5">
        <v>2.6393308821294701E-10</v>
      </c>
      <c r="D6044" s="6">
        <v>2.1814877699233401E-9</v>
      </c>
      <c r="E6044" s="3" t="s">
        <v>3780</v>
      </c>
      <c r="F6044" s="3" t="s">
        <v>3781</v>
      </c>
      <c r="G6044" s="3">
        <v>94192</v>
      </c>
      <c r="H6044" s="7" t="str">
        <f>HYPERLINK("http://www.ensembl.org/Mus_musculus/Gene/Summary?db=core;g=ENSMUSG00000042460","ENSMUSG00000042460")</f>
        <v>ENSMUSG00000042460</v>
      </c>
      <c r="I6044" s="7" t="str">
        <f>HYPERLINK("http://www.informatics.jax.org/marker/MGI:2151071","MGI:2151071")</f>
        <v>MGI:2151071</v>
      </c>
      <c r="J6044" s="4" t="s">
        <v>12</v>
      </c>
    </row>
    <row r="6045" spans="1:10" x14ac:dyDescent="0.25">
      <c r="A6045" s="2">
        <v>244.06794868077</v>
      </c>
      <c r="B6045" s="3">
        <v>-0.67112727248006698</v>
      </c>
      <c r="C6045" s="5">
        <v>1.54552014576597E-8</v>
      </c>
      <c r="D6045" s="6">
        <v>1.05534299949737E-7</v>
      </c>
      <c r="E6045" s="3" t="s">
        <v>4673</v>
      </c>
      <c r="F6045" s="3" t="s">
        <v>4674</v>
      </c>
      <c r="G6045" s="3">
        <v>66375</v>
      </c>
      <c r="H6045" s="7" t="str">
        <f>HYPERLINK("http://www.ensembl.org/Mus_musculus/Gene/Summary?db=core;g=ENSMUSG00000021094","ENSMUSG00000021094")</f>
        <v>ENSMUSG00000021094</v>
      </c>
      <c r="I6045" s="7" t="str">
        <f>HYPERLINK("http://www.informatics.jax.org/marker/MGI:1913625","MGI:1913625")</f>
        <v>MGI:1913625</v>
      </c>
      <c r="J6045" s="4" t="s">
        <v>12</v>
      </c>
    </row>
    <row r="6046" spans="1:10" x14ac:dyDescent="0.25">
      <c r="A6046" s="2">
        <v>404.969975862034</v>
      </c>
      <c r="B6046" s="3">
        <v>-0.67180341842417102</v>
      </c>
      <c r="C6046" s="5">
        <v>1.47055386288502E-18</v>
      </c>
      <c r="D6046" s="6">
        <v>2.13722840120251E-17</v>
      </c>
      <c r="E6046" s="3" t="s">
        <v>1186</v>
      </c>
      <c r="F6046" s="3" t="s">
        <v>1187</v>
      </c>
      <c r="G6046" s="3">
        <v>236266</v>
      </c>
      <c r="H6046" s="7" t="str">
        <f>HYPERLINK("http://www.ensembl.org/Mus_musculus/Gene/Summary?db=core;g=ENSMUSG00000063810","ENSMUSG00000063810")</f>
        <v>ENSMUSG00000063810</v>
      </c>
      <c r="I6046" s="7" t="str">
        <f>HYPERLINK("http://www.informatics.jax.org/marker/MGI:1934606","MGI:1934606")</f>
        <v>MGI:1934606</v>
      </c>
      <c r="J6046" s="4" t="s">
        <v>12</v>
      </c>
    </row>
    <row r="6047" spans="1:10" x14ac:dyDescent="0.25">
      <c r="A6047" s="2">
        <v>42.447672579893997</v>
      </c>
      <c r="B6047" s="3">
        <v>-0.67185193161079204</v>
      </c>
      <c r="C6047" s="3">
        <v>2.66867216895269E-4</v>
      </c>
      <c r="D6047" s="4">
        <v>1.0340131693928399E-3</v>
      </c>
      <c r="E6047" s="3" t="s">
        <v>9805</v>
      </c>
      <c r="F6047" s="3" t="s">
        <v>9806</v>
      </c>
      <c r="G6047" s="3">
        <v>381511</v>
      </c>
      <c r="H6047" s="7" t="str">
        <f>HYPERLINK("http://www.ensembl.org/Mus_musculus/Gene/Summary?db=core;g=ENSMUSG00000049225","ENSMUSG00000049225")</f>
        <v>ENSMUSG00000049225</v>
      </c>
      <c r="I6047" s="7" t="str">
        <f>HYPERLINK("http://www.informatics.jax.org/marker/MGI:2685870","MGI:2685870")</f>
        <v>MGI:2685870</v>
      </c>
      <c r="J6047" s="4" t="s">
        <v>12</v>
      </c>
    </row>
    <row r="6048" spans="1:10" x14ac:dyDescent="0.25">
      <c r="A6048" s="2">
        <v>636.33686771676901</v>
      </c>
      <c r="B6048" s="3">
        <v>-0.67201282743489499</v>
      </c>
      <c r="C6048" s="5">
        <v>9.9533923268122298E-15</v>
      </c>
      <c r="D6048" s="6">
        <v>1.15248141776463E-13</v>
      </c>
      <c r="E6048" s="3" t="s">
        <v>2631</v>
      </c>
      <c r="F6048" s="3" t="s">
        <v>2632</v>
      </c>
      <c r="G6048" s="3">
        <v>277939</v>
      </c>
      <c r="H6048" s="7" t="str">
        <f>HYPERLINK("http://www.ensembl.org/Mus_musculus/Gene/Summary?db=core;g=ENSMUSG00000047248","ENSMUSG00000047248")</f>
        <v>ENSMUSG00000047248</v>
      </c>
      <c r="I6048" s="7" t="str">
        <f>HYPERLINK("http://www.informatics.jax.org/marker/MGI:2142166","MGI:2142166")</f>
        <v>MGI:2142166</v>
      </c>
      <c r="J6048" s="4" t="s">
        <v>12</v>
      </c>
    </row>
    <row r="6049" spans="1:10" x14ac:dyDescent="0.25">
      <c r="A6049" s="2">
        <v>241.55914087759899</v>
      </c>
      <c r="B6049" s="3">
        <v>-0.67210249321766702</v>
      </c>
      <c r="C6049" s="5">
        <v>1.9941260296895399E-14</v>
      </c>
      <c r="D6049" s="6">
        <v>2.2573258938566301E-13</v>
      </c>
      <c r="E6049" s="3" t="s">
        <v>4033</v>
      </c>
      <c r="F6049" s="3" t="s">
        <v>4034</v>
      </c>
      <c r="G6049" s="3">
        <v>217473</v>
      </c>
      <c r="H6049" s="7" t="str">
        <f>HYPERLINK("http://www.ensembl.org/Mus_musculus/Gene/Summary?db=core;g=ENSMUSG00000036188","ENSMUSG00000036188")</f>
        <v>ENSMUSG00000036188</v>
      </c>
      <c r="I6049" s="7" t="str">
        <f>HYPERLINK("http://www.informatics.jax.org/marker/MGI:2144755","MGI:2144755")</f>
        <v>MGI:2144755</v>
      </c>
      <c r="J6049" s="4" t="s">
        <v>12</v>
      </c>
    </row>
    <row r="6050" spans="1:10" x14ac:dyDescent="0.25">
      <c r="A6050" s="2">
        <v>375.38520865897999</v>
      </c>
      <c r="B6050" s="3">
        <v>-0.67282843229364697</v>
      </c>
      <c r="C6050" s="5">
        <v>1.8488682875860199E-10</v>
      </c>
      <c r="D6050" s="6">
        <v>1.5456708505163E-9</v>
      </c>
      <c r="E6050" s="3" t="s">
        <v>3098</v>
      </c>
      <c r="F6050" s="3" t="s">
        <v>3099</v>
      </c>
      <c r="G6050" s="3">
        <v>19362</v>
      </c>
      <c r="H6050" s="7" t="str">
        <f>HYPERLINK("http://www.ensembl.org/Mus_musculus/Gene/Summary?db=core;g=ENSMUSG00000030346","ENSMUSG00000030346")</f>
        <v>ENSMUSG00000030346</v>
      </c>
      <c r="I6050" s="7" t="str">
        <f>HYPERLINK("http://www.informatics.jax.org/marker/MGI:1098224","MGI:1098224")</f>
        <v>MGI:1098224</v>
      </c>
      <c r="J6050" s="4" t="s">
        <v>12</v>
      </c>
    </row>
    <row r="6051" spans="1:10" x14ac:dyDescent="0.25">
      <c r="A6051" s="2">
        <v>164.055957962798</v>
      </c>
      <c r="B6051" s="3">
        <v>-0.67291030535679797</v>
      </c>
      <c r="C6051" s="5">
        <v>6.1507967669105702E-13</v>
      </c>
      <c r="D6051" s="6">
        <v>6.3368157759720298E-12</v>
      </c>
      <c r="E6051" s="3" t="s">
        <v>4869</v>
      </c>
      <c r="F6051" s="3" t="s">
        <v>4870</v>
      </c>
      <c r="G6051" s="3">
        <v>74025</v>
      </c>
      <c r="H6051" s="7" t="str">
        <f>HYPERLINK("http://www.ensembl.org/Mus_musculus/Gene/Summary?db=core;g=ENSMUSG00000032558","ENSMUSG00000032558")</f>
        <v>ENSMUSG00000032558</v>
      </c>
      <c r="I6051" s="7" t="str">
        <f>HYPERLINK("http://www.informatics.jax.org/marker/MGI:1921275","MGI:1921275")</f>
        <v>MGI:1921275</v>
      </c>
      <c r="J6051" s="4" t="s">
        <v>12</v>
      </c>
    </row>
    <row r="6052" spans="1:10" x14ac:dyDescent="0.25">
      <c r="A6052" s="2">
        <v>237.310354994683</v>
      </c>
      <c r="B6052" s="3">
        <v>-0.67293373186708205</v>
      </c>
      <c r="C6052" s="5">
        <v>9.8248225421022394E-11</v>
      </c>
      <c r="D6052" s="6">
        <v>8.3946268555936805E-10</v>
      </c>
      <c r="E6052" s="3" t="s">
        <v>5491</v>
      </c>
      <c r="F6052" s="3" t="s">
        <v>5492</v>
      </c>
      <c r="G6052" s="3">
        <v>66403</v>
      </c>
      <c r="H6052" s="7" t="str">
        <f>HYPERLINK("http://www.ensembl.org/Mus_musculus/Gene/Summary?db=core;g=ENSMUSG00000019857","ENSMUSG00000019857")</f>
        <v>ENSMUSG00000019857</v>
      </c>
      <c r="I6052" s="7" t="str">
        <f>HYPERLINK("http://www.informatics.jax.org/marker/MGI:1913653","MGI:1913653")</f>
        <v>MGI:1913653</v>
      </c>
      <c r="J6052" s="4" t="s">
        <v>12</v>
      </c>
    </row>
    <row r="6053" spans="1:10" x14ac:dyDescent="0.25">
      <c r="A6053" s="2">
        <v>1492.03366792869</v>
      </c>
      <c r="B6053" s="3">
        <v>-0.67296347985855698</v>
      </c>
      <c r="C6053" s="5">
        <v>1.68525321491146E-29</v>
      </c>
      <c r="D6053" s="6">
        <v>4.0680450121538302E-28</v>
      </c>
      <c r="E6053" s="3" t="s">
        <v>1039</v>
      </c>
      <c r="F6053" s="3" t="s">
        <v>1040</v>
      </c>
      <c r="G6053" s="3">
        <v>19718</v>
      </c>
      <c r="H6053" s="7" t="str">
        <f>HYPERLINK("http://www.ensembl.org/Mus_musculus/Gene/Summary?db=core;g=ENSMUSG00000023104","ENSMUSG00000023104")</f>
        <v>ENSMUSG00000023104</v>
      </c>
      <c r="I6053" s="7" t="str">
        <f>HYPERLINK("http://www.informatics.jax.org/marker/MGI:1341868","MGI:1341868")</f>
        <v>MGI:1341868</v>
      </c>
      <c r="J6053" s="4" t="s">
        <v>12</v>
      </c>
    </row>
    <row r="6054" spans="1:10" x14ac:dyDescent="0.25">
      <c r="A6054" s="2">
        <v>65.267368241912706</v>
      </c>
      <c r="B6054" s="3">
        <v>-0.67374262211160296</v>
      </c>
      <c r="C6054" s="5">
        <v>5.4396756218497004E-7</v>
      </c>
      <c r="D6054" s="6">
        <v>3.11363342362471E-6</v>
      </c>
      <c r="E6054" s="3" t="s">
        <v>4435</v>
      </c>
      <c r="F6054" s="3" t="s">
        <v>4436</v>
      </c>
      <c r="G6054" s="3">
        <v>21778</v>
      </c>
      <c r="H6054" s="7" t="str">
        <f>HYPERLINK("http://www.ensembl.org/Mus_musculus/Gene/Summary?db=core;g=ENSMUSG00000090626","ENSMUSG00000090626")</f>
        <v>ENSMUSG00000090626</v>
      </c>
      <c r="I6054" s="7" t="str">
        <f>HYPERLINK("http://www.informatics.jax.org/marker/MGI:1201610","MGI:1201610")</f>
        <v>MGI:1201610</v>
      </c>
      <c r="J6054" s="4" t="s">
        <v>12</v>
      </c>
    </row>
    <row r="6055" spans="1:10" x14ac:dyDescent="0.25">
      <c r="A6055" s="2">
        <v>65.976519631908204</v>
      </c>
      <c r="B6055" s="3">
        <v>-0.67397529291673897</v>
      </c>
      <c r="C6055" s="3">
        <v>2.32152364399969E-4</v>
      </c>
      <c r="D6055" s="4">
        <v>9.1165198043297404E-4</v>
      </c>
      <c r="E6055" s="3" t="s">
        <v>7474</v>
      </c>
      <c r="F6055" s="3" t="s">
        <v>7475</v>
      </c>
      <c r="G6055" s="3">
        <v>233651</v>
      </c>
      <c r="H6055" s="7" t="str">
        <f>HYPERLINK("http://www.ensembl.org/Mus_musculus/Gene/Summary?db=core;g=ENSMUSG00000036862","ENSMUSG00000036862")</f>
        <v>ENSMUSG00000036862</v>
      </c>
      <c r="I6055" s="7" t="str">
        <f>HYPERLINK("http://www.informatics.jax.org/marker/MGI:2685011","MGI:2685011")</f>
        <v>MGI:2685011</v>
      </c>
      <c r="J6055" s="4" t="s">
        <v>12</v>
      </c>
    </row>
    <row r="6056" spans="1:10" x14ac:dyDescent="0.25">
      <c r="A6056" s="2">
        <v>352.39595100157999</v>
      </c>
      <c r="B6056" s="3">
        <v>-0.67411100309601402</v>
      </c>
      <c r="C6056" s="5">
        <v>6.4441985493922501E-15</v>
      </c>
      <c r="D6056" s="6">
        <v>7.5285588822226805E-14</v>
      </c>
      <c r="E6056" s="3" t="s">
        <v>2095</v>
      </c>
      <c r="F6056" s="3" t="s">
        <v>2096</v>
      </c>
      <c r="G6056" s="3">
        <v>102448</v>
      </c>
      <c r="H6056" s="7" t="str">
        <f>HYPERLINK("http://www.ensembl.org/Mus_musculus/Gene/Summary?db=core;g=ENSMUSG00000035769","ENSMUSG00000035769")</f>
        <v>ENSMUSG00000035769</v>
      </c>
      <c r="I6056" s="7" t="str">
        <f>HYPERLINK("http://www.informatics.jax.org/marker/MGI:2142985","MGI:2142985")</f>
        <v>MGI:2142985</v>
      </c>
      <c r="J6056" s="4" t="s">
        <v>12</v>
      </c>
    </row>
    <row r="6057" spans="1:10" x14ac:dyDescent="0.25">
      <c r="A6057" s="2">
        <v>422.17495977664902</v>
      </c>
      <c r="B6057" s="3">
        <v>-0.67441926193045898</v>
      </c>
      <c r="C6057" s="5">
        <v>2.0184380633648899E-22</v>
      </c>
      <c r="D6057" s="6">
        <v>3.5853834020297403E-21</v>
      </c>
      <c r="E6057" s="3" t="s">
        <v>1524</v>
      </c>
      <c r="F6057" s="3" t="s">
        <v>1525</v>
      </c>
      <c r="G6057" s="3">
        <v>15893</v>
      </c>
      <c r="H6057" s="7" t="str">
        <f>HYPERLINK("http://www.ensembl.org/Mus_musculus/Gene/Summary?db=core;g=ENSMUSG00000062995","ENSMUSG00000062995")</f>
        <v>ENSMUSG00000062995</v>
      </c>
      <c r="I6057" s="7" t="str">
        <f>HYPERLINK("http://www.informatics.jax.org/marker/MGI:96391","MGI:96391")</f>
        <v>MGI:96391</v>
      </c>
      <c r="J6057" s="4" t="s">
        <v>12</v>
      </c>
    </row>
    <row r="6058" spans="1:10" x14ac:dyDescent="0.25">
      <c r="A6058" s="2">
        <v>299.96020570798203</v>
      </c>
      <c r="B6058" s="3">
        <v>-0.67470851932530396</v>
      </c>
      <c r="C6058" s="5">
        <v>1.5007636496569599E-10</v>
      </c>
      <c r="D6058" s="6">
        <v>1.2680304828464601E-9</v>
      </c>
      <c r="E6058" s="3" t="s">
        <v>3862</v>
      </c>
      <c r="F6058" s="3" t="s">
        <v>3863</v>
      </c>
      <c r="G6058" s="3">
        <v>104086</v>
      </c>
      <c r="H6058" s="7" t="str">
        <f>HYPERLINK("http://www.ensembl.org/Mus_musculus/Gene/Summary?db=core;g=ENSMUSG00000026170","ENSMUSG00000026170")</f>
        <v>ENSMUSG00000026170</v>
      </c>
      <c r="I6058" s="7" t="str">
        <f>HYPERLINK("http://www.informatics.jax.org/marker/MGI:88594","MGI:88594")</f>
        <v>MGI:88594</v>
      </c>
      <c r="J6058" s="4" t="s">
        <v>12</v>
      </c>
    </row>
    <row r="6059" spans="1:10" x14ac:dyDescent="0.25">
      <c r="A6059" s="2">
        <v>49.516057006496098</v>
      </c>
      <c r="B6059" s="3">
        <v>-0.67514718770571003</v>
      </c>
      <c r="C6059" s="3">
        <v>2.7167934825022399E-3</v>
      </c>
      <c r="D6059" s="4">
        <v>8.7141079230206499E-3</v>
      </c>
      <c r="E6059" s="3" t="s">
        <v>10534</v>
      </c>
      <c r="F6059" s="3" t="s">
        <v>10535</v>
      </c>
      <c r="G6059" s="3" t="s">
        <v>83</v>
      </c>
      <c r="H6059" s="7" t="str">
        <f>HYPERLINK("http://www.ensembl.org/Mus_musculus/Gene/Summary?db=core;g=ENSMUSG00000106344","ENSMUSG00000106344")</f>
        <v>ENSMUSG00000106344</v>
      </c>
      <c r="I6059" s="7" t="str">
        <f>HYPERLINK("http://www.informatics.jax.org/marker/MGI:3811416","MGI:3811416")</f>
        <v>MGI:3811416</v>
      </c>
      <c r="J6059" s="4" t="s">
        <v>6715</v>
      </c>
    </row>
    <row r="6060" spans="1:10" x14ac:dyDescent="0.25">
      <c r="A6060" s="2">
        <v>1671.3465783888</v>
      </c>
      <c r="B6060" s="3">
        <v>-0.67524493807069996</v>
      </c>
      <c r="C6060" s="5">
        <v>2.5342388997523198E-13</v>
      </c>
      <c r="D6060" s="6">
        <v>2.6837015658329999E-12</v>
      </c>
      <c r="E6060" s="3" t="s">
        <v>2111</v>
      </c>
      <c r="F6060" s="3" t="s">
        <v>2112</v>
      </c>
      <c r="G6060" s="3">
        <v>17347</v>
      </c>
      <c r="H6060" s="7" t="str">
        <f>HYPERLINK("http://www.ensembl.org/Mus_musculus/Gene/Summary?db=core;g=ENSMUSG00000020190","ENSMUSG00000020190")</f>
        <v>ENSMUSG00000020190</v>
      </c>
      <c r="I6060" s="7" t="str">
        <f>HYPERLINK("http://www.informatics.jax.org/marker/MGI:894279","MGI:894279")</f>
        <v>MGI:894279</v>
      </c>
      <c r="J6060" s="4" t="s">
        <v>12</v>
      </c>
    </row>
    <row r="6061" spans="1:10" x14ac:dyDescent="0.25">
      <c r="A6061" s="2">
        <v>3425.3684373494998</v>
      </c>
      <c r="B6061" s="3">
        <v>-0.67553670234180396</v>
      </c>
      <c r="C6061" s="5">
        <v>1.3018607986953601E-33</v>
      </c>
      <c r="D6061" s="6">
        <v>3.6614834963306899E-32</v>
      </c>
      <c r="E6061" s="3" t="s">
        <v>1326</v>
      </c>
      <c r="F6061" s="3" t="s">
        <v>1327</v>
      </c>
      <c r="G6061" s="3">
        <v>21429</v>
      </c>
      <c r="H6061" s="7" t="str">
        <f>HYPERLINK("http://www.ensembl.org/Mus_musculus/Gene/Summary?db=core;g=ENSMUSG00000020923","ENSMUSG00000020923")</f>
        <v>ENSMUSG00000020923</v>
      </c>
      <c r="I6061" s="7" t="str">
        <f>HYPERLINK("http://www.informatics.jax.org/marker/MGI:98512","MGI:98512")</f>
        <v>MGI:98512</v>
      </c>
      <c r="J6061" s="4" t="s">
        <v>12</v>
      </c>
    </row>
    <row r="6062" spans="1:10" x14ac:dyDescent="0.25">
      <c r="A6062" s="2">
        <v>287.62707219079601</v>
      </c>
      <c r="B6062" s="3">
        <v>-0.67632441852248004</v>
      </c>
      <c r="C6062" s="5">
        <v>2.8187773390815701E-20</v>
      </c>
      <c r="D6062" s="6">
        <v>4.4788332175031904E-19</v>
      </c>
      <c r="E6062" s="3" t="s">
        <v>4829</v>
      </c>
      <c r="F6062" s="3" t="s">
        <v>4830</v>
      </c>
      <c r="G6062" s="3">
        <v>231014</v>
      </c>
      <c r="H6062" s="7" t="str">
        <f>HYPERLINK("http://www.ensembl.org/Mus_musculus/Gene/Summary?db=core;g=ENSMUSG00000056004","ENSMUSG00000056004")</f>
        <v>ENSMUSG00000056004</v>
      </c>
      <c r="I6062" s="7" t="str">
        <f>HYPERLINK("http://www.informatics.jax.org/marker/MGI:2443264","MGI:2443264")</f>
        <v>MGI:2443264</v>
      </c>
      <c r="J6062" s="4" t="s">
        <v>12</v>
      </c>
    </row>
    <row r="6063" spans="1:10" x14ac:dyDescent="0.25">
      <c r="A6063" s="2">
        <v>892.35101658631504</v>
      </c>
      <c r="B6063" s="3">
        <v>-0.67777312482162</v>
      </c>
      <c r="C6063" s="5">
        <v>2.85914764412572E-15</v>
      </c>
      <c r="D6063" s="6">
        <v>3.41020718679262E-14</v>
      </c>
      <c r="E6063" s="3" t="s">
        <v>2419</v>
      </c>
      <c r="F6063" s="3" t="s">
        <v>2420</v>
      </c>
      <c r="G6063" s="3">
        <v>231871</v>
      </c>
      <c r="H6063" s="7" t="str">
        <f>HYPERLINK("http://www.ensembl.org/Mus_musculus/Gene/Summary?db=core;g=ENSMUSG00000039206","ENSMUSG00000039206")</f>
        <v>ENSMUSG00000039206</v>
      </c>
      <c r="I6063" s="7" t="str">
        <f>HYPERLINK("http://www.informatics.jax.org/marker/MGI:2442032","MGI:2442032")</f>
        <v>MGI:2442032</v>
      </c>
      <c r="J6063" s="4" t="s">
        <v>12</v>
      </c>
    </row>
    <row r="6064" spans="1:10" x14ac:dyDescent="0.25">
      <c r="A6064" s="2">
        <v>10.037137679872799</v>
      </c>
      <c r="B6064" s="3">
        <v>-0.67816989365012104</v>
      </c>
      <c r="C6064" s="3">
        <v>3.3769761441945399E-2</v>
      </c>
      <c r="D6064" s="4">
        <v>8.1538672798019907E-2</v>
      </c>
      <c r="E6064" s="3" t="s">
        <v>10563</v>
      </c>
      <c r="F6064" s="3" t="s">
        <v>10564</v>
      </c>
      <c r="G6064" s="3" t="s">
        <v>83</v>
      </c>
      <c r="H6064" s="7" t="str">
        <f>HYPERLINK("http://www.ensembl.org/Mus_musculus/Gene/Summary?db=core;g=ENSMUSG00000107278","ENSMUSG00000107278")</f>
        <v>ENSMUSG00000107278</v>
      </c>
      <c r="I6064" s="7" t="str">
        <f>HYPERLINK("http://www.informatics.jax.org/marker/MGI:5662737","MGI:5662737")</f>
        <v>MGI:5662737</v>
      </c>
      <c r="J6064" s="4" t="s">
        <v>1828</v>
      </c>
    </row>
    <row r="6065" spans="1:10" x14ac:dyDescent="0.25">
      <c r="A6065" s="2">
        <v>15.459194895001501</v>
      </c>
      <c r="B6065" s="3">
        <v>-0.67861924594520096</v>
      </c>
      <c r="C6065" s="3">
        <v>1.2364350006789E-2</v>
      </c>
      <c r="D6065" s="4">
        <v>3.3850124511601298E-2</v>
      </c>
      <c r="E6065" s="3" t="s">
        <v>9935</v>
      </c>
      <c r="F6065" s="3" t="s">
        <v>9936</v>
      </c>
      <c r="G6065" s="3">
        <v>77945</v>
      </c>
      <c r="H6065" s="7" t="str">
        <f>HYPERLINK("http://www.ensembl.org/Mus_musculus/Gene/Summary?db=core;g=ENSMUSG00000057132","ENSMUSG00000057132")</f>
        <v>ENSMUSG00000057132</v>
      </c>
      <c r="I6065" s="7" t="str">
        <f>HYPERLINK("http://www.informatics.jax.org/marker/MGI:1932134","MGI:1932134")</f>
        <v>MGI:1932134</v>
      </c>
      <c r="J6065" s="4" t="s">
        <v>12</v>
      </c>
    </row>
    <row r="6066" spans="1:10" x14ac:dyDescent="0.25">
      <c r="A6066" s="2">
        <v>182.86934776158</v>
      </c>
      <c r="B6066" s="3">
        <v>-0.67866026452105799</v>
      </c>
      <c r="C6066" s="5">
        <v>1.53494480391987E-7</v>
      </c>
      <c r="D6066" s="6">
        <v>9.4368417689517899E-7</v>
      </c>
      <c r="E6066" s="3" t="s">
        <v>5007</v>
      </c>
      <c r="F6066" s="3" t="s">
        <v>5008</v>
      </c>
      <c r="G6066" s="3">
        <v>320365</v>
      </c>
      <c r="H6066" s="7" t="str">
        <f>HYPERLINK("http://www.ensembl.org/Mus_musculus/Gene/Summary?db=core;g=ENSMUSG00000056602","ENSMUSG00000056602")</f>
        <v>ENSMUSG00000056602</v>
      </c>
      <c r="I6066" s="7" t="str">
        <f>HYPERLINK("http://www.informatics.jax.org/marker/MGI:2443895","MGI:2443895")</f>
        <v>MGI:2443895</v>
      </c>
      <c r="J6066" s="4" t="s">
        <v>12</v>
      </c>
    </row>
    <row r="6067" spans="1:10" x14ac:dyDescent="0.25">
      <c r="A6067" s="2">
        <v>39.287151210983197</v>
      </c>
      <c r="B6067" s="3">
        <v>-0.67901161516558595</v>
      </c>
      <c r="C6067" s="3">
        <v>1.0034061596643499E-4</v>
      </c>
      <c r="D6067" s="4">
        <v>4.1952459875849602E-4</v>
      </c>
      <c r="E6067" s="3" t="s">
        <v>8325</v>
      </c>
      <c r="F6067" s="3" t="s">
        <v>8326</v>
      </c>
      <c r="G6067" s="3">
        <v>73451</v>
      </c>
      <c r="H6067" s="7" t="str">
        <f>HYPERLINK("http://www.ensembl.org/Mus_musculus/Gene/Summary?db=core;g=ENSMUSG00000067430","ENSMUSG00000067430")</f>
        <v>ENSMUSG00000067430</v>
      </c>
      <c r="I6067" s="7" t="str">
        <f>HYPERLINK("http://www.informatics.jax.org/marker/MGI:1920701","MGI:1920701")</f>
        <v>MGI:1920701</v>
      </c>
      <c r="J6067" s="4" t="s">
        <v>12</v>
      </c>
    </row>
    <row r="6068" spans="1:10" x14ac:dyDescent="0.25">
      <c r="A6068" s="2">
        <v>369.228780340551</v>
      </c>
      <c r="B6068" s="3">
        <v>-0.67967802887524598</v>
      </c>
      <c r="C6068" s="5">
        <v>3.9725737899641399E-19</v>
      </c>
      <c r="D6068" s="6">
        <v>5.9539603060934498E-18</v>
      </c>
      <c r="E6068" s="3" t="s">
        <v>1648</v>
      </c>
      <c r="F6068" s="3" t="s">
        <v>1649</v>
      </c>
      <c r="G6068" s="3">
        <v>104732</v>
      </c>
      <c r="H6068" s="7" t="str">
        <f>HYPERLINK("http://www.ensembl.org/Mus_musculus/Gene/Summary?db=core;g=ENSMUSG00000037466","ENSMUSG00000037466")</f>
        <v>ENSMUSG00000037466</v>
      </c>
      <c r="I6068" s="7" t="str">
        <f>HYPERLINK("http://www.informatics.jax.org/marker/MGI:2144738","MGI:2144738")</f>
        <v>MGI:2144738</v>
      </c>
      <c r="J6068" s="4" t="s">
        <v>12</v>
      </c>
    </row>
    <row r="6069" spans="1:10" x14ac:dyDescent="0.25">
      <c r="A6069" s="2">
        <v>67.598135959531604</v>
      </c>
      <c r="B6069" s="3">
        <v>-0.68021655458186103</v>
      </c>
      <c r="C6069" s="5">
        <v>9.7242866019973095E-6</v>
      </c>
      <c r="D6069" s="6">
        <v>4.7628358860897899E-5</v>
      </c>
      <c r="E6069" s="3" t="s">
        <v>6691</v>
      </c>
      <c r="F6069" s="3" t="s">
        <v>6692</v>
      </c>
      <c r="G6069" s="3">
        <v>239099</v>
      </c>
      <c r="H6069" s="7" t="str">
        <f>HYPERLINK("http://www.ensembl.org/Mus_musculus/Gene/Summary?db=core;g=ENSMUSG00000057156","ENSMUSG00000057156")</f>
        <v>ENSMUSG00000057156</v>
      </c>
      <c r="I6069" s="7" t="str">
        <f>HYPERLINK("http://www.informatics.jax.org/marker/MGI:2678023","MGI:2678023")</f>
        <v>MGI:2678023</v>
      </c>
      <c r="J6069" s="4" t="s">
        <v>12</v>
      </c>
    </row>
    <row r="6070" spans="1:10" x14ac:dyDescent="0.25">
      <c r="A6070" s="2">
        <v>170.24837814796101</v>
      </c>
      <c r="B6070" s="3">
        <v>-0.68032695099033302</v>
      </c>
      <c r="C6070" s="5">
        <v>3.0199657427074101E-10</v>
      </c>
      <c r="D6070" s="6">
        <v>2.4792286333712898E-9</v>
      </c>
      <c r="E6070" s="3" t="s">
        <v>4143</v>
      </c>
      <c r="F6070" s="3" t="s">
        <v>4144</v>
      </c>
      <c r="G6070" s="3">
        <v>67590</v>
      </c>
      <c r="H6070" s="7" t="str">
        <f>HYPERLINK("http://www.ensembl.org/Mus_musculus/Gene/Summary?db=core;g=ENSMUSG00000025008","ENSMUSG00000025008")</f>
        <v>ENSMUSG00000025008</v>
      </c>
      <c r="I6070" s="7" t="str">
        <f>HYPERLINK("http://www.informatics.jax.org/marker/MGI:1914840","MGI:1914840")</f>
        <v>MGI:1914840</v>
      </c>
      <c r="J6070" s="4" t="s">
        <v>12</v>
      </c>
    </row>
    <row r="6071" spans="1:10" x14ac:dyDescent="0.25">
      <c r="A6071" s="2">
        <v>2146.1531352597599</v>
      </c>
      <c r="B6071" s="3">
        <v>-0.68041895009209297</v>
      </c>
      <c r="C6071" s="5">
        <v>4.3961427438296101E-16</v>
      </c>
      <c r="D6071" s="6">
        <v>5.5600070441564599E-15</v>
      </c>
      <c r="E6071" s="3" t="s">
        <v>4503</v>
      </c>
      <c r="F6071" s="3" t="s">
        <v>4504</v>
      </c>
      <c r="G6071" s="3">
        <v>17916</v>
      </c>
      <c r="H6071" s="7" t="str">
        <f>HYPERLINK("http://www.ensembl.org/Mus_musculus/Gene/Summary?db=core;g=ENSMUSG00000024300","ENSMUSG00000024300")</f>
        <v>ENSMUSG00000024300</v>
      </c>
      <c r="I6071" s="7" t="str">
        <f>HYPERLINK("http://www.informatics.jax.org/marker/MGI:107711","MGI:107711")</f>
        <v>MGI:107711</v>
      </c>
      <c r="J6071" s="4" t="s">
        <v>12</v>
      </c>
    </row>
    <row r="6072" spans="1:10" x14ac:dyDescent="0.25">
      <c r="A6072" s="2">
        <v>806.32866729847399</v>
      </c>
      <c r="B6072" s="3">
        <v>-0.68049440845916298</v>
      </c>
      <c r="C6072" s="5">
        <v>3.6528900474338699E-18</v>
      </c>
      <c r="D6072" s="6">
        <v>5.2173919368716503E-17</v>
      </c>
      <c r="E6072" s="3" t="s">
        <v>1166</v>
      </c>
      <c r="F6072" s="3" t="s">
        <v>1167</v>
      </c>
      <c r="G6072" s="3">
        <v>26909</v>
      </c>
      <c r="H6072" s="7" t="str">
        <f>HYPERLINK("http://www.ensembl.org/Mus_musculus/Gene/Summary?db=core;g=ENSMUSG00000039748","ENSMUSG00000039748")</f>
        <v>ENSMUSG00000039748</v>
      </c>
      <c r="I6072" s="7" t="str">
        <f>HYPERLINK("http://www.informatics.jax.org/marker/MGI:1349427","MGI:1349427")</f>
        <v>MGI:1349427</v>
      </c>
      <c r="J6072" s="4" t="s">
        <v>12</v>
      </c>
    </row>
    <row r="6073" spans="1:10" x14ac:dyDescent="0.25">
      <c r="A6073" s="2">
        <v>927.89783996307199</v>
      </c>
      <c r="B6073" s="3">
        <v>-0.68056246427258305</v>
      </c>
      <c r="C6073" s="5">
        <v>9.0717113792140093E-12</v>
      </c>
      <c r="D6073" s="6">
        <v>8.4568767205204696E-11</v>
      </c>
      <c r="E6073" s="3" t="s">
        <v>7274</v>
      </c>
      <c r="F6073" s="3" t="s">
        <v>7275</v>
      </c>
      <c r="G6073" s="3">
        <v>14159</v>
      </c>
      <c r="H6073" s="7" t="str">
        <f>HYPERLINK("http://www.ensembl.org/Mus_musculus/Gene/Summary?db=core;g=ENSMUSG00000053158","ENSMUSG00000053158")</f>
        <v>ENSMUSG00000053158</v>
      </c>
      <c r="I6073" s="7" t="str">
        <f>HYPERLINK("http://www.informatics.jax.org/marker/MGI:95514","MGI:95514")</f>
        <v>MGI:95514</v>
      </c>
      <c r="J6073" s="4" t="s">
        <v>12</v>
      </c>
    </row>
    <row r="6074" spans="1:10" x14ac:dyDescent="0.25">
      <c r="A6074" s="2">
        <v>42.948088835553101</v>
      </c>
      <c r="B6074" s="3">
        <v>-0.68058343772956997</v>
      </c>
      <c r="C6074" s="3">
        <v>1.73943535239072E-3</v>
      </c>
      <c r="D6074" s="4">
        <v>5.8327891991390903E-3</v>
      </c>
      <c r="E6074" s="3" t="s">
        <v>10502</v>
      </c>
      <c r="F6074" s="3" t="s">
        <v>10503</v>
      </c>
      <c r="G6074" s="3">
        <v>66892</v>
      </c>
      <c r="H6074" s="7" t="str">
        <f>HYPERLINK("http://www.ensembl.org/Mus_musculus/Gene/Summary?db=core;g=ENSMUSG00000093661","ENSMUSG00000093661")</f>
        <v>ENSMUSG00000093661</v>
      </c>
      <c r="I6074" s="7" t="str">
        <f>HYPERLINK("http://www.informatics.jax.org/marker/MGI:1914142","MGI:1914142")</f>
        <v>MGI:1914142</v>
      </c>
      <c r="J6074" s="4" t="s">
        <v>12</v>
      </c>
    </row>
    <row r="6075" spans="1:10" x14ac:dyDescent="0.25">
      <c r="A6075" s="2">
        <v>441.38751302383002</v>
      </c>
      <c r="B6075" s="3">
        <v>-0.68106154689466802</v>
      </c>
      <c r="C6075" s="5">
        <v>1.75935186069464E-12</v>
      </c>
      <c r="D6075" s="6">
        <v>1.7464154499542399E-11</v>
      </c>
      <c r="E6075" s="3" t="s">
        <v>5537</v>
      </c>
      <c r="F6075" s="3" t="s">
        <v>5538</v>
      </c>
      <c r="G6075" s="3">
        <v>230996</v>
      </c>
      <c r="H6075" s="7" t="str">
        <f>HYPERLINK("http://www.ensembl.org/Mus_musculus/Gene/Summary?db=core;g=ENSMUSG00000059939","ENSMUSG00000059939")</f>
        <v>ENSMUSG00000059939</v>
      </c>
      <c r="I6075" s="7" t="str">
        <f>HYPERLINK("http://www.informatics.jax.org/marker/MGI:2444364","MGI:2444364")</f>
        <v>MGI:2444364</v>
      </c>
      <c r="J6075" s="4" t="s">
        <v>12</v>
      </c>
    </row>
    <row r="6076" spans="1:10" x14ac:dyDescent="0.25">
      <c r="A6076" s="2">
        <v>94.493631146002798</v>
      </c>
      <c r="B6076" s="3">
        <v>-0.68260792234228196</v>
      </c>
      <c r="C6076" s="5">
        <v>3.0595684242392501E-7</v>
      </c>
      <c r="D6076" s="6">
        <v>1.8133539685125301E-6</v>
      </c>
      <c r="E6076" s="3" t="s">
        <v>8211</v>
      </c>
      <c r="F6076" s="3" t="s">
        <v>8212</v>
      </c>
      <c r="G6076" s="3">
        <v>70382</v>
      </c>
      <c r="H6076" s="7" t="str">
        <f>HYPERLINK("http://www.ensembl.org/Mus_musculus/Gene/Summary?db=core;g=ENSMUSG00000016940","ENSMUSG00000016940")</f>
        <v>ENSMUSG00000016940</v>
      </c>
      <c r="I6076" s="7" t="str">
        <f>HYPERLINK("http://www.informatics.jax.org/marker/MGI:1917632","MGI:1917632")</f>
        <v>MGI:1917632</v>
      </c>
      <c r="J6076" s="4" t="s">
        <v>12</v>
      </c>
    </row>
    <row r="6077" spans="1:10" x14ac:dyDescent="0.25">
      <c r="A6077" s="2">
        <v>137.048201537148</v>
      </c>
      <c r="B6077" s="3">
        <v>-0.68461716389259697</v>
      </c>
      <c r="C6077" s="5">
        <v>4.4779868804592903E-9</v>
      </c>
      <c r="D6077" s="6">
        <v>3.2501517680752899E-8</v>
      </c>
      <c r="E6077" s="3" t="s">
        <v>9205</v>
      </c>
      <c r="F6077" s="3" t="s">
        <v>9206</v>
      </c>
      <c r="G6077" s="3">
        <v>26386</v>
      </c>
      <c r="H6077" s="7" t="str">
        <f>HYPERLINK("http://www.ensembl.org/Mus_musculus/Gene/Summary?db=core;g=ENSMUSG00000033249","ENSMUSG00000033249")</f>
        <v>ENSMUSG00000033249</v>
      </c>
      <c r="I6077" s="7" t="str">
        <f>HYPERLINK("http://www.informatics.jax.org/marker/MGI:1347058","MGI:1347058")</f>
        <v>MGI:1347058</v>
      </c>
      <c r="J6077" s="4" t="s">
        <v>12</v>
      </c>
    </row>
    <row r="6078" spans="1:10" x14ac:dyDescent="0.25">
      <c r="A6078" s="2">
        <v>1367.9041527899301</v>
      </c>
      <c r="B6078" s="3">
        <v>-0.68488109176112999</v>
      </c>
      <c r="C6078" s="5">
        <v>7.9121874795733698E-28</v>
      </c>
      <c r="D6078" s="6">
        <v>1.79129958776677E-26</v>
      </c>
      <c r="E6078" s="3" t="s">
        <v>1871</v>
      </c>
      <c r="F6078" s="3" t="s">
        <v>1872</v>
      </c>
      <c r="G6078" s="3">
        <v>26401</v>
      </c>
      <c r="H6078" s="7" t="str">
        <f>HYPERLINK("http://www.ensembl.org/Mus_musculus/Gene/Summary?db=core;g=ENSMUSG00000021754","ENSMUSG00000021754")</f>
        <v>ENSMUSG00000021754</v>
      </c>
      <c r="I6078" s="7" t="str">
        <f>HYPERLINK("http://www.informatics.jax.org/marker/MGI:1346872","MGI:1346872")</f>
        <v>MGI:1346872</v>
      </c>
      <c r="J6078" s="4" t="s">
        <v>12</v>
      </c>
    </row>
    <row r="6079" spans="1:10" x14ac:dyDescent="0.25">
      <c r="A6079" s="2">
        <v>631.85200267486903</v>
      </c>
      <c r="B6079" s="3">
        <v>-0.68710007191745903</v>
      </c>
      <c r="C6079" s="5">
        <v>1.32628396935167E-11</v>
      </c>
      <c r="D6079" s="6">
        <v>1.22016786175842E-10</v>
      </c>
      <c r="E6079" s="3" t="s">
        <v>5879</v>
      </c>
      <c r="F6079" s="3" t="s">
        <v>5880</v>
      </c>
      <c r="G6079" s="3">
        <v>12628</v>
      </c>
      <c r="H6079" s="7" t="str">
        <f>HYPERLINK("http://www.ensembl.org/Mus_musculus/Gene/Summary?db=core;g=ENSMUSG00000026365","ENSMUSG00000026365")</f>
        <v>ENSMUSG00000026365</v>
      </c>
      <c r="I6079" s="7" t="str">
        <f>HYPERLINK("http://www.informatics.jax.org/marker/MGI:88385","MGI:88385")</f>
        <v>MGI:88385</v>
      </c>
      <c r="J6079" s="4" t="s">
        <v>12</v>
      </c>
    </row>
    <row r="6080" spans="1:10" x14ac:dyDescent="0.25">
      <c r="A6080" s="2">
        <v>31.274347834363901</v>
      </c>
      <c r="B6080" s="3">
        <v>-0.68737538192389103</v>
      </c>
      <c r="C6080" s="3">
        <v>4.93868484762001E-4</v>
      </c>
      <c r="D6080" s="4">
        <v>1.8361389503850399E-3</v>
      </c>
      <c r="E6080" s="3" t="s">
        <v>10846</v>
      </c>
      <c r="F6080" s="3" t="s">
        <v>10847</v>
      </c>
      <c r="G6080" s="3">
        <v>76223</v>
      </c>
      <c r="H6080" s="7" t="str">
        <f>HYPERLINK("http://www.ensembl.org/Mus_musculus/Gene/Summary?db=core;g=ENSMUSG00000038836","ENSMUSG00000038836")</f>
        <v>ENSMUSG00000038836</v>
      </c>
      <c r="I6080" s="7" t="str">
        <f>HYPERLINK("http://www.informatics.jax.org/marker/MGI:1923473","MGI:1923473")</f>
        <v>MGI:1923473</v>
      </c>
      <c r="J6080" s="4" t="s">
        <v>12</v>
      </c>
    </row>
    <row r="6081" spans="1:10" x14ac:dyDescent="0.25">
      <c r="A6081" s="2">
        <v>8.8924933257542094</v>
      </c>
      <c r="B6081" s="3">
        <v>-0.68762267448764502</v>
      </c>
      <c r="C6081" s="3">
        <v>5.6434262119854001E-2</v>
      </c>
      <c r="D6081" s="4">
        <v>0.12641524423971701</v>
      </c>
      <c r="E6081" s="3" t="s">
        <v>9087</v>
      </c>
      <c r="F6081" s="3" t="s">
        <v>9088</v>
      </c>
      <c r="G6081" s="3">
        <v>12826</v>
      </c>
      <c r="H6081" s="7" t="str">
        <f>HYPERLINK("http://www.ensembl.org/Mus_musculus/Gene/Summary?db=core;g=ENSMUSG00000031502","ENSMUSG00000031502")</f>
        <v>ENSMUSG00000031502</v>
      </c>
      <c r="I6081" s="7" t="str">
        <f>HYPERLINK("http://www.informatics.jax.org/marker/MGI:88454","MGI:88454")</f>
        <v>MGI:88454</v>
      </c>
      <c r="J6081" s="4" t="s">
        <v>12</v>
      </c>
    </row>
    <row r="6082" spans="1:10" x14ac:dyDescent="0.25">
      <c r="A6082" s="2">
        <v>877.82551768272401</v>
      </c>
      <c r="B6082" s="3">
        <v>-0.68767145288411802</v>
      </c>
      <c r="C6082" s="5">
        <v>7.4737362199612903E-15</v>
      </c>
      <c r="D6082" s="6">
        <v>8.7034404222871897E-14</v>
      </c>
      <c r="E6082" s="3" t="s">
        <v>4909</v>
      </c>
      <c r="F6082" s="3" t="s">
        <v>4910</v>
      </c>
      <c r="G6082" s="3">
        <v>11690</v>
      </c>
      <c r="H6082" s="7" t="str">
        <f>HYPERLINK("http://www.ensembl.org/Mus_musculus/Gene/Summary?db=core;g=ENSMUSG00000060063","ENSMUSG00000060063")</f>
        <v>ENSMUSG00000060063</v>
      </c>
      <c r="I6082" s="7" t="str">
        <f>HYPERLINK("http://www.informatics.jax.org/marker/MGI:107505","MGI:107505")</f>
        <v>MGI:107505</v>
      </c>
      <c r="J6082" s="4" t="s">
        <v>12</v>
      </c>
    </row>
    <row r="6083" spans="1:10" x14ac:dyDescent="0.25">
      <c r="A6083" s="2">
        <v>81.526317898413396</v>
      </c>
      <c r="B6083" s="3">
        <v>-0.68774339181524602</v>
      </c>
      <c r="C6083" s="5">
        <v>8.8309974983320302E-7</v>
      </c>
      <c r="D6083" s="6">
        <v>4.9384758946640402E-6</v>
      </c>
      <c r="E6083" s="3" t="s">
        <v>7468</v>
      </c>
      <c r="F6083" s="3" t="s">
        <v>7469</v>
      </c>
      <c r="G6083" s="3">
        <v>56314</v>
      </c>
      <c r="H6083" s="7" t="str">
        <f>HYPERLINK("http://www.ensembl.org/Mus_musculus/Gene/Summary?db=core;g=ENSMUSG00000037007","ENSMUSG00000037007")</f>
        <v>ENSMUSG00000037007</v>
      </c>
      <c r="I6083" s="7" t="str">
        <f>HYPERLINK("http://www.informatics.jax.org/marker/MGI:1929116","MGI:1929116")</f>
        <v>MGI:1929116</v>
      </c>
      <c r="J6083" s="4" t="s">
        <v>12</v>
      </c>
    </row>
    <row r="6084" spans="1:10" x14ac:dyDescent="0.25">
      <c r="A6084" s="2">
        <v>5.8127214860362502</v>
      </c>
      <c r="B6084" s="3">
        <v>-0.68790646877317796</v>
      </c>
      <c r="C6084" s="3">
        <v>7.9644425654336395E-2</v>
      </c>
      <c r="D6084" s="4">
        <v>0.16864408708612499</v>
      </c>
      <c r="E6084" s="3" t="s">
        <v>12939</v>
      </c>
      <c r="F6084" s="3" t="s">
        <v>12940</v>
      </c>
      <c r="G6084" s="3">
        <v>69379</v>
      </c>
      <c r="H6084" s="7" t="str">
        <f>HYPERLINK("http://www.ensembl.org/Mus_musculus/Gene/Summary?db=core;g=ENSMUSG00000015083","ENSMUSG00000015083")</f>
        <v>ENSMUSG00000015083</v>
      </c>
      <c r="I6084" s="7" t="str">
        <f>HYPERLINK("http://www.informatics.jax.org/marker/MGI:88237","MGI:88237")</f>
        <v>MGI:88237</v>
      </c>
      <c r="J6084" s="4" t="s">
        <v>12</v>
      </c>
    </row>
    <row r="6085" spans="1:10" x14ac:dyDescent="0.25">
      <c r="A6085" s="2">
        <v>369.28513185407297</v>
      </c>
      <c r="B6085" s="3">
        <v>-0.68837041713368596</v>
      </c>
      <c r="C6085" s="5">
        <v>3.7543129173372099E-13</v>
      </c>
      <c r="D6085" s="6">
        <v>3.9323191332454404E-12</v>
      </c>
      <c r="E6085" s="3" t="s">
        <v>4445</v>
      </c>
      <c r="F6085" s="3" t="s">
        <v>4446</v>
      </c>
      <c r="G6085" s="3">
        <v>381510</v>
      </c>
      <c r="H6085" s="7" t="str">
        <f>HYPERLINK("http://www.ensembl.org/Mus_musculus/Gene/Summary?db=core;g=ENSMUSG00000045205","ENSMUSG00000045205")</f>
        <v>ENSMUSG00000045205</v>
      </c>
      <c r="I6085" s="7" t="str">
        <f>HYPERLINK("http://www.informatics.jax.org/marker/MGI:2685869","MGI:2685869")</f>
        <v>MGI:2685869</v>
      </c>
      <c r="J6085" s="4" t="s">
        <v>12</v>
      </c>
    </row>
    <row r="6086" spans="1:10" x14ac:dyDescent="0.25">
      <c r="A6086" s="2">
        <v>571.35502048658202</v>
      </c>
      <c r="B6086" s="3">
        <v>-0.68994666109966496</v>
      </c>
      <c r="C6086" s="5">
        <v>1.2065818568362E-13</v>
      </c>
      <c r="D6086" s="6">
        <v>1.30426775449821E-12</v>
      </c>
      <c r="E6086" s="3" t="s">
        <v>1820</v>
      </c>
      <c r="F6086" s="3" t="s">
        <v>1821</v>
      </c>
      <c r="G6086" s="3">
        <v>79456</v>
      </c>
      <c r="H6086" s="7" t="str">
        <f>HYPERLINK("http://www.ensembl.org/Mus_musculus/Gene/Summary?db=core;g=ENSMUSG00000033762","ENSMUSG00000033762")</f>
        <v>ENSMUSG00000033762</v>
      </c>
      <c r="I6086" s="7" t="str">
        <f>HYPERLINK("http://www.informatics.jax.org/marker/MGI:1931028","MGI:1931028")</f>
        <v>MGI:1931028</v>
      </c>
      <c r="J6086" s="4" t="s">
        <v>12</v>
      </c>
    </row>
    <row r="6087" spans="1:10" x14ac:dyDescent="0.25">
      <c r="A6087" s="2">
        <v>221.242293095028</v>
      </c>
      <c r="B6087" s="3">
        <v>-0.68999178360468805</v>
      </c>
      <c r="C6087" s="5">
        <v>5.6932672737414496E-16</v>
      </c>
      <c r="D6087" s="6">
        <v>7.1361620401607904E-15</v>
      </c>
      <c r="E6087" s="3" t="s">
        <v>2726</v>
      </c>
      <c r="F6087" s="3" t="s">
        <v>2727</v>
      </c>
      <c r="G6087" s="3">
        <v>18583</v>
      </c>
      <c r="H6087" s="7" t="str">
        <f>HYPERLINK("http://www.ensembl.org/Mus_musculus/Gene/Summary?db=core;g=ENSMUSG00000069094","ENSMUSG00000069094")</f>
        <v>ENSMUSG00000069094</v>
      </c>
      <c r="I6087" s="7" t="str">
        <f>HYPERLINK("http://www.informatics.jax.org/marker/MGI:1202402","MGI:1202402")</f>
        <v>MGI:1202402</v>
      </c>
      <c r="J6087" s="4" t="s">
        <v>12</v>
      </c>
    </row>
    <row r="6088" spans="1:10" x14ac:dyDescent="0.25">
      <c r="A6088" s="2">
        <v>169.85868254793999</v>
      </c>
      <c r="B6088" s="3">
        <v>-0.69061045341758998</v>
      </c>
      <c r="C6088" s="5">
        <v>1.2026977697023601E-10</v>
      </c>
      <c r="D6088" s="6">
        <v>1.01997053759076E-9</v>
      </c>
      <c r="E6088" s="3" t="s">
        <v>4803</v>
      </c>
      <c r="F6088" s="3" t="s">
        <v>4804</v>
      </c>
      <c r="G6088" s="3">
        <v>319263</v>
      </c>
      <c r="H6088" s="7" t="str">
        <f>HYPERLINK("http://www.ensembl.org/Mus_musculus/Gene/Summary?db=core;g=ENSMUSG00000051285","ENSMUSG00000051285")</f>
        <v>ENSMUSG00000051285</v>
      </c>
      <c r="I6088" s="7" t="str">
        <f>HYPERLINK("http://www.informatics.jax.org/marker/MGI:2441773","MGI:2441773")</f>
        <v>MGI:2441773</v>
      </c>
      <c r="J6088" s="4" t="s">
        <v>12</v>
      </c>
    </row>
    <row r="6089" spans="1:10" x14ac:dyDescent="0.25">
      <c r="A6089" s="2">
        <v>280.12062783369299</v>
      </c>
      <c r="B6089" s="3">
        <v>-0.69073724356336497</v>
      </c>
      <c r="C6089" s="5">
        <v>1.23541592690654E-7</v>
      </c>
      <c r="D6089" s="6">
        <v>7.6583181183237105E-7</v>
      </c>
      <c r="E6089" s="3" t="s">
        <v>5393</v>
      </c>
      <c r="F6089" s="3" t="s">
        <v>5394</v>
      </c>
      <c r="G6089" s="3">
        <v>67488</v>
      </c>
      <c r="H6089" s="7" t="str">
        <f>HYPERLINK("http://www.ensembl.org/Mus_musculus/Gene/Summary?db=core;g=ENSMUSG00000023055","ENSMUSG00000023055")</f>
        <v>ENSMUSG00000023055</v>
      </c>
      <c r="I6089" s="7" t="str">
        <f>HYPERLINK("http://www.informatics.jax.org/marker/MGI:1914738","MGI:1914738")</f>
        <v>MGI:1914738</v>
      </c>
      <c r="J6089" s="4" t="s">
        <v>12</v>
      </c>
    </row>
    <row r="6090" spans="1:10" x14ac:dyDescent="0.25">
      <c r="A6090" s="2">
        <v>675.147812948872</v>
      </c>
      <c r="B6090" s="3">
        <v>-0.69120588319550103</v>
      </c>
      <c r="C6090" s="5">
        <v>7.3642608888936501E-8</v>
      </c>
      <c r="D6090" s="6">
        <v>4.6666778407540599E-7</v>
      </c>
      <c r="E6090" s="3" t="s">
        <v>8929</v>
      </c>
      <c r="F6090" s="3" t="s">
        <v>8930</v>
      </c>
      <c r="G6090" s="3">
        <v>20972</v>
      </c>
      <c r="H6090" s="7" t="str">
        <f>HYPERLINK("http://www.ensembl.org/Mus_musculus/Gene/Summary?db=core;g=ENSMUSG00000022415","ENSMUSG00000022415")</f>
        <v>ENSMUSG00000022415</v>
      </c>
      <c r="I6090" s="7" t="str">
        <f>HYPERLINK("http://www.informatics.jax.org/marker/MGI:1328323","MGI:1328323")</f>
        <v>MGI:1328323</v>
      </c>
      <c r="J6090" s="4" t="s">
        <v>12</v>
      </c>
    </row>
    <row r="6091" spans="1:10" x14ac:dyDescent="0.25">
      <c r="A6091" s="2">
        <v>615.326071276128</v>
      </c>
      <c r="B6091" s="3">
        <v>-0.691469677820714</v>
      </c>
      <c r="C6091" s="5">
        <v>3.14604399242303E-20</v>
      </c>
      <c r="D6091" s="6">
        <v>4.9771399098879995E-19</v>
      </c>
      <c r="E6091" s="3" t="s">
        <v>2469</v>
      </c>
      <c r="F6091" s="3" t="s">
        <v>2470</v>
      </c>
      <c r="G6091" s="3">
        <v>244650</v>
      </c>
      <c r="H6091" s="7" t="str">
        <f>HYPERLINK("http://www.ensembl.org/Mus_musculus/Gene/Summary?db=core;g=ENSMUSG00000031732","ENSMUSG00000031732")</f>
        <v>ENSMUSG00000031732</v>
      </c>
      <c r="I6091" s="7" t="str">
        <f>HYPERLINK("http://www.informatics.jax.org/marker/MGI:2444928","MGI:2444928")</f>
        <v>MGI:2444928</v>
      </c>
      <c r="J6091" s="4" t="s">
        <v>12</v>
      </c>
    </row>
    <row r="6092" spans="1:10" x14ac:dyDescent="0.25">
      <c r="A6092" s="2">
        <v>523.25865238045697</v>
      </c>
      <c r="B6092" s="3">
        <v>-0.69153114575783803</v>
      </c>
      <c r="C6092" s="5">
        <v>7.2712462193539403E-20</v>
      </c>
      <c r="D6092" s="6">
        <v>1.12973966195845E-18</v>
      </c>
      <c r="E6092" s="3" t="s">
        <v>3032</v>
      </c>
      <c r="F6092" s="3" t="s">
        <v>3033</v>
      </c>
      <c r="G6092" s="3">
        <v>21807</v>
      </c>
      <c r="H6092" s="7" t="str">
        <f>HYPERLINK("http://www.ensembl.org/Mus_musculus/Gene/Summary?db=core;g=ENSMUSG00000022010","ENSMUSG00000022010")</f>
        <v>ENSMUSG00000022010</v>
      </c>
      <c r="I6092" s="7" t="str">
        <f>HYPERLINK("http://www.informatics.jax.org/marker/MGI:109127","MGI:109127")</f>
        <v>MGI:109127</v>
      </c>
      <c r="J6092" s="4" t="s">
        <v>12</v>
      </c>
    </row>
    <row r="6093" spans="1:10" x14ac:dyDescent="0.25">
      <c r="A6093" s="2">
        <v>98.340790826017596</v>
      </c>
      <c r="B6093" s="3">
        <v>-0.69205682726849005</v>
      </c>
      <c r="C6093" s="5">
        <v>1.117489060121E-7</v>
      </c>
      <c r="D6093" s="6">
        <v>6.9556824182736299E-7</v>
      </c>
      <c r="E6093" s="3" t="s">
        <v>7616</v>
      </c>
      <c r="F6093" s="3" t="s">
        <v>7617</v>
      </c>
      <c r="G6093" s="3">
        <v>81896</v>
      </c>
      <c r="H6093" s="7" t="str">
        <f>HYPERLINK("http://www.ensembl.org/Mus_musculus/Gene/Summary?db=core;g=ENSMUSG00000030323","ENSMUSG00000030323")</f>
        <v>ENSMUSG00000030323</v>
      </c>
      <c r="I6093" s="7" t="str">
        <f>HYPERLINK("http://www.informatics.jax.org/marker/MGI:1932386","MGI:1932386")</f>
        <v>MGI:1932386</v>
      </c>
      <c r="J6093" s="4" t="s">
        <v>12</v>
      </c>
    </row>
    <row r="6094" spans="1:10" x14ac:dyDescent="0.25">
      <c r="A6094" s="2">
        <v>188.06939272036701</v>
      </c>
      <c r="B6094" s="3">
        <v>-0.69226372641943801</v>
      </c>
      <c r="C6094" s="5">
        <v>5.8898033649615103E-12</v>
      </c>
      <c r="D6094" s="6">
        <v>5.5761904585155098E-11</v>
      </c>
      <c r="E6094" s="3" t="s">
        <v>3208</v>
      </c>
      <c r="F6094" s="3" t="s">
        <v>3209</v>
      </c>
      <c r="G6094" s="3">
        <v>69870</v>
      </c>
      <c r="H6094" s="7" t="str">
        <f>HYPERLINK("http://www.ensembl.org/Mus_musculus/Gene/Summary?db=core;g=ENSMUSG00000028104","ENSMUSG00000028104")</f>
        <v>ENSMUSG00000028104</v>
      </c>
      <c r="I6094" s="7" t="str">
        <f>HYPERLINK("http://www.informatics.jax.org/marker/MGI:1917120","MGI:1917120")</f>
        <v>MGI:1917120</v>
      </c>
      <c r="J6094" s="4" t="s">
        <v>12</v>
      </c>
    </row>
    <row r="6095" spans="1:10" x14ac:dyDescent="0.25">
      <c r="A6095" s="2">
        <v>178.01301619579201</v>
      </c>
      <c r="B6095" s="3">
        <v>-0.69257447697057195</v>
      </c>
      <c r="C6095" s="5">
        <v>4.7288252370994101E-10</v>
      </c>
      <c r="D6095" s="6">
        <v>3.8016250527629796E-9</v>
      </c>
      <c r="E6095" s="3" t="s">
        <v>3356</v>
      </c>
      <c r="F6095" s="3" t="s">
        <v>3357</v>
      </c>
      <c r="G6095" s="3">
        <v>239839</v>
      </c>
      <c r="H6095" s="7" t="str">
        <f>HYPERLINK("http://www.ensembl.org/Mus_musculus/Gene/Summary?db=core;g=ENSMUSG00000022833","ENSMUSG00000022833")</f>
        <v>ENSMUSG00000022833</v>
      </c>
      <c r="I6095" s="7" t="str">
        <f>HYPERLINK("http://www.informatics.jax.org/marker/MGI:2443448","MGI:2443448")</f>
        <v>MGI:2443448</v>
      </c>
      <c r="J6095" s="4" t="s">
        <v>12</v>
      </c>
    </row>
    <row r="6096" spans="1:10" x14ac:dyDescent="0.25">
      <c r="A6096" s="2">
        <v>139.14186578555501</v>
      </c>
      <c r="B6096" s="3">
        <v>-0.69280271867563104</v>
      </c>
      <c r="C6096" s="5">
        <v>4.5117290446245901E-7</v>
      </c>
      <c r="D6096" s="6">
        <v>2.6120159414956501E-6</v>
      </c>
      <c r="E6096" s="3" t="s">
        <v>7426</v>
      </c>
      <c r="F6096" s="3" t="s">
        <v>7427</v>
      </c>
      <c r="G6096" s="3">
        <v>230757</v>
      </c>
      <c r="H6096" s="7" t="str">
        <f>HYPERLINK("http://www.ensembl.org/Mus_musculus/Gene/Summary?db=core;g=ENSMUSG00000073755","ENSMUSG00000073755")</f>
        <v>ENSMUSG00000073755</v>
      </c>
      <c r="I6096" s="7" t="str">
        <f>HYPERLINK("http://www.informatics.jax.org/marker/MGI:3609248","MGI:3609248")</f>
        <v>MGI:3609248</v>
      </c>
      <c r="J6096" s="4" t="s">
        <v>12</v>
      </c>
    </row>
    <row r="6097" spans="1:10" x14ac:dyDescent="0.25">
      <c r="A6097" s="2">
        <v>1342.79475557822</v>
      </c>
      <c r="B6097" s="3">
        <v>-0.69380278501749504</v>
      </c>
      <c r="C6097" s="5">
        <v>2.0941593712763799E-12</v>
      </c>
      <c r="D6097" s="6">
        <v>2.0585789936090701E-11</v>
      </c>
      <c r="E6097" s="3" t="s">
        <v>3482</v>
      </c>
      <c r="F6097" s="3" t="s">
        <v>3483</v>
      </c>
      <c r="G6097" s="3">
        <v>54712</v>
      </c>
      <c r="H6097" s="7" t="str">
        <f>HYPERLINK("http://www.ensembl.org/Mus_musculus/Gene/Summary?db=core;g=ENSMUSG00000074785","ENSMUSG00000074785")</f>
        <v>ENSMUSG00000074785</v>
      </c>
      <c r="I6097" s="7" t="str">
        <f>HYPERLINK("http://www.informatics.jax.org/marker/MGI:1890127","MGI:1890127")</f>
        <v>MGI:1890127</v>
      </c>
      <c r="J6097" s="4" t="s">
        <v>12</v>
      </c>
    </row>
    <row r="6098" spans="1:10" x14ac:dyDescent="0.25">
      <c r="A6098" s="2">
        <v>46.482595263853803</v>
      </c>
      <c r="B6098" s="3">
        <v>-0.69424956686675698</v>
      </c>
      <c r="C6098" s="5">
        <v>7.6734414505431106E-5</v>
      </c>
      <c r="D6098" s="4">
        <v>3.26063115962108E-4</v>
      </c>
      <c r="E6098" s="3" t="s">
        <v>10996</v>
      </c>
      <c r="F6098" s="3" t="s">
        <v>10997</v>
      </c>
      <c r="G6098" s="3">
        <v>230259</v>
      </c>
      <c r="H6098" s="7" t="str">
        <f>HYPERLINK("http://www.ensembl.org/Mus_musculus/Gene/Summary?db=core;g=ENSMUSG00000045071","ENSMUSG00000045071")</f>
        <v>ENSMUSG00000045071</v>
      </c>
      <c r="I6098" s="7" t="str">
        <f>HYPERLINK("http://www.informatics.jax.org/marker/MGI:2442164","MGI:2442164")</f>
        <v>MGI:2442164</v>
      </c>
      <c r="J6098" s="4" t="s">
        <v>12</v>
      </c>
    </row>
    <row r="6099" spans="1:10" x14ac:dyDescent="0.25">
      <c r="A6099" s="2">
        <v>429.66170231272002</v>
      </c>
      <c r="B6099" s="3">
        <v>-0.69447149065352798</v>
      </c>
      <c r="C6099" s="5">
        <v>1.7813608887964599E-17</v>
      </c>
      <c r="D6099" s="6">
        <v>2.4336808244614299E-16</v>
      </c>
      <c r="E6099" s="3" t="s">
        <v>2762</v>
      </c>
      <c r="F6099" s="3" t="s">
        <v>2763</v>
      </c>
      <c r="G6099" s="3">
        <v>17305</v>
      </c>
      <c r="H6099" s="7" t="str">
        <f>HYPERLINK("http://www.ensembl.org/Mus_musculus/Gene/Summary?db=core;g=ENSMUSG00000018169","ENSMUSG00000018169")</f>
        <v>ENSMUSG00000018169</v>
      </c>
      <c r="I6099" s="7" t="str">
        <f>HYPERLINK("http://www.informatics.jax.org/marker/MGI:1095404","MGI:1095404")</f>
        <v>MGI:1095404</v>
      </c>
      <c r="J6099" s="4" t="s">
        <v>12</v>
      </c>
    </row>
    <row r="6100" spans="1:10" x14ac:dyDescent="0.25">
      <c r="A6100" s="2">
        <v>844.26021746042397</v>
      </c>
      <c r="B6100" s="3">
        <v>-0.69459872530135702</v>
      </c>
      <c r="C6100" s="5">
        <v>1.13429691464433E-26</v>
      </c>
      <c r="D6100" s="6">
        <v>2.44356516186677E-25</v>
      </c>
      <c r="E6100" s="3" t="s">
        <v>935</v>
      </c>
      <c r="F6100" s="3" t="s">
        <v>936</v>
      </c>
      <c r="G6100" s="3">
        <v>14087</v>
      </c>
      <c r="H6100" s="7" t="str">
        <f>HYPERLINK("http://www.ensembl.org/Mus_musculus/Gene/Summary?db=core;g=ENSMUSG00000032815","ENSMUSG00000032815")</f>
        <v>ENSMUSG00000032815</v>
      </c>
      <c r="I6100" s="7" t="str">
        <f>HYPERLINK("http://www.informatics.jax.org/marker/MGI:1341823","MGI:1341823")</f>
        <v>MGI:1341823</v>
      </c>
      <c r="J6100" s="4" t="s">
        <v>12</v>
      </c>
    </row>
    <row r="6101" spans="1:10" x14ac:dyDescent="0.25">
      <c r="A6101" s="2">
        <v>571.53477482180494</v>
      </c>
      <c r="B6101" s="3">
        <v>-0.69488023977833102</v>
      </c>
      <c r="C6101" s="5">
        <v>2.2476527053805801E-27</v>
      </c>
      <c r="D6101" s="6">
        <v>4.9833905785354197E-26</v>
      </c>
      <c r="E6101" s="3" t="s">
        <v>2051</v>
      </c>
      <c r="F6101" s="3" t="s">
        <v>2052</v>
      </c>
      <c r="G6101" s="3">
        <v>17977</v>
      </c>
      <c r="H6101" s="7" t="str">
        <f>HYPERLINK("http://www.ensembl.org/Mus_musculus/Gene/Summary?db=core;g=ENSMUSG00000020647","ENSMUSG00000020647")</f>
        <v>ENSMUSG00000020647</v>
      </c>
      <c r="I6101" s="7" t="str">
        <f>HYPERLINK("http://www.informatics.jax.org/marker/MGI:1276523","MGI:1276523")</f>
        <v>MGI:1276523</v>
      </c>
      <c r="J6101" s="4" t="s">
        <v>12</v>
      </c>
    </row>
    <row r="6102" spans="1:10" x14ac:dyDescent="0.25">
      <c r="A6102" s="2">
        <v>72.309300740754693</v>
      </c>
      <c r="B6102" s="3">
        <v>-0.69592937921429399</v>
      </c>
      <c r="C6102" s="5">
        <v>5.5890903225519703E-8</v>
      </c>
      <c r="D6102" s="6">
        <v>3.58413691514812E-7</v>
      </c>
      <c r="E6102" s="3" t="s">
        <v>7971</v>
      </c>
      <c r="F6102" s="3" t="s">
        <v>7972</v>
      </c>
      <c r="G6102" s="3">
        <v>232970</v>
      </c>
      <c r="H6102" s="7" t="str">
        <f>HYPERLINK("http://www.ensembl.org/Mus_musculus/Gene/Summary?db=core;g=ENSMUSG00000074277","ENSMUSG00000074277")</f>
        <v>ENSMUSG00000074277</v>
      </c>
      <c r="I6102" s="7" t="str">
        <f>HYPERLINK("http://www.informatics.jax.org/marker/MGI:3642959","MGI:3642959")</f>
        <v>MGI:3642959</v>
      </c>
      <c r="J6102" s="4" t="s">
        <v>12</v>
      </c>
    </row>
    <row r="6103" spans="1:10" x14ac:dyDescent="0.25">
      <c r="A6103" s="2">
        <v>5596.1929508420599</v>
      </c>
      <c r="B6103" s="3">
        <v>-0.69598262354723195</v>
      </c>
      <c r="C6103" s="5">
        <v>5.1046283099497199E-7</v>
      </c>
      <c r="D6103" s="6">
        <v>2.9384665492366898E-6</v>
      </c>
      <c r="E6103" s="3" t="s">
        <v>7132</v>
      </c>
      <c r="F6103" s="3" t="s">
        <v>7133</v>
      </c>
      <c r="G6103" s="3">
        <v>232975</v>
      </c>
      <c r="H6103" s="7" t="str">
        <f>HYPERLINK("http://www.ensembl.org/Mus_musculus/Gene/Summary?db=core;g=ENSMUSG00000040907","ENSMUSG00000040907")</f>
        <v>ENSMUSG00000040907</v>
      </c>
      <c r="I6103" s="7" t="str">
        <f>HYPERLINK("http://www.informatics.jax.org/marker/MGI:88107","MGI:88107")</f>
        <v>MGI:88107</v>
      </c>
      <c r="J6103" s="4" t="s">
        <v>12</v>
      </c>
    </row>
    <row r="6104" spans="1:10" x14ac:dyDescent="0.25">
      <c r="A6104" s="2">
        <v>52.552119527696298</v>
      </c>
      <c r="B6104" s="3">
        <v>-0.69676486555200101</v>
      </c>
      <c r="C6104" s="5">
        <v>1.0770385554732801E-5</v>
      </c>
      <c r="D6104" s="6">
        <v>5.2427958529648799E-5</v>
      </c>
      <c r="E6104" s="3" t="s">
        <v>5729</v>
      </c>
      <c r="F6104" s="3" t="s">
        <v>5730</v>
      </c>
      <c r="G6104" s="3">
        <v>13641</v>
      </c>
      <c r="H6104" s="7" t="str">
        <f>HYPERLINK("http://www.ensembl.org/Mus_musculus/Gene/Summary?db=core;g=ENSMUSG00000031217","ENSMUSG00000031217")</f>
        <v>ENSMUSG00000031217</v>
      </c>
      <c r="I6104" s="7" t="str">
        <f>HYPERLINK("http://www.informatics.jax.org/marker/MGI:102708","MGI:102708")</f>
        <v>MGI:102708</v>
      </c>
      <c r="J6104" s="4" t="s">
        <v>12</v>
      </c>
    </row>
    <row r="6105" spans="1:10" x14ac:dyDescent="0.25">
      <c r="A6105" s="2">
        <v>488.14135504442299</v>
      </c>
      <c r="B6105" s="3">
        <v>-0.69703050770041197</v>
      </c>
      <c r="C6105" s="5">
        <v>4.2275795785153199E-22</v>
      </c>
      <c r="D6105" s="6">
        <v>7.3871177198889405E-21</v>
      </c>
      <c r="E6105" s="3" t="s">
        <v>1492</v>
      </c>
      <c r="F6105" s="3" t="s">
        <v>1493</v>
      </c>
      <c r="G6105" s="3">
        <v>108099</v>
      </c>
      <c r="H6105" s="7" t="str">
        <f>HYPERLINK("http://www.ensembl.org/Mus_musculus/Gene/Summary?db=core;g=ENSMUSG00000028944","ENSMUSG00000028944")</f>
        <v>ENSMUSG00000028944</v>
      </c>
      <c r="I6105" s="7" t="str">
        <f>HYPERLINK("http://www.informatics.jax.org/marker/MGI:1336153","MGI:1336153")</f>
        <v>MGI:1336153</v>
      </c>
      <c r="J6105" s="4" t="s">
        <v>12</v>
      </c>
    </row>
    <row r="6106" spans="1:10" x14ac:dyDescent="0.25">
      <c r="A6106" s="2">
        <v>864.84972399464402</v>
      </c>
      <c r="B6106" s="3">
        <v>-0.69740014338016298</v>
      </c>
      <c r="C6106" s="5">
        <v>6.97763565618341E-16</v>
      </c>
      <c r="D6106" s="6">
        <v>8.6922358054642898E-15</v>
      </c>
      <c r="E6106" s="3" t="s">
        <v>3078</v>
      </c>
      <c r="F6106" s="3" t="s">
        <v>3079</v>
      </c>
      <c r="G6106" s="3">
        <v>170719</v>
      </c>
      <c r="H6106" s="7" t="str">
        <f>HYPERLINK("http://www.ensembl.org/Mus_musculus/Gene/Summary?db=core;g=ENSMUSG00000022307","ENSMUSG00000022307")</f>
        <v>ENSMUSG00000022307</v>
      </c>
      <c r="I6106" s="7" t="str">
        <f>HYPERLINK("http://www.informatics.jax.org/marker/MGI:2179326","MGI:2179326")</f>
        <v>MGI:2179326</v>
      </c>
      <c r="J6106" s="4" t="s">
        <v>12</v>
      </c>
    </row>
    <row r="6107" spans="1:10" x14ac:dyDescent="0.25">
      <c r="A6107" s="2">
        <v>267.50147029510401</v>
      </c>
      <c r="B6107" s="3">
        <v>-0.69762327388494905</v>
      </c>
      <c r="C6107" s="3">
        <v>3.0377852599724803E-4</v>
      </c>
      <c r="D6107" s="4">
        <v>1.1672704272190301E-3</v>
      </c>
      <c r="E6107" s="3" t="s">
        <v>12113</v>
      </c>
      <c r="F6107" s="3" t="s">
        <v>12114</v>
      </c>
      <c r="G6107" s="3">
        <v>74580</v>
      </c>
      <c r="H6107" s="7" t="str">
        <f>HYPERLINK("http://www.ensembl.org/Mus_musculus/Gene/Summary?db=core;g=ENSMUSG00000060224","ENSMUSG00000060224")</f>
        <v>ENSMUSG00000060224</v>
      </c>
      <c r="I6107" s="7" t="str">
        <f>HYPERLINK("http://www.informatics.jax.org/marker/MGI:1921830","MGI:1921830")</f>
        <v>MGI:1921830</v>
      </c>
      <c r="J6107" s="4" t="s">
        <v>12</v>
      </c>
    </row>
    <row r="6108" spans="1:10" x14ac:dyDescent="0.25">
      <c r="A6108" s="2">
        <v>517.62664060897998</v>
      </c>
      <c r="B6108" s="3">
        <v>-0.69834511218212703</v>
      </c>
      <c r="C6108" s="5">
        <v>3.2648867293861303E-14</v>
      </c>
      <c r="D6108" s="6">
        <v>3.6393610299210502E-13</v>
      </c>
      <c r="E6108" s="3" t="s">
        <v>3322</v>
      </c>
      <c r="F6108" s="3" t="s">
        <v>3323</v>
      </c>
      <c r="G6108" s="3">
        <v>101631</v>
      </c>
      <c r="H6108" s="7" t="str">
        <f>HYPERLINK("http://www.ensembl.org/Mus_musculus/Gene/Summary?db=core;g=ENSMUSG00000060260","ENSMUSG00000060260")</f>
        <v>ENSMUSG00000060260</v>
      </c>
      <c r="I6108" s="7" t="str">
        <f>HYPERLINK("http://www.informatics.jax.org/marker/MGI:2142008","MGI:2142008")</f>
        <v>MGI:2142008</v>
      </c>
      <c r="J6108" s="4" t="s">
        <v>12</v>
      </c>
    </row>
    <row r="6109" spans="1:10" x14ac:dyDescent="0.25">
      <c r="A6109" s="2">
        <v>283.629282034467</v>
      </c>
      <c r="B6109" s="3">
        <v>-0.698571320222241</v>
      </c>
      <c r="C6109" s="5">
        <v>1.9481075888861001E-14</v>
      </c>
      <c r="D6109" s="6">
        <v>2.20797641837371E-13</v>
      </c>
      <c r="E6109" s="3" t="s">
        <v>4010</v>
      </c>
      <c r="F6109" s="3" t="s">
        <v>4011</v>
      </c>
      <c r="G6109" s="3">
        <v>224829</v>
      </c>
      <c r="H6109" s="7" t="str">
        <f>HYPERLINK("http://www.ensembl.org/Mus_musculus/Gene/Summary?db=core;g=ENSMUSG00000064043","ENSMUSG00000064043")</f>
        <v>ENSMUSG00000064043</v>
      </c>
      <c r="I6109" s="7" t="str">
        <f>HYPERLINK("http://www.informatics.jax.org/marker/MGI:2442086","MGI:2442086")</f>
        <v>MGI:2442086</v>
      </c>
      <c r="J6109" s="4" t="s">
        <v>331</v>
      </c>
    </row>
    <row r="6110" spans="1:10" x14ac:dyDescent="0.25">
      <c r="A6110" s="2">
        <v>33.100486997793098</v>
      </c>
      <c r="B6110" s="3">
        <v>-0.69940591991343104</v>
      </c>
      <c r="C6110" s="3">
        <v>2.2219348705291E-4</v>
      </c>
      <c r="D6110" s="4">
        <v>8.7613074459958504E-4</v>
      </c>
      <c r="E6110" s="3" t="s">
        <v>7466</v>
      </c>
      <c r="F6110" s="3" t="s">
        <v>7467</v>
      </c>
      <c r="G6110" s="3">
        <v>15372</v>
      </c>
      <c r="H6110" s="7" t="str">
        <f>HYPERLINK("http://www.ensembl.org/Mus_musculus/Gene/Summary?db=core;g=ENSMUSG00000050100","ENSMUSG00000050100")</f>
        <v>ENSMUSG00000050100</v>
      </c>
      <c r="I6110" s="7" t="str">
        <f>HYPERLINK("http://www.informatics.jax.org/marker/MGI:107159","MGI:107159")</f>
        <v>MGI:107159</v>
      </c>
      <c r="J6110" s="4" t="s">
        <v>12</v>
      </c>
    </row>
    <row r="6111" spans="1:10" x14ac:dyDescent="0.25">
      <c r="A6111" s="2">
        <v>46.991773031983698</v>
      </c>
      <c r="B6111" s="3">
        <v>-0.70000527356304298</v>
      </c>
      <c r="C6111" s="5">
        <v>1.9801441682421701E-5</v>
      </c>
      <c r="D6111" s="6">
        <v>9.2652445356132405E-5</v>
      </c>
      <c r="E6111" s="3" t="s">
        <v>11565</v>
      </c>
      <c r="F6111" s="3" t="s">
        <v>11566</v>
      </c>
      <c r="G6111" s="3" t="s">
        <v>83</v>
      </c>
      <c r="H6111" s="7" t="str">
        <f>HYPERLINK("http://www.ensembl.org/Mus_musculus/Gene/Summary?db=core;g=ENSMUSG00000109967","ENSMUSG00000109967")</f>
        <v>ENSMUSG00000109967</v>
      </c>
      <c r="I6111" s="7" t="str">
        <f>HYPERLINK("http://www.informatics.jax.org/marker/MGI:5804998","MGI:5804998")</f>
        <v>MGI:5804998</v>
      </c>
      <c r="J6111" s="4" t="s">
        <v>331</v>
      </c>
    </row>
    <row r="6112" spans="1:10" x14ac:dyDescent="0.25">
      <c r="A6112" s="2">
        <v>648.51606769785496</v>
      </c>
      <c r="B6112" s="3">
        <v>-0.70004582493480605</v>
      </c>
      <c r="C6112" s="5">
        <v>7.9346567360277497E-21</v>
      </c>
      <c r="D6112" s="6">
        <v>1.2946205820421299E-19</v>
      </c>
      <c r="E6112" s="3" t="s">
        <v>2371</v>
      </c>
      <c r="F6112" s="3" t="s">
        <v>2372</v>
      </c>
      <c r="G6112" s="3">
        <v>70885</v>
      </c>
      <c r="H6112" s="7" t="str">
        <f>HYPERLINK("http://www.ensembl.org/Mus_musculus/Gene/Summary?db=core;g=ENSMUSG00000031864","ENSMUSG00000031864")</f>
        <v>ENSMUSG00000031864</v>
      </c>
      <c r="I6112" s="7" t="str">
        <f>HYPERLINK("http://www.informatics.jax.org/marker/MGI:1918135","MGI:1918135")</f>
        <v>MGI:1918135</v>
      </c>
      <c r="J6112" s="4" t="s">
        <v>12</v>
      </c>
    </row>
    <row r="6113" spans="1:10" x14ac:dyDescent="0.25">
      <c r="A6113" s="2">
        <v>1279.7240827395101</v>
      </c>
      <c r="B6113" s="3">
        <v>-0.70065534467898105</v>
      </c>
      <c r="C6113" s="5">
        <v>4.0734045636696102E-19</v>
      </c>
      <c r="D6113" s="6">
        <v>6.1000655852817197E-18</v>
      </c>
      <c r="E6113" s="3" t="s">
        <v>3082</v>
      </c>
      <c r="F6113" s="3" t="s">
        <v>3083</v>
      </c>
      <c r="G6113" s="3">
        <v>20541</v>
      </c>
      <c r="H6113" s="7" t="str">
        <f>HYPERLINK("http://www.ensembl.org/Mus_musculus/Gene/Summary?db=core;g=ENSMUSG00000054640","ENSMUSG00000054640")</f>
        <v>ENSMUSG00000054640</v>
      </c>
      <c r="I6113" s="7" t="str">
        <f>HYPERLINK("http://www.informatics.jax.org/marker/MGI:107956","MGI:107956")</f>
        <v>MGI:107956</v>
      </c>
      <c r="J6113" s="4" t="s">
        <v>12</v>
      </c>
    </row>
    <row r="6114" spans="1:10" x14ac:dyDescent="0.25">
      <c r="A6114" s="2">
        <v>18.432556303132099</v>
      </c>
      <c r="B6114" s="3">
        <v>-0.70180686449027396</v>
      </c>
      <c r="C6114" s="3">
        <v>6.0023791020566196E-3</v>
      </c>
      <c r="D6114" s="4">
        <v>1.7732753952825701E-2</v>
      </c>
      <c r="E6114" s="3" t="s">
        <v>8975</v>
      </c>
      <c r="F6114" s="3" t="s">
        <v>8976</v>
      </c>
      <c r="G6114" s="3" t="s">
        <v>83</v>
      </c>
      <c r="H6114" s="7" t="str">
        <f>HYPERLINK("http://www.ensembl.org/Mus_musculus/Gene/Summary?db=core;g=ENSMUSG00000116912","ENSMUSG00000116912")</f>
        <v>ENSMUSG00000116912</v>
      </c>
      <c r="I6114" s="7" t="str">
        <f>HYPERLINK("http://www.informatics.jax.org/marker/MGI:3647872","MGI:3647872")</f>
        <v>MGI:3647872</v>
      </c>
      <c r="J6114" s="4" t="s">
        <v>1043</v>
      </c>
    </row>
    <row r="6115" spans="1:10" x14ac:dyDescent="0.25">
      <c r="A6115" s="2">
        <v>114.45497186734499</v>
      </c>
      <c r="B6115" s="3">
        <v>-0.70265077417784705</v>
      </c>
      <c r="C6115" s="5">
        <v>1.50943959218732E-9</v>
      </c>
      <c r="D6115" s="6">
        <v>1.15150843732163E-8</v>
      </c>
      <c r="E6115" s="3" t="s">
        <v>6371</v>
      </c>
      <c r="F6115" s="3" t="s">
        <v>6372</v>
      </c>
      <c r="G6115" s="3">
        <v>75764</v>
      </c>
      <c r="H6115" s="7" t="str">
        <f>HYPERLINK("http://www.ensembl.org/Mus_musculus/Gene/Summary?db=core;g=ENSMUSG00000059772","ENSMUSG00000059772")</f>
        <v>ENSMUSG00000059772</v>
      </c>
      <c r="I6115" s="7" t="str">
        <f>HYPERLINK("http://www.informatics.jax.org/marker/MGI:1915220","MGI:1915220")</f>
        <v>MGI:1915220</v>
      </c>
      <c r="J6115" s="4" t="s">
        <v>12</v>
      </c>
    </row>
    <row r="6116" spans="1:10" x14ac:dyDescent="0.25">
      <c r="A6116" s="2">
        <v>108.117876531528</v>
      </c>
      <c r="B6116" s="3">
        <v>-0.70281546716352805</v>
      </c>
      <c r="C6116" s="5">
        <v>8.2767667566201896E-10</v>
      </c>
      <c r="D6116" s="6">
        <v>6.4990984118657098E-9</v>
      </c>
      <c r="E6116" s="3" t="s">
        <v>4925</v>
      </c>
      <c r="F6116" s="3" t="s">
        <v>4926</v>
      </c>
      <c r="G6116" s="3">
        <v>74682</v>
      </c>
      <c r="H6116" s="7" t="str">
        <f>HYPERLINK("http://www.ensembl.org/Mus_musculus/Gene/Summary?db=core;g=ENSMUSG00000066643","ENSMUSG00000066643")</f>
        <v>ENSMUSG00000066643</v>
      </c>
      <c r="I6116" s="7" t="str">
        <f>HYPERLINK("http://www.informatics.jax.org/marker/MGI:1921932","MGI:1921932")</f>
        <v>MGI:1921932</v>
      </c>
      <c r="J6116" s="4" t="s">
        <v>12</v>
      </c>
    </row>
    <row r="6117" spans="1:10" x14ac:dyDescent="0.25">
      <c r="A6117" s="2">
        <v>29.9313333435828</v>
      </c>
      <c r="B6117" s="3">
        <v>-0.70299579771665099</v>
      </c>
      <c r="C6117" s="3">
        <v>8.0361984290880199E-4</v>
      </c>
      <c r="D6117" s="4">
        <v>2.8724294853093701E-3</v>
      </c>
      <c r="E6117" s="3" t="s">
        <v>9945</v>
      </c>
      <c r="F6117" s="3" t="s">
        <v>9946</v>
      </c>
      <c r="G6117" s="3">
        <v>320869</v>
      </c>
      <c r="H6117" s="7" t="str">
        <f>HYPERLINK("http://www.ensembl.org/Mus_musculus/Gene/Summary?db=core;g=ENSMUSG00000048478","ENSMUSG00000048478")</f>
        <v>ENSMUSG00000048478</v>
      </c>
      <c r="I6117" s="7" t="str">
        <f>HYPERLINK("http://www.informatics.jax.org/marker/MGI:2444920","MGI:2444920")</f>
        <v>MGI:2444920</v>
      </c>
      <c r="J6117" s="4" t="s">
        <v>12</v>
      </c>
    </row>
    <row r="6118" spans="1:10" x14ac:dyDescent="0.25">
      <c r="A6118" s="2">
        <v>22.047480498578199</v>
      </c>
      <c r="B6118" s="3">
        <v>-0.70358611081266997</v>
      </c>
      <c r="C6118" s="3">
        <v>9.6341188219391805E-3</v>
      </c>
      <c r="D6118" s="4">
        <v>2.7091778356710599E-2</v>
      </c>
      <c r="E6118" s="3" t="s">
        <v>7236</v>
      </c>
      <c r="F6118" s="3" t="s">
        <v>7237</v>
      </c>
      <c r="G6118" s="3">
        <v>381549</v>
      </c>
      <c r="H6118" s="7" t="str">
        <f>HYPERLINK("http://www.ensembl.org/Mus_musculus/Gene/Summary?db=core;g=ENSMUSG00000064141","ENSMUSG00000064141")</f>
        <v>ENSMUSG00000064141</v>
      </c>
      <c r="I6118" s="7" t="str">
        <f>HYPERLINK("http://www.informatics.jax.org/marker/MGI:107794","MGI:107794")</f>
        <v>MGI:107794</v>
      </c>
      <c r="J6118" s="4" t="s">
        <v>12</v>
      </c>
    </row>
    <row r="6119" spans="1:10" x14ac:dyDescent="0.25">
      <c r="A6119" s="2">
        <v>260.247719755719</v>
      </c>
      <c r="B6119" s="3">
        <v>-0.70531356864075001</v>
      </c>
      <c r="C6119" s="5">
        <v>2.9687457153057402E-7</v>
      </c>
      <c r="D6119" s="6">
        <v>1.76353946093374E-6</v>
      </c>
      <c r="E6119" s="3" t="s">
        <v>5473</v>
      </c>
      <c r="F6119" s="3" t="s">
        <v>5474</v>
      </c>
      <c r="G6119" s="3">
        <v>226744</v>
      </c>
      <c r="H6119" s="7" t="str">
        <f>HYPERLINK("http://www.ensembl.org/Mus_musculus/Gene/Summary?db=core;g=ENSMUSG00000038949","ENSMUSG00000038949")</f>
        <v>ENSMUSG00000038949</v>
      </c>
      <c r="I6119" s="7" t="str">
        <f>HYPERLINK("http://www.informatics.jax.org/marker/MGI:2445141","MGI:2445141")</f>
        <v>MGI:2445141</v>
      </c>
      <c r="J6119" s="4" t="s">
        <v>12</v>
      </c>
    </row>
    <row r="6120" spans="1:10" x14ac:dyDescent="0.25">
      <c r="A6120" s="2">
        <v>76.989455301213994</v>
      </c>
      <c r="B6120" s="3">
        <v>-0.70570050223488601</v>
      </c>
      <c r="C6120" s="5">
        <v>3.9774590915016301E-7</v>
      </c>
      <c r="D6120" s="6">
        <v>2.32411644573957E-6</v>
      </c>
      <c r="E6120" s="3" t="s">
        <v>6425</v>
      </c>
      <c r="F6120" s="3" t="s">
        <v>6426</v>
      </c>
      <c r="G6120" s="3">
        <v>56542</v>
      </c>
      <c r="H6120" s="7" t="str">
        <f>HYPERLINK("http://www.ensembl.org/Mus_musculus/Gene/Summary?db=core;g=ENSMUSG00000009828","ENSMUSG00000009828")</f>
        <v>ENSMUSG00000009828</v>
      </c>
      <c r="I6120" s="7" t="str">
        <f>HYPERLINK("http://www.informatics.jax.org/marker/MGI:1934157","MGI:1934157")</f>
        <v>MGI:1934157</v>
      </c>
      <c r="J6120" s="4" t="s">
        <v>12</v>
      </c>
    </row>
    <row r="6121" spans="1:10" x14ac:dyDescent="0.25">
      <c r="A6121" s="2">
        <v>2600.5347652722699</v>
      </c>
      <c r="B6121" s="3">
        <v>-0.70583556872088804</v>
      </c>
      <c r="C6121" s="5">
        <v>1.22300569909735E-15</v>
      </c>
      <c r="D6121" s="6">
        <v>1.49592475611068E-14</v>
      </c>
      <c r="E6121" s="3" t="s">
        <v>3240</v>
      </c>
      <c r="F6121" s="3" t="s">
        <v>3241</v>
      </c>
      <c r="G6121" s="3">
        <v>101706</v>
      </c>
      <c r="H6121" s="7" t="str">
        <f>HYPERLINK("http://www.ensembl.org/Mus_musculus/Gene/Summary?db=core;g=ENSMUSG00000066306","ENSMUSG00000066306")</f>
        <v>ENSMUSG00000066306</v>
      </c>
      <c r="I6121" s="7" t="str">
        <f>HYPERLINK("http://www.informatics.jax.org/marker/MGI:2443665","MGI:2443665")</f>
        <v>MGI:2443665</v>
      </c>
      <c r="J6121" s="4" t="s">
        <v>12</v>
      </c>
    </row>
    <row r="6122" spans="1:10" x14ac:dyDescent="0.25">
      <c r="A6122" s="2">
        <v>8.1465453115889108</v>
      </c>
      <c r="B6122" s="3">
        <v>-0.70615741728457704</v>
      </c>
      <c r="C6122" s="3">
        <v>4.6981927096597001E-2</v>
      </c>
      <c r="D6122" s="4">
        <v>0.108440428233977</v>
      </c>
      <c r="E6122" s="3" t="s">
        <v>13661</v>
      </c>
      <c r="F6122" s="3" t="s">
        <v>13662</v>
      </c>
      <c r="G6122" s="3" t="s">
        <v>83</v>
      </c>
      <c r="H6122" s="7" t="str">
        <f>HYPERLINK("http://www.ensembl.org/Mus_musculus/Gene/Summary?db=core;g=ENSMUSG00000030068","ENSMUSG00000030068")</f>
        <v>ENSMUSG00000030068</v>
      </c>
      <c r="I6122" s="7" t="str">
        <f>HYPERLINK("http://www.informatics.jax.org/marker/MGI:5313143","MGI:5313143")</f>
        <v>MGI:5313143</v>
      </c>
      <c r="J6122" s="4" t="s">
        <v>12</v>
      </c>
    </row>
    <row r="6123" spans="1:10" x14ac:dyDescent="0.25">
      <c r="A6123" s="2">
        <v>165.11142261319301</v>
      </c>
      <c r="B6123" s="3">
        <v>-0.70673625089511505</v>
      </c>
      <c r="C6123" s="5">
        <v>2.0195920918955801E-7</v>
      </c>
      <c r="D6123" s="6">
        <v>1.22486076122452E-6</v>
      </c>
      <c r="E6123" s="3" t="s">
        <v>2375</v>
      </c>
      <c r="F6123" s="3" t="s">
        <v>2376</v>
      </c>
      <c r="G6123" s="3">
        <v>106795</v>
      </c>
      <c r="H6123" s="7" t="str">
        <f>HYPERLINK("http://www.ensembl.org/Mus_musculus/Gene/Summary?db=core;g=ENSMUSG00000050410","ENSMUSG00000050410")</f>
        <v>ENSMUSG00000050410</v>
      </c>
      <c r="I6123" s="7" t="str">
        <f>HYPERLINK("http://www.informatics.jax.org/marker/MGI:103180","MGI:103180")</f>
        <v>MGI:103180</v>
      </c>
      <c r="J6123" s="4" t="s">
        <v>12</v>
      </c>
    </row>
    <row r="6124" spans="1:10" x14ac:dyDescent="0.25">
      <c r="A6124" s="2">
        <v>214.28036560494601</v>
      </c>
      <c r="B6124" s="3">
        <v>-0.70675164656127198</v>
      </c>
      <c r="C6124" s="5">
        <v>9.6503509605203309E-10</v>
      </c>
      <c r="D6124" s="6">
        <v>7.4905300790239799E-9</v>
      </c>
      <c r="E6124" s="3" t="s">
        <v>3148</v>
      </c>
      <c r="F6124" s="3" t="s">
        <v>3149</v>
      </c>
      <c r="G6124" s="3" t="s">
        <v>83</v>
      </c>
      <c r="H6124" s="7" t="str">
        <f>HYPERLINK("http://www.ensembl.org/Mus_musculus/Gene/Summary?db=core;g=ENSMUSG00000107476","ENSMUSG00000107476")</f>
        <v>ENSMUSG00000107476</v>
      </c>
      <c r="I6124" s="7" t="str">
        <f>HYPERLINK("http://www.informatics.jax.org/marker/MGI:1889827","MGI:1889827")</f>
        <v>MGI:1889827</v>
      </c>
      <c r="J6124" s="4" t="s">
        <v>3150</v>
      </c>
    </row>
    <row r="6125" spans="1:10" x14ac:dyDescent="0.25">
      <c r="A6125" s="2">
        <v>3501.5288274498898</v>
      </c>
      <c r="B6125" s="3">
        <v>-0.70819629788455596</v>
      </c>
      <c r="C6125" s="5">
        <v>1.18707233908577E-14</v>
      </c>
      <c r="D6125" s="6">
        <v>1.36494595456392E-13</v>
      </c>
      <c r="E6125" s="3" t="s">
        <v>5829</v>
      </c>
      <c r="F6125" s="3" t="s">
        <v>5830</v>
      </c>
      <c r="G6125" s="3">
        <v>16909</v>
      </c>
      <c r="H6125" s="7" t="str">
        <f>HYPERLINK("http://www.ensembl.org/Mus_musculus/Gene/Summary?db=core;g=ENSMUSG00000032698","ENSMUSG00000032698")</f>
        <v>ENSMUSG00000032698</v>
      </c>
      <c r="I6125" s="7" t="str">
        <f>HYPERLINK("http://www.informatics.jax.org/marker/MGI:102811","MGI:102811")</f>
        <v>MGI:102811</v>
      </c>
      <c r="J6125" s="4" t="s">
        <v>12</v>
      </c>
    </row>
    <row r="6126" spans="1:10" x14ac:dyDescent="0.25">
      <c r="A6126" s="2">
        <v>1081.7156508381299</v>
      </c>
      <c r="B6126" s="3">
        <v>-0.70848701091829502</v>
      </c>
      <c r="C6126" s="5">
        <v>5.2867653172133203E-33</v>
      </c>
      <c r="D6126" s="6">
        <v>1.4576595749805199E-31</v>
      </c>
      <c r="E6126" s="3" t="s">
        <v>1252</v>
      </c>
      <c r="F6126" s="3" t="s">
        <v>1253</v>
      </c>
      <c r="G6126" s="3">
        <v>103236</v>
      </c>
      <c r="H6126" s="7" t="str">
        <f>HYPERLINK("http://www.ensembl.org/Mus_musculus/Gene/Summary?db=core;g=ENSMUSG00000003345","ENSMUSG00000003345")</f>
        <v>ENSMUSG00000003345</v>
      </c>
      <c r="I6126" s="7" t="str">
        <f>HYPERLINK("http://www.informatics.jax.org/marker/MGI:1920014","MGI:1920014")</f>
        <v>MGI:1920014</v>
      </c>
      <c r="J6126" s="4" t="s">
        <v>12</v>
      </c>
    </row>
    <row r="6127" spans="1:10" x14ac:dyDescent="0.25">
      <c r="A6127" s="2">
        <v>77.553203389652793</v>
      </c>
      <c r="B6127" s="3">
        <v>-0.70977085857294797</v>
      </c>
      <c r="C6127" s="5">
        <v>7.8987203034759694E-5</v>
      </c>
      <c r="D6127" s="4">
        <v>3.3501088557330599E-4</v>
      </c>
      <c r="E6127" s="3" t="s">
        <v>6559</v>
      </c>
      <c r="F6127" s="3" t="s">
        <v>6560</v>
      </c>
      <c r="G6127" s="3">
        <v>319504</v>
      </c>
      <c r="H6127" s="7" t="str">
        <f>HYPERLINK("http://www.ensembl.org/Mus_musculus/Gene/Summary?db=core;g=ENSMUSG00000020598","ENSMUSG00000020598")</f>
        <v>ENSMUSG00000020598</v>
      </c>
      <c r="I6127" s="7" t="str">
        <f>HYPERLINK("http://www.informatics.jax.org/marker/MGI:104750","MGI:104750")</f>
        <v>MGI:104750</v>
      </c>
      <c r="J6127" s="4" t="s">
        <v>12</v>
      </c>
    </row>
    <row r="6128" spans="1:10" x14ac:dyDescent="0.25">
      <c r="A6128" s="2">
        <v>204.118968054459</v>
      </c>
      <c r="B6128" s="3">
        <v>-0.71106829623814605</v>
      </c>
      <c r="C6128" s="5">
        <v>9.6422748957089803E-9</v>
      </c>
      <c r="D6128" s="6">
        <v>6.7278124033038297E-8</v>
      </c>
      <c r="E6128" s="3" t="s">
        <v>5135</v>
      </c>
      <c r="F6128" s="3" t="s">
        <v>5136</v>
      </c>
      <c r="G6128" s="3">
        <v>240057</v>
      </c>
      <c r="H6128" s="7" t="str">
        <f>HYPERLINK("http://www.ensembl.org/Mus_musculus/Gene/Summary?db=core;g=ENSMUSG00000067629","ENSMUSG00000067629")</f>
        <v>ENSMUSG00000067629</v>
      </c>
      <c r="I6128" s="7" t="str">
        <f>HYPERLINK("http://www.informatics.jax.org/marker/MGI:3039785","MGI:3039785")</f>
        <v>MGI:3039785</v>
      </c>
      <c r="J6128" s="4" t="s">
        <v>12</v>
      </c>
    </row>
    <row r="6129" spans="1:10" x14ac:dyDescent="0.25">
      <c r="A6129" s="2">
        <v>203.356853614568</v>
      </c>
      <c r="B6129" s="3">
        <v>-0.71122551043089599</v>
      </c>
      <c r="C6129" s="5">
        <v>2.5708867644560999E-14</v>
      </c>
      <c r="D6129" s="6">
        <v>2.8922476100131198E-13</v>
      </c>
      <c r="E6129" s="3" t="s">
        <v>3252</v>
      </c>
      <c r="F6129" s="3" t="s">
        <v>3253</v>
      </c>
      <c r="G6129" s="3">
        <v>73852</v>
      </c>
      <c r="H6129" s="7" t="str">
        <f>HYPERLINK("http://www.ensembl.org/Mus_musculus/Gene/Summary?db=core;g=ENSMUSG00000025766","ENSMUSG00000025766")</f>
        <v>ENSMUSG00000025766</v>
      </c>
      <c r="I6129" s="7" t="str">
        <f>HYPERLINK("http://www.informatics.jax.org/marker/MGI:1289213","MGI:1289213")</f>
        <v>MGI:1289213</v>
      </c>
      <c r="J6129" s="4" t="s">
        <v>12</v>
      </c>
    </row>
    <row r="6130" spans="1:10" x14ac:dyDescent="0.25">
      <c r="A6130" s="2">
        <v>408.35213816337802</v>
      </c>
      <c r="B6130" s="3">
        <v>-0.71124244992561902</v>
      </c>
      <c r="C6130" s="5">
        <v>1.6166097957521502E-8</v>
      </c>
      <c r="D6130" s="6">
        <v>1.1009982633625899E-7</v>
      </c>
      <c r="E6130" s="3" t="s">
        <v>8101</v>
      </c>
      <c r="F6130" s="3" t="s">
        <v>8102</v>
      </c>
      <c r="G6130" s="3">
        <v>103836</v>
      </c>
      <c r="H6130" s="7" t="str">
        <f>HYPERLINK("http://www.ensembl.org/Mus_musculus/Gene/Summary?db=core;g=ENSMUSG00000037243","ENSMUSG00000037243")</f>
        <v>ENSMUSG00000037243</v>
      </c>
      <c r="I6130" s="7" t="str">
        <f>HYPERLINK("http://www.informatics.jax.org/marker/MGI:2144276","MGI:2144276")</f>
        <v>MGI:2144276</v>
      </c>
      <c r="J6130" s="4" t="s">
        <v>12</v>
      </c>
    </row>
    <row r="6131" spans="1:10" x14ac:dyDescent="0.25">
      <c r="A6131" s="2">
        <v>721.57160598115195</v>
      </c>
      <c r="B6131" s="3">
        <v>-0.71132143462955499</v>
      </c>
      <c r="C6131" s="5">
        <v>3.3739328986405002E-22</v>
      </c>
      <c r="D6131" s="6">
        <v>5.9353211464983697E-21</v>
      </c>
      <c r="E6131" s="3" t="s">
        <v>3274</v>
      </c>
      <c r="F6131" s="3" t="s">
        <v>3275</v>
      </c>
      <c r="G6131" s="3">
        <v>223978</v>
      </c>
      <c r="H6131" s="7" t="str">
        <f>HYPERLINK("http://www.ensembl.org/Mus_musculus/Gene/Summary?db=core;g=ENSMUSG00000065979","ENSMUSG00000065979")</f>
        <v>ENSMUSG00000065979</v>
      </c>
      <c r="I6131" s="7" t="str">
        <f>HYPERLINK("http://www.informatics.jax.org/marker/MGI:2443300","MGI:2443300")</f>
        <v>MGI:2443300</v>
      </c>
      <c r="J6131" s="4" t="s">
        <v>12</v>
      </c>
    </row>
    <row r="6132" spans="1:10" x14ac:dyDescent="0.25">
      <c r="A6132" s="2">
        <v>176.85223820362401</v>
      </c>
      <c r="B6132" s="3">
        <v>-0.711394222744134</v>
      </c>
      <c r="C6132" s="5">
        <v>4.73453639694716E-7</v>
      </c>
      <c r="D6132" s="6">
        <v>2.7357934633596102E-6</v>
      </c>
      <c r="E6132" s="3" t="s">
        <v>5679</v>
      </c>
      <c r="F6132" s="3" t="s">
        <v>5680</v>
      </c>
      <c r="G6132" s="3">
        <v>17427</v>
      </c>
      <c r="H6132" s="7" t="str">
        <f>HYPERLINK("http://www.ensembl.org/Mus_musculus/Gene/Summary?db=core;g=ENSMUSG00000032221","ENSMUSG00000032221")</f>
        <v>ENSMUSG00000032221</v>
      </c>
      <c r="I6132" s="7" t="str">
        <f>HYPERLINK("http://www.informatics.jax.org/marker/MGI:107933","MGI:107933")</f>
        <v>MGI:107933</v>
      </c>
      <c r="J6132" s="4" t="s">
        <v>12</v>
      </c>
    </row>
    <row r="6133" spans="1:10" x14ac:dyDescent="0.25">
      <c r="A6133" s="2">
        <v>482.44517572289402</v>
      </c>
      <c r="B6133" s="3">
        <v>-0.71188245705324904</v>
      </c>
      <c r="C6133" s="5">
        <v>2.3901322554264001E-20</v>
      </c>
      <c r="D6133" s="6">
        <v>3.8143748121844302E-19</v>
      </c>
      <c r="E6133" s="3" t="s">
        <v>1961</v>
      </c>
      <c r="F6133" s="3" t="s">
        <v>1962</v>
      </c>
      <c r="G6133" s="3">
        <v>71947</v>
      </c>
      <c r="H6133" s="7" t="str">
        <f>HYPERLINK("http://www.ensembl.org/Mus_musculus/Gene/Summary?db=core;g=ENSMUSG00000020747","ENSMUSG00000020747")</f>
        <v>ENSMUSG00000020747</v>
      </c>
      <c r="I6133" s="7" t="str">
        <f>HYPERLINK("http://www.informatics.jax.org/marker/MGI:1919197","MGI:1919197")</f>
        <v>MGI:1919197</v>
      </c>
      <c r="J6133" s="4" t="s">
        <v>12</v>
      </c>
    </row>
    <row r="6134" spans="1:10" x14ac:dyDescent="0.25">
      <c r="A6134" s="2">
        <v>1718.6340418187399</v>
      </c>
      <c r="B6134" s="3">
        <v>-0.71215333195385699</v>
      </c>
      <c r="C6134" s="5">
        <v>2.2426606222284302E-6</v>
      </c>
      <c r="D6134" s="6">
        <v>1.19615129763281E-5</v>
      </c>
      <c r="E6134" s="3" t="s">
        <v>6323</v>
      </c>
      <c r="F6134" s="3" t="s">
        <v>6324</v>
      </c>
      <c r="G6134" s="3">
        <v>108000</v>
      </c>
      <c r="H6134" s="7" t="str">
        <f>HYPERLINK("http://www.ensembl.org/Mus_musculus/Gene/Summary?db=core;g=ENSMUSG00000026605","ENSMUSG00000026605")</f>
        <v>ENSMUSG00000026605</v>
      </c>
      <c r="I6134" s="7" t="str">
        <f>HYPERLINK("http://www.informatics.jax.org/marker/MGI:1313302","MGI:1313302")</f>
        <v>MGI:1313302</v>
      </c>
      <c r="J6134" s="4" t="s">
        <v>12</v>
      </c>
    </row>
    <row r="6135" spans="1:10" x14ac:dyDescent="0.25">
      <c r="A6135" s="2">
        <v>235.01791907942601</v>
      </c>
      <c r="B6135" s="3">
        <v>-0.71243052225796699</v>
      </c>
      <c r="C6135" s="5">
        <v>1.37828211197066E-14</v>
      </c>
      <c r="D6135" s="6">
        <v>1.5808175890915901E-13</v>
      </c>
      <c r="E6135" s="3" t="s">
        <v>2914</v>
      </c>
      <c r="F6135" s="3" t="s">
        <v>2915</v>
      </c>
      <c r="G6135" s="3">
        <v>214742</v>
      </c>
      <c r="H6135" s="7" t="str">
        <f>HYPERLINK("http://www.ensembl.org/Mus_musculus/Gene/Summary?db=core;g=ENSMUSG00000037395","ENSMUSG00000037395")</f>
        <v>ENSMUSG00000037395</v>
      </c>
      <c r="I6135" s="7" t="str">
        <f>HYPERLINK("http://www.informatics.jax.org/marker/MGI:2441920","MGI:2441920")</f>
        <v>MGI:2441920</v>
      </c>
      <c r="J6135" s="4" t="s">
        <v>12</v>
      </c>
    </row>
    <row r="6136" spans="1:10" x14ac:dyDescent="0.25">
      <c r="A6136" s="2">
        <v>125.79920476875</v>
      </c>
      <c r="B6136" s="3">
        <v>-0.71266813236828397</v>
      </c>
      <c r="C6136" s="5">
        <v>8.4908048122402795E-10</v>
      </c>
      <c r="D6136" s="6">
        <v>6.6556953850786699E-9</v>
      </c>
      <c r="E6136" s="3" t="s">
        <v>5993</v>
      </c>
      <c r="F6136" s="3" t="s">
        <v>5994</v>
      </c>
      <c r="G6136" s="3">
        <v>434178</v>
      </c>
      <c r="H6136" s="7" t="str">
        <f>HYPERLINK("http://www.ensembl.org/Mus_musculus/Gene/Summary?db=core;g=ENSMUSG00000092416","ENSMUSG00000092416")</f>
        <v>ENSMUSG00000092416</v>
      </c>
      <c r="I6136" s="7" t="str">
        <f>HYPERLINK("http://www.informatics.jax.org/marker/MGI:3584269","MGI:3584269")</f>
        <v>MGI:3584269</v>
      </c>
      <c r="J6136" s="4" t="s">
        <v>12</v>
      </c>
    </row>
    <row r="6137" spans="1:10" x14ac:dyDescent="0.25">
      <c r="A6137" s="2">
        <v>310.07088153226101</v>
      </c>
      <c r="B6137" s="3">
        <v>-0.71288722957833295</v>
      </c>
      <c r="C6137" s="5">
        <v>4.4894121851829297E-6</v>
      </c>
      <c r="D6137" s="6">
        <v>2.308677682702E-5</v>
      </c>
      <c r="E6137" s="3" t="s">
        <v>8413</v>
      </c>
      <c r="F6137" s="3" t="s">
        <v>8414</v>
      </c>
      <c r="G6137" s="3">
        <v>76612</v>
      </c>
      <c r="H6137" s="7" t="str">
        <f>HYPERLINK("http://www.ensembl.org/Mus_musculus/Gene/Summary?db=core;g=ENSMUSG00000015980","ENSMUSG00000015980")</f>
        <v>ENSMUSG00000015980</v>
      </c>
      <c r="I6137" s="7" t="str">
        <f>HYPERLINK("http://www.informatics.jax.org/marker/MGI:1923862","MGI:1923862")</f>
        <v>MGI:1923862</v>
      </c>
      <c r="J6137" s="4" t="s">
        <v>12</v>
      </c>
    </row>
    <row r="6138" spans="1:10" x14ac:dyDescent="0.25">
      <c r="A6138" s="2">
        <v>44.469004551250002</v>
      </c>
      <c r="B6138" s="3">
        <v>-0.71292008449327304</v>
      </c>
      <c r="C6138" s="3">
        <v>1.96412982383504E-4</v>
      </c>
      <c r="D6138" s="4">
        <v>7.8089585600771196E-4</v>
      </c>
      <c r="E6138" s="3" t="s">
        <v>6633</v>
      </c>
      <c r="F6138" s="3" t="s">
        <v>6634</v>
      </c>
      <c r="G6138" s="3" t="s">
        <v>83</v>
      </c>
      <c r="H6138" s="7" t="str">
        <f>HYPERLINK("http://www.ensembl.org/Mus_musculus/Gene/Summary?db=core;g=ENSMUSG00000085873","ENSMUSG00000085873")</f>
        <v>ENSMUSG00000085873</v>
      </c>
      <c r="I6138" s="7" t="str">
        <f>HYPERLINK("http://www.informatics.jax.org/marker/MGI:3651956","MGI:3651956")</f>
        <v>MGI:3651956</v>
      </c>
      <c r="J6138" s="4" t="s">
        <v>932</v>
      </c>
    </row>
    <row r="6139" spans="1:10" x14ac:dyDescent="0.25">
      <c r="A6139" s="2">
        <v>33.073847884636599</v>
      </c>
      <c r="B6139" s="3">
        <v>-0.71312833203663195</v>
      </c>
      <c r="C6139" s="3">
        <v>1.51205814180843E-3</v>
      </c>
      <c r="D6139" s="4">
        <v>5.1431988866104204E-3</v>
      </c>
      <c r="E6139" s="3" t="s">
        <v>12063</v>
      </c>
      <c r="F6139" s="3" t="s">
        <v>12064</v>
      </c>
      <c r="G6139" s="3">
        <v>22017</v>
      </c>
      <c r="H6139" s="7" t="str">
        <f>HYPERLINK("http://www.ensembl.org/Mus_musculus/Gene/Summary?db=core;g=ENSMUSG00000021376","ENSMUSG00000021376")</f>
        <v>ENSMUSG00000021376</v>
      </c>
      <c r="I6139" s="7" t="str">
        <f>HYPERLINK("http://www.informatics.jax.org/marker/MGI:98812","MGI:98812")</f>
        <v>MGI:98812</v>
      </c>
      <c r="J6139" s="4" t="s">
        <v>12</v>
      </c>
    </row>
    <row r="6140" spans="1:10" x14ac:dyDescent="0.25">
      <c r="A6140" s="2">
        <v>159.811650358577</v>
      </c>
      <c r="B6140" s="3">
        <v>-0.71344940072169905</v>
      </c>
      <c r="C6140" s="5">
        <v>4.9712818642592505E-13</v>
      </c>
      <c r="D6140" s="6">
        <v>5.1536753114974301E-12</v>
      </c>
      <c r="E6140" s="3" t="s">
        <v>1726</v>
      </c>
      <c r="F6140" s="3" t="s">
        <v>1727</v>
      </c>
      <c r="G6140" s="3">
        <v>73420</v>
      </c>
      <c r="H6140" s="7" t="str">
        <f>HYPERLINK("http://www.ensembl.org/Mus_musculus/Gene/Summary?db=core;g=ENSMUSG00000031971","ENSMUSG00000031971")</f>
        <v>ENSMUSG00000031971</v>
      </c>
      <c r="I6140" s="7" t="str">
        <f>HYPERLINK("http://www.informatics.jax.org/marker/MGI:1920670","MGI:1920670")</f>
        <v>MGI:1920670</v>
      </c>
      <c r="J6140" s="4" t="s">
        <v>12</v>
      </c>
    </row>
    <row r="6141" spans="1:10" x14ac:dyDescent="0.25">
      <c r="A6141" s="2">
        <v>39.379497728590401</v>
      </c>
      <c r="B6141" s="3">
        <v>-0.71369376125780704</v>
      </c>
      <c r="C6141" s="3">
        <v>2.34818261920349E-3</v>
      </c>
      <c r="D6141" s="4">
        <v>7.6420764705327797E-3</v>
      </c>
      <c r="E6141" s="3" t="s">
        <v>8661</v>
      </c>
      <c r="F6141" s="3" t="s">
        <v>8662</v>
      </c>
      <c r="G6141" s="3">
        <v>29856</v>
      </c>
      <c r="H6141" s="7" t="str">
        <f>HYPERLINK("http://www.ensembl.org/Mus_musculus/Gene/Summary?db=core;g=ENSMUSG00000020439","ENSMUSG00000020439")</f>
        <v>ENSMUSG00000020439</v>
      </c>
      <c r="I6141" s="7" t="str">
        <f>HYPERLINK("http://www.informatics.jax.org/marker/MGI:1354727","MGI:1354727")</f>
        <v>MGI:1354727</v>
      </c>
      <c r="J6141" s="4" t="s">
        <v>12</v>
      </c>
    </row>
    <row r="6142" spans="1:10" x14ac:dyDescent="0.25">
      <c r="A6142" s="2">
        <v>32.460648909289603</v>
      </c>
      <c r="B6142" s="3">
        <v>-0.71409972482238804</v>
      </c>
      <c r="C6142" s="3">
        <v>2.0654496184080399E-4</v>
      </c>
      <c r="D6142" s="4">
        <v>8.1867810559997005E-4</v>
      </c>
      <c r="E6142" s="3" t="s">
        <v>7166</v>
      </c>
      <c r="F6142" s="3" t="s">
        <v>7167</v>
      </c>
      <c r="G6142" s="3" t="s">
        <v>83</v>
      </c>
      <c r="H6142" s="7" t="str">
        <f>HYPERLINK("http://www.ensembl.org/Mus_musculus/Gene/Summary?db=core;g=ENSMUSG00000113836","ENSMUSG00000113836")</f>
        <v>ENSMUSG00000113836</v>
      </c>
      <c r="I6142" s="7" t="str">
        <f>HYPERLINK("http://www.informatics.jax.org/marker/MGI:3781503","MGI:3781503")</f>
        <v>MGI:3781503</v>
      </c>
      <c r="J6142" s="4" t="s">
        <v>5705</v>
      </c>
    </row>
    <row r="6143" spans="1:10" x14ac:dyDescent="0.25">
      <c r="A6143" s="2">
        <v>674.85864819985602</v>
      </c>
      <c r="B6143" s="3">
        <v>-0.71428793577896399</v>
      </c>
      <c r="C6143" s="5">
        <v>8.9464687005480893E-31</v>
      </c>
      <c r="D6143" s="6">
        <v>2.2804110778669801E-29</v>
      </c>
      <c r="E6143" s="3" t="s">
        <v>886</v>
      </c>
      <c r="F6143" s="3" t="s">
        <v>887</v>
      </c>
      <c r="G6143" s="3">
        <v>52588</v>
      </c>
      <c r="H6143" s="7" t="str">
        <f>HYPERLINK("http://www.ensembl.org/Mus_musculus/Gene/Summary?db=core;g=ENSMUSG00000037824","ENSMUSG00000037824")</f>
        <v>ENSMUSG00000037824</v>
      </c>
      <c r="I6143" s="7" t="str">
        <f>HYPERLINK("http://www.informatics.jax.org/marker/MGI:1196325","MGI:1196325")</f>
        <v>MGI:1196325</v>
      </c>
      <c r="J6143" s="4" t="s">
        <v>12</v>
      </c>
    </row>
    <row r="6144" spans="1:10" x14ac:dyDescent="0.25">
      <c r="A6144" s="2">
        <v>413.125918821619</v>
      </c>
      <c r="B6144" s="3">
        <v>-0.71527835057366296</v>
      </c>
      <c r="C6144" s="5">
        <v>5.4842599494712898E-10</v>
      </c>
      <c r="D6144" s="6">
        <v>4.3799578255527696E-9</v>
      </c>
      <c r="E6144" s="3" t="s">
        <v>5309</v>
      </c>
      <c r="F6144" s="3" t="s">
        <v>5310</v>
      </c>
      <c r="G6144" s="3">
        <v>106582</v>
      </c>
      <c r="H6144" s="7" t="str">
        <f>HYPERLINK("http://www.ensembl.org/Mus_musculus/Gene/Summary?db=core;g=ENSMUSG00000059791","ENSMUSG00000059791")</f>
        <v>ENSMUSG00000059791</v>
      </c>
      <c r="I6144" s="7" t="str">
        <f>HYPERLINK("http://www.informatics.jax.org/marker/MGI:2146855","MGI:2146855")</f>
        <v>MGI:2146855</v>
      </c>
      <c r="J6144" s="4" t="s">
        <v>12</v>
      </c>
    </row>
    <row r="6145" spans="1:10" x14ac:dyDescent="0.25">
      <c r="A6145" s="2">
        <v>116.762835363238</v>
      </c>
      <c r="B6145" s="3">
        <v>-0.71565143318870506</v>
      </c>
      <c r="C6145" s="3">
        <v>5.6473770734765695E-4</v>
      </c>
      <c r="D6145" s="4">
        <v>2.08178493454916E-3</v>
      </c>
      <c r="E6145" s="3" t="s">
        <v>10622</v>
      </c>
      <c r="F6145" s="3" t="s">
        <v>10623</v>
      </c>
      <c r="G6145" s="3">
        <v>72297</v>
      </c>
      <c r="H6145" s="7" t="str">
        <f>HYPERLINK("http://www.ensembl.org/Mus_musculus/Gene/Summary?db=core;g=ENSMUSG00000031803","ENSMUSG00000031803")</f>
        <v>ENSMUSG00000031803</v>
      </c>
      <c r="I6145" s="7" t="str">
        <f>HYPERLINK("http://www.informatics.jax.org/marker/MGI:2152535","MGI:2152535")</f>
        <v>MGI:2152535</v>
      </c>
      <c r="J6145" s="4" t="s">
        <v>12</v>
      </c>
    </row>
    <row r="6146" spans="1:10" x14ac:dyDescent="0.25">
      <c r="A6146" s="2">
        <v>257.154460756194</v>
      </c>
      <c r="B6146" s="3">
        <v>-0.71757634675679804</v>
      </c>
      <c r="C6146" s="5">
        <v>3.2761362632102501E-12</v>
      </c>
      <c r="D6146" s="6">
        <v>3.1624779341634901E-11</v>
      </c>
      <c r="E6146" s="3" t="s">
        <v>3056</v>
      </c>
      <c r="F6146" s="3" t="s">
        <v>3057</v>
      </c>
      <c r="G6146" s="3">
        <v>353187</v>
      </c>
      <c r="H6146" s="7" t="str">
        <f>HYPERLINK("http://www.ensembl.org/Mus_musculus/Gene/Summary?db=core;g=ENSMUSG00000021775","ENSMUSG00000021775")</f>
        <v>ENSMUSG00000021775</v>
      </c>
      <c r="I6146" s="7" t="str">
        <f>HYPERLINK("http://www.informatics.jax.org/marker/MGI:2449205","MGI:2449205")</f>
        <v>MGI:2449205</v>
      </c>
      <c r="J6146" s="4" t="s">
        <v>12</v>
      </c>
    </row>
    <row r="6147" spans="1:10" x14ac:dyDescent="0.25">
      <c r="A6147" s="2">
        <v>39.184698088927703</v>
      </c>
      <c r="B6147" s="3">
        <v>-0.71772263578953099</v>
      </c>
      <c r="C6147" s="3">
        <v>1.05446178531135E-4</v>
      </c>
      <c r="D6147" s="4">
        <v>4.39258652281129E-4</v>
      </c>
      <c r="E6147" s="3" t="s">
        <v>11907</v>
      </c>
      <c r="F6147" s="3" t="s">
        <v>11908</v>
      </c>
      <c r="G6147" s="3">
        <v>52666</v>
      </c>
      <c r="H6147" s="7" t="str">
        <f>HYPERLINK("http://www.ensembl.org/Mus_musculus/Gene/Summary?db=core;g=ENSMUSG00000019467","ENSMUSG00000019467")</f>
        <v>ENSMUSG00000019467</v>
      </c>
      <c r="I6147" s="7" t="str">
        <f>HYPERLINK("http://www.informatics.jax.org/marker/MGI:1277173","MGI:1277173")</f>
        <v>MGI:1277173</v>
      </c>
      <c r="J6147" s="4" t="s">
        <v>12</v>
      </c>
    </row>
    <row r="6148" spans="1:10" x14ac:dyDescent="0.25">
      <c r="A6148" s="2">
        <v>144.116696152179</v>
      </c>
      <c r="B6148" s="3">
        <v>-0.71902377629939596</v>
      </c>
      <c r="C6148" s="5">
        <v>2.7319051405905799E-9</v>
      </c>
      <c r="D6148" s="6">
        <v>2.02723824052375E-8</v>
      </c>
      <c r="E6148" s="3" t="s">
        <v>5633</v>
      </c>
      <c r="F6148" s="3" t="s">
        <v>5634</v>
      </c>
      <c r="G6148" s="3">
        <v>68520</v>
      </c>
      <c r="H6148" s="7" t="str">
        <f>HYPERLINK("http://www.ensembl.org/Mus_musculus/Gene/Summary?db=core;g=ENSMUSG00000021286","ENSMUSG00000021286")</f>
        <v>ENSMUSG00000021286</v>
      </c>
      <c r="I6148" s="7" t="str">
        <f>HYPERLINK("http://www.informatics.jax.org/marker/MGI:1915770","MGI:1915770")</f>
        <v>MGI:1915770</v>
      </c>
      <c r="J6148" s="4" t="s">
        <v>12</v>
      </c>
    </row>
    <row r="6149" spans="1:10" x14ac:dyDescent="0.25">
      <c r="A6149" s="2">
        <v>1132.4070586191201</v>
      </c>
      <c r="B6149" s="3">
        <v>-0.72014232412978796</v>
      </c>
      <c r="C6149" s="5">
        <v>5.8976684921324903E-15</v>
      </c>
      <c r="D6149" s="6">
        <v>6.9033402870337E-14</v>
      </c>
      <c r="E6149" s="3" t="s">
        <v>1933</v>
      </c>
      <c r="F6149" s="3" t="s">
        <v>1934</v>
      </c>
      <c r="G6149" s="3">
        <v>18973</v>
      </c>
      <c r="H6149" s="7" t="str">
        <f>HYPERLINK("http://www.ensembl.org/Mus_musculus/Gene/Summary?db=core;g=ENSMUSG00000007080","ENSMUSG00000007080")</f>
        <v>ENSMUSG00000007080</v>
      </c>
      <c r="I6149" s="7" t="str">
        <f>HYPERLINK("http://www.informatics.jax.org/marker/MGI:1196391","MGI:1196391")</f>
        <v>MGI:1196391</v>
      </c>
      <c r="J6149" s="4" t="s">
        <v>12</v>
      </c>
    </row>
    <row r="6150" spans="1:10" x14ac:dyDescent="0.25">
      <c r="A6150" s="2">
        <v>699.27095459301199</v>
      </c>
      <c r="B6150" s="3">
        <v>-0.72052357526824096</v>
      </c>
      <c r="C6150" s="5">
        <v>2.98802834252783E-27</v>
      </c>
      <c r="D6150" s="6">
        <v>6.5928349325144897E-26</v>
      </c>
      <c r="E6150" s="3" t="s">
        <v>1368</v>
      </c>
      <c r="F6150" s="3" t="s">
        <v>1369</v>
      </c>
      <c r="G6150" s="3">
        <v>50935</v>
      </c>
      <c r="H6150" s="7" t="str">
        <f>HYPERLINK("http://www.ensembl.org/Mus_musculus/Gene/Summary?db=core;g=ENSMUSG00000026811","ENSMUSG00000026811")</f>
        <v>ENSMUSG00000026811</v>
      </c>
      <c r="I6150" s="7" t="str">
        <f>HYPERLINK("http://www.informatics.jax.org/marker/MGI:1355316","MGI:1355316")</f>
        <v>MGI:1355316</v>
      </c>
      <c r="J6150" s="4" t="s">
        <v>12</v>
      </c>
    </row>
    <row r="6151" spans="1:10" x14ac:dyDescent="0.25">
      <c r="A6151" s="2">
        <v>218.57250934428501</v>
      </c>
      <c r="B6151" s="3">
        <v>-0.72071162246142795</v>
      </c>
      <c r="C6151" s="5">
        <v>1.7626161486356799E-11</v>
      </c>
      <c r="D6151" s="6">
        <v>1.6053812748068601E-10</v>
      </c>
      <c r="E6151" s="3" t="s">
        <v>2191</v>
      </c>
      <c r="F6151" s="3" t="s">
        <v>2192</v>
      </c>
      <c r="G6151" s="3">
        <v>57913</v>
      </c>
      <c r="H6151" s="7" t="str">
        <f>HYPERLINK("http://www.ensembl.org/Mus_musculus/Gene/Summary?db=core;g=ENSMUSG00000025507","ENSMUSG00000025507")</f>
        <v>ENSMUSG00000025507</v>
      </c>
      <c r="I6151" s="7" t="str">
        <f>HYPERLINK("http://www.informatics.jax.org/marker/MGI:1889507","MGI:1889507")</f>
        <v>MGI:1889507</v>
      </c>
      <c r="J6151" s="4" t="s">
        <v>12</v>
      </c>
    </row>
    <row r="6152" spans="1:10" x14ac:dyDescent="0.25">
      <c r="A6152" s="2">
        <v>829.61855690346101</v>
      </c>
      <c r="B6152" s="3">
        <v>-0.72200629399446803</v>
      </c>
      <c r="C6152" s="5">
        <v>2.29505092354738E-29</v>
      </c>
      <c r="D6152" s="6">
        <v>5.51084362077089E-28</v>
      </c>
      <c r="E6152" s="3" t="s">
        <v>942</v>
      </c>
      <c r="F6152" s="3" t="s">
        <v>943</v>
      </c>
      <c r="G6152" s="3">
        <v>268469</v>
      </c>
      <c r="H6152" s="7" t="str">
        <f>HYPERLINK("http://www.ensembl.org/Mus_musculus/Gene/Summary?db=core;g=ENSMUSG00000075595","ENSMUSG00000075595")</f>
        <v>ENSMUSG00000075595</v>
      </c>
      <c r="I6152" s="7" t="str">
        <f>HYPERLINK("http://www.informatics.jax.org/marker/MGI:2442221","MGI:2442221")</f>
        <v>MGI:2442221</v>
      </c>
      <c r="J6152" s="4" t="s">
        <v>12</v>
      </c>
    </row>
    <row r="6153" spans="1:10" x14ac:dyDescent="0.25">
      <c r="A6153" s="2">
        <v>104.423584746011</v>
      </c>
      <c r="B6153" s="3">
        <v>-0.72306636697956495</v>
      </c>
      <c r="C6153" s="5">
        <v>1.8912436380824699E-9</v>
      </c>
      <c r="D6153" s="6">
        <v>1.4248828153804499E-8</v>
      </c>
      <c r="E6153" s="3" t="s">
        <v>3550</v>
      </c>
      <c r="F6153" s="3" t="s">
        <v>3551</v>
      </c>
      <c r="G6153" s="3">
        <v>229615</v>
      </c>
      <c r="H6153" s="7" t="str">
        <f>HYPERLINK("http://www.ensembl.org/Mus_musculus/Gene/Summary?db=core;g=ENSMUSG00000028101","ENSMUSG00000028101")</f>
        <v>ENSMUSG00000028101</v>
      </c>
      <c r="I6153" s="7" t="str">
        <f>HYPERLINK("http://www.informatics.jax.org/marker/MGI:1913126","MGI:1913126")</f>
        <v>MGI:1913126</v>
      </c>
      <c r="J6153" s="4" t="s">
        <v>12</v>
      </c>
    </row>
    <row r="6154" spans="1:10" x14ac:dyDescent="0.25">
      <c r="A6154" s="2">
        <v>237.882259641491</v>
      </c>
      <c r="B6154" s="3">
        <v>-0.72321851611030497</v>
      </c>
      <c r="C6154" s="5">
        <v>1.17964962466786E-14</v>
      </c>
      <c r="D6154" s="6">
        <v>1.3572673238365999E-13</v>
      </c>
      <c r="E6154" s="3" t="s">
        <v>3740</v>
      </c>
      <c r="F6154" s="3" t="s">
        <v>3741</v>
      </c>
      <c r="G6154" s="3">
        <v>17536</v>
      </c>
      <c r="H6154" s="7" t="str">
        <f>HYPERLINK("http://www.ensembl.org/Mus_musculus/Gene/Summary?db=core;g=ENSMUSG00000027210","ENSMUSG00000027210")</f>
        <v>ENSMUSG00000027210</v>
      </c>
      <c r="I6154" s="7" t="str">
        <f>HYPERLINK("http://www.informatics.jax.org/marker/MGI:108564","MGI:108564")</f>
        <v>MGI:108564</v>
      </c>
      <c r="J6154" s="4" t="s">
        <v>12</v>
      </c>
    </row>
    <row r="6155" spans="1:10" x14ac:dyDescent="0.25">
      <c r="A6155" s="2">
        <v>139.210745971883</v>
      </c>
      <c r="B6155" s="3">
        <v>-0.72330896422092295</v>
      </c>
      <c r="C6155" s="5">
        <v>1.33072133511877E-11</v>
      </c>
      <c r="D6155" s="6">
        <v>1.2236325092098701E-10</v>
      </c>
      <c r="E6155" s="3" t="s">
        <v>3502</v>
      </c>
      <c r="F6155" s="3" t="s">
        <v>3503</v>
      </c>
      <c r="G6155" s="3">
        <v>623474</v>
      </c>
      <c r="H6155" s="7" t="str">
        <f>HYPERLINK("http://www.ensembl.org/Mus_musculus/Gene/Summary?db=core;g=ENSMUSG00000078773","ENSMUSG00000078773")</f>
        <v>ENSMUSG00000078773</v>
      </c>
      <c r="I6155" s="7" t="str">
        <f>HYPERLINK("http://www.informatics.jax.org/marker/MGI:3605986","MGI:3605986")</f>
        <v>MGI:3605986</v>
      </c>
      <c r="J6155" s="4" t="s">
        <v>12</v>
      </c>
    </row>
    <row r="6156" spans="1:10" x14ac:dyDescent="0.25">
      <c r="A6156" s="2">
        <v>877.116435341326</v>
      </c>
      <c r="B6156" s="3">
        <v>-0.72373215550653103</v>
      </c>
      <c r="C6156" s="5">
        <v>1.4413634801603E-18</v>
      </c>
      <c r="D6156" s="6">
        <v>2.0964764106880601E-17</v>
      </c>
      <c r="E6156" s="3" t="s">
        <v>1618</v>
      </c>
      <c r="F6156" s="3" t="s">
        <v>1619</v>
      </c>
      <c r="G6156" s="3">
        <v>68964</v>
      </c>
      <c r="H6156" s="7" t="str">
        <f>HYPERLINK("http://www.ensembl.org/Mus_musculus/Gene/Summary?db=core;g=ENSMUSG00000020898","ENSMUSG00000020898")</f>
        <v>ENSMUSG00000020898</v>
      </c>
      <c r="I6156" s="7" t="str">
        <f>HYPERLINK("http://www.informatics.jax.org/marker/MGI:1916214","MGI:1916214")</f>
        <v>MGI:1916214</v>
      </c>
      <c r="J6156" s="4" t="s">
        <v>12</v>
      </c>
    </row>
    <row r="6157" spans="1:10" x14ac:dyDescent="0.25">
      <c r="A6157" s="2">
        <v>92.513840524604802</v>
      </c>
      <c r="B6157" s="3">
        <v>-0.72409533521246605</v>
      </c>
      <c r="C6157" s="5">
        <v>2.66739608456839E-8</v>
      </c>
      <c r="D6157" s="6">
        <v>1.7742077971262399E-7</v>
      </c>
      <c r="E6157" s="3" t="s">
        <v>6611</v>
      </c>
      <c r="F6157" s="3" t="s">
        <v>6612</v>
      </c>
      <c r="G6157" s="3">
        <v>240261</v>
      </c>
      <c r="H6157" s="7" t="str">
        <f>HYPERLINK("http://www.ensembl.org/Mus_musculus/Gene/Summary?db=core;g=ENSMUSG00000071855","ENSMUSG00000071855")</f>
        <v>ENSMUSG00000071855</v>
      </c>
      <c r="I6157" s="7" t="str">
        <f>HYPERLINK("http://www.informatics.jax.org/marker/MGI:1918800","MGI:1918800")</f>
        <v>MGI:1918800</v>
      </c>
      <c r="J6157" s="4" t="s">
        <v>12</v>
      </c>
    </row>
    <row r="6158" spans="1:10" x14ac:dyDescent="0.25">
      <c r="A6158" s="2">
        <v>1.6213515085939501</v>
      </c>
      <c r="B6158" s="3">
        <v>-0.72417435923492102</v>
      </c>
      <c r="C6158" s="3">
        <v>0.12318112003069299</v>
      </c>
      <c r="D6158" s="4">
        <v>0.24108418304976201</v>
      </c>
      <c r="E6158" s="3" t="s">
        <v>14017</v>
      </c>
      <c r="F6158" s="3" t="s">
        <v>14018</v>
      </c>
      <c r="G6158" s="3" t="s">
        <v>83</v>
      </c>
      <c r="H6158" s="7" t="str">
        <f>HYPERLINK("http://www.ensembl.org/Mus_musculus/Gene/Summary?db=core;g=ENSMUSG00000087036","ENSMUSG00000087036")</f>
        <v>ENSMUSG00000087036</v>
      </c>
      <c r="I6158" s="7" t="str">
        <f>HYPERLINK("http://www.informatics.jax.org/marker/MGI:3704384","MGI:3704384")</f>
        <v>MGI:3704384</v>
      </c>
      <c r="J6158" s="4" t="s">
        <v>331</v>
      </c>
    </row>
    <row r="6159" spans="1:10" x14ac:dyDescent="0.25">
      <c r="A6159" s="2">
        <v>579.95394921438697</v>
      </c>
      <c r="B6159" s="3">
        <v>-0.72619892318179602</v>
      </c>
      <c r="C6159" s="5">
        <v>3.7473344549613203E-18</v>
      </c>
      <c r="D6159" s="6">
        <v>5.3480947879146498E-17</v>
      </c>
      <c r="E6159" s="3" t="s">
        <v>4209</v>
      </c>
      <c r="F6159" s="3" t="s">
        <v>4210</v>
      </c>
      <c r="G6159" s="3">
        <v>83429</v>
      </c>
      <c r="H6159" s="7" t="str">
        <f>HYPERLINK("http://www.ensembl.org/Mus_musculus/Gene/Summary?db=core;g=ENSMUSG00000005949","ENSMUSG00000005949")</f>
        <v>ENSMUSG00000005949</v>
      </c>
      <c r="I6159" s="7" t="str">
        <f>HYPERLINK("http://www.informatics.jax.org/marker/MGI:1932872","MGI:1932872")</f>
        <v>MGI:1932872</v>
      </c>
      <c r="J6159" s="4" t="s">
        <v>12</v>
      </c>
    </row>
    <row r="6160" spans="1:10" x14ac:dyDescent="0.25">
      <c r="A6160" s="2">
        <v>131.429520217446</v>
      </c>
      <c r="B6160" s="3">
        <v>-0.72680597791483104</v>
      </c>
      <c r="C6160" s="3">
        <v>1.4566683923848399E-4</v>
      </c>
      <c r="D6160" s="4">
        <v>5.9192377817644695E-4</v>
      </c>
      <c r="E6160" s="3" t="s">
        <v>9767</v>
      </c>
      <c r="F6160" s="3" t="s">
        <v>9768</v>
      </c>
      <c r="G6160" s="3">
        <v>246277</v>
      </c>
      <c r="H6160" s="7" t="str">
        <f>HYPERLINK("http://www.ensembl.org/Mus_musculus/Gene/Summary?db=core;g=ENSMUSG00000023044","ENSMUSG00000023044")</f>
        <v>ENSMUSG00000023044</v>
      </c>
      <c r="I6160" s="7" t="str">
        <f>HYPERLINK("http://www.informatics.jax.org/marker/MGI:2180098","MGI:2180098")</f>
        <v>MGI:2180098</v>
      </c>
      <c r="J6160" s="4" t="s">
        <v>12</v>
      </c>
    </row>
    <row r="6161" spans="1:10" x14ac:dyDescent="0.25">
      <c r="A6161" s="2">
        <v>11.7167322913586</v>
      </c>
      <c r="B6161" s="3">
        <v>-0.72688676833922505</v>
      </c>
      <c r="C6161" s="3">
        <v>1.8844570542352401E-2</v>
      </c>
      <c r="D6161" s="4">
        <v>4.9030887164009503E-2</v>
      </c>
      <c r="E6161" s="3" t="s">
        <v>13195</v>
      </c>
      <c r="F6161" s="3" t="s">
        <v>13196</v>
      </c>
      <c r="G6161" s="3" t="s">
        <v>83</v>
      </c>
      <c r="H6161" s="7" t="str">
        <f>HYPERLINK("http://www.ensembl.org/Mus_musculus/Gene/Summary?db=core;g=ENSMUSG00000097378","ENSMUSG00000097378")</f>
        <v>ENSMUSG00000097378</v>
      </c>
      <c r="I6161" s="7" t="str">
        <f>HYPERLINK("http://www.informatics.jax.org/marker/MGI:2443719","MGI:2443719")</f>
        <v>MGI:2443719</v>
      </c>
      <c r="J6161" s="4" t="s">
        <v>939</v>
      </c>
    </row>
    <row r="6162" spans="1:10" x14ac:dyDescent="0.25">
      <c r="A6162" s="2">
        <v>189.76466357627501</v>
      </c>
      <c r="B6162" s="3">
        <v>-0.72861061790995396</v>
      </c>
      <c r="C6162" s="5">
        <v>3.8432848659182802E-15</v>
      </c>
      <c r="D6162" s="6">
        <v>4.5601475704010902E-14</v>
      </c>
      <c r="E6162" s="3" t="s">
        <v>3578</v>
      </c>
      <c r="F6162" s="3" t="s">
        <v>3579</v>
      </c>
      <c r="G6162" s="3">
        <v>14385</v>
      </c>
      <c r="H6162" s="7" t="str">
        <f>HYPERLINK("http://www.ensembl.org/Mus_musculus/Gene/Summary?db=core;g=ENSMUSG00000032114","ENSMUSG00000032114")</f>
        <v>ENSMUSG00000032114</v>
      </c>
      <c r="I6162" s="7" t="str">
        <f>HYPERLINK("http://www.informatics.jax.org/marker/MGI:1316650","MGI:1316650")</f>
        <v>MGI:1316650</v>
      </c>
      <c r="J6162" s="4" t="s">
        <v>12</v>
      </c>
    </row>
    <row r="6163" spans="1:10" x14ac:dyDescent="0.25">
      <c r="A6163" s="2">
        <v>342.96753254524202</v>
      </c>
      <c r="B6163" s="3">
        <v>-0.72929561670076704</v>
      </c>
      <c r="C6163" s="5">
        <v>1.1846096794220899E-12</v>
      </c>
      <c r="D6163" s="6">
        <v>1.19016049655278E-11</v>
      </c>
      <c r="E6163" s="3" t="s">
        <v>4729</v>
      </c>
      <c r="F6163" s="3" t="s">
        <v>4730</v>
      </c>
      <c r="G6163" s="3">
        <v>104383</v>
      </c>
      <c r="H6163" s="7" t="str">
        <f>HYPERLINK("http://www.ensembl.org/Mus_musculus/Gene/Summary?db=core;g=ENSMUSG00000024968","ENSMUSG00000024968")</f>
        <v>ENSMUSG00000024968</v>
      </c>
      <c r="I6163" s="7" t="str">
        <f>HYPERLINK("http://www.informatics.jax.org/marker/MGI:1859854","MGI:1859854")</f>
        <v>MGI:1859854</v>
      </c>
      <c r="J6163" s="4" t="s">
        <v>12</v>
      </c>
    </row>
    <row r="6164" spans="1:10" x14ac:dyDescent="0.25">
      <c r="A6164" s="2">
        <v>16.963018455377501</v>
      </c>
      <c r="B6164" s="3">
        <v>-0.72938728089196603</v>
      </c>
      <c r="C6164" s="3">
        <v>6.2113699098711797E-3</v>
      </c>
      <c r="D6164" s="4">
        <v>1.8282011726001701E-2</v>
      </c>
      <c r="E6164" s="3" t="s">
        <v>11727</v>
      </c>
      <c r="F6164" s="3" t="s">
        <v>11728</v>
      </c>
      <c r="G6164" s="3">
        <v>269695</v>
      </c>
      <c r="H6164" s="7" t="str">
        <f>HYPERLINK("http://www.ensembl.org/Mus_musculus/Gene/Summary?db=core;g=ENSMUSG00000032850","ENSMUSG00000032850")</f>
        <v>ENSMUSG00000032850</v>
      </c>
      <c r="I6164" s="7" t="str">
        <f>HYPERLINK("http://www.informatics.jax.org/marker/MGI:2442859","MGI:2442859")</f>
        <v>MGI:2442859</v>
      </c>
      <c r="J6164" s="4" t="s">
        <v>12</v>
      </c>
    </row>
    <row r="6165" spans="1:10" x14ac:dyDescent="0.25">
      <c r="A6165" s="2">
        <v>457.79849296189002</v>
      </c>
      <c r="B6165" s="3">
        <v>-0.73003210067791802</v>
      </c>
      <c r="C6165" s="5">
        <v>8.3622257210228599E-25</v>
      </c>
      <c r="D6165" s="6">
        <v>1.6475844731420699E-23</v>
      </c>
      <c r="E6165" s="3" t="s">
        <v>1308</v>
      </c>
      <c r="F6165" s="3" t="s">
        <v>1309</v>
      </c>
      <c r="G6165" s="3">
        <v>54601</v>
      </c>
      <c r="H6165" s="7" t="str">
        <f>HYPERLINK("http://www.ensembl.org/Mus_musculus/Gene/Summary?db=core;g=ENSMUSG00000042903","ENSMUSG00000042903")</f>
        <v>ENSMUSG00000042903</v>
      </c>
      <c r="I6165" s="7" t="str">
        <f>HYPERLINK("http://www.informatics.jax.org/marker/MGI:1891915","MGI:1891915")</f>
        <v>MGI:1891915</v>
      </c>
      <c r="J6165" s="4" t="s">
        <v>12</v>
      </c>
    </row>
    <row r="6166" spans="1:10" x14ac:dyDescent="0.25">
      <c r="A6166" s="2">
        <v>1428.92191704168</v>
      </c>
      <c r="B6166" s="3">
        <v>-0.73022604534287205</v>
      </c>
      <c r="C6166" s="5">
        <v>1.62712105695083E-21</v>
      </c>
      <c r="D6166" s="6">
        <v>2.7483115164901602E-20</v>
      </c>
      <c r="E6166" s="3" t="s">
        <v>1146</v>
      </c>
      <c r="F6166" s="3" t="s">
        <v>1147</v>
      </c>
      <c r="G6166" s="3">
        <v>229706</v>
      </c>
      <c r="H6166" s="7" t="str">
        <f>HYPERLINK("http://www.ensembl.org/Mus_musculus/Gene/Summary?db=core;g=ENSMUSG00000027894","ENSMUSG00000027894")</f>
        <v>ENSMUSG00000027894</v>
      </c>
      <c r="I6166" s="7" t="str">
        <f>HYPERLINK("http://www.informatics.jax.org/marker/MGI:2442535","MGI:2442535")</f>
        <v>MGI:2442535</v>
      </c>
      <c r="J6166" s="4" t="s">
        <v>12</v>
      </c>
    </row>
    <row r="6167" spans="1:10" x14ac:dyDescent="0.25">
      <c r="A6167" s="2">
        <v>52.814203037794599</v>
      </c>
      <c r="B6167" s="3">
        <v>-0.73029286500024304</v>
      </c>
      <c r="C6167" s="5">
        <v>3.5929082191340201E-5</v>
      </c>
      <c r="D6167" s="4">
        <v>1.6104464410653601E-4</v>
      </c>
      <c r="E6167" s="3" t="s">
        <v>7508</v>
      </c>
      <c r="F6167" s="3" t="s">
        <v>7509</v>
      </c>
      <c r="G6167" s="3">
        <v>22719</v>
      </c>
      <c r="H6167" s="7" t="str">
        <f>HYPERLINK("http://www.ensembl.org/Mus_musculus/Gene/Summary?db=core;g=ENSMUSG00000050605","ENSMUSG00000050605")</f>
        <v>ENSMUSG00000050605</v>
      </c>
      <c r="I6167" s="7" t="str">
        <f>HYPERLINK("http://www.informatics.jax.org/marker/MGI:99663","MGI:99663")</f>
        <v>MGI:99663</v>
      </c>
      <c r="J6167" s="4" t="s">
        <v>12</v>
      </c>
    </row>
    <row r="6168" spans="1:10" x14ac:dyDescent="0.25">
      <c r="A6168" s="2">
        <v>112.822373766697</v>
      </c>
      <c r="B6168" s="3">
        <v>-0.730509753099713</v>
      </c>
      <c r="C6168" s="5">
        <v>2.6462591470611699E-6</v>
      </c>
      <c r="D6168" s="6">
        <v>1.39791515812144E-5</v>
      </c>
      <c r="E6168" s="3" t="s">
        <v>10314</v>
      </c>
      <c r="F6168" s="3" t="s">
        <v>10315</v>
      </c>
      <c r="G6168" s="3">
        <v>14073</v>
      </c>
      <c r="H6168" s="7" t="str">
        <f>HYPERLINK("http://www.ensembl.org/Mus_musculus/Gene/Summary?db=core;g=ENSMUSG00000034171","ENSMUSG00000034171")</f>
        <v>ENSMUSG00000034171</v>
      </c>
      <c r="I6168" s="7" t="str">
        <f>HYPERLINK("http://www.informatics.jax.org/marker/MGI:109609","MGI:109609")</f>
        <v>MGI:109609</v>
      </c>
      <c r="J6168" s="4" t="s">
        <v>12</v>
      </c>
    </row>
    <row r="6169" spans="1:10" x14ac:dyDescent="0.25">
      <c r="A6169" s="2">
        <v>1279.48330210323</v>
      </c>
      <c r="B6169" s="3">
        <v>-0.73066001032880801</v>
      </c>
      <c r="C6169" s="5">
        <v>1.17147944277723E-17</v>
      </c>
      <c r="D6169" s="6">
        <v>1.6198947530056899E-16</v>
      </c>
      <c r="E6169" s="3" t="s">
        <v>2641</v>
      </c>
      <c r="F6169" s="3" t="s">
        <v>2642</v>
      </c>
      <c r="G6169" s="3">
        <v>104725</v>
      </c>
      <c r="H6169" s="7" t="str">
        <f>HYPERLINK("http://www.ensembl.org/Mus_musculus/Gene/Summary?db=core;g=ENSMUSG00000044408","ENSMUSG00000044408")</f>
        <v>ENSMUSG00000044408</v>
      </c>
      <c r="I6169" s="7" t="str">
        <f>HYPERLINK("http://www.informatics.jax.org/marker/MGI:1913399","MGI:1913399")</f>
        <v>MGI:1913399</v>
      </c>
      <c r="J6169" s="4" t="s">
        <v>12</v>
      </c>
    </row>
    <row r="6170" spans="1:10" x14ac:dyDescent="0.25">
      <c r="A6170" s="2">
        <v>47.565331331800003</v>
      </c>
      <c r="B6170" s="3">
        <v>-0.73119325615588304</v>
      </c>
      <c r="C6170" s="3">
        <v>4.3927179182238303E-3</v>
      </c>
      <c r="D6170" s="4">
        <v>1.3383029765902599E-2</v>
      </c>
      <c r="E6170" s="3" t="s">
        <v>8791</v>
      </c>
      <c r="F6170" s="3" t="s">
        <v>8792</v>
      </c>
      <c r="G6170" s="3">
        <v>231125</v>
      </c>
      <c r="H6170" s="7" t="str">
        <f>HYPERLINK("http://www.ensembl.org/Mus_musculus/Gene/Summary?db=core;g=ENSMUSG00000037224","ENSMUSG00000037224")</f>
        <v>ENSMUSG00000037224</v>
      </c>
      <c r="I6170" s="7" t="str">
        <f>HYPERLINK("http://www.informatics.jax.org/marker/MGI:2684992","MGI:2684992")</f>
        <v>MGI:2684992</v>
      </c>
      <c r="J6170" s="4" t="s">
        <v>12</v>
      </c>
    </row>
    <row r="6171" spans="1:10" x14ac:dyDescent="0.25">
      <c r="A6171" s="2">
        <v>323.26995010931</v>
      </c>
      <c r="B6171" s="3">
        <v>-0.73120692319906699</v>
      </c>
      <c r="C6171" s="5">
        <v>5.4925721196272196E-10</v>
      </c>
      <c r="D6171" s="6">
        <v>4.3846748523962403E-9</v>
      </c>
      <c r="E6171" s="3" t="s">
        <v>5023</v>
      </c>
      <c r="F6171" s="3" t="s">
        <v>5024</v>
      </c>
      <c r="G6171" s="3">
        <v>101351</v>
      </c>
      <c r="H6171" s="7" t="str">
        <f>HYPERLINK("http://www.ensembl.org/Mus_musculus/Gene/Summary?db=core;g=ENSMUSG00000035245","ENSMUSG00000035245")</f>
        <v>ENSMUSG00000035245</v>
      </c>
      <c r="I6171" s="7" t="str">
        <f>HYPERLINK("http://www.informatics.jax.org/marker/MGI:2141669","MGI:2141669")</f>
        <v>MGI:2141669</v>
      </c>
      <c r="J6171" s="4" t="s">
        <v>12</v>
      </c>
    </row>
    <row r="6172" spans="1:10" x14ac:dyDescent="0.25">
      <c r="A6172" s="2">
        <v>202.945789029308</v>
      </c>
      <c r="B6172" s="3">
        <v>-0.73132534873791</v>
      </c>
      <c r="C6172" s="5">
        <v>2.3386339660200201E-8</v>
      </c>
      <c r="D6172" s="6">
        <v>1.5658193986302301E-7</v>
      </c>
      <c r="E6172" s="3" t="s">
        <v>6109</v>
      </c>
      <c r="F6172" s="3" t="s">
        <v>6110</v>
      </c>
      <c r="G6172" s="3">
        <v>68943</v>
      </c>
      <c r="H6172" s="7" t="str">
        <f>HYPERLINK("http://www.ensembl.org/Mus_musculus/Gene/Summary?db=core;g=ENSMUSG00000028756","ENSMUSG00000028756")</f>
        <v>ENSMUSG00000028756</v>
      </c>
      <c r="I6172" s="7" t="str">
        <f>HYPERLINK("http://www.informatics.jax.org/marker/MGI:1916193","MGI:1916193")</f>
        <v>MGI:1916193</v>
      </c>
      <c r="J6172" s="4" t="s">
        <v>12</v>
      </c>
    </row>
    <row r="6173" spans="1:10" x14ac:dyDescent="0.25">
      <c r="A6173" s="2">
        <v>101.276764173266</v>
      </c>
      <c r="B6173" s="3">
        <v>-0.731990722391335</v>
      </c>
      <c r="C6173" s="5">
        <v>7.1431088107614806E-5</v>
      </c>
      <c r="D6173" s="4">
        <v>3.0545086362301303E-4</v>
      </c>
      <c r="E6173" s="3" t="s">
        <v>11369</v>
      </c>
      <c r="F6173" s="3" t="s">
        <v>11370</v>
      </c>
      <c r="G6173" s="3">
        <v>11302</v>
      </c>
      <c r="H6173" s="7" t="str">
        <f>HYPERLINK("http://www.ensembl.org/Mus_musculus/Gene/Summary?db=core;g=ENSMUSG00000025375","ENSMUSG00000025375")</f>
        <v>ENSMUSG00000025375</v>
      </c>
      <c r="I6173" s="7" t="str">
        <f>HYPERLINK("http://www.informatics.jax.org/marker/MGI:1197518","MGI:1197518")</f>
        <v>MGI:1197518</v>
      </c>
      <c r="J6173" s="4" t="s">
        <v>12</v>
      </c>
    </row>
    <row r="6174" spans="1:10" x14ac:dyDescent="0.25">
      <c r="A6174" s="2">
        <v>43.933447202501803</v>
      </c>
      <c r="B6174" s="3">
        <v>-0.73214686142348295</v>
      </c>
      <c r="C6174" s="3">
        <v>1.8508880040243799E-4</v>
      </c>
      <c r="D6174" s="4">
        <v>7.3877428544336999E-4</v>
      </c>
      <c r="E6174" s="3" t="s">
        <v>7308</v>
      </c>
      <c r="F6174" s="3" t="s">
        <v>7309</v>
      </c>
      <c r="G6174" s="3">
        <v>18223</v>
      </c>
      <c r="H6174" s="7" t="str">
        <f>HYPERLINK("http://www.ensembl.org/Mus_musculus/Gene/Summary?db=core;g=ENSMUSG00000063160","ENSMUSG00000063160")</f>
        <v>ENSMUSG00000063160</v>
      </c>
      <c r="I6174" s="7" t="str">
        <f>HYPERLINK("http://www.informatics.jax.org/marker/MGI:894702","MGI:894702")</f>
        <v>MGI:894702</v>
      </c>
      <c r="J6174" s="4" t="s">
        <v>12</v>
      </c>
    </row>
    <row r="6175" spans="1:10" x14ac:dyDescent="0.25">
      <c r="A6175" s="2">
        <v>306.58177583947003</v>
      </c>
      <c r="B6175" s="3">
        <v>-0.73251660950750397</v>
      </c>
      <c r="C6175" s="5">
        <v>1.13414714672603E-10</v>
      </c>
      <c r="D6175" s="6">
        <v>9.6317948504575907E-10</v>
      </c>
      <c r="E6175" s="3" t="s">
        <v>3404</v>
      </c>
      <c r="F6175" s="3" t="s">
        <v>3405</v>
      </c>
      <c r="G6175" s="3" t="s">
        <v>83</v>
      </c>
      <c r="H6175" s="7" t="str">
        <f>HYPERLINK("http://www.ensembl.org/Mus_musculus/Gene/Summary?db=core;g=ENSMUSG00000043419","ENSMUSG00000043419")</f>
        <v>ENSMUSG00000043419</v>
      </c>
      <c r="I6175" s="7" t="str">
        <f>HYPERLINK("http://www.informatics.jax.org/marker/MGI:1915359","MGI:1915359")</f>
        <v>MGI:1915359</v>
      </c>
      <c r="J6175" s="4" t="s">
        <v>12</v>
      </c>
    </row>
    <row r="6176" spans="1:10" x14ac:dyDescent="0.25">
      <c r="A6176" s="2">
        <v>2.88879221406409</v>
      </c>
      <c r="B6176" s="3">
        <v>-0.73282624928189899</v>
      </c>
      <c r="C6176" s="3">
        <v>0.110377117550099</v>
      </c>
      <c r="D6176" s="4">
        <v>0.22042767558081999</v>
      </c>
      <c r="E6176" s="3" t="s">
        <v>8533</v>
      </c>
      <c r="F6176" s="3" t="s">
        <v>8534</v>
      </c>
      <c r="G6176" s="3" t="s">
        <v>83</v>
      </c>
      <c r="H6176" s="7" t="str">
        <f>HYPERLINK("http://www.ensembl.org/Mus_musculus/Gene/Summary?db=core;g=ENSMUSG00000084980","ENSMUSG00000084980")</f>
        <v>ENSMUSG00000084980</v>
      </c>
      <c r="I6176" s="7" t="str">
        <f>HYPERLINK("http://www.informatics.jax.org/marker/MGI:1921295","MGI:1921295")</f>
        <v>MGI:1921295</v>
      </c>
      <c r="J6176" s="4" t="s">
        <v>932</v>
      </c>
    </row>
    <row r="6177" spans="1:10" x14ac:dyDescent="0.25">
      <c r="A6177" s="2">
        <v>285.87182262014301</v>
      </c>
      <c r="B6177" s="3">
        <v>-0.73465254274967695</v>
      </c>
      <c r="C6177" s="5">
        <v>3.4135862526387198E-9</v>
      </c>
      <c r="D6177" s="6">
        <v>2.5136407860339701E-8</v>
      </c>
      <c r="E6177" s="3" t="s">
        <v>5409</v>
      </c>
      <c r="F6177" s="3" t="s">
        <v>5410</v>
      </c>
      <c r="G6177" s="3">
        <v>68552</v>
      </c>
      <c r="H6177" s="7" t="str">
        <f>HYPERLINK("http://www.ensembl.org/Mus_musculus/Gene/Summary?db=core;g=ENSMUSG00000037822","ENSMUSG00000037822")</f>
        <v>ENSMUSG00000037822</v>
      </c>
      <c r="I6177" s="7" t="str">
        <f>HYPERLINK("http://www.informatics.jax.org/marker/MGI:1915802","MGI:1915802")</f>
        <v>MGI:1915802</v>
      </c>
      <c r="J6177" s="4" t="s">
        <v>12</v>
      </c>
    </row>
    <row r="6178" spans="1:10" x14ac:dyDescent="0.25">
      <c r="A6178" s="2">
        <v>3074.89224700984</v>
      </c>
      <c r="B6178" s="3">
        <v>-0.73571748918155699</v>
      </c>
      <c r="C6178" s="5">
        <v>1.79987489591214E-30</v>
      </c>
      <c r="D6178" s="6">
        <v>4.5433130163433099E-29</v>
      </c>
      <c r="E6178" s="3" t="s">
        <v>562</v>
      </c>
      <c r="F6178" s="3" t="s">
        <v>563</v>
      </c>
      <c r="G6178" s="3">
        <v>17220</v>
      </c>
      <c r="H6178" s="7" t="str">
        <f>HYPERLINK("http://www.ensembl.org/Mus_musculus/Gene/Summary?db=core;g=ENSMUSG00000029730","ENSMUSG00000029730")</f>
        <v>ENSMUSG00000029730</v>
      </c>
      <c r="I6178" s="7" t="str">
        <f>HYPERLINK("http://www.informatics.jax.org/marker/MGI:1298398","MGI:1298398")</f>
        <v>MGI:1298398</v>
      </c>
      <c r="J6178" s="4" t="s">
        <v>12</v>
      </c>
    </row>
    <row r="6179" spans="1:10" x14ac:dyDescent="0.25">
      <c r="A6179" s="2">
        <v>675.08766231293703</v>
      </c>
      <c r="B6179" s="3">
        <v>-0.73608652380773498</v>
      </c>
      <c r="C6179" s="5">
        <v>4.5841488516789701E-16</v>
      </c>
      <c r="D6179" s="6">
        <v>5.79376649249995E-15</v>
      </c>
      <c r="E6179" s="3" t="s">
        <v>2195</v>
      </c>
      <c r="F6179" s="3" t="s">
        <v>2196</v>
      </c>
      <c r="G6179" s="3">
        <v>19366</v>
      </c>
      <c r="H6179" s="7" t="str">
        <f>HYPERLINK("http://www.ensembl.org/Mus_musculus/Gene/Summary?db=core;g=ENSMUSG00000028702","ENSMUSG00000028702")</f>
        <v>ENSMUSG00000028702</v>
      </c>
      <c r="I6179" s="7" t="str">
        <f>HYPERLINK("http://www.informatics.jax.org/marker/MGI:894697","MGI:894697")</f>
        <v>MGI:894697</v>
      </c>
      <c r="J6179" s="4" t="s">
        <v>12</v>
      </c>
    </row>
    <row r="6180" spans="1:10" x14ac:dyDescent="0.25">
      <c r="A6180" s="2">
        <v>26.429407649474602</v>
      </c>
      <c r="B6180" s="3">
        <v>-0.73651093699776504</v>
      </c>
      <c r="C6180" s="3">
        <v>2.39217184121234E-3</v>
      </c>
      <c r="D6180" s="4">
        <v>7.7713603932432797E-3</v>
      </c>
      <c r="E6180" s="3" t="s">
        <v>10904</v>
      </c>
      <c r="F6180" s="3" t="s">
        <v>10905</v>
      </c>
      <c r="G6180" s="3">
        <v>270160</v>
      </c>
      <c r="H6180" s="7" t="str">
        <f>HYPERLINK("http://www.ensembl.org/Mus_musculus/Gene/Summary?db=core;g=ENSMUSG00000055069","ENSMUSG00000055069")</f>
        <v>ENSMUSG00000055069</v>
      </c>
      <c r="I6180" s="7" t="str">
        <f>HYPERLINK("http://www.informatics.jax.org/marker/MGI:2442855","MGI:2442855")</f>
        <v>MGI:2442855</v>
      </c>
      <c r="J6180" s="4" t="s">
        <v>12</v>
      </c>
    </row>
    <row r="6181" spans="1:10" x14ac:dyDescent="0.25">
      <c r="A6181" s="2">
        <v>288.852821081586</v>
      </c>
      <c r="B6181" s="3">
        <v>-0.73710478396586199</v>
      </c>
      <c r="C6181" s="5">
        <v>2.80250138414589E-13</v>
      </c>
      <c r="D6181" s="6">
        <v>2.9574746801423801E-12</v>
      </c>
      <c r="E6181" s="3" t="s">
        <v>3486</v>
      </c>
      <c r="F6181" s="3" t="s">
        <v>3487</v>
      </c>
      <c r="G6181" s="3">
        <v>52187</v>
      </c>
      <c r="H6181" s="7" t="str">
        <f>HYPERLINK("http://www.ensembl.org/Mus_musculus/Gene/Summary?db=core;g=ENSMUSG00000028278","ENSMUSG00000028278")</f>
        <v>ENSMUSG00000028278</v>
      </c>
      <c r="I6181" s="7" t="str">
        <f>HYPERLINK("http://www.informatics.jax.org/marker/MGI:1098604","MGI:1098604")</f>
        <v>MGI:1098604</v>
      </c>
      <c r="J6181" s="4" t="s">
        <v>12</v>
      </c>
    </row>
    <row r="6182" spans="1:10" x14ac:dyDescent="0.25">
      <c r="A6182" s="2">
        <v>2656.4692612502899</v>
      </c>
      <c r="B6182" s="3">
        <v>-0.73810607809018702</v>
      </c>
      <c r="C6182" s="5">
        <v>2.0312384523212399E-79</v>
      </c>
      <c r="D6182" s="6">
        <v>1.9180995229820999E-77</v>
      </c>
      <c r="E6182" s="3" t="s">
        <v>434</v>
      </c>
      <c r="F6182" s="3" t="s">
        <v>435</v>
      </c>
      <c r="G6182" s="3">
        <v>19262</v>
      </c>
      <c r="H6182" s="7" t="str">
        <f>HYPERLINK("http://www.ensembl.org/Mus_musculus/Gene/Summary?db=core;g=ENSMUSG00000027303","ENSMUSG00000027303")</f>
        <v>ENSMUSG00000027303</v>
      </c>
      <c r="I6182" s="7" t="str">
        <f>HYPERLINK("http://www.informatics.jax.org/marker/MGI:97808","MGI:97808")</f>
        <v>MGI:97808</v>
      </c>
      <c r="J6182" s="4" t="s">
        <v>12</v>
      </c>
    </row>
    <row r="6183" spans="1:10" x14ac:dyDescent="0.25">
      <c r="A6183" s="2">
        <v>51.092940826796401</v>
      </c>
      <c r="B6183" s="3">
        <v>-0.73818944244826001</v>
      </c>
      <c r="C6183" s="5">
        <v>3.4965190361186397E-5</v>
      </c>
      <c r="D6183" s="4">
        <v>1.57060934137139E-4</v>
      </c>
      <c r="E6183" s="3" t="s">
        <v>7368</v>
      </c>
      <c r="F6183" s="3" t="s">
        <v>7369</v>
      </c>
      <c r="G6183" s="3" t="s">
        <v>83</v>
      </c>
      <c r="H6183" s="7" t="str">
        <f>HYPERLINK("http://www.ensembl.org/Mus_musculus/Gene/Summary?db=core;g=ENSMUSG00000074203","ENSMUSG00000074203")</f>
        <v>ENSMUSG00000074203</v>
      </c>
      <c r="I6183" s="7" t="str">
        <f>HYPERLINK("http://www.informatics.jax.org/marker/MGI:3588227","MGI:3588227")</f>
        <v>MGI:3588227</v>
      </c>
      <c r="J6183" s="4" t="s">
        <v>12</v>
      </c>
    </row>
    <row r="6184" spans="1:10" x14ac:dyDescent="0.25">
      <c r="A6184" s="2">
        <v>674.005018825761</v>
      </c>
      <c r="B6184" s="3">
        <v>-0.73920126854899404</v>
      </c>
      <c r="C6184" s="5">
        <v>4.5526841547025298E-22</v>
      </c>
      <c r="D6184" s="6">
        <v>7.9323775066399297E-21</v>
      </c>
      <c r="E6184" s="3" t="s">
        <v>2515</v>
      </c>
      <c r="F6184" s="3" t="s">
        <v>2516</v>
      </c>
      <c r="G6184" s="3">
        <v>223666</v>
      </c>
      <c r="H6184" s="7" t="str">
        <f>HYPERLINK("http://www.ensembl.org/Mus_musculus/Gene/Summary?db=core;g=ENSMUSG00000033697","ENSMUSG00000033697")</f>
        <v>ENSMUSG00000033697</v>
      </c>
      <c r="I6184" s="7" t="str">
        <f>HYPERLINK("http://www.informatics.jax.org/marker/MGI:107858","MGI:107858")</f>
        <v>MGI:107858</v>
      </c>
      <c r="J6184" s="4" t="s">
        <v>12</v>
      </c>
    </row>
    <row r="6185" spans="1:10" x14ac:dyDescent="0.25">
      <c r="A6185" s="2">
        <v>1241.0095583009099</v>
      </c>
      <c r="B6185" s="3">
        <v>-0.73927570048298497</v>
      </c>
      <c r="C6185" s="5">
        <v>8.5599936969824897E-9</v>
      </c>
      <c r="D6185" s="6">
        <v>6.0071576868504406E-8</v>
      </c>
      <c r="E6185" s="3" t="s">
        <v>3908</v>
      </c>
      <c r="F6185" s="3" t="s">
        <v>3909</v>
      </c>
      <c r="G6185" s="3">
        <v>109689</v>
      </c>
      <c r="H6185" s="7" t="str">
        <f>HYPERLINK("http://www.ensembl.org/Mus_musculus/Gene/Summary?db=core;g=ENSMUSG00000018909","ENSMUSG00000018909")</f>
        <v>ENSMUSG00000018909</v>
      </c>
      <c r="I6185" s="7" t="str">
        <f>HYPERLINK("http://www.informatics.jax.org/marker/MGI:99473","MGI:99473")</f>
        <v>MGI:99473</v>
      </c>
      <c r="J6185" s="4" t="s">
        <v>12</v>
      </c>
    </row>
    <row r="6186" spans="1:10" x14ac:dyDescent="0.25">
      <c r="A6186" s="2">
        <v>34.487181686724902</v>
      </c>
      <c r="B6186" s="3">
        <v>-0.73936355219698102</v>
      </c>
      <c r="C6186" s="5">
        <v>9.7195250017901002E-5</v>
      </c>
      <c r="D6186" s="4">
        <v>4.0740189318680902E-4</v>
      </c>
      <c r="E6186" s="3" t="s">
        <v>5607</v>
      </c>
      <c r="F6186" s="3" t="s">
        <v>5608</v>
      </c>
      <c r="G6186" s="3">
        <v>67492</v>
      </c>
      <c r="H6186" s="7" t="str">
        <f>HYPERLINK("http://www.ensembl.org/Mus_musculus/Gene/Summary?db=core;g=ENSMUSG00000042213","ENSMUSG00000042213")</f>
        <v>ENSMUSG00000042213</v>
      </c>
      <c r="I6186" s="7" t="str">
        <f>HYPERLINK("http://www.informatics.jax.org/marker/MGI:1914742","MGI:1914742")</f>
        <v>MGI:1914742</v>
      </c>
      <c r="J6186" s="4" t="s">
        <v>12</v>
      </c>
    </row>
    <row r="6187" spans="1:10" x14ac:dyDescent="0.25">
      <c r="A6187" s="2">
        <v>2647.9929723396399</v>
      </c>
      <c r="B6187" s="3">
        <v>-0.73983435633410699</v>
      </c>
      <c r="C6187" s="5">
        <v>3.43437283857543E-61</v>
      </c>
      <c r="D6187" s="6">
        <v>2.17331406191102E-59</v>
      </c>
      <c r="E6187" s="3" t="s">
        <v>292</v>
      </c>
      <c r="F6187" s="3" t="s">
        <v>293</v>
      </c>
      <c r="G6187" s="3">
        <v>16973</v>
      </c>
      <c r="H6187" s="7" t="str">
        <f>HYPERLINK("http://www.ensembl.org/Mus_musculus/Gene/Summary?db=core;g=ENSMUSG00000024913","ENSMUSG00000024913")</f>
        <v>ENSMUSG00000024913</v>
      </c>
      <c r="I6187" s="7" t="str">
        <f>HYPERLINK("http://www.informatics.jax.org/marker/MGI:1278315","MGI:1278315")</f>
        <v>MGI:1278315</v>
      </c>
      <c r="J6187" s="4" t="s">
        <v>12</v>
      </c>
    </row>
    <row r="6188" spans="1:10" x14ac:dyDescent="0.25">
      <c r="A6188" s="2">
        <v>1339.65056223234</v>
      </c>
      <c r="B6188" s="3">
        <v>-0.74006244515160602</v>
      </c>
      <c r="C6188" s="5">
        <v>1.3637481104158599E-15</v>
      </c>
      <c r="D6188" s="6">
        <v>1.6602745031616E-14</v>
      </c>
      <c r="E6188" s="3" t="s">
        <v>4353</v>
      </c>
      <c r="F6188" s="3" t="s">
        <v>4354</v>
      </c>
      <c r="G6188" s="3">
        <v>52163</v>
      </c>
      <c r="H6188" s="7" t="str">
        <f>HYPERLINK("http://www.ensembl.org/Mus_musculus/Gene/Summary?db=core;g=ENSMUSG00000030272","ENSMUSG00000030272")</f>
        <v>ENSMUSG00000030272</v>
      </c>
      <c r="I6188" s="7" t="str">
        <f>HYPERLINK("http://www.informatics.jax.org/marker/MGI:1098535","MGI:1098535")</f>
        <v>MGI:1098535</v>
      </c>
      <c r="J6188" s="4" t="s">
        <v>12</v>
      </c>
    </row>
    <row r="6189" spans="1:10" x14ac:dyDescent="0.25">
      <c r="A6189" s="2">
        <v>215.079517474997</v>
      </c>
      <c r="B6189" s="3">
        <v>-0.74110639606559503</v>
      </c>
      <c r="C6189" s="5">
        <v>1.45978682256303E-6</v>
      </c>
      <c r="D6189" s="6">
        <v>7.9773957544860992E-6</v>
      </c>
      <c r="E6189" s="3" t="s">
        <v>6347</v>
      </c>
      <c r="F6189" s="3" t="s">
        <v>6348</v>
      </c>
      <c r="G6189" s="3">
        <v>170720</v>
      </c>
      <c r="H6189" s="7" t="str">
        <f>HYPERLINK("http://www.ensembl.org/Mus_musculus/Gene/Summary?db=core;g=ENSMUSG00000013483","ENSMUSG00000013483")</f>
        <v>ENSMUSG00000013483</v>
      </c>
      <c r="I6189" s="7" t="str">
        <f>HYPERLINK("http://www.informatics.jax.org/marker/MGI:2386258","MGI:2386258")</f>
        <v>MGI:2386258</v>
      </c>
      <c r="J6189" s="4" t="s">
        <v>12</v>
      </c>
    </row>
    <row r="6190" spans="1:10" x14ac:dyDescent="0.25">
      <c r="A6190" s="2">
        <v>609.63378029770001</v>
      </c>
      <c r="B6190" s="3">
        <v>-0.741804237560308</v>
      </c>
      <c r="C6190" s="5">
        <v>9.0780100121511602E-20</v>
      </c>
      <c r="D6190" s="6">
        <v>1.40090374658302E-18</v>
      </c>
      <c r="E6190" s="3" t="s">
        <v>1616</v>
      </c>
      <c r="F6190" s="3" t="s">
        <v>1617</v>
      </c>
      <c r="G6190" s="3">
        <v>108671</v>
      </c>
      <c r="H6190" s="7" t="str">
        <f>HYPERLINK("http://www.ensembl.org/Mus_musculus/Gene/Summary?db=core;g=ENSMUSG00000021811","ENSMUSG00000021811")</f>
        <v>ENSMUSG00000021811</v>
      </c>
      <c r="I6190" s="7" t="str">
        <f>HYPERLINK("http://www.informatics.jax.org/marker/MGI:1915326","MGI:1915326")</f>
        <v>MGI:1915326</v>
      </c>
      <c r="J6190" s="4" t="s">
        <v>12</v>
      </c>
    </row>
    <row r="6191" spans="1:10" x14ac:dyDescent="0.25">
      <c r="A6191" s="2">
        <v>45.646097824216596</v>
      </c>
      <c r="B6191" s="3">
        <v>-0.74189586327323798</v>
      </c>
      <c r="C6191" s="5">
        <v>8.7271624064043794E-5</v>
      </c>
      <c r="D6191" s="4">
        <v>3.6817716402018499E-4</v>
      </c>
      <c r="E6191" s="3" t="s">
        <v>8859</v>
      </c>
      <c r="F6191" s="3" t="s">
        <v>8860</v>
      </c>
      <c r="G6191" s="3">
        <v>271849</v>
      </c>
      <c r="H6191" s="7" t="str">
        <f>HYPERLINK("http://www.ensembl.org/Mus_musculus/Gene/Summary?db=core;g=ENSMUSG00000035109","ENSMUSG00000035109")</f>
        <v>ENSMUSG00000035109</v>
      </c>
      <c r="I6191" s="7" t="str">
        <f>HYPERLINK("http://www.informatics.jax.org/marker/MGI:2655364","MGI:2655364")</f>
        <v>MGI:2655364</v>
      </c>
      <c r="J6191" s="4" t="s">
        <v>12</v>
      </c>
    </row>
    <row r="6192" spans="1:10" x14ac:dyDescent="0.25">
      <c r="A6192" s="2">
        <v>575.45639600637401</v>
      </c>
      <c r="B6192" s="3">
        <v>-0.74199226002403196</v>
      </c>
      <c r="C6192" s="5">
        <v>1.4618853171906601E-17</v>
      </c>
      <c r="D6192" s="6">
        <v>2.00472986499622E-16</v>
      </c>
      <c r="E6192" s="3" t="s">
        <v>2521</v>
      </c>
      <c r="F6192" s="3" t="s">
        <v>2522</v>
      </c>
      <c r="G6192" s="3">
        <v>69270</v>
      </c>
      <c r="H6192" s="7" t="str">
        <f>HYPERLINK("http://www.ensembl.org/Mus_musculus/Gene/Summary?db=core;g=ENSMUSG00000027454","ENSMUSG00000027454")</f>
        <v>ENSMUSG00000027454</v>
      </c>
      <c r="I6192" s="7" t="str">
        <f>HYPERLINK("http://www.informatics.jax.org/marker/MGI:1916520","MGI:1916520")</f>
        <v>MGI:1916520</v>
      </c>
      <c r="J6192" s="4" t="s">
        <v>12</v>
      </c>
    </row>
    <row r="6193" spans="1:10" x14ac:dyDescent="0.25">
      <c r="A6193" s="2">
        <v>142.15048585454699</v>
      </c>
      <c r="B6193" s="3">
        <v>-0.74208563744227396</v>
      </c>
      <c r="C6193" s="5">
        <v>2.9777729566223602E-12</v>
      </c>
      <c r="D6193" s="6">
        <v>2.88209836083072E-11</v>
      </c>
      <c r="E6193" s="3" t="s">
        <v>5247</v>
      </c>
      <c r="F6193" s="3" t="s">
        <v>5248</v>
      </c>
      <c r="G6193" s="3">
        <v>76779</v>
      </c>
      <c r="H6193" s="7" t="str">
        <f>HYPERLINK("http://www.ensembl.org/Mus_musculus/Gene/Summary?db=core;g=ENSMUSG00000014232","ENSMUSG00000014232")</f>
        <v>ENSMUSG00000014232</v>
      </c>
      <c r="I6193" s="7" t="str">
        <f>HYPERLINK("http://www.informatics.jax.org/marker/MGI:1924029","MGI:1924029")</f>
        <v>MGI:1924029</v>
      </c>
      <c r="J6193" s="4" t="s">
        <v>12</v>
      </c>
    </row>
    <row r="6194" spans="1:10" x14ac:dyDescent="0.25">
      <c r="A6194" s="2">
        <v>28.178632554334701</v>
      </c>
      <c r="B6194" s="3">
        <v>-0.74225394042636506</v>
      </c>
      <c r="C6194" s="3">
        <v>2.07357722863785E-3</v>
      </c>
      <c r="D6194" s="4">
        <v>6.8313349587716702E-3</v>
      </c>
      <c r="E6194" s="3" t="s">
        <v>10350</v>
      </c>
      <c r="F6194" s="3" t="s">
        <v>10351</v>
      </c>
      <c r="G6194" s="3" t="s">
        <v>83</v>
      </c>
      <c r="H6194" s="7" t="str">
        <f>HYPERLINK("http://www.ensembl.org/Mus_musculus/Gene/Summary?db=core;g=ENSMUSG00000102549","ENSMUSG00000102549")</f>
        <v>ENSMUSG00000102549</v>
      </c>
      <c r="I6194" s="7" t="str">
        <f>HYPERLINK("http://www.informatics.jax.org/marker/MGI:5611365","MGI:5611365")</f>
        <v>MGI:5611365</v>
      </c>
      <c r="J6194" s="4" t="s">
        <v>1828</v>
      </c>
    </row>
    <row r="6195" spans="1:10" x14ac:dyDescent="0.25">
      <c r="A6195" s="2">
        <v>177.16213213180399</v>
      </c>
      <c r="B6195" s="3">
        <v>-0.74336819602825699</v>
      </c>
      <c r="C6195" s="5">
        <v>1.8108795786649199E-6</v>
      </c>
      <c r="D6195" s="6">
        <v>9.7671738150838095E-6</v>
      </c>
      <c r="E6195" s="3" t="s">
        <v>6575</v>
      </c>
      <c r="F6195" s="3" t="s">
        <v>6576</v>
      </c>
      <c r="G6195" s="3">
        <v>227693</v>
      </c>
      <c r="H6195" s="7" t="str">
        <f>HYPERLINK("http://www.ensembl.org/Mus_musculus/Gene/Summary?db=core;g=ENSMUSG00000039686","ENSMUSG00000039686")</f>
        <v>ENSMUSG00000039686</v>
      </c>
      <c r="I6195" s="7" t="str">
        <f>HYPERLINK("http://www.informatics.jax.org/marker/MGI:2442511","MGI:2442511")</f>
        <v>MGI:2442511</v>
      </c>
      <c r="J6195" s="4" t="s">
        <v>12</v>
      </c>
    </row>
    <row r="6196" spans="1:10" x14ac:dyDescent="0.25">
      <c r="A6196" s="2">
        <v>104.734225043777</v>
      </c>
      <c r="B6196" s="3">
        <v>-0.74420234769655902</v>
      </c>
      <c r="C6196" s="5">
        <v>1.3257535300916899E-8</v>
      </c>
      <c r="D6196" s="6">
        <v>9.1314656409376705E-8</v>
      </c>
      <c r="E6196" s="3" t="s">
        <v>9547</v>
      </c>
      <c r="F6196" s="3" t="s">
        <v>9548</v>
      </c>
      <c r="G6196" s="3">
        <v>76816</v>
      </c>
      <c r="H6196" s="7" t="str">
        <f>HYPERLINK("http://www.ensembl.org/Mus_musculus/Gene/Summary?db=core;g=ENSMUSG00000026504","ENSMUSG00000026504")</f>
        <v>ENSMUSG00000026504</v>
      </c>
      <c r="I6196" s="7" t="str">
        <f>HYPERLINK("http://www.informatics.jax.org/marker/MGI:1924066","MGI:1924066")</f>
        <v>MGI:1924066</v>
      </c>
      <c r="J6196" s="4" t="s">
        <v>12</v>
      </c>
    </row>
    <row r="6197" spans="1:10" x14ac:dyDescent="0.25">
      <c r="A6197" s="2">
        <v>172.33255319639801</v>
      </c>
      <c r="B6197" s="3">
        <v>-0.74514391847852801</v>
      </c>
      <c r="C6197" s="5">
        <v>3.1245324754644401E-12</v>
      </c>
      <c r="D6197" s="6">
        <v>3.0209339185856399E-11</v>
      </c>
      <c r="E6197" s="3" t="s">
        <v>4711</v>
      </c>
      <c r="F6197" s="3" t="s">
        <v>4712</v>
      </c>
      <c r="G6197" s="3">
        <v>66315</v>
      </c>
      <c r="H6197" s="7" t="str">
        <f>HYPERLINK("http://www.ensembl.org/Mus_musculus/Gene/Summary?db=core;g=ENSMUSG00000052917","ENSMUSG00000052917")</f>
        <v>ENSMUSG00000052917</v>
      </c>
      <c r="I6197" s="7" t="str">
        <f>HYPERLINK("http://www.informatics.jax.org/marker/MGI:1913565","MGI:1913565")</f>
        <v>MGI:1913565</v>
      </c>
      <c r="J6197" s="4" t="s">
        <v>12</v>
      </c>
    </row>
    <row r="6198" spans="1:10" x14ac:dyDescent="0.25">
      <c r="A6198" s="2">
        <v>73.168512545597594</v>
      </c>
      <c r="B6198" s="3">
        <v>-0.74600986265985803</v>
      </c>
      <c r="C6198" s="5">
        <v>3.00499934464942E-5</v>
      </c>
      <c r="D6198" s="4">
        <v>1.3657384802053801E-4</v>
      </c>
      <c r="E6198" s="3" t="s">
        <v>10022</v>
      </c>
      <c r="F6198" s="3" t="s">
        <v>10023</v>
      </c>
      <c r="G6198" s="3">
        <v>13368</v>
      </c>
      <c r="H6198" s="7" t="str">
        <f>HYPERLINK("http://www.ensembl.org/Mus_musculus/Gene/Summary?db=core;g=ENSMUSG00000029027","ENSMUSG00000029027")</f>
        <v>ENSMUSG00000029027</v>
      </c>
      <c r="I6198" s="7" t="str">
        <f>HYPERLINK("http://www.informatics.jax.org/marker/MGI:1196287","MGI:1196287")</f>
        <v>MGI:1196287</v>
      </c>
      <c r="J6198" s="4" t="s">
        <v>12</v>
      </c>
    </row>
    <row r="6199" spans="1:10" x14ac:dyDescent="0.25">
      <c r="A6199" s="2">
        <v>16.053943159508101</v>
      </c>
      <c r="B6199" s="3">
        <v>-0.74662784852765496</v>
      </c>
      <c r="C6199" s="3">
        <v>7.0548628063062E-3</v>
      </c>
      <c r="D6199" s="4">
        <v>2.0545681470906099E-2</v>
      </c>
      <c r="E6199" s="3" t="s">
        <v>10342</v>
      </c>
      <c r="F6199" s="3" t="s">
        <v>10343</v>
      </c>
      <c r="G6199" s="3" t="s">
        <v>83</v>
      </c>
      <c r="H6199" s="7" t="str">
        <f>HYPERLINK("http://www.ensembl.org/Mus_musculus/Gene/Summary?db=core;g=ENSMUSG00000093482","ENSMUSG00000093482")</f>
        <v>ENSMUSG00000093482</v>
      </c>
      <c r="I6199" s="7" t="str">
        <f>HYPERLINK("http://www.informatics.jax.org/marker/MGI:5313066","MGI:5313066")</f>
        <v>MGI:5313066</v>
      </c>
      <c r="J6199" s="4" t="s">
        <v>939</v>
      </c>
    </row>
    <row r="6200" spans="1:10" x14ac:dyDescent="0.25">
      <c r="A6200" s="2">
        <v>13.0053405801005</v>
      </c>
      <c r="B6200" s="3">
        <v>-0.74694780782522596</v>
      </c>
      <c r="C6200" s="3">
        <v>7.6555331031178198E-3</v>
      </c>
      <c r="D6200" s="4">
        <v>2.2076280190557299E-2</v>
      </c>
      <c r="E6200" s="3" t="s">
        <v>12299</v>
      </c>
      <c r="F6200" s="3" t="s">
        <v>12300</v>
      </c>
      <c r="G6200" s="3" t="s">
        <v>83</v>
      </c>
      <c r="H6200" s="7" t="str">
        <f>HYPERLINK("http://www.ensembl.org/Mus_musculus/Gene/Summary?db=core;g=ENSMUSG00000054418","ENSMUSG00000054418")</f>
        <v>ENSMUSG00000054418</v>
      </c>
      <c r="I6200" s="7" t="str">
        <f>HYPERLINK("http://www.informatics.jax.org/marker/MGI:1925653","MGI:1925653")</f>
        <v>MGI:1925653</v>
      </c>
      <c r="J6200" s="4" t="s">
        <v>331</v>
      </c>
    </row>
    <row r="6201" spans="1:10" x14ac:dyDescent="0.25">
      <c r="A6201" s="2">
        <v>2043.5115000434</v>
      </c>
      <c r="B6201" s="3">
        <v>-0.74779628690467503</v>
      </c>
      <c r="C6201" s="5">
        <v>2.7249095279583298E-28</v>
      </c>
      <c r="D6201" s="6">
        <v>6.3102256857738901E-27</v>
      </c>
      <c r="E6201" s="3" t="s">
        <v>1300</v>
      </c>
      <c r="F6201" s="3" t="s">
        <v>1301</v>
      </c>
      <c r="G6201" s="3">
        <v>19687</v>
      </c>
      <c r="H6201" s="7" t="str">
        <f>HYPERLINK("http://www.ensembl.org/Mus_musculus/Gene/Summary?db=core;g=ENSMUSG00000029191","ENSMUSG00000029191")</f>
        <v>ENSMUSG00000029191</v>
      </c>
      <c r="I6201" s="7" t="str">
        <f>HYPERLINK("http://www.informatics.jax.org/marker/MGI:97891","MGI:97891")</f>
        <v>MGI:97891</v>
      </c>
      <c r="J6201" s="4" t="s">
        <v>12</v>
      </c>
    </row>
    <row r="6202" spans="1:10" x14ac:dyDescent="0.25">
      <c r="A6202" s="2">
        <v>65.373685193532793</v>
      </c>
      <c r="B6202" s="3">
        <v>-0.74779664902810705</v>
      </c>
      <c r="C6202" s="5">
        <v>1.0709996949194599E-6</v>
      </c>
      <c r="D6202" s="6">
        <v>5.9400393913290199E-6</v>
      </c>
      <c r="E6202" s="3" t="s">
        <v>6547</v>
      </c>
      <c r="F6202" s="3" t="s">
        <v>6548</v>
      </c>
      <c r="G6202" s="3">
        <v>106639</v>
      </c>
      <c r="H6202" s="7" t="str">
        <f>HYPERLINK("http://www.ensembl.org/Mus_musculus/Gene/Summary?db=core;g=ENSMUSG00000054723","ENSMUSG00000054723")</f>
        <v>ENSMUSG00000054723</v>
      </c>
      <c r="I6202" s="7" t="str">
        <f>HYPERLINK("http://www.informatics.jax.org/marker/MGI:2146912","MGI:2146912")</f>
        <v>MGI:2146912</v>
      </c>
      <c r="J6202" s="4" t="s">
        <v>12</v>
      </c>
    </row>
    <row r="6203" spans="1:10" x14ac:dyDescent="0.25">
      <c r="A6203" s="2">
        <v>641.05086049517502</v>
      </c>
      <c r="B6203" s="3">
        <v>-0.748172505459336</v>
      </c>
      <c r="C6203" s="5">
        <v>4.7092328016190795E-16</v>
      </c>
      <c r="D6203" s="6">
        <v>5.9477316569305397E-15</v>
      </c>
      <c r="E6203" s="3" t="s">
        <v>2199</v>
      </c>
      <c r="F6203" s="3" t="s">
        <v>2200</v>
      </c>
      <c r="G6203" s="3">
        <v>74131</v>
      </c>
      <c r="H6203" s="7" t="str">
        <f>HYPERLINK("http://www.ensembl.org/Mus_musculus/Gene/Summary?db=core;g=ENSMUSG00000031101","ENSMUSG00000031101")</f>
        <v>ENSMUSG00000031101</v>
      </c>
      <c r="I6203" s="7" t="str">
        <f>HYPERLINK("http://www.informatics.jax.org/marker/MGI:1921381","MGI:1921381")</f>
        <v>MGI:1921381</v>
      </c>
      <c r="J6203" s="4" t="s">
        <v>12</v>
      </c>
    </row>
    <row r="6204" spans="1:10" x14ac:dyDescent="0.25">
      <c r="A6204" s="2">
        <v>45.544741301600098</v>
      </c>
      <c r="B6204" s="3">
        <v>-0.74866063400626104</v>
      </c>
      <c r="C6204" s="3">
        <v>2.29840689751573E-4</v>
      </c>
      <c r="D6204" s="4">
        <v>9.0335272174302597E-4</v>
      </c>
      <c r="E6204" s="3" t="s">
        <v>11397</v>
      </c>
      <c r="F6204" s="3" t="s">
        <v>11398</v>
      </c>
      <c r="G6204" s="3" t="s">
        <v>83</v>
      </c>
      <c r="H6204" s="7" t="str">
        <f>HYPERLINK("http://www.ensembl.org/Mus_musculus/Gene/Summary?db=core;g=ENSMUSG00000091462","ENSMUSG00000091462")</f>
        <v>ENSMUSG00000091462</v>
      </c>
      <c r="I6204" s="7" t="str">
        <f>HYPERLINK("http://www.informatics.jax.org/marker/MGI:4937911","MGI:4937911")</f>
        <v>MGI:4937911</v>
      </c>
      <c r="J6204" s="4" t="s">
        <v>1043</v>
      </c>
    </row>
    <row r="6205" spans="1:10" x14ac:dyDescent="0.25">
      <c r="A6205" s="2">
        <v>413.180190521442</v>
      </c>
      <c r="B6205" s="3">
        <v>-0.74876323978409398</v>
      </c>
      <c r="C6205" s="5">
        <v>3.6872819498419402E-19</v>
      </c>
      <c r="D6205" s="6">
        <v>5.5309229247629103E-18</v>
      </c>
      <c r="E6205" s="3" t="s">
        <v>2944</v>
      </c>
      <c r="F6205" s="3" t="s">
        <v>2945</v>
      </c>
      <c r="G6205" s="3">
        <v>209966</v>
      </c>
      <c r="H6205" s="7" t="str">
        <f>HYPERLINK("http://www.ensembl.org/Mus_musculus/Gene/Summary?db=core;g=ENSMUSG00000050751","ENSMUSG00000050751")</f>
        <v>ENSMUSG00000050751</v>
      </c>
      <c r="I6205" s="7" t="str">
        <f>HYPERLINK("http://www.informatics.jax.org/marker/MGI:2429955","MGI:2429955")</f>
        <v>MGI:2429955</v>
      </c>
      <c r="J6205" s="4" t="s">
        <v>12</v>
      </c>
    </row>
    <row r="6206" spans="1:10" x14ac:dyDescent="0.25">
      <c r="A6206" s="2">
        <v>44.618330239128198</v>
      </c>
      <c r="B6206" s="3">
        <v>-0.74985262590422597</v>
      </c>
      <c r="C6206" s="3">
        <v>1.1543801697952399E-3</v>
      </c>
      <c r="D6206" s="4">
        <v>4.0149959149843803E-3</v>
      </c>
      <c r="E6206" s="3" t="s">
        <v>8191</v>
      </c>
      <c r="F6206" s="3" t="s">
        <v>8192</v>
      </c>
      <c r="G6206" s="3">
        <v>381605</v>
      </c>
      <c r="H6206" s="7" t="str">
        <f>HYPERLINK("http://www.ensembl.org/Mus_musculus/Gene/Summary?db=core;g=ENSMUSG00000039813","ENSMUSG00000039813")</f>
        <v>ENSMUSG00000039813</v>
      </c>
      <c r="I6206" s="7" t="str">
        <f>HYPERLINK("http://www.informatics.jax.org/marker/MGI:2652885","MGI:2652885")</f>
        <v>MGI:2652885</v>
      </c>
      <c r="J6206" s="4" t="s">
        <v>12</v>
      </c>
    </row>
    <row r="6207" spans="1:10" x14ac:dyDescent="0.25">
      <c r="A6207" s="2">
        <v>421.97181635159302</v>
      </c>
      <c r="B6207" s="3">
        <v>-0.75096581405391505</v>
      </c>
      <c r="C6207" s="5">
        <v>3.5823110274982E-14</v>
      </c>
      <c r="D6207" s="6">
        <v>3.9809523461069898E-13</v>
      </c>
      <c r="E6207" s="3" t="s">
        <v>1730</v>
      </c>
      <c r="F6207" s="3" t="s">
        <v>1731</v>
      </c>
      <c r="G6207" s="3">
        <v>14537</v>
      </c>
      <c r="H6207" s="7" t="str">
        <f>HYPERLINK("http://www.ensembl.org/Mus_musculus/Gene/Summary?db=core;g=ENSMUSG00000038843","ENSMUSG00000038843")</f>
        <v>ENSMUSG00000038843</v>
      </c>
      <c r="I6207" s="7" t="str">
        <f>HYPERLINK("http://www.informatics.jax.org/marker/MGI:95676","MGI:95676")</f>
        <v>MGI:95676</v>
      </c>
      <c r="J6207" s="4" t="s">
        <v>12</v>
      </c>
    </row>
    <row r="6208" spans="1:10" x14ac:dyDescent="0.25">
      <c r="A6208" s="2">
        <v>617.01293243418104</v>
      </c>
      <c r="B6208" s="3">
        <v>-0.75118296966309395</v>
      </c>
      <c r="C6208" s="5">
        <v>5.1806202103682205E-7</v>
      </c>
      <c r="D6208" s="6">
        <v>2.9784480546990802E-6</v>
      </c>
      <c r="E6208" s="3" t="s">
        <v>13231</v>
      </c>
      <c r="F6208" s="3" t="s">
        <v>13232</v>
      </c>
      <c r="G6208" s="3">
        <v>67111</v>
      </c>
      <c r="H6208" s="7" t="str">
        <f>HYPERLINK("http://www.ensembl.org/Mus_musculus/Gene/Summary?db=core;g=ENSMUSG00000029413","ENSMUSG00000029413")</f>
        <v>ENSMUSG00000029413</v>
      </c>
      <c r="I6208" s="7" t="str">
        <f>HYPERLINK("http://www.informatics.jax.org/marker/MGI:1914361","MGI:1914361")</f>
        <v>MGI:1914361</v>
      </c>
      <c r="J6208" s="4" t="s">
        <v>12</v>
      </c>
    </row>
    <row r="6209" spans="1:10" x14ac:dyDescent="0.25">
      <c r="A6209" s="2">
        <v>22.825512891531201</v>
      </c>
      <c r="B6209" s="3">
        <v>-0.75202465927015605</v>
      </c>
      <c r="C6209" s="3">
        <v>4.6527327982183297E-3</v>
      </c>
      <c r="D6209" s="4">
        <v>1.40880636729572E-2</v>
      </c>
      <c r="E6209" s="3" t="s">
        <v>10644</v>
      </c>
      <c r="F6209" s="3" t="s">
        <v>10645</v>
      </c>
      <c r="G6209" s="3">
        <v>54137</v>
      </c>
      <c r="H6209" s="7" t="str">
        <f>HYPERLINK("http://www.ensembl.org/Mus_musculus/Gene/Summary?db=core;g=ENSMUSG00000072770","ENSMUSG00000072770")</f>
        <v>ENSMUSG00000072770</v>
      </c>
      <c r="I6209" s="7" t="str">
        <f>HYPERLINK("http://www.informatics.jax.org/marker/MGI:1859515","MGI:1859515")</f>
        <v>MGI:1859515</v>
      </c>
      <c r="J6209" s="4" t="s">
        <v>12</v>
      </c>
    </row>
    <row r="6210" spans="1:10" x14ac:dyDescent="0.25">
      <c r="A6210" s="2">
        <v>207.60093999519501</v>
      </c>
      <c r="B6210" s="3">
        <v>-0.75231564225494596</v>
      </c>
      <c r="C6210" s="5">
        <v>2.9579744328227999E-16</v>
      </c>
      <c r="D6210" s="6">
        <v>3.7777914532722802E-15</v>
      </c>
      <c r="E6210" s="3" t="s">
        <v>8727</v>
      </c>
      <c r="F6210" s="3" t="s">
        <v>8728</v>
      </c>
      <c r="G6210" s="3">
        <v>14062</v>
      </c>
      <c r="H6210" s="7" t="str">
        <f>HYPERLINK("http://www.ensembl.org/Mus_musculus/Gene/Summary?db=core;g=ENSMUSG00000048376","ENSMUSG00000048376")</f>
        <v>ENSMUSG00000048376</v>
      </c>
      <c r="I6210" s="7" t="str">
        <f>HYPERLINK("http://www.informatics.jax.org/marker/MGI:101802","MGI:101802")</f>
        <v>MGI:101802</v>
      </c>
      <c r="J6210" s="4" t="s">
        <v>12</v>
      </c>
    </row>
    <row r="6211" spans="1:10" x14ac:dyDescent="0.25">
      <c r="A6211" s="2">
        <v>89.741535890402503</v>
      </c>
      <c r="B6211" s="3">
        <v>-0.75249180047569098</v>
      </c>
      <c r="C6211" s="5">
        <v>7.3019757348978198E-9</v>
      </c>
      <c r="D6211" s="6">
        <v>5.15808169645399E-8</v>
      </c>
      <c r="E6211" s="3" t="s">
        <v>4931</v>
      </c>
      <c r="F6211" s="3" t="s">
        <v>4932</v>
      </c>
      <c r="G6211" s="3">
        <v>67235</v>
      </c>
      <c r="H6211" s="7" t="str">
        <f>HYPERLINK("http://www.ensembl.org/Mus_musculus/Gene/Summary?db=core;g=ENSMUSG00000029627","ENSMUSG00000029627")</f>
        <v>ENSMUSG00000029627</v>
      </c>
      <c r="I6211" s="7" t="str">
        <f>HYPERLINK("http://www.informatics.jax.org/marker/MGI:1914485","MGI:1914485")</f>
        <v>MGI:1914485</v>
      </c>
      <c r="J6211" s="4" t="s">
        <v>12</v>
      </c>
    </row>
    <row r="6212" spans="1:10" x14ac:dyDescent="0.25">
      <c r="A6212" s="2">
        <v>222.353587217159</v>
      </c>
      <c r="B6212" s="3">
        <v>-0.75295211171847598</v>
      </c>
      <c r="C6212" s="5">
        <v>5.5426209681824898E-17</v>
      </c>
      <c r="D6212" s="6">
        <v>7.3625559143677797E-16</v>
      </c>
      <c r="E6212" s="3" t="s">
        <v>2988</v>
      </c>
      <c r="F6212" s="3" t="s">
        <v>2989</v>
      </c>
      <c r="G6212" s="3">
        <v>71240</v>
      </c>
      <c r="H6212" s="7" t="str">
        <f>HYPERLINK("http://www.ensembl.org/Mus_musculus/Gene/Summary?db=core;g=ENSMUSG00000038534","ENSMUSG00000038534")</f>
        <v>ENSMUSG00000038534</v>
      </c>
      <c r="I6212" s="7" t="str">
        <f>HYPERLINK("http://www.informatics.jax.org/marker/MGI:1918490","MGI:1918490")</f>
        <v>MGI:1918490</v>
      </c>
      <c r="J6212" s="4" t="s">
        <v>12</v>
      </c>
    </row>
    <row r="6213" spans="1:10" x14ac:dyDescent="0.25">
      <c r="A6213" s="2">
        <v>281.45897185870899</v>
      </c>
      <c r="B6213" s="3">
        <v>-0.75307798226288902</v>
      </c>
      <c r="C6213" s="5">
        <v>1.3011729336522199E-9</v>
      </c>
      <c r="D6213" s="6">
        <v>9.9721937408795806E-9</v>
      </c>
      <c r="E6213" s="3" t="s">
        <v>5933</v>
      </c>
      <c r="F6213" s="3" t="s">
        <v>5934</v>
      </c>
      <c r="G6213" s="3">
        <v>69226</v>
      </c>
      <c r="H6213" s="7" t="str">
        <f>HYPERLINK("http://www.ensembl.org/Mus_musculus/Gene/Summary?db=core;g=ENSMUSG00000024535","ENSMUSG00000024535")</f>
        <v>ENSMUSG00000024535</v>
      </c>
      <c r="I6213" s="7" t="str">
        <f>HYPERLINK("http://www.informatics.jax.org/marker/MGI:1916476","MGI:1916476")</f>
        <v>MGI:1916476</v>
      </c>
      <c r="J6213" s="4" t="s">
        <v>12</v>
      </c>
    </row>
    <row r="6214" spans="1:10" x14ac:dyDescent="0.25">
      <c r="A6214" s="2">
        <v>113.758398492808</v>
      </c>
      <c r="B6214" s="3">
        <v>-0.75365913397102102</v>
      </c>
      <c r="C6214" s="5">
        <v>3.4392688439136099E-9</v>
      </c>
      <c r="D6214" s="6">
        <v>2.5305076576635299E-8</v>
      </c>
      <c r="E6214" s="3" t="s">
        <v>5767</v>
      </c>
      <c r="F6214" s="3" t="s">
        <v>5768</v>
      </c>
      <c r="G6214" s="3">
        <v>213081</v>
      </c>
      <c r="H6214" s="7" t="str">
        <f>HYPERLINK("http://www.ensembl.org/Mus_musculus/Gene/Summary?db=core;g=ENSMUSG00000037890","ENSMUSG00000037890")</f>
        <v>ENSMUSG00000037890</v>
      </c>
      <c r="I6214" s="7" t="str">
        <f>HYPERLINK("http://www.informatics.jax.org/marker/MGI:2443231","MGI:2443231")</f>
        <v>MGI:2443231</v>
      </c>
      <c r="J6214" s="4" t="s">
        <v>12</v>
      </c>
    </row>
    <row r="6215" spans="1:10" x14ac:dyDescent="0.25">
      <c r="A6215" s="2">
        <v>80.579293263125507</v>
      </c>
      <c r="B6215" s="3">
        <v>-0.754615160941705</v>
      </c>
      <c r="C6215" s="5">
        <v>1.2421540076207099E-7</v>
      </c>
      <c r="D6215" s="6">
        <v>7.6974691563711198E-7</v>
      </c>
      <c r="E6215" s="3" t="s">
        <v>6711</v>
      </c>
      <c r="F6215" s="3" t="s">
        <v>6712</v>
      </c>
      <c r="G6215" s="3">
        <v>71924</v>
      </c>
      <c r="H6215" s="7" t="str">
        <f>HYPERLINK("http://www.ensembl.org/Mus_musculus/Gene/Summary?db=core;g=ENSMUSG00000019845","ENSMUSG00000019845")</f>
        <v>ENSMUSG00000019845</v>
      </c>
      <c r="I6215" s="7" t="str">
        <f>HYPERLINK("http://www.informatics.jax.org/marker/MGI:1919174","MGI:1919174")</f>
        <v>MGI:1919174</v>
      </c>
      <c r="J6215" s="4" t="s">
        <v>12</v>
      </c>
    </row>
    <row r="6216" spans="1:10" x14ac:dyDescent="0.25">
      <c r="A6216" s="2">
        <v>3769.7228584891</v>
      </c>
      <c r="B6216" s="3">
        <v>-0.75499522074152703</v>
      </c>
      <c r="C6216" s="5">
        <v>4.3230398245816297E-32</v>
      </c>
      <c r="D6216" s="6">
        <v>1.1518625848391799E-30</v>
      </c>
      <c r="E6216" s="3" t="s">
        <v>1478</v>
      </c>
      <c r="F6216" s="3" t="s">
        <v>1479</v>
      </c>
      <c r="G6216" s="3">
        <v>16825</v>
      </c>
      <c r="H6216" s="7" t="str">
        <f>HYPERLINK("http://www.ensembl.org/Mus_musculus/Gene/Summary?db=core;g=ENSMUSG00000025223","ENSMUSG00000025223")</f>
        <v>ENSMUSG00000025223</v>
      </c>
      <c r="I6216" s="7" t="str">
        <f>HYPERLINK("http://www.informatics.jax.org/marker/MGI:894762","MGI:894762")</f>
        <v>MGI:894762</v>
      </c>
      <c r="J6216" s="4" t="s">
        <v>12</v>
      </c>
    </row>
    <row r="6217" spans="1:10" x14ac:dyDescent="0.25">
      <c r="A6217" s="2">
        <v>344.79232041139898</v>
      </c>
      <c r="B6217" s="3">
        <v>-0.75579131820693501</v>
      </c>
      <c r="C6217" s="5">
        <v>5.7144026929233898E-14</v>
      </c>
      <c r="D6217" s="6">
        <v>6.2813624293443096E-13</v>
      </c>
      <c r="E6217" s="3" t="s">
        <v>2221</v>
      </c>
      <c r="F6217" s="3" t="s">
        <v>2222</v>
      </c>
      <c r="G6217" s="3">
        <v>12021</v>
      </c>
      <c r="H6217" s="7" t="str">
        <f>HYPERLINK("http://www.ensembl.org/Mus_musculus/Gene/Summary?db=core;g=ENSMUSG00000026196","ENSMUSG00000026196")</f>
        <v>ENSMUSG00000026196</v>
      </c>
      <c r="I6217" s="7" t="str">
        <f>HYPERLINK("http://www.informatics.jax.org/marker/MGI:1328361","MGI:1328361")</f>
        <v>MGI:1328361</v>
      </c>
      <c r="J6217" s="4" t="s">
        <v>12</v>
      </c>
    </row>
    <row r="6218" spans="1:10" x14ac:dyDescent="0.25">
      <c r="A6218" s="2">
        <v>50.226831197714503</v>
      </c>
      <c r="B6218" s="3">
        <v>-0.75601943553529305</v>
      </c>
      <c r="C6218" s="3">
        <v>1.16969271684824E-4</v>
      </c>
      <c r="D6218" s="4">
        <v>4.8306480318511603E-4</v>
      </c>
      <c r="E6218" s="3" t="s">
        <v>3980</v>
      </c>
      <c r="F6218" s="3" t="s">
        <v>3981</v>
      </c>
      <c r="G6218" s="3">
        <v>78255</v>
      </c>
      <c r="H6218" s="7" t="str">
        <f>HYPERLINK("http://www.ensembl.org/Mus_musculus/Gene/Summary?db=core;g=ENSMUSG00000026594","ENSMUSG00000026594")</f>
        <v>ENSMUSG00000026594</v>
      </c>
      <c r="I6218" s="7" t="str">
        <f>HYPERLINK("http://www.informatics.jax.org/marker/MGI:1925505","MGI:1925505")</f>
        <v>MGI:1925505</v>
      </c>
      <c r="J6218" s="4" t="s">
        <v>12</v>
      </c>
    </row>
    <row r="6219" spans="1:10" x14ac:dyDescent="0.25">
      <c r="A6219" s="2">
        <v>491.80438685110499</v>
      </c>
      <c r="B6219" s="3">
        <v>-0.75623645544895501</v>
      </c>
      <c r="C6219" s="5">
        <v>7.05569067628055E-28</v>
      </c>
      <c r="D6219" s="6">
        <v>1.5993776439703099E-26</v>
      </c>
      <c r="E6219" s="3" t="s">
        <v>1600</v>
      </c>
      <c r="F6219" s="3" t="s">
        <v>1601</v>
      </c>
      <c r="G6219" s="3">
        <v>67872</v>
      </c>
      <c r="H6219" s="7" t="str">
        <f>HYPERLINK("http://www.ensembl.org/Mus_musculus/Gene/Summary?db=core;g=ENSMUSG00000040331","ENSMUSG00000040331")</f>
        <v>ENSMUSG00000040331</v>
      </c>
      <c r="I6219" s="7" t="str">
        <f>HYPERLINK("http://www.informatics.jax.org/marker/MGI:1915122","MGI:1915122")</f>
        <v>MGI:1915122</v>
      </c>
      <c r="J6219" s="4" t="s">
        <v>12</v>
      </c>
    </row>
    <row r="6220" spans="1:10" x14ac:dyDescent="0.25">
      <c r="A6220" s="2">
        <v>242.501268294851</v>
      </c>
      <c r="B6220" s="3">
        <v>-0.75661004553724098</v>
      </c>
      <c r="C6220" s="5">
        <v>3.3521755353149197E-11</v>
      </c>
      <c r="D6220" s="6">
        <v>2.9845334211585002E-10</v>
      </c>
      <c r="E6220" s="3" t="s">
        <v>2864</v>
      </c>
      <c r="F6220" s="3" t="s">
        <v>2865</v>
      </c>
      <c r="G6220" s="3">
        <v>17127</v>
      </c>
      <c r="H6220" s="7" t="str">
        <f>HYPERLINK("http://www.ensembl.org/Mus_musculus/Gene/Summary?db=core;g=ENSMUSG00000032402","ENSMUSG00000032402")</f>
        <v>ENSMUSG00000032402</v>
      </c>
      <c r="I6220" s="7" t="str">
        <f>HYPERLINK("http://www.informatics.jax.org/marker/MGI:1201674","MGI:1201674")</f>
        <v>MGI:1201674</v>
      </c>
      <c r="J6220" s="4" t="s">
        <v>12</v>
      </c>
    </row>
    <row r="6221" spans="1:10" x14ac:dyDescent="0.25">
      <c r="A6221" s="2">
        <v>130.77941000735399</v>
      </c>
      <c r="B6221" s="3">
        <v>-0.75677027509336403</v>
      </c>
      <c r="C6221" s="5">
        <v>1.35568308066454E-8</v>
      </c>
      <c r="D6221" s="6">
        <v>9.323518545325E-8</v>
      </c>
      <c r="E6221" s="3" t="s">
        <v>5027</v>
      </c>
      <c r="F6221" s="3" t="s">
        <v>5028</v>
      </c>
      <c r="G6221" s="3">
        <v>109270</v>
      </c>
      <c r="H6221" s="7" t="str">
        <f>HYPERLINK("http://www.ensembl.org/Mus_musculus/Gene/Summary?db=core;g=ENSMUSG00000036106","ENSMUSG00000036106")</f>
        <v>ENSMUSG00000036106</v>
      </c>
      <c r="I6221" s="7" t="str">
        <f>HYPERLINK("http://www.informatics.jax.org/marker/MGI:1924714","MGI:1924714")</f>
        <v>MGI:1924714</v>
      </c>
      <c r="J6221" s="4" t="s">
        <v>12</v>
      </c>
    </row>
    <row r="6222" spans="1:10" x14ac:dyDescent="0.25">
      <c r="A6222" s="2">
        <v>204.08498856630001</v>
      </c>
      <c r="B6222" s="3">
        <v>-0.75843845862188597</v>
      </c>
      <c r="C6222" s="5">
        <v>1.52881174947562E-14</v>
      </c>
      <c r="D6222" s="6">
        <v>1.7468711055920501E-13</v>
      </c>
      <c r="E6222" s="3" t="s">
        <v>3470</v>
      </c>
      <c r="F6222" s="3" t="s">
        <v>3471</v>
      </c>
      <c r="G6222" s="3">
        <v>106522</v>
      </c>
      <c r="H6222" s="7" t="str">
        <f>HYPERLINK("http://www.ensembl.org/Mus_musculus/Gene/Summary?db=core;g=ENSMUSG00000024247","ENSMUSG00000024247")</f>
        <v>ENSMUSG00000024247</v>
      </c>
      <c r="I6222" s="7" t="str">
        <f>HYPERLINK("http://www.informatics.jax.org/marker/MGI:2147077","MGI:2147077")</f>
        <v>MGI:2147077</v>
      </c>
      <c r="J6222" s="4" t="s">
        <v>12</v>
      </c>
    </row>
    <row r="6223" spans="1:10" x14ac:dyDescent="0.25">
      <c r="A6223" s="2">
        <v>997.24630842655597</v>
      </c>
      <c r="B6223" s="3">
        <v>-0.75863840038686303</v>
      </c>
      <c r="C6223" s="5">
        <v>1.7281005606830699E-9</v>
      </c>
      <c r="D6223" s="6">
        <v>1.3090038536346199E-8</v>
      </c>
      <c r="E6223" s="3" t="s">
        <v>4983</v>
      </c>
      <c r="F6223" s="3" t="s">
        <v>4984</v>
      </c>
      <c r="G6223" s="3">
        <v>13819</v>
      </c>
      <c r="H6223" s="7" t="str">
        <f>HYPERLINK("http://www.ensembl.org/Mus_musculus/Gene/Summary?db=core;g=ENSMUSG00000024140","ENSMUSG00000024140")</f>
        <v>ENSMUSG00000024140</v>
      </c>
      <c r="I6223" s="7" t="str">
        <f>HYPERLINK("http://www.informatics.jax.org/marker/MGI:109169","MGI:109169")</f>
        <v>MGI:109169</v>
      </c>
      <c r="J6223" s="4" t="s">
        <v>12</v>
      </c>
    </row>
    <row r="6224" spans="1:10" x14ac:dyDescent="0.25">
      <c r="A6224" s="2">
        <v>35.480713795612502</v>
      </c>
      <c r="B6224" s="3">
        <v>-0.75863866714227701</v>
      </c>
      <c r="C6224" s="3">
        <v>3.9814626266136802E-4</v>
      </c>
      <c r="D6224" s="4">
        <v>1.5007684874877799E-3</v>
      </c>
      <c r="E6224" s="3" t="s">
        <v>9749</v>
      </c>
      <c r="F6224" s="3" t="s">
        <v>9750</v>
      </c>
      <c r="G6224" s="3">
        <v>68695</v>
      </c>
      <c r="H6224" s="7" t="str">
        <f>HYPERLINK("http://www.ensembl.org/Mus_musculus/Gene/Summary?db=core;g=ENSMUSG00000030532","ENSMUSG00000030532")</f>
        <v>ENSMUSG00000030532</v>
      </c>
      <c r="I6224" s="7" t="str">
        <f>HYPERLINK("http://www.informatics.jax.org/marker/MGI:1915945","MGI:1915945")</f>
        <v>MGI:1915945</v>
      </c>
      <c r="J6224" s="4" t="s">
        <v>12</v>
      </c>
    </row>
    <row r="6225" spans="1:10" x14ac:dyDescent="0.25">
      <c r="A6225" s="2">
        <v>380.13350472446399</v>
      </c>
      <c r="B6225" s="3">
        <v>-0.75893873889416796</v>
      </c>
      <c r="C6225" s="5">
        <v>2.7652510534210099E-19</v>
      </c>
      <c r="D6225" s="6">
        <v>4.1684615755664199E-18</v>
      </c>
      <c r="E6225" s="3" t="s">
        <v>1074</v>
      </c>
      <c r="F6225" s="3" t="s">
        <v>1075</v>
      </c>
      <c r="G6225" s="3">
        <v>72749</v>
      </c>
      <c r="H6225" s="7" t="str">
        <f>HYPERLINK("http://www.ensembl.org/Mus_musculus/Gene/Summary?db=core;g=ENSMUSG00000059323","ENSMUSG00000059323")</f>
        <v>ENSMUSG00000059323</v>
      </c>
      <c r="I6225" s="7" t="str">
        <f>HYPERLINK("http://www.informatics.jax.org/marker/MGI:1919999","MGI:1919999")</f>
        <v>MGI:1919999</v>
      </c>
      <c r="J6225" s="4" t="s">
        <v>12</v>
      </c>
    </row>
    <row r="6226" spans="1:10" x14ac:dyDescent="0.25">
      <c r="A6226" s="2">
        <v>569.05955208476303</v>
      </c>
      <c r="B6226" s="3">
        <v>-0.75999897053596699</v>
      </c>
      <c r="C6226" s="5">
        <v>1.20915305553242E-11</v>
      </c>
      <c r="D6226" s="6">
        <v>1.1163533149482401E-10</v>
      </c>
      <c r="E6226" s="3" t="s">
        <v>1903</v>
      </c>
      <c r="F6226" s="3" t="s">
        <v>1904</v>
      </c>
      <c r="G6226" s="3">
        <v>77777</v>
      </c>
      <c r="H6226" s="7" t="str">
        <f>HYPERLINK("http://www.ensembl.org/Mus_musculus/Gene/Summary?db=core;g=ENSMUSG00000079685","ENSMUSG00000079685")</f>
        <v>ENSMUSG00000079685</v>
      </c>
      <c r="I6226" s="7" t="str">
        <f>HYPERLINK("http://www.informatics.jax.org/marker/MGI:1925027","MGI:1925027")</f>
        <v>MGI:1925027</v>
      </c>
      <c r="J6226" s="4" t="s">
        <v>12</v>
      </c>
    </row>
    <row r="6227" spans="1:10" x14ac:dyDescent="0.25">
      <c r="A6227" s="2">
        <v>865.53976316395995</v>
      </c>
      <c r="B6227" s="3">
        <v>-0.76048956375101295</v>
      </c>
      <c r="C6227" s="5">
        <v>2.4136857242558498E-35</v>
      </c>
      <c r="D6227" s="6">
        <v>7.1180295023564397E-34</v>
      </c>
      <c r="E6227" s="3" t="s">
        <v>1987</v>
      </c>
      <c r="F6227" s="3" t="s">
        <v>1988</v>
      </c>
      <c r="G6227" s="3">
        <v>12497</v>
      </c>
      <c r="H6227" s="7" t="str">
        <f>HYPERLINK("http://www.ensembl.org/Mus_musculus/Gene/Summary?db=core;g=ENSMUSG00000033068","ENSMUSG00000033068")</f>
        <v>ENSMUSG00000033068</v>
      </c>
      <c r="I6227" s="7" t="str">
        <f>HYPERLINK("http://www.informatics.jax.org/marker/MGI:1202295","MGI:1202295")</f>
        <v>MGI:1202295</v>
      </c>
      <c r="J6227" s="4" t="s">
        <v>12</v>
      </c>
    </row>
    <row r="6228" spans="1:10" x14ac:dyDescent="0.25">
      <c r="A6228" s="2">
        <v>3243.1083621488401</v>
      </c>
      <c r="B6228" s="3">
        <v>-0.76088997478954901</v>
      </c>
      <c r="C6228" s="5">
        <v>1.4275577395373701E-14</v>
      </c>
      <c r="D6228" s="6">
        <v>1.6352759147120401E-13</v>
      </c>
      <c r="E6228" s="3" t="s">
        <v>3890</v>
      </c>
      <c r="F6228" s="3" t="s">
        <v>3891</v>
      </c>
      <c r="G6228" s="3">
        <v>140792</v>
      </c>
      <c r="H6228" s="7" t="str">
        <f>HYPERLINK("http://www.ensembl.org/Mus_musculus/Gene/Summary?db=core;g=ENSMUSG00000036103","ENSMUSG00000036103")</f>
        <v>ENSMUSG00000036103</v>
      </c>
      <c r="I6228" s="7" t="str">
        <f>HYPERLINK("http://www.informatics.jax.org/marker/MGI:2152907","MGI:2152907")</f>
        <v>MGI:2152907</v>
      </c>
      <c r="J6228" s="4" t="s">
        <v>12</v>
      </c>
    </row>
    <row r="6229" spans="1:10" x14ac:dyDescent="0.25">
      <c r="A6229" s="2">
        <v>748.65495382749396</v>
      </c>
      <c r="B6229" s="3">
        <v>-0.76135691267667305</v>
      </c>
      <c r="C6229" s="5">
        <v>1.8341525438653601E-18</v>
      </c>
      <c r="D6229" s="6">
        <v>2.65507784844688E-17</v>
      </c>
      <c r="E6229" s="3" t="s">
        <v>1019</v>
      </c>
      <c r="F6229" s="3" t="s">
        <v>1020</v>
      </c>
      <c r="G6229" s="3">
        <v>21887</v>
      </c>
      <c r="H6229" s="7" t="str">
        <f>HYPERLINK("http://www.ensembl.org/Mus_musculus/Gene/Summary?db=core;g=ENSMUSG00000032280","ENSMUSG00000032280")</f>
        <v>ENSMUSG00000032280</v>
      </c>
      <c r="I6229" s="7" t="str">
        <f>HYPERLINK("http://www.informatics.jax.org/marker/MGI:104634","MGI:104634")</f>
        <v>MGI:104634</v>
      </c>
      <c r="J6229" s="4" t="s">
        <v>12</v>
      </c>
    </row>
    <row r="6230" spans="1:10" x14ac:dyDescent="0.25">
      <c r="A6230" s="2">
        <v>76.6429725540101</v>
      </c>
      <c r="B6230" s="3">
        <v>-0.76169225829844101</v>
      </c>
      <c r="C6230" s="3">
        <v>3.1776388168721899E-4</v>
      </c>
      <c r="D6230" s="4">
        <v>1.2169041277053101E-3</v>
      </c>
      <c r="E6230" s="3" t="s">
        <v>13437</v>
      </c>
      <c r="F6230" s="3" t="s">
        <v>13438</v>
      </c>
      <c r="G6230" s="3">
        <v>215772</v>
      </c>
      <c r="H6230" s="7" t="str">
        <f>HYPERLINK("http://www.ensembl.org/Mus_musculus/Gene/Summary?db=core;g=ENSMUSG00000050994","ENSMUSG00000050994")</f>
        <v>ENSMUSG00000050994</v>
      </c>
      <c r="I6230" s="7" t="str">
        <f>HYPERLINK("http://www.informatics.jax.org/marker/MGI:3605549","MGI:3605549")</f>
        <v>MGI:3605549</v>
      </c>
      <c r="J6230" s="4" t="s">
        <v>12</v>
      </c>
    </row>
    <row r="6231" spans="1:10" x14ac:dyDescent="0.25">
      <c r="A6231" s="2">
        <v>82.294505077887607</v>
      </c>
      <c r="B6231" s="3">
        <v>-0.76192318244530699</v>
      </c>
      <c r="C6231" s="5">
        <v>5.0924814317486399E-8</v>
      </c>
      <c r="D6231" s="6">
        <v>3.2714301760175898E-7</v>
      </c>
      <c r="E6231" s="3" t="s">
        <v>11547</v>
      </c>
      <c r="F6231" s="3" t="s">
        <v>11548</v>
      </c>
      <c r="G6231" s="3">
        <v>27364</v>
      </c>
      <c r="H6231" s="7" t="str">
        <f>HYPERLINK("http://www.ensembl.org/Mus_musculus/Gene/Summary?db=core;g=ENSMUSG00000001323","ENSMUSG00000001323")</f>
        <v>ENSMUSG00000001323</v>
      </c>
      <c r="I6231" s="7" t="str">
        <f>HYPERLINK("http://www.informatics.jax.org/marker/MGI:1351636","MGI:1351636")</f>
        <v>MGI:1351636</v>
      </c>
      <c r="J6231" s="4" t="s">
        <v>12</v>
      </c>
    </row>
    <row r="6232" spans="1:10" x14ac:dyDescent="0.25">
      <c r="A6232" s="2">
        <v>50.651476768805203</v>
      </c>
      <c r="B6232" s="3">
        <v>-0.76228090006085103</v>
      </c>
      <c r="C6232" s="5">
        <v>4.4289001361347798E-5</v>
      </c>
      <c r="D6232" s="4">
        <v>1.9600948271261901E-4</v>
      </c>
      <c r="E6232" s="3" t="s">
        <v>12733</v>
      </c>
      <c r="F6232" s="3" t="s">
        <v>12734</v>
      </c>
      <c r="G6232" s="3">
        <v>140859</v>
      </c>
      <c r="H6232" s="7" t="str">
        <f>HYPERLINK("http://www.ensembl.org/Mus_musculus/Gene/Summary?db=core;g=ENSMUSG00000017405","ENSMUSG00000017405")</f>
        <v>ENSMUSG00000017405</v>
      </c>
      <c r="I6232" s="7" t="str">
        <f>HYPERLINK("http://www.informatics.jax.org/marker/MGI:1890646","MGI:1890646")</f>
        <v>MGI:1890646</v>
      </c>
      <c r="J6232" s="4" t="s">
        <v>12</v>
      </c>
    </row>
    <row r="6233" spans="1:10" x14ac:dyDescent="0.25">
      <c r="A6233" s="2">
        <v>143.52415967771901</v>
      </c>
      <c r="B6233" s="3">
        <v>-0.76376630157799896</v>
      </c>
      <c r="C6233" s="5">
        <v>5.9103318337754401E-12</v>
      </c>
      <c r="D6233" s="6">
        <v>5.5927205436426498E-11</v>
      </c>
      <c r="E6233" s="3" t="s">
        <v>4723</v>
      </c>
      <c r="F6233" s="3" t="s">
        <v>4724</v>
      </c>
      <c r="G6233" s="3">
        <v>78925</v>
      </c>
      <c r="H6233" s="7" t="str">
        <f>HYPERLINK("http://www.ensembl.org/Mus_musculus/Gene/Summary?db=core;g=ENSMUSG00000021594","ENSMUSG00000021594")</f>
        <v>ENSMUSG00000021594</v>
      </c>
      <c r="I6233" s="7" t="str">
        <f>HYPERLINK("http://www.informatics.jax.org/marker/MGI:98400","MGI:98400")</f>
        <v>MGI:98400</v>
      </c>
      <c r="J6233" s="4" t="s">
        <v>12</v>
      </c>
    </row>
    <row r="6234" spans="1:10" x14ac:dyDescent="0.25">
      <c r="A6234" s="2">
        <v>298.17532850899897</v>
      </c>
      <c r="B6234" s="3">
        <v>-0.76386448100154403</v>
      </c>
      <c r="C6234" s="5">
        <v>3.4483889202379399E-21</v>
      </c>
      <c r="D6234" s="6">
        <v>5.7237602979359303E-20</v>
      </c>
      <c r="E6234" s="3" t="s">
        <v>1188</v>
      </c>
      <c r="F6234" s="3" t="s">
        <v>1189</v>
      </c>
      <c r="G6234" s="3">
        <v>100201</v>
      </c>
      <c r="H6234" s="7" t="str">
        <f>HYPERLINK("http://www.ensembl.org/Mus_musculus/Gene/Summary?db=core;g=ENSMUSG00000043252","ENSMUSG00000043252")</f>
        <v>ENSMUSG00000043252</v>
      </c>
      <c r="I6234" s="7" t="str">
        <f>HYPERLINK("http://www.informatics.jax.org/marker/MGI:2140359","MGI:2140359")</f>
        <v>MGI:2140359</v>
      </c>
      <c r="J6234" s="4" t="s">
        <v>12</v>
      </c>
    </row>
    <row r="6235" spans="1:10" x14ac:dyDescent="0.25">
      <c r="A6235" s="2">
        <v>18.955841407945002</v>
      </c>
      <c r="B6235" s="3">
        <v>-0.76415479408284304</v>
      </c>
      <c r="C6235" s="3">
        <v>2.35598501563943E-3</v>
      </c>
      <c r="D6235" s="4">
        <v>7.6661001446221297E-3</v>
      </c>
      <c r="E6235" s="3" t="s">
        <v>10488</v>
      </c>
      <c r="F6235" s="3" t="s">
        <v>10489</v>
      </c>
      <c r="G6235" s="3" t="s">
        <v>83</v>
      </c>
      <c r="H6235" s="7" t="str">
        <f>HYPERLINK("http://www.ensembl.org/Mus_musculus/Gene/Summary?db=core;g=ENSMUSG00000053749","ENSMUSG00000053749")</f>
        <v>ENSMUSG00000053749</v>
      </c>
      <c r="I6235" s="7" t="str">
        <f>HYPERLINK("http://www.informatics.jax.org/marker/MGI:3642228","MGI:3642228")</f>
        <v>MGI:3642228</v>
      </c>
      <c r="J6235" s="4" t="s">
        <v>331</v>
      </c>
    </row>
    <row r="6236" spans="1:10" x14ac:dyDescent="0.25">
      <c r="A6236" s="2">
        <v>1586.7808876316001</v>
      </c>
      <c r="B6236" s="3">
        <v>-0.76416098099387997</v>
      </c>
      <c r="C6236" s="5">
        <v>1.6110485109779801E-31</v>
      </c>
      <c r="D6236" s="6">
        <v>4.1825297881159101E-30</v>
      </c>
      <c r="E6236" s="3" t="s">
        <v>1394</v>
      </c>
      <c r="F6236" s="3" t="s">
        <v>1395</v>
      </c>
      <c r="G6236" s="3">
        <v>380684</v>
      </c>
      <c r="H6236" s="7" t="str">
        <f>HYPERLINK("http://www.ensembl.org/Mus_musculus/Gene/Summary?db=core;g=ENSMUSG00000020396","ENSMUSG00000020396")</f>
        <v>ENSMUSG00000020396</v>
      </c>
      <c r="I6236" s="7" t="str">
        <f>HYPERLINK("http://www.informatics.jax.org/marker/MGI:97309","MGI:97309")</f>
        <v>MGI:97309</v>
      </c>
      <c r="J6236" s="4" t="s">
        <v>12</v>
      </c>
    </row>
    <row r="6237" spans="1:10" x14ac:dyDescent="0.25">
      <c r="A6237" s="2">
        <v>377.48009206072601</v>
      </c>
      <c r="B6237" s="3">
        <v>-0.76442820091989705</v>
      </c>
      <c r="C6237" s="5">
        <v>7.6337306700715897E-19</v>
      </c>
      <c r="D6237" s="6">
        <v>1.1265161251988201E-17</v>
      </c>
      <c r="E6237" s="3" t="s">
        <v>1312</v>
      </c>
      <c r="F6237" s="3" t="s">
        <v>1313</v>
      </c>
      <c r="G6237" s="3">
        <v>237911</v>
      </c>
      <c r="H6237" s="7" t="str">
        <f>HYPERLINK("http://www.ensembl.org/Mus_musculus/Gene/Summary?db=core;g=ENSMUSG00000034329","ENSMUSG00000034329")</f>
        <v>ENSMUSG00000034329</v>
      </c>
      <c r="I6237" s="7" t="str">
        <f>HYPERLINK("http://www.informatics.jax.org/marker/MGI:2442836","MGI:2442836")</f>
        <v>MGI:2442836</v>
      </c>
      <c r="J6237" s="4" t="s">
        <v>12</v>
      </c>
    </row>
    <row r="6238" spans="1:10" x14ac:dyDescent="0.25">
      <c r="A6238" s="2">
        <v>600.79472627185396</v>
      </c>
      <c r="B6238" s="3">
        <v>-0.76513896999034703</v>
      </c>
      <c r="C6238" s="5">
        <v>1.99377539129851E-13</v>
      </c>
      <c r="D6238" s="6">
        <v>2.1274330507268899E-12</v>
      </c>
      <c r="E6238" s="3" t="s">
        <v>926</v>
      </c>
      <c r="F6238" s="3" t="s">
        <v>927</v>
      </c>
      <c r="G6238" s="3">
        <v>242705</v>
      </c>
      <c r="H6238" s="7" t="str">
        <f>HYPERLINK("http://www.ensembl.org/Mus_musculus/Gene/Summary?db=core;g=ENSMUSG00000018983","ENSMUSG00000018983")</f>
        <v>ENSMUSG00000018983</v>
      </c>
      <c r="I6238" s="7" t="str">
        <f>HYPERLINK("http://www.informatics.jax.org/marker/MGI:1096341","MGI:1096341")</f>
        <v>MGI:1096341</v>
      </c>
      <c r="J6238" s="4" t="s">
        <v>12</v>
      </c>
    </row>
    <row r="6239" spans="1:10" x14ac:dyDescent="0.25">
      <c r="A6239" s="2">
        <v>832.51045818598004</v>
      </c>
      <c r="B6239" s="3">
        <v>-0.76532884624396202</v>
      </c>
      <c r="C6239" s="5">
        <v>1.7401611166925699E-11</v>
      </c>
      <c r="D6239" s="6">
        <v>1.5873091267128099E-10</v>
      </c>
      <c r="E6239" s="3" t="s">
        <v>5867</v>
      </c>
      <c r="F6239" s="3" t="s">
        <v>5868</v>
      </c>
      <c r="G6239" s="3">
        <v>229534</v>
      </c>
      <c r="H6239" s="7" t="str">
        <f>HYPERLINK("http://www.ensembl.org/Mus_musculus/Gene/Summary?db=core;g=ENSMUSG00000042613","ENSMUSG00000042613")</f>
        <v>ENSMUSG00000042613</v>
      </c>
      <c r="I6239" s="7" t="str">
        <f>HYPERLINK("http://www.informatics.jax.org/marker/MGI:2441670","MGI:2441670")</f>
        <v>MGI:2441670</v>
      </c>
      <c r="J6239" s="4" t="s">
        <v>12</v>
      </c>
    </row>
    <row r="6240" spans="1:10" x14ac:dyDescent="0.25">
      <c r="A6240" s="2">
        <v>143.13501068572401</v>
      </c>
      <c r="B6240" s="3">
        <v>-0.76593504524937805</v>
      </c>
      <c r="C6240" s="5">
        <v>8.8469194002006694E-11</v>
      </c>
      <c r="D6240" s="6">
        <v>7.5946823395504999E-10</v>
      </c>
      <c r="E6240" s="3" t="s">
        <v>7248</v>
      </c>
      <c r="F6240" s="3" t="s">
        <v>7249</v>
      </c>
      <c r="G6240" s="3">
        <v>245867</v>
      </c>
      <c r="H6240" s="7" t="str">
        <f>HYPERLINK("http://www.ensembl.org/Mus_musculus/Gene/Summary?db=core;g=ENSMUSG00000027589","ENSMUSG00000027589")</f>
        <v>ENSMUSG00000027589</v>
      </c>
      <c r="I6240" s="7" t="str">
        <f>HYPERLINK("http://www.informatics.jax.org/marker/MGI:1923927","MGI:1923927")</f>
        <v>MGI:1923927</v>
      </c>
      <c r="J6240" s="4" t="s">
        <v>12</v>
      </c>
    </row>
    <row r="6241" spans="1:10" x14ac:dyDescent="0.25">
      <c r="A6241" s="2">
        <v>67.875956737907103</v>
      </c>
      <c r="B6241" s="3">
        <v>-0.76691276696447197</v>
      </c>
      <c r="C6241" s="5">
        <v>5.2476701157284903E-7</v>
      </c>
      <c r="D6241" s="6">
        <v>3.0150941948030199E-6</v>
      </c>
      <c r="E6241" s="3" t="s">
        <v>6251</v>
      </c>
      <c r="F6241" s="3" t="s">
        <v>6252</v>
      </c>
      <c r="G6241" s="3">
        <v>269529</v>
      </c>
      <c r="H6241" s="7" t="str">
        <f>HYPERLINK("http://www.ensembl.org/Mus_musculus/Gene/Summary?db=core;g=ENSMUSG00000048232","ENSMUSG00000048232")</f>
        <v>ENSMUSG00000048232</v>
      </c>
      <c r="I6241" s="7" t="str">
        <f>HYPERLINK("http://www.informatics.jax.org/marker/MGI:2686937","MGI:2686937")</f>
        <v>MGI:2686937</v>
      </c>
      <c r="J6241" s="4" t="s">
        <v>12</v>
      </c>
    </row>
    <row r="6242" spans="1:10" x14ac:dyDescent="0.25">
      <c r="A6242" s="2">
        <v>217.36904225398601</v>
      </c>
      <c r="B6242" s="3">
        <v>-0.768387415823232</v>
      </c>
      <c r="C6242" s="5">
        <v>1.4884672645381601E-11</v>
      </c>
      <c r="D6242" s="6">
        <v>1.36523985386049E-10</v>
      </c>
      <c r="E6242" s="3" t="s">
        <v>6321</v>
      </c>
      <c r="F6242" s="3" t="s">
        <v>6322</v>
      </c>
      <c r="G6242" s="3">
        <v>16548</v>
      </c>
      <c r="H6242" s="7" t="str">
        <f>HYPERLINK("http://www.ensembl.org/Mus_musculus/Gene/Summary?db=core;g=ENSMUSG00000029162","ENSMUSG00000029162")</f>
        <v>ENSMUSG00000029162</v>
      </c>
      <c r="I6242" s="7" t="str">
        <f>HYPERLINK("http://www.informatics.jax.org/marker/MGI:1096353","MGI:1096353")</f>
        <v>MGI:1096353</v>
      </c>
      <c r="J6242" s="4" t="s">
        <v>12</v>
      </c>
    </row>
    <row r="6243" spans="1:10" x14ac:dyDescent="0.25">
      <c r="A6243" s="2">
        <v>452.132258904504</v>
      </c>
      <c r="B6243" s="3">
        <v>-0.76877040791893703</v>
      </c>
      <c r="C6243" s="5">
        <v>1.16987916299229E-34</v>
      </c>
      <c r="D6243" s="6">
        <v>3.3950712970596399E-33</v>
      </c>
      <c r="E6243" s="3" t="s">
        <v>642</v>
      </c>
      <c r="F6243" s="3" t="s">
        <v>643</v>
      </c>
      <c r="G6243" s="3">
        <v>228983</v>
      </c>
      <c r="H6243" s="7" t="str">
        <f>HYPERLINK("http://www.ensembl.org/Mus_musculus/Gene/Summary?db=core;g=ENSMUSG00000039050","ENSMUSG00000039050")</f>
        <v>ENSMUSG00000039050</v>
      </c>
      <c r="I6243" s="7" t="str">
        <f>HYPERLINK("http://www.informatics.jax.org/marker/MGI:2442832","MGI:2442832")</f>
        <v>MGI:2442832</v>
      </c>
      <c r="J6243" s="4" t="s">
        <v>12</v>
      </c>
    </row>
    <row r="6244" spans="1:10" x14ac:dyDescent="0.25">
      <c r="A6244" s="2">
        <v>531.19612507982595</v>
      </c>
      <c r="B6244" s="3">
        <v>-0.76920868628223604</v>
      </c>
      <c r="C6244" s="5">
        <v>6.5184707502324703E-37</v>
      </c>
      <c r="D6244" s="6">
        <v>2.02383525422465E-35</v>
      </c>
      <c r="E6244" s="3" t="s">
        <v>1522</v>
      </c>
      <c r="F6244" s="3" t="s">
        <v>1523</v>
      </c>
      <c r="G6244" s="3">
        <v>18105</v>
      </c>
      <c r="H6244" s="7" t="str">
        <f>HYPERLINK("http://www.ensembl.org/Mus_musculus/Gene/Summary?db=core;g=ENSMUSG00000046949","ENSMUSG00000046949")</f>
        <v>ENSMUSG00000046949</v>
      </c>
      <c r="I6244" s="7" t="str">
        <f>HYPERLINK("http://www.informatics.jax.org/marker/MGI:104513","MGI:104513")</f>
        <v>MGI:104513</v>
      </c>
      <c r="J6244" s="4" t="s">
        <v>12</v>
      </c>
    </row>
    <row r="6245" spans="1:10" x14ac:dyDescent="0.25">
      <c r="A6245" s="2">
        <v>1195.9901239784001</v>
      </c>
      <c r="B6245" s="3">
        <v>-0.76935863343106103</v>
      </c>
      <c r="C6245" s="5">
        <v>1.8868568790167599E-24</v>
      </c>
      <c r="D6245" s="6">
        <v>3.6660945223966403E-23</v>
      </c>
      <c r="E6245" s="3" t="s">
        <v>1296</v>
      </c>
      <c r="F6245" s="3" t="s">
        <v>1297</v>
      </c>
      <c r="G6245" s="3">
        <v>16450</v>
      </c>
      <c r="H6245" s="7" t="str">
        <f>HYPERLINK("http://www.ensembl.org/Mus_musculus/Gene/Summary?db=core;g=ENSMUSG00000002799","ENSMUSG00000002799")</f>
        <v>ENSMUSG00000002799</v>
      </c>
      <c r="I6245" s="7" t="str">
        <f>HYPERLINK("http://www.informatics.jax.org/marker/MGI:1098270","MGI:1098270")</f>
        <v>MGI:1098270</v>
      </c>
      <c r="J6245" s="4" t="s">
        <v>12</v>
      </c>
    </row>
    <row r="6246" spans="1:10" x14ac:dyDescent="0.25">
      <c r="A6246" s="2">
        <v>65.144532805980404</v>
      </c>
      <c r="B6246" s="3">
        <v>-0.76953629708095905</v>
      </c>
      <c r="C6246" s="5">
        <v>9.9147020025818396E-7</v>
      </c>
      <c r="D6246" s="6">
        <v>5.5123686393244096E-6</v>
      </c>
      <c r="E6246" s="3" t="s">
        <v>4701</v>
      </c>
      <c r="F6246" s="3" t="s">
        <v>4702</v>
      </c>
      <c r="G6246" s="3">
        <v>59038</v>
      </c>
      <c r="H6246" s="7" t="str">
        <f>HYPERLINK("http://www.ensembl.org/Mus_musculus/Gene/Summary?db=core;g=ENSMUSG00000000876","ENSMUSG00000000876")</f>
        <v>ENSMUSG00000000876</v>
      </c>
      <c r="I6246" s="7" t="str">
        <f>HYPERLINK("http://www.informatics.jax.org/marker/MGI:1891701","MGI:1891701")</f>
        <v>MGI:1891701</v>
      </c>
      <c r="J6246" s="4" t="s">
        <v>12</v>
      </c>
    </row>
    <row r="6247" spans="1:10" x14ac:dyDescent="0.25">
      <c r="A6247" s="2">
        <v>245.903521948216</v>
      </c>
      <c r="B6247" s="3">
        <v>-0.76962526984383595</v>
      </c>
      <c r="C6247" s="5">
        <v>7.5816814694995105E-16</v>
      </c>
      <c r="D6247" s="6">
        <v>9.4125439224542605E-15</v>
      </c>
      <c r="E6247" s="3" t="s">
        <v>3860</v>
      </c>
      <c r="F6247" s="3" t="s">
        <v>3861</v>
      </c>
      <c r="G6247" s="3">
        <v>231866</v>
      </c>
      <c r="H6247" s="7" t="str">
        <f>HYPERLINK("http://www.ensembl.org/Mus_musculus/Gene/Summary?db=core;g=ENSMUSG00000029587","ENSMUSG00000029587")</f>
        <v>ENSMUSG00000029587</v>
      </c>
      <c r="I6247" s="7" t="str">
        <f>HYPERLINK("http://www.informatics.jax.org/marker/MGI:99157","MGI:99157")</f>
        <v>MGI:99157</v>
      </c>
      <c r="J6247" s="4" t="s">
        <v>12</v>
      </c>
    </row>
    <row r="6248" spans="1:10" x14ac:dyDescent="0.25">
      <c r="A6248" s="2">
        <v>5.4147528162438796</v>
      </c>
      <c r="B6248" s="3">
        <v>-0.77002838400861695</v>
      </c>
      <c r="C6248" s="3">
        <v>4.9432342952298501E-2</v>
      </c>
      <c r="D6248" s="4">
        <v>0.113264326163646</v>
      </c>
      <c r="E6248" s="3" t="s">
        <v>11905</v>
      </c>
      <c r="F6248" s="3" t="s">
        <v>11906</v>
      </c>
      <c r="G6248" s="3">
        <v>76415</v>
      </c>
      <c r="H6248" s="7" t="str">
        <f>HYPERLINK("http://www.ensembl.org/Mus_musculus/Gene/Summary?db=core;g=ENSMUSG00000046826","ENSMUSG00000046826")</f>
        <v>ENSMUSG00000046826</v>
      </c>
      <c r="I6248" s="7" t="str">
        <f>HYPERLINK("http://www.informatics.jax.org/marker/MGI:1923665","MGI:1923665")</f>
        <v>MGI:1923665</v>
      </c>
      <c r="J6248" s="4" t="s">
        <v>12</v>
      </c>
    </row>
    <row r="6249" spans="1:10" x14ac:dyDescent="0.25">
      <c r="A6249" s="2">
        <v>723.03006648408405</v>
      </c>
      <c r="B6249" s="3">
        <v>-0.77275481781538302</v>
      </c>
      <c r="C6249" s="5">
        <v>2.59811219266419E-14</v>
      </c>
      <c r="D6249" s="6">
        <v>2.9174734880656102E-13</v>
      </c>
      <c r="E6249" s="3" t="s">
        <v>4741</v>
      </c>
      <c r="F6249" s="3" t="s">
        <v>4742</v>
      </c>
      <c r="G6249" s="3">
        <v>20401</v>
      </c>
      <c r="H6249" s="7" t="str">
        <f>HYPERLINK("http://www.ensembl.org/Mus_musculus/Gene/Summary?db=core;g=ENSMUSG00000022436","ENSMUSG00000022436")</f>
        <v>ENSMUSG00000022436</v>
      </c>
      <c r="I6249" s="7" t="str">
        <f>HYPERLINK("http://www.informatics.jax.org/marker/MGI:104603","MGI:104603")</f>
        <v>MGI:104603</v>
      </c>
      <c r="J6249" s="4" t="s">
        <v>12</v>
      </c>
    </row>
    <row r="6250" spans="1:10" x14ac:dyDescent="0.25">
      <c r="A6250" s="2">
        <v>132.636647939612</v>
      </c>
      <c r="B6250" s="3">
        <v>-0.77311250274182297</v>
      </c>
      <c r="C6250" s="5">
        <v>1.1542096517659701E-14</v>
      </c>
      <c r="D6250" s="6">
        <v>1.3288358119668301E-13</v>
      </c>
      <c r="E6250" s="3" t="s">
        <v>4401</v>
      </c>
      <c r="F6250" s="3" t="s">
        <v>4402</v>
      </c>
      <c r="G6250" s="3">
        <v>544696</v>
      </c>
      <c r="H6250" s="7" t="str">
        <f>HYPERLINK("http://www.ensembl.org/Mus_musculus/Gene/Summary?db=core;g=ENSMUSG00000038122","ENSMUSG00000038122")</f>
        <v>ENSMUSG00000038122</v>
      </c>
      <c r="I6250" s="7" t="str">
        <f>HYPERLINK("http://www.informatics.jax.org/marker/MGI:2442827","MGI:2442827")</f>
        <v>MGI:2442827</v>
      </c>
      <c r="J6250" s="4" t="s">
        <v>12</v>
      </c>
    </row>
    <row r="6251" spans="1:10" x14ac:dyDescent="0.25">
      <c r="A6251" s="2">
        <v>1527.8613186684299</v>
      </c>
      <c r="B6251" s="3">
        <v>-0.77367939264162999</v>
      </c>
      <c r="C6251" s="5">
        <v>6.3584559753287795E-5</v>
      </c>
      <c r="D6251" s="4">
        <v>2.7408434283435901E-4</v>
      </c>
      <c r="E6251" s="3" t="s">
        <v>10676</v>
      </c>
      <c r="F6251" s="3" t="s">
        <v>10677</v>
      </c>
      <c r="G6251" s="3">
        <v>20363</v>
      </c>
      <c r="H6251" s="7" t="str">
        <f>HYPERLINK("http://www.ensembl.org/Mus_musculus/Gene/Summary?db=core;g=ENSMUSG00000064373","ENSMUSG00000064373")</f>
        <v>ENSMUSG00000064373</v>
      </c>
      <c r="I6251" s="7" t="str">
        <f>HYPERLINK("http://www.informatics.jax.org/marker/MGI:894288","MGI:894288")</f>
        <v>MGI:894288</v>
      </c>
      <c r="J6251" s="4" t="s">
        <v>12</v>
      </c>
    </row>
    <row r="6252" spans="1:10" x14ac:dyDescent="0.25">
      <c r="A6252" s="2">
        <v>103.528756588015</v>
      </c>
      <c r="B6252" s="3">
        <v>-0.77431821275703505</v>
      </c>
      <c r="C6252" s="5">
        <v>1.6077932075826299E-9</v>
      </c>
      <c r="D6252" s="6">
        <v>1.22142689488093E-8</v>
      </c>
      <c r="E6252" s="3" t="s">
        <v>5323</v>
      </c>
      <c r="F6252" s="3" t="s">
        <v>5324</v>
      </c>
      <c r="G6252" s="3">
        <v>73327</v>
      </c>
      <c r="H6252" s="7" t="str">
        <f>HYPERLINK("http://www.ensembl.org/Mus_musculus/Gene/Summary?db=core;g=ENSMUSG00000030008","ENSMUSG00000030008")</f>
        <v>ENSMUSG00000030008</v>
      </c>
      <c r="I6252" s="7" t="str">
        <f>HYPERLINK("http://www.informatics.jax.org/marker/MGI:1920577","MGI:1920577")</f>
        <v>MGI:1920577</v>
      </c>
      <c r="J6252" s="4" t="s">
        <v>12</v>
      </c>
    </row>
    <row r="6253" spans="1:10" x14ac:dyDescent="0.25">
      <c r="A6253" s="2">
        <v>178.67384363221399</v>
      </c>
      <c r="B6253" s="3">
        <v>-0.77436403514446395</v>
      </c>
      <c r="C6253" s="5">
        <v>3.0960443686030903E-8</v>
      </c>
      <c r="D6253" s="6">
        <v>2.0443988629634499E-7</v>
      </c>
      <c r="E6253" s="3" t="s">
        <v>3936</v>
      </c>
      <c r="F6253" s="3" t="s">
        <v>3937</v>
      </c>
      <c r="G6253" s="3" t="s">
        <v>83</v>
      </c>
      <c r="H6253" s="7" t="str">
        <f>HYPERLINK("http://www.ensembl.org/Mus_musculus/Gene/Summary?db=core;g=ENSMUSG00000089865","ENSMUSG00000089865")</f>
        <v>ENSMUSG00000089865</v>
      </c>
      <c r="I6253" s="7" t="str">
        <f>HYPERLINK("http://www.informatics.jax.org/marker/MGI:5141975","MGI:5141975")</f>
        <v>MGI:5141975</v>
      </c>
      <c r="J6253" s="4" t="s">
        <v>12</v>
      </c>
    </row>
    <row r="6254" spans="1:10" x14ac:dyDescent="0.25">
      <c r="A6254" s="2">
        <v>250.06205551160599</v>
      </c>
      <c r="B6254" s="3">
        <v>-0.77455515538122699</v>
      </c>
      <c r="C6254" s="5">
        <v>2.0720216128505599E-16</v>
      </c>
      <c r="D6254" s="6">
        <v>2.67062191613872E-15</v>
      </c>
      <c r="E6254" s="3" t="s">
        <v>2189</v>
      </c>
      <c r="F6254" s="3" t="s">
        <v>2190</v>
      </c>
      <c r="G6254" s="3">
        <v>213452</v>
      </c>
      <c r="H6254" s="7" t="str">
        <f>HYPERLINK("http://www.ensembl.org/Mus_musculus/Gene/Summary?db=core;g=ENSMUSG00000042046","ENSMUSG00000042046")</f>
        <v>ENSMUSG00000042046</v>
      </c>
      <c r="I6254" s="7" t="str">
        <f>HYPERLINK("http://www.informatics.jax.org/marker/MGI:1925064","MGI:1925064")</f>
        <v>MGI:1925064</v>
      </c>
      <c r="J6254" s="4" t="s">
        <v>12</v>
      </c>
    </row>
    <row r="6255" spans="1:10" x14ac:dyDescent="0.25">
      <c r="A6255" s="2">
        <v>2772.2997334522902</v>
      </c>
      <c r="B6255" s="3">
        <v>-0.77465196215685195</v>
      </c>
      <c r="C6255" s="5">
        <v>1.8744892711535999E-14</v>
      </c>
      <c r="D6255" s="6">
        <v>2.12718349730849E-13</v>
      </c>
      <c r="E6255" s="3" t="s">
        <v>2882</v>
      </c>
      <c r="F6255" s="3" t="s">
        <v>2883</v>
      </c>
      <c r="G6255" s="3">
        <v>76267</v>
      </c>
      <c r="H6255" s="7" t="str">
        <f>HYPERLINK("http://www.ensembl.org/Mus_musculus/Gene/Summary?db=core;g=ENSMUSG00000010663","ENSMUSG00000010663")</f>
        <v>ENSMUSG00000010663</v>
      </c>
      <c r="I6255" s="7" t="str">
        <f>HYPERLINK("http://www.informatics.jax.org/marker/MGI:1923517","MGI:1923517")</f>
        <v>MGI:1923517</v>
      </c>
      <c r="J6255" s="4" t="s">
        <v>12</v>
      </c>
    </row>
    <row r="6256" spans="1:10" x14ac:dyDescent="0.25">
      <c r="A6256" s="2">
        <v>102.606654087518</v>
      </c>
      <c r="B6256" s="3">
        <v>-0.77728022729980295</v>
      </c>
      <c r="C6256" s="3">
        <v>1.08082685039066E-4</v>
      </c>
      <c r="D6256" s="4">
        <v>4.4931727528215701E-4</v>
      </c>
      <c r="E6256" s="3" t="s">
        <v>9871</v>
      </c>
      <c r="F6256" s="3" t="s">
        <v>9872</v>
      </c>
      <c r="G6256" s="3">
        <v>14009</v>
      </c>
      <c r="H6256" s="7" t="str">
        <f>HYPERLINK("http://www.ensembl.org/Mus_musculus/Gene/Summary?db=core;g=ENSMUSG00000004151","ENSMUSG00000004151")</f>
        <v>ENSMUSG00000004151</v>
      </c>
      <c r="I6256" s="7" t="str">
        <f>HYPERLINK("http://www.informatics.jax.org/marker/MGI:99254","MGI:99254")</f>
        <v>MGI:99254</v>
      </c>
      <c r="J6256" s="4" t="s">
        <v>12</v>
      </c>
    </row>
    <row r="6257" spans="1:10" x14ac:dyDescent="0.25">
      <c r="A6257" s="2">
        <v>638.38248669223105</v>
      </c>
      <c r="B6257" s="3">
        <v>-0.77750201403802499</v>
      </c>
      <c r="C6257" s="5">
        <v>3.4519230277394001E-31</v>
      </c>
      <c r="D6257" s="6">
        <v>8.8857764379308804E-30</v>
      </c>
      <c r="E6257" s="3" t="s">
        <v>1332</v>
      </c>
      <c r="F6257" s="3" t="s">
        <v>1333</v>
      </c>
      <c r="G6257" s="3">
        <v>320484</v>
      </c>
      <c r="H6257" s="7" t="str">
        <f>HYPERLINK("http://www.ensembl.org/Mus_musculus/Gene/Summary?db=core;g=ENSMUSG00000052142","ENSMUSG00000052142")</f>
        <v>ENSMUSG00000052142</v>
      </c>
      <c r="I6257" s="7" t="str">
        <f>HYPERLINK("http://www.informatics.jax.org/marker/MGI:2444128","MGI:2444128")</f>
        <v>MGI:2444128</v>
      </c>
      <c r="J6257" s="4" t="s">
        <v>12</v>
      </c>
    </row>
    <row r="6258" spans="1:10" x14ac:dyDescent="0.25">
      <c r="A6258" s="2">
        <v>19.389510685247298</v>
      </c>
      <c r="B6258" s="3">
        <v>-0.77833941167626797</v>
      </c>
      <c r="C6258" s="3">
        <v>1.8982929417823301E-3</v>
      </c>
      <c r="D6258" s="4">
        <v>6.3155145790403204E-3</v>
      </c>
      <c r="E6258" s="3" t="s">
        <v>11109</v>
      </c>
      <c r="F6258" s="3" t="s">
        <v>11110</v>
      </c>
      <c r="G6258" s="3">
        <v>115486418</v>
      </c>
      <c r="H6258" s="7" t="str">
        <f>HYPERLINK("http://www.ensembl.org/Mus_musculus/Gene/Summary?db=core;g=ENSMUSG00000072762","ENSMUSG00000072762")</f>
        <v>ENSMUSG00000072762</v>
      </c>
      <c r="I6258" s="7" t="str">
        <f>HYPERLINK("http://www.informatics.jax.org/marker/MGI:1925270","MGI:1925270")</f>
        <v>MGI:1925270</v>
      </c>
      <c r="J6258" s="4" t="s">
        <v>12</v>
      </c>
    </row>
    <row r="6259" spans="1:10" x14ac:dyDescent="0.25">
      <c r="A6259" s="2">
        <v>123.632388298821</v>
      </c>
      <c r="B6259" s="3">
        <v>-0.77886950357155404</v>
      </c>
      <c r="C6259" s="5">
        <v>6.3277632054385101E-12</v>
      </c>
      <c r="D6259" s="6">
        <v>5.9660364417546305E-11</v>
      </c>
      <c r="E6259" s="3" t="s">
        <v>5087</v>
      </c>
      <c r="F6259" s="3" t="s">
        <v>5088</v>
      </c>
      <c r="G6259" s="3" t="s">
        <v>83</v>
      </c>
      <c r="H6259" s="7" t="str">
        <f>HYPERLINK("http://www.ensembl.org/Mus_musculus/Gene/Summary?db=core;g=ENSMUSG00000108621","ENSMUSG00000108621")</f>
        <v>ENSMUSG00000108621</v>
      </c>
      <c r="I6259" s="7" t="str">
        <f>HYPERLINK("http://www.informatics.jax.org/marker/MGI:5610722","MGI:5610722")</f>
        <v>MGI:5610722</v>
      </c>
      <c r="J6259" s="4" t="s">
        <v>939</v>
      </c>
    </row>
    <row r="6260" spans="1:10" x14ac:dyDescent="0.25">
      <c r="A6260" s="2">
        <v>273.84977364888499</v>
      </c>
      <c r="B6260" s="3">
        <v>-0.77898304716848099</v>
      </c>
      <c r="C6260" s="5">
        <v>1.36230160715506E-19</v>
      </c>
      <c r="D6260" s="6">
        <v>2.0846302930647399E-18</v>
      </c>
      <c r="E6260" s="3" t="s">
        <v>4291</v>
      </c>
      <c r="F6260" s="3" t="s">
        <v>4292</v>
      </c>
      <c r="G6260" s="3">
        <v>22439</v>
      </c>
      <c r="H6260" s="7" t="str">
        <f>HYPERLINK("http://www.ensembl.org/Mus_musculus/Gene/Summary?db=core;g=ENSMUSG00000015342","ENSMUSG00000015342")</f>
        <v>ENSMUSG00000015342</v>
      </c>
      <c r="I6260" s="7" t="str">
        <f>HYPERLINK("http://www.informatics.jax.org/marker/MGI:103569","MGI:103569")</f>
        <v>MGI:103569</v>
      </c>
      <c r="J6260" s="4" t="s">
        <v>12</v>
      </c>
    </row>
    <row r="6261" spans="1:10" x14ac:dyDescent="0.25">
      <c r="A6261" s="2">
        <v>5.4987054171022303</v>
      </c>
      <c r="B6261" s="3">
        <v>-0.77932024664840605</v>
      </c>
      <c r="C6261" s="3">
        <v>6.5024613942745405E-2</v>
      </c>
      <c r="D6261" s="4">
        <v>0.14233408468730899</v>
      </c>
      <c r="E6261" s="3" t="s">
        <v>11903</v>
      </c>
      <c r="F6261" s="3" t="s">
        <v>11904</v>
      </c>
      <c r="G6261" s="3">
        <v>66425</v>
      </c>
      <c r="H6261" s="7" t="str">
        <f>HYPERLINK("http://www.ensembl.org/Mus_musculus/Gene/Summary?db=core;g=ENSMUSG00000038370","ENSMUSG00000038370")</f>
        <v>ENSMUSG00000038370</v>
      </c>
      <c r="I6261" s="7" t="str">
        <f>HYPERLINK("http://www.informatics.jax.org/marker/MGI:1913675","MGI:1913675")</f>
        <v>MGI:1913675</v>
      </c>
      <c r="J6261" s="4" t="s">
        <v>12</v>
      </c>
    </row>
    <row r="6262" spans="1:10" x14ac:dyDescent="0.25">
      <c r="A6262" s="2">
        <v>80.133394948172594</v>
      </c>
      <c r="B6262" s="3">
        <v>-0.77974880393707702</v>
      </c>
      <c r="C6262" s="5">
        <v>6.9106862019137898E-9</v>
      </c>
      <c r="D6262" s="6">
        <v>4.9063987545725998E-8</v>
      </c>
      <c r="E6262" s="3" t="s">
        <v>6852</v>
      </c>
      <c r="F6262" s="3" t="s">
        <v>6853</v>
      </c>
      <c r="G6262" s="3">
        <v>234796</v>
      </c>
      <c r="H6262" s="7" t="str">
        <f>HYPERLINK("http://www.ensembl.org/Mus_musculus/Gene/Summary?db=core;g=ENSMUSG00000031828","ENSMUSG00000031828")</f>
        <v>ENSMUSG00000031828</v>
      </c>
      <c r="I6262" s="7" t="str">
        <f>HYPERLINK("http://www.informatics.jax.org/marker/MGI:2385305","MGI:2385305")</f>
        <v>MGI:2385305</v>
      </c>
      <c r="J6262" s="4" t="s">
        <v>12</v>
      </c>
    </row>
    <row r="6263" spans="1:10" x14ac:dyDescent="0.25">
      <c r="A6263" s="2">
        <v>78.558081540820694</v>
      </c>
      <c r="B6263" s="3">
        <v>-0.78006612401847197</v>
      </c>
      <c r="C6263" s="5">
        <v>8.1612516128907299E-9</v>
      </c>
      <c r="D6263" s="6">
        <v>5.7450293798738403E-8</v>
      </c>
      <c r="E6263" s="3" t="s">
        <v>4371</v>
      </c>
      <c r="F6263" s="3" t="s">
        <v>4372</v>
      </c>
      <c r="G6263" s="3">
        <v>214345</v>
      </c>
      <c r="H6263" s="7" t="str">
        <f>HYPERLINK("http://www.ensembl.org/Mus_musculus/Gene/Summary?db=core;g=ENSMUSG00000032352","ENSMUSG00000032352")</f>
        <v>ENSMUSG00000032352</v>
      </c>
      <c r="I6263" s="7" t="str">
        <f>HYPERLINK("http://www.informatics.jax.org/marker/MGI:2442313","MGI:2442313")</f>
        <v>MGI:2442313</v>
      </c>
      <c r="J6263" s="4" t="s">
        <v>12</v>
      </c>
    </row>
    <row r="6264" spans="1:10" x14ac:dyDescent="0.25">
      <c r="A6264" s="2">
        <v>718.32153504948997</v>
      </c>
      <c r="B6264" s="3">
        <v>-0.78013260357249403</v>
      </c>
      <c r="C6264" s="5">
        <v>1.4508079975893E-15</v>
      </c>
      <c r="D6264" s="6">
        <v>1.7650851639562801E-14</v>
      </c>
      <c r="E6264" s="3" t="s">
        <v>3268</v>
      </c>
      <c r="F6264" s="3" t="s">
        <v>3269</v>
      </c>
      <c r="G6264" s="3">
        <v>21898</v>
      </c>
      <c r="H6264" s="7" t="str">
        <f>HYPERLINK("http://www.ensembl.org/Mus_musculus/Gene/Summary?db=core;g=ENSMUSG00000039005","ENSMUSG00000039005")</f>
        <v>ENSMUSG00000039005</v>
      </c>
      <c r="I6264" s="7" t="str">
        <f>HYPERLINK("http://www.informatics.jax.org/marker/MGI:96824","MGI:96824")</f>
        <v>MGI:96824</v>
      </c>
      <c r="J6264" s="4" t="s">
        <v>12</v>
      </c>
    </row>
    <row r="6265" spans="1:10" x14ac:dyDescent="0.25">
      <c r="A6265" s="2">
        <v>618.18437609786395</v>
      </c>
      <c r="B6265" s="3">
        <v>-0.78022300617160001</v>
      </c>
      <c r="C6265" s="5">
        <v>7.9971694777689205E-14</v>
      </c>
      <c r="D6265" s="6">
        <v>8.7274499240921205E-13</v>
      </c>
      <c r="E6265" s="3" t="s">
        <v>2832</v>
      </c>
      <c r="F6265" s="3" t="s">
        <v>2833</v>
      </c>
      <c r="G6265" s="3">
        <v>216543</v>
      </c>
      <c r="H6265" s="7" t="str">
        <f>HYPERLINK("http://www.ensembl.org/Mus_musculus/Gene/Summary?db=core;g=ENSMUSG00000044066","ENSMUSG00000044066")</f>
        <v>ENSMUSG00000044066</v>
      </c>
      <c r="I6265" s="7" t="str">
        <f>HYPERLINK("http://www.informatics.jax.org/marker/MGI:2667663","MGI:2667663")</f>
        <v>MGI:2667663</v>
      </c>
      <c r="J6265" s="4" t="s">
        <v>12</v>
      </c>
    </row>
    <row r="6266" spans="1:10" x14ac:dyDescent="0.25">
      <c r="A6266" s="2">
        <v>43.069947242164702</v>
      </c>
      <c r="B6266" s="3">
        <v>-0.780479744107897</v>
      </c>
      <c r="C6266" s="3">
        <v>2.0152967378075801E-4</v>
      </c>
      <c r="D6266" s="4">
        <v>8.0001705612161103E-4</v>
      </c>
      <c r="E6266" s="3" t="s">
        <v>10152</v>
      </c>
      <c r="F6266" s="3" t="s">
        <v>10153</v>
      </c>
      <c r="G6266" s="3">
        <v>71751</v>
      </c>
      <c r="H6266" s="7" t="str">
        <f>HYPERLINK("http://www.ensembl.org/Mus_musculus/Gene/Summary?db=core;g=ENSMUSG00000033618","ENSMUSG00000033618")</f>
        <v>ENSMUSG00000033618</v>
      </c>
      <c r="I6266" s="7" t="str">
        <f>HYPERLINK("http://www.informatics.jax.org/marker/MGI:2444243","MGI:2444243")</f>
        <v>MGI:2444243</v>
      </c>
      <c r="J6266" s="4" t="s">
        <v>12</v>
      </c>
    </row>
    <row r="6267" spans="1:10" x14ac:dyDescent="0.25">
      <c r="A6267" s="2">
        <v>33.903558898674</v>
      </c>
      <c r="B6267" s="3">
        <v>-0.78048162803420296</v>
      </c>
      <c r="C6267" s="3">
        <v>2.5290073088426698E-4</v>
      </c>
      <c r="D6267" s="4">
        <v>9.8485380777046396E-4</v>
      </c>
      <c r="E6267" s="3" t="s">
        <v>11731</v>
      </c>
      <c r="F6267" s="3" t="s">
        <v>11732</v>
      </c>
      <c r="G6267" s="3">
        <v>13805</v>
      </c>
      <c r="H6267" s="7" t="str">
        <f>HYPERLINK("http://www.ensembl.org/Mus_musculus/Gene/Summary?db=core;g=ENSMUSG00000026814","ENSMUSG00000026814")</f>
        <v>ENSMUSG00000026814</v>
      </c>
      <c r="I6267" s="7" t="str">
        <f>HYPERLINK("http://www.informatics.jax.org/marker/MGI:95392","MGI:95392")</f>
        <v>MGI:95392</v>
      </c>
      <c r="J6267" s="4" t="s">
        <v>12</v>
      </c>
    </row>
    <row r="6268" spans="1:10" x14ac:dyDescent="0.25">
      <c r="A6268" s="2">
        <v>198.51192081807599</v>
      </c>
      <c r="B6268" s="3">
        <v>-0.78104944575517699</v>
      </c>
      <c r="C6268" s="5">
        <v>1.3953037730207199E-16</v>
      </c>
      <c r="D6268" s="6">
        <v>1.8189850689057601E-15</v>
      </c>
      <c r="E6268" s="3" t="s">
        <v>4903</v>
      </c>
      <c r="F6268" s="3" t="s">
        <v>4904</v>
      </c>
      <c r="G6268" s="3">
        <v>20850</v>
      </c>
      <c r="H6268" s="7" t="str">
        <f>HYPERLINK("http://www.ensembl.org/Mus_musculus/Gene/Summary?db=core;g=ENSMUSG00000004043","ENSMUSG00000004043")</f>
        <v>ENSMUSG00000004043</v>
      </c>
      <c r="I6268" s="7" t="str">
        <f>HYPERLINK("http://www.informatics.jax.org/marker/MGI:103036","MGI:103036")</f>
        <v>MGI:103036</v>
      </c>
      <c r="J6268" s="4" t="s">
        <v>12</v>
      </c>
    </row>
    <row r="6269" spans="1:10" x14ac:dyDescent="0.25">
      <c r="A6269" s="2">
        <v>42.779603457477201</v>
      </c>
      <c r="B6269" s="3">
        <v>-0.78182448590188003</v>
      </c>
      <c r="C6269" s="5">
        <v>3.8817826447361899E-5</v>
      </c>
      <c r="D6269" s="4">
        <v>1.7271847827225899E-4</v>
      </c>
      <c r="E6269" s="3" t="s">
        <v>7558</v>
      </c>
      <c r="F6269" s="3" t="s">
        <v>7559</v>
      </c>
      <c r="G6269" s="3">
        <v>216859</v>
      </c>
      <c r="H6269" s="7" t="str">
        <f>HYPERLINK("http://www.ensembl.org/Mus_musculus/Gene/Summary?db=core;g=ENSMUSG00000001588","ENSMUSG00000001588")</f>
        <v>ENSMUSG00000001588</v>
      </c>
      <c r="I6269" s="7" t="str">
        <f>HYPERLINK("http://www.informatics.jax.org/marker/MGI:2388270","MGI:2388270")</f>
        <v>MGI:2388270</v>
      </c>
      <c r="J6269" s="4" t="s">
        <v>12</v>
      </c>
    </row>
    <row r="6270" spans="1:10" x14ac:dyDescent="0.25">
      <c r="A6270" s="2">
        <v>142.75858935961099</v>
      </c>
      <c r="B6270" s="3">
        <v>-0.78192629055671203</v>
      </c>
      <c r="C6270" s="5">
        <v>1.33694653129354E-13</v>
      </c>
      <c r="D6270" s="6">
        <v>1.43983565130082E-12</v>
      </c>
      <c r="E6270" s="3" t="s">
        <v>3222</v>
      </c>
      <c r="F6270" s="3" t="s">
        <v>3223</v>
      </c>
      <c r="G6270" s="3">
        <v>17268</v>
      </c>
      <c r="H6270" s="7" t="str">
        <f>HYPERLINK("http://www.ensembl.org/Mus_musculus/Gene/Summary?db=core;g=ENSMUSG00000020160","ENSMUSG00000020160")</f>
        <v>ENSMUSG00000020160</v>
      </c>
      <c r="I6270" s="7" t="str">
        <f>HYPERLINK("http://www.informatics.jax.org/marker/MGI:104717","MGI:104717")</f>
        <v>MGI:104717</v>
      </c>
      <c r="J6270" s="4" t="s">
        <v>12</v>
      </c>
    </row>
    <row r="6271" spans="1:10" x14ac:dyDescent="0.25">
      <c r="A6271" s="2">
        <v>331.909576141652</v>
      </c>
      <c r="B6271" s="3">
        <v>-0.78219975842673894</v>
      </c>
      <c r="C6271" s="5">
        <v>1.9275891995377101E-17</v>
      </c>
      <c r="D6271" s="6">
        <v>2.6255839433164999E-16</v>
      </c>
      <c r="E6271" s="3" t="s">
        <v>2509</v>
      </c>
      <c r="F6271" s="3" t="s">
        <v>2510</v>
      </c>
      <c r="G6271" s="3">
        <v>66129</v>
      </c>
      <c r="H6271" s="7" t="str">
        <f>HYPERLINK("http://www.ensembl.org/Mus_musculus/Gene/Summary?db=core;g=ENSMUSG00000021482","ENSMUSG00000021482")</f>
        <v>ENSMUSG00000021482</v>
      </c>
      <c r="I6271" s="7" t="str">
        <f>HYPERLINK("http://www.informatics.jax.org/marker/MGI:1913379","MGI:1913379")</f>
        <v>MGI:1913379</v>
      </c>
      <c r="J6271" s="4" t="s">
        <v>12</v>
      </c>
    </row>
    <row r="6272" spans="1:10" x14ac:dyDescent="0.25">
      <c r="A6272" s="2">
        <v>127.82833583563701</v>
      </c>
      <c r="B6272" s="3">
        <v>-0.78283145768210405</v>
      </c>
      <c r="C6272" s="5">
        <v>2.9631116482016699E-9</v>
      </c>
      <c r="D6272" s="6">
        <v>2.1925582536936799E-8</v>
      </c>
      <c r="E6272" s="3" t="s">
        <v>7182</v>
      </c>
      <c r="F6272" s="3" t="s">
        <v>7183</v>
      </c>
      <c r="G6272" s="3">
        <v>74775</v>
      </c>
      <c r="H6272" s="7" t="str">
        <f>HYPERLINK("http://www.ensembl.org/Mus_musculus/Gene/Summary?db=core;g=ENSMUSG00000022999","ENSMUSG00000022999")</f>
        <v>ENSMUSG00000022999</v>
      </c>
      <c r="I6272" s="7" t="str">
        <f>HYPERLINK("http://www.informatics.jax.org/marker/MGI:1289247","MGI:1289247")</f>
        <v>MGI:1289247</v>
      </c>
      <c r="J6272" s="4" t="s">
        <v>12</v>
      </c>
    </row>
    <row r="6273" spans="1:10" x14ac:dyDescent="0.25">
      <c r="A6273" s="2">
        <v>362.45610417337002</v>
      </c>
      <c r="B6273" s="3">
        <v>-0.78320582827176199</v>
      </c>
      <c r="C6273" s="5">
        <v>2.45187083641882E-14</v>
      </c>
      <c r="D6273" s="6">
        <v>2.7634722321418001E-13</v>
      </c>
      <c r="E6273" s="3" t="s">
        <v>2273</v>
      </c>
      <c r="F6273" s="3" t="s">
        <v>2274</v>
      </c>
      <c r="G6273" s="3">
        <v>246102</v>
      </c>
      <c r="H6273" s="7" t="str">
        <f>HYPERLINK("http://www.ensembl.org/Mus_musculus/Gene/Summary?db=core;g=ENSMUSG00000023066","ENSMUSG00000023066")</f>
        <v>ENSMUSG00000023066</v>
      </c>
      <c r="I6273" s="7" t="str">
        <f>HYPERLINK("http://www.informatics.jax.org/marker/MGI:2179288","MGI:2179288")</f>
        <v>MGI:2179288</v>
      </c>
      <c r="J6273" s="4" t="s">
        <v>12</v>
      </c>
    </row>
    <row r="6274" spans="1:10" x14ac:dyDescent="0.25">
      <c r="A6274" s="2">
        <v>34.9623024448507</v>
      </c>
      <c r="B6274" s="3">
        <v>-0.783370525722073</v>
      </c>
      <c r="C6274" s="5">
        <v>9.5075087768902599E-5</v>
      </c>
      <c r="D6274" s="4">
        <v>3.99157676707729E-4</v>
      </c>
      <c r="E6274" s="3" t="s">
        <v>11363</v>
      </c>
      <c r="F6274" s="3" t="s">
        <v>11364</v>
      </c>
      <c r="G6274" s="3" t="s">
        <v>83</v>
      </c>
      <c r="H6274" s="7" t="str">
        <f>HYPERLINK("http://www.ensembl.org/Mus_musculus/Gene/Summary?db=core;g=ENSMUSG00000101655","ENSMUSG00000101655")</f>
        <v>ENSMUSG00000101655</v>
      </c>
      <c r="I6274" s="7" t="str">
        <f>HYPERLINK("http://www.informatics.jax.org/marker/MGI:1916897","MGI:1916897")</f>
        <v>MGI:1916897</v>
      </c>
      <c r="J6274" s="4" t="s">
        <v>939</v>
      </c>
    </row>
    <row r="6275" spans="1:10" x14ac:dyDescent="0.25">
      <c r="A6275" s="2">
        <v>1913.0175099226201</v>
      </c>
      <c r="B6275" s="3">
        <v>-0.783615768205984</v>
      </c>
      <c r="C6275" s="5">
        <v>1.1399173246154299E-40</v>
      </c>
      <c r="D6275" s="6">
        <v>4.0576158674054997E-39</v>
      </c>
      <c r="E6275" s="3" t="s">
        <v>1654</v>
      </c>
      <c r="F6275" s="3" t="s">
        <v>1655</v>
      </c>
      <c r="G6275" s="3">
        <v>12846</v>
      </c>
      <c r="H6275" s="7" t="str">
        <f>HYPERLINK("http://www.ensembl.org/Mus_musculus/Gene/Summary?db=core;g=ENSMUSG00000000326","ENSMUSG00000000326")</f>
        <v>ENSMUSG00000000326</v>
      </c>
      <c r="I6275" s="7" t="str">
        <f>HYPERLINK("http://www.informatics.jax.org/marker/MGI:88470","MGI:88470")</f>
        <v>MGI:88470</v>
      </c>
      <c r="J6275" s="4" t="s">
        <v>12</v>
      </c>
    </row>
    <row r="6276" spans="1:10" x14ac:dyDescent="0.25">
      <c r="A6276" s="2">
        <v>97.7798059798682</v>
      </c>
      <c r="B6276" s="3">
        <v>-0.78391472401110995</v>
      </c>
      <c r="C6276" s="5">
        <v>5.55813725702736E-8</v>
      </c>
      <c r="D6276" s="6">
        <v>3.5667975883564598E-7</v>
      </c>
      <c r="E6276" s="3" t="s">
        <v>3928</v>
      </c>
      <c r="F6276" s="3" t="s">
        <v>3929</v>
      </c>
      <c r="G6276" s="3">
        <v>171210</v>
      </c>
      <c r="H6276" s="7" t="str">
        <f>HYPERLINK("http://www.ensembl.org/Mus_musculus/Gene/Summary?db=core;g=ENSMUSG00000021226","ENSMUSG00000021226")</f>
        <v>ENSMUSG00000021226</v>
      </c>
      <c r="I6276" s="7" t="str">
        <f>HYPERLINK("http://www.informatics.jax.org/marker/MGI:2159605","MGI:2159605")</f>
        <v>MGI:2159605</v>
      </c>
      <c r="J6276" s="4" t="s">
        <v>12</v>
      </c>
    </row>
    <row r="6277" spans="1:10" x14ac:dyDescent="0.25">
      <c r="A6277" s="2">
        <v>81.441656529211897</v>
      </c>
      <c r="B6277" s="3">
        <v>-0.78406810550858497</v>
      </c>
      <c r="C6277" s="5">
        <v>4.3793039729996803E-6</v>
      </c>
      <c r="D6277" s="6">
        <v>2.25396257859134E-5</v>
      </c>
      <c r="E6277" s="3" t="s">
        <v>8069</v>
      </c>
      <c r="F6277" s="3" t="s">
        <v>8070</v>
      </c>
      <c r="G6277" s="3">
        <v>16870</v>
      </c>
      <c r="H6277" s="7" t="str">
        <f>HYPERLINK("http://www.ensembl.org/Mus_musculus/Gene/Summary?db=core;g=ENSMUSG00000000247","ENSMUSG00000000247")</f>
        <v>ENSMUSG00000000247</v>
      </c>
      <c r="I6277" s="7" t="str">
        <f>HYPERLINK("http://www.informatics.jax.org/marker/MGI:96785","MGI:96785")</f>
        <v>MGI:96785</v>
      </c>
      <c r="J6277" s="4" t="s">
        <v>12</v>
      </c>
    </row>
    <row r="6278" spans="1:10" x14ac:dyDescent="0.25">
      <c r="A6278" s="2">
        <v>3504.5135478433999</v>
      </c>
      <c r="B6278" s="3">
        <v>-0.78466713382587405</v>
      </c>
      <c r="C6278" s="5">
        <v>2.6901971457364798E-23</v>
      </c>
      <c r="D6278" s="6">
        <v>4.9775475107662297E-22</v>
      </c>
      <c r="E6278" s="3" t="s">
        <v>3092</v>
      </c>
      <c r="F6278" s="3" t="s">
        <v>3093</v>
      </c>
      <c r="G6278" s="3">
        <v>69202</v>
      </c>
      <c r="H6278" s="7" t="str">
        <f>HYPERLINK("http://www.ensembl.org/Mus_musculus/Gene/Summary?db=core;g=ENSMUSG00000030122","ENSMUSG00000030122")</f>
        <v>ENSMUSG00000030122</v>
      </c>
      <c r="I6278" s="7" t="str">
        <f>HYPERLINK("http://www.informatics.jax.org/marker/MGI:1916452","MGI:1916452")</f>
        <v>MGI:1916452</v>
      </c>
      <c r="J6278" s="4" t="s">
        <v>12</v>
      </c>
    </row>
    <row r="6279" spans="1:10" x14ac:dyDescent="0.25">
      <c r="A6279" s="2">
        <v>108.436345682173</v>
      </c>
      <c r="B6279" s="3">
        <v>-0.78570348149834601</v>
      </c>
      <c r="C6279" s="5">
        <v>2.3528938609199402E-9</v>
      </c>
      <c r="D6279" s="6">
        <v>1.75312717151537E-8</v>
      </c>
      <c r="E6279" s="3" t="s">
        <v>5543</v>
      </c>
      <c r="F6279" s="3" t="s">
        <v>5544</v>
      </c>
      <c r="G6279" s="3">
        <v>320683</v>
      </c>
      <c r="H6279" s="7" t="str">
        <f>HYPERLINK("http://www.ensembl.org/Mus_musculus/Gene/Summary?db=core;g=ENSMUSG00000045639","ENSMUSG00000045639")</f>
        <v>ENSMUSG00000045639</v>
      </c>
      <c r="I6279" s="7" t="str">
        <f>HYPERLINK("http://www.informatics.jax.org/marker/MGI:2444524","MGI:2444524")</f>
        <v>MGI:2444524</v>
      </c>
      <c r="J6279" s="4" t="s">
        <v>12</v>
      </c>
    </row>
    <row r="6280" spans="1:10" x14ac:dyDescent="0.25">
      <c r="A6280" s="2">
        <v>37.898777832785697</v>
      </c>
      <c r="B6280" s="3">
        <v>-0.78581773902625895</v>
      </c>
      <c r="C6280" s="3">
        <v>2.15551294996449E-4</v>
      </c>
      <c r="D6280" s="4">
        <v>8.5159816850428698E-4</v>
      </c>
      <c r="E6280" s="3" t="s">
        <v>3850</v>
      </c>
      <c r="F6280" s="3" t="s">
        <v>3851</v>
      </c>
      <c r="G6280" s="3">
        <v>235493</v>
      </c>
      <c r="H6280" s="7" t="str">
        <f>HYPERLINK("http://www.ensembl.org/Mus_musculus/Gene/Summary?db=core;g=ENSMUSG00000034858","ENSMUSG00000034858")</f>
        <v>ENSMUSG00000034858</v>
      </c>
      <c r="I6280" s="7" t="str">
        <f>HYPERLINK("http://www.informatics.jax.org/marker/MGI:2387648","MGI:2387648")</f>
        <v>MGI:2387648</v>
      </c>
      <c r="J6280" s="4" t="s">
        <v>12</v>
      </c>
    </row>
    <row r="6281" spans="1:10" x14ac:dyDescent="0.25">
      <c r="A6281" s="2">
        <v>234.24204042405</v>
      </c>
      <c r="B6281" s="3">
        <v>-0.78593458349025502</v>
      </c>
      <c r="C6281" s="5">
        <v>4.1064985346387498E-11</v>
      </c>
      <c r="D6281" s="6">
        <v>3.6312923723334001E-10</v>
      </c>
      <c r="E6281" s="3" t="s">
        <v>4783</v>
      </c>
      <c r="F6281" s="3" t="s">
        <v>4784</v>
      </c>
      <c r="G6281" s="3">
        <v>66071</v>
      </c>
      <c r="H6281" s="7" t="str">
        <f>HYPERLINK("http://www.ensembl.org/Mus_musculus/Gene/Summary?db=core;g=ENSMUSG00000064254","ENSMUSG00000064254")</f>
        <v>ENSMUSG00000064254</v>
      </c>
      <c r="I6281" s="7" t="str">
        <f>HYPERLINK("http://www.informatics.jax.org/marker/MGI:1913321","MGI:1913321")</f>
        <v>MGI:1913321</v>
      </c>
      <c r="J6281" s="4" t="s">
        <v>12</v>
      </c>
    </row>
    <row r="6282" spans="1:10" x14ac:dyDescent="0.25">
      <c r="A6282" s="2">
        <v>196.16348745927499</v>
      </c>
      <c r="B6282" s="3">
        <v>-0.78614775428301698</v>
      </c>
      <c r="C6282" s="5">
        <v>5.6386876716322802E-7</v>
      </c>
      <c r="D6282" s="6">
        <v>3.2184491955997E-6</v>
      </c>
      <c r="E6282" s="3" t="s">
        <v>7000</v>
      </c>
      <c r="F6282" s="3" t="s">
        <v>7001</v>
      </c>
      <c r="G6282" s="3">
        <v>11981</v>
      </c>
      <c r="H6282" s="7" t="str">
        <f>HYPERLINK("http://www.ensembl.org/Mus_musculus/Gene/Summary?db=core;g=ENSMUSG00000027546","ENSMUSG00000027546")</f>
        <v>ENSMUSG00000027546</v>
      </c>
      <c r="I6282" s="7" t="str">
        <f>HYPERLINK("http://www.informatics.jax.org/marker/MGI:1330826","MGI:1330826")</f>
        <v>MGI:1330826</v>
      </c>
      <c r="J6282" s="4" t="s">
        <v>12</v>
      </c>
    </row>
    <row r="6283" spans="1:10" x14ac:dyDescent="0.25">
      <c r="A6283" s="2">
        <v>205.06302764941699</v>
      </c>
      <c r="B6283" s="3">
        <v>-0.78780312519287499</v>
      </c>
      <c r="C6283" s="5">
        <v>5.1861474961069397E-9</v>
      </c>
      <c r="D6283" s="6">
        <v>3.72703226011628E-8</v>
      </c>
      <c r="E6283" s="3" t="s">
        <v>3676</v>
      </c>
      <c r="F6283" s="3" t="s">
        <v>3677</v>
      </c>
      <c r="G6283" s="3">
        <v>72278</v>
      </c>
      <c r="H6283" s="7" t="str">
        <f>HYPERLINK("http://www.ensembl.org/Mus_musculus/Gene/Summary?db=core;g=ENSMUSG00000034563","ENSMUSG00000034563")</f>
        <v>ENSMUSG00000034563</v>
      </c>
      <c r="I6283" s="7" t="str">
        <f>HYPERLINK("http://www.informatics.jax.org/marker/MGI:1196419","MGI:1196419")</f>
        <v>MGI:1196419</v>
      </c>
      <c r="J6283" s="4" t="s">
        <v>12</v>
      </c>
    </row>
    <row r="6284" spans="1:10" x14ac:dyDescent="0.25">
      <c r="A6284" s="2">
        <v>1934.8458156657</v>
      </c>
      <c r="B6284" s="3">
        <v>-0.78827824662257195</v>
      </c>
      <c r="C6284" s="5">
        <v>5.1206939895115902E-17</v>
      </c>
      <c r="D6284" s="6">
        <v>6.8123990434774103E-16</v>
      </c>
      <c r="E6284" s="3" t="s">
        <v>4473</v>
      </c>
      <c r="F6284" s="3" t="s">
        <v>4474</v>
      </c>
      <c r="G6284" s="3">
        <v>12492</v>
      </c>
      <c r="H6284" s="7" t="str">
        <f>HYPERLINK("http://www.ensembl.org/Mus_musculus/Gene/Summary?db=core;g=ENSMUSG00000029426","ENSMUSG00000029426")</f>
        <v>ENSMUSG00000029426</v>
      </c>
      <c r="I6284" s="7" t="str">
        <f>HYPERLINK("http://www.informatics.jax.org/marker/MGI:1196458","MGI:1196458")</f>
        <v>MGI:1196458</v>
      </c>
      <c r="J6284" s="4" t="s">
        <v>12</v>
      </c>
    </row>
    <row r="6285" spans="1:10" x14ac:dyDescent="0.25">
      <c r="A6285" s="2">
        <v>15.915579862874299</v>
      </c>
      <c r="B6285" s="3">
        <v>-0.79083247148701596</v>
      </c>
      <c r="C6285" s="3">
        <v>2.8622249112361798E-3</v>
      </c>
      <c r="D6285" s="4">
        <v>9.1323615208822404E-3</v>
      </c>
      <c r="E6285" s="3" t="s">
        <v>9157</v>
      </c>
      <c r="F6285" s="3" t="s">
        <v>9158</v>
      </c>
      <c r="G6285" s="3" t="s">
        <v>83</v>
      </c>
      <c r="H6285" s="7" t="str">
        <f>HYPERLINK("http://www.ensembl.org/Mus_musculus/Gene/Summary?db=core;g=ENSMUSG00000086496","ENSMUSG00000086496")</f>
        <v>ENSMUSG00000086496</v>
      </c>
      <c r="I6285" s="7" t="str">
        <f>HYPERLINK("http://www.informatics.jax.org/marker/MGI:3651576","MGI:3651576")</f>
        <v>MGI:3651576</v>
      </c>
      <c r="J6285" s="4" t="s">
        <v>331</v>
      </c>
    </row>
    <row r="6286" spans="1:10" x14ac:dyDescent="0.25">
      <c r="A6286" s="2">
        <v>59.0272581343932</v>
      </c>
      <c r="B6286" s="3">
        <v>-0.79192063640705401</v>
      </c>
      <c r="C6286" s="5">
        <v>2.2345026945334099E-6</v>
      </c>
      <c r="D6286" s="6">
        <v>1.19249814371512E-5</v>
      </c>
      <c r="E6286" s="3" t="s">
        <v>5265</v>
      </c>
      <c r="F6286" s="3" t="s">
        <v>5266</v>
      </c>
      <c r="G6286" s="3">
        <v>22775</v>
      </c>
      <c r="H6286" s="7" t="str">
        <f>HYPERLINK("http://www.ensembl.org/Mus_musculus/Gene/Summary?db=core;g=ENSMUSG00000030393","ENSMUSG00000030393")</f>
        <v>ENSMUSG00000030393</v>
      </c>
      <c r="I6286" s="7" t="str">
        <f>HYPERLINK("http://www.informatics.jax.org/marker/MGI:108070","MGI:108070")</f>
        <v>MGI:108070</v>
      </c>
      <c r="J6286" s="4" t="s">
        <v>12</v>
      </c>
    </row>
    <row r="6287" spans="1:10" x14ac:dyDescent="0.25">
      <c r="A6287" s="2">
        <v>59.137774983063402</v>
      </c>
      <c r="B6287" s="3">
        <v>-0.79438982184834095</v>
      </c>
      <c r="C6287" s="5">
        <v>1.19285928352931E-5</v>
      </c>
      <c r="D6287" s="6">
        <v>5.77113364542651E-5</v>
      </c>
      <c r="E6287" s="3" t="s">
        <v>6551</v>
      </c>
      <c r="F6287" s="3" t="s">
        <v>6552</v>
      </c>
      <c r="G6287" s="3">
        <v>320398</v>
      </c>
      <c r="H6287" s="7" t="str">
        <f>HYPERLINK("http://www.ensembl.org/Mus_musculus/Gene/Summary?db=core;g=ENSMUSG00000020105","ENSMUSG00000020105")</f>
        <v>ENSMUSG00000020105</v>
      </c>
      <c r="I6287" s="7" t="str">
        <f>HYPERLINK("http://www.informatics.jax.org/marker/MGI:2443955","MGI:2443955")</f>
        <v>MGI:2443955</v>
      </c>
      <c r="J6287" s="4" t="s">
        <v>12</v>
      </c>
    </row>
    <row r="6288" spans="1:10" x14ac:dyDescent="0.25">
      <c r="A6288" s="2">
        <v>24.995204459639801</v>
      </c>
      <c r="B6288" s="3">
        <v>-0.794486405441998</v>
      </c>
      <c r="C6288" s="3">
        <v>1.0927381541179901E-3</v>
      </c>
      <c r="D6288" s="4">
        <v>3.8239540819509001E-3</v>
      </c>
      <c r="E6288" s="3" t="s">
        <v>12507</v>
      </c>
      <c r="F6288" s="3" t="s">
        <v>12508</v>
      </c>
      <c r="G6288" s="3">
        <v>232855</v>
      </c>
      <c r="H6288" s="7" t="str">
        <f>HYPERLINK("http://www.ensembl.org/Mus_musculus/Gene/Summary?db=core;g=ENSMUSG00000066838","ENSMUSG00000066838")</f>
        <v>ENSMUSG00000066838</v>
      </c>
      <c r="I6288" s="7" t="str">
        <f>HYPERLINK("http://www.informatics.jax.org/marker/MGI:2385265","MGI:2385265")</f>
        <v>MGI:2385265</v>
      </c>
      <c r="J6288" s="4" t="s">
        <v>12</v>
      </c>
    </row>
    <row r="6289" spans="1:10" x14ac:dyDescent="0.25">
      <c r="A6289" s="2">
        <v>315.076099744506</v>
      </c>
      <c r="B6289" s="3">
        <v>-0.79494631106480196</v>
      </c>
      <c r="C6289" s="5">
        <v>6.0056099370996103E-16</v>
      </c>
      <c r="D6289" s="6">
        <v>7.50701242137452E-15</v>
      </c>
      <c r="E6289" s="3" t="s">
        <v>5443</v>
      </c>
      <c r="F6289" s="3" t="s">
        <v>5444</v>
      </c>
      <c r="G6289" s="3">
        <v>104348</v>
      </c>
      <c r="H6289" s="7" t="str">
        <f>HYPERLINK("http://www.ensembl.org/Mus_musculus/Gene/Summary?db=core;g=ENSMUSG00000068134","ENSMUSG00000068134")</f>
        <v>ENSMUSG00000068134</v>
      </c>
      <c r="I6289" s="7" t="str">
        <f>HYPERLINK("http://www.informatics.jax.org/marker/MGI:1345179","MGI:1345179")</f>
        <v>MGI:1345179</v>
      </c>
      <c r="J6289" s="4" t="s">
        <v>12</v>
      </c>
    </row>
    <row r="6290" spans="1:10" x14ac:dyDescent="0.25">
      <c r="A6290" s="2">
        <v>298.22887873089297</v>
      </c>
      <c r="B6290" s="3">
        <v>-0.79506643006841704</v>
      </c>
      <c r="C6290" s="5">
        <v>3.4500354855522099E-18</v>
      </c>
      <c r="D6290" s="6">
        <v>4.9353922075501602E-17</v>
      </c>
      <c r="E6290" s="3" t="s">
        <v>2105</v>
      </c>
      <c r="F6290" s="3" t="s">
        <v>2106</v>
      </c>
      <c r="G6290" s="3">
        <v>66514</v>
      </c>
      <c r="H6290" s="7" t="str">
        <f>HYPERLINK("http://www.ensembl.org/Mus_musculus/Gene/Summary?db=core;g=ENSMUSG00000024654","ENSMUSG00000024654")</f>
        <v>ENSMUSG00000024654</v>
      </c>
      <c r="I6290" s="7" t="str">
        <f>HYPERLINK("http://www.informatics.jax.org/marker/MGI:1913764","MGI:1913764")</f>
        <v>MGI:1913764</v>
      </c>
      <c r="J6290" s="4" t="s">
        <v>12</v>
      </c>
    </row>
    <row r="6291" spans="1:10" x14ac:dyDescent="0.25">
      <c r="A6291" s="2">
        <v>98.644373146874898</v>
      </c>
      <c r="B6291" s="3">
        <v>-0.79578607237349297</v>
      </c>
      <c r="C6291" s="5">
        <v>1.1553796364003901E-12</v>
      </c>
      <c r="D6291" s="6">
        <v>1.16464567883834E-11</v>
      </c>
      <c r="E6291" s="3" t="s">
        <v>2435</v>
      </c>
      <c r="F6291" s="3" t="s">
        <v>2436</v>
      </c>
      <c r="G6291" s="3">
        <v>17193</v>
      </c>
      <c r="H6291" s="7" t="str">
        <f>HYPERLINK("http://www.ensembl.org/Mus_musculus/Gene/Summary?db=core;g=ENSMUSG00000030322","ENSMUSG00000030322")</f>
        <v>ENSMUSG00000030322</v>
      </c>
      <c r="I6291" s="7" t="str">
        <f>HYPERLINK("http://www.informatics.jax.org/marker/MGI:1333850","MGI:1333850")</f>
        <v>MGI:1333850</v>
      </c>
      <c r="J6291" s="4" t="s">
        <v>12</v>
      </c>
    </row>
    <row r="6292" spans="1:10" x14ac:dyDescent="0.25">
      <c r="A6292" s="2">
        <v>1476.6161642174</v>
      </c>
      <c r="B6292" s="3">
        <v>-0.79617975144455899</v>
      </c>
      <c r="C6292" s="5">
        <v>7.7185370281980297E-40</v>
      </c>
      <c r="D6292" s="6">
        <v>2.6642109344490401E-38</v>
      </c>
      <c r="E6292" s="3" t="s">
        <v>1076</v>
      </c>
      <c r="F6292" s="3" t="s">
        <v>1077</v>
      </c>
      <c r="G6292" s="3">
        <v>105348</v>
      </c>
      <c r="H6292" s="7" t="str">
        <f>HYPERLINK("http://www.ensembl.org/Mus_musculus/Gene/Summary?db=core;g=ENSMUSG00000021556","ENSMUSG00000021556")</f>
        <v>ENSMUSG00000021556</v>
      </c>
      <c r="I6292" s="7" t="str">
        <f>HYPERLINK("http://www.informatics.jax.org/marker/MGI:1917329","MGI:1917329")</f>
        <v>MGI:1917329</v>
      </c>
      <c r="J6292" s="4" t="s">
        <v>12</v>
      </c>
    </row>
    <row r="6293" spans="1:10" x14ac:dyDescent="0.25">
      <c r="A6293" s="2">
        <v>568.56074517040201</v>
      </c>
      <c r="B6293" s="3">
        <v>-0.79633972391851804</v>
      </c>
      <c r="C6293" s="5">
        <v>8.27590709184369E-15</v>
      </c>
      <c r="D6293" s="6">
        <v>9.6191585936767406E-14</v>
      </c>
      <c r="E6293" s="3" t="s">
        <v>3161</v>
      </c>
      <c r="F6293" s="3" t="s">
        <v>3162</v>
      </c>
      <c r="G6293" s="3">
        <v>68114</v>
      </c>
      <c r="H6293" s="7" t="str">
        <f>HYPERLINK("http://www.ensembl.org/Mus_musculus/Gene/Summary?db=core;g=ENSMUSG00000020156","ENSMUSG00000020156")</f>
        <v>ENSMUSG00000020156</v>
      </c>
      <c r="I6293" s="7" t="str">
        <f>HYPERLINK("http://www.informatics.jax.org/marker/MGI:1915364","MGI:1915364")</f>
        <v>MGI:1915364</v>
      </c>
      <c r="J6293" s="4" t="s">
        <v>12</v>
      </c>
    </row>
    <row r="6294" spans="1:10" x14ac:dyDescent="0.25">
      <c r="A6294" s="2">
        <v>190.04876224826501</v>
      </c>
      <c r="B6294" s="3">
        <v>-0.79985829685250598</v>
      </c>
      <c r="C6294" s="5">
        <v>4.4822295690768798E-13</v>
      </c>
      <c r="D6294" s="6">
        <v>4.6679219369386397E-12</v>
      </c>
      <c r="E6294" s="3" t="s">
        <v>5319</v>
      </c>
      <c r="F6294" s="3" t="s">
        <v>5320</v>
      </c>
      <c r="G6294" s="3">
        <v>76491</v>
      </c>
      <c r="H6294" s="7" t="str">
        <f>HYPERLINK("http://www.ensembl.org/Mus_musculus/Gene/Summary?db=core;g=ENSMUSG00000042073","ENSMUSG00000042073")</f>
        <v>ENSMUSG00000042073</v>
      </c>
      <c r="I6294" s="7" t="str">
        <f>HYPERLINK("http://www.informatics.jax.org/marker/MGI:1923741","MGI:1923741")</f>
        <v>MGI:1923741</v>
      </c>
      <c r="J6294" s="4" t="s">
        <v>12</v>
      </c>
    </row>
    <row r="6295" spans="1:10" x14ac:dyDescent="0.25">
      <c r="A6295" s="2">
        <v>364.45754378120802</v>
      </c>
      <c r="B6295" s="3">
        <v>-0.80135897688831104</v>
      </c>
      <c r="C6295" s="5">
        <v>8.5431002310048506E-28</v>
      </c>
      <c r="D6295" s="6">
        <v>1.9269554667087099E-26</v>
      </c>
      <c r="E6295" s="3" t="s">
        <v>2830</v>
      </c>
      <c r="F6295" s="3" t="s">
        <v>2831</v>
      </c>
      <c r="G6295" s="3">
        <v>208518</v>
      </c>
      <c r="H6295" s="7" t="str">
        <f>HYPERLINK("http://www.ensembl.org/Mus_musculus/Gene/Summary?db=core;g=ENSMUSG00000041491","ENSMUSG00000041491")</f>
        <v>ENSMUSG00000041491</v>
      </c>
      <c r="I6295" s="7" t="str">
        <f>HYPERLINK("http://www.informatics.jax.org/marker/MGI:1924386","MGI:1924386")</f>
        <v>MGI:1924386</v>
      </c>
      <c r="J6295" s="4" t="s">
        <v>12</v>
      </c>
    </row>
    <row r="6296" spans="1:10" x14ac:dyDescent="0.25">
      <c r="A6296" s="2">
        <v>25.203373387957502</v>
      </c>
      <c r="B6296" s="3">
        <v>-0.80168055438817598</v>
      </c>
      <c r="C6296" s="3">
        <v>2.3097812000563499E-3</v>
      </c>
      <c r="D6296" s="4">
        <v>7.5345914392387602E-3</v>
      </c>
      <c r="E6296" s="3" t="s">
        <v>7786</v>
      </c>
      <c r="F6296" s="3" t="s">
        <v>7787</v>
      </c>
      <c r="G6296" s="3">
        <v>230751</v>
      </c>
      <c r="H6296" s="7" t="str">
        <f>HYPERLINK("http://www.ensembl.org/Mus_musculus/Gene/Summary?db=core;g=ENSMUSG00000042616","ENSMUSG00000042616")</f>
        <v>ENSMUSG00000042616</v>
      </c>
      <c r="I6296" s="7" t="str">
        <f>HYPERLINK("http://www.informatics.jax.org/marker/MGI:1916308","MGI:1916308")</f>
        <v>MGI:1916308</v>
      </c>
      <c r="J6296" s="4" t="s">
        <v>12</v>
      </c>
    </row>
    <row r="6297" spans="1:10" x14ac:dyDescent="0.25">
      <c r="A6297" s="2">
        <v>1340.7142308699099</v>
      </c>
      <c r="B6297" s="3">
        <v>-0.80428163428204702</v>
      </c>
      <c r="C6297" s="5">
        <v>3.6424545583295898E-9</v>
      </c>
      <c r="D6297" s="6">
        <v>2.6703030702154699E-8</v>
      </c>
      <c r="E6297" s="3" t="s">
        <v>3858</v>
      </c>
      <c r="F6297" s="3" t="s">
        <v>3859</v>
      </c>
      <c r="G6297" s="3">
        <v>78286</v>
      </c>
      <c r="H6297" s="7" t="str">
        <f>HYPERLINK("http://www.ensembl.org/Mus_musculus/Gene/Summary?db=core;g=ENSMUSG00000052512","ENSMUSG00000052512")</f>
        <v>ENSMUSG00000052512</v>
      </c>
      <c r="I6297" s="7" t="str">
        <f>HYPERLINK("http://www.informatics.jax.org/marker/MGI:2183691","MGI:2183691")</f>
        <v>MGI:2183691</v>
      </c>
      <c r="J6297" s="4" t="s">
        <v>12</v>
      </c>
    </row>
    <row r="6298" spans="1:10" x14ac:dyDescent="0.25">
      <c r="A6298" s="2">
        <v>293.40955193826102</v>
      </c>
      <c r="B6298" s="3">
        <v>-0.80468077479830702</v>
      </c>
      <c r="C6298" s="5">
        <v>2.1539565773368599E-13</v>
      </c>
      <c r="D6298" s="6">
        <v>2.2943225378120601E-12</v>
      </c>
      <c r="E6298" s="3" t="s">
        <v>4193</v>
      </c>
      <c r="F6298" s="3" t="s">
        <v>4194</v>
      </c>
      <c r="G6298" s="3">
        <v>14149</v>
      </c>
      <c r="H6298" s="7" t="str">
        <f>HYPERLINK("http://www.ensembl.org/Mus_musculus/Gene/Summary?db=core;g=ENSMUSG00000018861","ENSMUSG00000018861")</f>
        <v>ENSMUSG00000018861</v>
      </c>
      <c r="I6298" s="7" t="str">
        <f>HYPERLINK("http://www.informatics.jax.org/marker/MGI:104724","MGI:104724")</f>
        <v>MGI:104724</v>
      </c>
      <c r="J6298" s="4" t="s">
        <v>12</v>
      </c>
    </row>
    <row r="6299" spans="1:10" x14ac:dyDescent="0.25">
      <c r="A6299" s="2">
        <v>259.18648040725702</v>
      </c>
      <c r="B6299" s="3">
        <v>-0.80480848361982205</v>
      </c>
      <c r="C6299" s="5">
        <v>5.9238666250699901E-10</v>
      </c>
      <c r="D6299" s="6">
        <v>4.7207026341014704E-9</v>
      </c>
      <c r="E6299" s="3" t="s">
        <v>6898</v>
      </c>
      <c r="F6299" s="3" t="s">
        <v>6899</v>
      </c>
      <c r="G6299" s="3">
        <v>72140</v>
      </c>
      <c r="H6299" s="7" t="str">
        <f>HYPERLINK("http://www.ensembl.org/Mus_musculus/Gene/Summary?db=core;g=ENSMUSG00000023072","ENSMUSG00000023072")</f>
        <v>ENSMUSG00000023072</v>
      </c>
      <c r="I6299" s="7" t="str">
        <f>HYPERLINK("http://www.informatics.jax.org/marker/MGI:1919390","MGI:1919390")</f>
        <v>MGI:1919390</v>
      </c>
      <c r="J6299" s="4" t="s">
        <v>12</v>
      </c>
    </row>
    <row r="6300" spans="1:10" x14ac:dyDescent="0.25">
      <c r="A6300" s="2">
        <v>229.66072048343099</v>
      </c>
      <c r="B6300" s="3">
        <v>-0.804987800123382</v>
      </c>
      <c r="C6300" s="5">
        <v>1.11549296620854E-15</v>
      </c>
      <c r="D6300" s="6">
        <v>1.37086037148689E-14</v>
      </c>
      <c r="E6300" s="3" t="s">
        <v>2233</v>
      </c>
      <c r="F6300" s="3" t="s">
        <v>2234</v>
      </c>
      <c r="G6300" s="3">
        <v>213948</v>
      </c>
      <c r="H6300" s="7" t="str">
        <f>HYPERLINK("http://www.ensembl.org/Mus_musculus/Gene/Summary?db=core;g=ENSMUSG00000038295","ENSMUSG00000038295")</f>
        <v>ENSMUSG00000038295</v>
      </c>
      <c r="I6300" s="7" t="str">
        <f>HYPERLINK("http://www.informatics.jax.org/marker/MGI:2685420","MGI:2685420")</f>
        <v>MGI:2685420</v>
      </c>
      <c r="J6300" s="4" t="s">
        <v>12</v>
      </c>
    </row>
    <row r="6301" spans="1:10" x14ac:dyDescent="0.25">
      <c r="A6301" s="2">
        <v>36.116528492907101</v>
      </c>
      <c r="B6301" s="3">
        <v>-0.80501190524094701</v>
      </c>
      <c r="C6301" s="5">
        <v>5.1957542982761703E-5</v>
      </c>
      <c r="D6301" s="4">
        <v>2.2735323430031999E-4</v>
      </c>
      <c r="E6301" s="3" t="s">
        <v>5081</v>
      </c>
      <c r="F6301" s="3" t="s">
        <v>5082</v>
      </c>
      <c r="G6301" s="3">
        <v>232984</v>
      </c>
      <c r="H6301" s="7" t="str">
        <f>HYPERLINK("http://www.ensembl.org/Mus_musculus/Gene/Summary?db=core;g=ENSMUSG00000059479","ENSMUSG00000059479")</f>
        <v>ENSMUSG00000059479</v>
      </c>
      <c r="I6301" s="7" t="str">
        <f>HYPERLINK("http://www.informatics.jax.org/marker/MGI:2385269","MGI:2385269")</f>
        <v>MGI:2385269</v>
      </c>
      <c r="J6301" s="4" t="s">
        <v>12</v>
      </c>
    </row>
    <row r="6302" spans="1:10" x14ac:dyDescent="0.25">
      <c r="A6302" s="2">
        <v>56.042342687387098</v>
      </c>
      <c r="B6302" s="3">
        <v>-0.80507300001120496</v>
      </c>
      <c r="C6302" s="5">
        <v>1.1894734732664001E-7</v>
      </c>
      <c r="D6302" s="6">
        <v>7.3860831517138197E-7</v>
      </c>
      <c r="E6302" s="3" t="s">
        <v>5065</v>
      </c>
      <c r="F6302" s="3" t="s">
        <v>5066</v>
      </c>
      <c r="G6302" s="3">
        <v>67525</v>
      </c>
      <c r="H6302" s="7" t="str">
        <f>HYPERLINK("http://www.ensembl.org/Mus_musculus/Gene/Summary?db=core;g=ENSMUSG00000041000","ENSMUSG00000041000")</f>
        <v>ENSMUSG00000041000</v>
      </c>
      <c r="I6302" s="7" t="str">
        <f>HYPERLINK("http://www.informatics.jax.org/marker/MGI:1914775","MGI:1914775")</f>
        <v>MGI:1914775</v>
      </c>
      <c r="J6302" s="4" t="s">
        <v>12</v>
      </c>
    </row>
    <row r="6303" spans="1:10" x14ac:dyDescent="0.25">
      <c r="A6303" s="2">
        <v>651.07989010353697</v>
      </c>
      <c r="B6303" s="3">
        <v>-0.806985598036287</v>
      </c>
      <c r="C6303" s="5">
        <v>1.7483737725249701E-36</v>
      </c>
      <c r="D6303" s="6">
        <v>5.36432862024706E-35</v>
      </c>
      <c r="E6303" s="3" t="s">
        <v>1052</v>
      </c>
      <c r="F6303" s="3" t="s">
        <v>1053</v>
      </c>
      <c r="G6303" s="3">
        <v>108645</v>
      </c>
      <c r="H6303" s="7" t="str">
        <f>HYPERLINK("http://www.ensembl.org/Mus_musculus/Gene/Summary?db=core;g=ENSMUSG00000042032","ENSMUSG00000042032")</f>
        <v>ENSMUSG00000042032</v>
      </c>
      <c r="I6303" s="7" t="str">
        <f>HYPERLINK("http://www.informatics.jax.org/marker/MGI:1913667","MGI:1913667")</f>
        <v>MGI:1913667</v>
      </c>
      <c r="J6303" s="4" t="s">
        <v>12</v>
      </c>
    </row>
    <row r="6304" spans="1:10" x14ac:dyDescent="0.25">
      <c r="A6304" s="2">
        <v>356.057656938707</v>
      </c>
      <c r="B6304" s="3">
        <v>-0.80828470286607701</v>
      </c>
      <c r="C6304" s="5">
        <v>8.8678737851404697E-6</v>
      </c>
      <c r="D6304" s="6">
        <v>4.37038939248743E-5</v>
      </c>
      <c r="E6304" s="3" t="s">
        <v>9529</v>
      </c>
      <c r="F6304" s="3" t="s">
        <v>9530</v>
      </c>
      <c r="G6304" s="3">
        <v>20317</v>
      </c>
      <c r="H6304" s="7" t="str">
        <f>HYPERLINK("http://www.ensembl.org/Mus_musculus/Gene/Summary?db=core;g=ENSMUSG00000000753","ENSMUSG00000000753")</f>
        <v>ENSMUSG00000000753</v>
      </c>
      <c r="I6304" s="7" t="str">
        <f>HYPERLINK("http://www.informatics.jax.org/marker/MGI:108080","MGI:108080")</f>
        <v>MGI:108080</v>
      </c>
      <c r="J6304" s="4" t="s">
        <v>12</v>
      </c>
    </row>
    <row r="6305" spans="1:10" x14ac:dyDescent="0.25">
      <c r="A6305" s="2">
        <v>223.30488236733601</v>
      </c>
      <c r="B6305" s="3">
        <v>-0.80878769869968803</v>
      </c>
      <c r="C6305" s="5">
        <v>4.91192628766135E-17</v>
      </c>
      <c r="D6305" s="6">
        <v>6.5454735734987202E-16</v>
      </c>
      <c r="E6305" s="3" t="s">
        <v>3110</v>
      </c>
      <c r="F6305" s="3" t="s">
        <v>3111</v>
      </c>
      <c r="G6305" s="3">
        <v>73750</v>
      </c>
      <c r="H6305" s="7" t="str">
        <f>HYPERLINK("http://www.ensembl.org/Mus_musculus/Gene/Summary?db=core;g=ENSMUSG00000039137","ENSMUSG00000039137")</f>
        <v>ENSMUSG00000039137</v>
      </c>
      <c r="I6305" s="7" t="str">
        <f>HYPERLINK("http://www.informatics.jax.org/marker/MGI:2682003","MGI:2682003")</f>
        <v>MGI:2682003</v>
      </c>
      <c r="J6305" s="4" t="s">
        <v>12</v>
      </c>
    </row>
    <row r="6306" spans="1:10" x14ac:dyDescent="0.25">
      <c r="A6306" s="2">
        <v>1257.3368537470701</v>
      </c>
      <c r="B6306" s="3">
        <v>-0.80919432863971796</v>
      </c>
      <c r="C6306" s="5">
        <v>1.1876139032783499E-47</v>
      </c>
      <c r="D6306" s="6">
        <v>5.4110658468119799E-46</v>
      </c>
      <c r="E6306" s="3" t="s">
        <v>674</v>
      </c>
      <c r="F6306" s="3" t="s">
        <v>675</v>
      </c>
      <c r="G6306" s="3">
        <v>109299</v>
      </c>
      <c r="H6306" s="7" t="str">
        <f>HYPERLINK("http://www.ensembl.org/Mus_musculus/Gene/Summary?db=core;g=ENSMUSG00000087679","ENSMUSG00000087679")</f>
        <v>ENSMUSG00000087679</v>
      </c>
      <c r="I6306" s="7" t="str">
        <f>HYPERLINK("http://www.informatics.jax.org/marker/MGI:1924939","MGI:1924939")</f>
        <v>MGI:1924939</v>
      </c>
      <c r="J6306" s="4" t="s">
        <v>12</v>
      </c>
    </row>
    <row r="6307" spans="1:10" x14ac:dyDescent="0.25">
      <c r="A6307" s="2">
        <v>4.7630858614482898</v>
      </c>
      <c r="B6307" s="3">
        <v>-0.80920438907547199</v>
      </c>
      <c r="C6307" s="3">
        <v>3.69493456435811E-2</v>
      </c>
      <c r="D6307" s="4">
        <v>8.8233991660674305E-2</v>
      </c>
      <c r="E6307" s="3" t="s">
        <v>13161</v>
      </c>
      <c r="F6307" s="3" t="s">
        <v>13162</v>
      </c>
      <c r="G6307" s="3">
        <v>108075</v>
      </c>
      <c r="H6307" s="7" t="str">
        <f>HYPERLINK("http://www.ensembl.org/Mus_musculus/Gene/Summary?db=core;g=ENSMUSG00000040488","ENSMUSG00000040488")</f>
        <v>ENSMUSG00000040488</v>
      </c>
      <c r="I6307" s="7" t="str">
        <f>HYPERLINK("http://www.informatics.jax.org/marker/MGI:1321395","MGI:1321395")</f>
        <v>MGI:1321395</v>
      </c>
      <c r="J6307" s="4" t="s">
        <v>12</v>
      </c>
    </row>
    <row r="6308" spans="1:10" x14ac:dyDescent="0.25">
      <c r="A6308" s="2">
        <v>110.60170315468299</v>
      </c>
      <c r="B6308" s="3">
        <v>-0.81057665076347596</v>
      </c>
      <c r="C6308" s="5">
        <v>1.2884612863009601E-7</v>
      </c>
      <c r="D6308" s="6">
        <v>7.9681733772768604E-7</v>
      </c>
      <c r="E6308" s="3" t="s">
        <v>12845</v>
      </c>
      <c r="F6308" s="3" t="s">
        <v>12846</v>
      </c>
      <c r="G6308" s="3">
        <v>68910</v>
      </c>
      <c r="H6308" s="7" t="str">
        <f>HYPERLINK("http://www.ensembl.org/Mus_musculus/Gene/Summary?db=core;g=ENSMUSG00000068551","ENSMUSG00000068551")</f>
        <v>ENSMUSG00000068551</v>
      </c>
      <c r="I6308" s="7" t="str">
        <f>HYPERLINK("http://www.informatics.jax.org/marker/MGI:1916160","MGI:1916160")</f>
        <v>MGI:1916160</v>
      </c>
      <c r="J6308" s="4" t="s">
        <v>12</v>
      </c>
    </row>
    <row r="6309" spans="1:10" x14ac:dyDescent="0.25">
      <c r="A6309" s="2">
        <v>86.239433876054505</v>
      </c>
      <c r="B6309" s="3">
        <v>-0.81126802103016005</v>
      </c>
      <c r="C6309" s="3">
        <v>1.3151534780086199E-4</v>
      </c>
      <c r="D6309" s="4">
        <v>5.3862184576869703E-4</v>
      </c>
      <c r="E6309" s="3" t="s">
        <v>11843</v>
      </c>
      <c r="F6309" s="3" t="s">
        <v>11844</v>
      </c>
      <c r="G6309" s="3">
        <v>22635</v>
      </c>
      <c r="H6309" s="7" t="str">
        <f>HYPERLINK("http://www.ensembl.org/Mus_musculus/Gene/Summary?db=core;g=ENSMUSG00000079173","ENSMUSG00000079173")</f>
        <v>ENSMUSG00000079173</v>
      </c>
      <c r="I6309" s="7" t="str">
        <f>HYPERLINK("http://www.informatics.jax.org/marker/MGI:106656","MGI:106656")</f>
        <v>MGI:106656</v>
      </c>
      <c r="J6309" s="4" t="s">
        <v>12</v>
      </c>
    </row>
    <row r="6310" spans="1:10" x14ac:dyDescent="0.25">
      <c r="A6310" s="2">
        <v>659.83928843672402</v>
      </c>
      <c r="B6310" s="3">
        <v>-0.81264124596199205</v>
      </c>
      <c r="C6310" s="5">
        <v>1.82444015797026E-22</v>
      </c>
      <c r="D6310" s="6">
        <v>3.2439435979519899E-21</v>
      </c>
      <c r="E6310" s="3" t="s">
        <v>3122</v>
      </c>
      <c r="F6310" s="3" t="s">
        <v>3123</v>
      </c>
      <c r="G6310" s="3">
        <v>68877</v>
      </c>
      <c r="H6310" s="7" t="str">
        <f>HYPERLINK("http://www.ensembl.org/Mus_musculus/Gene/Summary?db=core;g=ENSMUSG00000022553","ENSMUSG00000022553")</f>
        <v>ENSMUSG00000022553</v>
      </c>
      <c r="I6310" s="7" t="str">
        <f>HYPERLINK("http://www.informatics.jax.org/marker/MGI:1916127","MGI:1916127")</f>
        <v>MGI:1916127</v>
      </c>
      <c r="J6310" s="4" t="s">
        <v>12</v>
      </c>
    </row>
    <row r="6311" spans="1:10" x14ac:dyDescent="0.25">
      <c r="A6311" s="2">
        <v>367.43451165048498</v>
      </c>
      <c r="B6311" s="3">
        <v>-0.813178566270778</v>
      </c>
      <c r="C6311" s="5">
        <v>8.6892394856210704E-16</v>
      </c>
      <c r="D6311" s="6">
        <v>1.07436492283205E-14</v>
      </c>
      <c r="E6311" s="3" t="s">
        <v>4587</v>
      </c>
      <c r="F6311" s="3" t="s">
        <v>4588</v>
      </c>
      <c r="G6311" s="3">
        <v>27883</v>
      </c>
      <c r="H6311" s="7" t="str">
        <f>HYPERLINK("http://www.ensembl.org/Mus_musculus/Gene/Summary?db=core;g=ENSMUSG00000013539","ENSMUSG00000013539")</f>
        <v>ENSMUSG00000013539</v>
      </c>
      <c r="I6311" s="7" t="str">
        <f>HYPERLINK("http://www.informatics.jax.org/marker/MGI:101825","MGI:101825")</f>
        <v>MGI:101825</v>
      </c>
      <c r="J6311" s="4" t="s">
        <v>12</v>
      </c>
    </row>
    <row r="6312" spans="1:10" x14ac:dyDescent="0.25">
      <c r="A6312" s="2">
        <v>377.24645619544702</v>
      </c>
      <c r="B6312" s="3">
        <v>-0.81340272096634803</v>
      </c>
      <c r="C6312" s="5">
        <v>1.7400200292689301E-27</v>
      </c>
      <c r="D6312" s="6">
        <v>3.8720225926039401E-26</v>
      </c>
      <c r="E6312" s="3" t="s">
        <v>1334</v>
      </c>
      <c r="F6312" s="3" t="s">
        <v>1335</v>
      </c>
      <c r="G6312" s="3">
        <v>18974</v>
      </c>
      <c r="H6312" s="7" t="str">
        <f>HYPERLINK("http://www.ensembl.org/Mus_musculus/Gene/Summary?db=core;g=ENSMUSG00000020974","ENSMUSG00000020974")</f>
        <v>ENSMUSG00000020974</v>
      </c>
      <c r="I6312" s="7" t="str">
        <f>HYPERLINK("http://www.informatics.jax.org/marker/MGI:1197514","MGI:1197514")</f>
        <v>MGI:1197514</v>
      </c>
      <c r="J6312" s="4" t="s">
        <v>12</v>
      </c>
    </row>
    <row r="6313" spans="1:10" x14ac:dyDescent="0.25">
      <c r="A6313" s="2">
        <v>292.25998491823702</v>
      </c>
      <c r="B6313" s="3">
        <v>-0.81344515404597395</v>
      </c>
      <c r="C6313" s="5">
        <v>2.17393866908612E-27</v>
      </c>
      <c r="D6313" s="6">
        <v>4.8258260955048199E-26</v>
      </c>
      <c r="E6313" s="3" t="s">
        <v>1895</v>
      </c>
      <c r="F6313" s="3" t="s">
        <v>1896</v>
      </c>
      <c r="G6313" s="3">
        <v>18632</v>
      </c>
      <c r="H6313" s="7" t="str">
        <f>HYPERLINK("http://www.ensembl.org/Mus_musculus/Gene/Summary?db=core;g=ENSMUSG00000028102","ENSMUSG00000028102")</f>
        <v>ENSMUSG00000028102</v>
      </c>
      <c r="I6313" s="7" t="str">
        <f>HYPERLINK("http://www.informatics.jax.org/marker/MGI:1338882","MGI:1338882")</f>
        <v>MGI:1338882</v>
      </c>
      <c r="J6313" s="4" t="s">
        <v>12</v>
      </c>
    </row>
    <row r="6314" spans="1:10" x14ac:dyDescent="0.25">
      <c r="A6314" s="2">
        <v>96.171315760833707</v>
      </c>
      <c r="B6314" s="3">
        <v>-0.813683840351204</v>
      </c>
      <c r="C6314" s="5">
        <v>9.5955161220944094E-9</v>
      </c>
      <c r="D6314" s="6">
        <v>6.6977511039896806E-8</v>
      </c>
      <c r="E6314" s="3" t="s">
        <v>8341</v>
      </c>
      <c r="F6314" s="3" t="s">
        <v>8342</v>
      </c>
      <c r="G6314" s="3">
        <v>50788</v>
      </c>
      <c r="H6314" s="7" t="str">
        <f>HYPERLINK("http://www.ensembl.org/Mus_musculus/Gene/Summary?db=core;g=ENSMUSG00000033313","ENSMUSG00000033313")</f>
        <v>ENSMUSG00000033313</v>
      </c>
      <c r="I6314" s="7" t="str">
        <f>HYPERLINK("http://www.informatics.jax.org/marker/MGI:1354697","MGI:1354697")</f>
        <v>MGI:1354697</v>
      </c>
      <c r="J6314" s="4" t="s">
        <v>12</v>
      </c>
    </row>
    <row r="6315" spans="1:10" x14ac:dyDescent="0.25">
      <c r="A6315" s="2">
        <v>970.67566937297204</v>
      </c>
      <c r="B6315" s="3">
        <v>-0.81375625871553203</v>
      </c>
      <c r="C6315" s="5">
        <v>3.3749060847108003E-14</v>
      </c>
      <c r="D6315" s="6">
        <v>3.7573404638884799E-13</v>
      </c>
      <c r="E6315" s="3" t="s">
        <v>1622</v>
      </c>
      <c r="F6315" s="3" t="s">
        <v>1623</v>
      </c>
      <c r="G6315" s="3">
        <v>108961</v>
      </c>
      <c r="H6315" s="7" t="str">
        <f>HYPERLINK("http://www.ensembl.org/Mus_musculus/Gene/Summary?db=core;g=ENSMUSG00000046179","ENSMUSG00000046179")</f>
        <v>ENSMUSG00000046179</v>
      </c>
      <c r="I6315" s="7" t="str">
        <f>HYPERLINK("http://www.informatics.jax.org/marker/MGI:1922038","MGI:1922038")</f>
        <v>MGI:1922038</v>
      </c>
      <c r="J6315" s="4" t="s">
        <v>12</v>
      </c>
    </row>
    <row r="6316" spans="1:10" x14ac:dyDescent="0.25">
      <c r="A6316" s="2">
        <v>710.42748961933</v>
      </c>
      <c r="B6316" s="3">
        <v>-0.81383474254554</v>
      </c>
      <c r="C6316" s="5">
        <v>2.94548777939311E-7</v>
      </c>
      <c r="D6316" s="6">
        <v>1.75143604500618E-6</v>
      </c>
      <c r="E6316" s="3" t="s">
        <v>6567</v>
      </c>
      <c r="F6316" s="3" t="s">
        <v>6568</v>
      </c>
      <c r="G6316" s="3">
        <v>170459</v>
      </c>
      <c r="H6316" s="7" t="str">
        <f>HYPERLINK("http://www.ensembl.org/Mus_musculus/Gene/Summary?db=core;g=ENSMUSG00000024378","ENSMUSG00000024378")</f>
        <v>ENSMUSG00000024378</v>
      </c>
      <c r="I6316" s="7" t="str">
        <f>HYPERLINK("http://www.informatics.jax.org/marker/MGI:2156764","MGI:2156764")</f>
        <v>MGI:2156764</v>
      </c>
      <c r="J6316" s="4" t="s">
        <v>12</v>
      </c>
    </row>
    <row r="6317" spans="1:10" x14ac:dyDescent="0.25">
      <c r="A6317" s="2">
        <v>33.575588409244403</v>
      </c>
      <c r="B6317" s="3">
        <v>-0.81423234727706395</v>
      </c>
      <c r="C6317" s="5">
        <v>6.3173970213689905E-5</v>
      </c>
      <c r="D6317" s="4">
        <v>2.7257235017625399E-4</v>
      </c>
      <c r="E6317" s="3" t="s">
        <v>10254</v>
      </c>
      <c r="F6317" s="3" t="s">
        <v>10255</v>
      </c>
      <c r="G6317" s="3">
        <v>100503924</v>
      </c>
      <c r="H6317" s="7" t="str">
        <f>HYPERLINK("http://www.ensembl.org/Mus_musculus/Gene/Summary?db=core;g=ENSMUSG00000089665","ENSMUSG00000089665")</f>
        <v>ENSMUSG00000089665</v>
      </c>
      <c r="I6317" s="7" t="str">
        <f>HYPERLINK("http://www.informatics.jax.org/marker/MGI:1915484","MGI:1915484")</f>
        <v>MGI:1915484</v>
      </c>
      <c r="J6317" s="4" t="s">
        <v>12</v>
      </c>
    </row>
    <row r="6318" spans="1:10" x14ac:dyDescent="0.25">
      <c r="A6318" s="2">
        <v>274.16913547018999</v>
      </c>
      <c r="B6318" s="3">
        <v>-0.81423712823260097</v>
      </c>
      <c r="C6318" s="5">
        <v>8.6751819922404596E-14</v>
      </c>
      <c r="D6318" s="6">
        <v>9.4391159288705905E-13</v>
      </c>
      <c r="E6318" s="3" t="s">
        <v>2900</v>
      </c>
      <c r="F6318" s="3" t="s">
        <v>2901</v>
      </c>
      <c r="G6318" s="3">
        <v>216011</v>
      </c>
      <c r="H6318" s="7" t="str">
        <f>HYPERLINK("http://www.ensembl.org/Mus_musculus/Gene/Summary?db=core;g=ENSMUSG00000037151","ENSMUSG00000037151")</f>
        <v>ENSMUSG00000037151</v>
      </c>
      <c r="I6318" s="7" t="str">
        <f>HYPERLINK("http://www.informatics.jax.org/marker/MGI:2387182","MGI:2387182")</f>
        <v>MGI:2387182</v>
      </c>
      <c r="J6318" s="4" t="s">
        <v>12</v>
      </c>
    </row>
    <row r="6319" spans="1:10" x14ac:dyDescent="0.25">
      <c r="A6319" s="2">
        <v>513.03102678580603</v>
      </c>
      <c r="B6319" s="3">
        <v>-0.81444030073464901</v>
      </c>
      <c r="C6319" s="5">
        <v>1.8429597805619401E-17</v>
      </c>
      <c r="D6319" s="6">
        <v>2.5159507116660102E-16</v>
      </c>
      <c r="E6319" s="3" t="s">
        <v>1192</v>
      </c>
      <c r="F6319" s="3" t="s">
        <v>1193</v>
      </c>
      <c r="G6319" s="3">
        <v>241627</v>
      </c>
      <c r="H6319" s="7" t="str">
        <f>HYPERLINK("http://www.ensembl.org/Mus_musculus/Gene/Summary?db=core;g=ENSMUSG00000027242","ENSMUSG00000027242")</f>
        <v>ENSMUSG00000027242</v>
      </c>
      <c r="I6319" s="7" t="str">
        <f>HYPERLINK("http://www.informatics.jax.org/marker/MGI:1926186","MGI:1926186")</f>
        <v>MGI:1926186</v>
      </c>
      <c r="J6319" s="4" t="s">
        <v>12</v>
      </c>
    </row>
    <row r="6320" spans="1:10" x14ac:dyDescent="0.25">
      <c r="A6320" s="2">
        <v>1484.73032258341</v>
      </c>
      <c r="B6320" s="3">
        <v>-0.81479421216100201</v>
      </c>
      <c r="C6320" s="5">
        <v>8.9795520341718492E-34</v>
      </c>
      <c r="D6320" s="6">
        <v>2.5411853388630702E-32</v>
      </c>
      <c r="E6320" s="3" t="s">
        <v>1612</v>
      </c>
      <c r="F6320" s="3" t="s">
        <v>1613</v>
      </c>
      <c r="G6320" s="3">
        <v>68703</v>
      </c>
      <c r="H6320" s="7" t="str">
        <f>HYPERLINK("http://www.ensembl.org/Mus_musculus/Gene/Summary?db=core;g=ENSMUSG00000039852","ENSMUSG00000039852")</f>
        <v>ENSMUSG00000039852</v>
      </c>
      <c r="I6320" s="7" t="str">
        <f>HYPERLINK("http://www.informatics.jax.org/marker/MGI:2683486","MGI:2683486")</f>
        <v>MGI:2683486</v>
      </c>
      <c r="J6320" s="4" t="s">
        <v>12</v>
      </c>
    </row>
    <row r="6321" spans="1:10" x14ac:dyDescent="0.25">
      <c r="A6321" s="2">
        <v>242.13325310615599</v>
      </c>
      <c r="B6321" s="3">
        <v>-0.814970635017227</v>
      </c>
      <c r="C6321" s="5">
        <v>3.4031022105759097E-24</v>
      </c>
      <c r="D6321" s="6">
        <v>6.4944018625911997E-23</v>
      </c>
      <c r="E6321" s="3" t="s">
        <v>1578</v>
      </c>
      <c r="F6321" s="3" t="s">
        <v>1579</v>
      </c>
      <c r="G6321" s="3">
        <v>11992</v>
      </c>
      <c r="H6321" s="7" t="str">
        <f>HYPERLINK("http://www.ensembl.org/Mus_musculus/Gene/Summary?db=core;g=ENSMUSG00000021460","ENSMUSG00000021460")</f>
        <v>ENSMUSG00000021460</v>
      </c>
      <c r="I6321" s="7" t="str">
        <f>HYPERLINK("http://www.informatics.jax.org/marker/MGI:1338011","MGI:1338011")</f>
        <v>MGI:1338011</v>
      </c>
      <c r="J6321" s="4" t="s">
        <v>12</v>
      </c>
    </row>
    <row r="6322" spans="1:10" x14ac:dyDescent="0.25">
      <c r="A6322" s="2">
        <v>19.9357214295045</v>
      </c>
      <c r="B6322" s="3">
        <v>-0.81537822898605194</v>
      </c>
      <c r="C6322" s="3">
        <v>7.2592533796456203E-4</v>
      </c>
      <c r="D6322" s="4">
        <v>2.61513921415381E-3</v>
      </c>
      <c r="E6322" s="3" t="s">
        <v>9085</v>
      </c>
      <c r="F6322" s="3" t="s">
        <v>9086</v>
      </c>
      <c r="G6322" s="3">
        <v>19339</v>
      </c>
      <c r="H6322" s="7" t="str">
        <f>HYPERLINK("http://www.ensembl.org/Mus_musculus/Gene/Summary?db=core;g=ENSMUSG00000031840","ENSMUSG00000031840")</f>
        <v>ENSMUSG00000031840</v>
      </c>
      <c r="I6322" s="7" t="str">
        <f>HYPERLINK("http://www.informatics.jax.org/marker/MGI:97843","MGI:97843")</f>
        <v>MGI:97843</v>
      </c>
      <c r="J6322" s="4" t="s">
        <v>12</v>
      </c>
    </row>
    <row r="6323" spans="1:10" x14ac:dyDescent="0.25">
      <c r="A6323" s="2">
        <v>3853.2638837487202</v>
      </c>
      <c r="B6323" s="3">
        <v>-0.81646514468695996</v>
      </c>
      <c r="C6323" s="5">
        <v>2.1990941590092301E-31</v>
      </c>
      <c r="D6323" s="6">
        <v>5.6929674784010198E-30</v>
      </c>
      <c r="E6323" s="3" t="s">
        <v>596</v>
      </c>
      <c r="F6323" s="3" t="s">
        <v>597</v>
      </c>
      <c r="G6323" s="3">
        <v>71085</v>
      </c>
      <c r="H6323" s="7" t="str">
        <f>HYPERLINK("http://www.ensembl.org/Mus_musculus/Gene/Summary?db=core;g=ENSMUSG00000025154","ENSMUSG00000025154")</f>
        <v>ENSMUSG00000025154</v>
      </c>
      <c r="I6323" s="7" t="str">
        <f>HYPERLINK("http://www.informatics.jax.org/marker/MGI:1918335","MGI:1918335")</f>
        <v>MGI:1918335</v>
      </c>
      <c r="J6323" s="4" t="s">
        <v>12</v>
      </c>
    </row>
    <row r="6324" spans="1:10" x14ac:dyDescent="0.25">
      <c r="A6324" s="2">
        <v>488.96089059908098</v>
      </c>
      <c r="B6324" s="3">
        <v>-0.81689302000032504</v>
      </c>
      <c r="C6324" s="5">
        <v>3.8037918766413099E-6</v>
      </c>
      <c r="D6324" s="6">
        <v>1.9705544898177301E-5</v>
      </c>
      <c r="E6324" s="3" t="s">
        <v>6127</v>
      </c>
      <c r="F6324" s="3" t="s">
        <v>6128</v>
      </c>
      <c r="G6324" s="3">
        <v>80911</v>
      </c>
      <c r="H6324" s="7" t="str">
        <f>HYPERLINK("http://www.ensembl.org/Mus_musculus/Gene/Summary?db=core;g=ENSMUSG00000029098","ENSMUSG00000029098")</f>
        <v>ENSMUSG00000029098</v>
      </c>
      <c r="I6324" s="7" t="str">
        <f>HYPERLINK("http://www.informatics.jax.org/marker/MGI:1933156","MGI:1933156")</f>
        <v>MGI:1933156</v>
      </c>
      <c r="J6324" s="4" t="s">
        <v>12</v>
      </c>
    </row>
    <row r="6325" spans="1:10" x14ac:dyDescent="0.25">
      <c r="A6325" s="2">
        <v>205.381244011739</v>
      </c>
      <c r="B6325" s="3">
        <v>-0.81736239295269697</v>
      </c>
      <c r="C6325" s="5">
        <v>7.8960960911305297E-20</v>
      </c>
      <c r="D6325" s="6">
        <v>1.2236934631025E-18</v>
      </c>
      <c r="E6325" s="3" t="s">
        <v>2315</v>
      </c>
      <c r="F6325" s="3" t="s">
        <v>2316</v>
      </c>
      <c r="G6325" s="3">
        <v>228839</v>
      </c>
      <c r="H6325" s="7" t="str">
        <f>HYPERLINK("http://www.ensembl.org/Mus_musculus/Gene/Summary?db=core;g=ENSMUSG00000062175","ENSMUSG00000062175")</f>
        <v>ENSMUSG00000062175</v>
      </c>
      <c r="I6325" s="7" t="str">
        <f>HYPERLINK("http://www.informatics.jax.org/marker/MGI:1915299","MGI:1915299")</f>
        <v>MGI:1915299</v>
      </c>
      <c r="J6325" s="4" t="s">
        <v>12</v>
      </c>
    </row>
    <row r="6326" spans="1:10" x14ac:dyDescent="0.25">
      <c r="A6326" s="2">
        <v>28.285961872446801</v>
      </c>
      <c r="B6326" s="3">
        <v>-0.81815415267657998</v>
      </c>
      <c r="C6326" s="5">
        <v>3.2096795892532102E-5</v>
      </c>
      <c r="D6326" s="4">
        <v>1.45188410310598E-4</v>
      </c>
      <c r="E6326" s="3" t="s">
        <v>13101</v>
      </c>
      <c r="F6326" s="3" t="s">
        <v>13102</v>
      </c>
      <c r="G6326" s="3">
        <v>668923</v>
      </c>
      <c r="H6326" s="7" t="str">
        <f>HYPERLINK("http://www.ensembl.org/Mus_musculus/Gene/Summary?db=core;g=ENSMUSG00000068130","ENSMUSG00000068130")</f>
        <v>ENSMUSG00000068130</v>
      </c>
      <c r="I6326" s="7" t="str">
        <f>HYPERLINK("http://www.informatics.jax.org/marker/MGI:3651999","MGI:3651999")</f>
        <v>MGI:3651999</v>
      </c>
      <c r="J6326" s="4" t="s">
        <v>12</v>
      </c>
    </row>
    <row r="6327" spans="1:10" x14ac:dyDescent="0.25">
      <c r="A6327" s="2">
        <v>113.383542649094</v>
      </c>
      <c r="B6327" s="3">
        <v>-0.81872501439757195</v>
      </c>
      <c r="C6327" s="5">
        <v>1.1275070869571899E-11</v>
      </c>
      <c r="D6327" s="6">
        <v>1.0425579228713699E-10</v>
      </c>
      <c r="E6327" s="3" t="s">
        <v>3190</v>
      </c>
      <c r="F6327" s="3" t="s">
        <v>3191</v>
      </c>
      <c r="G6327" s="3">
        <v>209032</v>
      </c>
      <c r="H6327" s="7" t="str">
        <f>HYPERLINK("http://www.ensembl.org/Mus_musculus/Gene/Summary?db=core;g=ENSMUSG00000047749","ENSMUSG00000047749")</f>
        <v>ENSMUSG00000047749</v>
      </c>
      <c r="I6327" s="7" t="str">
        <f>HYPERLINK("http://www.informatics.jax.org/marker/MGI:2443387","MGI:2443387")</f>
        <v>MGI:2443387</v>
      </c>
      <c r="J6327" s="4" t="s">
        <v>12</v>
      </c>
    </row>
    <row r="6328" spans="1:10" x14ac:dyDescent="0.25">
      <c r="A6328" s="2">
        <v>159.422380985931</v>
      </c>
      <c r="B6328" s="3">
        <v>-0.81889010791209704</v>
      </c>
      <c r="C6328" s="5">
        <v>4.7994858726682398E-14</v>
      </c>
      <c r="D6328" s="6">
        <v>5.29162916088195E-13</v>
      </c>
      <c r="E6328" s="3" t="s">
        <v>3962</v>
      </c>
      <c r="F6328" s="3" t="s">
        <v>3963</v>
      </c>
      <c r="G6328" s="3">
        <v>64384</v>
      </c>
      <c r="H6328" s="7" t="str">
        <f>HYPERLINK("http://www.ensembl.org/Mus_musculus/Gene/Summary?db=core;g=ENSMUSG00000025486","ENSMUSG00000025486")</f>
        <v>ENSMUSG00000025486</v>
      </c>
      <c r="I6328" s="7" t="str">
        <f>HYPERLINK("http://www.informatics.jax.org/marker/MGI:1927665","MGI:1927665")</f>
        <v>MGI:1927665</v>
      </c>
      <c r="J6328" s="4" t="s">
        <v>12</v>
      </c>
    </row>
    <row r="6329" spans="1:10" x14ac:dyDescent="0.25">
      <c r="A6329" s="2">
        <v>78.758217842915002</v>
      </c>
      <c r="B6329" s="3">
        <v>-0.81921613618808498</v>
      </c>
      <c r="C6329" s="5">
        <v>4.7297729525223601E-7</v>
      </c>
      <c r="D6329" s="6">
        <v>2.7339077722714902E-6</v>
      </c>
      <c r="E6329" s="3" t="s">
        <v>9599</v>
      </c>
      <c r="F6329" s="3" t="s">
        <v>9600</v>
      </c>
      <c r="G6329" s="3">
        <v>140482</v>
      </c>
      <c r="H6329" s="7" t="str">
        <f>HYPERLINK("http://www.ensembl.org/Mus_musculus/Gene/Summary?db=core;g=ENSMUSG00000047264","ENSMUSG00000047264")</f>
        <v>ENSMUSG00000047264</v>
      </c>
      <c r="I6329" s="7" t="str">
        <f>HYPERLINK("http://www.informatics.jax.org/marker/MGI:2153740","MGI:2153740")</f>
        <v>MGI:2153740</v>
      </c>
      <c r="J6329" s="4" t="s">
        <v>12</v>
      </c>
    </row>
    <row r="6330" spans="1:10" x14ac:dyDescent="0.25">
      <c r="A6330" s="2">
        <v>361.78092131641199</v>
      </c>
      <c r="B6330" s="3">
        <v>-0.81975436267000301</v>
      </c>
      <c r="C6330" s="5">
        <v>1.00860899488672E-9</v>
      </c>
      <c r="D6330" s="6">
        <v>7.8121117432258796E-9</v>
      </c>
      <c r="E6330" s="3" t="s">
        <v>3278</v>
      </c>
      <c r="F6330" s="3" t="s">
        <v>3279</v>
      </c>
      <c r="G6330" s="3">
        <v>268903</v>
      </c>
      <c r="H6330" s="7" t="str">
        <f>HYPERLINK("http://www.ensembl.org/Mus_musculus/Gene/Summary?db=core;g=ENSMUSG00000048490","ENSMUSG00000048490")</f>
        <v>ENSMUSG00000048490</v>
      </c>
      <c r="I6330" s="7" t="str">
        <f>HYPERLINK("http://www.informatics.jax.org/marker/MGI:1315213","MGI:1315213")</f>
        <v>MGI:1315213</v>
      </c>
      <c r="J6330" s="4" t="s">
        <v>12</v>
      </c>
    </row>
    <row r="6331" spans="1:10" x14ac:dyDescent="0.25">
      <c r="A6331" s="2">
        <v>859.52089712895304</v>
      </c>
      <c r="B6331" s="3">
        <v>-0.81985624572065396</v>
      </c>
      <c r="C6331" s="5">
        <v>2.1076503052286299E-23</v>
      </c>
      <c r="D6331" s="6">
        <v>3.9275998786085698E-22</v>
      </c>
      <c r="E6331" s="3" t="s">
        <v>1766</v>
      </c>
      <c r="F6331" s="3" t="s">
        <v>1767</v>
      </c>
      <c r="G6331" s="3">
        <v>17978</v>
      </c>
      <c r="H6331" s="7" t="str">
        <f>HYPERLINK("http://www.ensembl.org/Mus_musculus/Gene/Summary?db=core;g=ENSMUSG00000005886","ENSMUSG00000005886")</f>
        <v>ENSMUSG00000005886</v>
      </c>
      <c r="I6331" s="7" t="str">
        <f>HYPERLINK("http://www.informatics.jax.org/marker/MGI:1276533","MGI:1276533")</f>
        <v>MGI:1276533</v>
      </c>
      <c r="J6331" s="4" t="s">
        <v>12</v>
      </c>
    </row>
    <row r="6332" spans="1:10" x14ac:dyDescent="0.25">
      <c r="A6332" s="2">
        <v>514.11709273142606</v>
      </c>
      <c r="B6332" s="3">
        <v>-0.82248063755749601</v>
      </c>
      <c r="C6332" s="5">
        <v>4.6272380774812597E-18</v>
      </c>
      <c r="D6332" s="6">
        <v>6.56786713100436E-17</v>
      </c>
      <c r="E6332" s="3" t="s">
        <v>2227</v>
      </c>
      <c r="F6332" s="3" t="s">
        <v>2228</v>
      </c>
      <c r="G6332" s="3">
        <v>67849</v>
      </c>
      <c r="H6332" s="7" t="str">
        <f>HYPERLINK("http://www.ensembl.org/Mus_musculus/Gene/Summary?db=core;g=ENSMUSG00000024791","ENSMUSG00000024791")</f>
        <v>ENSMUSG00000024791</v>
      </c>
      <c r="I6332" s="7" t="str">
        <f>HYPERLINK("http://www.informatics.jax.org/marker/MGI:1915099","MGI:1915099")</f>
        <v>MGI:1915099</v>
      </c>
      <c r="J6332" s="4" t="s">
        <v>12</v>
      </c>
    </row>
    <row r="6333" spans="1:10" x14ac:dyDescent="0.25">
      <c r="A6333" s="2">
        <v>202.07559827978099</v>
      </c>
      <c r="B6333" s="3">
        <v>-0.82379921936462497</v>
      </c>
      <c r="C6333" s="5">
        <v>1.4069750247696199E-19</v>
      </c>
      <c r="D6333" s="6">
        <v>2.1493813769007799E-18</v>
      </c>
      <c r="E6333" s="3" t="s">
        <v>4801</v>
      </c>
      <c r="F6333" s="3" t="s">
        <v>4802</v>
      </c>
      <c r="G6333" s="3">
        <v>109135</v>
      </c>
      <c r="H6333" s="7" t="str">
        <f>HYPERLINK("http://www.ensembl.org/Mus_musculus/Gene/Summary?db=core;g=ENSMUSG00000030231","ENSMUSG00000030231")</f>
        <v>ENSMUSG00000030231</v>
      </c>
      <c r="I6333" s="7" t="str">
        <f>HYPERLINK("http://www.informatics.jax.org/marker/MGI:1923802","MGI:1923802")</f>
        <v>MGI:1923802</v>
      </c>
      <c r="J6333" s="4" t="s">
        <v>12</v>
      </c>
    </row>
    <row r="6334" spans="1:10" x14ac:dyDescent="0.25">
      <c r="A6334" s="2">
        <v>60.576813648044102</v>
      </c>
      <c r="B6334" s="3">
        <v>-0.82415620817997004</v>
      </c>
      <c r="C6334" s="5">
        <v>1.4352637096986301E-5</v>
      </c>
      <c r="D6334" s="6">
        <v>6.8493535242884299E-5</v>
      </c>
      <c r="E6334" s="3" t="s">
        <v>10886</v>
      </c>
      <c r="F6334" s="3" t="s">
        <v>10887</v>
      </c>
      <c r="G6334" s="3" t="s">
        <v>83</v>
      </c>
      <c r="H6334" s="7" t="str">
        <f>HYPERLINK("http://www.ensembl.org/Mus_musculus/Gene/Summary?db=core;g=ENSMUSG00000082286","ENSMUSG00000082286")</f>
        <v>ENSMUSG00000082286</v>
      </c>
      <c r="I6334" s="7" t="str">
        <f>HYPERLINK("http://www.informatics.jax.org/marker/MGI:3842428","MGI:3842428")</f>
        <v>MGI:3842428</v>
      </c>
      <c r="J6334" s="4" t="s">
        <v>320</v>
      </c>
    </row>
    <row r="6335" spans="1:10" x14ac:dyDescent="0.25">
      <c r="A6335" s="2">
        <v>8781.6976248435494</v>
      </c>
      <c r="B6335" s="3">
        <v>-0.82416706237665505</v>
      </c>
      <c r="C6335" s="5">
        <v>3.1612600617879302E-41</v>
      </c>
      <c r="D6335" s="6">
        <v>1.1454068514132201E-39</v>
      </c>
      <c r="E6335" s="3" t="s">
        <v>1162</v>
      </c>
      <c r="F6335" s="3" t="s">
        <v>1163</v>
      </c>
      <c r="G6335" s="3">
        <v>140570</v>
      </c>
      <c r="H6335" s="7" t="str">
        <f>HYPERLINK("http://www.ensembl.org/Mus_musculus/Gene/Summary?db=core;g=ENSMUSG00000036606","ENSMUSG00000036606")</f>
        <v>ENSMUSG00000036606</v>
      </c>
      <c r="I6335" s="7" t="str">
        <f>HYPERLINK("http://www.informatics.jax.org/marker/MGI:2154239","MGI:2154239")</f>
        <v>MGI:2154239</v>
      </c>
      <c r="J6335" s="4" t="s">
        <v>12</v>
      </c>
    </row>
    <row r="6336" spans="1:10" x14ac:dyDescent="0.25">
      <c r="A6336" s="2">
        <v>2858.4450840444101</v>
      </c>
      <c r="B6336" s="3">
        <v>-0.82473765986093195</v>
      </c>
      <c r="C6336" s="5">
        <v>3.84794772472947E-9</v>
      </c>
      <c r="D6336" s="6">
        <v>2.8175511162392399E-8</v>
      </c>
      <c r="E6336" s="3" t="s">
        <v>5965</v>
      </c>
      <c r="F6336" s="3" t="s">
        <v>5966</v>
      </c>
      <c r="G6336" s="3">
        <v>18822</v>
      </c>
      <c r="H6336" s="7" t="str">
        <f>HYPERLINK("http://www.ensembl.org/Mus_musculus/Gene/Summary?db=core;g=ENSMUSG00000019055","ENSMUSG00000019055")</f>
        <v>ENSMUSG00000019055</v>
      </c>
      <c r="I6336" s="7" t="str">
        <f>HYPERLINK("http://www.informatics.jax.org/marker/MGI:99907","MGI:99907")</f>
        <v>MGI:99907</v>
      </c>
      <c r="J6336" s="4" t="s">
        <v>12</v>
      </c>
    </row>
    <row r="6337" spans="1:10" x14ac:dyDescent="0.25">
      <c r="A6337" s="2">
        <v>2143.6951373627098</v>
      </c>
      <c r="B6337" s="3">
        <v>-0.82482066349914795</v>
      </c>
      <c r="C6337" s="5">
        <v>9.2061143033200596E-43</v>
      </c>
      <c r="D6337" s="6">
        <v>3.5396926830803401E-41</v>
      </c>
      <c r="E6337" s="3" t="s">
        <v>442</v>
      </c>
      <c r="F6337" s="3" t="s">
        <v>443</v>
      </c>
      <c r="G6337" s="3">
        <v>223753</v>
      </c>
      <c r="H6337" s="7" t="str">
        <f>HYPERLINK("http://www.ensembl.org/Mus_musculus/Gene/Summary?db=core;g=ENSMUSG00000035891","ENSMUSG00000035891")</f>
        <v>ENSMUSG00000035891</v>
      </c>
      <c r="I6337" s="7" t="str">
        <f>HYPERLINK("http://www.informatics.jax.org/marker/MGI:2386052","MGI:2386052")</f>
        <v>MGI:2386052</v>
      </c>
      <c r="J6337" s="4" t="s">
        <v>12</v>
      </c>
    </row>
    <row r="6338" spans="1:10" x14ac:dyDescent="0.25">
      <c r="A6338" s="2">
        <v>156.181081076232</v>
      </c>
      <c r="B6338" s="3">
        <v>-0.82501064127307899</v>
      </c>
      <c r="C6338" s="5">
        <v>2.9660871234058501E-7</v>
      </c>
      <c r="D6338" s="6">
        <v>1.7625346535399999E-6</v>
      </c>
      <c r="E6338" s="3" t="s">
        <v>7642</v>
      </c>
      <c r="F6338" s="3" t="s">
        <v>7643</v>
      </c>
      <c r="G6338" s="3">
        <v>72309</v>
      </c>
      <c r="H6338" s="7" t="str">
        <f>HYPERLINK("http://www.ensembl.org/Mus_musculus/Gene/Summary?db=core;g=ENSMUSG00000054871","ENSMUSG00000054871")</f>
        <v>ENSMUSG00000054871</v>
      </c>
      <c r="I6338" s="7" t="str">
        <f>HYPERLINK("http://www.informatics.jax.org/marker/MGI:1919559","MGI:1919559")</f>
        <v>MGI:1919559</v>
      </c>
      <c r="J6338" s="4" t="s">
        <v>12</v>
      </c>
    </row>
    <row r="6339" spans="1:10" x14ac:dyDescent="0.25">
      <c r="A6339" s="2">
        <v>683.71324606979499</v>
      </c>
      <c r="B6339" s="3">
        <v>-0.82584829054999698</v>
      </c>
      <c r="C6339" s="5">
        <v>1.0880439484068499E-15</v>
      </c>
      <c r="D6339" s="6">
        <v>1.33802975436672E-14</v>
      </c>
      <c r="E6339" s="3" t="s">
        <v>2593</v>
      </c>
      <c r="F6339" s="3" t="s">
        <v>2594</v>
      </c>
      <c r="G6339" s="3">
        <v>333433</v>
      </c>
      <c r="H6339" s="7" t="str">
        <f>HYPERLINK("http://www.ensembl.org/Mus_musculus/Gene/Summary?db=core;g=ENSMUSG00000050627","ENSMUSG00000050627")</f>
        <v>ENSMUSG00000050627</v>
      </c>
      <c r="I6339" s="7" t="str">
        <f>HYPERLINK("http://www.informatics.jax.org/marker/MGI:1289257","MGI:1289257")</f>
        <v>MGI:1289257</v>
      </c>
      <c r="J6339" s="4" t="s">
        <v>12</v>
      </c>
    </row>
    <row r="6340" spans="1:10" x14ac:dyDescent="0.25">
      <c r="A6340" s="2">
        <v>324.98311180640798</v>
      </c>
      <c r="B6340" s="3">
        <v>-0.82594622357569902</v>
      </c>
      <c r="C6340" s="5">
        <v>1.5939687098933502E-11</v>
      </c>
      <c r="D6340" s="6">
        <v>1.4583373362352601E-10</v>
      </c>
      <c r="E6340" s="3" t="s">
        <v>3870</v>
      </c>
      <c r="F6340" s="3" t="s">
        <v>3871</v>
      </c>
      <c r="G6340" s="3">
        <v>277973</v>
      </c>
      <c r="H6340" s="7" t="str">
        <f>HYPERLINK("http://www.ensembl.org/Mus_musculus/Gene/Summary?db=core;g=ENSMUSG00000014786","ENSMUSG00000014786")</f>
        <v>ENSMUSG00000014786</v>
      </c>
      <c r="I6340" s="7" t="str">
        <f>HYPERLINK("http://www.informatics.jax.org/marker/MGI:2685542","MGI:2685542")</f>
        <v>MGI:2685542</v>
      </c>
      <c r="J6340" s="4" t="s">
        <v>12</v>
      </c>
    </row>
    <row r="6341" spans="1:10" x14ac:dyDescent="0.25">
      <c r="A6341" s="2">
        <v>1105.6001602625399</v>
      </c>
      <c r="B6341" s="3">
        <v>-0.82606425292382202</v>
      </c>
      <c r="C6341" s="5">
        <v>4.9714544916691602E-6</v>
      </c>
      <c r="D6341" s="6">
        <v>2.54364845903061E-5</v>
      </c>
      <c r="E6341" s="3" t="s">
        <v>5877</v>
      </c>
      <c r="F6341" s="3" t="s">
        <v>5878</v>
      </c>
      <c r="G6341" s="3">
        <v>12316</v>
      </c>
      <c r="H6341" s="7" t="str">
        <f>HYPERLINK("http://www.ensembl.org/Mus_musculus/Gene/Summary?db=core;g=ENSMUSG00000033952","ENSMUSG00000033952")</f>
        <v>ENSMUSG00000033952</v>
      </c>
      <c r="I6341" s="7" t="str">
        <f>HYPERLINK("http://www.informatics.jax.org/marker/MGI:1334448","MGI:1334448")</f>
        <v>MGI:1334448</v>
      </c>
      <c r="J6341" s="4" t="s">
        <v>12</v>
      </c>
    </row>
    <row r="6342" spans="1:10" x14ac:dyDescent="0.25">
      <c r="A6342" s="2">
        <v>111.675123764209</v>
      </c>
      <c r="B6342" s="3">
        <v>-0.82691021295911304</v>
      </c>
      <c r="C6342" s="5">
        <v>3.0390363821471898E-8</v>
      </c>
      <c r="D6342" s="6">
        <v>2.01039702593947E-7</v>
      </c>
      <c r="E6342" s="3" t="s">
        <v>4639</v>
      </c>
      <c r="F6342" s="3" t="s">
        <v>4640</v>
      </c>
      <c r="G6342" s="3">
        <v>16576</v>
      </c>
      <c r="H6342" s="7" t="str">
        <f>HYPERLINK("http://www.ensembl.org/Mus_musculus/Gene/Summary?db=core;g=ENSMUSG00000050382","ENSMUSG00000050382")</f>
        <v>ENSMUSG00000050382</v>
      </c>
      <c r="I6342" s="7" t="str">
        <f>HYPERLINK("http://www.informatics.jax.org/marker/MGI:1098239","MGI:1098239")</f>
        <v>MGI:1098239</v>
      </c>
      <c r="J6342" s="4" t="s">
        <v>12</v>
      </c>
    </row>
    <row r="6343" spans="1:10" x14ac:dyDescent="0.25">
      <c r="A6343" s="2">
        <v>1149.4267930230501</v>
      </c>
      <c r="B6343" s="3">
        <v>-0.82890198149682104</v>
      </c>
      <c r="C6343" s="5">
        <v>3.5669120224297797E-27</v>
      </c>
      <c r="D6343" s="6">
        <v>7.8039581763244599E-26</v>
      </c>
      <c r="E6343" s="3" t="s">
        <v>2421</v>
      </c>
      <c r="F6343" s="3" t="s">
        <v>2422</v>
      </c>
      <c r="G6343" s="3">
        <v>668218</v>
      </c>
      <c r="H6343" s="7" t="str">
        <f>HYPERLINK("http://www.ensembl.org/Mus_musculus/Gene/Summary?db=core;g=ENSMUSG00000098112","ENSMUSG00000098112")</f>
        <v>ENSMUSG00000098112</v>
      </c>
      <c r="I6343" s="7" t="str">
        <f>HYPERLINK("http://www.informatics.jax.org/marker/MGI:3611448","MGI:3611448")</f>
        <v>MGI:3611448</v>
      </c>
      <c r="J6343" s="4" t="s">
        <v>12</v>
      </c>
    </row>
    <row r="6344" spans="1:10" x14ac:dyDescent="0.25">
      <c r="A6344" s="2">
        <v>421.32137996165699</v>
      </c>
      <c r="B6344" s="3">
        <v>-0.83010674892518099</v>
      </c>
      <c r="C6344" s="5">
        <v>2.7124463703130801E-32</v>
      </c>
      <c r="D6344" s="6">
        <v>7.2911998671026396E-31</v>
      </c>
      <c r="E6344" s="3" t="s">
        <v>1206</v>
      </c>
      <c r="F6344" s="3" t="s">
        <v>1207</v>
      </c>
      <c r="G6344" s="3">
        <v>71389</v>
      </c>
      <c r="H6344" s="7" t="str">
        <f>HYPERLINK("http://www.ensembl.org/Mus_musculus/Gene/Summary?db=core;g=ENSMUSG00000057133","ENSMUSG00000057133")</f>
        <v>ENSMUSG00000057133</v>
      </c>
      <c r="I6344" s="7" t="str">
        <f>HYPERLINK("http://www.informatics.jax.org/marker/MGI:1918639","MGI:1918639")</f>
        <v>MGI:1918639</v>
      </c>
      <c r="J6344" s="4" t="s">
        <v>12</v>
      </c>
    </row>
    <row r="6345" spans="1:10" x14ac:dyDescent="0.25">
      <c r="A6345" s="2">
        <v>144.29067902051901</v>
      </c>
      <c r="B6345" s="3">
        <v>-0.83120788979162197</v>
      </c>
      <c r="C6345" s="5">
        <v>6.1562814954160197E-12</v>
      </c>
      <c r="D6345" s="6">
        <v>5.8103692518879797E-11</v>
      </c>
      <c r="E6345" s="3" t="s">
        <v>5555</v>
      </c>
      <c r="F6345" s="3" t="s">
        <v>5556</v>
      </c>
      <c r="G6345" s="3">
        <v>74895</v>
      </c>
      <c r="H6345" s="7" t="str">
        <f>HYPERLINK("http://www.ensembl.org/Mus_musculus/Gene/Summary?db=core;g=ENSMUSG00000026578","ENSMUSG00000026578")</f>
        <v>ENSMUSG00000026578</v>
      </c>
      <c r="I6345" s="7" t="str">
        <f>HYPERLINK("http://www.informatics.jax.org/marker/MGI:1922145","MGI:1922145")</f>
        <v>MGI:1922145</v>
      </c>
      <c r="J6345" s="4" t="s">
        <v>12</v>
      </c>
    </row>
    <row r="6346" spans="1:10" x14ac:dyDescent="0.25">
      <c r="A6346" s="2">
        <v>150.35879544903099</v>
      </c>
      <c r="B6346" s="3">
        <v>-0.83126123519689099</v>
      </c>
      <c r="C6346" s="5">
        <v>6.2619981864067701E-15</v>
      </c>
      <c r="D6346" s="6">
        <v>7.3250909465509203E-14</v>
      </c>
      <c r="E6346" s="3" t="s">
        <v>3376</v>
      </c>
      <c r="F6346" s="3" t="s">
        <v>3377</v>
      </c>
      <c r="G6346" s="3">
        <v>12368</v>
      </c>
      <c r="H6346" s="7" t="str">
        <f>HYPERLINK("http://www.ensembl.org/Mus_musculus/Gene/Summary?db=core;g=ENSMUSG00000027997","ENSMUSG00000027997")</f>
        <v>ENSMUSG00000027997</v>
      </c>
      <c r="I6346" s="7" t="str">
        <f>HYPERLINK("http://www.informatics.jax.org/marker/MGI:1312921","MGI:1312921")</f>
        <v>MGI:1312921</v>
      </c>
      <c r="J6346" s="4" t="s">
        <v>12</v>
      </c>
    </row>
    <row r="6347" spans="1:10" x14ac:dyDescent="0.25">
      <c r="A6347" s="2">
        <v>1052.3423589603501</v>
      </c>
      <c r="B6347" s="3">
        <v>-0.83216835654617405</v>
      </c>
      <c r="C6347" s="5">
        <v>3.06940416577536E-27</v>
      </c>
      <c r="D6347" s="6">
        <v>6.7478758650489597E-26</v>
      </c>
      <c r="E6347" s="3" t="s">
        <v>458</v>
      </c>
      <c r="F6347" s="3" t="s">
        <v>459</v>
      </c>
      <c r="G6347" s="3">
        <v>269582</v>
      </c>
      <c r="H6347" s="7" t="str">
        <f>HYPERLINK("http://www.ensembl.org/Mus_musculus/Gene/Summary?db=core;g=ENSMUSG00000042489","ENSMUSG00000042489")</f>
        <v>ENSMUSG00000042489</v>
      </c>
      <c r="I6347" s="7" t="str">
        <f>HYPERLINK("http://www.informatics.jax.org/marker/MGI:2445153","MGI:2445153")</f>
        <v>MGI:2445153</v>
      </c>
      <c r="J6347" s="4" t="s">
        <v>12</v>
      </c>
    </row>
    <row r="6348" spans="1:10" x14ac:dyDescent="0.25">
      <c r="A6348" s="2">
        <v>442.14422419733899</v>
      </c>
      <c r="B6348" s="3">
        <v>-0.83237514231871501</v>
      </c>
      <c r="C6348" s="5">
        <v>2.33883023585734E-14</v>
      </c>
      <c r="D6348" s="6">
        <v>2.6409653685563799E-13</v>
      </c>
      <c r="E6348" s="3" t="s">
        <v>6073</v>
      </c>
      <c r="F6348" s="3" t="s">
        <v>6074</v>
      </c>
      <c r="G6348" s="3">
        <v>226594</v>
      </c>
      <c r="H6348" s="7" t="str">
        <f>HYPERLINK("http://www.ensembl.org/Mus_musculus/Gene/Summary?db=core;g=ENSMUSG00000040723","ENSMUSG00000040723")</f>
        <v>ENSMUSG00000040723</v>
      </c>
      <c r="I6348" s="7" t="str">
        <f>HYPERLINK("http://www.informatics.jax.org/marker/MGI:2676394","MGI:2676394")</f>
        <v>MGI:2676394</v>
      </c>
      <c r="J6348" s="4" t="s">
        <v>12</v>
      </c>
    </row>
    <row r="6349" spans="1:10" x14ac:dyDescent="0.25">
      <c r="A6349" s="2">
        <v>178.573669273652</v>
      </c>
      <c r="B6349" s="3">
        <v>-0.83250109713798903</v>
      </c>
      <c r="C6349" s="5">
        <v>4.3720278589089304E-9</v>
      </c>
      <c r="D6349" s="6">
        <v>3.1795773235680399E-8</v>
      </c>
      <c r="E6349" s="3" t="s">
        <v>7814</v>
      </c>
      <c r="F6349" s="3" t="s">
        <v>7815</v>
      </c>
      <c r="G6349" s="3">
        <v>75219</v>
      </c>
      <c r="H6349" s="7" t="str">
        <f>HYPERLINK("http://www.ensembl.org/Mus_musculus/Gene/Summary?db=core;g=ENSMUSG00000047205","ENSMUSG00000047205")</f>
        <v>ENSMUSG00000047205</v>
      </c>
      <c r="I6349" s="7" t="str">
        <f>HYPERLINK("http://www.informatics.jax.org/marker/MGI:1922469","MGI:1922469")</f>
        <v>MGI:1922469</v>
      </c>
      <c r="J6349" s="4" t="s">
        <v>12</v>
      </c>
    </row>
    <row r="6350" spans="1:10" x14ac:dyDescent="0.25">
      <c r="A6350" s="2">
        <v>707.24485879067197</v>
      </c>
      <c r="B6350" s="3">
        <v>-0.83323642102072404</v>
      </c>
      <c r="C6350" s="5">
        <v>1.12081228677204E-7</v>
      </c>
      <c r="D6350" s="6">
        <v>6.9716054356383499E-7</v>
      </c>
      <c r="E6350" s="3" t="s">
        <v>6267</v>
      </c>
      <c r="F6350" s="3" t="s">
        <v>6268</v>
      </c>
      <c r="G6350" s="3">
        <v>74205</v>
      </c>
      <c r="H6350" s="7" t="str">
        <f>HYPERLINK("http://www.ensembl.org/Mus_musculus/Gene/Summary?db=core;g=ENSMUSG00000032883","ENSMUSG00000032883")</f>
        <v>ENSMUSG00000032883</v>
      </c>
      <c r="I6350" s="7" t="str">
        <f>HYPERLINK("http://www.informatics.jax.org/marker/MGI:1921455","MGI:1921455")</f>
        <v>MGI:1921455</v>
      </c>
      <c r="J6350" s="4" t="s">
        <v>12</v>
      </c>
    </row>
    <row r="6351" spans="1:10" x14ac:dyDescent="0.25">
      <c r="A6351" s="2">
        <v>408.19613073869198</v>
      </c>
      <c r="B6351" s="3">
        <v>-0.83599163707023205</v>
      </c>
      <c r="C6351" s="5">
        <v>2.23113134849848E-24</v>
      </c>
      <c r="D6351" s="6">
        <v>4.3165996630981799E-23</v>
      </c>
      <c r="E6351" s="3" t="s">
        <v>2822</v>
      </c>
      <c r="F6351" s="3" t="s">
        <v>2823</v>
      </c>
      <c r="G6351" s="3">
        <v>192285</v>
      </c>
      <c r="H6351" s="7" t="str">
        <f>HYPERLINK("http://www.ensembl.org/Mus_musculus/Gene/Summary?db=core;g=ENSMUSG00000058318","ENSMUSG00000058318")</f>
        <v>ENSMUSG00000058318</v>
      </c>
      <c r="I6351" s="7" t="str">
        <f>HYPERLINK("http://www.informatics.jax.org/marker/MGI:2384756","MGI:2384756")</f>
        <v>MGI:2384756</v>
      </c>
      <c r="J6351" s="4" t="s">
        <v>12</v>
      </c>
    </row>
    <row r="6352" spans="1:10" x14ac:dyDescent="0.25">
      <c r="A6352" s="2">
        <v>11.3550610101728</v>
      </c>
      <c r="B6352" s="3">
        <v>-0.83641845849593999</v>
      </c>
      <c r="C6352" s="3">
        <v>8.4638379858510103E-3</v>
      </c>
      <c r="D6352" s="4">
        <v>2.4170079487955898E-2</v>
      </c>
      <c r="E6352" s="3" t="s">
        <v>10082</v>
      </c>
      <c r="F6352" s="3" t="s">
        <v>10083</v>
      </c>
      <c r="G6352" s="3" t="s">
        <v>83</v>
      </c>
      <c r="H6352" s="7" t="str">
        <f>HYPERLINK("http://www.ensembl.org/Mus_musculus/Gene/Summary?db=core;g=ENSMUSG00000083668","ENSMUSG00000083668")</f>
        <v>ENSMUSG00000083668</v>
      </c>
      <c r="I6352" s="7" t="str">
        <f>HYPERLINK("http://www.informatics.jax.org/marker/MGI:3647868","MGI:3647868")</f>
        <v>MGI:3647868</v>
      </c>
      <c r="J6352" s="4" t="s">
        <v>1043</v>
      </c>
    </row>
    <row r="6353" spans="1:10" x14ac:dyDescent="0.25">
      <c r="A6353" s="2">
        <v>79.653528751611702</v>
      </c>
      <c r="B6353" s="3">
        <v>-0.83728108867829798</v>
      </c>
      <c r="C6353" s="5">
        <v>4.7552410720824303E-11</v>
      </c>
      <c r="D6353" s="6">
        <v>4.1927560976633901E-10</v>
      </c>
      <c r="E6353" s="3" t="s">
        <v>4331</v>
      </c>
      <c r="F6353" s="3" t="s">
        <v>4332</v>
      </c>
      <c r="G6353" s="3">
        <v>73739</v>
      </c>
      <c r="H6353" s="7" t="str">
        <f>HYPERLINK("http://www.ensembl.org/Mus_musculus/Gene/Summary?db=core;g=ENSMUSG00000022428","ENSMUSG00000022428")</f>
        <v>ENSMUSG00000022428</v>
      </c>
      <c r="I6353" s="7" t="str">
        <f>HYPERLINK("http://www.informatics.jax.org/marker/MGI:1920989","MGI:1920989")</f>
        <v>MGI:1920989</v>
      </c>
      <c r="J6353" s="4" t="s">
        <v>12</v>
      </c>
    </row>
    <row r="6354" spans="1:10" x14ac:dyDescent="0.25">
      <c r="A6354" s="2">
        <v>24.633646253769701</v>
      </c>
      <c r="B6354" s="3">
        <v>-0.83792200956303498</v>
      </c>
      <c r="C6354" s="3">
        <v>2.2320101285816399E-4</v>
      </c>
      <c r="D6354" s="4">
        <v>8.7953263985730704E-4</v>
      </c>
      <c r="E6354" s="3" t="s">
        <v>8603</v>
      </c>
      <c r="F6354" s="3" t="s">
        <v>8604</v>
      </c>
      <c r="G6354" s="3">
        <v>630579</v>
      </c>
      <c r="H6354" s="7" t="str">
        <f>HYPERLINK("http://www.ensembl.org/Mus_musculus/Gene/Summary?db=core;g=ENSMUSG00000074867","ENSMUSG00000074867")</f>
        <v>ENSMUSG00000074867</v>
      </c>
      <c r="I6354" s="7" t="str">
        <f>HYPERLINK("http://www.informatics.jax.org/marker/MGI:3704127","MGI:3704127")</f>
        <v>MGI:3704127</v>
      </c>
      <c r="J6354" s="4" t="s">
        <v>12</v>
      </c>
    </row>
    <row r="6355" spans="1:10" x14ac:dyDescent="0.25">
      <c r="A6355" s="2">
        <v>516.56313980113202</v>
      </c>
      <c r="B6355" s="3">
        <v>-0.83853249656434503</v>
      </c>
      <c r="C6355" s="5">
        <v>1.8096700869207799E-25</v>
      </c>
      <c r="D6355" s="6">
        <v>3.6974481316290602E-24</v>
      </c>
      <c r="E6355" s="3" t="s">
        <v>2061</v>
      </c>
      <c r="F6355" s="3" t="s">
        <v>2062</v>
      </c>
      <c r="G6355" s="3">
        <v>70510</v>
      </c>
      <c r="H6355" s="7" t="str">
        <f>HYPERLINK("http://www.ensembl.org/Mus_musculus/Gene/Summary?db=core;g=ENSMUSG00000040746","ENSMUSG00000040746")</f>
        <v>ENSMUSG00000040746</v>
      </c>
      <c r="I6355" s="7" t="str">
        <f>HYPERLINK("http://www.informatics.jax.org/marker/MGI:1917760","MGI:1917760")</f>
        <v>MGI:1917760</v>
      </c>
      <c r="J6355" s="4" t="s">
        <v>12</v>
      </c>
    </row>
    <row r="6356" spans="1:10" x14ac:dyDescent="0.25">
      <c r="A6356" s="2">
        <v>116.399545402687</v>
      </c>
      <c r="B6356" s="3">
        <v>-0.83872316909565403</v>
      </c>
      <c r="C6356" s="5">
        <v>6.8774467305312398E-15</v>
      </c>
      <c r="D6356" s="6">
        <v>8.0244216814297005E-14</v>
      </c>
      <c r="E6356" s="3" t="s">
        <v>3118</v>
      </c>
      <c r="F6356" s="3" t="s">
        <v>3119</v>
      </c>
      <c r="G6356" s="3">
        <v>17245</v>
      </c>
      <c r="H6356" s="7" t="str">
        <f>HYPERLINK("http://www.ensembl.org/Mus_musculus/Gene/Summary?db=core;g=ENSMUSG00000020212","ENSMUSG00000020212")</f>
        <v>ENSMUSG00000020212</v>
      </c>
      <c r="I6356" s="7" t="str">
        <f>HYPERLINK("http://www.informatics.jax.org/marker/MGI:96951","MGI:96951")</f>
        <v>MGI:96951</v>
      </c>
      <c r="J6356" s="4" t="s">
        <v>12</v>
      </c>
    </row>
    <row r="6357" spans="1:10" x14ac:dyDescent="0.25">
      <c r="A6357" s="2">
        <v>512.23368126993398</v>
      </c>
      <c r="B6357" s="3">
        <v>-0.838867115894532</v>
      </c>
      <c r="C6357" s="5">
        <v>6.4083746968294803E-21</v>
      </c>
      <c r="D6357" s="6">
        <v>1.05029342490753E-19</v>
      </c>
      <c r="E6357" s="3" t="s">
        <v>1340</v>
      </c>
      <c r="F6357" s="3" t="s">
        <v>1341</v>
      </c>
      <c r="G6357" s="3">
        <v>77045</v>
      </c>
      <c r="H6357" s="7" t="str">
        <f>HYPERLINK("http://www.ensembl.org/Mus_musculus/Gene/Summary?db=core;g=ENSMUSG00000029438","ENSMUSG00000029438")</f>
        <v>ENSMUSG00000029438</v>
      </c>
      <c r="I6357" s="7" t="str">
        <f>HYPERLINK("http://www.informatics.jax.org/marker/MGI:1924295","MGI:1924295")</f>
        <v>MGI:1924295</v>
      </c>
      <c r="J6357" s="4" t="s">
        <v>12</v>
      </c>
    </row>
    <row r="6358" spans="1:10" x14ac:dyDescent="0.25">
      <c r="A6358" s="2">
        <v>91.085614582697701</v>
      </c>
      <c r="B6358" s="3">
        <v>-0.83899546452781704</v>
      </c>
      <c r="C6358" s="5">
        <v>4.2884441211504498E-10</v>
      </c>
      <c r="D6358" s="6">
        <v>3.4659376544553E-9</v>
      </c>
      <c r="E6358" s="3" t="s">
        <v>8405</v>
      </c>
      <c r="F6358" s="3" t="s">
        <v>8406</v>
      </c>
      <c r="G6358" s="3">
        <v>110351</v>
      </c>
      <c r="H6358" s="7" t="str">
        <f>HYPERLINK("http://www.ensembl.org/Mus_musculus/Gene/Summary?db=core;g=ENSMUSG00000041351","ENSMUSG00000041351")</f>
        <v>ENSMUSG00000041351</v>
      </c>
      <c r="I6358" s="7" t="str">
        <f>HYPERLINK("http://www.informatics.jax.org/marker/MGI:109338","MGI:109338")</f>
        <v>MGI:109338</v>
      </c>
      <c r="J6358" s="4" t="s">
        <v>12</v>
      </c>
    </row>
    <row r="6359" spans="1:10" x14ac:dyDescent="0.25">
      <c r="A6359" s="2">
        <v>73.854899214528601</v>
      </c>
      <c r="B6359" s="3">
        <v>-0.83907043195310704</v>
      </c>
      <c r="C6359" s="5">
        <v>2.8638498803131999E-6</v>
      </c>
      <c r="D6359" s="6">
        <v>1.50500761443795E-5</v>
      </c>
      <c r="E6359" s="3" t="s">
        <v>7328</v>
      </c>
      <c r="F6359" s="3" t="s">
        <v>7329</v>
      </c>
      <c r="G6359" s="3">
        <v>67884</v>
      </c>
      <c r="H6359" s="7" t="str">
        <f>HYPERLINK("http://www.ensembl.org/Mus_musculus/Gene/Summary?db=core;g=ENSMUSG00000020284","ENSMUSG00000020284")</f>
        <v>ENSMUSG00000020284</v>
      </c>
      <c r="I6359" s="7" t="str">
        <f>HYPERLINK("http://www.informatics.jax.org/marker/MGI:1915134","MGI:1915134")</f>
        <v>MGI:1915134</v>
      </c>
      <c r="J6359" s="4" t="s">
        <v>12</v>
      </c>
    </row>
    <row r="6360" spans="1:10" x14ac:dyDescent="0.25">
      <c r="A6360" s="2">
        <v>469.438614842265</v>
      </c>
      <c r="B6360" s="3">
        <v>-0.84137008573857996</v>
      </c>
      <c r="C6360" s="5">
        <v>1.1435905520226E-17</v>
      </c>
      <c r="D6360" s="6">
        <v>1.5825313447693201E-16</v>
      </c>
      <c r="E6360" s="3" t="s">
        <v>3568</v>
      </c>
      <c r="F6360" s="3" t="s">
        <v>3569</v>
      </c>
      <c r="G6360" s="3">
        <v>68718</v>
      </c>
      <c r="H6360" s="7" t="str">
        <f>HYPERLINK("http://www.ensembl.org/Mus_musculus/Gene/Summary?db=core;g=ENSMUSG00000014470","ENSMUSG00000014470")</f>
        <v>ENSMUSG00000014470</v>
      </c>
      <c r="I6360" s="7" t="str">
        <f>HYPERLINK("http://www.informatics.jax.org/marker/MGI:1915968","MGI:1915968")</f>
        <v>MGI:1915968</v>
      </c>
      <c r="J6360" s="4" t="s">
        <v>12</v>
      </c>
    </row>
    <row r="6361" spans="1:10" x14ac:dyDescent="0.25">
      <c r="A6361" s="2">
        <v>459.54765895709301</v>
      </c>
      <c r="B6361" s="3">
        <v>-0.84159818233986705</v>
      </c>
      <c r="C6361" s="5">
        <v>4.9750141222961099E-12</v>
      </c>
      <c r="D6361" s="6">
        <v>4.7421355846677101E-11</v>
      </c>
      <c r="E6361" s="3" t="s">
        <v>2708</v>
      </c>
      <c r="F6361" s="3" t="s">
        <v>2709</v>
      </c>
      <c r="G6361" s="3">
        <v>208869</v>
      </c>
      <c r="H6361" s="7" t="str">
        <f>HYPERLINK("http://www.ensembl.org/Mus_musculus/Gene/Summary?db=core;g=ENSMUSG00000039716","ENSMUSG00000039716")</f>
        <v>ENSMUSG00000039716</v>
      </c>
      <c r="I6361" s="7" t="str">
        <f>HYPERLINK("http://www.informatics.jax.org/marker/MGI:2429763","MGI:2429763")</f>
        <v>MGI:2429763</v>
      </c>
      <c r="J6361" s="4" t="s">
        <v>12</v>
      </c>
    </row>
    <row r="6362" spans="1:10" x14ac:dyDescent="0.25">
      <c r="A6362" s="2">
        <v>7.0628700756362903</v>
      </c>
      <c r="B6362" s="3">
        <v>-0.84224166670195599</v>
      </c>
      <c r="C6362" s="3">
        <v>3.3187467417840698E-2</v>
      </c>
      <c r="D6362" s="4">
        <v>8.0324248830032904E-2</v>
      </c>
      <c r="E6362" s="3" t="s">
        <v>13653</v>
      </c>
      <c r="F6362" s="3" t="s">
        <v>13654</v>
      </c>
      <c r="G6362" s="3">
        <v>70552</v>
      </c>
      <c r="H6362" s="7" t="str">
        <f>HYPERLINK("http://www.ensembl.org/Mus_musculus/Gene/Summary?db=core;g=ENSMUSG00000038637","ENSMUSG00000038637")</f>
        <v>ENSMUSG00000038637</v>
      </c>
      <c r="I6362" s="7" t="str">
        <f>HYPERLINK("http://www.informatics.jax.org/marker/MGI:1917802","MGI:1917802")</f>
        <v>MGI:1917802</v>
      </c>
      <c r="J6362" s="4" t="s">
        <v>12</v>
      </c>
    </row>
    <row r="6363" spans="1:10" x14ac:dyDescent="0.25">
      <c r="A6363" s="2">
        <v>86.565225720522605</v>
      </c>
      <c r="B6363" s="3">
        <v>-0.84249894605869602</v>
      </c>
      <c r="C6363" s="5">
        <v>8.9550855376285401E-10</v>
      </c>
      <c r="D6363" s="6">
        <v>6.9925635785467102E-9</v>
      </c>
      <c r="E6363" s="3" t="s">
        <v>4267</v>
      </c>
      <c r="F6363" s="3" t="s">
        <v>4268</v>
      </c>
      <c r="G6363" s="3">
        <v>20913</v>
      </c>
      <c r="H6363" s="7" t="str">
        <f>HYPERLINK("http://www.ensembl.org/Mus_musculus/Gene/Summary?db=core;g=ENSMUSG00000020546","ENSMUSG00000020546")</f>
        <v>ENSMUSG00000020546</v>
      </c>
      <c r="I6363" s="7" t="str">
        <f>HYPERLINK("http://www.informatics.jax.org/marker/MGI:1342296","MGI:1342296")</f>
        <v>MGI:1342296</v>
      </c>
      <c r="J6363" s="4" t="s">
        <v>12</v>
      </c>
    </row>
    <row r="6364" spans="1:10" x14ac:dyDescent="0.25">
      <c r="A6364" s="2">
        <v>265.73243579569998</v>
      </c>
      <c r="B6364" s="3">
        <v>-0.84302689367929295</v>
      </c>
      <c r="C6364" s="5">
        <v>2.8579284880388301E-21</v>
      </c>
      <c r="D6364" s="6">
        <v>4.7653931102019898E-20</v>
      </c>
      <c r="E6364" s="3" t="s">
        <v>2820</v>
      </c>
      <c r="F6364" s="3" t="s">
        <v>2821</v>
      </c>
      <c r="G6364" s="3">
        <v>68385</v>
      </c>
      <c r="H6364" s="7" t="str">
        <f>HYPERLINK("http://www.ensembl.org/Mus_musculus/Gene/Summary?db=core;g=ENSMUSG00000019437","ENSMUSG00000019437")</f>
        <v>ENSMUSG00000019437</v>
      </c>
      <c r="I6364" s="7" t="str">
        <f>HYPERLINK("http://www.informatics.jax.org/marker/MGI:1915572","MGI:1915572")</f>
        <v>MGI:1915572</v>
      </c>
      <c r="J6364" s="4" t="s">
        <v>12</v>
      </c>
    </row>
    <row r="6365" spans="1:10" x14ac:dyDescent="0.25">
      <c r="A6365" s="2">
        <v>62.905538081322199</v>
      </c>
      <c r="B6365" s="3">
        <v>-0.84367393577543104</v>
      </c>
      <c r="C6365" s="5">
        <v>9.7605700741099702E-10</v>
      </c>
      <c r="D6365" s="6">
        <v>7.5696336000278395E-9</v>
      </c>
      <c r="E6365" s="3" t="s">
        <v>7128</v>
      </c>
      <c r="F6365" s="3" t="s">
        <v>7129</v>
      </c>
      <c r="G6365" s="3">
        <v>68323</v>
      </c>
      <c r="H6365" s="7" t="str">
        <f>HYPERLINK("http://www.ensembl.org/Mus_musculus/Gene/Summary?db=core;g=ENSMUSG00000037349","ENSMUSG00000037349")</f>
        <v>ENSMUSG00000037349</v>
      </c>
      <c r="I6365" s="7" t="str">
        <f>HYPERLINK("http://www.informatics.jax.org/marker/MGI:1915573","MGI:1915573")</f>
        <v>MGI:1915573</v>
      </c>
      <c r="J6365" s="4" t="s">
        <v>12</v>
      </c>
    </row>
    <row r="6366" spans="1:10" x14ac:dyDescent="0.25">
      <c r="A6366" s="2">
        <v>57.789222529062897</v>
      </c>
      <c r="B6366" s="3">
        <v>-0.84538022279737701</v>
      </c>
      <c r="C6366" s="5">
        <v>1.51509180555031E-6</v>
      </c>
      <c r="D6366" s="6">
        <v>8.26228251231431E-6</v>
      </c>
      <c r="E6366" s="3" t="s">
        <v>7218</v>
      </c>
      <c r="F6366" s="3" t="s">
        <v>7219</v>
      </c>
      <c r="G6366" s="3">
        <v>22117</v>
      </c>
      <c r="H6366" s="7" t="str">
        <f>HYPERLINK("http://www.ensembl.org/Mus_musculus/Gene/Summary?db=core;g=ENSMUSG00000044986","ENSMUSG00000044986")</f>
        <v>ENSMUSG00000044986</v>
      </c>
      <c r="I6366" s="7" t="str">
        <f>HYPERLINK("http://www.informatics.jax.org/marker/MGI:98852","MGI:98852")</f>
        <v>MGI:98852</v>
      </c>
      <c r="J6366" s="4" t="s">
        <v>12</v>
      </c>
    </row>
    <row r="6367" spans="1:10" x14ac:dyDescent="0.25">
      <c r="A6367" s="2">
        <v>20.426273086553898</v>
      </c>
      <c r="B6367" s="3">
        <v>-0.84591355928837098</v>
      </c>
      <c r="C6367" s="3">
        <v>1.1479252287309399E-3</v>
      </c>
      <c r="D6367" s="4">
        <v>3.9955953578344802E-3</v>
      </c>
      <c r="E6367" s="3" t="s">
        <v>13097</v>
      </c>
      <c r="F6367" s="3" t="s">
        <v>13098</v>
      </c>
      <c r="G6367" s="3">
        <v>546143</v>
      </c>
      <c r="H6367" s="7" t="str">
        <f>HYPERLINK("http://www.ensembl.org/Mus_musculus/Gene/Summary?db=core;g=ENSMUSG00000086158","ENSMUSG00000086158")</f>
        <v>ENSMUSG00000086158</v>
      </c>
      <c r="I6367" s="7" t="str">
        <f>HYPERLINK("http://www.informatics.jax.org/marker/MGI:3648770","MGI:3648770")</f>
        <v>MGI:3648770</v>
      </c>
      <c r="J6367" s="4" t="s">
        <v>12</v>
      </c>
    </row>
    <row r="6368" spans="1:10" x14ac:dyDescent="0.25">
      <c r="A6368" s="2">
        <v>17.4081737015205</v>
      </c>
      <c r="B6368" s="3">
        <v>-0.84650543906750597</v>
      </c>
      <c r="C6368" s="3">
        <v>1.6762715471087401E-3</v>
      </c>
      <c r="D6368" s="4">
        <v>5.6396619800732403E-3</v>
      </c>
      <c r="E6368" s="3" t="s">
        <v>11090</v>
      </c>
      <c r="F6368" s="3" t="s">
        <v>11091</v>
      </c>
      <c r="G6368" s="3">
        <v>101604</v>
      </c>
      <c r="H6368" s="7" t="str">
        <f>HYPERLINK("http://www.ensembl.org/Mus_musculus/Gene/Summary?db=core;g=ENSMUSG00000078580","ENSMUSG00000078580")</f>
        <v>ENSMUSG00000078580</v>
      </c>
      <c r="I6368" s="7" t="str">
        <f>HYPERLINK("http://www.informatics.jax.org/marker/MGI:2141981","MGI:2141981")</f>
        <v>MGI:2141981</v>
      </c>
      <c r="J6368" s="4" t="s">
        <v>12</v>
      </c>
    </row>
    <row r="6369" spans="1:10" x14ac:dyDescent="0.25">
      <c r="A6369" s="2">
        <v>159.50945699110599</v>
      </c>
      <c r="B6369" s="3">
        <v>-0.846789343832691</v>
      </c>
      <c r="C6369" s="5">
        <v>3.6145323383152103E-17</v>
      </c>
      <c r="D6369" s="6">
        <v>4.84730330138298E-16</v>
      </c>
      <c r="E6369" s="3" t="s">
        <v>1985</v>
      </c>
      <c r="F6369" s="3" t="s">
        <v>1986</v>
      </c>
      <c r="G6369" s="3">
        <v>74335</v>
      </c>
      <c r="H6369" s="7" t="str">
        <f>HYPERLINK("http://www.ensembl.org/Mus_musculus/Gene/Summary?db=core;g=ENSMUSG00000021287","ENSMUSG00000021287")</f>
        <v>ENSMUSG00000021287</v>
      </c>
      <c r="I6369" s="7" t="str">
        <f>HYPERLINK("http://www.informatics.jax.org/marker/MGI:1921585","MGI:1921585")</f>
        <v>MGI:1921585</v>
      </c>
      <c r="J6369" s="4" t="s">
        <v>12</v>
      </c>
    </row>
    <row r="6370" spans="1:10" x14ac:dyDescent="0.25">
      <c r="A6370" s="2">
        <v>126.310199158717</v>
      </c>
      <c r="B6370" s="3">
        <v>-0.84737310250546805</v>
      </c>
      <c r="C6370" s="5">
        <v>3.76399060222764E-16</v>
      </c>
      <c r="D6370" s="6">
        <v>4.7837328260529002E-15</v>
      </c>
      <c r="E6370" s="3" t="s">
        <v>4014</v>
      </c>
      <c r="F6370" s="3" t="s">
        <v>4015</v>
      </c>
      <c r="G6370" s="3" t="s">
        <v>83</v>
      </c>
      <c r="H6370" s="7" t="str">
        <f>HYPERLINK("http://www.ensembl.org/Mus_musculus/Gene/Summary?db=core;g=ENSMUSG00000106447","ENSMUSG00000106447")</f>
        <v>ENSMUSG00000106447</v>
      </c>
      <c r="I6370" s="7" t="str">
        <f>HYPERLINK("http://www.informatics.jax.org/marker/MGI:5663094","MGI:5663094")</f>
        <v>MGI:5663094</v>
      </c>
      <c r="J6370" s="4" t="s">
        <v>12</v>
      </c>
    </row>
    <row r="6371" spans="1:10" x14ac:dyDescent="0.25">
      <c r="A6371" s="2">
        <v>164.579662528131</v>
      </c>
      <c r="B6371" s="3">
        <v>-0.84746675172112096</v>
      </c>
      <c r="C6371" s="5">
        <v>1.1613497829029001E-12</v>
      </c>
      <c r="D6371" s="6">
        <v>1.1680794587972099E-11</v>
      </c>
      <c r="E6371" s="3" t="s">
        <v>3000</v>
      </c>
      <c r="F6371" s="3" t="s">
        <v>3001</v>
      </c>
      <c r="G6371" s="3">
        <v>228730</v>
      </c>
      <c r="H6371" s="7" t="str">
        <f>HYPERLINK("http://www.ensembl.org/Mus_musculus/Gene/Summary?db=core;g=ENSMUSG00000074749","ENSMUSG00000074749")</f>
        <v>ENSMUSG00000074749</v>
      </c>
      <c r="I6371" s="7" t="str">
        <f>HYPERLINK("http://www.informatics.jax.org/marker/MGI:2684960","MGI:2684960")</f>
        <v>MGI:2684960</v>
      </c>
      <c r="J6371" s="4" t="s">
        <v>12</v>
      </c>
    </row>
    <row r="6372" spans="1:10" x14ac:dyDescent="0.25">
      <c r="A6372" s="2">
        <v>474.33376506112597</v>
      </c>
      <c r="B6372" s="3">
        <v>-0.847973833057451</v>
      </c>
      <c r="C6372" s="5">
        <v>3.5340207842461198E-10</v>
      </c>
      <c r="D6372" s="6">
        <v>2.8779056654551099E-9</v>
      </c>
      <c r="E6372" s="3" t="s">
        <v>5429</v>
      </c>
      <c r="F6372" s="3" t="s">
        <v>5430</v>
      </c>
      <c r="G6372" s="3">
        <v>330050</v>
      </c>
      <c r="H6372" s="7" t="str">
        <f>HYPERLINK("http://www.ensembl.org/Mus_musculus/Gene/Summary?db=core;g=ENSMUSG00000047221","ENSMUSG00000047221")</f>
        <v>ENSMUSG00000047221</v>
      </c>
      <c r="I6372" s="7" t="str">
        <f>HYPERLINK("http://www.informatics.jax.org/marker/MGI:2140983","MGI:2140983")</f>
        <v>MGI:2140983</v>
      </c>
      <c r="J6372" s="4" t="s">
        <v>12</v>
      </c>
    </row>
    <row r="6373" spans="1:10" x14ac:dyDescent="0.25">
      <c r="A6373" s="2">
        <v>38.151646838319401</v>
      </c>
      <c r="B6373" s="3">
        <v>-0.84822479709207899</v>
      </c>
      <c r="C6373" s="5">
        <v>8.2420061167155095E-5</v>
      </c>
      <c r="D6373" s="4">
        <v>3.4884013348151501E-4</v>
      </c>
      <c r="E6373" s="3" t="s">
        <v>12917</v>
      </c>
      <c r="F6373" s="3" t="s">
        <v>12918</v>
      </c>
      <c r="G6373" s="3" t="s">
        <v>83</v>
      </c>
      <c r="H6373" s="7" t="str">
        <f>HYPERLINK("http://www.ensembl.org/Mus_musculus/Gene/Summary?db=core;g=ENSMUSG00000099722","ENSMUSG00000099722")</f>
        <v>ENSMUSG00000099722</v>
      </c>
      <c r="I6373" s="7" t="str">
        <f>HYPERLINK("http://www.informatics.jax.org/marker/MGI:5579860","MGI:5579860")</f>
        <v>MGI:5579860</v>
      </c>
      <c r="J6373" s="4" t="s">
        <v>939</v>
      </c>
    </row>
    <row r="6374" spans="1:10" x14ac:dyDescent="0.25">
      <c r="A6374" s="2">
        <v>8.5508889674702697</v>
      </c>
      <c r="B6374" s="3">
        <v>-0.84976467013286805</v>
      </c>
      <c r="C6374" s="3">
        <v>2.37137482545552E-2</v>
      </c>
      <c r="D6374" s="4">
        <v>5.9875735929519003E-2</v>
      </c>
      <c r="E6374" s="3" t="s">
        <v>6395</v>
      </c>
      <c r="F6374" s="3" t="s">
        <v>6396</v>
      </c>
      <c r="G6374" s="3">
        <v>68507</v>
      </c>
      <c r="H6374" s="7" t="str">
        <f>HYPERLINK("http://www.ensembl.org/Mus_musculus/Gene/Summary?db=core;g=ENSMUSG00000026458","ENSMUSG00000026458")</f>
        <v>ENSMUSG00000026458</v>
      </c>
      <c r="I6374" s="7" t="str">
        <f>HYPERLINK("http://www.informatics.jax.org/marker/MGI:1915757","MGI:1915757")</f>
        <v>MGI:1915757</v>
      </c>
      <c r="J6374" s="4" t="s">
        <v>12</v>
      </c>
    </row>
    <row r="6375" spans="1:10" x14ac:dyDescent="0.25">
      <c r="A6375" s="2">
        <v>8.0513524083381398</v>
      </c>
      <c r="B6375" s="3">
        <v>-0.85164336046488098</v>
      </c>
      <c r="C6375" s="3">
        <v>1.71590955220021E-2</v>
      </c>
      <c r="D6375" s="4">
        <v>4.5197935523701202E-2</v>
      </c>
      <c r="E6375" s="3" t="s">
        <v>9395</v>
      </c>
      <c r="F6375" s="3" t="s">
        <v>9396</v>
      </c>
      <c r="G6375" s="3" t="s">
        <v>83</v>
      </c>
      <c r="H6375" s="7" t="str">
        <f>HYPERLINK("http://www.ensembl.org/Mus_musculus/Gene/Summary?db=core;g=ENSMUSG00000118330","ENSMUSG00000118330")</f>
        <v>ENSMUSG00000118330</v>
      </c>
      <c r="I6375" s="7" t="str">
        <f>HYPERLINK("http://www.informatics.jax.org/marker/MGI:5589201","MGI:5589201")</f>
        <v>MGI:5589201</v>
      </c>
      <c r="J6375" s="4" t="s">
        <v>932</v>
      </c>
    </row>
    <row r="6376" spans="1:10" x14ac:dyDescent="0.25">
      <c r="A6376" s="2">
        <v>2931.20420744797</v>
      </c>
      <c r="B6376" s="3">
        <v>-0.85239830530288296</v>
      </c>
      <c r="C6376" s="5">
        <v>1.6218155193843199E-15</v>
      </c>
      <c r="D6376" s="6">
        <v>1.9652651489879902E-14</v>
      </c>
      <c r="E6376" s="3" t="s">
        <v>5095</v>
      </c>
      <c r="F6376" s="3" t="s">
        <v>5096</v>
      </c>
      <c r="G6376" s="3">
        <v>13132</v>
      </c>
      <c r="H6376" s="7" t="str">
        <f>HYPERLINK("http://www.ensembl.org/Mus_musculus/Gene/Summary?db=core;g=ENSMUSG00000022150","ENSMUSG00000022150")</f>
        <v>ENSMUSG00000022150</v>
      </c>
      <c r="I6376" s="7" t="str">
        <f>HYPERLINK("http://www.informatics.jax.org/marker/MGI:109175","MGI:109175")</f>
        <v>MGI:109175</v>
      </c>
      <c r="J6376" s="4" t="s">
        <v>12</v>
      </c>
    </row>
    <row r="6377" spans="1:10" x14ac:dyDescent="0.25">
      <c r="A6377" s="2">
        <v>840.282419755879</v>
      </c>
      <c r="B6377" s="3">
        <v>-0.85248222173427501</v>
      </c>
      <c r="C6377" s="5">
        <v>1.2974488353401299E-46</v>
      </c>
      <c r="D6377" s="6">
        <v>5.6841358230946906E-45</v>
      </c>
      <c r="E6377" s="3" t="s">
        <v>654</v>
      </c>
      <c r="F6377" s="3" t="s">
        <v>655</v>
      </c>
      <c r="G6377" s="3">
        <v>26385</v>
      </c>
      <c r="H6377" s="7" t="str">
        <f>HYPERLINK("http://www.ensembl.org/Mus_musculus/Gene/Summary?db=core;g=ENSMUSG00000074886","ENSMUSG00000074886")</f>
        <v>ENSMUSG00000074886</v>
      </c>
      <c r="I6377" s="7" t="str">
        <f>HYPERLINK("http://www.informatics.jax.org/marker/MGI:1347078","MGI:1347078")</f>
        <v>MGI:1347078</v>
      </c>
      <c r="J6377" s="4" t="s">
        <v>12</v>
      </c>
    </row>
    <row r="6378" spans="1:10" x14ac:dyDescent="0.25">
      <c r="A6378" s="2">
        <v>93.197520906674001</v>
      </c>
      <c r="B6378" s="3">
        <v>-0.85264133565870104</v>
      </c>
      <c r="C6378" s="5">
        <v>1.5856873981400501E-12</v>
      </c>
      <c r="D6378" s="6">
        <v>1.5817817641544801E-11</v>
      </c>
      <c r="E6378" s="3" t="s">
        <v>7356</v>
      </c>
      <c r="F6378" s="3" t="s">
        <v>7357</v>
      </c>
      <c r="G6378" s="3">
        <v>51791</v>
      </c>
      <c r="H6378" s="7" t="str">
        <f>HYPERLINK("http://www.ensembl.org/Mus_musculus/Gene/Summary?db=core;g=ENSMUSG00000052087","ENSMUSG00000052087")</f>
        <v>ENSMUSG00000052087</v>
      </c>
      <c r="I6378" s="7" t="str">
        <f>HYPERLINK("http://www.informatics.jax.org/marker/MGI:1859709","MGI:1859709")</f>
        <v>MGI:1859709</v>
      </c>
      <c r="J6378" s="4" t="s">
        <v>12</v>
      </c>
    </row>
    <row r="6379" spans="1:10" x14ac:dyDescent="0.25">
      <c r="A6379" s="2">
        <v>93.894751219986702</v>
      </c>
      <c r="B6379" s="3">
        <v>-0.85335287771064305</v>
      </c>
      <c r="C6379" s="5">
        <v>3.2440493846111101E-7</v>
      </c>
      <c r="D6379" s="6">
        <v>1.9183257636125102E-6</v>
      </c>
      <c r="E6379" s="3" t="s">
        <v>6345</v>
      </c>
      <c r="F6379" s="3" t="s">
        <v>6346</v>
      </c>
      <c r="G6379" s="3">
        <v>14697</v>
      </c>
      <c r="H6379" s="7" t="str">
        <f>HYPERLINK("http://www.ensembl.org/Mus_musculus/Gene/Summary?db=core;g=ENSMUSG00000032192","ENSMUSG00000032192")</f>
        <v>ENSMUSG00000032192</v>
      </c>
      <c r="I6379" s="7" t="str">
        <f>HYPERLINK("http://www.informatics.jax.org/marker/MGI:101848","MGI:101848")</f>
        <v>MGI:101848</v>
      </c>
      <c r="J6379" s="4" t="s">
        <v>12</v>
      </c>
    </row>
    <row r="6380" spans="1:10" x14ac:dyDescent="0.25">
      <c r="A6380" s="2">
        <v>633.84837252320301</v>
      </c>
      <c r="B6380" s="3">
        <v>-0.85348435999978101</v>
      </c>
      <c r="C6380" s="5">
        <v>4.5332404432100801E-13</v>
      </c>
      <c r="D6380" s="6">
        <v>4.7183499187609199E-12</v>
      </c>
      <c r="E6380" s="3" t="s">
        <v>2533</v>
      </c>
      <c r="F6380" s="3" t="s">
        <v>2534</v>
      </c>
      <c r="G6380" s="3">
        <v>12447</v>
      </c>
      <c r="H6380" s="7" t="str">
        <f>HYPERLINK("http://www.ensembl.org/Mus_musculus/Gene/Summary?db=core;g=ENSMUSG00000002068","ENSMUSG00000002068")</f>
        <v>ENSMUSG00000002068</v>
      </c>
      <c r="I6380" s="7" t="str">
        <f>HYPERLINK("http://www.informatics.jax.org/marker/MGI:88316","MGI:88316")</f>
        <v>MGI:88316</v>
      </c>
      <c r="J6380" s="4" t="s">
        <v>12</v>
      </c>
    </row>
    <row r="6381" spans="1:10" x14ac:dyDescent="0.25">
      <c r="A6381" s="2">
        <v>425.11110441997602</v>
      </c>
      <c r="B6381" s="3">
        <v>-0.85407124209065999</v>
      </c>
      <c r="C6381" s="5">
        <v>3.2722392133080297E-8</v>
      </c>
      <c r="D6381" s="6">
        <v>2.15372190908411E-7</v>
      </c>
      <c r="E6381" s="3" t="s">
        <v>6880</v>
      </c>
      <c r="F6381" s="3" t="s">
        <v>6881</v>
      </c>
      <c r="G6381" s="3">
        <v>104156</v>
      </c>
      <c r="H6381" s="7" t="str">
        <f>HYPERLINK("http://www.ensembl.org/Mus_musculus/Gene/Summary?db=core;g=ENSMUSG00000013089","ENSMUSG00000013089")</f>
        <v>ENSMUSG00000013089</v>
      </c>
      <c r="I6381" s="7" t="str">
        <f>HYPERLINK("http://www.informatics.jax.org/marker/MGI:1096867","MGI:1096867")</f>
        <v>MGI:1096867</v>
      </c>
      <c r="J6381" s="4" t="s">
        <v>12</v>
      </c>
    </row>
    <row r="6382" spans="1:10" x14ac:dyDescent="0.25">
      <c r="A6382" s="2">
        <v>63.001327568569302</v>
      </c>
      <c r="B6382" s="3">
        <v>-0.854370727586102</v>
      </c>
      <c r="C6382" s="5">
        <v>1.14473178919082E-7</v>
      </c>
      <c r="D6382" s="6">
        <v>7.1179586687146799E-7</v>
      </c>
      <c r="E6382" s="3" t="s">
        <v>5399</v>
      </c>
      <c r="F6382" s="3" t="s">
        <v>5400</v>
      </c>
      <c r="G6382" s="3">
        <v>67856</v>
      </c>
      <c r="H6382" s="7" t="str">
        <f>HYPERLINK("http://www.ensembl.org/Mus_musculus/Gene/Summary?db=core;g=ENSMUSG00000039063","ENSMUSG00000039063")</f>
        <v>ENSMUSG00000039063</v>
      </c>
      <c r="I6382" s="7" t="str">
        <f>HYPERLINK("http://www.informatics.jax.org/marker/MGI:1915106","MGI:1915106")</f>
        <v>MGI:1915106</v>
      </c>
      <c r="J6382" s="4" t="s">
        <v>12</v>
      </c>
    </row>
    <row r="6383" spans="1:10" x14ac:dyDescent="0.25">
      <c r="A6383" s="2">
        <v>2498.4148934836398</v>
      </c>
      <c r="B6383" s="3">
        <v>-0.85468450950159303</v>
      </c>
      <c r="C6383" s="5">
        <v>9.2333021379178901E-45</v>
      </c>
      <c r="D6383" s="6">
        <v>3.8158034345477001E-43</v>
      </c>
      <c r="E6383" s="3" t="s">
        <v>680</v>
      </c>
      <c r="F6383" s="3" t="s">
        <v>681</v>
      </c>
      <c r="G6383" s="3">
        <v>106572</v>
      </c>
      <c r="H6383" s="7" t="str">
        <f>HYPERLINK("http://www.ensembl.org/Mus_musculus/Gene/Summary?db=core;g=ENSMUSG00000056515","ENSMUSG00000056515")</f>
        <v>ENSMUSG00000056515</v>
      </c>
      <c r="I6383" s="7" t="str">
        <f>HYPERLINK("http://www.informatics.jax.org/marker/MGI:1914603","MGI:1914603")</f>
        <v>MGI:1914603</v>
      </c>
      <c r="J6383" s="4" t="s">
        <v>12</v>
      </c>
    </row>
    <row r="6384" spans="1:10" x14ac:dyDescent="0.25">
      <c r="A6384" s="2">
        <v>229.39529503558501</v>
      </c>
      <c r="B6384" s="3">
        <v>-0.85509171402379502</v>
      </c>
      <c r="C6384" s="5">
        <v>3.88334156025859E-17</v>
      </c>
      <c r="D6384" s="6">
        <v>5.2001395985093903E-16</v>
      </c>
      <c r="E6384" s="3" t="s">
        <v>3016</v>
      </c>
      <c r="F6384" s="3" t="s">
        <v>3017</v>
      </c>
      <c r="G6384" s="3">
        <v>102693</v>
      </c>
      <c r="H6384" s="7" t="str">
        <f>HYPERLINK("http://www.ensembl.org/Mus_musculus/Gene/Summary?db=core;g=ENSMUSG00000048537","ENSMUSG00000048537")</f>
        <v>ENSMUSG00000048537</v>
      </c>
      <c r="I6384" s="7" t="str">
        <f>HYPERLINK("http://www.informatics.jax.org/marker/MGI:2143230","MGI:2143230")</f>
        <v>MGI:2143230</v>
      </c>
      <c r="J6384" s="4" t="s">
        <v>12</v>
      </c>
    </row>
    <row r="6385" spans="1:10" x14ac:dyDescent="0.25">
      <c r="A6385" s="2">
        <v>312.61312737362101</v>
      </c>
      <c r="B6385" s="3">
        <v>-0.85580671092965599</v>
      </c>
      <c r="C6385" s="5">
        <v>7.8471743896495903E-13</v>
      </c>
      <c r="D6385" s="6">
        <v>8.0255192621416304E-12</v>
      </c>
      <c r="E6385" s="3" t="s">
        <v>3398</v>
      </c>
      <c r="F6385" s="3" t="s">
        <v>3399</v>
      </c>
      <c r="G6385" s="3">
        <v>21685</v>
      </c>
      <c r="H6385" s="7" t="str">
        <f>HYPERLINK("http://www.ensembl.org/Mus_musculus/Gene/Summary?db=core;g=ENSMUSG00000022389","ENSMUSG00000022389")</f>
        <v>ENSMUSG00000022389</v>
      </c>
      <c r="I6385" s="7" t="str">
        <f>HYPERLINK("http://www.informatics.jax.org/marker/MGI:98663","MGI:98663")</f>
        <v>MGI:98663</v>
      </c>
      <c r="J6385" s="4" t="s">
        <v>12</v>
      </c>
    </row>
    <row r="6386" spans="1:10" x14ac:dyDescent="0.25">
      <c r="A6386" s="2">
        <v>128.960568896816</v>
      </c>
      <c r="B6386" s="3">
        <v>-0.85625691857710295</v>
      </c>
      <c r="C6386" s="5">
        <v>5.8700346568988701E-12</v>
      </c>
      <c r="D6386" s="6">
        <v>5.5603628701653797E-11</v>
      </c>
      <c r="E6386" s="3" t="s">
        <v>2591</v>
      </c>
      <c r="F6386" s="3" t="s">
        <v>2592</v>
      </c>
      <c r="G6386" s="3">
        <v>72107</v>
      </c>
      <c r="H6386" s="7" t="str">
        <f>HYPERLINK("http://www.ensembl.org/Mus_musculus/Gene/Summary?db=core;g=ENSMUSG00000022422","ENSMUSG00000022422")</f>
        <v>ENSMUSG00000022422</v>
      </c>
      <c r="I6386" s="7" t="str">
        <f>HYPERLINK("http://www.informatics.jax.org/marker/MGI:1919357","MGI:1919357")</f>
        <v>MGI:1919357</v>
      </c>
      <c r="J6386" s="4" t="s">
        <v>12</v>
      </c>
    </row>
    <row r="6387" spans="1:10" x14ac:dyDescent="0.25">
      <c r="A6387" s="2">
        <v>32.978367331220198</v>
      </c>
      <c r="B6387" s="3">
        <v>-0.85685426599178904</v>
      </c>
      <c r="C6387" s="5">
        <v>6.5156263868262397E-6</v>
      </c>
      <c r="D6387" s="6">
        <v>3.27759566381199E-5</v>
      </c>
      <c r="E6387" s="3" t="s">
        <v>9877</v>
      </c>
      <c r="F6387" s="3" t="s">
        <v>9878</v>
      </c>
      <c r="G6387" s="3" t="s">
        <v>83</v>
      </c>
      <c r="H6387" s="7" t="str">
        <f>HYPERLINK("http://www.ensembl.org/Mus_musculus/Gene/Summary?db=core;g=ENSMUSG00000085129","ENSMUSG00000085129")</f>
        <v>ENSMUSG00000085129</v>
      </c>
      <c r="I6387" s="7" t="str">
        <f>HYPERLINK("http://www.informatics.jax.org/marker/MGI:2442533","MGI:2442533")</f>
        <v>MGI:2442533</v>
      </c>
      <c r="J6387" s="4" t="s">
        <v>939</v>
      </c>
    </row>
    <row r="6388" spans="1:10" x14ac:dyDescent="0.25">
      <c r="A6388" s="2">
        <v>19.8900822908961</v>
      </c>
      <c r="B6388" s="3">
        <v>-0.85686690340885496</v>
      </c>
      <c r="C6388" s="3">
        <v>2.1733191519783399E-4</v>
      </c>
      <c r="D6388" s="4">
        <v>8.5844693421771405E-4</v>
      </c>
      <c r="E6388" s="3" t="s">
        <v>9667</v>
      </c>
      <c r="F6388" s="3" t="s">
        <v>9668</v>
      </c>
      <c r="G6388" s="3" t="s">
        <v>83</v>
      </c>
      <c r="H6388" s="7" t="str">
        <f>HYPERLINK("http://www.ensembl.org/Mus_musculus/Gene/Summary?db=core;g=ENSMUSG00000086328","ENSMUSG00000086328")</f>
        <v>ENSMUSG00000086328</v>
      </c>
      <c r="I6388" s="7" t="str">
        <f>HYPERLINK("http://www.informatics.jax.org/marker/MGI:1919853","MGI:1919853")</f>
        <v>MGI:1919853</v>
      </c>
      <c r="J6388" s="4" t="s">
        <v>939</v>
      </c>
    </row>
    <row r="6389" spans="1:10" x14ac:dyDescent="0.25">
      <c r="A6389" s="2">
        <v>519.78172190152395</v>
      </c>
      <c r="B6389" s="3">
        <v>-0.859501138392052</v>
      </c>
      <c r="C6389" s="5">
        <v>5.1653799393137802E-23</v>
      </c>
      <c r="D6389" s="6">
        <v>9.3857476963104401E-22</v>
      </c>
      <c r="E6389" s="3" t="s">
        <v>1264</v>
      </c>
      <c r="F6389" s="3" t="s">
        <v>1265</v>
      </c>
      <c r="G6389" s="3">
        <v>244668</v>
      </c>
      <c r="H6389" s="7" t="str">
        <f>HYPERLINK("http://www.ensembl.org/Mus_musculus/Gene/Summary?db=core;g=ENSMUSG00000001995","ENSMUSG00000001995")</f>
        <v>ENSMUSG00000001995</v>
      </c>
      <c r="I6389" s="7" t="str">
        <f>HYPERLINK("http://www.informatics.jax.org/marker/MGI:2676970","MGI:2676970")</f>
        <v>MGI:2676970</v>
      </c>
      <c r="J6389" s="4" t="s">
        <v>12</v>
      </c>
    </row>
    <row r="6390" spans="1:10" x14ac:dyDescent="0.25">
      <c r="A6390" s="2">
        <v>272.88032222479598</v>
      </c>
      <c r="B6390" s="3">
        <v>-0.85975415017346202</v>
      </c>
      <c r="C6390" s="5">
        <v>2.35302891821711E-13</v>
      </c>
      <c r="D6390" s="6">
        <v>2.49760932058863E-12</v>
      </c>
      <c r="E6390" s="3" t="s">
        <v>2966</v>
      </c>
      <c r="F6390" s="3" t="s">
        <v>2967</v>
      </c>
      <c r="G6390" s="3">
        <v>230872</v>
      </c>
      <c r="H6390" s="7" t="str">
        <f>HYPERLINK("http://www.ensembl.org/Mus_musculus/Gene/Summary?db=core;g=ENSMUSG00000040860","ENSMUSG00000040860")</f>
        <v>ENSMUSG00000040860</v>
      </c>
      <c r="I6390" s="7" t="str">
        <f>HYPERLINK("http://www.informatics.jax.org/marker/MGI:3529431","MGI:3529431")</f>
        <v>MGI:3529431</v>
      </c>
      <c r="J6390" s="4" t="s">
        <v>12</v>
      </c>
    </row>
    <row r="6391" spans="1:10" x14ac:dyDescent="0.25">
      <c r="A6391" s="2">
        <v>2127.4397201647798</v>
      </c>
      <c r="B6391" s="3">
        <v>-0.85999392968865995</v>
      </c>
      <c r="C6391" s="5">
        <v>9.68599485715209E-15</v>
      </c>
      <c r="D6391" s="6">
        <v>1.12294692284731E-13</v>
      </c>
      <c r="E6391" s="3" t="s">
        <v>2633</v>
      </c>
      <c r="F6391" s="3" t="s">
        <v>2634</v>
      </c>
      <c r="G6391" s="3">
        <v>68298</v>
      </c>
      <c r="H6391" s="7" t="str">
        <f>HYPERLINK("http://www.ensembl.org/Mus_musculus/Gene/Summary?db=core;g=ENSMUSG00000038252","ENSMUSG00000038252")</f>
        <v>ENSMUSG00000038252</v>
      </c>
      <c r="I6391" s="7" t="str">
        <f>HYPERLINK("http://www.informatics.jax.org/marker/MGI:1915548","MGI:1915548")</f>
        <v>MGI:1915548</v>
      </c>
      <c r="J6391" s="4" t="s">
        <v>12</v>
      </c>
    </row>
    <row r="6392" spans="1:10" x14ac:dyDescent="0.25">
      <c r="A6392" s="2">
        <v>32.2442574359061</v>
      </c>
      <c r="B6392" s="3">
        <v>-0.86221865670901399</v>
      </c>
      <c r="C6392" s="5">
        <v>6.7571012270899697E-6</v>
      </c>
      <c r="D6392" s="6">
        <v>3.3925115664935201E-5</v>
      </c>
      <c r="E6392" s="3" t="s">
        <v>8277</v>
      </c>
      <c r="F6392" s="3" t="s">
        <v>8278</v>
      </c>
      <c r="G6392" s="3" t="s">
        <v>83</v>
      </c>
      <c r="H6392" s="7" t="str">
        <f>HYPERLINK("http://www.ensembl.org/Mus_musculus/Gene/Summary?db=core;g=ENSMUSG00000086111","ENSMUSG00000086111")</f>
        <v>ENSMUSG00000086111</v>
      </c>
      <c r="I6392" s="7" t="str">
        <f>HYPERLINK("http://www.informatics.jax.org/marker/MGI:3705205","MGI:3705205")</f>
        <v>MGI:3705205</v>
      </c>
      <c r="J6392" s="4" t="s">
        <v>939</v>
      </c>
    </row>
    <row r="6393" spans="1:10" x14ac:dyDescent="0.25">
      <c r="A6393" s="2">
        <v>131.380747796077</v>
      </c>
      <c r="B6393" s="3">
        <v>-0.86262444787075798</v>
      </c>
      <c r="C6393" s="5">
        <v>3.04672271420998E-7</v>
      </c>
      <c r="D6393" s="6">
        <v>1.8069157652612101E-6</v>
      </c>
      <c r="E6393" s="3" t="s">
        <v>9865</v>
      </c>
      <c r="F6393" s="3" t="s">
        <v>9866</v>
      </c>
      <c r="G6393" s="3">
        <v>78795</v>
      </c>
      <c r="H6393" s="7" t="str">
        <f>HYPERLINK("http://www.ensembl.org/Mus_musculus/Gene/Summary?db=core;g=ENSMUSG00000062590","ENSMUSG00000062590")</f>
        <v>ENSMUSG00000062590</v>
      </c>
      <c r="I6393" s="7" t="str">
        <f>HYPERLINK("http://www.informatics.jax.org/marker/MGI:1926045","MGI:1926045")</f>
        <v>MGI:1926045</v>
      </c>
      <c r="J6393" s="4" t="s">
        <v>12</v>
      </c>
    </row>
    <row r="6394" spans="1:10" x14ac:dyDescent="0.25">
      <c r="A6394" s="2">
        <v>98.151100413312307</v>
      </c>
      <c r="B6394" s="3">
        <v>-0.86285182578457698</v>
      </c>
      <c r="C6394" s="5">
        <v>6.7654538011369701E-10</v>
      </c>
      <c r="D6394" s="6">
        <v>5.3702262859634701E-9</v>
      </c>
      <c r="E6394" s="3" t="s">
        <v>4879</v>
      </c>
      <c r="F6394" s="3" t="s">
        <v>4880</v>
      </c>
      <c r="G6394" s="3">
        <v>74470</v>
      </c>
      <c r="H6394" s="7" t="str">
        <f>HYPERLINK("http://www.ensembl.org/Mus_musculus/Gene/Summary?db=core;g=ENSMUSG00000021572","ENSMUSG00000021572")</f>
        <v>ENSMUSG00000021572</v>
      </c>
      <c r="I6394" s="7" t="str">
        <f>HYPERLINK("http://www.informatics.jax.org/marker/MGI:1921720","MGI:1921720")</f>
        <v>MGI:1921720</v>
      </c>
      <c r="J6394" s="4" t="s">
        <v>12</v>
      </c>
    </row>
    <row r="6395" spans="1:10" x14ac:dyDescent="0.25">
      <c r="A6395" s="2">
        <v>14.302121124349</v>
      </c>
      <c r="B6395" s="3">
        <v>-0.86298585120553395</v>
      </c>
      <c r="C6395" s="3">
        <v>7.2858587211510201E-3</v>
      </c>
      <c r="D6395" s="4">
        <v>2.1171041963166E-2</v>
      </c>
      <c r="E6395" s="3" t="s">
        <v>13387</v>
      </c>
      <c r="F6395" s="3" t="s">
        <v>13388</v>
      </c>
      <c r="G6395" s="3" t="s">
        <v>83</v>
      </c>
      <c r="H6395" s="7" t="str">
        <f>HYPERLINK("http://www.ensembl.org/Mus_musculus/Gene/Summary?db=core;g=ENSMUSG00000092528","ENSMUSG00000092528")</f>
        <v>ENSMUSG00000092528</v>
      </c>
      <c r="I6395" s="7" t="str">
        <f>HYPERLINK("http://www.informatics.jax.org/marker/MGI:3582962","MGI:3582962")</f>
        <v>MGI:3582962</v>
      </c>
      <c r="J6395" s="4" t="s">
        <v>320</v>
      </c>
    </row>
    <row r="6396" spans="1:10" x14ac:dyDescent="0.25">
      <c r="A6396" s="2">
        <v>25.471371070045699</v>
      </c>
      <c r="B6396" s="3">
        <v>-0.86439007545457103</v>
      </c>
      <c r="C6396" s="3">
        <v>1.21534469817266E-4</v>
      </c>
      <c r="D6396" s="4">
        <v>5.0078356600037903E-4</v>
      </c>
      <c r="E6396" s="3" t="s">
        <v>8815</v>
      </c>
      <c r="F6396" s="3" t="s">
        <v>8816</v>
      </c>
      <c r="G6396" s="3">
        <v>56219</v>
      </c>
      <c r="H6396" s="7" t="str">
        <f>HYPERLINK("http://www.ensembl.org/Mus_musculus/Gene/Summary?db=core;g=ENSMUSG00000028838","ENSMUSG00000028838")</f>
        <v>ENSMUSG00000028838</v>
      </c>
      <c r="I6396" s="7" t="str">
        <f>HYPERLINK("http://www.informatics.jax.org/marker/MGI:1888742","MGI:1888742")</f>
        <v>MGI:1888742</v>
      </c>
      <c r="J6396" s="4" t="s">
        <v>12</v>
      </c>
    </row>
    <row r="6397" spans="1:10" x14ac:dyDescent="0.25">
      <c r="A6397" s="2">
        <v>373.08908199901902</v>
      </c>
      <c r="B6397" s="3">
        <v>-0.86531377286103695</v>
      </c>
      <c r="C6397" s="5">
        <v>2.24619846217255E-10</v>
      </c>
      <c r="D6397" s="6">
        <v>1.8658599349632999E-9</v>
      </c>
      <c r="E6397" s="3" t="s">
        <v>4777</v>
      </c>
      <c r="F6397" s="3" t="s">
        <v>4778</v>
      </c>
      <c r="G6397" s="3">
        <v>83669</v>
      </c>
      <c r="H6397" s="7" t="str">
        <f>HYPERLINK("http://www.ensembl.org/Mus_musculus/Gene/Summary?db=core;g=ENSMUSG00000066357","ENSMUSG00000066357")</f>
        <v>ENSMUSG00000066357</v>
      </c>
      <c r="I6397" s="7" t="str">
        <f>HYPERLINK("http://www.informatics.jax.org/marker/MGI:1930140","MGI:1930140")</f>
        <v>MGI:1930140</v>
      </c>
      <c r="J6397" s="4" t="s">
        <v>12</v>
      </c>
    </row>
    <row r="6398" spans="1:10" x14ac:dyDescent="0.25">
      <c r="A6398" s="2">
        <v>2414.8417693134502</v>
      </c>
      <c r="B6398" s="3">
        <v>-0.86621766314969395</v>
      </c>
      <c r="C6398" s="5">
        <v>1.19086130676493E-29</v>
      </c>
      <c r="D6398" s="6">
        <v>2.8937929754387702E-28</v>
      </c>
      <c r="E6398" s="3" t="s">
        <v>1366</v>
      </c>
      <c r="F6398" s="3" t="s">
        <v>1367</v>
      </c>
      <c r="G6398" s="3">
        <v>241274</v>
      </c>
      <c r="H6398" s="7" t="str">
        <f>HYPERLINK("http://www.ensembl.org/Mus_musculus/Gene/Summary?db=core;g=ENSMUSG00000036833","ENSMUSG00000036833")</f>
        <v>ENSMUSG00000036833</v>
      </c>
      <c r="I6398" s="7" t="str">
        <f>HYPERLINK("http://www.informatics.jax.org/marker/MGI:2385325","MGI:2385325")</f>
        <v>MGI:2385325</v>
      </c>
      <c r="J6398" s="4" t="s">
        <v>12</v>
      </c>
    </row>
    <row r="6399" spans="1:10" x14ac:dyDescent="0.25">
      <c r="A6399" s="2">
        <v>569.09717056797501</v>
      </c>
      <c r="B6399" s="3">
        <v>-0.86624801333085399</v>
      </c>
      <c r="C6399" s="5">
        <v>3.1715920688636702E-20</v>
      </c>
      <c r="D6399" s="6">
        <v>5.0132060238543297E-19</v>
      </c>
      <c r="E6399" s="3" t="s">
        <v>3406</v>
      </c>
      <c r="F6399" s="3" t="s">
        <v>3407</v>
      </c>
      <c r="G6399" s="3">
        <v>224697</v>
      </c>
      <c r="H6399" s="7" t="str">
        <f>HYPERLINK("http://www.ensembl.org/Mus_musculus/Gene/Summary?db=core;g=ENSMUSG00000024299","ENSMUSG00000024299")</f>
        <v>ENSMUSG00000024299</v>
      </c>
      <c r="I6399" s="7" t="str">
        <f>HYPERLINK("http://www.informatics.jax.org/marker/MGI:2449112","MGI:2449112")</f>
        <v>MGI:2449112</v>
      </c>
      <c r="J6399" s="4" t="s">
        <v>12</v>
      </c>
    </row>
    <row r="6400" spans="1:10" x14ac:dyDescent="0.25">
      <c r="A6400" s="2">
        <v>562.28160954502096</v>
      </c>
      <c r="B6400" s="3">
        <v>-0.86678874711134801</v>
      </c>
      <c r="C6400" s="5">
        <v>2.8618957628141199E-12</v>
      </c>
      <c r="D6400" s="6">
        <v>2.77436437645146E-11</v>
      </c>
      <c r="E6400" s="3" t="s">
        <v>3770</v>
      </c>
      <c r="F6400" s="3" t="s">
        <v>3771</v>
      </c>
      <c r="G6400" s="3">
        <v>14958</v>
      </c>
      <c r="H6400" s="7" t="str">
        <f>HYPERLINK("http://www.ensembl.org/Mus_musculus/Gene/Summary?db=core;g=ENSMUSG00000096210","ENSMUSG00000096210")</f>
        <v>ENSMUSG00000096210</v>
      </c>
      <c r="I6400" s="7" t="str">
        <f>HYPERLINK("http://www.informatics.jax.org/marker/MGI:95893","MGI:95893")</f>
        <v>MGI:95893</v>
      </c>
      <c r="J6400" s="4" t="s">
        <v>12</v>
      </c>
    </row>
    <row r="6401" spans="1:10" x14ac:dyDescent="0.25">
      <c r="A6401" s="2">
        <v>339.91540366995298</v>
      </c>
      <c r="B6401" s="3">
        <v>-0.86679080256803198</v>
      </c>
      <c r="C6401" s="5">
        <v>1.5065762679990301E-15</v>
      </c>
      <c r="D6401" s="6">
        <v>1.8304901656188201E-14</v>
      </c>
      <c r="E6401" s="3" t="s">
        <v>7014</v>
      </c>
      <c r="F6401" s="3" t="s">
        <v>7015</v>
      </c>
      <c r="G6401" s="3">
        <v>193736</v>
      </c>
      <c r="H6401" s="7" t="str">
        <f>HYPERLINK("http://www.ensembl.org/Mus_musculus/Gene/Summary?db=core;g=ENSMUSG00000049823","ENSMUSG00000049823")</f>
        <v>ENSMUSG00000049823</v>
      </c>
      <c r="I6401" s="7" t="str">
        <f>HYPERLINK("http://www.informatics.jax.org/marker/MGI:88133","MGI:88133")</f>
        <v>MGI:88133</v>
      </c>
      <c r="J6401" s="4" t="s">
        <v>12</v>
      </c>
    </row>
    <row r="6402" spans="1:10" x14ac:dyDescent="0.25">
      <c r="A6402" s="2">
        <v>183.48405198094201</v>
      </c>
      <c r="B6402" s="3">
        <v>-0.86837195937659994</v>
      </c>
      <c r="C6402" s="5">
        <v>3.4069860420021199E-16</v>
      </c>
      <c r="D6402" s="6">
        <v>4.3390859968894899E-15</v>
      </c>
      <c r="E6402" s="3" t="s">
        <v>3630</v>
      </c>
      <c r="F6402" s="3" t="s">
        <v>3631</v>
      </c>
      <c r="G6402" s="3">
        <v>69260</v>
      </c>
      <c r="H6402" s="7" t="str">
        <f>HYPERLINK("http://www.ensembl.org/Mus_musculus/Gene/Summary?db=core;g=ENSMUSG00000063049","ENSMUSG00000063049")</f>
        <v>ENSMUSG00000063049</v>
      </c>
      <c r="I6402" s="7" t="str">
        <f>HYPERLINK("http://www.informatics.jax.org/marker/MGI:1916510","MGI:1916510")</f>
        <v>MGI:1916510</v>
      </c>
      <c r="J6402" s="4" t="s">
        <v>12</v>
      </c>
    </row>
    <row r="6403" spans="1:10" x14ac:dyDescent="0.25">
      <c r="A6403" s="2">
        <v>74.653801573034897</v>
      </c>
      <c r="B6403" s="3">
        <v>-0.86845320357092104</v>
      </c>
      <c r="C6403" s="5">
        <v>2.0049999725912699E-8</v>
      </c>
      <c r="D6403" s="6">
        <v>1.35437822462846E-7</v>
      </c>
      <c r="E6403" s="3" t="s">
        <v>9403</v>
      </c>
      <c r="F6403" s="3" t="s">
        <v>9404</v>
      </c>
      <c r="G6403" s="3">
        <v>117591</v>
      </c>
      <c r="H6403" s="7" t="str">
        <f>HYPERLINK("http://www.ensembl.org/Mus_musculus/Gene/Summary?db=core;g=ENSMUSG00000005107","ENSMUSG00000005107")</f>
        <v>ENSMUSG00000005107</v>
      </c>
      <c r="I6403" s="7" t="str">
        <f>HYPERLINK("http://www.informatics.jax.org/marker/MGI:2152844","MGI:2152844")</f>
        <v>MGI:2152844</v>
      </c>
      <c r="J6403" s="4" t="s">
        <v>12</v>
      </c>
    </row>
    <row r="6404" spans="1:10" x14ac:dyDescent="0.25">
      <c r="A6404" s="2">
        <v>12.672157871005201</v>
      </c>
      <c r="B6404" s="3">
        <v>-0.86879136034178295</v>
      </c>
      <c r="C6404" s="3">
        <v>2.0258415090194101E-2</v>
      </c>
      <c r="D6404" s="4">
        <v>5.2162986015652398E-2</v>
      </c>
      <c r="E6404" s="3" t="s">
        <v>10686</v>
      </c>
      <c r="F6404" s="3" t="s">
        <v>10687</v>
      </c>
      <c r="G6404" s="3">
        <v>209683</v>
      </c>
      <c r="H6404" s="7" t="str">
        <f>HYPERLINK("http://www.ensembl.org/Mus_musculus/Gene/Summary?db=core;g=ENSMUSG00000033209","ENSMUSG00000033209")</f>
        <v>ENSMUSG00000033209</v>
      </c>
      <c r="I6404" s="7" t="str">
        <f>HYPERLINK("http://www.informatics.jax.org/marker/MGI:2140873","MGI:2140873")</f>
        <v>MGI:2140873</v>
      </c>
      <c r="J6404" s="4" t="s">
        <v>12</v>
      </c>
    </row>
    <row r="6405" spans="1:10" x14ac:dyDescent="0.25">
      <c r="A6405" s="2">
        <v>29.059187053696199</v>
      </c>
      <c r="B6405" s="3">
        <v>-0.86997625620840602</v>
      </c>
      <c r="C6405" s="3">
        <v>1.78081995595774E-4</v>
      </c>
      <c r="D6405" s="4">
        <v>7.1326874794406397E-4</v>
      </c>
      <c r="E6405" s="3" t="s">
        <v>9964</v>
      </c>
      <c r="F6405" s="3" t="s">
        <v>9965</v>
      </c>
      <c r="G6405" s="3">
        <v>70266</v>
      </c>
      <c r="H6405" s="7" t="str">
        <f>HYPERLINK("http://www.ensembl.org/Mus_musculus/Gene/Summary?db=core;g=ENSMUSG00000039648","ENSMUSG00000039648")</f>
        <v>ENSMUSG00000039648</v>
      </c>
      <c r="I6405" s="7" t="str">
        <f>HYPERLINK("http://www.informatics.jax.org/marker/MGI:1917516","MGI:1917516")</f>
        <v>MGI:1917516</v>
      </c>
      <c r="J6405" s="4" t="s">
        <v>12</v>
      </c>
    </row>
    <row r="6406" spans="1:10" x14ac:dyDescent="0.25">
      <c r="A6406" s="2">
        <v>1643.81077430601</v>
      </c>
      <c r="B6406" s="3">
        <v>-0.87049167533126504</v>
      </c>
      <c r="C6406" s="5">
        <v>5.4184266068369202E-27</v>
      </c>
      <c r="D6406" s="6">
        <v>1.17560505844765E-25</v>
      </c>
      <c r="E6406" s="3" t="s">
        <v>3130</v>
      </c>
      <c r="F6406" s="3" t="s">
        <v>3131</v>
      </c>
      <c r="G6406" s="3">
        <v>226089</v>
      </c>
      <c r="H6406" s="7" t="str">
        <f>HYPERLINK("http://www.ensembl.org/Mus_musculus/Gene/Summary?db=core;g=ENSMUSG00000038658","ENSMUSG00000038658")</f>
        <v>ENSMUSG00000038658</v>
      </c>
      <c r="I6406" s="7" t="str">
        <f>HYPERLINK("http://www.informatics.jax.org/marker/MGI:1924893","MGI:1924893")</f>
        <v>MGI:1924893</v>
      </c>
      <c r="J6406" s="4" t="s">
        <v>12</v>
      </c>
    </row>
    <row r="6407" spans="1:10" x14ac:dyDescent="0.25">
      <c r="A6407" s="2">
        <v>36.523867835167202</v>
      </c>
      <c r="B6407" s="3">
        <v>-0.87199769148957595</v>
      </c>
      <c r="C6407" s="5">
        <v>3.1368718187015602E-6</v>
      </c>
      <c r="D6407" s="6">
        <v>1.6418578086110202E-5</v>
      </c>
      <c r="E6407" s="3" t="s">
        <v>6289</v>
      </c>
      <c r="F6407" s="3" t="s">
        <v>6290</v>
      </c>
      <c r="G6407" s="3">
        <v>212706</v>
      </c>
      <c r="H6407" s="7" t="str">
        <f>HYPERLINK("http://www.ensembl.org/Mus_musculus/Gene/Summary?db=core;g=ENSMUSG00000001053","ENSMUSG00000001053")</f>
        <v>ENSMUSG00000001053</v>
      </c>
      <c r="I6407" s="7" t="str">
        <f>HYPERLINK("http://www.informatics.jax.org/marker/MGI:2442218","MGI:2442218")</f>
        <v>MGI:2442218</v>
      </c>
      <c r="J6407" s="4" t="s">
        <v>12</v>
      </c>
    </row>
    <row r="6408" spans="1:10" x14ac:dyDescent="0.25">
      <c r="A6408" s="2">
        <v>15.3939301758673</v>
      </c>
      <c r="B6408" s="3">
        <v>-0.872189994085943</v>
      </c>
      <c r="C6408" s="3">
        <v>8.020303791125E-3</v>
      </c>
      <c r="D6408" s="4">
        <v>2.3015278947134801E-2</v>
      </c>
      <c r="E6408" s="3" t="s">
        <v>8197</v>
      </c>
      <c r="F6408" s="3" t="s">
        <v>8198</v>
      </c>
      <c r="G6408" s="3">
        <v>234515</v>
      </c>
      <c r="H6408" s="7" t="str">
        <f>HYPERLINK("http://www.ensembl.org/Mus_musculus/Gene/Summary?db=core;g=ENSMUSG00000037940","ENSMUSG00000037940")</f>
        <v>ENSMUSG00000037940</v>
      </c>
      <c r="I6408" s="7" t="str">
        <f>HYPERLINK("http://www.informatics.jax.org/marker/MGI:2158925","MGI:2158925")</f>
        <v>MGI:2158925</v>
      </c>
      <c r="J6408" s="4" t="s">
        <v>12</v>
      </c>
    </row>
    <row r="6409" spans="1:10" x14ac:dyDescent="0.25">
      <c r="A6409" s="2">
        <v>16.259166235566202</v>
      </c>
      <c r="B6409" s="3">
        <v>-0.87223795619186295</v>
      </c>
      <c r="C6409" s="3">
        <v>3.16172924900964E-3</v>
      </c>
      <c r="D6409" s="4">
        <v>9.9641216605914906E-3</v>
      </c>
      <c r="E6409" s="3" t="s">
        <v>11497</v>
      </c>
      <c r="F6409" s="3" t="s">
        <v>11498</v>
      </c>
      <c r="G6409" s="3">
        <v>66985</v>
      </c>
      <c r="H6409" s="7" t="str">
        <f>HYPERLINK("http://www.ensembl.org/Mus_musculus/Gene/Summary?db=core;g=ENSMUSG00000038618","ENSMUSG00000038618")</f>
        <v>ENSMUSG00000038618</v>
      </c>
      <c r="I6409" s="7" t="str">
        <f>HYPERLINK("http://www.informatics.jax.org/marker/MGI:1914235","MGI:1914235")</f>
        <v>MGI:1914235</v>
      </c>
      <c r="J6409" s="4" t="s">
        <v>12</v>
      </c>
    </row>
    <row r="6410" spans="1:10" x14ac:dyDescent="0.25">
      <c r="A6410" s="2">
        <v>51.061339477148998</v>
      </c>
      <c r="B6410" s="3">
        <v>-0.87230270087972095</v>
      </c>
      <c r="C6410" s="5">
        <v>3.51597939785319E-6</v>
      </c>
      <c r="D6410" s="6">
        <v>1.8308207007392701E-5</v>
      </c>
      <c r="E6410" s="3" t="s">
        <v>6804</v>
      </c>
      <c r="F6410" s="3" t="s">
        <v>6805</v>
      </c>
      <c r="G6410" s="3">
        <v>224813</v>
      </c>
      <c r="H6410" s="7" t="str">
        <f>HYPERLINK("http://www.ensembl.org/Mus_musculus/Gene/Summary?db=core;g=ENSMUSG00000071073","ENSMUSG00000071073")</f>
        <v>ENSMUSG00000071073</v>
      </c>
      <c r="I6410" s="7" t="str">
        <f>HYPERLINK("http://www.informatics.jax.org/marker/MGI:2684934","MGI:2684934")</f>
        <v>MGI:2684934</v>
      </c>
      <c r="J6410" s="4" t="s">
        <v>12</v>
      </c>
    </row>
    <row r="6411" spans="1:10" x14ac:dyDescent="0.25">
      <c r="A6411" s="2">
        <v>924.80915258285802</v>
      </c>
      <c r="B6411" s="3">
        <v>-0.87267323504567995</v>
      </c>
      <c r="C6411" s="5">
        <v>2.2742517582427099E-52</v>
      </c>
      <c r="D6411" s="6">
        <v>1.12937979002652E-50</v>
      </c>
      <c r="E6411" s="3" t="s">
        <v>1154</v>
      </c>
      <c r="F6411" s="3" t="s">
        <v>1155</v>
      </c>
      <c r="G6411" s="3">
        <v>14595</v>
      </c>
      <c r="H6411" s="7" t="str">
        <f>HYPERLINK("http://www.ensembl.org/Mus_musculus/Gene/Summary?db=core;g=ENSMUSG00000028413","ENSMUSG00000028413")</f>
        <v>ENSMUSG00000028413</v>
      </c>
      <c r="I6411" s="7" t="str">
        <f>HYPERLINK("http://www.informatics.jax.org/marker/MGI:95705","MGI:95705")</f>
        <v>MGI:95705</v>
      </c>
      <c r="J6411" s="4" t="s">
        <v>12</v>
      </c>
    </row>
    <row r="6412" spans="1:10" x14ac:dyDescent="0.25">
      <c r="A6412" s="2">
        <v>1.54436103917467</v>
      </c>
      <c r="B6412" s="3">
        <v>-0.87438731159713301</v>
      </c>
      <c r="C6412" s="3">
        <v>6.1015563150977697E-2</v>
      </c>
      <c r="D6412" s="4">
        <v>0.134854309777658</v>
      </c>
      <c r="E6412" s="3" t="s">
        <v>12705</v>
      </c>
      <c r="F6412" s="3" t="s">
        <v>12706</v>
      </c>
      <c r="G6412" s="3">
        <v>100042150</v>
      </c>
      <c r="H6412" s="7" t="str">
        <f>HYPERLINK("http://www.ensembl.org/Mus_musculus/Gene/Summary?db=core;g=ENSMUSG00000060275","ENSMUSG00000060275")</f>
        <v>ENSMUSG00000060275</v>
      </c>
      <c r="I6412" s="7" t="str">
        <f>HYPERLINK("http://www.informatics.jax.org/marker/MGI:1098246","MGI:1098246")</f>
        <v>MGI:1098246</v>
      </c>
      <c r="J6412" s="4" t="s">
        <v>12</v>
      </c>
    </row>
    <row r="6413" spans="1:10" x14ac:dyDescent="0.25">
      <c r="A6413" s="2">
        <v>179.25565324801701</v>
      </c>
      <c r="B6413" s="3">
        <v>-0.87470464453687002</v>
      </c>
      <c r="C6413" s="5">
        <v>2.27561999219307E-17</v>
      </c>
      <c r="D6413" s="6">
        <v>3.0904004737495399E-16</v>
      </c>
      <c r="E6413" s="3" t="s">
        <v>2684</v>
      </c>
      <c r="F6413" s="3" t="s">
        <v>2685</v>
      </c>
      <c r="G6413" s="3">
        <v>77605</v>
      </c>
      <c r="H6413" s="7" t="str">
        <f>HYPERLINK("http://www.ensembl.org/Mus_musculus/Gene/Summary?db=core;g=ENSMUSG00000041126","ENSMUSG00000041126")</f>
        <v>ENSMUSG00000041126</v>
      </c>
      <c r="I6413" s="7" t="str">
        <f>HYPERLINK("http://www.informatics.jax.org/marker/MGI:1924855","MGI:1924855")</f>
        <v>MGI:1924855</v>
      </c>
      <c r="J6413" s="4" t="s">
        <v>12</v>
      </c>
    </row>
    <row r="6414" spans="1:10" x14ac:dyDescent="0.25">
      <c r="A6414" s="2">
        <v>127.75953093866799</v>
      </c>
      <c r="B6414" s="3">
        <v>-0.87545909389639898</v>
      </c>
      <c r="C6414" s="5">
        <v>3.0098557970530902E-12</v>
      </c>
      <c r="D6414" s="6">
        <v>2.9116041348881403E-11</v>
      </c>
      <c r="E6414" s="3" t="s">
        <v>4841</v>
      </c>
      <c r="F6414" s="3" t="s">
        <v>4842</v>
      </c>
      <c r="G6414" s="3">
        <v>19340</v>
      </c>
      <c r="H6414" s="7" t="str">
        <f>HYPERLINK("http://www.ensembl.org/Mus_musculus/Gene/Summary?db=core;g=ENSMUSG00000019066","ENSMUSG00000019066")</f>
        <v>ENSMUSG00000019066</v>
      </c>
      <c r="I6414" s="7" t="str">
        <f>HYPERLINK("http://www.informatics.jax.org/marker/MGI:97844","MGI:97844")</f>
        <v>MGI:97844</v>
      </c>
      <c r="J6414" s="4" t="s">
        <v>12</v>
      </c>
    </row>
    <row r="6415" spans="1:10" x14ac:dyDescent="0.25">
      <c r="A6415" s="2">
        <v>93.082383167722497</v>
      </c>
      <c r="B6415" s="3">
        <v>-0.877612293352249</v>
      </c>
      <c r="C6415" s="5">
        <v>2.4742374514952E-9</v>
      </c>
      <c r="D6415" s="6">
        <v>1.8397787659526698E-8</v>
      </c>
      <c r="E6415" s="3" t="s">
        <v>6343</v>
      </c>
      <c r="F6415" s="3" t="s">
        <v>6344</v>
      </c>
      <c r="G6415" s="3" t="s">
        <v>83</v>
      </c>
      <c r="H6415" s="7" t="str">
        <f>HYPERLINK("http://www.ensembl.org/Mus_musculus/Gene/Summary?db=core;g=ENSMUSG00000050538","ENSMUSG00000050538")</f>
        <v>ENSMUSG00000050538</v>
      </c>
      <c r="I6415" s="7" t="str">
        <f>HYPERLINK("http://www.informatics.jax.org/marker/MGI:1915377","MGI:1915377")</f>
        <v>MGI:1915377</v>
      </c>
      <c r="J6415" s="4" t="s">
        <v>12</v>
      </c>
    </row>
    <row r="6416" spans="1:10" x14ac:dyDescent="0.25">
      <c r="A6416" s="2">
        <v>7.1371351379817103</v>
      </c>
      <c r="B6416" s="3">
        <v>-0.87843990726182697</v>
      </c>
      <c r="C6416" s="3">
        <v>1.37327218212274E-2</v>
      </c>
      <c r="D6416" s="4">
        <v>3.71554119940425E-2</v>
      </c>
      <c r="E6416" s="3" t="s">
        <v>11667</v>
      </c>
      <c r="F6416" s="3" t="s">
        <v>11668</v>
      </c>
      <c r="G6416" s="3" t="s">
        <v>83</v>
      </c>
      <c r="H6416" s="7" t="str">
        <f>HYPERLINK("http://www.ensembl.org/Mus_musculus/Gene/Summary?db=core;g=ENSMUSG00000087142","ENSMUSG00000087142")</f>
        <v>ENSMUSG00000087142</v>
      </c>
      <c r="I6416" s="7" t="str">
        <f>HYPERLINK("http://www.informatics.jax.org/marker/MGI:3649695","MGI:3649695")</f>
        <v>MGI:3649695</v>
      </c>
      <c r="J6416" s="4" t="s">
        <v>932</v>
      </c>
    </row>
    <row r="6417" spans="1:10" x14ac:dyDescent="0.25">
      <c r="A6417" s="2">
        <v>20.615447827379601</v>
      </c>
      <c r="B6417" s="3">
        <v>-0.87858681259305904</v>
      </c>
      <c r="C6417" s="3">
        <v>6.7092947496944497E-4</v>
      </c>
      <c r="D6417" s="4">
        <v>2.43628007199007E-3</v>
      </c>
      <c r="E6417" s="3" t="s">
        <v>12277</v>
      </c>
      <c r="F6417" s="3" t="s">
        <v>12278</v>
      </c>
      <c r="G6417" s="3">
        <v>239319</v>
      </c>
      <c r="H6417" s="7" t="str">
        <f>HYPERLINK("http://www.ensembl.org/Mus_musculus/Gene/Summary?db=core;g=ENSMUSG00000041849","ENSMUSG00000041849")</f>
        <v>ENSMUSG00000041849</v>
      </c>
      <c r="I6417" s="7" t="str">
        <f>HYPERLINK("http://www.informatics.jax.org/marker/MGI:3032959","MGI:3032959")</f>
        <v>MGI:3032959</v>
      </c>
      <c r="J6417" s="4" t="s">
        <v>12</v>
      </c>
    </row>
    <row r="6418" spans="1:10" x14ac:dyDescent="0.25">
      <c r="A6418" s="2">
        <v>34.781741731930303</v>
      </c>
      <c r="B6418" s="3">
        <v>-0.87978145096228699</v>
      </c>
      <c r="C6418" s="5">
        <v>1.52380789596765E-5</v>
      </c>
      <c r="D6418" s="6">
        <v>7.2491252686009996E-5</v>
      </c>
      <c r="E6418" s="3" t="s">
        <v>11651</v>
      </c>
      <c r="F6418" s="3" t="s">
        <v>11652</v>
      </c>
      <c r="G6418" s="3" t="s">
        <v>83</v>
      </c>
      <c r="H6418" s="7" t="str">
        <f>HYPERLINK("http://www.ensembl.org/Mus_musculus/Gene/Summary?db=core;g=ENSMUSG00000097729","ENSMUSG00000097729")</f>
        <v>ENSMUSG00000097729</v>
      </c>
      <c r="I6418" s="7" t="str">
        <f>HYPERLINK("http://www.informatics.jax.org/marker/MGI:1916798","MGI:1916798")</f>
        <v>MGI:1916798</v>
      </c>
      <c r="J6418" s="4" t="s">
        <v>331</v>
      </c>
    </row>
    <row r="6419" spans="1:10" x14ac:dyDescent="0.25">
      <c r="A6419" s="2">
        <v>11.266014522616899</v>
      </c>
      <c r="B6419" s="3">
        <v>-0.88049979807031098</v>
      </c>
      <c r="C6419" s="3">
        <v>1.0274996077056399E-2</v>
      </c>
      <c r="D6419" s="4">
        <v>2.87255412646653E-2</v>
      </c>
      <c r="E6419" s="3" t="s">
        <v>10330</v>
      </c>
      <c r="F6419" s="3" t="s">
        <v>10331</v>
      </c>
      <c r="G6419" s="3">
        <v>54352</v>
      </c>
      <c r="H6419" s="7" t="str">
        <f>HYPERLINK("http://www.ensembl.org/Mus_musculus/Gene/Summary?db=core;g=ENSMUSG00000031737","ENSMUSG00000031737")</f>
        <v>ENSMUSG00000031737</v>
      </c>
      <c r="I6419" s="7" t="str">
        <f>HYPERLINK("http://www.informatics.jax.org/marker/MGI:1859086","MGI:1859086")</f>
        <v>MGI:1859086</v>
      </c>
      <c r="J6419" s="4" t="s">
        <v>12</v>
      </c>
    </row>
    <row r="6420" spans="1:10" x14ac:dyDescent="0.25">
      <c r="A6420" s="2">
        <v>183.04185771697601</v>
      </c>
      <c r="B6420" s="3">
        <v>-0.88060334477903901</v>
      </c>
      <c r="C6420" s="5">
        <v>1.4271737235520999E-16</v>
      </c>
      <c r="D6420" s="6">
        <v>1.85920236681466E-15</v>
      </c>
      <c r="E6420" s="3" t="s">
        <v>3374</v>
      </c>
      <c r="F6420" s="3" t="s">
        <v>3375</v>
      </c>
      <c r="G6420" s="3">
        <v>213350</v>
      </c>
      <c r="H6420" s="7" t="str">
        <f>HYPERLINK("http://www.ensembl.org/Mus_musculus/Gene/Summary?db=core;g=ENSMUSG00000051007","ENSMUSG00000051007")</f>
        <v>ENSMUSG00000051007</v>
      </c>
      <c r="I6420" s="7" t="str">
        <f>HYPERLINK("http://www.informatics.jax.org/marker/MGI:2387178","MGI:2387178")</f>
        <v>MGI:2387178</v>
      </c>
      <c r="J6420" s="4" t="s">
        <v>12</v>
      </c>
    </row>
    <row r="6421" spans="1:10" x14ac:dyDescent="0.25">
      <c r="A6421" s="2">
        <v>45.2709940733465</v>
      </c>
      <c r="B6421" s="3">
        <v>-0.880712262223451</v>
      </c>
      <c r="C6421" s="5">
        <v>2.4962002269301399E-7</v>
      </c>
      <c r="D6421" s="6">
        <v>1.4959963543505999E-6</v>
      </c>
      <c r="E6421" s="3" t="s">
        <v>11271</v>
      </c>
      <c r="F6421" s="3" t="s">
        <v>11272</v>
      </c>
      <c r="G6421" s="3">
        <v>72873</v>
      </c>
      <c r="H6421" s="7" t="str">
        <f>HYPERLINK("http://www.ensembl.org/Mus_musculus/Gene/Summary?db=core;g=ENSMUSG00000057265","ENSMUSG00000057265")</f>
        <v>ENSMUSG00000057265</v>
      </c>
      <c r="I6421" s="7" t="str">
        <f>HYPERLINK("http://www.informatics.jax.org/marker/MGI:1920123","MGI:1920123")</f>
        <v>MGI:1920123</v>
      </c>
      <c r="J6421" s="4" t="s">
        <v>12</v>
      </c>
    </row>
    <row r="6422" spans="1:10" x14ac:dyDescent="0.25">
      <c r="A6422" s="2">
        <v>108.33614259502799</v>
      </c>
      <c r="B6422" s="3">
        <v>-0.88135768108957802</v>
      </c>
      <c r="C6422" s="5">
        <v>5.9680188471029503E-13</v>
      </c>
      <c r="D6422" s="6">
        <v>6.1519877538716704E-12</v>
      </c>
      <c r="E6422" s="3" t="s">
        <v>4383</v>
      </c>
      <c r="F6422" s="3" t="s">
        <v>4384</v>
      </c>
      <c r="G6422" s="3">
        <v>80283</v>
      </c>
      <c r="H6422" s="7" t="str">
        <f>HYPERLINK("http://www.ensembl.org/Mus_musculus/Gene/Summary?db=core;g=ENSMUSG00000030083","ENSMUSG00000030083")</f>
        <v>ENSMUSG00000030083</v>
      </c>
      <c r="I6422" s="7" t="str">
        <f>HYPERLINK("http://www.informatics.jax.org/marker/MGI:1933148","MGI:1933148")</f>
        <v>MGI:1933148</v>
      </c>
      <c r="J6422" s="4" t="s">
        <v>12</v>
      </c>
    </row>
    <row r="6423" spans="1:10" x14ac:dyDescent="0.25">
      <c r="A6423" s="2">
        <v>22.141948376402201</v>
      </c>
      <c r="B6423" s="3">
        <v>-0.881382326383926</v>
      </c>
      <c r="C6423" s="3">
        <v>7.4795034890806698E-4</v>
      </c>
      <c r="D6423" s="4">
        <v>2.6881078897356601E-3</v>
      </c>
      <c r="E6423" s="3" t="s">
        <v>10894</v>
      </c>
      <c r="F6423" s="3" t="s">
        <v>10895</v>
      </c>
      <c r="G6423" s="3">
        <v>73430</v>
      </c>
      <c r="H6423" s="7" t="str">
        <f>HYPERLINK("http://www.ensembl.org/Mus_musculus/Gene/Summary?db=core;g=ENSMUSG00000070709","ENSMUSG00000070709")</f>
        <v>ENSMUSG00000070709</v>
      </c>
      <c r="I6423" s="7" t="str">
        <f>HYPERLINK("http://www.informatics.jax.org/marker/MGI:1920680","MGI:1920680")</f>
        <v>MGI:1920680</v>
      </c>
      <c r="J6423" s="4" t="s">
        <v>12</v>
      </c>
    </row>
    <row r="6424" spans="1:10" x14ac:dyDescent="0.25">
      <c r="A6424" s="2">
        <v>40.430744399272001</v>
      </c>
      <c r="B6424" s="3">
        <v>-0.88175284579651703</v>
      </c>
      <c r="C6424" s="5">
        <v>3.7109018602298399E-5</v>
      </c>
      <c r="D6424" s="4">
        <v>1.6592538371611599E-4</v>
      </c>
      <c r="E6424" s="3" t="s">
        <v>7188</v>
      </c>
      <c r="F6424" s="3" t="s">
        <v>7189</v>
      </c>
      <c r="G6424" s="3">
        <v>71206</v>
      </c>
      <c r="H6424" s="7" t="str">
        <f>HYPERLINK("http://www.ensembl.org/Mus_musculus/Gene/Summary?db=core;g=ENSMUSG00000025420","ENSMUSG00000025420")</f>
        <v>ENSMUSG00000025420</v>
      </c>
      <c r="I6424" s="7" t="str">
        <f>HYPERLINK("http://www.informatics.jax.org/marker/MGI:1924234","MGI:1924234")</f>
        <v>MGI:1924234</v>
      </c>
      <c r="J6424" s="4" t="s">
        <v>12</v>
      </c>
    </row>
    <row r="6425" spans="1:10" x14ac:dyDescent="0.25">
      <c r="A6425" s="2">
        <v>63.803578160227502</v>
      </c>
      <c r="B6425" s="3">
        <v>-0.88183380020578295</v>
      </c>
      <c r="C6425" s="5">
        <v>7.8751554481019596E-10</v>
      </c>
      <c r="D6425" s="6">
        <v>6.2051322110531E-9</v>
      </c>
      <c r="E6425" s="3" t="s">
        <v>8329</v>
      </c>
      <c r="F6425" s="3" t="s">
        <v>8330</v>
      </c>
      <c r="G6425" s="3">
        <v>237221</v>
      </c>
      <c r="H6425" s="7" t="str">
        <f>HYPERLINK("http://www.ensembl.org/Mus_musculus/Gene/Summary?db=core;g=ENSMUSG00000040621","ENSMUSG00000040621")</f>
        <v>ENSMUSG00000040621</v>
      </c>
      <c r="I6425" s="7" t="str">
        <f>HYPERLINK("http://www.informatics.jax.org/marker/MGI:2384300","MGI:2384300")</f>
        <v>MGI:2384300</v>
      </c>
      <c r="J6425" s="4" t="s">
        <v>12</v>
      </c>
    </row>
    <row r="6426" spans="1:10" x14ac:dyDescent="0.25">
      <c r="A6426" s="2">
        <v>790.29311949687803</v>
      </c>
      <c r="B6426" s="3">
        <v>-0.88336229873408201</v>
      </c>
      <c r="C6426" s="5">
        <v>1.14958203477774E-13</v>
      </c>
      <c r="D6426" s="6">
        <v>1.24560835813462E-12</v>
      </c>
      <c r="E6426" s="3" t="s">
        <v>2910</v>
      </c>
      <c r="F6426" s="3" t="s">
        <v>2911</v>
      </c>
      <c r="G6426" s="3">
        <v>66881</v>
      </c>
      <c r="H6426" s="7" t="str">
        <f>HYPERLINK("http://www.ensembl.org/Mus_musculus/Gene/Summary?db=core;g=ENSMUSG00000029998","ENSMUSG00000029998")</f>
        <v>ENSMUSG00000029998</v>
      </c>
      <c r="I6426" s="7" t="str">
        <f>HYPERLINK("http://www.informatics.jax.org/marker/MGI:1914131","MGI:1914131")</f>
        <v>MGI:1914131</v>
      </c>
      <c r="J6426" s="4" t="s">
        <v>12</v>
      </c>
    </row>
    <row r="6427" spans="1:10" x14ac:dyDescent="0.25">
      <c r="A6427" s="2">
        <v>8.9350672102439805</v>
      </c>
      <c r="B6427" s="3">
        <v>-0.88353716442122698</v>
      </c>
      <c r="C6427" s="3">
        <v>1.9039623944034099E-2</v>
      </c>
      <c r="D6427" s="4">
        <v>4.9465024430509201E-2</v>
      </c>
      <c r="E6427" s="3" t="s">
        <v>13359</v>
      </c>
      <c r="F6427" s="3" t="s">
        <v>13360</v>
      </c>
      <c r="G6427" s="3">
        <v>192188</v>
      </c>
      <c r="H6427" s="7" t="str">
        <f>HYPERLINK("http://www.ensembl.org/Mus_musculus/Gene/Summary?db=core;g=ENSMUSG00000035459","ENSMUSG00000035459")</f>
        <v>ENSMUSG00000035459</v>
      </c>
      <c r="I6427" s="7" t="str">
        <f>HYPERLINK("http://www.informatics.jax.org/marker/MGI:2178743","MGI:2178743")</f>
        <v>MGI:2178743</v>
      </c>
      <c r="J6427" s="4" t="s">
        <v>12</v>
      </c>
    </row>
    <row r="6428" spans="1:10" x14ac:dyDescent="0.25">
      <c r="A6428" s="2">
        <v>37.9836094332736</v>
      </c>
      <c r="B6428" s="3">
        <v>-0.88443909436854395</v>
      </c>
      <c r="C6428" s="5">
        <v>6.4098783166816298E-7</v>
      </c>
      <c r="D6428" s="6">
        <v>3.6392533433496199E-6</v>
      </c>
      <c r="E6428" s="3" t="s">
        <v>5759</v>
      </c>
      <c r="F6428" s="3" t="s">
        <v>5760</v>
      </c>
      <c r="G6428" s="3" t="s">
        <v>83</v>
      </c>
      <c r="H6428" s="7" t="str">
        <f>HYPERLINK("http://www.ensembl.org/Mus_musculus/Gene/Summary?db=core;g=ENSMUSG00000110611","ENSMUSG00000110611")</f>
        <v>ENSMUSG00000110611</v>
      </c>
      <c r="I6428" s="7" t="str">
        <f>HYPERLINK("http://www.informatics.jax.org/marker/MGI:5012348","MGI:5012348")</f>
        <v>MGI:5012348</v>
      </c>
      <c r="J6428" s="4" t="s">
        <v>932</v>
      </c>
    </row>
    <row r="6429" spans="1:10" x14ac:dyDescent="0.25">
      <c r="A6429" s="2">
        <v>785.45659488092099</v>
      </c>
      <c r="B6429" s="3">
        <v>-0.88553835142961401</v>
      </c>
      <c r="C6429" s="5">
        <v>4.2012767354241702E-25</v>
      </c>
      <c r="D6429" s="6">
        <v>8.3956434762176994E-24</v>
      </c>
      <c r="E6429" s="3" t="s">
        <v>1218</v>
      </c>
      <c r="F6429" s="3" t="s">
        <v>1219</v>
      </c>
      <c r="G6429" s="3">
        <v>69399</v>
      </c>
      <c r="H6429" s="7" t="str">
        <f>HYPERLINK("http://www.ensembl.org/Mus_musculus/Gene/Summary?db=core;g=ENSMUSG00000032666","ENSMUSG00000032666")</f>
        <v>ENSMUSG00000032666</v>
      </c>
      <c r="I6429" s="7" t="str">
        <f>HYPERLINK("http://www.informatics.jax.org/marker/MGI:1916649","MGI:1916649")</f>
        <v>MGI:1916649</v>
      </c>
      <c r="J6429" s="4" t="s">
        <v>12</v>
      </c>
    </row>
    <row r="6430" spans="1:10" x14ac:dyDescent="0.25">
      <c r="A6430" s="2">
        <v>462.59689946485503</v>
      </c>
      <c r="B6430" s="3">
        <v>-0.88624023855356504</v>
      </c>
      <c r="C6430" s="5">
        <v>8.6520202870268601E-26</v>
      </c>
      <c r="D6430" s="6">
        <v>1.7898191796942599E-24</v>
      </c>
      <c r="E6430" s="3" t="s">
        <v>1568</v>
      </c>
      <c r="F6430" s="3" t="s">
        <v>1569</v>
      </c>
      <c r="G6430" s="3">
        <v>56199</v>
      </c>
      <c r="H6430" s="7" t="str">
        <f>HYPERLINK("http://www.ensembl.org/Mus_musculus/Gene/Summary?db=core;g=ENSMUSG00000031974","ENSMUSG00000031974")</f>
        <v>ENSMUSG00000031974</v>
      </c>
      <c r="I6430" s="7" t="str">
        <f>HYPERLINK("http://www.informatics.jax.org/marker/MGI:1860508","MGI:1860508")</f>
        <v>MGI:1860508</v>
      </c>
      <c r="J6430" s="4" t="s">
        <v>12</v>
      </c>
    </row>
    <row r="6431" spans="1:10" x14ac:dyDescent="0.25">
      <c r="A6431" s="2">
        <v>127.64699943258999</v>
      </c>
      <c r="B6431" s="3">
        <v>-0.88733566114138596</v>
      </c>
      <c r="C6431" s="5">
        <v>8.5078561995832503E-13</v>
      </c>
      <c r="D6431" s="6">
        <v>8.6526606717301704E-12</v>
      </c>
      <c r="E6431" s="3" t="s">
        <v>3340</v>
      </c>
      <c r="F6431" s="3" t="s">
        <v>3341</v>
      </c>
      <c r="G6431" s="3">
        <v>83767</v>
      </c>
      <c r="H6431" s="7" t="str">
        <f>HYPERLINK("http://www.ensembl.org/Mus_musculus/Gene/Summary?db=core;g=ENSMUSG00000019831","ENSMUSG00000019831")</f>
        <v>ENSMUSG00000019831</v>
      </c>
      <c r="I6431" s="7" t="str">
        <f>HYPERLINK("http://www.informatics.jax.org/marker/MGI:1890563","MGI:1890563")</f>
        <v>MGI:1890563</v>
      </c>
      <c r="J6431" s="4" t="s">
        <v>12</v>
      </c>
    </row>
    <row r="6432" spans="1:10" x14ac:dyDescent="0.25">
      <c r="A6432" s="2">
        <v>7.9594615445730401</v>
      </c>
      <c r="B6432" s="3">
        <v>-0.89153076558563704</v>
      </c>
      <c r="C6432" s="3">
        <v>1.9902130971220199E-2</v>
      </c>
      <c r="D6432" s="4">
        <v>5.1398092241814998E-2</v>
      </c>
      <c r="E6432" s="3" t="s">
        <v>8669</v>
      </c>
      <c r="F6432" s="3" t="s">
        <v>8670</v>
      </c>
      <c r="G6432" s="3" t="s">
        <v>83</v>
      </c>
      <c r="H6432" s="7" t="str">
        <f>HYPERLINK("http://www.ensembl.org/Mus_musculus/Gene/Summary?db=core;g=ENSMUSG00000084896","ENSMUSG00000084896")</f>
        <v>ENSMUSG00000084896</v>
      </c>
      <c r="I6432" s="7" t="str">
        <f>HYPERLINK("http://www.informatics.jax.org/marker/MGI:3705198","MGI:3705198")</f>
        <v>MGI:3705198</v>
      </c>
      <c r="J6432" s="4" t="s">
        <v>331</v>
      </c>
    </row>
    <row r="6433" spans="1:10" x14ac:dyDescent="0.25">
      <c r="A6433" s="2">
        <v>569.96258249366099</v>
      </c>
      <c r="B6433" s="3">
        <v>-0.89155148436823894</v>
      </c>
      <c r="C6433" s="5">
        <v>1.5067357087017499E-52</v>
      </c>
      <c r="D6433" s="6">
        <v>7.6067197482242003E-51</v>
      </c>
      <c r="E6433" s="3" t="s">
        <v>508</v>
      </c>
      <c r="F6433" s="3" t="s">
        <v>509</v>
      </c>
      <c r="G6433" s="3">
        <v>57314</v>
      </c>
      <c r="H6433" s="7" t="str">
        <f>HYPERLINK("http://www.ensembl.org/Mus_musculus/Gene/Summary?db=core;g=ENSMUSG00000016253","ENSMUSG00000016253")</f>
        <v>ENSMUSG00000016253</v>
      </c>
      <c r="I6433" s="7" t="str">
        <f>HYPERLINK("http://www.informatics.jax.org/marker/MGI:1926424","MGI:1926424")</f>
        <v>MGI:1926424</v>
      </c>
      <c r="J6433" s="4" t="s">
        <v>12</v>
      </c>
    </row>
    <row r="6434" spans="1:10" x14ac:dyDescent="0.25">
      <c r="A6434" s="2">
        <v>254.718209707261</v>
      </c>
      <c r="B6434" s="3">
        <v>-0.89161552840713598</v>
      </c>
      <c r="C6434" s="5">
        <v>1.6128052695260899E-11</v>
      </c>
      <c r="D6434" s="6">
        <v>1.4740910750809E-10</v>
      </c>
      <c r="E6434" s="3" t="s">
        <v>5167</v>
      </c>
      <c r="F6434" s="3" t="s">
        <v>5168</v>
      </c>
      <c r="G6434" s="3">
        <v>215243</v>
      </c>
      <c r="H6434" s="7" t="str">
        <f>HYPERLINK("http://www.ensembl.org/Mus_musculus/Gene/Summary?db=core;g=ENSMUSG00000037318","ENSMUSG00000037318")</f>
        <v>ENSMUSG00000037318</v>
      </c>
      <c r="I6434" s="7" t="str">
        <f>HYPERLINK("http://www.informatics.jax.org/marker/MGI:2441706","MGI:2441706")</f>
        <v>MGI:2441706</v>
      </c>
      <c r="J6434" s="4" t="s">
        <v>12</v>
      </c>
    </row>
    <row r="6435" spans="1:10" x14ac:dyDescent="0.25">
      <c r="A6435" s="2">
        <v>466.70237368695098</v>
      </c>
      <c r="B6435" s="3">
        <v>-0.89227871927208702</v>
      </c>
      <c r="C6435" s="5">
        <v>2.1040696243916099E-20</v>
      </c>
      <c r="D6435" s="6">
        <v>3.3637428863629102E-19</v>
      </c>
      <c r="E6435" s="3" t="s">
        <v>1977</v>
      </c>
      <c r="F6435" s="3" t="s">
        <v>1978</v>
      </c>
      <c r="G6435" s="3">
        <v>329154</v>
      </c>
      <c r="H6435" s="7" t="str">
        <f>HYPERLINK("http://www.ensembl.org/Mus_musculus/Gene/Summary?db=core;g=ENSMUSG00000052331","ENSMUSG00000052331")</f>
        <v>ENSMUSG00000052331</v>
      </c>
      <c r="I6435" s="7" t="str">
        <f>HYPERLINK("http://www.informatics.jax.org/marker/MGI:3045243","MGI:3045243")</f>
        <v>MGI:3045243</v>
      </c>
      <c r="J6435" s="4" t="s">
        <v>12</v>
      </c>
    </row>
    <row r="6436" spans="1:10" x14ac:dyDescent="0.25">
      <c r="A6436" s="2">
        <v>112.18142605682</v>
      </c>
      <c r="B6436" s="3">
        <v>-0.89381573304705597</v>
      </c>
      <c r="C6436" s="5">
        <v>3.2212254641289599E-13</v>
      </c>
      <c r="D6436" s="6">
        <v>3.38563056999713E-12</v>
      </c>
      <c r="E6436" s="3" t="s">
        <v>3254</v>
      </c>
      <c r="F6436" s="3" t="s">
        <v>3255</v>
      </c>
      <c r="G6436" s="3">
        <v>329470</v>
      </c>
      <c r="H6436" s="7" t="str">
        <f>HYPERLINK("http://www.ensembl.org/Mus_musculus/Gene/Summary?db=core;g=ENSMUSG00000040272","ENSMUSG00000040272")</f>
        <v>ENSMUSG00000040272</v>
      </c>
      <c r="I6436" s="7" t="str">
        <f>HYPERLINK("http://www.informatics.jax.org/marker/MGI:1919717","MGI:1919717")</f>
        <v>MGI:1919717</v>
      </c>
      <c r="J6436" s="4" t="s">
        <v>12</v>
      </c>
    </row>
    <row r="6437" spans="1:10" x14ac:dyDescent="0.25">
      <c r="A6437" s="2">
        <v>101.969587836896</v>
      </c>
      <c r="B6437" s="3">
        <v>-0.89463599803712501</v>
      </c>
      <c r="C6437" s="5">
        <v>1.115310618038E-10</v>
      </c>
      <c r="D6437" s="6">
        <v>9.4850844674486705E-10</v>
      </c>
      <c r="E6437" s="3" t="s">
        <v>3590</v>
      </c>
      <c r="F6437" s="3" t="s">
        <v>3591</v>
      </c>
      <c r="G6437" s="3">
        <v>11481</v>
      </c>
      <c r="H6437" s="7" t="str">
        <f>HYPERLINK("http://www.ensembl.org/Mus_musculus/Gene/Summary?db=core;g=ENSMUSG00000061393","ENSMUSG00000061393")</f>
        <v>ENSMUSG00000061393</v>
      </c>
      <c r="I6437" s="7" t="str">
        <f>HYPERLINK("http://www.informatics.jax.org/marker/MGI:87912","MGI:87912")</f>
        <v>MGI:87912</v>
      </c>
      <c r="J6437" s="4" t="s">
        <v>12</v>
      </c>
    </row>
    <row r="6438" spans="1:10" x14ac:dyDescent="0.25">
      <c r="A6438" s="2">
        <v>438.75468130248402</v>
      </c>
      <c r="B6438" s="3">
        <v>-0.89469609343485901</v>
      </c>
      <c r="C6438" s="5">
        <v>2.4042480449291202E-16</v>
      </c>
      <c r="D6438" s="6">
        <v>3.0899218727331802E-15</v>
      </c>
      <c r="E6438" s="3" t="s">
        <v>5675</v>
      </c>
      <c r="F6438" s="3" t="s">
        <v>5676</v>
      </c>
      <c r="G6438" s="3">
        <v>16172</v>
      </c>
      <c r="H6438" s="7" t="str">
        <f>HYPERLINK("http://www.ensembl.org/Mus_musculus/Gene/Summary?db=core;g=ENSMUSG00000002897","ENSMUSG00000002897")</f>
        <v>ENSMUSG00000002897</v>
      </c>
      <c r="I6438" s="7" t="str">
        <f>HYPERLINK("http://www.informatics.jax.org/marker/MGI:107399","MGI:107399")</f>
        <v>MGI:107399</v>
      </c>
      <c r="J6438" s="4" t="s">
        <v>12</v>
      </c>
    </row>
    <row r="6439" spans="1:10" x14ac:dyDescent="0.25">
      <c r="A6439" s="2">
        <v>314.83325896475998</v>
      </c>
      <c r="B6439" s="3">
        <v>-0.89507648817343399</v>
      </c>
      <c r="C6439" s="5">
        <v>1.1376764906185599E-17</v>
      </c>
      <c r="D6439" s="6">
        <v>1.57554362017654E-16</v>
      </c>
      <c r="E6439" s="3" t="s">
        <v>2639</v>
      </c>
      <c r="F6439" s="3" t="s">
        <v>2640</v>
      </c>
      <c r="G6439" s="3">
        <v>66049</v>
      </c>
      <c r="H6439" s="7" t="str">
        <f>HYPERLINK("http://www.ensembl.org/Mus_musculus/Gene/Summary?db=core;g=ENSMUSG00000022540","ENSMUSG00000022540")</f>
        <v>ENSMUSG00000022540</v>
      </c>
      <c r="I6439" s="7" t="str">
        <f>HYPERLINK("http://www.informatics.jax.org/marker/MGI:1913299","MGI:1913299")</f>
        <v>MGI:1913299</v>
      </c>
      <c r="J6439" s="4" t="s">
        <v>12</v>
      </c>
    </row>
    <row r="6440" spans="1:10" x14ac:dyDescent="0.25">
      <c r="A6440" s="2">
        <v>6.37639801532936</v>
      </c>
      <c r="B6440" s="3">
        <v>-0.895822015242554</v>
      </c>
      <c r="C6440" s="3">
        <v>1.22911226600703E-2</v>
      </c>
      <c r="D6440" s="4">
        <v>3.3674941443142203E-2</v>
      </c>
      <c r="E6440" s="3" t="s">
        <v>11993</v>
      </c>
      <c r="F6440" s="3" t="s">
        <v>11994</v>
      </c>
      <c r="G6440" s="3">
        <v>24058</v>
      </c>
      <c r="H6440" s="7" t="str">
        <f>HYPERLINK("http://www.ensembl.org/Mus_musculus/Gene/Summary?db=core;g=ENSMUSG00000025494","ENSMUSG00000025494")</f>
        <v>ENSMUSG00000025494</v>
      </c>
      <c r="I6440" s="7" t="str">
        <f>HYPERLINK("http://www.informatics.jax.org/marker/MGI:1344402","MGI:1344402")</f>
        <v>MGI:1344402</v>
      </c>
      <c r="J6440" s="4" t="s">
        <v>12</v>
      </c>
    </row>
    <row r="6441" spans="1:10" x14ac:dyDescent="0.25">
      <c r="A6441" s="2">
        <v>7.1357037434128001</v>
      </c>
      <c r="B6441" s="3">
        <v>-0.89775198461789996</v>
      </c>
      <c r="C6441" s="3">
        <v>1.7964761255334399E-2</v>
      </c>
      <c r="D6441" s="4">
        <v>4.7027833076482298E-2</v>
      </c>
      <c r="E6441" s="3" t="s">
        <v>11741</v>
      </c>
      <c r="F6441" s="3" t="s">
        <v>11742</v>
      </c>
      <c r="G6441" s="3">
        <v>666048</v>
      </c>
      <c r="H6441" s="7" t="str">
        <f>HYPERLINK("http://www.ensembl.org/Mus_musculus/Gene/Summary?db=core;g=ENSMUSG00000070867","ENSMUSG00000070867")</f>
        <v>ENSMUSG00000070867</v>
      </c>
      <c r="I6441" s="7" t="str">
        <f>HYPERLINK("http://www.informatics.jax.org/marker/MGI:3650152","MGI:3650152")</f>
        <v>MGI:3650152</v>
      </c>
      <c r="J6441" s="4" t="s">
        <v>12</v>
      </c>
    </row>
    <row r="6442" spans="1:10" x14ac:dyDescent="0.25">
      <c r="A6442" s="2">
        <v>41.770893708007002</v>
      </c>
      <c r="B6442" s="3">
        <v>-0.89776013139314403</v>
      </c>
      <c r="C6442" s="5">
        <v>1.6685298379709E-6</v>
      </c>
      <c r="D6442" s="6">
        <v>9.0395232749761394E-6</v>
      </c>
      <c r="E6442" s="3" t="s">
        <v>7826</v>
      </c>
      <c r="F6442" s="3" t="s">
        <v>7827</v>
      </c>
      <c r="G6442" s="3">
        <v>67370</v>
      </c>
      <c r="H6442" s="7" t="str">
        <f>HYPERLINK("http://www.ensembl.org/Mus_musculus/Gene/Summary?db=core;g=ENSMUSG00000030386","ENSMUSG00000030386")</f>
        <v>ENSMUSG00000030386</v>
      </c>
      <c r="I6442" s="7" t="str">
        <f>HYPERLINK("http://www.informatics.jax.org/marker/MGI:1914620","MGI:1914620")</f>
        <v>MGI:1914620</v>
      </c>
      <c r="J6442" s="4" t="s">
        <v>12</v>
      </c>
    </row>
    <row r="6443" spans="1:10" x14ac:dyDescent="0.25">
      <c r="A6443" s="2">
        <v>75.797360555019196</v>
      </c>
      <c r="B6443" s="3">
        <v>-0.89788173674198102</v>
      </c>
      <c r="C6443" s="5">
        <v>4.7021218434617503E-10</v>
      </c>
      <c r="D6443" s="6">
        <v>3.7818257103746897E-9</v>
      </c>
      <c r="E6443" s="3" t="s">
        <v>4679</v>
      </c>
      <c r="F6443" s="3" t="s">
        <v>4680</v>
      </c>
      <c r="G6443" s="3">
        <v>109169</v>
      </c>
      <c r="H6443" s="7" t="str">
        <f>HYPERLINK("http://www.ensembl.org/Mus_musculus/Gene/Summary?db=core;g=ENSMUSG00000110185","ENSMUSG00000110185")</f>
        <v>ENSMUSG00000110185</v>
      </c>
      <c r="I6443" s="7" t="str">
        <f>HYPERLINK("http://www.informatics.jax.org/marker/MGI:1924271","MGI:1924271")</f>
        <v>MGI:1924271</v>
      </c>
      <c r="J6443" s="4" t="s">
        <v>12</v>
      </c>
    </row>
    <row r="6444" spans="1:10" x14ac:dyDescent="0.25">
      <c r="A6444" s="2">
        <v>19.282963300778299</v>
      </c>
      <c r="B6444" s="3">
        <v>-0.89797553403466202</v>
      </c>
      <c r="C6444" s="3">
        <v>1.71986328678034E-3</v>
      </c>
      <c r="D6444" s="4">
        <v>5.7745962419992001E-3</v>
      </c>
      <c r="E6444" s="3" t="s">
        <v>11621</v>
      </c>
      <c r="F6444" s="3" t="s">
        <v>11622</v>
      </c>
      <c r="G6444" s="3">
        <v>20342</v>
      </c>
      <c r="H6444" s="7" t="str">
        <f>HYPERLINK("http://www.ensembl.org/Mus_musculus/Gene/Summary?db=core;g=ENSMUSG00000068877","ENSMUSG00000068877")</f>
        <v>ENSMUSG00000068877</v>
      </c>
      <c r="I6444" s="7" t="str">
        <f>HYPERLINK("http://www.informatics.jax.org/marker/MGI:104859","MGI:104859")</f>
        <v>MGI:104859</v>
      </c>
      <c r="J6444" s="4" t="s">
        <v>12</v>
      </c>
    </row>
    <row r="6445" spans="1:10" x14ac:dyDescent="0.25">
      <c r="A6445" s="2">
        <v>56.800676896457098</v>
      </c>
      <c r="B6445" s="3">
        <v>-0.89948414508216101</v>
      </c>
      <c r="C6445" s="5">
        <v>1.79979298972624E-7</v>
      </c>
      <c r="D6445" s="6">
        <v>1.0973980340502099E-6</v>
      </c>
      <c r="E6445" s="3" t="s">
        <v>6649</v>
      </c>
      <c r="F6445" s="3" t="s">
        <v>6650</v>
      </c>
      <c r="G6445" s="3">
        <v>216560</v>
      </c>
      <c r="H6445" s="7" t="str">
        <f>HYPERLINK("http://www.ensembl.org/Mus_musculus/Gene/Summary?db=core;g=ENSMUSG00000020319","ENSMUSG00000020319")</f>
        <v>ENSMUSG00000020319</v>
      </c>
      <c r="I6445" s="7" t="str">
        <f>HYPERLINK("http://www.informatics.jax.org/marker/MGI:2144467","MGI:2144467")</f>
        <v>MGI:2144467</v>
      </c>
      <c r="J6445" s="4" t="s">
        <v>12</v>
      </c>
    </row>
    <row r="6446" spans="1:10" x14ac:dyDescent="0.25">
      <c r="A6446" s="2">
        <v>176.57982177772399</v>
      </c>
      <c r="B6446" s="3">
        <v>-0.90062264223416899</v>
      </c>
      <c r="C6446" s="5">
        <v>2.0269573538638799E-20</v>
      </c>
      <c r="D6446" s="6">
        <v>3.2490147558636E-19</v>
      </c>
      <c r="E6446" s="3" t="s">
        <v>2035</v>
      </c>
      <c r="F6446" s="3" t="s">
        <v>2036</v>
      </c>
      <c r="G6446" s="3">
        <v>60455</v>
      </c>
      <c r="H6446" s="7" t="str">
        <f>HYPERLINK("http://www.ensembl.org/Mus_musculus/Gene/Summary?db=core;g=ENSMUSG00000024180","ENSMUSG00000024180")</f>
        <v>ENSMUSG00000024180</v>
      </c>
      <c r="I6446" s="7" t="str">
        <f>HYPERLINK("http://www.informatics.jax.org/marker/MGI:1926283","MGI:1926283")</f>
        <v>MGI:1926283</v>
      </c>
      <c r="J6446" s="4" t="s">
        <v>12</v>
      </c>
    </row>
    <row r="6447" spans="1:10" x14ac:dyDescent="0.25">
      <c r="A6447" s="2">
        <v>1335.2485377912001</v>
      </c>
      <c r="B6447" s="3">
        <v>-0.90082544333410597</v>
      </c>
      <c r="C6447" s="5">
        <v>1.8366143994334201E-30</v>
      </c>
      <c r="D6447" s="6">
        <v>4.6296400317668201E-29</v>
      </c>
      <c r="E6447" s="3" t="s">
        <v>1292</v>
      </c>
      <c r="F6447" s="3" t="s">
        <v>1293</v>
      </c>
      <c r="G6447" s="3">
        <v>11305</v>
      </c>
      <c r="H6447" s="7" t="str">
        <f>HYPERLINK("http://www.ensembl.org/Mus_musculus/Gene/Summary?db=core;g=ENSMUSG00000026944","ENSMUSG00000026944")</f>
        <v>ENSMUSG00000026944</v>
      </c>
      <c r="I6447" s="7" t="str">
        <f>HYPERLINK("http://www.informatics.jax.org/marker/MGI:99606","MGI:99606")</f>
        <v>MGI:99606</v>
      </c>
      <c r="J6447" s="4" t="s">
        <v>12</v>
      </c>
    </row>
    <row r="6448" spans="1:10" x14ac:dyDescent="0.25">
      <c r="A6448" s="2">
        <v>527.571421110968</v>
      </c>
      <c r="B6448" s="3">
        <v>-0.90224228041116705</v>
      </c>
      <c r="C6448" s="5">
        <v>1.76831072535752E-44</v>
      </c>
      <c r="D6448" s="6">
        <v>7.2584376057749607E-43</v>
      </c>
      <c r="E6448" s="3" t="s">
        <v>1100</v>
      </c>
      <c r="F6448" s="3" t="s">
        <v>1101</v>
      </c>
      <c r="G6448" s="3">
        <v>18642</v>
      </c>
      <c r="H6448" s="7" t="str">
        <f>HYPERLINK("http://www.ensembl.org/Mus_musculus/Gene/Summary?db=core;g=ENSMUSG00000033065","ENSMUSG00000033065")</f>
        <v>ENSMUSG00000033065</v>
      </c>
      <c r="I6448" s="7" t="str">
        <f>HYPERLINK("http://www.informatics.jax.org/marker/MGI:97548","MGI:97548")</f>
        <v>MGI:97548</v>
      </c>
      <c r="J6448" s="4" t="s">
        <v>12</v>
      </c>
    </row>
    <row r="6449" spans="1:10" x14ac:dyDescent="0.25">
      <c r="A6449" s="2">
        <v>231.42407154066899</v>
      </c>
      <c r="B6449" s="3">
        <v>-0.9023318732858</v>
      </c>
      <c r="C6449" s="5">
        <v>1.4563457200370801E-25</v>
      </c>
      <c r="D6449" s="6">
        <v>2.9889527869004198E-24</v>
      </c>
      <c r="E6449" s="3" t="s">
        <v>1971</v>
      </c>
      <c r="F6449" s="3" t="s">
        <v>1972</v>
      </c>
      <c r="G6449" s="3">
        <v>74525</v>
      </c>
      <c r="H6449" s="7" t="str">
        <f>HYPERLINK("http://www.ensembl.org/Mus_musculus/Gene/Summary?db=core;g=ENSMUSG00000030207","ENSMUSG00000030207")</f>
        <v>ENSMUSG00000030207</v>
      </c>
      <c r="I6449" s="7" t="str">
        <f>HYPERLINK("http://www.informatics.jax.org/marker/MGI:1921775","MGI:1921775")</f>
        <v>MGI:1921775</v>
      </c>
      <c r="J6449" s="4" t="s">
        <v>12</v>
      </c>
    </row>
    <row r="6450" spans="1:10" x14ac:dyDescent="0.25">
      <c r="A6450" s="2">
        <v>398.46923233625199</v>
      </c>
      <c r="B6450" s="3">
        <v>-0.90281520798549597</v>
      </c>
      <c r="C6450" s="5">
        <v>4.7048915612848802E-18</v>
      </c>
      <c r="D6450" s="6">
        <v>6.6677020765487499E-17</v>
      </c>
      <c r="E6450" s="3" t="s">
        <v>1668</v>
      </c>
      <c r="F6450" s="3" t="s">
        <v>1669</v>
      </c>
      <c r="G6450" s="3">
        <v>319518</v>
      </c>
      <c r="H6450" s="7" t="str">
        <f>HYPERLINK("http://www.ensembl.org/Mus_musculus/Gene/Summary?db=core;g=ENSMUSG00000033624","ENSMUSG00000033624")</f>
        <v>ENSMUSG00000033624</v>
      </c>
      <c r="I6450" s="7" t="str">
        <f>HYPERLINK("http://www.informatics.jax.org/marker/MGI:2442188","MGI:2442188")</f>
        <v>MGI:2442188</v>
      </c>
      <c r="J6450" s="4" t="s">
        <v>12</v>
      </c>
    </row>
    <row r="6451" spans="1:10" x14ac:dyDescent="0.25">
      <c r="A6451" s="2">
        <v>398.051841197302</v>
      </c>
      <c r="B6451" s="3">
        <v>-0.90415097694809898</v>
      </c>
      <c r="C6451" s="5">
        <v>6.8531043460555501E-37</v>
      </c>
      <c r="D6451" s="6">
        <v>2.1241126990962999E-35</v>
      </c>
      <c r="E6451" s="3" t="s">
        <v>1132</v>
      </c>
      <c r="F6451" s="3" t="s">
        <v>1133</v>
      </c>
      <c r="G6451" s="3">
        <v>117599</v>
      </c>
      <c r="H6451" s="7" t="str">
        <f>HYPERLINK("http://www.ensembl.org/Mus_musculus/Gene/Summary?db=core;g=ENSMUSG00000020228","ENSMUSG00000020228")</f>
        <v>ENSMUSG00000020228</v>
      </c>
      <c r="I6451" s="7" t="str">
        <f>HYPERLINK("http://www.informatics.jax.org/marker/MGI:2152895","MGI:2152895")</f>
        <v>MGI:2152895</v>
      </c>
      <c r="J6451" s="4" t="s">
        <v>12</v>
      </c>
    </row>
    <row r="6452" spans="1:10" x14ac:dyDescent="0.25">
      <c r="A6452" s="2">
        <v>110.31511072121999</v>
      </c>
      <c r="B6452" s="3">
        <v>-0.905234711239707</v>
      </c>
      <c r="C6452" s="5">
        <v>1.0272595174401001E-10</v>
      </c>
      <c r="D6452" s="6">
        <v>8.7648898433267201E-10</v>
      </c>
      <c r="E6452" s="3" t="s">
        <v>4293</v>
      </c>
      <c r="F6452" s="3" t="s">
        <v>4294</v>
      </c>
      <c r="G6452" s="3">
        <v>216343</v>
      </c>
      <c r="H6452" s="7" t="str">
        <f>HYPERLINK("http://www.ensembl.org/Mus_musculus/Gene/Summary?db=core;g=ENSMUSG00000006764","ENSMUSG00000006764")</f>
        <v>ENSMUSG00000006764</v>
      </c>
      <c r="I6452" s="7" t="str">
        <f>HYPERLINK("http://www.informatics.jax.org/marker/MGI:2651811","MGI:2651811")</f>
        <v>MGI:2651811</v>
      </c>
      <c r="J6452" s="4" t="s">
        <v>12</v>
      </c>
    </row>
    <row r="6453" spans="1:10" x14ac:dyDescent="0.25">
      <c r="A6453" s="2">
        <v>20.733817405357701</v>
      </c>
      <c r="B6453" s="3">
        <v>-0.90525763809389703</v>
      </c>
      <c r="C6453" s="3">
        <v>7.1532350528223903E-4</v>
      </c>
      <c r="D6453" s="4">
        <v>2.58051680201283E-3</v>
      </c>
      <c r="E6453" s="3" t="s">
        <v>13253</v>
      </c>
      <c r="F6453" s="3" t="s">
        <v>13254</v>
      </c>
      <c r="G6453" s="3" t="s">
        <v>83</v>
      </c>
      <c r="H6453" s="7" t="str">
        <f>HYPERLINK("http://www.ensembl.org/Mus_musculus/Gene/Summary?db=core;g=ENSMUSG00000118084","ENSMUSG00000118084")</f>
        <v>ENSMUSG00000118084</v>
      </c>
      <c r="I6453" s="7" t="str">
        <f>HYPERLINK("http://www.informatics.jax.org/marker/MGI:3035178","MGI:3035178")</f>
        <v>MGI:3035178</v>
      </c>
      <c r="J6453" s="4" t="s">
        <v>939</v>
      </c>
    </row>
    <row r="6454" spans="1:10" x14ac:dyDescent="0.25">
      <c r="A6454" s="2">
        <v>58.345676517900898</v>
      </c>
      <c r="B6454" s="3">
        <v>-0.90539503698406398</v>
      </c>
      <c r="C6454" s="5">
        <v>1.75414154765671E-7</v>
      </c>
      <c r="D6454" s="6">
        <v>1.0720734307861701E-6</v>
      </c>
      <c r="E6454" s="3" t="s">
        <v>6005</v>
      </c>
      <c r="F6454" s="3" t="s">
        <v>6006</v>
      </c>
      <c r="G6454" s="3">
        <v>320204</v>
      </c>
      <c r="H6454" s="7" t="str">
        <f>HYPERLINK("http://www.ensembl.org/Mus_musculus/Gene/Summary?db=core;g=ENSMUSG00000039958","ENSMUSG00000039958")</f>
        <v>ENSMUSG00000039958</v>
      </c>
      <c r="I6454" s="7" t="str">
        <f>HYPERLINK("http://www.informatics.jax.org/marker/MGI:2443575","MGI:2443575")</f>
        <v>MGI:2443575</v>
      </c>
      <c r="J6454" s="4" t="s">
        <v>12</v>
      </c>
    </row>
    <row r="6455" spans="1:10" x14ac:dyDescent="0.25">
      <c r="A6455" s="2">
        <v>26.4915769727967</v>
      </c>
      <c r="B6455" s="3">
        <v>-0.90668001772360196</v>
      </c>
      <c r="C6455" s="3">
        <v>1.2412777784032001E-4</v>
      </c>
      <c r="D6455" s="4">
        <v>5.1008540048248904E-4</v>
      </c>
      <c r="E6455" s="3" t="s">
        <v>10090</v>
      </c>
      <c r="F6455" s="3" t="s">
        <v>10091</v>
      </c>
      <c r="G6455" s="3">
        <v>21953</v>
      </c>
      <c r="H6455" s="7" t="str">
        <f>HYPERLINK("http://www.ensembl.org/Mus_musculus/Gene/Summary?db=core;g=ENSMUSG00000031097","ENSMUSG00000031097")</f>
        <v>ENSMUSG00000031097</v>
      </c>
      <c r="I6455" s="7" t="str">
        <f>HYPERLINK("http://www.informatics.jax.org/marker/MGI:105070","MGI:105070")</f>
        <v>MGI:105070</v>
      </c>
      <c r="J6455" s="4" t="s">
        <v>12</v>
      </c>
    </row>
    <row r="6456" spans="1:10" x14ac:dyDescent="0.25">
      <c r="A6456" s="2">
        <v>17.3650198190293</v>
      </c>
      <c r="B6456" s="3">
        <v>-0.90871864360474897</v>
      </c>
      <c r="C6456" s="3">
        <v>2.5255262523512698E-3</v>
      </c>
      <c r="D6456" s="4">
        <v>8.1615891086816595E-3</v>
      </c>
      <c r="E6456" s="3" t="s">
        <v>8029</v>
      </c>
      <c r="F6456" s="3" t="s">
        <v>8030</v>
      </c>
      <c r="G6456" s="3">
        <v>74637</v>
      </c>
      <c r="H6456" s="7" t="str">
        <f>HYPERLINK("http://www.ensembl.org/Mus_musculus/Gene/Summary?db=core;g=ENSMUSG00000005951","ENSMUSG00000005951")</f>
        <v>ENSMUSG00000005951</v>
      </c>
      <c r="I6456" s="7" t="str">
        <f>HYPERLINK("http://www.informatics.jax.org/marker/MGI:1921887","MGI:1921887")</f>
        <v>MGI:1921887</v>
      </c>
      <c r="J6456" s="4" t="s">
        <v>12</v>
      </c>
    </row>
    <row r="6457" spans="1:10" x14ac:dyDescent="0.25">
      <c r="A6457" s="2">
        <v>115.68527364967601</v>
      </c>
      <c r="B6457" s="3">
        <v>-0.91015319497228298</v>
      </c>
      <c r="C6457" s="5">
        <v>3.7762196551508998E-13</v>
      </c>
      <c r="D6457" s="6">
        <v>3.9529927176981799E-12</v>
      </c>
      <c r="E6457" s="3" t="s">
        <v>4381</v>
      </c>
      <c r="F6457" s="3" t="s">
        <v>4382</v>
      </c>
      <c r="G6457" s="3">
        <v>67157</v>
      </c>
      <c r="H6457" s="7" t="str">
        <f>HYPERLINK("http://www.ensembl.org/Mus_musculus/Gene/Summary?db=core;g=ENSMUSG00000059482","ENSMUSG00000059482")</f>
        <v>ENSMUSG00000059482</v>
      </c>
      <c r="I6457" s="7" t="str">
        <f>HYPERLINK("http://www.informatics.jax.org/marker/MGI:1914407","MGI:1914407")</f>
        <v>MGI:1914407</v>
      </c>
      <c r="J6457" s="4" t="s">
        <v>12</v>
      </c>
    </row>
    <row r="6458" spans="1:10" x14ac:dyDescent="0.25">
      <c r="A6458" s="2">
        <v>310.74767434227999</v>
      </c>
      <c r="B6458" s="3">
        <v>-0.91155911747341001</v>
      </c>
      <c r="C6458" s="5">
        <v>5.7046129080915904E-25</v>
      </c>
      <c r="D6458" s="6">
        <v>1.13500622543634E-23</v>
      </c>
      <c r="E6458" s="3" t="s">
        <v>1706</v>
      </c>
      <c r="F6458" s="3" t="s">
        <v>1707</v>
      </c>
      <c r="G6458" s="3">
        <v>106393</v>
      </c>
      <c r="H6458" s="7" t="str">
        <f>HYPERLINK("http://www.ensembl.org/Mus_musculus/Gene/Summary?db=core;g=ENSMUSG00000022519","ENSMUSG00000022519")</f>
        <v>ENSMUSG00000022519</v>
      </c>
      <c r="I6458" s="7" t="str">
        <f>HYPERLINK("http://www.informatics.jax.org/marker/MGI:2146620","MGI:2146620")</f>
        <v>MGI:2146620</v>
      </c>
      <c r="J6458" s="4" t="s">
        <v>12</v>
      </c>
    </row>
    <row r="6459" spans="1:10" x14ac:dyDescent="0.25">
      <c r="A6459" s="2">
        <v>252.66021789953899</v>
      </c>
      <c r="B6459" s="3">
        <v>-0.91211063641825096</v>
      </c>
      <c r="C6459" s="5">
        <v>1.25885523271178E-11</v>
      </c>
      <c r="D6459" s="6">
        <v>1.15989062771346E-10</v>
      </c>
      <c r="E6459" s="3" t="s">
        <v>3378</v>
      </c>
      <c r="F6459" s="3" t="s">
        <v>3379</v>
      </c>
      <c r="G6459" s="3">
        <v>218581</v>
      </c>
      <c r="H6459" s="7" t="str">
        <f>HYPERLINK("http://www.ensembl.org/Mus_musculus/Gene/Summary?db=core;g=ENSMUSG00000021697","ENSMUSG00000021697")</f>
        <v>ENSMUSG00000021697</v>
      </c>
      <c r="I6459" s="7" t="str">
        <f>HYPERLINK("http://www.informatics.jax.org/marker/MGI:2145425","MGI:2145425")</f>
        <v>MGI:2145425</v>
      </c>
      <c r="J6459" s="4" t="s">
        <v>12</v>
      </c>
    </row>
    <row r="6460" spans="1:10" x14ac:dyDescent="0.25">
      <c r="A6460" s="2">
        <v>19.2033154757879</v>
      </c>
      <c r="B6460" s="3">
        <v>-0.912960426207991</v>
      </c>
      <c r="C6460" s="3">
        <v>9.8584206961023903E-4</v>
      </c>
      <c r="D6460" s="4">
        <v>3.4732209005696102E-3</v>
      </c>
      <c r="E6460" s="3" t="s">
        <v>11521</v>
      </c>
      <c r="F6460" s="3" t="s">
        <v>11522</v>
      </c>
      <c r="G6460" s="3" t="s">
        <v>83</v>
      </c>
      <c r="H6460" s="7" t="str">
        <f>HYPERLINK("http://www.ensembl.org/Mus_musculus/Gene/Summary?db=core;g=ENSMUSG00000086150","ENSMUSG00000086150")</f>
        <v>ENSMUSG00000086150</v>
      </c>
      <c r="I6460" s="7" t="str">
        <f>HYPERLINK("http://www.informatics.jax.org/marker/MGI:3041246","MGI:3041246")</f>
        <v>MGI:3041246</v>
      </c>
      <c r="J6460" s="4" t="s">
        <v>932</v>
      </c>
    </row>
    <row r="6461" spans="1:10" x14ac:dyDescent="0.25">
      <c r="A6461" s="2">
        <v>219.43693152896</v>
      </c>
      <c r="B6461" s="3">
        <v>-0.91386759515966098</v>
      </c>
      <c r="C6461" s="5">
        <v>5.25803561426692E-14</v>
      </c>
      <c r="D6461" s="6">
        <v>5.7936940187433204E-13</v>
      </c>
      <c r="E6461" s="3" t="s">
        <v>1494</v>
      </c>
      <c r="F6461" s="3" t="s">
        <v>1495</v>
      </c>
      <c r="G6461" s="3">
        <v>269224</v>
      </c>
      <c r="H6461" s="7" t="str">
        <f>HYPERLINK("http://www.ensembl.org/Mus_musculus/Gene/Summary?db=core;g=ENSMUSG00000026274","ENSMUSG00000026274")</f>
        <v>ENSMUSG00000026274</v>
      </c>
      <c r="I6461" s="7" t="str">
        <f>HYPERLINK("http://www.informatics.jax.org/marker/MGI:2155936","MGI:2155936")</f>
        <v>MGI:2155936</v>
      </c>
      <c r="J6461" s="4" t="s">
        <v>12</v>
      </c>
    </row>
    <row r="6462" spans="1:10" x14ac:dyDescent="0.25">
      <c r="A6462" s="2">
        <v>99.620390418889698</v>
      </c>
      <c r="B6462" s="3">
        <v>-0.91515360660551504</v>
      </c>
      <c r="C6462" s="5">
        <v>2.7617276309919298E-10</v>
      </c>
      <c r="D6462" s="6">
        <v>2.27440063600668E-9</v>
      </c>
      <c r="E6462" s="3" t="s">
        <v>4235</v>
      </c>
      <c r="F6462" s="3" t="s">
        <v>4236</v>
      </c>
      <c r="G6462" s="3">
        <v>239833</v>
      </c>
      <c r="H6462" s="7" t="str">
        <f>HYPERLINK("http://www.ensembl.org/Mus_musculus/Gene/Summary?db=core;g=ENSMUSG00000022802","ENSMUSG00000022802")</f>
        <v>ENSMUSG00000022802</v>
      </c>
      <c r="I6462" s="7" t="str">
        <f>HYPERLINK("http://www.informatics.jax.org/marker/MGI:2444736","MGI:2444736")</f>
        <v>MGI:2444736</v>
      </c>
      <c r="J6462" s="4" t="s">
        <v>12</v>
      </c>
    </row>
    <row r="6463" spans="1:10" x14ac:dyDescent="0.25">
      <c r="A6463" s="2">
        <v>126.99321906594</v>
      </c>
      <c r="B6463" s="3">
        <v>-0.91548352091096996</v>
      </c>
      <c r="C6463" s="5">
        <v>2.8023101317940499E-18</v>
      </c>
      <c r="D6463" s="6">
        <v>4.0245943382148599E-17</v>
      </c>
      <c r="E6463" s="3" t="s">
        <v>3604</v>
      </c>
      <c r="F6463" s="3" t="s">
        <v>3605</v>
      </c>
      <c r="G6463" s="3">
        <v>24099</v>
      </c>
      <c r="H6463" s="7" t="str">
        <f>HYPERLINK("http://www.ensembl.org/Mus_musculus/Gene/Summary?db=core;g=ENSMUSG00000031497","ENSMUSG00000031497")</f>
        <v>ENSMUSG00000031497</v>
      </c>
      <c r="I6463" s="7" t="str">
        <f>HYPERLINK("http://www.informatics.jax.org/marker/MGI:1344376","MGI:1344376")</f>
        <v>MGI:1344376</v>
      </c>
      <c r="J6463" s="4" t="s">
        <v>12</v>
      </c>
    </row>
    <row r="6464" spans="1:10" x14ac:dyDescent="0.25">
      <c r="A6464" s="2">
        <v>1142.6166548055401</v>
      </c>
      <c r="B6464" s="3">
        <v>-0.91574020137801704</v>
      </c>
      <c r="C6464" s="5">
        <v>5.8116422269514702E-15</v>
      </c>
      <c r="D6464" s="6">
        <v>6.8070166829171296E-14</v>
      </c>
      <c r="E6464" s="3" t="s">
        <v>2750</v>
      </c>
      <c r="F6464" s="3" t="s">
        <v>2751</v>
      </c>
      <c r="G6464" s="3">
        <v>74136</v>
      </c>
      <c r="H6464" s="7" t="str">
        <f>HYPERLINK("http://www.ensembl.org/Mus_musculus/Gene/Summary?db=core;g=ENSMUSG00000020823","ENSMUSG00000020823")</f>
        <v>ENSMUSG00000020823</v>
      </c>
      <c r="I6464" s="7" t="str">
        <f>HYPERLINK("http://www.informatics.jax.org/marker/MGI:1921386","MGI:1921386")</f>
        <v>MGI:1921386</v>
      </c>
      <c r="J6464" s="4" t="s">
        <v>12</v>
      </c>
    </row>
    <row r="6465" spans="1:10" x14ac:dyDescent="0.25">
      <c r="A6465" s="2">
        <v>566.76189996077403</v>
      </c>
      <c r="B6465" s="3">
        <v>-0.91623716357368001</v>
      </c>
      <c r="C6465" s="5">
        <v>6.5604412432471701E-40</v>
      </c>
      <c r="D6465" s="6">
        <v>2.2730806398893499E-38</v>
      </c>
      <c r="E6465" s="3" t="s">
        <v>954</v>
      </c>
      <c r="F6465" s="3" t="s">
        <v>955</v>
      </c>
      <c r="G6465" s="3">
        <v>105445</v>
      </c>
      <c r="H6465" s="7" t="str">
        <f>HYPERLINK("http://www.ensembl.org/Mus_musculus/Gene/Summary?db=core;g=ENSMUSG00000025558","ENSMUSG00000025558")</f>
        <v>ENSMUSG00000025558</v>
      </c>
      <c r="I6465" s="7" t="str">
        <f>HYPERLINK("http://www.informatics.jax.org/marker/MGI:106321","MGI:106321")</f>
        <v>MGI:106321</v>
      </c>
      <c r="J6465" s="4" t="s">
        <v>12</v>
      </c>
    </row>
    <row r="6466" spans="1:10" x14ac:dyDescent="0.25">
      <c r="A6466" s="2">
        <v>813.38774310707402</v>
      </c>
      <c r="B6466" s="3">
        <v>-0.91769662225867998</v>
      </c>
      <c r="C6466" s="5">
        <v>1.5395230462965299E-25</v>
      </c>
      <c r="D6466" s="6">
        <v>3.15256264255666E-24</v>
      </c>
      <c r="E6466" s="3" t="s">
        <v>606</v>
      </c>
      <c r="F6466" s="3" t="s">
        <v>607</v>
      </c>
      <c r="G6466" s="3">
        <v>12189</v>
      </c>
      <c r="H6466" s="7" t="str">
        <f>HYPERLINK("http://www.ensembl.org/Mus_musculus/Gene/Summary?db=core;g=ENSMUSG00000017146","ENSMUSG00000017146")</f>
        <v>ENSMUSG00000017146</v>
      </c>
      <c r="I6466" s="7" t="str">
        <f>HYPERLINK("http://www.informatics.jax.org/marker/MGI:104537","MGI:104537")</f>
        <v>MGI:104537</v>
      </c>
      <c r="J6466" s="4" t="s">
        <v>12</v>
      </c>
    </row>
    <row r="6467" spans="1:10" x14ac:dyDescent="0.25">
      <c r="A6467" s="2">
        <v>736.74633252369995</v>
      </c>
      <c r="B6467" s="3">
        <v>-0.91890628666481899</v>
      </c>
      <c r="C6467" s="5">
        <v>2.3522657390769599E-42</v>
      </c>
      <c r="D6467" s="6">
        <v>8.9126908720743601E-41</v>
      </c>
      <c r="E6467" s="3" t="s">
        <v>1172</v>
      </c>
      <c r="F6467" s="3" t="s">
        <v>1173</v>
      </c>
      <c r="G6467" s="3">
        <v>22348</v>
      </c>
      <c r="H6467" s="7" t="str">
        <f>HYPERLINK("http://www.ensembl.org/Mus_musculus/Gene/Summary?db=core;g=ENSMUSG00000037771","ENSMUSG00000037771")</f>
        <v>ENSMUSG00000037771</v>
      </c>
      <c r="I6467" s="7" t="str">
        <f>HYPERLINK("http://www.informatics.jax.org/marker/MGI:1194488","MGI:1194488")</f>
        <v>MGI:1194488</v>
      </c>
      <c r="J6467" s="4" t="s">
        <v>12</v>
      </c>
    </row>
    <row r="6468" spans="1:10" x14ac:dyDescent="0.25">
      <c r="A6468" s="2">
        <v>85.945104686876405</v>
      </c>
      <c r="B6468" s="3">
        <v>-0.92004297326270101</v>
      </c>
      <c r="C6468" s="5">
        <v>5.49841267755325E-11</v>
      </c>
      <c r="D6468" s="6">
        <v>4.8107811353052298E-10</v>
      </c>
      <c r="E6468" s="3" t="s">
        <v>4189</v>
      </c>
      <c r="F6468" s="3" t="s">
        <v>4190</v>
      </c>
      <c r="G6468" s="3">
        <v>18003</v>
      </c>
      <c r="H6468" s="7" t="str">
        <f>HYPERLINK("http://www.ensembl.org/Mus_musculus/Gene/Summary?db=core;g=ENSMUSG00000021365","ENSMUSG00000021365")</f>
        <v>ENSMUSG00000021365</v>
      </c>
      <c r="I6468" s="7" t="str">
        <f>HYPERLINK("http://www.informatics.jax.org/marker/MGI:97302","MGI:97302")</f>
        <v>MGI:97302</v>
      </c>
      <c r="J6468" s="4" t="s">
        <v>12</v>
      </c>
    </row>
    <row r="6469" spans="1:10" x14ac:dyDescent="0.25">
      <c r="A6469" s="2">
        <v>61.003658515270999</v>
      </c>
      <c r="B6469" s="3">
        <v>-0.92014151362907004</v>
      </c>
      <c r="C6469" s="5">
        <v>1.9303015387110198E-9</v>
      </c>
      <c r="D6469" s="6">
        <v>1.45250807361719E-8</v>
      </c>
      <c r="E6469" s="3" t="s">
        <v>4173</v>
      </c>
      <c r="F6469" s="3" t="s">
        <v>4174</v>
      </c>
      <c r="G6469" s="3">
        <v>68067</v>
      </c>
      <c r="H6469" s="7" t="str">
        <f>HYPERLINK("http://www.ensembl.org/Mus_musculus/Gene/Summary?db=core;g=ENSMUSG00000020381","ENSMUSG00000020381")</f>
        <v>ENSMUSG00000020381</v>
      </c>
      <c r="I6469" s="7" t="str">
        <f>HYPERLINK("http://www.informatics.jax.org/marker/MGI:1915317","MGI:1915317")</f>
        <v>MGI:1915317</v>
      </c>
      <c r="J6469" s="4" t="s">
        <v>12</v>
      </c>
    </row>
    <row r="6470" spans="1:10" x14ac:dyDescent="0.25">
      <c r="A6470" s="2">
        <v>57.827186064407897</v>
      </c>
      <c r="B6470" s="3">
        <v>-0.92015240017149902</v>
      </c>
      <c r="C6470" s="5">
        <v>3.7501068856187198E-8</v>
      </c>
      <c r="D6470" s="6">
        <v>2.4413726466235E-7</v>
      </c>
      <c r="E6470" s="3" t="s">
        <v>5853</v>
      </c>
      <c r="F6470" s="3" t="s">
        <v>5854</v>
      </c>
      <c r="G6470" s="3">
        <v>269023</v>
      </c>
      <c r="H6470" s="7" t="str">
        <f>HYPERLINK("http://www.ensembl.org/Mus_musculus/Gene/Summary?db=core;g=ENSMUSG00000052713","ENSMUSG00000052713")</f>
        <v>ENSMUSG00000052713</v>
      </c>
      <c r="I6470" s="7" t="str">
        <f>HYPERLINK("http://www.informatics.jax.org/marker/MGI:2442338","MGI:2442338")</f>
        <v>MGI:2442338</v>
      </c>
      <c r="J6470" s="4" t="s">
        <v>12</v>
      </c>
    </row>
    <row r="6471" spans="1:10" x14ac:dyDescent="0.25">
      <c r="A6471" s="2">
        <v>517.85767111852795</v>
      </c>
      <c r="B6471" s="3">
        <v>-0.92111174658476302</v>
      </c>
      <c r="C6471" s="5">
        <v>2.8306258267684799E-10</v>
      </c>
      <c r="D6471" s="6">
        <v>2.3290363743952902E-9</v>
      </c>
      <c r="E6471" s="3" t="s">
        <v>3784</v>
      </c>
      <c r="F6471" s="3" t="s">
        <v>3785</v>
      </c>
      <c r="G6471" s="3">
        <v>72080</v>
      </c>
      <c r="H6471" s="7" t="str">
        <f>HYPERLINK("http://www.ensembl.org/Mus_musculus/Gene/Summary?db=core;g=ENSMUSG00000026955","ENSMUSG00000026955")</f>
        <v>ENSMUSG00000026955</v>
      </c>
      <c r="I6471" s="7" t="str">
        <f>HYPERLINK("http://www.informatics.jax.org/marker/MGI:1919330","MGI:1919330")</f>
        <v>MGI:1919330</v>
      </c>
      <c r="J6471" s="4" t="s">
        <v>12</v>
      </c>
    </row>
    <row r="6472" spans="1:10" x14ac:dyDescent="0.25">
      <c r="A6472" s="2">
        <v>282.14840253547601</v>
      </c>
      <c r="B6472" s="3">
        <v>-0.92257298139857802</v>
      </c>
      <c r="C6472" s="5">
        <v>3.0855087934168901E-10</v>
      </c>
      <c r="D6472" s="6">
        <v>2.5318954416939599E-9</v>
      </c>
      <c r="E6472" s="3" t="s">
        <v>6189</v>
      </c>
      <c r="F6472" s="3" t="s">
        <v>6190</v>
      </c>
      <c r="G6472" s="3">
        <v>12489</v>
      </c>
      <c r="H6472" s="7" t="str">
        <f>HYPERLINK("http://www.ensembl.org/Mus_musculus/Gene/Summary?db=core;g=ENSMUSG00000004609","ENSMUSG00000004609")</f>
        <v>ENSMUSG00000004609</v>
      </c>
      <c r="I6472" s="7" t="str">
        <f>HYPERLINK("http://www.informatics.jax.org/marker/MGI:99440","MGI:99440")</f>
        <v>MGI:99440</v>
      </c>
      <c r="J6472" s="4" t="s">
        <v>12</v>
      </c>
    </row>
    <row r="6473" spans="1:10" x14ac:dyDescent="0.25">
      <c r="A6473" s="2">
        <v>723.70579070389294</v>
      </c>
      <c r="B6473" s="3">
        <v>-0.92485257234271601</v>
      </c>
      <c r="C6473" s="5">
        <v>1.04766178373605E-10</v>
      </c>
      <c r="D6473" s="6">
        <v>8.9180924841614001E-10</v>
      </c>
      <c r="E6473" s="3" t="s">
        <v>3886</v>
      </c>
      <c r="F6473" s="3" t="s">
        <v>3887</v>
      </c>
      <c r="G6473" s="3">
        <v>170439</v>
      </c>
      <c r="H6473" s="7" t="str">
        <f>HYPERLINK("http://www.ensembl.org/Mus_musculus/Gene/Summary?db=core;g=ENSMUSG00000041220","ENSMUSG00000041220")</f>
        <v>ENSMUSG00000041220</v>
      </c>
      <c r="I6473" s="7" t="str">
        <f>HYPERLINK("http://www.informatics.jax.org/marker/MGI:2156528","MGI:2156528")</f>
        <v>MGI:2156528</v>
      </c>
      <c r="J6473" s="4" t="s">
        <v>12</v>
      </c>
    </row>
    <row r="6474" spans="1:10" x14ac:dyDescent="0.25">
      <c r="A6474" s="2">
        <v>100.28870898906401</v>
      </c>
      <c r="B6474" s="3">
        <v>-0.92637809725661602</v>
      </c>
      <c r="C6474" s="5">
        <v>2.6542621147294501E-6</v>
      </c>
      <c r="D6474" s="6">
        <v>1.4013304473042899E-5</v>
      </c>
      <c r="E6474" s="3" t="s">
        <v>3906</v>
      </c>
      <c r="F6474" s="3" t="s">
        <v>3907</v>
      </c>
      <c r="G6474" s="3">
        <v>15370</v>
      </c>
      <c r="H6474" s="7" t="str">
        <f>HYPERLINK("http://www.ensembl.org/Mus_musculus/Gene/Summary?db=core;g=ENSMUSG00000023034","ENSMUSG00000023034")</f>
        <v>ENSMUSG00000023034</v>
      </c>
      <c r="I6474" s="7" t="str">
        <f>HYPERLINK("http://www.informatics.jax.org/marker/MGI:1352454","MGI:1352454")</f>
        <v>MGI:1352454</v>
      </c>
      <c r="J6474" s="4" t="s">
        <v>12</v>
      </c>
    </row>
    <row r="6475" spans="1:10" x14ac:dyDescent="0.25">
      <c r="A6475" s="2">
        <v>42.0595799733685</v>
      </c>
      <c r="B6475" s="3">
        <v>-0.92650789931076205</v>
      </c>
      <c r="C6475" s="5">
        <v>5.58195689759212E-6</v>
      </c>
      <c r="D6475" s="6">
        <v>2.8313711232567901E-5</v>
      </c>
      <c r="E6475" s="3" t="s">
        <v>11777</v>
      </c>
      <c r="F6475" s="3" t="s">
        <v>11778</v>
      </c>
      <c r="G6475" s="3" t="s">
        <v>83</v>
      </c>
      <c r="H6475" s="7" t="str">
        <f>HYPERLINK("http://www.ensembl.org/Mus_musculus/Gene/Summary?db=core;g=ENSMUSG00000108449","ENSMUSG00000108449")</f>
        <v>ENSMUSG00000108449</v>
      </c>
      <c r="I6475" s="7" t="str">
        <f>HYPERLINK("http://www.informatics.jax.org/marker/MGI:5753083","MGI:5753083")</f>
        <v>MGI:5753083</v>
      </c>
      <c r="J6475" s="4" t="s">
        <v>939</v>
      </c>
    </row>
    <row r="6476" spans="1:10" x14ac:dyDescent="0.25">
      <c r="A6476" s="2">
        <v>216.48816568003201</v>
      </c>
      <c r="B6476" s="3">
        <v>-0.927744573444923</v>
      </c>
      <c r="C6476" s="5">
        <v>1.6444454325181599E-15</v>
      </c>
      <c r="D6476" s="6">
        <v>1.9900410363641099E-14</v>
      </c>
      <c r="E6476" s="3" t="s">
        <v>2015</v>
      </c>
      <c r="F6476" s="3" t="s">
        <v>2016</v>
      </c>
      <c r="G6476" s="3">
        <v>72500</v>
      </c>
      <c r="H6476" s="7" t="str">
        <f>HYPERLINK("http://www.ensembl.org/Mus_musculus/Gene/Summary?db=core;g=ENSMUSG00000089762","ENSMUSG00000089762")</f>
        <v>ENSMUSG00000089762</v>
      </c>
      <c r="I6476" s="7" t="str">
        <f>HYPERLINK("http://www.informatics.jax.org/marker/MGI:1919750","MGI:1919750")</f>
        <v>MGI:1919750</v>
      </c>
      <c r="J6476" s="4" t="s">
        <v>12</v>
      </c>
    </row>
    <row r="6477" spans="1:10" x14ac:dyDescent="0.25">
      <c r="A6477" s="2">
        <v>56.199531175983502</v>
      </c>
      <c r="B6477" s="3">
        <v>-0.93098277877038205</v>
      </c>
      <c r="C6477" s="5">
        <v>3.3889854334018801E-8</v>
      </c>
      <c r="D6477" s="6">
        <v>2.22573908193691E-7</v>
      </c>
      <c r="E6477" s="3" t="s">
        <v>4481</v>
      </c>
      <c r="F6477" s="3" t="s">
        <v>4482</v>
      </c>
      <c r="G6477" s="3">
        <v>110891</v>
      </c>
      <c r="H6477" s="7" t="str">
        <f>HYPERLINK("http://www.ensembl.org/Mus_musculus/Gene/Summary?db=core;g=ENSMUSG00000030376","ENSMUSG00000030376")</f>
        <v>ENSMUSG00000030376</v>
      </c>
      <c r="I6477" s="7" t="str">
        <f>HYPERLINK("http://www.informatics.jax.org/marker/MGI:107996","MGI:107996")</f>
        <v>MGI:107996</v>
      </c>
      <c r="J6477" s="4" t="s">
        <v>12</v>
      </c>
    </row>
    <row r="6478" spans="1:10" x14ac:dyDescent="0.25">
      <c r="A6478" s="2">
        <v>102.861581935004</v>
      </c>
      <c r="B6478" s="3">
        <v>-0.93142574968879899</v>
      </c>
      <c r="C6478" s="5">
        <v>2.2577018989884199E-13</v>
      </c>
      <c r="D6478" s="6">
        <v>2.3992196565051799E-12</v>
      </c>
      <c r="E6478" s="3" t="s">
        <v>5857</v>
      </c>
      <c r="F6478" s="3" t="s">
        <v>5858</v>
      </c>
      <c r="G6478" s="3">
        <v>270152</v>
      </c>
      <c r="H6478" s="7" t="str">
        <f>HYPERLINK("http://www.ensembl.org/Mus_musculus/Gene/Summary?db=core;g=ENSMUSG00000048534","ENSMUSG00000048534")</f>
        <v>ENSMUSG00000048534</v>
      </c>
      <c r="I6478" s="7" t="str">
        <f>HYPERLINK("http://www.informatics.jax.org/marker/MGI:2685484","MGI:2685484")</f>
        <v>MGI:2685484</v>
      </c>
      <c r="J6478" s="4" t="s">
        <v>12</v>
      </c>
    </row>
    <row r="6479" spans="1:10" x14ac:dyDescent="0.25">
      <c r="A6479" s="2">
        <v>321.66742985059898</v>
      </c>
      <c r="B6479" s="3">
        <v>-0.93194299066063402</v>
      </c>
      <c r="C6479" s="5">
        <v>1.3616060035190399E-33</v>
      </c>
      <c r="D6479" s="6">
        <v>3.8177337560206898E-32</v>
      </c>
      <c r="E6479" s="3" t="s">
        <v>1608</v>
      </c>
      <c r="F6479" s="3" t="s">
        <v>1609</v>
      </c>
      <c r="G6479" s="3">
        <v>50883</v>
      </c>
      <c r="H6479" s="7" t="str">
        <f>HYPERLINK("http://www.ensembl.org/Mus_musculus/Gene/Summary?db=core;g=ENSMUSG00000029521","ENSMUSG00000029521")</f>
        <v>ENSMUSG00000029521</v>
      </c>
      <c r="I6479" s="7" t="str">
        <f>HYPERLINK("http://www.informatics.jax.org/marker/MGI:1355321","MGI:1355321")</f>
        <v>MGI:1355321</v>
      </c>
      <c r="J6479" s="4" t="s">
        <v>12</v>
      </c>
    </row>
    <row r="6480" spans="1:10" x14ac:dyDescent="0.25">
      <c r="A6480" s="2">
        <v>7.8009875154708599</v>
      </c>
      <c r="B6480" s="3">
        <v>-0.93280419121465796</v>
      </c>
      <c r="C6480" s="3">
        <v>1.6164714359389099E-2</v>
      </c>
      <c r="D6480" s="4">
        <v>4.2913608040767097E-2</v>
      </c>
      <c r="E6480" s="3" t="s">
        <v>9175</v>
      </c>
      <c r="F6480" s="3" t="s">
        <v>9176</v>
      </c>
      <c r="G6480" s="3">
        <v>269152</v>
      </c>
      <c r="H6480" s="7" t="str">
        <f>HYPERLINK("http://www.ensembl.org/Mus_musculus/Gene/Summary?db=core;g=ENSMUSG00000026494","ENSMUSG00000026494")</f>
        <v>ENSMUSG00000026494</v>
      </c>
      <c r="I6480" s="7" t="str">
        <f>HYPERLINK("http://www.informatics.jax.org/marker/MGI:2447076","MGI:2447076")</f>
        <v>MGI:2447076</v>
      </c>
      <c r="J6480" s="4" t="s">
        <v>12</v>
      </c>
    </row>
    <row r="6481" spans="1:10" x14ac:dyDescent="0.25">
      <c r="A6481" s="2">
        <v>151.03768603726101</v>
      </c>
      <c r="B6481" s="3">
        <v>-0.93401688530705596</v>
      </c>
      <c r="C6481" s="5">
        <v>2.8878836895295099E-11</v>
      </c>
      <c r="D6481" s="6">
        <v>2.5837840079369401E-10</v>
      </c>
      <c r="E6481" s="3" t="s">
        <v>7048</v>
      </c>
      <c r="F6481" s="3" t="s">
        <v>7049</v>
      </c>
      <c r="G6481" s="3">
        <v>99543</v>
      </c>
      <c r="H6481" s="7" t="str">
        <f>HYPERLINK("http://www.ensembl.org/Mus_musculus/Gene/Summary?db=core;g=ENSMUSG00000027848","ENSMUSG00000027848")</f>
        <v>ENSMUSG00000027848</v>
      </c>
      <c r="I6481" s="7" t="str">
        <f>HYPERLINK("http://www.informatics.jax.org/marker/MGI:1914877","MGI:1914877")</f>
        <v>MGI:1914877</v>
      </c>
      <c r="J6481" s="4" t="s">
        <v>12</v>
      </c>
    </row>
    <row r="6482" spans="1:10" x14ac:dyDescent="0.25">
      <c r="A6482" s="2">
        <v>468.88036953756</v>
      </c>
      <c r="B6482" s="3">
        <v>-0.93524790839125005</v>
      </c>
      <c r="C6482" s="5">
        <v>6.9288180639579704E-21</v>
      </c>
      <c r="D6482" s="6">
        <v>1.13253550866039E-19</v>
      </c>
      <c r="E6482" s="3" t="s">
        <v>1586</v>
      </c>
      <c r="F6482" s="3" t="s">
        <v>1587</v>
      </c>
      <c r="G6482" s="3">
        <v>27360</v>
      </c>
      <c r="H6482" s="7" t="str">
        <f>HYPERLINK("http://www.ensembl.org/Mus_musculus/Gene/Summary?db=core;g=ENSMUSG00000025026","ENSMUSG00000025026")</f>
        <v>ENSMUSG00000025026</v>
      </c>
      <c r="I6482" s="7" t="str">
        <f>HYPERLINK("http://www.informatics.jax.org/marker/MGI:1351615","MGI:1351615")</f>
        <v>MGI:1351615</v>
      </c>
      <c r="J6482" s="4" t="s">
        <v>12</v>
      </c>
    </row>
    <row r="6483" spans="1:10" x14ac:dyDescent="0.25">
      <c r="A6483" s="2">
        <v>710.90472680589198</v>
      </c>
      <c r="B6483" s="3">
        <v>-0.93803088388484501</v>
      </c>
      <c r="C6483" s="5">
        <v>3.0991163054304E-38</v>
      </c>
      <c r="D6483" s="6">
        <v>1.01221137395106E-36</v>
      </c>
      <c r="E6483" s="3" t="s">
        <v>1286</v>
      </c>
      <c r="F6483" s="3" t="s">
        <v>1287</v>
      </c>
      <c r="G6483" s="3">
        <v>57266</v>
      </c>
      <c r="H6483" s="7" t="str">
        <f>HYPERLINK("http://www.ensembl.org/Mus_musculus/Gene/Summary?db=core;g=ENSMUSG00000021508","ENSMUSG00000021508")</f>
        <v>ENSMUSG00000021508</v>
      </c>
      <c r="I6483" s="7" t="str">
        <f>HYPERLINK("http://www.informatics.jax.org/marker/MGI:1888514","MGI:1888514")</f>
        <v>MGI:1888514</v>
      </c>
      <c r="J6483" s="4" t="s">
        <v>12</v>
      </c>
    </row>
    <row r="6484" spans="1:10" x14ac:dyDescent="0.25">
      <c r="A6484" s="2">
        <v>12.3370945632056</v>
      </c>
      <c r="B6484" s="3">
        <v>-0.93914080160866897</v>
      </c>
      <c r="C6484" s="3">
        <v>5.9192866823277804E-3</v>
      </c>
      <c r="D6484" s="4">
        <v>1.74986212141807E-2</v>
      </c>
      <c r="E6484" s="3" t="s">
        <v>13847</v>
      </c>
      <c r="F6484" s="3" t="s">
        <v>13848</v>
      </c>
      <c r="G6484" s="3">
        <v>21908</v>
      </c>
      <c r="H6484" s="7" t="str">
        <f>HYPERLINK("http://www.ensembl.org/Mus_musculus/Gene/Summary?db=core;g=ENSMUSG00000025215","ENSMUSG00000025215")</f>
        <v>ENSMUSG00000025215</v>
      </c>
      <c r="I6484" s="7" t="str">
        <f>HYPERLINK("http://www.informatics.jax.org/marker/MGI:98769","MGI:98769")</f>
        <v>MGI:98769</v>
      </c>
      <c r="J6484" s="4" t="s">
        <v>12</v>
      </c>
    </row>
    <row r="6485" spans="1:10" x14ac:dyDescent="0.25">
      <c r="A6485" s="2">
        <v>19.1691939314744</v>
      </c>
      <c r="B6485" s="3">
        <v>-0.93928727596101402</v>
      </c>
      <c r="C6485" s="3">
        <v>1.8076947144718799E-4</v>
      </c>
      <c r="D6485" s="4">
        <v>7.2280026703049603E-4</v>
      </c>
      <c r="E6485" s="3" t="s">
        <v>11449</v>
      </c>
      <c r="F6485" s="3" t="s">
        <v>11450</v>
      </c>
      <c r="G6485" s="3">
        <v>21418</v>
      </c>
      <c r="H6485" s="7" t="str">
        <f>HYPERLINK("http://www.ensembl.org/Mus_musculus/Gene/Summary?db=core;g=ENSMUSG00000021359","ENSMUSG00000021359")</f>
        <v>ENSMUSG00000021359</v>
      </c>
      <c r="I6485" s="7" t="str">
        <f>HYPERLINK("http://www.informatics.jax.org/marker/MGI:104671","MGI:104671")</f>
        <v>MGI:104671</v>
      </c>
      <c r="J6485" s="4" t="s">
        <v>12</v>
      </c>
    </row>
    <row r="6486" spans="1:10" x14ac:dyDescent="0.25">
      <c r="A6486" s="2">
        <v>8.7216780983933209</v>
      </c>
      <c r="B6486" s="3">
        <v>-0.93978452213571195</v>
      </c>
      <c r="C6486" s="3">
        <v>9.2667721340653694E-3</v>
      </c>
      <c r="D6486" s="4">
        <v>2.6200267164651202E-2</v>
      </c>
      <c r="E6486" s="3" t="s">
        <v>12321</v>
      </c>
      <c r="F6486" s="3" t="s">
        <v>12322</v>
      </c>
      <c r="G6486" s="3">
        <v>320277</v>
      </c>
      <c r="H6486" s="7" t="str">
        <f>HYPERLINK("http://www.ensembl.org/Mus_musculus/Gene/Summary?db=core;g=ENSMUSG00000072663","ENSMUSG00000072663")</f>
        <v>ENSMUSG00000072663</v>
      </c>
      <c r="I6486" s="7" t="str">
        <f>HYPERLINK("http://www.informatics.jax.org/marker/MGI:2443727","MGI:2443727")</f>
        <v>MGI:2443727</v>
      </c>
      <c r="J6486" s="4" t="s">
        <v>12</v>
      </c>
    </row>
    <row r="6487" spans="1:10" x14ac:dyDescent="0.25">
      <c r="A6487" s="2">
        <v>146.93408474360501</v>
      </c>
      <c r="B6487" s="3">
        <v>-0.94015599169583697</v>
      </c>
      <c r="C6487" s="5">
        <v>1.34317184915207E-9</v>
      </c>
      <c r="D6487" s="6">
        <v>1.0272474591186099E-8</v>
      </c>
      <c r="E6487" s="3" t="s">
        <v>4943</v>
      </c>
      <c r="F6487" s="3" t="s">
        <v>4944</v>
      </c>
      <c r="G6487" s="3" t="s">
        <v>83</v>
      </c>
      <c r="H6487" s="7" t="str">
        <f>HYPERLINK("http://www.ensembl.org/Mus_musculus/Gene/Summary?db=core;g=ENSMUSG00000106825","ENSMUSG00000106825")</f>
        <v>ENSMUSG00000106825</v>
      </c>
      <c r="I6487" s="7" t="str">
        <f>HYPERLINK("http://www.informatics.jax.org/marker/MGI:1917539","MGI:1917539")</f>
        <v>MGI:1917539</v>
      </c>
      <c r="J6487" s="4" t="s">
        <v>1828</v>
      </c>
    </row>
    <row r="6488" spans="1:10" x14ac:dyDescent="0.25">
      <c r="A6488" s="2">
        <v>221.21834538507801</v>
      </c>
      <c r="B6488" s="3">
        <v>-0.940404272157779</v>
      </c>
      <c r="C6488" s="5">
        <v>2.0241091037940501E-21</v>
      </c>
      <c r="D6488" s="6">
        <v>3.3905687882947298E-20</v>
      </c>
      <c r="E6488" s="3" t="s">
        <v>2327</v>
      </c>
      <c r="F6488" s="3" t="s">
        <v>2328</v>
      </c>
      <c r="G6488" s="3">
        <v>230145</v>
      </c>
      <c r="H6488" s="7" t="str">
        <f>HYPERLINK("http://www.ensembl.org/Mus_musculus/Gene/Summary?db=core;g=ENSMUSG00000039774","ENSMUSG00000039774")</f>
        <v>ENSMUSG00000039774</v>
      </c>
      <c r="I6488" s="7" t="str">
        <f>HYPERLINK("http://www.informatics.jax.org/marker/MGI:2444664","MGI:2444664")</f>
        <v>MGI:2444664</v>
      </c>
      <c r="J6488" s="4" t="s">
        <v>12</v>
      </c>
    </row>
    <row r="6489" spans="1:10" x14ac:dyDescent="0.25">
      <c r="A6489" s="2">
        <v>124.414008143255</v>
      </c>
      <c r="B6489" s="3">
        <v>-0.94113389402246195</v>
      </c>
      <c r="C6489" s="5">
        <v>1.8759789177649901E-12</v>
      </c>
      <c r="D6489" s="6">
        <v>1.8561192060948401E-11</v>
      </c>
      <c r="E6489" s="3" t="s">
        <v>4549</v>
      </c>
      <c r="F6489" s="3" t="s">
        <v>4550</v>
      </c>
      <c r="G6489" s="3">
        <v>382913</v>
      </c>
      <c r="H6489" s="7" t="str">
        <f>HYPERLINK("http://www.ensembl.org/Mus_musculus/Gene/Summary?db=core;g=ENSMUSG00000035121","ENSMUSG00000035121")</f>
        <v>ENSMUSG00000035121</v>
      </c>
      <c r="I6489" s="7" t="str">
        <f>HYPERLINK("http://www.informatics.jax.org/marker/MGI:2686058","MGI:2686058")</f>
        <v>MGI:2686058</v>
      </c>
      <c r="J6489" s="4" t="s">
        <v>12</v>
      </c>
    </row>
    <row r="6490" spans="1:10" x14ac:dyDescent="0.25">
      <c r="A6490" s="2">
        <v>191.295282988357</v>
      </c>
      <c r="B6490" s="3">
        <v>-0.94337647984555495</v>
      </c>
      <c r="C6490" s="5">
        <v>4.3659366180817403E-15</v>
      </c>
      <c r="D6490" s="6">
        <v>5.1634779276145103E-14</v>
      </c>
      <c r="E6490" s="3" t="s">
        <v>2127</v>
      </c>
      <c r="F6490" s="3" t="s">
        <v>2128</v>
      </c>
      <c r="G6490" s="3">
        <v>106633</v>
      </c>
      <c r="H6490" s="7" t="str">
        <f>HYPERLINK("http://www.ensembl.org/Mus_musculus/Gene/Summary?db=core;g=ENSMUSG00000024169","ENSMUSG00000024169")</f>
        <v>ENSMUSG00000024169</v>
      </c>
      <c r="I6490" s="7" t="str">
        <f>HYPERLINK("http://www.informatics.jax.org/marker/MGI:2146906","MGI:2146906")</f>
        <v>MGI:2146906</v>
      </c>
      <c r="J6490" s="4" t="s">
        <v>12</v>
      </c>
    </row>
    <row r="6491" spans="1:10" x14ac:dyDescent="0.25">
      <c r="A6491" s="2">
        <v>9.0109820877747104</v>
      </c>
      <c r="B6491" s="3">
        <v>-0.94363657469543105</v>
      </c>
      <c r="C6491" s="3">
        <v>5.5524684729426101E-3</v>
      </c>
      <c r="D6491" s="4">
        <v>1.6518729663627E-2</v>
      </c>
      <c r="E6491" s="3" t="s">
        <v>10076</v>
      </c>
      <c r="F6491" s="3" t="s">
        <v>10077</v>
      </c>
      <c r="G6491" s="3">
        <v>226841</v>
      </c>
      <c r="H6491" s="7" t="str">
        <f>HYPERLINK("http://www.ensembl.org/Mus_musculus/Gene/Summary?db=core;g=ENSMUSG00000037568","ENSMUSG00000037568")</f>
        <v>ENSMUSG00000037568</v>
      </c>
      <c r="I6491" s="7" t="str">
        <f>HYPERLINK("http://www.informatics.jax.org/marker/MGI:2444826","MGI:2444826")</f>
        <v>MGI:2444826</v>
      </c>
      <c r="J6491" s="4" t="s">
        <v>12</v>
      </c>
    </row>
    <row r="6492" spans="1:10" x14ac:dyDescent="0.25">
      <c r="A6492" s="2">
        <v>1310.55557195201</v>
      </c>
      <c r="B6492" s="3">
        <v>-0.94368539884485803</v>
      </c>
      <c r="C6492" s="5">
        <v>4.9616828686313703E-64</v>
      </c>
      <c r="D6492" s="6">
        <v>3.2882425556657E-62</v>
      </c>
      <c r="E6492" s="3" t="s">
        <v>350</v>
      </c>
      <c r="F6492" s="3" t="s">
        <v>351</v>
      </c>
      <c r="G6492" s="3">
        <v>18709</v>
      </c>
      <c r="H6492" s="7" t="str">
        <f>HYPERLINK("http://www.ensembl.org/Mus_musculus/Gene/Summary?db=core;g=ENSMUSG00000031834","ENSMUSG00000031834")</f>
        <v>ENSMUSG00000031834</v>
      </c>
      <c r="I6492" s="7" t="str">
        <f>HYPERLINK("http://www.informatics.jax.org/marker/MGI:1098772","MGI:1098772")</f>
        <v>MGI:1098772</v>
      </c>
      <c r="J6492" s="4" t="s">
        <v>12</v>
      </c>
    </row>
    <row r="6493" spans="1:10" x14ac:dyDescent="0.25">
      <c r="A6493" s="2">
        <v>25.775201576935501</v>
      </c>
      <c r="B6493" s="3">
        <v>-0.94420585083361896</v>
      </c>
      <c r="C6493" s="5">
        <v>6.8588883714074196E-5</v>
      </c>
      <c r="D6493" s="4">
        <v>2.9371062163745303E-4</v>
      </c>
      <c r="E6493" s="3" t="s">
        <v>6856</v>
      </c>
      <c r="F6493" s="3" t="s">
        <v>6857</v>
      </c>
      <c r="G6493" s="3">
        <v>232430</v>
      </c>
      <c r="H6493" s="7" t="str">
        <f>HYPERLINK("http://www.ensembl.org/Mus_musculus/Gene/Summary?db=core;g=ENSMUSG00000032652","ENSMUSG00000032652")</f>
        <v>ENSMUSG00000032652</v>
      </c>
      <c r="I6493" s="7" t="str">
        <f>HYPERLINK("http://www.informatics.jax.org/marker/MGI:1889385","MGI:1889385")</f>
        <v>MGI:1889385</v>
      </c>
      <c r="J6493" s="4" t="s">
        <v>12</v>
      </c>
    </row>
    <row r="6494" spans="1:10" x14ac:dyDescent="0.25">
      <c r="A6494" s="2">
        <v>862.64696404786298</v>
      </c>
      <c r="B6494" s="3">
        <v>-0.94443148998131099</v>
      </c>
      <c r="C6494" s="5">
        <v>3.8972220884081802E-46</v>
      </c>
      <c r="D6494" s="6">
        <v>1.6870991107182699E-44</v>
      </c>
      <c r="E6494" s="3" t="s">
        <v>983</v>
      </c>
      <c r="F6494" s="3" t="s">
        <v>984</v>
      </c>
      <c r="G6494" s="3">
        <v>72750</v>
      </c>
      <c r="H6494" s="7" t="str">
        <f>HYPERLINK("http://www.ensembl.org/Mus_musculus/Gene/Summary?db=core;g=ENSMUSG00000041040","ENSMUSG00000041040")</f>
        <v>ENSMUSG00000041040</v>
      </c>
      <c r="I6494" s="7" t="str">
        <f>HYPERLINK("http://www.informatics.jax.org/marker/MGI:1920000","MGI:1920000")</f>
        <v>MGI:1920000</v>
      </c>
      <c r="J6494" s="4" t="s">
        <v>12</v>
      </c>
    </row>
    <row r="6495" spans="1:10" x14ac:dyDescent="0.25">
      <c r="A6495" s="2">
        <v>1711.7222522647201</v>
      </c>
      <c r="B6495" s="3">
        <v>-0.94713853480557997</v>
      </c>
      <c r="C6495" s="5">
        <v>4.7613055051580399E-74</v>
      </c>
      <c r="D6495" s="6">
        <v>4.0739339357514301E-72</v>
      </c>
      <c r="E6495" s="3" t="s">
        <v>296</v>
      </c>
      <c r="F6495" s="3" t="s">
        <v>297</v>
      </c>
      <c r="G6495" s="3">
        <v>14673</v>
      </c>
      <c r="H6495" s="7" t="str">
        <f>HYPERLINK("http://www.ensembl.org/Mus_musculus/Gene/Summary?db=core;g=ENSMUSG00000000149","ENSMUSG00000000149")</f>
        <v>ENSMUSG00000000149</v>
      </c>
      <c r="I6495" s="7" t="str">
        <f>HYPERLINK("http://www.informatics.jax.org/marker/MGI:95767","MGI:95767")</f>
        <v>MGI:95767</v>
      </c>
      <c r="J6495" s="4" t="s">
        <v>12</v>
      </c>
    </row>
    <row r="6496" spans="1:10" x14ac:dyDescent="0.25">
      <c r="A6496" s="2">
        <v>281.083449388362</v>
      </c>
      <c r="B6496" s="3">
        <v>-0.94777477639166396</v>
      </c>
      <c r="C6496" s="5">
        <v>4.2569950351139899E-18</v>
      </c>
      <c r="D6496" s="6">
        <v>6.0612292589806594E-17</v>
      </c>
      <c r="E6496" s="3" t="s">
        <v>2137</v>
      </c>
      <c r="F6496" s="3" t="s">
        <v>2138</v>
      </c>
      <c r="G6496" s="3">
        <v>75735</v>
      </c>
      <c r="H6496" s="7" t="str">
        <f>HYPERLINK("http://www.ensembl.org/Mus_musculus/Gene/Summary?db=core;g=ENSMUSG00000033610","ENSMUSG00000033610")</f>
        <v>ENSMUSG00000033610</v>
      </c>
      <c r="I6496" s="7" t="str">
        <f>HYPERLINK("http://www.informatics.jax.org/marker/MGI:1922985","MGI:1922985")</f>
        <v>MGI:1922985</v>
      </c>
      <c r="J6496" s="4" t="s">
        <v>12</v>
      </c>
    </row>
    <row r="6497" spans="1:10" x14ac:dyDescent="0.25">
      <c r="A6497" s="2">
        <v>20.1676515735038</v>
      </c>
      <c r="B6497" s="3">
        <v>-0.94803317169008094</v>
      </c>
      <c r="C6497" s="3">
        <v>5.2428608745351795E-4</v>
      </c>
      <c r="D6497" s="4">
        <v>1.94051867259146E-3</v>
      </c>
      <c r="E6497" s="3" t="s">
        <v>9133</v>
      </c>
      <c r="F6497" s="3" t="s">
        <v>9134</v>
      </c>
      <c r="G6497" s="3">
        <v>171531</v>
      </c>
      <c r="H6497" s="7" t="str">
        <f>HYPERLINK("http://www.ensembl.org/Mus_musculus/Gene/Summary?db=core;g=ENSMUSG00000026303","ENSMUSG00000026303")</f>
        <v>ENSMUSG00000026303</v>
      </c>
      <c r="I6497" s="7" t="str">
        <f>HYPERLINK("http://www.informatics.jax.org/marker/MGI:2176380","MGI:2176380")</f>
        <v>MGI:2176380</v>
      </c>
      <c r="J6497" s="4" t="s">
        <v>12</v>
      </c>
    </row>
    <row r="6498" spans="1:10" x14ac:dyDescent="0.25">
      <c r="A6498" s="2">
        <v>84.412662450935102</v>
      </c>
      <c r="B6498" s="3">
        <v>-0.94914359843398599</v>
      </c>
      <c r="C6498" s="5">
        <v>2.10834125197248E-10</v>
      </c>
      <c r="D6498" s="6">
        <v>1.7529433995072301E-9</v>
      </c>
      <c r="E6498" s="3" t="s">
        <v>6499</v>
      </c>
      <c r="F6498" s="3" t="s">
        <v>6500</v>
      </c>
      <c r="G6498" s="3">
        <v>227154</v>
      </c>
      <c r="H6498" s="7" t="str">
        <f>HYPERLINK("http://www.ensembl.org/Mus_musculus/Gene/Summary?db=core;g=ENSMUSG00000026027","ENSMUSG00000026027")</f>
        <v>ENSMUSG00000026027</v>
      </c>
      <c r="I6498" s="7" t="str">
        <f>HYPERLINK("http://www.informatics.jax.org/marker/MGI:2144047","MGI:2144047")</f>
        <v>MGI:2144047</v>
      </c>
      <c r="J6498" s="4" t="s">
        <v>12</v>
      </c>
    </row>
    <row r="6499" spans="1:10" x14ac:dyDescent="0.25">
      <c r="A6499" s="2">
        <v>21.145898383492799</v>
      </c>
      <c r="B6499" s="3">
        <v>-0.94962702355409401</v>
      </c>
      <c r="C6499" s="3">
        <v>1.0204040262952901E-4</v>
      </c>
      <c r="D6499" s="4">
        <v>4.2624027914809899E-4</v>
      </c>
      <c r="E6499" s="3" t="s">
        <v>6864</v>
      </c>
      <c r="F6499" s="3" t="s">
        <v>6865</v>
      </c>
      <c r="G6499" s="3">
        <v>16500</v>
      </c>
      <c r="H6499" s="7" t="str">
        <f>HYPERLINK("http://www.ensembl.org/Mus_musculus/Gene/Summary?db=core;g=ENSMUSG00000050556","ENSMUSG00000050556")</f>
        <v>ENSMUSG00000050556</v>
      </c>
      <c r="I6499" s="7" t="str">
        <f>HYPERLINK("http://www.informatics.jax.org/marker/MGI:96666","MGI:96666")</f>
        <v>MGI:96666</v>
      </c>
      <c r="J6499" s="4" t="s">
        <v>12</v>
      </c>
    </row>
    <row r="6500" spans="1:10" x14ac:dyDescent="0.25">
      <c r="A6500" s="2">
        <v>828.65929766073305</v>
      </c>
      <c r="B6500" s="3">
        <v>-0.95316550295869895</v>
      </c>
      <c r="C6500" s="5">
        <v>1.11006678471423E-32</v>
      </c>
      <c r="D6500" s="6">
        <v>3.02406085970356E-31</v>
      </c>
      <c r="E6500" s="3" t="s">
        <v>574</v>
      </c>
      <c r="F6500" s="3" t="s">
        <v>575</v>
      </c>
      <c r="G6500" s="3">
        <v>67155</v>
      </c>
      <c r="H6500" s="7" t="str">
        <f>HYPERLINK("http://www.ensembl.org/Mus_musculus/Gene/Summary?db=core;g=ENSMUSG00000024921","ENSMUSG00000024921")</f>
        <v>ENSMUSG00000024921</v>
      </c>
      <c r="I6500" s="7" t="str">
        <f>HYPERLINK("http://www.informatics.jax.org/marker/MGI:99603","MGI:99603")</f>
        <v>MGI:99603</v>
      </c>
      <c r="J6500" s="4" t="s">
        <v>12</v>
      </c>
    </row>
    <row r="6501" spans="1:10" x14ac:dyDescent="0.25">
      <c r="A6501" s="2">
        <v>18.788086695855</v>
      </c>
      <c r="B6501" s="3">
        <v>-0.95317737566546701</v>
      </c>
      <c r="C6501" s="3">
        <v>1.6267386561716099E-4</v>
      </c>
      <c r="D6501" s="4">
        <v>6.5605912831882298E-4</v>
      </c>
      <c r="E6501" s="3" t="s">
        <v>13759</v>
      </c>
      <c r="F6501" s="3" t="s">
        <v>13760</v>
      </c>
      <c r="G6501" s="3" t="s">
        <v>83</v>
      </c>
      <c r="H6501" s="7" t="str">
        <f>HYPERLINK("http://www.ensembl.org/Mus_musculus/Gene/Summary?db=core;g=ENSMUSG00000024295","ENSMUSG00000024295")</f>
        <v>ENSMUSG00000024295</v>
      </c>
      <c r="I6501" s="7" t="str">
        <f>HYPERLINK("http://www.informatics.jax.org/marker/MGI:1925125","MGI:1925125")</f>
        <v>MGI:1925125</v>
      </c>
      <c r="J6501" s="4" t="s">
        <v>320</v>
      </c>
    </row>
    <row r="6502" spans="1:10" x14ac:dyDescent="0.25">
      <c r="A6502" s="2">
        <v>243.471146532679</v>
      </c>
      <c r="B6502" s="3">
        <v>-0.95386441637020203</v>
      </c>
      <c r="C6502" s="5">
        <v>1.74440286515062E-23</v>
      </c>
      <c r="D6502" s="6">
        <v>3.2606915094738499E-22</v>
      </c>
      <c r="E6502" s="3" t="s">
        <v>2167</v>
      </c>
      <c r="F6502" s="3" t="s">
        <v>2168</v>
      </c>
      <c r="G6502" s="3">
        <v>102124</v>
      </c>
      <c r="H6502" s="7" t="str">
        <f>HYPERLINK("http://www.ensembl.org/Mus_musculus/Gene/Summary?db=core;g=ENSMUSG00000013155","ENSMUSG00000013155")</f>
        <v>ENSMUSG00000013155</v>
      </c>
      <c r="I6502" s="7" t="str">
        <f>HYPERLINK("http://www.informatics.jax.org/marker/MGI:2142593","MGI:2142593")</f>
        <v>MGI:2142593</v>
      </c>
      <c r="J6502" s="4" t="s">
        <v>12</v>
      </c>
    </row>
    <row r="6503" spans="1:10" x14ac:dyDescent="0.25">
      <c r="A6503" s="2">
        <v>490.849202859743</v>
      </c>
      <c r="B6503" s="3">
        <v>-0.95423032539230401</v>
      </c>
      <c r="C6503" s="5">
        <v>2.6103350620477901E-14</v>
      </c>
      <c r="D6503" s="6">
        <v>2.9277076090921098E-13</v>
      </c>
      <c r="E6503" s="3" t="s">
        <v>2491</v>
      </c>
      <c r="F6503" s="3" t="s">
        <v>2492</v>
      </c>
      <c r="G6503" s="3">
        <v>13631</v>
      </c>
      <c r="H6503" s="7" t="str">
        <f>HYPERLINK("http://www.ensembl.org/Mus_musculus/Gene/Summary?db=core;g=ENSMUSG00000035064","ENSMUSG00000035064")</f>
        <v>ENSMUSG00000035064</v>
      </c>
      <c r="I6503" s="7" t="str">
        <f>HYPERLINK("http://www.informatics.jax.org/marker/MGI:1195261","MGI:1195261")</f>
        <v>MGI:1195261</v>
      </c>
      <c r="J6503" s="4" t="s">
        <v>12</v>
      </c>
    </row>
    <row r="6504" spans="1:10" x14ac:dyDescent="0.25">
      <c r="A6504" s="2">
        <v>34.484477756855199</v>
      </c>
      <c r="B6504" s="3">
        <v>-0.95427908598487299</v>
      </c>
      <c r="C6504" s="3">
        <v>2.6232447289655401E-3</v>
      </c>
      <c r="D6504" s="4">
        <v>8.4452632371307193E-3</v>
      </c>
      <c r="E6504" s="3" t="s">
        <v>9815</v>
      </c>
      <c r="F6504" s="3" t="s">
        <v>9816</v>
      </c>
      <c r="G6504" s="3">
        <v>19400</v>
      </c>
      <c r="H6504" s="7" t="str">
        <f>HYPERLINK("http://www.ensembl.org/Mus_musculus/Gene/Summary?db=core;g=ENSMUSG00000002104","ENSMUSG00000002104")</f>
        <v>ENSMUSG00000002104</v>
      </c>
      <c r="I6504" s="7" t="str">
        <f>HYPERLINK("http://www.informatics.jax.org/marker/MGI:99422","MGI:99422")</f>
        <v>MGI:99422</v>
      </c>
      <c r="J6504" s="4" t="s">
        <v>12</v>
      </c>
    </row>
    <row r="6505" spans="1:10" x14ac:dyDescent="0.25">
      <c r="A6505" s="2">
        <v>45.106954115721898</v>
      </c>
      <c r="B6505" s="3">
        <v>-0.95433404007452005</v>
      </c>
      <c r="C6505" s="5">
        <v>2.74973431510857E-5</v>
      </c>
      <c r="D6505" s="4">
        <v>1.2591434143933099E-4</v>
      </c>
      <c r="E6505" s="3" t="s">
        <v>9253</v>
      </c>
      <c r="F6505" s="3" t="s">
        <v>9254</v>
      </c>
      <c r="G6505" s="3">
        <v>11636</v>
      </c>
      <c r="H6505" s="7" t="str">
        <f>HYPERLINK("http://www.ensembl.org/Mus_musculus/Gene/Summary?db=core;g=ENSMUSG00000026817","ENSMUSG00000026817")</f>
        <v>ENSMUSG00000026817</v>
      </c>
      <c r="I6505" s="7" t="str">
        <f>HYPERLINK("http://www.informatics.jax.org/marker/MGI:87977","MGI:87977")</f>
        <v>MGI:87977</v>
      </c>
      <c r="J6505" s="4" t="s">
        <v>12</v>
      </c>
    </row>
    <row r="6506" spans="1:10" x14ac:dyDescent="0.25">
      <c r="A6506" s="2">
        <v>46.030665302116397</v>
      </c>
      <c r="B6506" s="3">
        <v>-0.95434284978780703</v>
      </c>
      <c r="C6506" s="5">
        <v>6.2573904909092802E-6</v>
      </c>
      <c r="D6506" s="6">
        <v>3.15553242105207E-5</v>
      </c>
      <c r="E6506" s="3" t="s">
        <v>6399</v>
      </c>
      <c r="F6506" s="3" t="s">
        <v>6400</v>
      </c>
      <c r="G6506" s="3" t="s">
        <v>83</v>
      </c>
      <c r="H6506" s="7" t="str">
        <f>HYPERLINK("http://www.ensembl.org/Mus_musculus/Gene/Summary?db=core;g=ENSMUSG00000072893","ENSMUSG00000072893")</f>
        <v>ENSMUSG00000072893</v>
      </c>
      <c r="I6506" s="7" t="str">
        <f>HYPERLINK("http://www.informatics.jax.org/marker/MGI:1921726","MGI:1921726")</f>
        <v>MGI:1921726</v>
      </c>
      <c r="J6506" s="4" t="s">
        <v>331</v>
      </c>
    </row>
    <row r="6507" spans="1:10" x14ac:dyDescent="0.25">
      <c r="A6507" s="2">
        <v>73.082925175509899</v>
      </c>
      <c r="B6507" s="3">
        <v>-0.95594460489245103</v>
      </c>
      <c r="C6507" s="5">
        <v>2.58893735839021E-11</v>
      </c>
      <c r="D6507" s="6">
        <v>2.3254501407915999E-10</v>
      </c>
      <c r="E6507" s="3" t="s">
        <v>6637</v>
      </c>
      <c r="F6507" s="3" t="s">
        <v>6638</v>
      </c>
      <c r="G6507" s="3">
        <v>239570</v>
      </c>
      <c r="H6507" s="7" t="str">
        <f>HYPERLINK("http://www.ensembl.org/Mus_musculus/Gene/Summary?db=core;g=ENSMUSG00000035944","ENSMUSG00000035944")</f>
        <v>ENSMUSG00000035944</v>
      </c>
      <c r="I6507" s="7" t="str">
        <f>HYPERLINK("http://www.informatics.jax.org/marker/MGI:2146198","MGI:2146198")</f>
        <v>MGI:2146198</v>
      </c>
      <c r="J6507" s="4" t="s">
        <v>12</v>
      </c>
    </row>
    <row r="6508" spans="1:10" x14ac:dyDescent="0.25">
      <c r="A6508" s="2">
        <v>1204.5475557193599</v>
      </c>
      <c r="B6508" s="3">
        <v>-0.95617370055580397</v>
      </c>
      <c r="C6508" s="5">
        <v>1.46164149611625E-46</v>
      </c>
      <c r="D6508" s="6">
        <v>6.3881094164792702E-45</v>
      </c>
      <c r="E6508" s="3" t="s">
        <v>470</v>
      </c>
      <c r="F6508" s="3" t="s">
        <v>471</v>
      </c>
      <c r="G6508" s="3">
        <v>17859</v>
      </c>
      <c r="H6508" s="7" t="str">
        <f>HYPERLINK("http://www.ensembl.org/Mus_musculus/Gene/Summary?db=core;g=ENSMUSG00000025025","ENSMUSG00000025025")</f>
        <v>ENSMUSG00000025025</v>
      </c>
      <c r="I6508" s="7" t="str">
        <f>HYPERLINK("http://www.informatics.jax.org/marker/MGI:97245","MGI:97245")</f>
        <v>MGI:97245</v>
      </c>
      <c r="J6508" s="4" t="s">
        <v>12</v>
      </c>
    </row>
    <row r="6509" spans="1:10" x14ac:dyDescent="0.25">
      <c r="A6509" s="2">
        <v>1655.1172893588</v>
      </c>
      <c r="B6509" s="3">
        <v>-0.95635374735388401</v>
      </c>
      <c r="C6509" s="5">
        <v>2.8707501590235502E-38</v>
      </c>
      <c r="D6509" s="6">
        <v>9.40245926832341E-37</v>
      </c>
      <c r="E6509" s="3" t="s">
        <v>418</v>
      </c>
      <c r="F6509" s="3" t="s">
        <v>419</v>
      </c>
      <c r="G6509" s="3">
        <v>17688</v>
      </c>
      <c r="H6509" s="7" t="str">
        <f>HYPERLINK("http://www.ensembl.org/Mus_musculus/Gene/Summary?db=core;g=ENSMUSG00000005370","ENSMUSG00000005370")</f>
        <v>ENSMUSG00000005370</v>
      </c>
      <c r="I6509" s="7" t="str">
        <f>HYPERLINK("http://www.informatics.jax.org/marker/MGI:1343961","MGI:1343961")</f>
        <v>MGI:1343961</v>
      </c>
      <c r="J6509" s="4" t="s">
        <v>12</v>
      </c>
    </row>
    <row r="6510" spans="1:10" x14ac:dyDescent="0.25">
      <c r="A6510" s="2">
        <v>1258.7895607375599</v>
      </c>
      <c r="B6510" s="3">
        <v>-0.95753998666989104</v>
      </c>
      <c r="C6510" s="5">
        <v>2.4844431528908201E-54</v>
      </c>
      <c r="D6510" s="6">
        <v>1.2936850417552899E-52</v>
      </c>
      <c r="E6510" s="3" t="s">
        <v>298</v>
      </c>
      <c r="F6510" s="3" t="s">
        <v>299</v>
      </c>
      <c r="G6510" s="3">
        <v>68477</v>
      </c>
      <c r="H6510" s="7" t="str">
        <f>HYPERLINK("http://www.ensembl.org/Mus_musculus/Gene/Summary?db=core;g=ENSMUSG00000002222","ENSMUSG00000002222")</f>
        <v>ENSMUSG00000002222</v>
      </c>
      <c r="I6510" s="7" t="str">
        <f>HYPERLINK("http://www.informatics.jax.org/marker/MGI:1915727","MGI:1915727")</f>
        <v>MGI:1915727</v>
      </c>
      <c r="J6510" s="4" t="s">
        <v>12</v>
      </c>
    </row>
    <row r="6511" spans="1:10" x14ac:dyDescent="0.25">
      <c r="A6511" s="2">
        <v>23.412798652674098</v>
      </c>
      <c r="B6511" s="3">
        <v>-0.95763402300300704</v>
      </c>
      <c r="C6511" s="5">
        <v>3.7820833301153998E-5</v>
      </c>
      <c r="D6511" s="4">
        <v>1.6881819419875901E-4</v>
      </c>
      <c r="E6511" s="3" t="s">
        <v>9903</v>
      </c>
      <c r="F6511" s="3" t="s">
        <v>9904</v>
      </c>
      <c r="G6511" s="3">
        <v>381983</v>
      </c>
      <c r="H6511" s="7" t="str">
        <f>HYPERLINK("http://www.ensembl.org/Mus_musculus/Gene/Summary?db=core;g=ENSMUSG00000062044","ENSMUSG00000062044")</f>
        <v>ENSMUSG00000062044</v>
      </c>
      <c r="I6511" s="7" t="str">
        <f>HYPERLINK("http://www.informatics.jax.org/marker/MGI:3039582","MGI:3039582")</f>
        <v>MGI:3039582</v>
      </c>
      <c r="J6511" s="4" t="s">
        <v>12</v>
      </c>
    </row>
    <row r="6512" spans="1:10" x14ac:dyDescent="0.25">
      <c r="A6512" s="2">
        <v>11.432277358035</v>
      </c>
      <c r="B6512" s="3">
        <v>-0.95860149227239799</v>
      </c>
      <c r="C6512" s="3">
        <v>6.5114834089653904E-3</v>
      </c>
      <c r="D6512" s="4">
        <v>1.9079065133182398E-2</v>
      </c>
      <c r="E6512" s="3" t="s">
        <v>10516</v>
      </c>
      <c r="F6512" s="3" t="s">
        <v>10517</v>
      </c>
      <c r="G6512" s="3">
        <v>56279</v>
      </c>
      <c r="H6512" s="7" t="str">
        <f>HYPERLINK("http://www.ensembl.org/Mus_musculus/Gene/Summary?db=core;g=ENSMUSG00000036186","ENSMUSG00000036186")</f>
        <v>ENSMUSG00000036186</v>
      </c>
      <c r="I6512" s="7" t="str">
        <f>HYPERLINK("http://www.informatics.jax.org/marker/MGI:1927576","MGI:1927576")</f>
        <v>MGI:1927576</v>
      </c>
      <c r="J6512" s="4" t="s">
        <v>12</v>
      </c>
    </row>
    <row r="6513" spans="1:10" x14ac:dyDescent="0.25">
      <c r="A6513" s="2">
        <v>473.58640237371299</v>
      </c>
      <c r="B6513" s="3">
        <v>-0.959051688112048</v>
      </c>
      <c r="C6513" s="5">
        <v>5.7394828963968999E-11</v>
      </c>
      <c r="D6513" s="6">
        <v>5.01688612886492E-10</v>
      </c>
      <c r="E6513" s="3" t="s">
        <v>4685</v>
      </c>
      <c r="F6513" s="3" t="s">
        <v>4686</v>
      </c>
      <c r="G6513" s="3">
        <v>13400</v>
      </c>
      <c r="H6513" s="7" t="str">
        <f>HYPERLINK("http://www.ensembl.org/Mus_musculus/Gene/Summary?db=core;g=ENSMUSG00000030409","ENSMUSG00000030409")</f>
        <v>ENSMUSG00000030409</v>
      </c>
      <c r="I6513" s="7" t="str">
        <f>HYPERLINK("http://www.informatics.jax.org/marker/MGI:94906","MGI:94906")</f>
        <v>MGI:94906</v>
      </c>
      <c r="J6513" s="4" t="s">
        <v>12</v>
      </c>
    </row>
    <row r="6514" spans="1:10" x14ac:dyDescent="0.25">
      <c r="A6514" s="2">
        <v>71.477572883001301</v>
      </c>
      <c r="B6514" s="3">
        <v>-0.95916562241649195</v>
      </c>
      <c r="C6514" s="5">
        <v>2.0599545890039702E-8</v>
      </c>
      <c r="D6514" s="6">
        <v>1.39046934757768E-7</v>
      </c>
      <c r="E6514" s="3" t="s">
        <v>5325</v>
      </c>
      <c r="F6514" s="3" t="s">
        <v>5326</v>
      </c>
      <c r="G6514" s="3">
        <v>241289</v>
      </c>
      <c r="H6514" s="7" t="str">
        <f>HYPERLINK("http://www.ensembl.org/Mus_musculus/Gene/Summary?db=core;g=ENSMUSG00000035829","ENSMUSG00000035829")</f>
        <v>ENSMUSG00000035829</v>
      </c>
      <c r="I6514" s="7" t="str">
        <f>HYPERLINK("http://www.informatics.jax.org/marker/MGI:2685193","MGI:2685193")</f>
        <v>MGI:2685193</v>
      </c>
      <c r="J6514" s="4" t="s">
        <v>12</v>
      </c>
    </row>
    <row r="6515" spans="1:10" x14ac:dyDescent="0.25">
      <c r="A6515" s="2">
        <v>15.029387449190301</v>
      </c>
      <c r="B6515" s="3">
        <v>-0.96053957940194401</v>
      </c>
      <c r="C6515" s="3">
        <v>6.23475259744664E-4</v>
      </c>
      <c r="D6515" s="4">
        <v>2.27849139940776E-3</v>
      </c>
      <c r="E6515" s="3" t="s">
        <v>13503</v>
      </c>
      <c r="F6515" s="3" t="s">
        <v>13504</v>
      </c>
      <c r="G6515" s="3">
        <v>229011</v>
      </c>
      <c r="H6515" s="7" t="str">
        <f>HYPERLINK("http://www.ensembl.org/Mus_musculus/Gene/Summary?db=core;g=ENSMUSG00000038605","ENSMUSG00000038605")</f>
        <v>ENSMUSG00000038605</v>
      </c>
      <c r="I6515" s="7" t="str">
        <f>HYPERLINK("http://www.informatics.jax.org/marker/MGI:2443872","MGI:2443872")</f>
        <v>MGI:2443872</v>
      </c>
      <c r="J6515" s="4" t="s">
        <v>12</v>
      </c>
    </row>
    <row r="6516" spans="1:10" x14ac:dyDescent="0.25">
      <c r="A6516" s="2">
        <v>57.6672928547355</v>
      </c>
      <c r="B6516" s="3">
        <v>-0.96522014118922705</v>
      </c>
      <c r="C6516" s="5">
        <v>1.6457993885478599E-6</v>
      </c>
      <c r="D6516" s="6">
        <v>8.9243361667017697E-6</v>
      </c>
      <c r="E6516" s="3" t="s">
        <v>5817</v>
      </c>
      <c r="F6516" s="3" t="s">
        <v>5818</v>
      </c>
      <c r="G6516" s="3">
        <v>333050</v>
      </c>
      <c r="H6516" s="7" t="str">
        <f>HYPERLINK("http://www.ensembl.org/Mus_musculus/Gene/Summary?db=core;g=ENSMUSG00000061578","ENSMUSG00000061578")</f>
        <v>ENSMUSG00000061578</v>
      </c>
      <c r="I6516" s="7" t="str">
        <f>HYPERLINK("http://www.informatics.jax.org/marker/MGI:3610315","MGI:3610315")</f>
        <v>MGI:3610315</v>
      </c>
      <c r="J6516" s="4" t="s">
        <v>12</v>
      </c>
    </row>
    <row r="6517" spans="1:10" x14ac:dyDescent="0.25">
      <c r="A6517" s="2">
        <v>4.6255180870375803</v>
      </c>
      <c r="B6517" s="3">
        <v>-0.96639854566443595</v>
      </c>
      <c r="C6517" s="3">
        <v>2.3102818293202002E-2</v>
      </c>
      <c r="D6517" s="4">
        <v>5.8507933151334901E-2</v>
      </c>
      <c r="E6517" s="3" t="s">
        <v>12153</v>
      </c>
      <c r="F6517" s="3" t="s">
        <v>12154</v>
      </c>
      <c r="G6517" s="3">
        <v>102640920</v>
      </c>
      <c r="H6517" s="7" t="str">
        <f>HYPERLINK("http://www.ensembl.org/Mus_musculus/Gene/Summary?db=core;g=ENSMUSG00000109713","ENSMUSG00000109713")</f>
        <v>ENSMUSG00000109713</v>
      </c>
      <c r="I6517" s="7" t="str">
        <f>HYPERLINK("http://www.informatics.jax.org/marker/MGI:5596028","MGI:5596028")</f>
        <v>MGI:5596028</v>
      </c>
      <c r="J6517" s="4" t="s">
        <v>12</v>
      </c>
    </row>
    <row r="6518" spans="1:10" x14ac:dyDescent="0.25">
      <c r="A6518" s="2">
        <v>58.393536983584802</v>
      </c>
      <c r="B6518" s="3">
        <v>-0.97115065642739795</v>
      </c>
      <c r="C6518" s="5">
        <v>3.5433701247037898E-6</v>
      </c>
      <c r="D6518" s="6">
        <v>1.8435032978226299E-5</v>
      </c>
      <c r="E6518" s="3" t="s">
        <v>6183</v>
      </c>
      <c r="F6518" s="3" t="s">
        <v>6184</v>
      </c>
      <c r="G6518" s="3">
        <v>56017</v>
      </c>
      <c r="H6518" s="7" t="str">
        <f>HYPERLINK("http://www.ensembl.org/Mus_musculus/Gene/Summary?db=core;g=ENSMUSG00000026791","ENSMUSG00000026791")</f>
        <v>ENSMUSG00000026791</v>
      </c>
      <c r="I6518" s="7" t="str">
        <f>HYPERLINK("http://www.informatics.jax.org/marker/MGI:1860103","MGI:1860103")</f>
        <v>MGI:1860103</v>
      </c>
      <c r="J6518" s="4" t="s">
        <v>12</v>
      </c>
    </row>
    <row r="6519" spans="1:10" x14ac:dyDescent="0.25">
      <c r="A6519" s="2">
        <v>31.661841830386599</v>
      </c>
      <c r="B6519" s="3">
        <v>-0.97211393671351398</v>
      </c>
      <c r="C6519" s="5">
        <v>9.9955248627038704E-5</v>
      </c>
      <c r="D6519" s="4">
        <v>4.1800927173652602E-4</v>
      </c>
      <c r="E6519" s="3" t="s">
        <v>9011</v>
      </c>
      <c r="F6519" s="3" t="s">
        <v>9012</v>
      </c>
      <c r="G6519" s="3">
        <v>268807</v>
      </c>
      <c r="H6519" s="7" t="str">
        <f>HYPERLINK("http://www.ensembl.org/Mus_musculus/Gene/Summary?db=core;g=ENSMUSG00000022357","ENSMUSG00000022357")</f>
        <v>ENSMUSG00000022357</v>
      </c>
      <c r="I6519" s="7" t="str">
        <f>HYPERLINK("http://www.informatics.jax.org/marker/MGI:3045310","MGI:3045310")</f>
        <v>MGI:3045310</v>
      </c>
      <c r="J6519" s="4" t="s">
        <v>12</v>
      </c>
    </row>
    <row r="6520" spans="1:10" x14ac:dyDescent="0.25">
      <c r="A6520" s="2">
        <v>932.63137788778602</v>
      </c>
      <c r="B6520" s="3">
        <v>-0.97267864260053005</v>
      </c>
      <c r="C6520" s="5">
        <v>3.3590557713811803E-73</v>
      </c>
      <c r="D6520" s="6">
        <v>2.8342033071028701E-71</v>
      </c>
      <c r="E6520" s="3" t="s">
        <v>158</v>
      </c>
      <c r="F6520" s="3" t="s">
        <v>159</v>
      </c>
      <c r="G6520" s="3">
        <v>219072</v>
      </c>
      <c r="H6520" s="7" t="str">
        <f>HYPERLINK("http://www.ensembl.org/Mus_musculus/Gene/Summary?db=core;g=ENSMUSG00000022177","ENSMUSG00000022177")</f>
        <v>ENSMUSG00000022177</v>
      </c>
      <c r="I6520" s="7" t="str">
        <f>HYPERLINK("http://www.informatics.jax.org/marker/MGI:1261794","MGI:1261794")</f>
        <v>MGI:1261794</v>
      </c>
      <c r="J6520" s="4" t="s">
        <v>12</v>
      </c>
    </row>
    <row r="6521" spans="1:10" x14ac:dyDescent="0.25">
      <c r="A6521" s="2">
        <v>196.461860732215</v>
      </c>
      <c r="B6521" s="3">
        <v>-0.97278743728569705</v>
      </c>
      <c r="C6521" s="5">
        <v>7.0928385511027602E-24</v>
      </c>
      <c r="D6521" s="6">
        <v>1.34094380284075E-22</v>
      </c>
      <c r="E6521" s="3" t="s">
        <v>1841</v>
      </c>
      <c r="F6521" s="3" t="s">
        <v>1842</v>
      </c>
      <c r="G6521" s="3">
        <v>319757</v>
      </c>
      <c r="H6521" s="7" t="str">
        <f>HYPERLINK("http://www.ensembl.org/Mus_musculus/Gene/Summary?db=core;g=ENSMUSG00000001761","ENSMUSG00000001761")</f>
        <v>ENSMUSG00000001761</v>
      </c>
      <c r="I6521" s="7" t="str">
        <f>HYPERLINK("http://www.informatics.jax.org/marker/MGI:108075","MGI:108075")</f>
        <v>MGI:108075</v>
      </c>
      <c r="J6521" s="4" t="s">
        <v>12</v>
      </c>
    </row>
    <row r="6522" spans="1:10" x14ac:dyDescent="0.25">
      <c r="A6522" s="2">
        <v>69.522400816125099</v>
      </c>
      <c r="B6522" s="3">
        <v>-0.97354325928522101</v>
      </c>
      <c r="C6522" s="5">
        <v>7.1630717554107596E-11</v>
      </c>
      <c r="D6522" s="6">
        <v>6.2076549092896404E-10</v>
      </c>
      <c r="E6522" s="3" t="s">
        <v>5371</v>
      </c>
      <c r="F6522" s="3" t="s">
        <v>5372</v>
      </c>
      <c r="G6522" s="3">
        <v>236727</v>
      </c>
      <c r="H6522" s="7" t="str">
        <f>HYPERLINK("http://www.ensembl.org/Mus_musculus/Gene/Summary?db=core;g=ENSMUSG00000037341","ENSMUSG00000037341")</f>
        <v>ENSMUSG00000037341</v>
      </c>
      <c r="I6522" s="7" t="str">
        <f>HYPERLINK("http://www.informatics.jax.org/marker/MGI:2444530","MGI:2444530")</f>
        <v>MGI:2444530</v>
      </c>
      <c r="J6522" s="4" t="s">
        <v>12</v>
      </c>
    </row>
    <row r="6523" spans="1:10" x14ac:dyDescent="0.25">
      <c r="A6523" s="2">
        <v>32.3589025225059</v>
      </c>
      <c r="B6523" s="3">
        <v>-0.97533571604295399</v>
      </c>
      <c r="C6523" s="5">
        <v>1.5757703883698501E-5</v>
      </c>
      <c r="D6523" s="6">
        <v>7.4787539916772099E-5</v>
      </c>
      <c r="E6523" s="3" t="s">
        <v>12009</v>
      </c>
      <c r="F6523" s="3" t="s">
        <v>12010</v>
      </c>
      <c r="G6523" s="3">
        <v>21827</v>
      </c>
      <c r="H6523" s="7" t="str">
        <f>HYPERLINK("http://www.ensembl.org/Mus_musculus/Gene/Summary?db=core;g=ENSMUSG00000028047","ENSMUSG00000028047")</f>
        <v>ENSMUSG00000028047</v>
      </c>
      <c r="I6523" s="7" t="str">
        <f>HYPERLINK("http://www.informatics.jax.org/marker/MGI:98739","MGI:98739")</f>
        <v>MGI:98739</v>
      </c>
      <c r="J6523" s="4" t="s">
        <v>12</v>
      </c>
    </row>
    <row r="6524" spans="1:10" x14ac:dyDescent="0.25">
      <c r="A6524" s="2">
        <v>2.09114081363728</v>
      </c>
      <c r="B6524" s="3">
        <v>-0.97577650561396601</v>
      </c>
      <c r="C6524" s="3">
        <v>3.7795974684022599E-2</v>
      </c>
      <c r="D6524" s="4">
        <v>8.9984538029563896E-2</v>
      </c>
      <c r="E6524" s="3" t="s">
        <v>12031</v>
      </c>
      <c r="F6524" s="3" t="s">
        <v>12032</v>
      </c>
      <c r="G6524" s="3">
        <v>93961</v>
      </c>
      <c r="H6524" s="7" t="str">
        <f>HYPERLINK("http://www.ensembl.org/Mus_musculus/Gene/Summary?db=core;g=ENSMUSG00000074892","ENSMUSG00000074892")</f>
        <v>ENSMUSG00000074892</v>
      </c>
      <c r="I6524" s="7" t="str">
        <f>HYPERLINK("http://www.informatics.jax.org/marker/MGI:2136878","MGI:2136878")</f>
        <v>MGI:2136878</v>
      </c>
      <c r="J6524" s="4" t="s">
        <v>12</v>
      </c>
    </row>
    <row r="6525" spans="1:10" x14ac:dyDescent="0.25">
      <c r="A6525" s="2">
        <v>228.86152342255801</v>
      </c>
      <c r="B6525" s="3">
        <v>-0.97583058542716405</v>
      </c>
      <c r="C6525" s="5">
        <v>4.7096889689716603E-15</v>
      </c>
      <c r="D6525" s="6">
        <v>5.5376826748070003E-14</v>
      </c>
      <c r="E6525" s="3" t="s">
        <v>2924</v>
      </c>
      <c r="F6525" s="3" t="s">
        <v>2925</v>
      </c>
      <c r="G6525" s="3">
        <v>12393</v>
      </c>
      <c r="H6525" s="7" t="str">
        <f>HYPERLINK("http://www.ensembl.org/Mus_musculus/Gene/Summary?db=core;g=ENSMUSG00000039153","ENSMUSG00000039153")</f>
        <v>ENSMUSG00000039153</v>
      </c>
      <c r="I6525" s="7" t="str">
        <f>HYPERLINK("http://www.informatics.jax.org/marker/MGI:99829","MGI:99829")</f>
        <v>MGI:99829</v>
      </c>
      <c r="J6525" s="4" t="s">
        <v>12</v>
      </c>
    </row>
    <row r="6526" spans="1:10" x14ac:dyDescent="0.25">
      <c r="A6526" s="2">
        <v>13.9487788605306</v>
      </c>
      <c r="B6526" s="3">
        <v>-0.97611936422416601</v>
      </c>
      <c r="C6526" s="3">
        <v>9.6302144051656495E-4</v>
      </c>
      <c r="D6526" s="4">
        <v>3.4020286399330099E-3</v>
      </c>
      <c r="E6526" s="3" t="s">
        <v>12189</v>
      </c>
      <c r="F6526" s="3" t="s">
        <v>12190</v>
      </c>
      <c r="G6526" s="3" t="s">
        <v>83</v>
      </c>
      <c r="H6526" s="7" t="str">
        <f>HYPERLINK("http://www.ensembl.org/Mus_musculus/Gene/Summary?db=core;g=ENSMUSG00000113047","ENSMUSG00000113047")</f>
        <v>ENSMUSG00000113047</v>
      </c>
      <c r="I6526" s="7" t="str">
        <f>HYPERLINK("http://www.informatics.jax.org/marker/MGI:6096437","MGI:6096437")</f>
        <v>MGI:6096437</v>
      </c>
      <c r="J6526" s="4" t="s">
        <v>939</v>
      </c>
    </row>
    <row r="6527" spans="1:10" x14ac:dyDescent="0.25">
      <c r="A6527" s="2">
        <v>299.09968919293402</v>
      </c>
      <c r="B6527" s="3">
        <v>-0.977494979944044</v>
      </c>
      <c r="C6527" s="5">
        <v>1.5831311710137401E-22</v>
      </c>
      <c r="D6527" s="6">
        <v>2.8231473181727499E-21</v>
      </c>
      <c r="E6527" s="3" t="s">
        <v>1033</v>
      </c>
      <c r="F6527" s="3" t="s">
        <v>1034</v>
      </c>
      <c r="G6527" s="3">
        <v>94218</v>
      </c>
      <c r="H6527" s="7" t="str">
        <f>HYPERLINK("http://www.ensembl.org/Mus_musculus/Gene/Summary?db=core;g=ENSMUSG00000001138","ENSMUSG00000001138")</f>
        <v>ENSMUSG00000001138</v>
      </c>
      <c r="I6527" s="7" t="str">
        <f>HYPERLINK("http://www.informatics.jax.org/marker/MGI:2151055","MGI:2151055")</f>
        <v>MGI:2151055</v>
      </c>
      <c r="J6527" s="4" t="s">
        <v>12</v>
      </c>
    </row>
    <row r="6528" spans="1:10" x14ac:dyDescent="0.25">
      <c r="A6528" s="2">
        <v>84.993097327899505</v>
      </c>
      <c r="B6528" s="3">
        <v>-0.97916129343766101</v>
      </c>
      <c r="C6528" s="5">
        <v>2.0969025180924801E-11</v>
      </c>
      <c r="D6528" s="6">
        <v>1.9003504919062799E-10</v>
      </c>
      <c r="E6528" s="3" t="s">
        <v>3183</v>
      </c>
      <c r="F6528" s="3" t="s">
        <v>3184</v>
      </c>
      <c r="G6528" s="3">
        <v>74478</v>
      </c>
      <c r="H6528" s="7" t="str">
        <f>HYPERLINK("http://www.ensembl.org/Mus_musculus/Gene/Summary?db=core;g=ENSMUSG00000071669","ENSMUSG00000071669")</f>
        <v>ENSMUSG00000071669</v>
      </c>
      <c r="I6528" s="7" t="str">
        <f>HYPERLINK("http://www.informatics.jax.org/marker/MGI:1921728","MGI:1921728")</f>
        <v>MGI:1921728</v>
      </c>
      <c r="J6528" s="4" t="s">
        <v>12</v>
      </c>
    </row>
    <row r="6529" spans="1:10" x14ac:dyDescent="0.25">
      <c r="A6529" s="2">
        <v>1098.07565128693</v>
      </c>
      <c r="B6529" s="3">
        <v>-0.98078857184337198</v>
      </c>
      <c r="C6529" s="5">
        <v>4.6345839171008398E-29</v>
      </c>
      <c r="D6529" s="6">
        <v>1.09980848814014E-27</v>
      </c>
      <c r="E6529" s="3" t="s">
        <v>1037</v>
      </c>
      <c r="F6529" s="3" t="s">
        <v>1038</v>
      </c>
      <c r="G6529" s="3">
        <v>15184</v>
      </c>
      <c r="H6529" s="7" t="str">
        <f>HYPERLINK("http://www.ensembl.org/Mus_musculus/Gene/Summary?db=core;g=ENSMUSG00000008855","ENSMUSG00000008855")</f>
        <v>ENSMUSG00000008855</v>
      </c>
      <c r="I6529" s="7" t="str">
        <f>HYPERLINK("http://www.informatics.jax.org/marker/MGI:1333784","MGI:1333784")</f>
        <v>MGI:1333784</v>
      </c>
      <c r="J6529" s="4" t="s">
        <v>12</v>
      </c>
    </row>
    <row r="6530" spans="1:10" x14ac:dyDescent="0.25">
      <c r="A6530" s="2">
        <v>29.324975864160798</v>
      </c>
      <c r="B6530" s="3">
        <v>-0.98106590344473099</v>
      </c>
      <c r="C6530" s="5">
        <v>9.6389738837342596E-6</v>
      </c>
      <c r="D6530" s="6">
        <v>4.7235896485898602E-5</v>
      </c>
      <c r="E6530" s="3" t="s">
        <v>8935</v>
      </c>
      <c r="F6530" s="3" t="s">
        <v>8936</v>
      </c>
      <c r="G6530" s="3">
        <v>235050</v>
      </c>
      <c r="H6530" s="7" t="str">
        <f>HYPERLINK("http://www.ensembl.org/Mus_musculus/Gene/Summary?db=core;g=ENSMUSG00000066829","ENSMUSG00000066829")</f>
        <v>ENSMUSG00000066829</v>
      </c>
      <c r="I6530" s="7" t="str">
        <f>HYPERLINK("http://www.informatics.jax.org/marker/MGI:2384563","MGI:2384563")</f>
        <v>MGI:2384563</v>
      </c>
      <c r="J6530" s="4" t="s">
        <v>12</v>
      </c>
    </row>
    <row r="6531" spans="1:10" x14ac:dyDescent="0.25">
      <c r="A6531" s="2">
        <v>3.6620420055633298</v>
      </c>
      <c r="B6531" s="3">
        <v>-0.98183684156489304</v>
      </c>
      <c r="C6531" s="3">
        <v>2.7236470439527101E-2</v>
      </c>
      <c r="D6531" s="4">
        <v>6.7590505686326394E-2</v>
      </c>
      <c r="E6531" s="3" t="s">
        <v>13139</v>
      </c>
      <c r="F6531" s="3" t="s">
        <v>13140</v>
      </c>
      <c r="G6531" s="3">
        <v>18604</v>
      </c>
      <c r="H6531" s="7" t="str">
        <f>HYPERLINK("http://www.ensembl.org/Mus_musculus/Gene/Summary?db=core;g=ENSMUSG00000038967","ENSMUSG00000038967")</f>
        <v>ENSMUSG00000038967</v>
      </c>
      <c r="I6531" s="7" t="str">
        <f>HYPERLINK("http://www.informatics.jax.org/marker/MGI:1343087","MGI:1343087")</f>
        <v>MGI:1343087</v>
      </c>
      <c r="J6531" s="4" t="s">
        <v>12</v>
      </c>
    </row>
    <row r="6532" spans="1:10" x14ac:dyDescent="0.25">
      <c r="A6532" s="2">
        <v>6.0623792775357304</v>
      </c>
      <c r="B6532" s="3">
        <v>-0.98295352990790097</v>
      </c>
      <c r="C6532" s="3">
        <v>1.4346143981651301E-2</v>
      </c>
      <c r="D6532" s="4">
        <v>3.8608752815356702E-2</v>
      </c>
      <c r="E6532" s="3" t="s">
        <v>13719</v>
      </c>
      <c r="F6532" s="3" t="s">
        <v>13720</v>
      </c>
      <c r="G6532" s="3">
        <v>218630</v>
      </c>
      <c r="H6532" s="7" t="str">
        <f>HYPERLINK("http://www.ensembl.org/Mus_musculus/Gene/Summary?db=core;g=ENSMUSG00000042417","ENSMUSG00000042417")</f>
        <v>ENSMUSG00000042417</v>
      </c>
      <c r="I6532" s="7" t="str">
        <f>HYPERLINK("http://www.informatics.jax.org/marker/MGI:2145534","MGI:2145534")</f>
        <v>MGI:2145534</v>
      </c>
      <c r="J6532" s="4" t="s">
        <v>12</v>
      </c>
    </row>
    <row r="6533" spans="1:10" x14ac:dyDescent="0.25">
      <c r="A6533" s="2">
        <v>230.40763576974899</v>
      </c>
      <c r="B6533" s="3">
        <v>-0.98378999345463702</v>
      </c>
      <c r="C6533" s="5">
        <v>5.4535768440597402E-28</v>
      </c>
      <c r="D6533" s="6">
        <v>1.24084192238438E-26</v>
      </c>
      <c r="E6533" s="3" t="s">
        <v>1054</v>
      </c>
      <c r="F6533" s="3" t="s">
        <v>1055</v>
      </c>
      <c r="G6533" s="3">
        <v>56458</v>
      </c>
      <c r="H6533" s="7" t="str">
        <f>HYPERLINK("http://www.ensembl.org/Mus_musculus/Gene/Summary?db=core;g=ENSMUSG00000044167","ENSMUSG00000044167")</f>
        <v>ENSMUSG00000044167</v>
      </c>
      <c r="I6533" s="7" t="str">
        <f>HYPERLINK("http://www.informatics.jax.org/marker/MGI:1890077","MGI:1890077")</f>
        <v>MGI:1890077</v>
      </c>
      <c r="J6533" s="4" t="s">
        <v>12</v>
      </c>
    </row>
    <row r="6534" spans="1:10" x14ac:dyDescent="0.25">
      <c r="A6534" s="2">
        <v>83.871894344683795</v>
      </c>
      <c r="B6534" s="3">
        <v>-0.98480831161496096</v>
      </c>
      <c r="C6534" s="5">
        <v>3.4390475628108899E-13</v>
      </c>
      <c r="D6534" s="6">
        <v>3.6083271060580602E-12</v>
      </c>
      <c r="E6534" s="3" t="s">
        <v>3776</v>
      </c>
      <c r="F6534" s="3" t="s">
        <v>3777</v>
      </c>
      <c r="G6534" s="3">
        <v>12322</v>
      </c>
      <c r="H6534" s="7" t="str">
        <f>HYPERLINK("http://www.ensembl.org/Mus_musculus/Gene/Summary?db=core;g=ENSMUSG00000024617","ENSMUSG00000024617")</f>
        <v>ENSMUSG00000024617</v>
      </c>
      <c r="I6534" s="7" t="str">
        <f>HYPERLINK("http://www.informatics.jax.org/marker/MGI:88256","MGI:88256")</f>
        <v>MGI:88256</v>
      </c>
      <c r="J6534" s="4" t="s">
        <v>12</v>
      </c>
    </row>
    <row r="6535" spans="1:10" x14ac:dyDescent="0.25">
      <c r="A6535" s="2">
        <v>21.874969874264799</v>
      </c>
      <c r="B6535" s="3">
        <v>-0.98532709028662302</v>
      </c>
      <c r="C6535" s="3">
        <v>3.24921438867827E-4</v>
      </c>
      <c r="D6535" s="4">
        <v>1.2417054358075401E-3</v>
      </c>
      <c r="E6535" s="3" t="s">
        <v>8805</v>
      </c>
      <c r="F6535" s="3" t="s">
        <v>8806</v>
      </c>
      <c r="G6535" s="3">
        <v>72421</v>
      </c>
      <c r="H6535" s="7" t="str">
        <f>HYPERLINK("http://www.ensembl.org/Mus_musculus/Gene/Summary?db=core;g=ENSMUSG00000075273","ENSMUSG00000075273")</f>
        <v>ENSMUSG00000075273</v>
      </c>
      <c r="I6535" s="7" t="str">
        <f>HYPERLINK("http://www.informatics.jax.org/marker/MGI:1919671","MGI:1919671")</f>
        <v>MGI:1919671</v>
      </c>
      <c r="J6535" s="4" t="s">
        <v>12</v>
      </c>
    </row>
    <row r="6536" spans="1:10" x14ac:dyDescent="0.25">
      <c r="A6536" s="2">
        <v>562.49581528705698</v>
      </c>
      <c r="B6536" s="3">
        <v>-0.98641770406375795</v>
      </c>
      <c r="C6536" s="5">
        <v>3.52983490138968E-6</v>
      </c>
      <c r="D6536" s="6">
        <v>1.83698575322179E-5</v>
      </c>
      <c r="E6536" s="3" t="s">
        <v>10136</v>
      </c>
      <c r="F6536" s="3" t="s">
        <v>10137</v>
      </c>
      <c r="G6536" s="3">
        <v>21858</v>
      </c>
      <c r="H6536" s="7" t="str">
        <f>HYPERLINK("http://www.ensembl.org/Mus_musculus/Gene/Summary?db=core;g=ENSMUSG00000017466","ENSMUSG00000017466")</f>
        <v>ENSMUSG00000017466</v>
      </c>
      <c r="I6536" s="7" t="str">
        <f>HYPERLINK("http://www.informatics.jax.org/marker/MGI:98753","MGI:98753")</f>
        <v>MGI:98753</v>
      </c>
      <c r="J6536" s="4" t="s">
        <v>12</v>
      </c>
    </row>
    <row r="6537" spans="1:10" x14ac:dyDescent="0.25">
      <c r="A6537" s="2">
        <v>74.964188158881697</v>
      </c>
      <c r="B6537" s="3">
        <v>-0.98691077012111705</v>
      </c>
      <c r="C6537" s="5">
        <v>2.37606815311306E-11</v>
      </c>
      <c r="D6537" s="6">
        <v>2.1437545589349199E-10</v>
      </c>
      <c r="E6537" s="3" t="s">
        <v>3788</v>
      </c>
      <c r="F6537" s="3" t="s">
        <v>3789</v>
      </c>
      <c r="G6537" s="3">
        <v>212503</v>
      </c>
      <c r="H6537" s="7" t="str">
        <f>HYPERLINK("http://www.ensembl.org/Mus_musculus/Gene/Summary?db=core;g=ENSMUSG00000025464","ENSMUSG00000025464")</f>
        <v>ENSMUSG00000025464</v>
      </c>
      <c r="I6537" s="7" t="str">
        <f>HYPERLINK("http://www.informatics.jax.org/marker/MGI:1916983","MGI:1916983")</f>
        <v>MGI:1916983</v>
      </c>
      <c r="J6537" s="4" t="s">
        <v>12</v>
      </c>
    </row>
    <row r="6538" spans="1:10" x14ac:dyDescent="0.25">
      <c r="A6538" s="2">
        <v>1132.1545954127901</v>
      </c>
      <c r="B6538" s="3">
        <v>-0.987269807527551</v>
      </c>
      <c r="C6538" s="5">
        <v>6.8972489302365805E-50</v>
      </c>
      <c r="D6538" s="6">
        <v>3.2734990039989998E-48</v>
      </c>
      <c r="E6538" s="3" t="s">
        <v>264</v>
      </c>
      <c r="F6538" s="3" t="s">
        <v>265</v>
      </c>
      <c r="G6538" s="3">
        <v>494448</v>
      </c>
      <c r="H6538" s="7" t="str">
        <f>HYPERLINK("http://www.ensembl.org/Mus_musculus/Gene/Summary?db=core;g=ENSMUSG00000089715","ENSMUSG00000089715")</f>
        <v>ENSMUSG00000089715</v>
      </c>
      <c r="I6538" s="7" t="str">
        <f>HYPERLINK("http://www.informatics.jax.org/marker/MGI:3512628","MGI:3512628")</f>
        <v>MGI:3512628</v>
      </c>
      <c r="J6538" s="4" t="s">
        <v>12</v>
      </c>
    </row>
    <row r="6539" spans="1:10" x14ac:dyDescent="0.25">
      <c r="A6539" s="2">
        <v>252.38568128960301</v>
      </c>
      <c r="B6539" s="3">
        <v>-0.98731713127925302</v>
      </c>
      <c r="C6539" s="5">
        <v>3.4443625675527502E-11</v>
      </c>
      <c r="D6539" s="6">
        <v>3.0606293414748302E-10</v>
      </c>
      <c r="E6539" s="3" t="s">
        <v>4281</v>
      </c>
      <c r="F6539" s="3" t="s">
        <v>4282</v>
      </c>
      <c r="G6539" s="3">
        <v>66355</v>
      </c>
      <c r="H6539" s="7" t="str">
        <f>HYPERLINK("http://www.ensembl.org/Mus_musculus/Gene/Summary?db=core;g=ENSMUSG00000000253","ENSMUSG00000000253")</f>
        <v>ENSMUSG00000000253</v>
      </c>
      <c r="I6539" s="7" t="str">
        <f>HYPERLINK("http://www.informatics.jax.org/marker/MGI:1913605","MGI:1913605")</f>
        <v>MGI:1913605</v>
      </c>
      <c r="J6539" s="4" t="s">
        <v>12</v>
      </c>
    </row>
    <row r="6540" spans="1:10" x14ac:dyDescent="0.25">
      <c r="A6540" s="2">
        <v>57.561887933219502</v>
      </c>
      <c r="B6540" s="3">
        <v>-0.98814386046554203</v>
      </c>
      <c r="C6540" s="5">
        <v>2.20977565956879E-7</v>
      </c>
      <c r="D6540" s="6">
        <v>1.3348744247809501E-6</v>
      </c>
      <c r="E6540" s="3" t="s">
        <v>5895</v>
      </c>
      <c r="F6540" s="3" t="s">
        <v>5896</v>
      </c>
      <c r="G6540" s="3">
        <v>71093</v>
      </c>
      <c r="H6540" s="7" t="str">
        <f>HYPERLINK("http://www.ensembl.org/Mus_musculus/Gene/Summary?db=core;g=ENSMUSG00000037621","ENSMUSG00000037621")</f>
        <v>ENSMUSG00000037621</v>
      </c>
      <c r="I6540" s="7" t="str">
        <f>HYPERLINK("http://www.informatics.jax.org/marker/MGI:1918343","MGI:1918343")</f>
        <v>MGI:1918343</v>
      </c>
      <c r="J6540" s="4" t="s">
        <v>12</v>
      </c>
    </row>
    <row r="6541" spans="1:10" x14ac:dyDescent="0.25">
      <c r="A6541" s="2">
        <v>25.871195670144299</v>
      </c>
      <c r="B6541" s="3">
        <v>-0.98827889747750197</v>
      </c>
      <c r="C6541" s="5">
        <v>9.0398895529545604E-5</v>
      </c>
      <c r="D6541" s="4">
        <v>3.8048957760415002E-4</v>
      </c>
      <c r="E6541" s="3" t="s">
        <v>5117</v>
      </c>
      <c r="F6541" s="3" t="s">
        <v>5118</v>
      </c>
      <c r="G6541" s="3">
        <v>76498</v>
      </c>
      <c r="H6541" s="7" t="str">
        <f>HYPERLINK("http://www.ensembl.org/Mus_musculus/Gene/Summary?db=core;g=ENSMUSG00000023909","ENSMUSG00000023909")</f>
        <v>ENSMUSG00000023909</v>
      </c>
      <c r="I6541" s="7" t="str">
        <f>HYPERLINK("http://www.informatics.jax.org/marker/MGI:1923748","MGI:1923748")</f>
        <v>MGI:1923748</v>
      </c>
      <c r="J6541" s="4" t="s">
        <v>12</v>
      </c>
    </row>
    <row r="6542" spans="1:10" x14ac:dyDescent="0.25">
      <c r="A6542" s="2">
        <v>4.1859177960083898</v>
      </c>
      <c r="B6542" s="3">
        <v>-0.98844284873018196</v>
      </c>
      <c r="C6542" s="3">
        <v>1.50063794604179E-2</v>
      </c>
      <c r="D6542" s="4">
        <v>4.0237055416524302E-2</v>
      </c>
      <c r="E6542" s="3" t="s">
        <v>12439</v>
      </c>
      <c r="F6542" s="3" t="s">
        <v>12440</v>
      </c>
      <c r="G6542" s="3">
        <v>58805</v>
      </c>
      <c r="H6542" s="7" t="str">
        <f>HYPERLINK("http://www.ensembl.org/Mus_musculus/Gene/Summary?db=core;g=ENSMUSG00000005373","ENSMUSG00000005373")</f>
        <v>ENSMUSG00000005373</v>
      </c>
      <c r="I6542" s="7" t="str">
        <f>HYPERLINK("http://www.informatics.jax.org/marker/MGI:1927999","MGI:1927999")</f>
        <v>MGI:1927999</v>
      </c>
      <c r="J6542" s="4" t="s">
        <v>12</v>
      </c>
    </row>
    <row r="6543" spans="1:10" x14ac:dyDescent="0.25">
      <c r="A6543" s="2">
        <v>294.301253056831</v>
      </c>
      <c r="B6543" s="3">
        <v>-0.98936929532273099</v>
      </c>
      <c r="C6543" s="5">
        <v>1.7550015362349901E-26</v>
      </c>
      <c r="D6543" s="6">
        <v>3.7496955448866101E-25</v>
      </c>
      <c r="E6543" s="3" t="s">
        <v>1474</v>
      </c>
      <c r="F6543" s="3" t="s">
        <v>1475</v>
      </c>
      <c r="G6543" s="3">
        <v>74239</v>
      </c>
      <c r="H6543" s="7" t="str">
        <f>HYPERLINK("http://www.ensembl.org/Mus_musculus/Gene/Summary?db=core;g=ENSMUSG00000036555","ENSMUSG00000036555")</f>
        <v>ENSMUSG00000036555</v>
      </c>
      <c r="I6543" s="7" t="str">
        <f>HYPERLINK("http://www.informatics.jax.org/marker/MGI:1921489","MGI:1921489")</f>
        <v>MGI:1921489</v>
      </c>
      <c r="J6543" s="4" t="s">
        <v>12</v>
      </c>
    </row>
    <row r="6544" spans="1:10" x14ac:dyDescent="0.25">
      <c r="A6544" s="2">
        <v>49.611450839460701</v>
      </c>
      <c r="B6544" s="3">
        <v>-0.99023219621434799</v>
      </c>
      <c r="C6544" s="5">
        <v>2.28556791266268E-8</v>
      </c>
      <c r="D6544" s="6">
        <v>1.53141452971608E-7</v>
      </c>
      <c r="E6544" s="3" t="s">
        <v>6786</v>
      </c>
      <c r="F6544" s="3" t="s">
        <v>6787</v>
      </c>
      <c r="G6544" s="3">
        <v>72345</v>
      </c>
      <c r="H6544" s="7" t="str">
        <f>HYPERLINK("http://www.ensembl.org/Mus_musculus/Gene/Summary?db=core;g=ENSMUSG00000050332","ENSMUSG00000050332")</f>
        <v>ENSMUSG00000050332</v>
      </c>
      <c r="I6544" s="7" t="str">
        <f>HYPERLINK("http://www.informatics.jax.org/marker/MGI:1919595","MGI:1919595")</f>
        <v>MGI:1919595</v>
      </c>
      <c r="J6544" s="4" t="s">
        <v>12</v>
      </c>
    </row>
    <row r="6545" spans="1:10" x14ac:dyDescent="0.25">
      <c r="A6545" s="2">
        <v>338.76262452251001</v>
      </c>
      <c r="B6545" s="3">
        <v>-0.99098467778577604</v>
      </c>
      <c r="C6545" s="5">
        <v>2.29885802825764E-18</v>
      </c>
      <c r="D6545" s="6">
        <v>3.3172357533646402E-17</v>
      </c>
      <c r="E6545" s="3" t="s">
        <v>1660</v>
      </c>
      <c r="F6545" s="3" t="s">
        <v>1661</v>
      </c>
      <c r="G6545" s="3">
        <v>22761</v>
      </c>
      <c r="H6545" s="7" t="str">
        <f>HYPERLINK("http://www.ensembl.org/Mus_musculus/Gene/Summary?db=core;g=ENSMUSG00000049577","ENSMUSG00000049577")</f>
        <v>ENSMUSG00000049577</v>
      </c>
      <c r="I6545" s="7" t="str">
        <f>HYPERLINK("http://www.informatics.jax.org/marker/MGI:1095400","MGI:1095400")</f>
        <v>MGI:1095400</v>
      </c>
      <c r="J6545" s="4" t="s">
        <v>12</v>
      </c>
    </row>
    <row r="6546" spans="1:10" x14ac:dyDescent="0.25">
      <c r="A6546" s="2">
        <v>171.03741635674601</v>
      </c>
      <c r="B6546" s="3">
        <v>-0.99111388944005696</v>
      </c>
      <c r="C6546" s="5">
        <v>2.3032923028457799E-23</v>
      </c>
      <c r="D6546" s="6">
        <v>4.2746947270228399E-22</v>
      </c>
      <c r="E6546" s="3" t="s">
        <v>2425</v>
      </c>
      <c r="F6546" s="3" t="s">
        <v>2426</v>
      </c>
      <c r="G6546" s="3">
        <v>67266</v>
      </c>
      <c r="H6546" s="7" t="str">
        <f>HYPERLINK("http://www.ensembl.org/Mus_musculus/Gene/Summary?db=core;g=ENSMUSG00000029270","ENSMUSG00000029270")</f>
        <v>ENSMUSG00000029270</v>
      </c>
      <c r="I6546" s="7" t="str">
        <f>HYPERLINK("http://www.informatics.jax.org/marker/MGI:1914516","MGI:1914516")</f>
        <v>MGI:1914516</v>
      </c>
      <c r="J6546" s="4" t="s">
        <v>12</v>
      </c>
    </row>
    <row r="6547" spans="1:10" x14ac:dyDescent="0.25">
      <c r="A6547" s="2">
        <v>170.02056059270799</v>
      </c>
      <c r="B6547" s="3">
        <v>-0.99284430938388102</v>
      </c>
      <c r="C6547" s="5">
        <v>1.7439546699109999E-15</v>
      </c>
      <c r="D6547" s="6">
        <v>2.1062673200217299E-14</v>
      </c>
      <c r="E6547" s="3" t="s">
        <v>5831</v>
      </c>
      <c r="F6547" s="3" t="s">
        <v>5832</v>
      </c>
      <c r="G6547" s="3">
        <v>239849</v>
      </c>
      <c r="H6547" s="7" t="str">
        <f>HYPERLINK("http://www.ensembl.org/Mus_musculus/Gene/Summary?db=core;g=ENSMUSG00000062082","ENSMUSG00000062082")</f>
        <v>ENSMUSG00000062082</v>
      </c>
      <c r="I6547" s="7" t="str">
        <f>HYPERLINK("http://www.informatics.jax.org/marker/MGI:3036289","MGI:3036289")</f>
        <v>MGI:3036289</v>
      </c>
      <c r="J6547" s="4" t="s">
        <v>12</v>
      </c>
    </row>
    <row r="6548" spans="1:10" x14ac:dyDescent="0.25">
      <c r="A6548" s="2">
        <v>294.103061596776</v>
      </c>
      <c r="B6548" s="3">
        <v>-0.99493692262122102</v>
      </c>
      <c r="C6548" s="5">
        <v>8.5750126556386001E-33</v>
      </c>
      <c r="D6548" s="6">
        <v>2.3465406253605599E-31</v>
      </c>
      <c r="E6548" s="3" t="s">
        <v>1128</v>
      </c>
      <c r="F6548" s="3" t="s">
        <v>1129</v>
      </c>
      <c r="G6548" s="3">
        <v>320472</v>
      </c>
      <c r="H6548" s="7" t="str">
        <f>HYPERLINK("http://www.ensembl.org/Mus_musculus/Gene/Summary?db=core;g=ENSMUSG00000046442","ENSMUSG00000046442")</f>
        <v>ENSMUSG00000046442</v>
      </c>
      <c r="I6548" s="7" t="str">
        <f>HYPERLINK("http://www.informatics.jax.org/marker/MGI:2444096","MGI:2444096")</f>
        <v>MGI:2444096</v>
      </c>
      <c r="J6548" s="4" t="s">
        <v>12</v>
      </c>
    </row>
    <row r="6549" spans="1:10" x14ac:dyDescent="0.25">
      <c r="A6549" s="2">
        <v>424.015736230431</v>
      </c>
      <c r="B6549" s="3">
        <v>-0.99793424836455102</v>
      </c>
      <c r="C6549" s="5">
        <v>8.7875120925958304E-25</v>
      </c>
      <c r="D6549" s="6">
        <v>1.72950764457407E-23</v>
      </c>
      <c r="E6549" s="3" t="s">
        <v>1302</v>
      </c>
      <c r="F6549" s="3" t="s">
        <v>1303</v>
      </c>
      <c r="G6549" s="3">
        <v>71988</v>
      </c>
      <c r="H6549" s="7" t="str">
        <f>HYPERLINK("http://www.ensembl.org/Mus_musculus/Gene/Summary?db=core;g=ENSMUSG00000022034","ENSMUSG00000022034")</f>
        <v>ENSMUSG00000022034</v>
      </c>
      <c r="I6549" s="7" t="str">
        <f>HYPERLINK("http://www.informatics.jax.org/marker/MGI:1919238","MGI:1919238")</f>
        <v>MGI:1919238</v>
      </c>
      <c r="J6549" s="4" t="s">
        <v>12</v>
      </c>
    </row>
    <row r="6550" spans="1:10" x14ac:dyDescent="0.25">
      <c r="A6550" s="2">
        <v>962.03615442056298</v>
      </c>
      <c r="B6550" s="3">
        <v>-0.99819174265775001</v>
      </c>
      <c r="C6550" s="5">
        <v>1.19579975527982E-40</v>
      </c>
      <c r="D6550" s="6">
        <v>4.2482359727046102E-39</v>
      </c>
      <c r="E6550" s="3" t="s">
        <v>3938</v>
      </c>
      <c r="F6550" s="3" t="s">
        <v>3939</v>
      </c>
      <c r="G6550" s="3">
        <v>11810</v>
      </c>
      <c r="H6550" s="7" t="str">
        <f>HYPERLINK("http://www.ensembl.org/Mus_musculus/Gene/Summary?db=core;g=ENSMUSG00000040613","ENSMUSG00000040613")</f>
        <v>ENSMUSG00000040613</v>
      </c>
      <c r="I6550" s="7" t="str">
        <f>HYPERLINK("http://www.informatics.jax.org/marker/MGI:103298","MGI:103298")</f>
        <v>MGI:103298</v>
      </c>
      <c r="J6550" s="4" t="s">
        <v>12</v>
      </c>
    </row>
    <row r="6551" spans="1:10" x14ac:dyDescent="0.25">
      <c r="A6551" s="2">
        <v>632.55303352850501</v>
      </c>
      <c r="B6551" s="3">
        <v>-0.998958023020452</v>
      </c>
      <c r="C6551" s="5">
        <v>1.88773828083517E-28</v>
      </c>
      <c r="D6551" s="6">
        <v>4.3938735847025503E-27</v>
      </c>
      <c r="E6551" s="3" t="s">
        <v>748</v>
      </c>
      <c r="F6551" s="3" t="s">
        <v>749</v>
      </c>
      <c r="G6551" s="3">
        <v>19414</v>
      </c>
      <c r="H6551" s="7" t="str">
        <f>HYPERLINK("http://www.ensembl.org/Mus_musculus/Gene/Summary?db=core;g=ENSMUSG00000031453","ENSMUSG00000031453")</f>
        <v>ENSMUSG00000031453</v>
      </c>
      <c r="I6551" s="7" t="str">
        <f>HYPERLINK("http://www.informatics.jax.org/marker/MGI:1197013","MGI:1197013")</f>
        <v>MGI:1197013</v>
      </c>
      <c r="J6551" s="4" t="s">
        <v>12</v>
      </c>
    </row>
    <row r="6552" spans="1:10" x14ac:dyDescent="0.25">
      <c r="A6552" s="2">
        <v>200.88577239706899</v>
      </c>
      <c r="B6552" s="3">
        <v>-1.0012800569826501</v>
      </c>
      <c r="C6552" s="5">
        <v>6.1584186435934896E-23</v>
      </c>
      <c r="D6552" s="6">
        <v>1.11567773140647E-21</v>
      </c>
      <c r="E6552" s="3" t="s">
        <v>2039</v>
      </c>
      <c r="F6552" s="3" t="s">
        <v>2040</v>
      </c>
      <c r="G6552" s="3">
        <v>71795</v>
      </c>
      <c r="H6552" s="7" t="str">
        <f>HYPERLINK("http://www.ensembl.org/Mus_musculus/Gene/Summary?db=core;g=ENSMUSG00000040430","ENSMUSG00000040430")</f>
        <v>ENSMUSG00000040430</v>
      </c>
      <c r="I6552" s="7" t="str">
        <f>HYPERLINK("http://www.informatics.jax.org/marker/MGI:1919045","MGI:1919045")</f>
        <v>MGI:1919045</v>
      </c>
      <c r="J6552" s="4" t="s">
        <v>12</v>
      </c>
    </row>
    <row r="6553" spans="1:10" x14ac:dyDescent="0.25">
      <c r="A6553" s="2">
        <v>157.43863015264699</v>
      </c>
      <c r="B6553" s="3">
        <v>-1.0044719519649601</v>
      </c>
      <c r="C6553" s="5">
        <v>2.0268979180005E-22</v>
      </c>
      <c r="D6553" s="6">
        <v>3.5936567523002597E-21</v>
      </c>
      <c r="E6553" s="3" t="s">
        <v>2151</v>
      </c>
      <c r="F6553" s="3" t="s">
        <v>2152</v>
      </c>
      <c r="G6553" s="3">
        <v>215707</v>
      </c>
      <c r="H6553" s="7" t="str">
        <f>HYPERLINK("http://www.ensembl.org/Mus_musculus/Gene/Summary?db=core;g=ENSMUSG00000037979","ENSMUSG00000037979")</f>
        <v>ENSMUSG00000037979</v>
      </c>
      <c r="I6553" s="7" t="str">
        <f>HYPERLINK("http://www.informatics.jax.org/marker/MGI:106485","MGI:106485")</f>
        <v>MGI:106485</v>
      </c>
      <c r="J6553" s="4" t="s">
        <v>12</v>
      </c>
    </row>
    <row r="6554" spans="1:10" x14ac:dyDescent="0.25">
      <c r="A6554" s="2">
        <v>797.89568304089698</v>
      </c>
      <c r="B6554" s="3">
        <v>-1.0062718552943699</v>
      </c>
      <c r="C6554" s="5">
        <v>7.4882824126208395E-73</v>
      </c>
      <c r="D6554" s="6">
        <v>6.2033612259097603E-71</v>
      </c>
      <c r="E6554" s="3" t="s">
        <v>370</v>
      </c>
      <c r="F6554" s="3" t="s">
        <v>371</v>
      </c>
      <c r="G6554" s="3">
        <v>18803</v>
      </c>
      <c r="H6554" s="7" t="str">
        <f>HYPERLINK("http://www.ensembl.org/Mus_musculus/Gene/Summary?db=core;g=ENSMUSG00000016933","ENSMUSG00000016933")</f>
        <v>ENSMUSG00000016933</v>
      </c>
      <c r="I6554" s="7" t="str">
        <f>HYPERLINK("http://www.informatics.jax.org/marker/MGI:97615","MGI:97615")</f>
        <v>MGI:97615</v>
      </c>
      <c r="J6554" s="4" t="s">
        <v>12</v>
      </c>
    </row>
    <row r="6555" spans="1:10" x14ac:dyDescent="0.25">
      <c r="A6555" s="2">
        <v>776.01523461509498</v>
      </c>
      <c r="B6555" s="3">
        <v>-1.0105436537701</v>
      </c>
      <c r="C6555" s="5">
        <v>1.0645135853838401E-26</v>
      </c>
      <c r="D6555" s="6">
        <v>2.2959479400734298E-25</v>
      </c>
      <c r="E6555" s="3" t="s">
        <v>840</v>
      </c>
      <c r="F6555" s="3" t="s">
        <v>841</v>
      </c>
      <c r="G6555" s="3">
        <v>225049</v>
      </c>
      <c r="H6555" s="7" t="str">
        <f>HYPERLINK("http://www.ensembl.org/Mus_musculus/Gene/Summary?db=core;g=ENSMUSG00000036918","ENSMUSG00000036918")</f>
        <v>ENSMUSG00000036918</v>
      </c>
      <c r="I6555" s="7" t="str">
        <f>HYPERLINK("http://www.informatics.jax.org/marker/MGI:1920999","MGI:1920999")</f>
        <v>MGI:1920999</v>
      </c>
      <c r="J6555" s="4" t="s">
        <v>12</v>
      </c>
    </row>
    <row r="6556" spans="1:10" x14ac:dyDescent="0.25">
      <c r="A6556" s="2">
        <v>5.5953362493087901</v>
      </c>
      <c r="B6556" s="3">
        <v>-1.0117805378833999</v>
      </c>
      <c r="C6556" s="3">
        <v>1.5791525649173199E-2</v>
      </c>
      <c r="D6556" s="4">
        <v>4.2100724832677301E-2</v>
      </c>
      <c r="E6556" s="3" t="s">
        <v>10234</v>
      </c>
      <c r="F6556" s="3" t="s">
        <v>10235</v>
      </c>
      <c r="G6556" s="3" t="s">
        <v>83</v>
      </c>
      <c r="H6556" s="7" t="str">
        <f>HYPERLINK("http://www.ensembl.org/Mus_musculus/Gene/Summary?db=core;g=ENSMUSG00000108015","ENSMUSG00000108015")</f>
        <v>ENSMUSG00000108015</v>
      </c>
      <c r="I6556" s="7" t="str">
        <f>HYPERLINK("http://www.informatics.jax.org/marker/MGI:5591750","MGI:5591750")</f>
        <v>MGI:5591750</v>
      </c>
      <c r="J6556" s="4" t="s">
        <v>939</v>
      </c>
    </row>
    <row r="6557" spans="1:10" x14ac:dyDescent="0.25">
      <c r="A6557" s="2">
        <v>823.20965478384301</v>
      </c>
      <c r="B6557" s="3">
        <v>-1.01359317968183</v>
      </c>
      <c r="C6557" s="5">
        <v>2.0881129370492002E-40</v>
      </c>
      <c r="D6557" s="6">
        <v>7.3325353136265306E-39</v>
      </c>
      <c r="E6557" s="3" t="s">
        <v>1260</v>
      </c>
      <c r="F6557" s="3" t="s">
        <v>1261</v>
      </c>
      <c r="G6557" s="3">
        <v>14007</v>
      </c>
      <c r="H6557" s="7" t="str">
        <f>HYPERLINK("http://www.ensembl.org/Mus_musculus/Gene/Summary?db=core;g=ENSMUSG00000002107","ENSMUSG00000002107")</f>
        <v>ENSMUSG00000002107</v>
      </c>
      <c r="I6557" s="7" t="str">
        <f>HYPERLINK("http://www.informatics.jax.org/marker/MGI:1338822","MGI:1338822")</f>
        <v>MGI:1338822</v>
      </c>
      <c r="J6557" s="4" t="s">
        <v>12</v>
      </c>
    </row>
    <row r="6558" spans="1:10" x14ac:dyDescent="0.25">
      <c r="A6558" s="2">
        <v>155.43826926517701</v>
      </c>
      <c r="B6558" s="3">
        <v>-1.0140933675352399</v>
      </c>
      <c r="C6558" s="5">
        <v>8.5385293798792701E-17</v>
      </c>
      <c r="D6558" s="6">
        <v>1.1235718263415099E-15</v>
      </c>
      <c r="E6558" s="3" t="s">
        <v>2996</v>
      </c>
      <c r="F6558" s="3" t="s">
        <v>2997</v>
      </c>
      <c r="G6558" s="3">
        <v>225115</v>
      </c>
      <c r="H6558" s="7" t="str">
        <f>HYPERLINK("http://www.ensembl.org/Mus_musculus/Gene/Summary?db=core;g=ENSMUSG00000024236","ENSMUSG00000024236")</f>
        <v>ENSMUSG00000024236</v>
      </c>
      <c r="I6558" s="7" t="str">
        <f>HYPERLINK("http://www.informatics.jax.org/marker/MGI:2147319","MGI:2147319")</f>
        <v>MGI:2147319</v>
      </c>
      <c r="J6558" s="4" t="s">
        <v>12</v>
      </c>
    </row>
    <row r="6559" spans="1:10" x14ac:dyDescent="0.25">
      <c r="A6559" s="2">
        <v>923.63300637507996</v>
      </c>
      <c r="B6559" s="3">
        <v>-1.01629790871123</v>
      </c>
      <c r="C6559" s="5">
        <v>3.89090220983871E-31</v>
      </c>
      <c r="D6559" s="6">
        <v>9.9735151581308694E-30</v>
      </c>
      <c r="E6559" s="3" t="s">
        <v>912</v>
      </c>
      <c r="F6559" s="3" t="s">
        <v>913</v>
      </c>
      <c r="G6559" s="3">
        <v>212073</v>
      </c>
      <c r="H6559" s="7" t="str">
        <f>HYPERLINK("http://www.ensembl.org/Mus_musculus/Gene/Summary?db=core;g=ENSMUSG00000054150","ENSMUSG00000054150")</f>
        <v>ENSMUSG00000054150</v>
      </c>
      <c r="I6559" s="7" t="str">
        <f>HYPERLINK("http://www.informatics.jax.org/marker/MGI:2442408","MGI:2442408")</f>
        <v>MGI:2442408</v>
      </c>
      <c r="J6559" s="4" t="s">
        <v>12</v>
      </c>
    </row>
    <row r="6560" spans="1:10" x14ac:dyDescent="0.25">
      <c r="A6560" s="2">
        <v>89.644857772491306</v>
      </c>
      <c r="B6560" s="3">
        <v>-1.0168875690489401</v>
      </c>
      <c r="C6560" s="5">
        <v>8.5608458389479598E-10</v>
      </c>
      <c r="D6560" s="6">
        <v>6.7077134744121497E-9</v>
      </c>
      <c r="E6560" s="3" t="s">
        <v>4761</v>
      </c>
      <c r="F6560" s="3" t="s">
        <v>4762</v>
      </c>
      <c r="G6560" s="3">
        <v>241950</v>
      </c>
      <c r="H6560" s="7" t="str">
        <f>HYPERLINK("http://www.ensembl.org/Mus_musculus/Gene/Summary?db=core;g=ENSMUSG00000051444","ENSMUSG00000051444")</f>
        <v>ENSMUSG00000051444</v>
      </c>
      <c r="I6560" s="7" t="str">
        <f>HYPERLINK("http://www.informatics.jax.org/marker/MGI:2686651","MGI:2686651")</f>
        <v>MGI:2686651</v>
      </c>
      <c r="J6560" s="4" t="s">
        <v>12</v>
      </c>
    </row>
    <row r="6561" spans="1:10" x14ac:dyDescent="0.25">
      <c r="A6561" s="2">
        <v>30.133927324041899</v>
      </c>
      <c r="B6561" s="3">
        <v>-1.01753208636606</v>
      </c>
      <c r="C6561" s="5">
        <v>7.4064081900104602E-6</v>
      </c>
      <c r="D6561" s="6">
        <v>3.69105248189611E-5</v>
      </c>
      <c r="E6561" s="3" t="s">
        <v>6653</v>
      </c>
      <c r="F6561" s="3" t="s">
        <v>6654</v>
      </c>
      <c r="G6561" s="3">
        <v>230661</v>
      </c>
      <c r="H6561" s="7" t="str">
        <f>HYPERLINK("http://www.ensembl.org/Mus_musculus/Gene/Summary?db=core;g=ENSMUSG00000033985","ENSMUSG00000033985")</f>
        <v>ENSMUSG00000033985</v>
      </c>
      <c r="I6561" s="7" t="str">
        <f>HYPERLINK("http://www.informatics.jax.org/marker/MGI:2385204","MGI:2385204")</f>
        <v>MGI:2385204</v>
      </c>
      <c r="J6561" s="4" t="s">
        <v>12</v>
      </c>
    </row>
    <row r="6562" spans="1:10" x14ac:dyDescent="0.25">
      <c r="A6562" s="2">
        <v>115.987595303954</v>
      </c>
      <c r="B6562" s="3">
        <v>-1.01809492456102</v>
      </c>
      <c r="C6562" s="5">
        <v>6.5665666782128398E-11</v>
      </c>
      <c r="D6562" s="6">
        <v>5.7151708553213495E-10</v>
      </c>
      <c r="E6562" s="3" t="s">
        <v>5627</v>
      </c>
      <c r="F6562" s="3" t="s">
        <v>5628</v>
      </c>
      <c r="G6562" s="3">
        <v>333193</v>
      </c>
      <c r="H6562" s="7" t="str">
        <f>HYPERLINK("http://www.ensembl.org/Mus_musculus/Gene/Summary?db=core;g=ENSMUSG00000036864","ENSMUSG00000036864")</f>
        <v>ENSMUSG00000036864</v>
      </c>
      <c r="I6562" s="7" t="str">
        <f>HYPERLINK("http://www.informatics.jax.org/marker/MGI:2681861","MGI:2681861")</f>
        <v>MGI:2681861</v>
      </c>
      <c r="J6562" s="4" t="s">
        <v>12</v>
      </c>
    </row>
    <row r="6563" spans="1:10" x14ac:dyDescent="0.25">
      <c r="A6563" s="2">
        <v>33.149404159117303</v>
      </c>
      <c r="B6563" s="3">
        <v>-1.0192379641670399</v>
      </c>
      <c r="C6563" s="5">
        <v>1.32562378813456E-5</v>
      </c>
      <c r="D6563" s="6">
        <v>6.3661379548754594E-5</v>
      </c>
      <c r="E6563" s="3" t="s">
        <v>8257</v>
      </c>
      <c r="F6563" s="3" t="s">
        <v>8258</v>
      </c>
      <c r="G6563" s="3">
        <v>20621</v>
      </c>
      <c r="H6563" s="7" t="str">
        <f>HYPERLINK("http://www.ensembl.org/Mus_musculus/Gene/Summary?db=core;g=ENSMUSG00000037972","ENSMUSG00000037972")</f>
        <v>ENSMUSG00000037972</v>
      </c>
      <c r="I6563" s="7" t="str">
        <f>HYPERLINK("http://www.informatics.jax.org/marker/MGI:1276549","MGI:1276549")</f>
        <v>MGI:1276549</v>
      </c>
      <c r="J6563" s="4" t="s">
        <v>12</v>
      </c>
    </row>
    <row r="6564" spans="1:10" x14ac:dyDescent="0.25">
      <c r="A6564" s="2">
        <v>19.6960165953051</v>
      </c>
      <c r="B6564" s="3">
        <v>-1.0203084305730601</v>
      </c>
      <c r="C6564" s="5">
        <v>4.7495804629592703E-5</v>
      </c>
      <c r="D6564" s="4">
        <v>2.0918584808466101E-4</v>
      </c>
      <c r="E6564" s="3" t="s">
        <v>5855</v>
      </c>
      <c r="F6564" s="3" t="s">
        <v>5856</v>
      </c>
      <c r="G6564" s="3">
        <v>27375</v>
      </c>
      <c r="H6564" s="7" t="str">
        <f>HYPERLINK("http://www.ensembl.org/Mus_musculus/Gene/Summary?db=core;g=ENSMUSG00000034917","ENSMUSG00000034917")</f>
        <v>ENSMUSG00000034917</v>
      </c>
      <c r="I6564" s="7" t="str">
        <f>HYPERLINK("http://www.informatics.jax.org/marker/MGI:1351650","MGI:1351650")</f>
        <v>MGI:1351650</v>
      </c>
      <c r="J6564" s="4" t="s">
        <v>12</v>
      </c>
    </row>
    <row r="6565" spans="1:10" x14ac:dyDescent="0.25">
      <c r="A6565" s="2">
        <v>26.021035888690498</v>
      </c>
      <c r="B6565" s="3">
        <v>-1.02131335130176</v>
      </c>
      <c r="C6565" s="5">
        <v>1.37334394989638E-5</v>
      </c>
      <c r="D6565" s="6">
        <v>6.5745189090783899E-5</v>
      </c>
      <c r="E6565" s="3" t="s">
        <v>11175</v>
      </c>
      <c r="F6565" s="3" t="s">
        <v>11176</v>
      </c>
      <c r="G6565" s="3">
        <v>75472</v>
      </c>
      <c r="H6565" s="7" t="str">
        <f>HYPERLINK("http://www.ensembl.org/Mus_musculus/Gene/Summary?db=core;g=ENSMUSG00000026649","ENSMUSG00000026649")</f>
        <v>ENSMUSG00000026649</v>
      </c>
      <c r="I6565" s="7" t="str">
        <f>HYPERLINK("http://www.informatics.jax.org/marker/MGI:1922722","MGI:1922722")</f>
        <v>MGI:1922722</v>
      </c>
      <c r="J6565" s="4" t="s">
        <v>12</v>
      </c>
    </row>
    <row r="6566" spans="1:10" x14ac:dyDescent="0.25">
      <c r="A6566" s="2">
        <v>47.271267081658102</v>
      </c>
      <c r="B6566" s="3">
        <v>-1.0229360121859099</v>
      </c>
      <c r="C6566" s="5">
        <v>9.7123078287720595E-8</v>
      </c>
      <c r="D6566" s="6">
        <v>6.0973754798267596E-7</v>
      </c>
      <c r="E6566" s="3" t="s">
        <v>6331</v>
      </c>
      <c r="F6566" s="3" t="s">
        <v>6332</v>
      </c>
      <c r="G6566" s="3">
        <v>76467</v>
      </c>
      <c r="H6566" s="7" t="str">
        <f>HYPERLINK("http://www.ensembl.org/Mus_musculus/Gene/Summary?db=core;g=ENSMUSG00000023094","ENSMUSG00000023094")</f>
        <v>ENSMUSG00000023094</v>
      </c>
      <c r="I6566" s="7" t="str">
        <f>HYPERLINK("http://www.informatics.jax.org/marker/MGI:1923717","MGI:1923717")</f>
        <v>MGI:1923717</v>
      </c>
      <c r="J6566" s="4" t="s">
        <v>12</v>
      </c>
    </row>
    <row r="6567" spans="1:10" x14ac:dyDescent="0.25">
      <c r="A6567" s="2">
        <v>4.0329657174050997</v>
      </c>
      <c r="B6567" s="3">
        <v>-1.0233345525187201</v>
      </c>
      <c r="C6567" s="3">
        <v>1.8323054039352901E-2</v>
      </c>
      <c r="D6567" s="4">
        <v>4.7842071614213E-2</v>
      </c>
      <c r="E6567" s="3" t="s">
        <v>13107</v>
      </c>
      <c r="F6567" s="3" t="s">
        <v>13108</v>
      </c>
      <c r="G6567" s="3" t="s">
        <v>83</v>
      </c>
      <c r="H6567" s="7" t="str">
        <f>HYPERLINK("http://www.ensembl.org/Mus_musculus/Gene/Summary?db=core;g=ENSMUSG00000108624","ENSMUSG00000108624")</f>
        <v>ENSMUSG00000108624</v>
      </c>
      <c r="I6567" s="7" t="str">
        <f>HYPERLINK("http://www.informatics.jax.org/marker/MGI:5753667","MGI:5753667")</f>
        <v>MGI:5753667</v>
      </c>
      <c r="J6567" s="4" t="s">
        <v>932</v>
      </c>
    </row>
    <row r="6568" spans="1:10" x14ac:dyDescent="0.25">
      <c r="A6568" s="2">
        <v>123.733726977168</v>
      </c>
      <c r="B6568" s="3">
        <v>-1.02424761459821</v>
      </c>
      <c r="C6568" s="5">
        <v>9.7759127970294803E-8</v>
      </c>
      <c r="D6568" s="6">
        <v>6.1309707751501095E-7</v>
      </c>
      <c r="E6568" s="3" t="s">
        <v>7210</v>
      </c>
      <c r="F6568" s="3" t="s">
        <v>7211</v>
      </c>
      <c r="G6568" s="3">
        <v>52685</v>
      </c>
      <c r="H6568" s="7" t="str">
        <f>HYPERLINK("http://www.ensembl.org/Mus_musculus/Gene/Summary?db=core;g=ENSMUSG00000017309","ENSMUSG00000017309")</f>
        <v>ENSMUSG00000017309</v>
      </c>
      <c r="I6568" s="7" t="str">
        <f>HYPERLINK("http://www.informatics.jax.org/marker/MGI:1289168","MGI:1289168")</f>
        <v>MGI:1289168</v>
      </c>
      <c r="J6568" s="4" t="s">
        <v>12</v>
      </c>
    </row>
    <row r="6569" spans="1:10" x14ac:dyDescent="0.25">
      <c r="A6569" s="2">
        <v>584.86361306516699</v>
      </c>
      <c r="B6569" s="3">
        <v>-1.02517695403419</v>
      </c>
      <c r="C6569" s="5">
        <v>5.20139297266543E-57</v>
      </c>
      <c r="D6569" s="6">
        <v>2.90783395481066E-55</v>
      </c>
      <c r="E6569" s="3" t="s">
        <v>712</v>
      </c>
      <c r="F6569" s="3" t="s">
        <v>713</v>
      </c>
      <c r="G6569" s="3">
        <v>78177</v>
      </c>
      <c r="H6569" s="7" t="str">
        <f>HYPERLINK("http://www.ensembl.org/Mus_musculus/Gene/Summary?db=core;g=ENSMUSG00000068115","ENSMUSG00000068115")</f>
        <v>ENSMUSG00000068115</v>
      </c>
      <c r="I6569" s="7" t="str">
        <f>HYPERLINK("http://www.informatics.jax.org/marker/MGI:1925427","MGI:1925427")</f>
        <v>MGI:1925427</v>
      </c>
      <c r="J6569" s="4" t="s">
        <v>12</v>
      </c>
    </row>
    <row r="6570" spans="1:10" x14ac:dyDescent="0.25">
      <c r="A6570" s="2">
        <v>401.15308830159699</v>
      </c>
      <c r="B6570" s="3">
        <v>-1.0252607134215601</v>
      </c>
      <c r="C6570" s="5">
        <v>1.6159156109751601E-24</v>
      </c>
      <c r="D6570" s="6">
        <v>3.1497392524087997E-23</v>
      </c>
      <c r="E6570" s="3" t="s">
        <v>1947</v>
      </c>
      <c r="F6570" s="3" t="s">
        <v>1948</v>
      </c>
      <c r="G6570" s="3">
        <v>70083</v>
      </c>
      <c r="H6570" s="7" t="str">
        <f>HYPERLINK("http://www.ensembl.org/Mus_musculus/Gene/Summary?db=core;g=ENSMUSG00000002274","ENSMUSG00000002274")</f>
        <v>ENSMUSG00000002274</v>
      </c>
      <c r="I6570" s="7" t="str">
        <f>HYPERLINK("http://www.informatics.jax.org/marker/MGI:1917333","MGI:1917333")</f>
        <v>MGI:1917333</v>
      </c>
      <c r="J6570" s="4" t="s">
        <v>12</v>
      </c>
    </row>
    <row r="6571" spans="1:10" x14ac:dyDescent="0.25">
      <c r="A6571" s="2">
        <v>2.9091354841800201</v>
      </c>
      <c r="B6571" s="3">
        <v>-1.0295909207136</v>
      </c>
      <c r="C6571" s="3">
        <v>2.2398860863708701E-2</v>
      </c>
      <c r="D6571" s="4">
        <v>5.6926403464104103E-2</v>
      </c>
      <c r="E6571" s="3" t="s">
        <v>12967</v>
      </c>
      <c r="F6571" s="3" t="s">
        <v>12968</v>
      </c>
      <c r="G6571" s="3">
        <v>381582</v>
      </c>
      <c r="H6571" s="7" t="str">
        <f>HYPERLINK("http://www.ensembl.org/Mus_musculus/Gene/Summary?db=core;g=ENSMUSG00000084845","ENSMUSG00000084845")</f>
        <v>ENSMUSG00000084845</v>
      </c>
      <c r="I6571" s="7" t="str">
        <f>HYPERLINK("http://www.informatics.jax.org/marker/MGI:3648074","MGI:3648074")</f>
        <v>MGI:3648074</v>
      </c>
      <c r="J6571" s="4" t="s">
        <v>12</v>
      </c>
    </row>
    <row r="6572" spans="1:10" x14ac:dyDescent="0.25">
      <c r="A6572" s="2">
        <v>274.61904541107998</v>
      </c>
      <c r="B6572" s="3">
        <v>-1.0313141131075501</v>
      </c>
      <c r="C6572" s="5">
        <v>4.5322417314321802E-6</v>
      </c>
      <c r="D6572" s="6">
        <v>2.3293881995305E-5</v>
      </c>
      <c r="E6572" s="3" t="s">
        <v>6315</v>
      </c>
      <c r="F6572" s="3" t="s">
        <v>6316</v>
      </c>
      <c r="G6572" s="3">
        <v>75580</v>
      </c>
      <c r="H6572" s="7" t="str">
        <f>HYPERLINK("http://www.ensembl.org/Mus_musculus/Gene/Summary?db=core;g=ENSMUSG00000018750","ENSMUSG00000018750")</f>
        <v>ENSMUSG00000018750</v>
      </c>
      <c r="I6572" s="7" t="str">
        <f>HYPERLINK("http://www.informatics.jax.org/marker/MGI:1922830","MGI:1922830")</f>
        <v>MGI:1922830</v>
      </c>
      <c r="J6572" s="4" t="s">
        <v>12</v>
      </c>
    </row>
    <row r="6573" spans="1:10" x14ac:dyDescent="0.25">
      <c r="A6573" s="2">
        <v>53.877708120905197</v>
      </c>
      <c r="B6573" s="3">
        <v>-1.03259135096828</v>
      </c>
      <c r="C6573" s="5">
        <v>4.5406781922658897E-12</v>
      </c>
      <c r="D6573" s="6">
        <v>4.3394787652881898E-11</v>
      </c>
      <c r="E6573" s="3" t="s">
        <v>10222</v>
      </c>
      <c r="F6573" s="3" t="s">
        <v>10223</v>
      </c>
      <c r="G6573" s="3">
        <v>238024</v>
      </c>
      <c r="H6573" s="7" t="str">
        <f>HYPERLINK("http://www.ensembl.org/Mus_musculus/Gene/Summary?db=core;g=ENSMUSG00000039253","ENSMUSG00000039253")</f>
        <v>ENSMUSG00000039253</v>
      </c>
      <c r="I6573" s="7" t="str">
        <f>HYPERLINK("http://www.informatics.jax.org/marker/MGI:2679256","MGI:2679256")</f>
        <v>MGI:2679256</v>
      </c>
      <c r="J6573" s="4" t="s">
        <v>12</v>
      </c>
    </row>
    <row r="6574" spans="1:10" x14ac:dyDescent="0.25">
      <c r="A6574" s="2">
        <v>887.94518252557998</v>
      </c>
      <c r="B6574" s="3">
        <v>-1.0328439805565801</v>
      </c>
      <c r="C6574" s="5">
        <v>2.0378006784531798E-12</v>
      </c>
      <c r="D6574" s="6">
        <v>2.0042588971834401E-11</v>
      </c>
      <c r="E6574" s="3" t="s">
        <v>3504</v>
      </c>
      <c r="F6574" s="3" t="s">
        <v>3505</v>
      </c>
      <c r="G6574" s="3">
        <v>81535</v>
      </c>
      <c r="H6574" s="7" t="str">
        <f>HYPERLINK("http://www.ensembl.org/Mus_musculus/Gene/Summary?db=core;g=ENSMUSG00000021054","ENSMUSG00000021054")</f>
        <v>ENSMUSG00000021054</v>
      </c>
      <c r="I6574" s="7" t="str">
        <f>HYPERLINK("http://www.informatics.jax.org/marker/MGI:2135760","MGI:2135760")</f>
        <v>MGI:2135760</v>
      </c>
      <c r="J6574" s="4" t="s">
        <v>12</v>
      </c>
    </row>
    <row r="6575" spans="1:10" x14ac:dyDescent="0.25">
      <c r="A6575" s="2">
        <v>16.178720235812499</v>
      </c>
      <c r="B6575" s="3">
        <v>-1.0331977461066399</v>
      </c>
      <c r="C6575" s="5">
        <v>9.4525802400071999E-5</v>
      </c>
      <c r="D6575" s="4">
        <v>3.9703451227041098E-4</v>
      </c>
      <c r="E6575" s="3" t="s">
        <v>8223</v>
      </c>
      <c r="F6575" s="3" t="s">
        <v>8224</v>
      </c>
      <c r="G6575" s="3">
        <v>15402</v>
      </c>
      <c r="H6575" s="7" t="str">
        <f>HYPERLINK("http://www.ensembl.org/Mus_musculus/Gene/Summary?db=core;g=ENSMUSG00000038253","ENSMUSG00000038253")</f>
        <v>ENSMUSG00000038253</v>
      </c>
      <c r="I6575" s="7" t="str">
        <f>HYPERLINK("http://www.informatics.jax.org/marker/MGI:96177","MGI:96177")</f>
        <v>MGI:96177</v>
      </c>
      <c r="J6575" s="4" t="s">
        <v>12</v>
      </c>
    </row>
    <row r="6576" spans="1:10" x14ac:dyDescent="0.25">
      <c r="A6576" s="2">
        <v>274.97592197509402</v>
      </c>
      <c r="B6576" s="3">
        <v>-1.0344234606228799</v>
      </c>
      <c r="C6576" s="5">
        <v>1.02990716315786E-25</v>
      </c>
      <c r="D6576" s="6">
        <v>2.1257143882844798E-24</v>
      </c>
      <c r="E6576" s="3" t="s">
        <v>2734</v>
      </c>
      <c r="F6576" s="3" t="s">
        <v>2735</v>
      </c>
      <c r="G6576" s="3">
        <v>212937</v>
      </c>
      <c r="H6576" s="7" t="str">
        <f>HYPERLINK("http://www.ensembl.org/Mus_musculus/Gene/Summary?db=core;g=ENSMUSG00000049625","ENSMUSG00000049625")</f>
        <v>ENSMUSG00000049625</v>
      </c>
      <c r="I6576" s="7" t="str">
        <f>HYPERLINK("http://www.informatics.jax.org/marker/MGI:2385852","MGI:2385852")</f>
        <v>MGI:2385852</v>
      </c>
      <c r="J6576" s="4" t="s">
        <v>12</v>
      </c>
    </row>
    <row r="6577" spans="1:10" x14ac:dyDescent="0.25">
      <c r="A6577" s="2">
        <v>762.26005109784103</v>
      </c>
      <c r="B6577" s="3">
        <v>-1.0359332255887901</v>
      </c>
      <c r="C6577" s="5">
        <v>2.3429062785392999E-54</v>
      </c>
      <c r="D6577" s="6">
        <v>1.2234804276899301E-52</v>
      </c>
      <c r="E6577" s="3" t="s">
        <v>288</v>
      </c>
      <c r="F6577" s="3" t="s">
        <v>289</v>
      </c>
      <c r="G6577" s="3">
        <v>18019</v>
      </c>
      <c r="H6577" s="7" t="str">
        <f>HYPERLINK("http://www.ensembl.org/Mus_musculus/Gene/Summary?db=core;g=ENSMUSG00000027544","ENSMUSG00000027544")</f>
        <v>ENSMUSG00000027544</v>
      </c>
      <c r="I6577" s="7" t="str">
        <f>HYPERLINK("http://www.informatics.jax.org/marker/MGI:102463","MGI:102463")</f>
        <v>MGI:102463</v>
      </c>
      <c r="J6577" s="4" t="s">
        <v>12</v>
      </c>
    </row>
    <row r="6578" spans="1:10" x14ac:dyDescent="0.25">
      <c r="A6578" s="2">
        <v>635.53365001848397</v>
      </c>
      <c r="B6578" s="3">
        <v>-1.03687250908188</v>
      </c>
      <c r="C6578" s="5">
        <v>1.5782163195355701E-32</v>
      </c>
      <c r="D6578" s="6">
        <v>4.2675062942931303E-31</v>
      </c>
      <c r="E6578" s="3" t="s">
        <v>856</v>
      </c>
      <c r="F6578" s="3" t="s">
        <v>857</v>
      </c>
      <c r="G6578" s="3">
        <v>57441</v>
      </c>
      <c r="H6578" s="7" t="str">
        <f>HYPERLINK("http://www.ensembl.org/Mus_musculus/Gene/Summary?db=core;g=ENSMUSG00000006715","ENSMUSG00000006715")</f>
        <v>ENSMUSG00000006715</v>
      </c>
      <c r="I6578" s="7" t="str">
        <f>HYPERLINK("http://www.informatics.jax.org/marker/MGI:1927344","MGI:1927344")</f>
        <v>MGI:1927344</v>
      </c>
      <c r="J6578" s="4" t="s">
        <v>12</v>
      </c>
    </row>
    <row r="6579" spans="1:10" x14ac:dyDescent="0.25">
      <c r="A6579" s="2">
        <v>38.623370053043097</v>
      </c>
      <c r="B6579" s="3">
        <v>-1.03805406736307</v>
      </c>
      <c r="C6579" s="5">
        <v>4.6774029861730703E-9</v>
      </c>
      <c r="D6579" s="6">
        <v>3.3894898378928097E-8</v>
      </c>
      <c r="E6579" s="3" t="s">
        <v>4959</v>
      </c>
      <c r="F6579" s="3" t="s">
        <v>4960</v>
      </c>
      <c r="G6579" s="3">
        <v>268759</v>
      </c>
      <c r="H6579" s="7" t="str">
        <f>HYPERLINK("http://www.ensembl.org/Mus_musculus/Gene/Summary?db=core;g=ENSMUSG00000044551","ENSMUSG00000044551")</f>
        <v>ENSMUSG00000044551</v>
      </c>
      <c r="I6579" s="7" t="str">
        <f>HYPERLINK("http://www.informatics.jax.org/marker/MGI:2145726","MGI:2145726")</f>
        <v>MGI:2145726</v>
      </c>
      <c r="J6579" s="4" t="s">
        <v>12</v>
      </c>
    </row>
    <row r="6580" spans="1:10" x14ac:dyDescent="0.25">
      <c r="A6580" s="2">
        <v>45.840139484282503</v>
      </c>
      <c r="B6580" s="3">
        <v>-1.03962120163272</v>
      </c>
      <c r="C6580" s="5">
        <v>4.1079924817292499E-8</v>
      </c>
      <c r="D6580" s="6">
        <v>2.6652959408869902E-7</v>
      </c>
      <c r="E6580" s="3" t="s">
        <v>7400</v>
      </c>
      <c r="F6580" s="3" t="s">
        <v>7401</v>
      </c>
      <c r="G6580" s="3">
        <v>546336</v>
      </c>
      <c r="H6580" s="7" t="str">
        <f>HYPERLINK("http://www.ensembl.org/Mus_musculus/Gene/Summary?db=core;g=ENSMUSG00000047996","ENSMUSG00000047996")</f>
        <v>ENSMUSG00000047996</v>
      </c>
      <c r="I6580" s="7" t="str">
        <f>HYPERLINK("http://www.informatics.jax.org/marker/MGI:1917364","MGI:1917364")</f>
        <v>MGI:1917364</v>
      </c>
      <c r="J6580" s="4" t="s">
        <v>12</v>
      </c>
    </row>
    <row r="6581" spans="1:10" x14ac:dyDescent="0.25">
      <c r="A6581" s="2">
        <v>320.74990643438798</v>
      </c>
      <c r="B6581" s="3">
        <v>-1.0418332326197599</v>
      </c>
      <c r="C6581" s="5">
        <v>4.2244087950181598E-20</v>
      </c>
      <c r="D6581" s="6">
        <v>6.61993553647515E-19</v>
      </c>
      <c r="E6581" s="3" t="s">
        <v>2511</v>
      </c>
      <c r="F6581" s="3" t="s">
        <v>2512</v>
      </c>
      <c r="G6581" s="3">
        <v>329540</v>
      </c>
      <c r="H6581" s="7" t="str">
        <f>HYPERLINK("http://www.ensembl.org/Mus_musculus/Gene/Summary?db=core;g=ENSMUSG00000061411","ENSMUSG00000061411")</f>
        <v>ENSMUSG00000061411</v>
      </c>
      <c r="I6581" s="7" t="str">
        <f>HYPERLINK("http://www.informatics.jax.org/marker/MGI:1918765","MGI:1918765")</f>
        <v>MGI:1918765</v>
      </c>
      <c r="J6581" s="4" t="s">
        <v>12</v>
      </c>
    </row>
    <row r="6582" spans="1:10" x14ac:dyDescent="0.25">
      <c r="A6582" s="2">
        <v>9.0404055081097798</v>
      </c>
      <c r="B6582" s="3">
        <v>-1.0420513807516001</v>
      </c>
      <c r="C6582" s="3">
        <v>6.0164562969829199E-3</v>
      </c>
      <c r="D6582" s="4">
        <v>1.7768581431293701E-2</v>
      </c>
      <c r="E6582" s="3" t="s">
        <v>10542</v>
      </c>
      <c r="F6582" s="3" t="s">
        <v>8624</v>
      </c>
      <c r="G6582" s="3" t="s">
        <v>83</v>
      </c>
      <c r="H6582" s="7" t="str">
        <f>HYPERLINK("http://www.ensembl.org/Mus_musculus/Gene/Summary?db=core;g=ENSMUSG00000118623","ENSMUSG00000118623")</f>
        <v>ENSMUSG00000118623</v>
      </c>
      <c r="I6582" s="3" t="s">
        <v>83</v>
      </c>
      <c r="J6582" s="4" t="s">
        <v>12</v>
      </c>
    </row>
    <row r="6583" spans="1:10" x14ac:dyDescent="0.25">
      <c r="A6583" s="2">
        <v>74.760749561271396</v>
      </c>
      <c r="B6583" s="3">
        <v>-1.04847488847485</v>
      </c>
      <c r="C6583" s="5">
        <v>8.9086654291812307E-15</v>
      </c>
      <c r="D6583" s="6">
        <v>1.03480195950814E-13</v>
      </c>
      <c r="E6583" s="3" t="s">
        <v>3159</v>
      </c>
      <c r="F6583" s="3" t="s">
        <v>3160</v>
      </c>
      <c r="G6583" s="3">
        <v>215474</v>
      </c>
      <c r="H6583" s="7" t="str">
        <f>HYPERLINK("http://www.ensembl.org/Mus_musculus/Gene/Summary?db=core;g=ENSMUSG00000061536","ENSMUSG00000061536")</f>
        <v>ENSMUSG00000061536</v>
      </c>
      <c r="I6583" s="7" t="str">
        <f>HYPERLINK("http://www.informatics.jax.org/marker/MGI:2447871","MGI:2447871")</f>
        <v>MGI:2447871</v>
      </c>
      <c r="J6583" s="4" t="s">
        <v>12</v>
      </c>
    </row>
    <row r="6584" spans="1:10" x14ac:dyDescent="0.25">
      <c r="A6584" s="2">
        <v>196.119809869612</v>
      </c>
      <c r="B6584" s="3">
        <v>-1.04867010532837</v>
      </c>
      <c r="C6584" s="5">
        <v>6.2574003711689903E-20</v>
      </c>
      <c r="D6584" s="6">
        <v>9.7554424092861391E-19</v>
      </c>
      <c r="E6584" s="3" t="s">
        <v>1822</v>
      </c>
      <c r="F6584" s="3" t="s">
        <v>1823</v>
      </c>
      <c r="G6584" s="3">
        <v>381810</v>
      </c>
      <c r="H6584" s="7" t="str">
        <f>HYPERLINK("http://www.ensembl.org/Mus_musculus/Gene/Summary?db=core;g=ENSMUSG00000067714","ENSMUSG00000067714")</f>
        <v>ENSMUSG00000067714</v>
      </c>
      <c r="I6584" s="7" t="str">
        <f>HYPERLINK("http://www.informatics.jax.org/marker/MGI:2685918","MGI:2685918")</f>
        <v>MGI:2685918</v>
      </c>
      <c r="J6584" s="4" t="s">
        <v>12</v>
      </c>
    </row>
    <row r="6585" spans="1:10" x14ac:dyDescent="0.25">
      <c r="A6585" s="2">
        <v>46.594704548822897</v>
      </c>
      <c r="B6585" s="3">
        <v>-1.0490358710294401</v>
      </c>
      <c r="C6585" s="5">
        <v>5.3570248130507702E-9</v>
      </c>
      <c r="D6585" s="6">
        <v>3.8407465467289701E-8</v>
      </c>
      <c r="E6585" s="3" t="s">
        <v>4541</v>
      </c>
      <c r="F6585" s="3" t="s">
        <v>4542</v>
      </c>
      <c r="G6585" s="3" t="s">
        <v>83</v>
      </c>
      <c r="H6585" s="7" t="str">
        <f>HYPERLINK("http://www.ensembl.org/Mus_musculus/Gene/Summary?db=core;g=ENSMUSG00000085399","ENSMUSG00000085399")</f>
        <v>ENSMUSG00000085399</v>
      </c>
      <c r="I6585" s="7" t="str">
        <f>HYPERLINK("http://www.informatics.jax.org/marker/MGI:2444065","MGI:2444065")</f>
        <v>MGI:2444065</v>
      </c>
      <c r="J6585" s="4" t="s">
        <v>331</v>
      </c>
    </row>
    <row r="6586" spans="1:10" x14ac:dyDescent="0.25">
      <c r="A6586" s="2">
        <v>784.26089098674299</v>
      </c>
      <c r="B6586" s="3">
        <v>-1.05331992352651</v>
      </c>
      <c r="C6586" s="5">
        <v>4.0063600923731999E-61</v>
      </c>
      <c r="D6586" s="6">
        <v>2.5177900925345399E-59</v>
      </c>
      <c r="E6586" s="3" t="s">
        <v>344</v>
      </c>
      <c r="F6586" s="3" t="s">
        <v>345</v>
      </c>
      <c r="G6586" s="3">
        <v>30841</v>
      </c>
      <c r="H6586" s="7" t="str">
        <f>HYPERLINK("http://www.ensembl.org/Mus_musculus/Gene/Summary?db=core;g=ENSMUSG00000029475","ENSMUSG00000029475")</f>
        <v>ENSMUSG00000029475</v>
      </c>
      <c r="I6586" s="7" t="str">
        <f>HYPERLINK("http://www.informatics.jax.org/marker/MGI:1354737","MGI:1354737")</f>
        <v>MGI:1354737</v>
      </c>
      <c r="J6586" s="4" t="s">
        <v>12</v>
      </c>
    </row>
    <row r="6587" spans="1:10" x14ac:dyDescent="0.25">
      <c r="A6587" s="2">
        <v>4.3059126903161999</v>
      </c>
      <c r="B6587" s="3">
        <v>-1.05708898533481</v>
      </c>
      <c r="C6587" s="3">
        <v>1.36760759761519E-2</v>
      </c>
      <c r="D6587" s="4">
        <v>3.7024136165384601E-2</v>
      </c>
      <c r="E6587" s="3" t="s">
        <v>12639</v>
      </c>
      <c r="F6587" s="3" t="s">
        <v>12640</v>
      </c>
      <c r="G6587" s="3">
        <v>238871</v>
      </c>
      <c r="H6587" s="7" t="str">
        <f>HYPERLINK("http://www.ensembl.org/Mus_musculus/Gene/Summary?db=core;g=ENSMUSG00000021699","ENSMUSG00000021699")</f>
        <v>ENSMUSG00000021699</v>
      </c>
      <c r="I6587" s="7" t="str">
        <f>HYPERLINK("http://www.informatics.jax.org/marker/MGI:99555","MGI:99555")</f>
        <v>MGI:99555</v>
      </c>
      <c r="J6587" s="4" t="s">
        <v>12</v>
      </c>
    </row>
    <row r="6588" spans="1:10" x14ac:dyDescent="0.25">
      <c r="A6588" s="2">
        <v>21.037485393049401</v>
      </c>
      <c r="B6588" s="3">
        <v>-1.0574423083389</v>
      </c>
      <c r="C6588" s="5">
        <v>3.9597062428360096E-6</v>
      </c>
      <c r="D6588" s="6">
        <v>2.0501604055592701E-5</v>
      </c>
      <c r="E6588" s="3" t="s">
        <v>11591</v>
      </c>
      <c r="F6588" s="3" t="s">
        <v>11592</v>
      </c>
      <c r="G6588" s="3">
        <v>12481</v>
      </c>
      <c r="H6588" s="7" t="str">
        <f>HYPERLINK("http://www.ensembl.org/Mus_musculus/Gene/Summary?db=core;g=ENSMUSG00000027863","ENSMUSG00000027863")</f>
        <v>ENSMUSG00000027863</v>
      </c>
      <c r="I6588" s="7" t="str">
        <f>HYPERLINK("http://www.informatics.jax.org/marker/MGI:88320","MGI:88320")</f>
        <v>MGI:88320</v>
      </c>
      <c r="J6588" s="4" t="s">
        <v>12</v>
      </c>
    </row>
    <row r="6589" spans="1:10" x14ac:dyDescent="0.25">
      <c r="A6589" s="2">
        <v>44.589025264084903</v>
      </c>
      <c r="B6589" s="3">
        <v>-1.06005686741625</v>
      </c>
      <c r="C6589" s="5">
        <v>2.4724143029427601E-7</v>
      </c>
      <c r="D6589" s="6">
        <v>1.4827163761478099E-6</v>
      </c>
      <c r="E6589" s="3" t="s">
        <v>5809</v>
      </c>
      <c r="F6589" s="3" t="s">
        <v>5810</v>
      </c>
      <c r="G6589" s="3">
        <v>11861</v>
      </c>
      <c r="H6589" s="7" t="str">
        <f>HYPERLINK("http://www.ensembl.org/Mus_musculus/Gene/Summary?db=core;g=ENSMUSG00000047446","ENSMUSG00000047446")</f>
        <v>ENSMUSG00000047446</v>
      </c>
      <c r="I6589" s="7" t="str">
        <f>HYPERLINK("http://www.informatics.jax.org/marker/MGI:99437","MGI:99437")</f>
        <v>MGI:99437</v>
      </c>
      <c r="J6589" s="4" t="s">
        <v>12</v>
      </c>
    </row>
    <row r="6590" spans="1:10" x14ac:dyDescent="0.25">
      <c r="A6590" s="2">
        <v>40.175860201342402</v>
      </c>
      <c r="B6590" s="3">
        <v>-1.0609463263046</v>
      </c>
      <c r="C6590" s="5">
        <v>4.7681571687980399E-7</v>
      </c>
      <c r="D6590" s="6">
        <v>2.7526026101154401E-6</v>
      </c>
      <c r="E6590" s="3" t="s">
        <v>10450</v>
      </c>
      <c r="F6590" s="3" t="s">
        <v>10451</v>
      </c>
      <c r="G6590" s="3">
        <v>19726</v>
      </c>
      <c r="H6590" s="7" t="str">
        <f>HYPERLINK("http://www.ensembl.org/Mus_musculus/Gene/Summary?db=core;g=ENSMUSG00000040929","ENSMUSG00000040929")</f>
        <v>ENSMUSG00000040929</v>
      </c>
      <c r="I6590" s="7" t="str">
        <f>HYPERLINK("http://www.informatics.jax.org/marker/MGI:106582","MGI:106582")</f>
        <v>MGI:106582</v>
      </c>
      <c r="J6590" s="4" t="s">
        <v>12</v>
      </c>
    </row>
    <row r="6591" spans="1:10" x14ac:dyDescent="0.25">
      <c r="A6591" s="2">
        <v>128.116768605321</v>
      </c>
      <c r="B6591" s="3">
        <v>-1.06170857175156</v>
      </c>
      <c r="C6591" s="5">
        <v>2.58975703468151E-14</v>
      </c>
      <c r="D6591" s="6">
        <v>2.91145931034364E-13</v>
      </c>
      <c r="E6591" s="3" t="s">
        <v>4425</v>
      </c>
      <c r="F6591" s="3" t="s">
        <v>4426</v>
      </c>
      <c r="G6591" s="3">
        <v>67900</v>
      </c>
      <c r="H6591" s="7" t="str">
        <f>HYPERLINK("http://www.ensembl.org/Mus_musculus/Gene/Summary?db=core;g=ENSMUSG00000004748","ENSMUSG00000004748")</f>
        <v>ENSMUSG00000004748</v>
      </c>
      <c r="I6591" s="7" t="str">
        <f>HYPERLINK("http://www.informatics.jax.org/marker/MGI:1916686","MGI:1916686")</f>
        <v>MGI:1916686</v>
      </c>
      <c r="J6591" s="4" t="s">
        <v>12</v>
      </c>
    </row>
    <row r="6592" spans="1:10" x14ac:dyDescent="0.25">
      <c r="A6592" s="2">
        <v>84.652270400328504</v>
      </c>
      <c r="B6592" s="3">
        <v>-1.0620262796923201</v>
      </c>
      <c r="C6592" s="5">
        <v>8.6113133084724197E-9</v>
      </c>
      <c r="D6592" s="6">
        <v>6.0385219333170399E-8</v>
      </c>
      <c r="E6592" s="3" t="s">
        <v>3242</v>
      </c>
      <c r="F6592" s="3" t="s">
        <v>3243</v>
      </c>
      <c r="G6592" s="3">
        <v>234258</v>
      </c>
      <c r="H6592" s="7" t="str">
        <f>HYPERLINK("http://www.ensembl.org/Mus_musculus/Gene/Summary?db=core;g=ENSMUSG00000039396","ENSMUSG00000039396")</f>
        <v>ENSMUSG00000039396</v>
      </c>
      <c r="I6592" s="7" t="str">
        <f>HYPERLINK("http://www.informatics.jax.org/marker/MGI:2384588","MGI:2384588")</f>
        <v>MGI:2384588</v>
      </c>
      <c r="J6592" s="4" t="s">
        <v>12</v>
      </c>
    </row>
    <row r="6593" spans="1:10" x14ac:dyDescent="0.25">
      <c r="A6593" s="2">
        <v>4.8229271973610199</v>
      </c>
      <c r="B6593" s="3">
        <v>-1.06218003087031</v>
      </c>
      <c r="C6593" s="3">
        <v>8.0183070573575793E-3</v>
      </c>
      <c r="D6593" s="4">
        <v>2.30131726173767E-2</v>
      </c>
      <c r="E6593" s="3" t="s">
        <v>11715</v>
      </c>
      <c r="F6593" s="3" t="s">
        <v>11716</v>
      </c>
      <c r="G6593" s="3">
        <v>268480</v>
      </c>
      <c r="H6593" s="7" t="str">
        <f>HYPERLINK("http://www.ensembl.org/Mus_musculus/Gene/Summary?db=core;g=ENSMUSG00000038020","ENSMUSG00000038020")</f>
        <v>ENSMUSG00000038020</v>
      </c>
      <c r="I6593" s="7" t="str">
        <f>HYPERLINK("http://www.informatics.jax.org/marker/MGI:3611446","MGI:3611446")</f>
        <v>MGI:3611446</v>
      </c>
      <c r="J6593" s="4" t="s">
        <v>12</v>
      </c>
    </row>
    <row r="6594" spans="1:10" x14ac:dyDescent="0.25">
      <c r="A6594" s="2">
        <v>27.545577166209899</v>
      </c>
      <c r="B6594" s="3">
        <v>-1.0638986979115499</v>
      </c>
      <c r="C6594" s="3">
        <v>5.8752920290462305E-4</v>
      </c>
      <c r="D6594" s="4">
        <v>2.1579443214302199E-3</v>
      </c>
      <c r="E6594" s="3" t="s">
        <v>7614</v>
      </c>
      <c r="F6594" s="3" t="s">
        <v>7615</v>
      </c>
      <c r="G6594" s="3">
        <v>13655</v>
      </c>
      <c r="H6594" s="7" t="str">
        <f>HYPERLINK("http://www.ensembl.org/Mus_musculus/Gene/Summary?db=core;g=ENSMUSG00000033730","ENSMUSG00000033730")</f>
        <v>ENSMUSG00000033730</v>
      </c>
      <c r="I6594" s="7" t="str">
        <f>HYPERLINK("http://www.informatics.jax.org/marker/MGI:1306780","MGI:1306780")</f>
        <v>MGI:1306780</v>
      </c>
      <c r="J6594" s="4" t="s">
        <v>12</v>
      </c>
    </row>
    <row r="6595" spans="1:10" x14ac:dyDescent="0.25">
      <c r="A6595" s="2">
        <v>137.915164783177</v>
      </c>
      <c r="B6595" s="3">
        <v>-1.0645286474579301</v>
      </c>
      <c r="C6595" s="5">
        <v>1.0858391865671499E-14</v>
      </c>
      <c r="D6595" s="6">
        <v>1.2524948845054599E-13</v>
      </c>
      <c r="E6595" s="3" t="s">
        <v>3798</v>
      </c>
      <c r="F6595" s="3" t="s">
        <v>3799</v>
      </c>
      <c r="G6595" s="3">
        <v>66300</v>
      </c>
      <c r="H6595" s="7" t="str">
        <f>HYPERLINK("http://www.ensembl.org/Mus_musculus/Gene/Summary?db=core;g=ENSMUSG00000091811","ENSMUSG00000091811")</f>
        <v>ENSMUSG00000091811</v>
      </c>
      <c r="I6595" s="7" t="str">
        <f>HYPERLINK("http://www.informatics.jax.org/marker/MGI:1913550","MGI:1913550")</f>
        <v>MGI:1913550</v>
      </c>
      <c r="J6595" s="4" t="s">
        <v>12</v>
      </c>
    </row>
    <row r="6596" spans="1:10" x14ac:dyDescent="0.25">
      <c r="A6596" s="2">
        <v>34.857640085414303</v>
      </c>
      <c r="B6596" s="3">
        <v>-1.06463960788169</v>
      </c>
      <c r="C6596" s="5">
        <v>3.2683555883159701E-6</v>
      </c>
      <c r="D6596" s="6">
        <v>1.7077345354661301E-5</v>
      </c>
      <c r="E6596" s="3" t="s">
        <v>12855</v>
      </c>
      <c r="F6596" s="3" t="s">
        <v>12856</v>
      </c>
      <c r="G6596" s="3">
        <v>72147</v>
      </c>
      <c r="H6596" s="7" t="str">
        <f>HYPERLINK("http://www.ensembl.org/Mus_musculus/Gene/Summary?db=core;g=ENSMUSG00000027583","ENSMUSG00000027583")</f>
        <v>ENSMUSG00000027583</v>
      </c>
      <c r="I6596" s="7" t="str">
        <f>HYPERLINK("http://www.informatics.jax.org/marker/MGI:1919397","MGI:1919397")</f>
        <v>MGI:1919397</v>
      </c>
      <c r="J6596" s="4" t="s">
        <v>12</v>
      </c>
    </row>
    <row r="6597" spans="1:10" x14ac:dyDescent="0.25">
      <c r="A6597" s="2">
        <v>101.33948812298399</v>
      </c>
      <c r="B6597" s="3">
        <v>-1.0669756655567499</v>
      </c>
      <c r="C6597" s="5">
        <v>5.0651623982306298E-11</v>
      </c>
      <c r="D6597" s="6">
        <v>4.44237654994E-10</v>
      </c>
      <c r="E6597" s="3" t="s">
        <v>3732</v>
      </c>
      <c r="F6597" s="3" t="s">
        <v>3733</v>
      </c>
      <c r="G6597" s="3">
        <v>66775</v>
      </c>
      <c r="H6597" s="7" t="str">
        <f>HYPERLINK("http://www.ensembl.org/Mus_musculus/Gene/Summary?db=core;g=ENSMUSG00000028497","ENSMUSG00000028497")</f>
        <v>ENSMUSG00000028497</v>
      </c>
      <c r="I6597" s="7" t="str">
        <f>HYPERLINK("http://www.informatics.jax.org/marker/MGI:1914025","MGI:1914025")</f>
        <v>MGI:1914025</v>
      </c>
      <c r="J6597" s="4" t="s">
        <v>12</v>
      </c>
    </row>
    <row r="6598" spans="1:10" x14ac:dyDescent="0.25">
      <c r="A6598" s="2">
        <v>119.496930688671</v>
      </c>
      <c r="B6598" s="3">
        <v>-1.0672823378805201</v>
      </c>
      <c r="C6598" s="5">
        <v>3.24764866480825E-18</v>
      </c>
      <c r="D6598" s="6">
        <v>4.6495205747156601E-17</v>
      </c>
      <c r="E6598" s="3" t="s">
        <v>2239</v>
      </c>
      <c r="F6598" s="3" t="s">
        <v>2240</v>
      </c>
      <c r="G6598" s="3">
        <v>22701</v>
      </c>
      <c r="H6598" s="7" t="str">
        <f>HYPERLINK("http://www.ensembl.org/Mus_musculus/Gene/Summary?db=core;g=ENSMUSG00000047003","ENSMUSG00000047003")</f>
        <v>ENSMUSG00000047003</v>
      </c>
      <c r="I6598" s="7" t="str">
        <f>HYPERLINK("http://www.informatics.jax.org/marker/MGI:99186","MGI:99186")</f>
        <v>MGI:99186</v>
      </c>
      <c r="J6598" s="4" t="s">
        <v>12</v>
      </c>
    </row>
    <row r="6599" spans="1:10" x14ac:dyDescent="0.25">
      <c r="A6599" s="2">
        <v>289.40839481452701</v>
      </c>
      <c r="B6599" s="3">
        <v>-1.0676724776695099</v>
      </c>
      <c r="C6599" s="5">
        <v>3.5930496285946897E-27</v>
      </c>
      <c r="D6599" s="6">
        <v>7.8517181632060306E-26</v>
      </c>
      <c r="E6599" s="3" t="s">
        <v>2437</v>
      </c>
      <c r="F6599" s="3" t="s">
        <v>2438</v>
      </c>
      <c r="G6599" s="3">
        <v>13385</v>
      </c>
      <c r="H6599" s="7" t="str">
        <f>HYPERLINK("http://www.ensembl.org/Mus_musculus/Gene/Summary?db=core;g=ENSMUSG00000020886","ENSMUSG00000020886")</f>
        <v>ENSMUSG00000020886</v>
      </c>
      <c r="I6599" s="7" t="str">
        <f>HYPERLINK("http://www.informatics.jax.org/marker/MGI:1277959","MGI:1277959")</f>
        <v>MGI:1277959</v>
      </c>
      <c r="J6599" s="4" t="s">
        <v>12</v>
      </c>
    </row>
    <row r="6600" spans="1:10" x14ac:dyDescent="0.25">
      <c r="A6600" s="2">
        <v>30.757081391069601</v>
      </c>
      <c r="B6600" s="3">
        <v>-1.06780542624819</v>
      </c>
      <c r="C6600" s="5">
        <v>1.45180910059316E-6</v>
      </c>
      <c r="D6600" s="6">
        <v>7.9385601135044693E-6</v>
      </c>
      <c r="E6600" s="3" t="s">
        <v>7528</v>
      </c>
      <c r="F6600" s="3" t="s">
        <v>7529</v>
      </c>
      <c r="G6600" s="3">
        <v>54366</v>
      </c>
      <c r="H6600" s="7" t="str">
        <f>HYPERLINK("http://www.ensembl.org/Mus_musculus/Gene/Summary?db=core;g=ENSMUSG00000038816","ENSMUSG00000038816")</f>
        <v>ENSMUSG00000038816</v>
      </c>
      <c r="I6600" s="7" t="str">
        <f>HYPERLINK("http://www.informatics.jax.org/marker/MGI:1859649","MGI:1859649")</f>
        <v>MGI:1859649</v>
      </c>
      <c r="J6600" s="4" t="s">
        <v>12</v>
      </c>
    </row>
    <row r="6601" spans="1:10" x14ac:dyDescent="0.25">
      <c r="A6601" s="2">
        <v>810.63883882487505</v>
      </c>
      <c r="B6601" s="3">
        <v>-1.06858455052226</v>
      </c>
      <c r="C6601" s="5">
        <v>1.14567323771167E-43</v>
      </c>
      <c r="D6601" s="6">
        <v>4.5391075559337199E-42</v>
      </c>
      <c r="E6601" s="3" t="s">
        <v>754</v>
      </c>
      <c r="F6601" s="3" t="s">
        <v>755</v>
      </c>
      <c r="G6601" s="3">
        <v>330814</v>
      </c>
      <c r="H6601" s="7" t="str">
        <f>HYPERLINK("http://www.ensembl.org/Mus_musculus/Gene/Summary?db=core;g=ENSMUSG00000013033","ENSMUSG00000013033")</f>
        <v>ENSMUSG00000013033</v>
      </c>
      <c r="I6601" s="7" t="str">
        <f>HYPERLINK("http://www.informatics.jax.org/marker/MGI:1929461","MGI:1929461")</f>
        <v>MGI:1929461</v>
      </c>
      <c r="J6601" s="4" t="s">
        <v>12</v>
      </c>
    </row>
    <row r="6602" spans="1:10" x14ac:dyDescent="0.25">
      <c r="A6602" s="2">
        <v>302.95569716191397</v>
      </c>
      <c r="B6602" s="3">
        <v>-1.0694752568372199</v>
      </c>
      <c r="C6602" s="5">
        <v>1.9488911993370598E-21</v>
      </c>
      <c r="D6602" s="6">
        <v>3.27058398783774E-20</v>
      </c>
      <c r="E6602" s="3" t="s">
        <v>3984</v>
      </c>
      <c r="F6602" s="3" t="s">
        <v>3985</v>
      </c>
      <c r="G6602" s="3">
        <v>270118</v>
      </c>
      <c r="H6602" s="7" t="str">
        <f>HYPERLINK("http://www.ensembl.org/Mus_musculus/Gene/Summary?db=core;g=ENSMUSG00000031925","ENSMUSG00000031925")</f>
        <v>ENSMUSG00000031925</v>
      </c>
      <c r="I6602" s="7" t="str">
        <f>HYPERLINK("http://www.informatics.jax.org/marker/MGI:2389460","MGI:2389460")</f>
        <v>MGI:2389460</v>
      </c>
      <c r="J6602" s="4" t="s">
        <v>12</v>
      </c>
    </row>
    <row r="6603" spans="1:10" x14ac:dyDescent="0.25">
      <c r="A6603" s="2">
        <v>61.777198055394997</v>
      </c>
      <c r="B6603" s="3">
        <v>-1.0720019936443901</v>
      </c>
      <c r="C6603" s="5">
        <v>2.6924215561209399E-12</v>
      </c>
      <c r="D6603" s="6">
        <v>2.6142452243102798E-11</v>
      </c>
      <c r="E6603" s="3" t="s">
        <v>6439</v>
      </c>
      <c r="F6603" s="3" t="s">
        <v>6440</v>
      </c>
      <c r="G6603" s="3">
        <v>71970</v>
      </c>
      <c r="H6603" s="7" t="str">
        <f>HYPERLINK("http://www.ensembl.org/Mus_musculus/Gene/Summary?db=core;g=ENSMUSG00000034173","ENSMUSG00000034173")</f>
        <v>ENSMUSG00000034173</v>
      </c>
      <c r="I6603" s="7" t="str">
        <f>HYPERLINK("http://www.informatics.jax.org/marker/MGI:1919220","MGI:1919220")</f>
        <v>MGI:1919220</v>
      </c>
      <c r="J6603" s="4" t="s">
        <v>12</v>
      </c>
    </row>
    <row r="6604" spans="1:10" x14ac:dyDescent="0.25">
      <c r="A6604" s="2">
        <v>43.756441153949801</v>
      </c>
      <c r="B6604" s="3">
        <v>-1.07288853970339</v>
      </c>
      <c r="C6604" s="5">
        <v>3.9683472567426599E-7</v>
      </c>
      <c r="D6604" s="6">
        <v>2.3202800370271101E-6</v>
      </c>
      <c r="E6604" s="3" t="s">
        <v>11046</v>
      </c>
      <c r="F6604" s="3" t="s">
        <v>11047</v>
      </c>
      <c r="G6604" s="3">
        <v>319179</v>
      </c>
      <c r="H6604" s="7" t="str">
        <f>HYPERLINK("http://www.ensembl.org/Mus_musculus/Gene/Summary?db=core;g=ENSMUSG00000047246","ENSMUSG00000047246")</f>
        <v>ENSMUSG00000047246</v>
      </c>
      <c r="I6604" s="7" t="str">
        <f>HYPERLINK("http://www.informatics.jax.org/marker/MGI:2448380","MGI:2448380")</f>
        <v>MGI:2448380</v>
      </c>
      <c r="J6604" s="4" t="s">
        <v>12</v>
      </c>
    </row>
    <row r="6605" spans="1:10" x14ac:dyDescent="0.25">
      <c r="A6605" s="2">
        <v>276.07897545160898</v>
      </c>
      <c r="B6605" s="3">
        <v>-1.0731136534396699</v>
      </c>
      <c r="C6605" s="5">
        <v>1.1848138168474499E-16</v>
      </c>
      <c r="D6605" s="6">
        <v>1.5501243224726999E-15</v>
      </c>
      <c r="E6605" s="3" t="s">
        <v>2595</v>
      </c>
      <c r="F6605" s="3" t="s">
        <v>2596</v>
      </c>
      <c r="G6605" s="3">
        <v>214359</v>
      </c>
      <c r="H6605" s="7" t="str">
        <f>HYPERLINK("http://www.ensembl.org/Mus_musculus/Gene/Summary?db=core;g=ENSMUSG00000040616","ENSMUSG00000040616")</f>
        <v>ENSMUSG00000040616</v>
      </c>
      <c r="I6605" s="7" t="str">
        <f>HYPERLINK("http://www.informatics.jax.org/marker/MGI:2384874","MGI:2384874")</f>
        <v>MGI:2384874</v>
      </c>
      <c r="J6605" s="4" t="s">
        <v>12</v>
      </c>
    </row>
    <row r="6606" spans="1:10" x14ac:dyDescent="0.25">
      <c r="A6606" s="2">
        <v>340.75113661558697</v>
      </c>
      <c r="B6606" s="3">
        <v>-1.07336942564326</v>
      </c>
      <c r="C6606" s="5">
        <v>6.8971951597600899E-28</v>
      </c>
      <c r="D6606" s="6">
        <v>1.56539703345738E-26</v>
      </c>
      <c r="E6606" s="3" t="s">
        <v>1630</v>
      </c>
      <c r="F6606" s="3" t="s">
        <v>1631</v>
      </c>
      <c r="G6606" s="3">
        <v>214552</v>
      </c>
      <c r="H6606" s="7" t="str">
        <f>HYPERLINK("http://www.ensembl.org/Mus_musculus/Gene/Summary?db=core;g=ENSMUSG00000043987","ENSMUSG00000043987")</f>
        <v>ENSMUSG00000043987</v>
      </c>
      <c r="I6606" s="7" t="str">
        <f>HYPERLINK("http://www.informatics.jax.org/marker/MGI:2384878","MGI:2384878")</f>
        <v>MGI:2384878</v>
      </c>
      <c r="J6606" s="4" t="s">
        <v>12</v>
      </c>
    </row>
    <row r="6607" spans="1:10" x14ac:dyDescent="0.25">
      <c r="A6607" s="2">
        <v>15.260054763627201</v>
      </c>
      <c r="B6607" s="3">
        <v>-1.0776271736230001</v>
      </c>
      <c r="C6607" s="3">
        <v>1.7904972757941701E-3</v>
      </c>
      <c r="D6607" s="4">
        <v>5.98968664672334E-3</v>
      </c>
      <c r="E6607" s="3" t="s">
        <v>13375</v>
      </c>
      <c r="F6607" s="3" t="s">
        <v>13376</v>
      </c>
      <c r="G6607" s="3">
        <v>217169</v>
      </c>
      <c r="H6607" s="7" t="str">
        <f>HYPERLINK("http://www.ensembl.org/Mus_musculus/Gene/Summary?db=core;g=ENSMUSG00000017607","ENSMUSG00000017607")</f>
        <v>ENSMUSG00000017607</v>
      </c>
      <c r="I6607" s="7" t="str">
        <f>HYPERLINK("http://www.informatics.jax.org/marker/MGI:2144377","MGI:2144377")</f>
        <v>MGI:2144377</v>
      </c>
      <c r="J6607" s="4" t="s">
        <v>12</v>
      </c>
    </row>
    <row r="6608" spans="1:10" x14ac:dyDescent="0.25">
      <c r="A6608" s="2">
        <v>357.052985375817</v>
      </c>
      <c r="B6608" s="3">
        <v>-1.0778980007886001</v>
      </c>
      <c r="C6608" s="5">
        <v>9.1171750399944403E-42</v>
      </c>
      <c r="D6608" s="6">
        <v>3.39796554404701E-40</v>
      </c>
      <c r="E6608" s="3" t="s">
        <v>993</v>
      </c>
      <c r="F6608" s="3" t="s">
        <v>994</v>
      </c>
      <c r="G6608" s="3" t="s">
        <v>83</v>
      </c>
      <c r="H6608" s="7" t="str">
        <f>HYPERLINK("http://www.ensembl.org/Mus_musculus/Gene/Summary?db=core;g=ENSMUSG00000108037","ENSMUSG00000108037")</f>
        <v>ENSMUSG00000108037</v>
      </c>
      <c r="I6608" s="7" t="str">
        <f>HYPERLINK("http://www.informatics.jax.org/marker/MGI:5753173","MGI:5753173")</f>
        <v>MGI:5753173</v>
      </c>
      <c r="J6608" s="4" t="s">
        <v>331</v>
      </c>
    </row>
    <row r="6609" spans="1:10" x14ac:dyDescent="0.25">
      <c r="A6609" s="2">
        <v>358.41317419738499</v>
      </c>
      <c r="B6609" s="3">
        <v>-1.0808919571614499</v>
      </c>
      <c r="C6609" s="5">
        <v>1.5641570477273599E-11</v>
      </c>
      <c r="D6609" s="6">
        <v>1.4339417603033699E-10</v>
      </c>
      <c r="E6609" s="3" t="s">
        <v>5503</v>
      </c>
      <c r="F6609" s="3" t="s">
        <v>5504</v>
      </c>
      <c r="G6609" s="3">
        <v>12337</v>
      </c>
      <c r="H6609" s="7" t="str">
        <f>HYPERLINK("http://www.ensembl.org/Mus_musculus/Gene/Summary?db=core;g=ENSMUSG00000035547","ENSMUSG00000035547")</f>
        <v>ENSMUSG00000035547</v>
      </c>
      <c r="I6609" s="7" t="str">
        <f>HYPERLINK("http://www.informatics.jax.org/marker/MGI:1100859","MGI:1100859")</f>
        <v>MGI:1100859</v>
      </c>
      <c r="J6609" s="4" t="s">
        <v>12</v>
      </c>
    </row>
    <row r="6610" spans="1:10" x14ac:dyDescent="0.25">
      <c r="A6610" s="2">
        <v>235.04304042938699</v>
      </c>
      <c r="B6610" s="3">
        <v>-1.0829552030417899</v>
      </c>
      <c r="C6610" s="5">
        <v>4.2122048832246999E-13</v>
      </c>
      <c r="D6610" s="6">
        <v>4.3928453702043404E-12</v>
      </c>
      <c r="E6610" s="3" t="s">
        <v>3586</v>
      </c>
      <c r="F6610" s="3" t="s">
        <v>3587</v>
      </c>
      <c r="G6610" s="3">
        <v>319190</v>
      </c>
      <c r="H6610" s="7" t="str">
        <f>HYPERLINK("http://www.ensembl.org/Mus_musculus/Gene/Summary?db=core;g=ENSMUSG00000068854","ENSMUSG00000068854")</f>
        <v>ENSMUSG00000068854</v>
      </c>
      <c r="I6610" s="7" t="str">
        <f>HYPERLINK("http://www.informatics.jax.org/marker/MGI:2448415","MGI:2448415")</f>
        <v>MGI:2448415</v>
      </c>
      <c r="J6610" s="4" t="s">
        <v>12</v>
      </c>
    </row>
    <row r="6611" spans="1:10" x14ac:dyDescent="0.25">
      <c r="A6611" s="2">
        <v>139.347121841106</v>
      </c>
      <c r="B6611" s="3">
        <v>-1.0843523016426699</v>
      </c>
      <c r="C6611" s="5">
        <v>2.0348999148416801E-19</v>
      </c>
      <c r="D6611" s="6">
        <v>3.0827972525344699E-18</v>
      </c>
      <c r="E6611" s="3" t="s">
        <v>1875</v>
      </c>
      <c r="F6611" s="3" t="s">
        <v>1876</v>
      </c>
      <c r="G6611" s="3">
        <v>64296</v>
      </c>
      <c r="H6611" s="7" t="str">
        <f>HYPERLINK("http://www.ensembl.org/Mus_musculus/Gene/Summary?db=core;g=ENSMUSG00000007950","ENSMUSG00000007950")</f>
        <v>ENSMUSG00000007950</v>
      </c>
      <c r="I6611" s="7" t="str">
        <f>HYPERLINK("http://www.informatics.jax.org/marker/MGI:1918946","MGI:1918946")</f>
        <v>MGI:1918946</v>
      </c>
      <c r="J6611" s="4" t="s">
        <v>12</v>
      </c>
    </row>
    <row r="6612" spans="1:10" x14ac:dyDescent="0.25">
      <c r="A6612" s="2">
        <v>125.711880458423</v>
      </c>
      <c r="B6612" s="3">
        <v>-1.08461097104425</v>
      </c>
      <c r="C6612" s="5">
        <v>1.9601506525424501E-21</v>
      </c>
      <c r="D6612" s="6">
        <v>3.2864531409922798E-20</v>
      </c>
      <c r="E6612" s="3" t="s">
        <v>4089</v>
      </c>
      <c r="F6612" s="3" t="s">
        <v>4090</v>
      </c>
      <c r="G6612" s="3">
        <v>216198</v>
      </c>
      <c r="H6612" s="7" t="str">
        <f>HYPERLINK("http://www.ensembl.org/Mus_musculus/Gene/Summary?db=core;g=ENSMUSG00000020034","ENSMUSG00000020034")</f>
        <v>ENSMUSG00000020034</v>
      </c>
      <c r="I6612" s="7" t="str">
        <f>HYPERLINK("http://www.informatics.jax.org/marker/MGI:2444679","MGI:2444679")</f>
        <v>MGI:2444679</v>
      </c>
      <c r="J6612" s="4" t="s">
        <v>12</v>
      </c>
    </row>
    <row r="6613" spans="1:10" x14ac:dyDescent="0.25">
      <c r="A6613" s="2">
        <v>2094.3736059468001</v>
      </c>
      <c r="B6613" s="3">
        <v>-1.08556485626531</v>
      </c>
      <c r="C6613" s="5">
        <v>4.0690086350041602E-34</v>
      </c>
      <c r="D6613" s="6">
        <v>1.16234611869829E-32</v>
      </c>
      <c r="E6613" s="3" t="s">
        <v>1855</v>
      </c>
      <c r="F6613" s="3" t="s">
        <v>1856</v>
      </c>
      <c r="G6613" s="3">
        <v>11513</v>
      </c>
      <c r="H6613" s="7" t="str">
        <f>HYPERLINK("http://www.ensembl.org/Mus_musculus/Gene/Summary?db=core;g=ENSMUSG00000031659","ENSMUSG00000031659")</f>
        <v>ENSMUSG00000031659</v>
      </c>
      <c r="I6613" s="7" t="str">
        <f>HYPERLINK("http://www.informatics.jax.org/marker/MGI:102891","MGI:102891")</f>
        <v>MGI:102891</v>
      </c>
      <c r="J6613" s="4" t="s">
        <v>12</v>
      </c>
    </row>
    <row r="6614" spans="1:10" x14ac:dyDescent="0.25">
      <c r="A6614" s="2">
        <v>355.44434911582402</v>
      </c>
      <c r="B6614" s="3">
        <v>-1.0872828798882599</v>
      </c>
      <c r="C6614" s="5">
        <v>1.160739533185E-42</v>
      </c>
      <c r="D6614" s="6">
        <v>4.4349010466030601E-41</v>
      </c>
      <c r="E6614" s="3" t="s">
        <v>1009</v>
      </c>
      <c r="F6614" s="3" t="s">
        <v>1010</v>
      </c>
      <c r="G6614" s="3">
        <v>28019</v>
      </c>
      <c r="H6614" s="7" t="str">
        <f>HYPERLINK("http://www.ensembl.org/Mus_musculus/Gene/Summary?db=core;g=ENSMUSG00000030330","ENSMUSG00000030330")</f>
        <v>ENSMUSG00000030330</v>
      </c>
      <c r="I6614" s="7" t="str">
        <f>HYPERLINK("http://www.informatics.jax.org/marker/MGI:107307","MGI:107307")</f>
        <v>MGI:107307</v>
      </c>
      <c r="J6614" s="4" t="s">
        <v>12</v>
      </c>
    </row>
    <row r="6615" spans="1:10" x14ac:dyDescent="0.25">
      <c r="A6615" s="2">
        <v>38.674921995302</v>
      </c>
      <c r="B6615" s="3">
        <v>-1.09084353786787</v>
      </c>
      <c r="C6615" s="5">
        <v>7.4077458916730797E-7</v>
      </c>
      <c r="D6615" s="6">
        <v>4.1707188407705199E-6</v>
      </c>
      <c r="E6615" s="3" t="s">
        <v>5727</v>
      </c>
      <c r="F6615" s="3" t="s">
        <v>5728</v>
      </c>
      <c r="G6615" s="3" t="s">
        <v>83</v>
      </c>
      <c r="H6615" s="7" t="str">
        <f>HYPERLINK("http://www.ensembl.org/Mus_musculus/Gene/Summary?db=core;g=ENSMUSG00000059277","ENSMUSG00000059277")</f>
        <v>ENSMUSG00000059277</v>
      </c>
      <c r="I6615" s="7" t="str">
        <f>HYPERLINK("http://www.informatics.jax.org/marker/MGI:2142382","MGI:2142382")</f>
        <v>MGI:2142382</v>
      </c>
      <c r="J6615" s="4" t="s">
        <v>331</v>
      </c>
    </row>
    <row r="6616" spans="1:10" x14ac:dyDescent="0.25">
      <c r="A6616" s="2">
        <v>502.98129112050299</v>
      </c>
      <c r="B6616" s="3">
        <v>-1.0908616302706999</v>
      </c>
      <c r="C6616" s="5">
        <v>4.97734944801845E-44</v>
      </c>
      <c r="D6616" s="6">
        <v>1.9980659403113699E-42</v>
      </c>
      <c r="E6616" s="3" t="s">
        <v>684</v>
      </c>
      <c r="F6616" s="3" t="s">
        <v>685</v>
      </c>
      <c r="G6616" s="3">
        <v>218215</v>
      </c>
      <c r="H6616" s="7" t="str">
        <f>HYPERLINK("http://www.ensembl.org/Mus_musculus/Gene/Summary?db=core;g=ENSMUSG00000038068","ENSMUSG00000038068")</f>
        <v>ENSMUSG00000038068</v>
      </c>
      <c r="I6616" s="7" t="str">
        <f>HYPERLINK("http://www.informatics.jax.org/marker/MGI:2384986","MGI:2384986")</f>
        <v>MGI:2384986</v>
      </c>
      <c r="J6616" s="4" t="s">
        <v>12</v>
      </c>
    </row>
    <row r="6617" spans="1:10" x14ac:dyDescent="0.25">
      <c r="A6617" s="2">
        <v>290.65512840949702</v>
      </c>
      <c r="B6617" s="3">
        <v>-1.0913764587881001</v>
      </c>
      <c r="C6617" s="5">
        <v>3.1603078478737701E-29</v>
      </c>
      <c r="D6617" s="6">
        <v>7.5487038699212998E-28</v>
      </c>
      <c r="E6617" s="3" t="s">
        <v>872</v>
      </c>
      <c r="F6617" s="3" t="s">
        <v>873</v>
      </c>
      <c r="G6617" s="3">
        <v>24100</v>
      </c>
      <c r="H6617" s="7" t="str">
        <f>HYPERLINK("http://www.ensembl.org/Mus_musculus/Gene/Summary?db=core;g=ENSMUSG00000002871","ENSMUSG00000002871")</f>
        <v>ENSMUSG00000002871</v>
      </c>
      <c r="I6617" s="7" t="str">
        <f>HYPERLINK("http://www.informatics.jax.org/marker/MGI:1345190","MGI:1345190")</f>
        <v>MGI:1345190</v>
      </c>
      <c r="J6617" s="4" t="s">
        <v>12</v>
      </c>
    </row>
    <row r="6618" spans="1:10" x14ac:dyDescent="0.25">
      <c r="A6618" s="2">
        <v>442.98812231872301</v>
      </c>
      <c r="B6618" s="3">
        <v>-1.0916449679617899</v>
      </c>
      <c r="C6618" s="5">
        <v>1.4448548231437899E-16</v>
      </c>
      <c r="D6618" s="6">
        <v>1.8808913679854001E-15</v>
      </c>
      <c r="E6618" s="3" t="s">
        <v>3544</v>
      </c>
      <c r="F6618" s="3" t="s">
        <v>3545</v>
      </c>
      <c r="G6618" s="3">
        <v>76408</v>
      </c>
      <c r="H6618" s="7" t="str">
        <f>HYPERLINK("http://www.ensembl.org/Mus_musculus/Gene/Summary?db=core;g=ENSMUSG00000020865","ENSMUSG00000020865")</f>
        <v>ENSMUSG00000020865</v>
      </c>
      <c r="I6618" s="7" t="str">
        <f>HYPERLINK("http://www.informatics.jax.org/marker/MGI:1923658","MGI:1923658")</f>
        <v>MGI:1923658</v>
      </c>
      <c r="J6618" s="4" t="s">
        <v>12</v>
      </c>
    </row>
    <row r="6619" spans="1:10" x14ac:dyDescent="0.25">
      <c r="A6619" s="2">
        <v>106.994363184758</v>
      </c>
      <c r="B6619" s="3">
        <v>-1.09170820501224</v>
      </c>
      <c r="C6619" s="5">
        <v>1.02706700045467E-14</v>
      </c>
      <c r="D6619" s="6">
        <v>1.1869559976719301E-13</v>
      </c>
      <c r="E6619" s="3" t="s">
        <v>2962</v>
      </c>
      <c r="F6619" s="3" t="s">
        <v>2963</v>
      </c>
      <c r="G6619" s="3">
        <v>74559</v>
      </c>
      <c r="H6619" s="7" t="str">
        <f>HYPERLINK("http://www.ensembl.org/Mus_musculus/Gene/Summary?db=core;g=ENSMUSG00000021696","ENSMUSG00000021696")</f>
        <v>ENSMUSG00000021696</v>
      </c>
      <c r="I6619" s="7" t="str">
        <f>HYPERLINK("http://www.informatics.jax.org/marker/MGI:1921809","MGI:1921809")</f>
        <v>MGI:1921809</v>
      </c>
      <c r="J6619" s="4" t="s">
        <v>12</v>
      </c>
    </row>
    <row r="6620" spans="1:10" x14ac:dyDescent="0.25">
      <c r="A6620" s="2">
        <v>404.03481766201099</v>
      </c>
      <c r="B6620" s="3">
        <v>-1.09217180091288</v>
      </c>
      <c r="C6620" s="5">
        <v>8.0813914996467493E-30</v>
      </c>
      <c r="D6620" s="6">
        <v>1.97961505485298E-28</v>
      </c>
      <c r="E6620" s="3" t="s">
        <v>1446</v>
      </c>
      <c r="F6620" s="3" t="s">
        <v>1447</v>
      </c>
      <c r="G6620" s="3">
        <v>19157</v>
      </c>
      <c r="H6620" s="7" t="str">
        <f>HYPERLINK("http://www.ensembl.org/Mus_musculus/Gene/Summary?db=core;g=ENSMUSG00000017132","ENSMUSG00000017132")</f>
        <v>ENSMUSG00000017132</v>
      </c>
      <c r="I6620" s="7" t="str">
        <f>HYPERLINK("http://www.informatics.jax.org/marker/MGI:1334257","MGI:1334257")</f>
        <v>MGI:1334257</v>
      </c>
      <c r="J6620" s="4" t="s">
        <v>12</v>
      </c>
    </row>
    <row r="6621" spans="1:10" x14ac:dyDescent="0.25">
      <c r="A6621" s="2">
        <v>440.210972925421</v>
      </c>
      <c r="B6621" s="3">
        <v>-1.0939269038533199</v>
      </c>
      <c r="C6621" s="5">
        <v>6.70029903789407E-50</v>
      </c>
      <c r="D6621" s="6">
        <v>3.1883276753425399E-48</v>
      </c>
      <c r="E6621" s="3" t="s">
        <v>570</v>
      </c>
      <c r="F6621" s="3" t="s">
        <v>571</v>
      </c>
      <c r="G6621" s="3">
        <v>14166</v>
      </c>
      <c r="H6621" s="7" t="str">
        <f>HYPERLINK("http://www.ensembl.org/Mus_musculus/Gene/Summary?db=core;g=ENSMUSG00000042826","ENSMUSG00000042826")</f>
        <v>ENSMUSG00000042826</v>
      </c>
      <c r="I6621" s="7" t="str">
        <f>HYPERLINK("http://www.informatics.jax.org/marker/MGI:109167","MGI:109167")</f>
        <v>MGI:109167</v>
      </c>
      <c r="J6621" s="4" t="s">
        <v>12</v>
      </c>
    </row>
    <row r="6622" spans="1:10" x14ac:dyDescent="0.25">
      <c r="A6622" s="2">
        <v>25.031508747334399</v>
      </c>
      <c r="B6622" s="3">
        <v>-1.09399286620418</v>
      </c>
      <c r="C6622" s="3">
        <v>1.10000293952944E-3</v>
      </c>
      <c r="D6622" s="4">
        <v>3.8464224046285702E-3</v>
      </c>
      <c r="E6622" s="3" t="s">
        <v>11291</v>
      </c>
      <c r="F6622" s="3" t="s">
        <v>11292</v>
      </c>
      <c r="G6622" s="3">
        <v>69574</v>
      </c>
      <c r="H6622" s="7" t="str">
        <f>HYPERLINK("http://www.ensembl.org/Mus_musculus/Gene/Summary?db=core;g=ENSMUSG00000022235","ENSMUSG00000022235")</f>
        <v>ENSMUSG00000022235</v>
      </c>
      <c r="I6622" s="7" t="str">
        <f>HYPERLINK("http://www.informatics.jax.org/marker/MGI:1916824","MGI:1916824")</f>
        <v>MGI:1916824</v>
      </c>
      <c r="J6622" s="4" t="s">
        <v>12</v>
      </c>
    </row>
    <row r="6623" spans="1:10" x14ac:dyDescent="0.25">
      <c r="A6623" s="2">
        <v>1155.61310712207</v>
      </c>
      <c r="B6623" s="3">
        <v>-1.09443372140799</v>
      </c>
      <c r="C6623" s="5">
        <v>1.56472307683696E-35</v>
      </c>
      <c r="D6623" s="6">
        <v>4.6749308320251803E-34</v>
      </c>
      <c r="E6623" s="3" t="s">
        <v>1330</v>
      </c>
      <c r="F6623" s="3" t="s">
        <v>1331</v>
      </c>
      <c r="G6623" s="3">
        <v>78339</v>
      </c>
      <c r="H6623" s="7" t="str">
        <f>HYPERLINK("http://www.ensembl.org/Mus_musculus/Gene/Summary?db=core;g=ENSMUSG00000036565","ENSMUSG00000036565")</f>
        <v>ENSMUSG00000036565</v>
      </c>
      <c r="I6623" s="7" t="str">
        <f>HYPERLINK("http://www.informatics.jax.org/marker/MGI:1925589","MGI:1925589")</f>
        <v>MGI:1925589</v>
      </c>
      <c r="J6623" s="4" t="s">
        <v>12</v>
      </c>
    </row>
    <row r="6624" spans="1:10" x14ac:dyDescent="0.25">
      <c r="A6624" s="2">
        <v>268.23863230977798</v>
      </c>
      <c r="B6624" s="3">
        <v>-1.09470262368659</v>
      </c>
      <c r="C6624" s="5">
        <v>3.1570386888401502E-32</v>
      </c>
      <c r="D6624" s="6">
        <v>8.4489030989884994E-31</v>
      </c>
      <c r="E6624" s="3" t="s">
        <v>1070</v>
      </c>
      <c r="F6624" s="3" t="s">
        <v>1071</v>
      </c>
      <c r="G6624" s="3">
        <v>73086</v>
      </c>
      <c r="H6624" s="7" t="str">
        <f>HYPERLINK("http://www.ensembl.org/Mus_musculus/Gene/Summary?db=core;g=ENSMUSG00000021180","ENSMUSG00000021180")</f>
        <v>ENSMUSG00000021180</v>
      </c>
      <c r="I6624" s="7" t="str">
        <f>HYPERLINK("http://www.informatics.jax.org/marker/MGI:1920336","MGI:1920336")</f>
        <v>MGI:1920336</v>
      </c>
      <c r="J6624" s="4" t="s">
        <v>12</v>
      </c>
    </row>
    <row r="6625" spans="1:10" x14ac:dyDescent="0.25">
      <c r="A6625" s="2">
        <v>10.0522988734305</v>
      </c>
      <c r="B6625" s="3">
        <v>-1.0955764620986399</v>
      </c>
      <c r="C6625" s="3">
        <v>2.0195795441298298E-3</v>
      </c>
      <c r="D6625" s="4">
        <v>6.6787946274299102E-3</v>
      </c>
      <c r="E6625" s="3" t="s">
        <v>11531</v>
      </c>
      <c r="F6625" s="3" t="s">
        <v>11532</v>
      </c>
      <c r="G6625" s="3">
        <v>100038947</v>
      </c>
      <c r="H6625" s="7" t="str">
        <f>HYPERLINK("http://www.ensembl.org/Mus_musculus/Gene/Summary?db=core;g=ENSMUSG00000074677","ENSMUSG00000074677")</f>
        <v>ENSMUSG00000074677</v>
      </c>
      <c r="I6625" s="7" t="str">
        <f>HYPERLINK("http://www.informatics.jax.org/marker/MGI:3807521","MGI:3807521")</f>
        <v>MGI:3807521</v>
      </c>
      <c r="J6625" s="4" t="s">
        <v>12</v>
      </c>
    </row>
    <row r="6626" spans="1:10" x14ac:dyDescent="0.25">
      <c r="A6626" s="2">
        <v>31.127231034576798</v>
      </c>
      <c r="B6626" s="3">
        <v>-1.09561394988656</v>
      </c>
      <c r="C6626" s="5">
        <v>2.6604138491791299E-5</v>
      </c>
      <c r="D6626" s="4">
        <v>1.2200815903696401E-4</v>
      </c>
      <c r="E6626" s="3" t="s">
        <v>9625</v>
      </c>
      <c r="F6626" s="3" t="s">
        <v>9626</v>
      </c>
      <c r="G6626" s="3">
        <v>18125</v>
      </c>
      <c r="H6626" s="7" t="str">
        <f>HYPERLINK("http://www.ensembl.org/Mus_musculus/Gene/Summary?db=core;g=ENSMUSG00000029361","ENSMUSG00000029361")</f>
        <v>ENSMUSG00000029361</v>
      </c>
      <c r="I6626" s="7" t="str">
        <f>HYPERLINK("http://www.informatics.jax.org/marker/MGI:97360","MGI:97360")</f>
        <v>MGI:97360</v>
      </c>
      <c r="J6626" s="4" t="s">
        <v>12</v>
      </c>
    </row>
    <row r="6627" spans="1:10" x14ac:dyDescent="0.25">
      <c r="A6627" s="2">
        <v>1078.91199745418</v>
      </c>
      <c r="B6627" s="3">
        <v>-1.1006412254594899</v>
      </c>
      <c r="C6627" s="5">
        <v>2.0041453729380001E-12</v>
      </c>
      <c r="D6627" s="6">
        <v>1.97435402279973E-11</v>
      </c>
      <c r="E6627" s="3" t="s">
        <v>5217</v>
      </c>
      <c r="F6627" s="3" t="s">
        <v>5218</v>
      </c>
      <c r="G6627" s="3">
        <v>14131</v>
      </c>
      <c r="H6627" s="7" t="str">
        <f>HYPERLINK("http://www.ensembl.org/Mus_musculus/Gene/Summary?db=core;g=ENSMUSG00000059498","ENSMUSG00000059498")</f>
        <v>ENSMUSG00000059498</v>
      </c>
      <c r="I6627" s="7" t="str">
        <f>HYPERLINK("http://www.informatics.jax.org/marker/MGI:95500","MGI:95500")</f>
        <v>MGI:95500</v>
      </c>
      <c r="J6627" s="4" t="s">
        <v>12</v>
      </c>
    </row>
    <row r="6628" spans="1:10" x14ac:dyDescent="0.25">
      <c r="A6628" s="2">
        <v>1165.94998691711</v>
      </c>
      <c r="B6628" s="3">
        <v>-1.1022714347401501</v>
      </c>
      <c r="C6628" s="5">
        <v>3.0147034461447802E-46</v>
      </c>
      <c r="D6628" s="6">
        <v>1.3112880741286E-44</v>
      </c>
      <c r="E6628" s="3" t="s">
        <v>1104</v>
      </c>
      <c r="F6628" s="3" t="s">
        <v>1105</v>
      </c>
      <c r="G6628" s="3">
        <v>18032</v>
      </c>
      <c r="H6628" s="7" t="str">
        <f>HYPERLINK("http://www.ensembl.org/Mus_musculus/Gene/Summary?db=core;g=ENSMUSG00000001911","ENSMUSG00000001911")</f>
        <v>ENSMUSG00000001911</v>
      </c>
      <c r="I6628" s="7" t="str">
        <f>HYPERLINK("http://www.informatics.jax.org/marker/MGI:97311","MGI:97311")</f>
        <v>MGI:97311</v>
      </c>
      <c r="J6628" s="4" t="s">
        <v>12</v>
      </c>
    </row>
    <row r="6629" spans="1:10" x14ac:dyDescent="0.25">
      <c r="A6629" s="2">
        <v>9.6020057538542396</v>
      </c>
      <c r="B6629" s="3">
        <v>-1.1036337762719099</v>
      </c>
      <c r="C6629" s="3">
        <v>1.77943278387427E-3</v>
      </c>
      <c r="D6629" s="4">
        <v>5.9570467461624796E-3</v>
      </c>
      <c r="E6629" s="3" t="s">
        <v>8467</v>
      </c>
      <c r="F6629" s="3" t="s">
        <v>8468</v>
      </c>
      <c r="G6629" s="3" t="s">
        <v>83</v>
      </c>
      <c r="H6629" s="7" t="str">
        <f>HYPERLINK("http://www.ensembl.org/Mus_musculus/Gene/Summary?db=core;g=ENSMUSG00000051606","ENSMUSG00000051606")</f>
        <v>ENSMUSG00000051606</v>
      </c>
      <c r="I6629" s="7" t="str">
        <f>HYPERLINK("http://www.informatics.jax.org/marker/MGI:1917079","MGI:1917079")</f>
        <v>MGI:1917079</v>
      </c>
      <c r="J6629" s="4" t="s">
        <v>331</v>
      </c>
    </row>
    <row r="6630" spans="1:10" x14ac:dyDescent="0.25">
      <c r="A6630" s="2">
        <v>1457.53956074895</v>
      </c>
      <c r="B6630" s="3">
        <v>-1.10419142100598</v>
      </c>
      <c r="C6630" s="5">
        <v>3.98320346705588E-16</v>
      </c>
      <c r="D6630" s="6">
        <v>5.0517664013287E-15</v>
      </c>
      <c r="E6630" s="3" t="s">
        <v>1722</v>
      </c>
      <c r="F6630" s="3" t="s">
        <v>1723</v>
      </c>
      <c r="G6630" s="3">
        <v>16565</v>
      </c>
      <c r="H6630" s="7" t="str">
        <f>HYPERLINK("http://www.ensembl.org/Mus_musculus/Gene/Summary?db=core;g=ENSMUSG00000041642","ENSMUSG00000041642")</f>
        <v>ENSMUSG00000041642</v>
      </c>
      <c r="I6630" s="7" t="str">
        <f>HYPERLINK("http://www.informatics.jax.org/marker/MGI:109234","MGI:109234")</f>
        <v>MGI:109234</v>
      </c>
      <c r="J6630" s="4" t="s">
        <v>12</v>
      </c>
    </row>
    <row r="6631" spans="1:10" x14ac:dyDescent="0.25">
      <c r="A6631" s="2">
        <v>193.79877232678501</v>
      </c>
      <c r="B6631" s="3">
        <v>-1.1048096485180301</v>
      </c>
      <c r="C6631" s="5">
        <v>9.8664193959735597E-16</v>
      </c>
      <c r="D6631" s="6">
        <v>1.21414917955178E-14</v>
      </c>
      <c r="E6631" s="3" t="s">
        <v>2698</v>
      </c>
      <c r="F6631" s="3" t="s">
        <v>2699</v>
      </c>
      <c r="G6631" s="3">
        <v>22057</v>
      </c>
      <c r="H6631" s="7" t="str">
        <f>HYPERLINK("http://www.ensembl.org/Mus_musculus/Gene/Summary?db=core;g=ENSMUSG00000037573","ENSMUSG00000037573")</f>
        <v>ENSMUSG00000037573</v>
      </c>
      <c r="I6631" s="7" t="str">
        <f>HYPERLINK("http://www.informatics.jax.org/marker/MGI:1349721","MGI:1349721")</f>
        <v>MGI:1349721</v>
      </c>
      <c r="J6631" s="4" t="s">
        <v>12</v>
      </c>
    </row>
    <row r="6632" spans="1:10" x14ac:dyDescent="0.25">
      <c r="A6632" s="2">
        <v>3119.1988077956998</v>
      </c>
      <c r="B6632" s="3">
        <v>-1.1049571716922799</v>
      </c>
      <c r="C6632" s="5">
        <v>1.45441012820755E-24</v>
      </c>
      <c r="D6632" s="6">
        <v>2.8410101378973899E-23</v>
      </c>
      <c r="E6632" s="3" t="s">
        <v>2479</v>
      </c>
      <c r="F6632" s="3" t="s">
        <v>2480</v>
      </c>
      <c r="G6632" s="3">
        <v>16010</v>
      </c>
      <c r="H6632" s="7" t="str">
        <f>HYPERLINK("http://www.ensembl.org/Mus_musculus/Gene/Summary?db=core;g=ENSMUSG00000017493","ENSMUSG00000017493")</f>
        <v>ENSMUSG00000017493</v>
      </c>
      <c r="I6632" s="7" t="str">
        <f>HYPERLINK("http://www.informatics.jax.org/marker/MGI:96439","MGI:96439")</f>
        <v>MGI:96439</v>
      </c>
      <c r="J6632" s="4" t="s">
        <v>12</v>
      </c>
    </row>
    <row r="6633" spans="1:10" x14ac:dyDescent="0.25">
      <c r="A6633" s="2">
        <v>12.127905921565199</v>
      </c>
      <c r="B6633" s="3">
        <v>-1.1049858720152299</v>
      </c>
      <c r="C6633" s="3">
        <v>8.91975733804753E-4</v>
      </c>
      <c r="D6633" s="4">
        <v>3.1651592189625398E-3</v>
      </c>
      <c r="E6633" s="3" t="s">
        <v>11955</v>
      </c>
      <c r="F6633" s="3" t="s">
        <v>11956</v>
      </c>
      <c r="G6633" s="3">
        <v>214639</v>
      </c>
      <c r="H6633" s="7" t="str">
        <f>HYPERLINK("http://www.ensembl.org/Mus_musculus/Gene/Summary?db=core;g=ENSMUSG00000050345","ENSMUSG00000050345")</f>
        <v>ENSMUSG00000050345</v>
      </c>
      <c r="I6633" s="7" t="str">
        <f>HYPERLINK("http://www.informatics.jax.org/marker/MGI:1922258","MGI:1922258")</f>
        <v>MGI:1922258</v>
      </c>
      <c r="J6633" s="4" t="s">
        <v>12</v>
      </c>
    </row>
    <row r="6634" spans="1:10" x14ac:dyDescent="0.25">
      <c r="A6634" s="2">
        <v>46.546911218383798</v>
      </c>
      <c r="B6634" s="3">
        <v>-1.10649172136701</v>
      </c>
      <c r="C6634" s="5">
        <v>5.8821022481602201E-9</v>
      </c>
      <c r="D6634" s="6">
        <v>4.2023251067314803E-8</v>
      </c>
      <c r="E6634" s="3" t="s">
        <v>5433</v>
      </c>
      <c r="F6634" s="3" t="s">
        <v>5434</v>
      </c>
      <c r="G6634" s="3" t="s">
        <v>83</v>
      </c>
      <c r="H6634" s="7" t="str">
        <f>HYPERLINK("http://www.ensembl.org/Mus_musculus/Gene/Summary?db=core;g=ENSMUSG00000087060","ENSMUSG00000087060")</f>
        <v>ENSMUSG00000087060</v>
      </c>
      <c r="I6634" s="7" t="str">
        <f>HYPERLINK("http://www.informatics.jax.org/marker/MGI:1919985","MGI:1919985")</f>
        <v>MGI:1919985</v>
      </c>
      <c r="J6634" s="4" t="s">
        <v>331</v>
      </c>
    </row>
    <row r="6635" spans="1:10" x14ac:dyDescent="0.25">
      <c r="A6635" s="2">
        <v>911.67861543089703</v>
      </c>
      <c r="B6635" s="3">
        <v>-1.10703819105776</v>
      </c>
      <c r="C6635" s="5">
        <v>4.9772623891693996E-66</v>
      </c>
      <c r="D6635" s="6">
        <v>3.4360078425231901E-64</v>
      </c>
      <c r="E6635" s="3" t="s">
        <v>160</v>
      </c>
      <c r="F6635" s="3" t="s">
        <v>161</v>
      </c>
      <c r="G6635" s="3">
        <v>17685</v>
      </c>
      <c r="H6635" s="7" t="str">
        <f>HYPERLINK("http://www.ensembl.org/Mus_musculus/Gene/Summary?db=core;g=ENSMUSG00000024151","ENSMUSG00000024151")</f>
        <v>ENSMUSG00000024151</v>
      </c>
      <c r="I6635" s="7" t="str">
        <f>HYPERLINK("http://www.informatics.jax.org/marker/MGI:101816","MGI:101816")</f>
        <v>MGI:101816</v>
      </c>
      <c r="J6635" s="4" t="s">
        <v>12</v>
      </c>
    </row>
    <row r="6636" spans="1:10" x14ac:dyDescent="0.25">
      <c r="A6636" s="2">
        <v>20.580426559313999</v>
      </c>
      <c r="B6636" s="3">
        <v>-1.10717383102487</v>
      </c>
      <c r="C6636" s="5">
        <v>2.5754180014555499E-6</v>
      </c>
      <c r="D6636" s="6">
        <v>1.36365465068354E-5</v>
      </c>
      <c r="E6636" s="3" t="s">
        <v>11451</v>
      </c>
      <c r="F6636" s="3" t="s">
        <v>11452</v>
      </c>
      <c r="G6636" s="3" t="s">
        <v>83</v>
      </c>
      <c r="H6636" s="7" t="str">
        <f>HYPERLINK("http://www.ensembl.org/Mus_musculus/Gene/Summary?db=core;g=ENSMUSG00000081137","ENSMUSG00000081137")</f>
        <v>ENSMUSG00000081137</v>
      </c>
      <c r="I6636" s="7" t="str">
        <f>HYPERLINK("http://www.informatics.jax.org/marker/MGI:2670977","MGI:2670977")</f>
        <v>MGI:2670977</v>
      </c>
      <c r="J6636" s="4" t="s">
        <v>5705</v>
      </c>
    </row>
    <row r="6637" spans="1:10" x14ac:dyDescent="0.25">
      <c r="A6637" s="2">
        <v>184.776299263845</v>
      </c>
      <c r="B6637" s="3">
        <v>-1.1100078737446899</v>
      </c>
      <c r="C6637" s="5">
        <v>5.4650698736303997E-18</v>
      </c>
      <c r="D6637" s="6">
        <v>7.7090478674081998E-17</v>
      </c>
      <c r="E6637" s="3" t="s">
        <v>4525</v>
      </c>
      <c r="F6637" s="3" t="s">
        <v>4526</v>
      </c>
      <c r="G6637" s="3">
        <v>239796</v>
      </c>
      <c r="H6637" s="7" t="str">
        <f>HYPERLINK("http://www.ensembl.org/Mus_musculus/Gene/Summary?db=core;g=ENSMUSG00000051065","ENSMUSG00000051065")</f>
        <v>ENSMUSG00000051065</v>
      </c>
      <c r="I6637" s="7" t="str">
        <f>HYPERLINK("http://www.informatics.jax.org/marker/MGI:1917028","MGI:1917028")</f>
        <v>MGI:1917028</v>
      </c>
      <c r="J6637" s="4" t="s">
        <v>12</v>
      </c>
    </row>
    <row r="6638" spans="1:10" x14ac:dyDescent="0.25">
      <c r="A6638" s="2">
        <v>14.706652683844</v>
      </c>
      <c r="B6638" s="3">
        <v>-1.1121311638595299</v>
      </c>
      <c r="C6638" s="3">
        <v>3.1370578879325798E-4</v>
      </c>
      <c r="D6638" s="4">
        <v>1.20262684071458E-3</v>
      </c>
      <c r="E6638" s="3" t="s">
        <v>8909</v>
      </c>
      <c r="F6638" s="3" t="s">
        <v>8910</v>
      </c>
      <c r="G6638" s="3">
        <v>329828</v>
      </c>
      <c r="H6638" s="7" t="str">
        <f>HYPERLINK("http://www.ensembl.org/Mus_musculus/Gene/Summary?db=core;g=ENSMUSG00000046312","ENSMUSG00000046312")</f>
        <v>ENSMUSG00000046312</v>
      </c>
      <c r="I6638" s="7" t="str">
        <f>HYPERLINK("http://www.informatics.jax.org/marker/MGI:2140300","MGI:2140300")</f>
        <v>MGI:2140300</v>
      </c>
      <c r="J6638" s="4" t="s">
        <v>12</v>
      </c>
    </row>
    <row r="6639" spans="1:10" x14ac:dyDescent="0.25">
      <c r="A6639" s="2">
        <v>20.951010884378899</v>
      </c>
      <c r="B6639" s="3">
        <v>-1.11233059348816</v>
      </c>
      <c r="C6639" s="5">
        <v>2.1381201278999199E-5</v>
      </c>
      <c r="D6639" s="6">
        <v>9.9482357240173797E-5</v>
      </c>
      <c r="E6639" s="3" t="s">
        <v>6035</v>
      </c>
      <c r="F6639" s="3" t="s">
        <v>6036</v>
      </c>
      <c r="G6639" s="3">
        <v>237465</v>
      </c>
      <c r="H6639" s="7" t="str">
        <f>HYPERLINK("http://www.ensembl.org/Mus_musculus/Gene/Summary?db=core;g=ENSMUSG00000036168","ENSMUSG00000036168")</f>
        <v>ENSMUSG00000036168</v>
      </c>
      <c r="I6639" s="7" t="str">
        <f>HYPERLINK("http://www.informatics.jax.org/marker/MGI:2444738","MGI:2444738")</f>
        <v>MGI:2444738</v>
      </c>
      <c r="J6639" s="4" t="s">
        <v>12</v>
      </c>
    </row>
    <row r="6640" spans="1:10" x14ac:dyDescent="0.25">
      <c r="A6640" s="2">
        <v>212.86655962326199</v>
      </c>
      <c r="B6640" s="3">
        <v>-1.1149263041947099</v>
      </c>
      <c r="C6640" s="5">
        <v>3.7203956001784901E-11</v>
      </c>
      <c r="D6640" s="6">
        <v>3.2978701271037502E-10</v>
      </c>
      <c r="E6640" s="3" t="s">
        <v>3718</v>
      </c>
      <c r="F6640" s="3" t="s">
        <v>3719</v>
      </c>
      <c r="G6640" s="3" t="s">
        <v>83</v>
      </c>
      <c r="H6640" s="7" t="str">
        <f>HYPERLINK("http://www.ensembl.org/Mus_musculus/Gene/Summary?db=core;g=ENSMUSG00000097908","ENSMUSG00000097908")</f>
        <v>ENSMUSG00000097908</v>
      </c>
      <c r="I6640" s="7" t="str">
        <f>HYPERLINK("http://www.informatics.jax.org/marker/MGI:1914002","MGI:1914002")</f>
        <v>MGI:1914002</v>
      </c>
      <c r="J6640" s="4" t="s">
        <v>939</v>
      </c>
    </row>
    <row r="6641" spans="1:10" x14ac:dyDescent="0.25">
      <c r="A6641" s="2">
        <v>11.7901978975985</v>
      </c>
      <c r="B6641" s="3">
        <v>-1.1157730112872</v>
      </c>
      <c r="C6641" s="3">
        <v>1.30008124117249E-3</v>
      </c>
      <c r="D6641" s="4">
        <v>4.4832508269382603E-3</v>
      </c>
      <c r="E6641" s="3" t="s">
        <v>9147</v>
      </c>
      <c r="F6641" s="3" t="s">
        <v>9148</v>
      </c>
      <c r="G6641" s="3">
        <v>11622</v>
      </c>
      <c r="H6641" s="7" t="str">
        <f>HYPERLINK("http://www.ensembl.org/Mus_musculus/Gene/Summary?db=core;g=ENSMUSG00000019256","ENSMUSG00000019256")</f>
        <v>ENSMUSG00000019256</v>
      </c>
      <c r="I6641" s="7" t="str">
        <f>HYPERLINK("http://www.informatics.jax.org/marker/MGI:105043","MGI:105043")</f>
        <v>MGI:105043</v>
      </c>
      <c r="J6641" s="4" t="s">
        <v>12</v>
      </c>
    </row>
    <row r="6642" spans="1:10" x14ac:dyDescent="0.25">
      <c r="A6642" s="2">
        <v>1749.72596440858</v>
      </c>
      <c r="B6642" s="3">
        <v>-1.1165989512383501</v>
      </c>
      <c r="C6642" s="5">
        <v>3.2924231637381498E-30</v>
      </c>
      <c r="D6642" s="6">
        <v>8.1861408129778596E-29</v>
      </c>
      <c r="E6642" s="3" t="s">
        <v>1678</v>
      </c>
      <c r="F6642" s="3" t="s">
        <v>1679</v>
      </c>
      <c r="G6642" s="3">
        <v>19775</v>
      </c>
      <c r="H6642" s="7" t="str">
        <f>HYPERLINK("http://www.ensembl.org/Mus_musculus/Gene/Summary?db=core;g=ENSMUSG00000026469","ENSMUSG00000026469")</f>
        <v>ENSMUSG00000026469</v>
      </c>
      <c r="I6642" s="7" t="str">
        <f>HYPERLINK("http://www.informatics.jax.org/marker/MGI:97932","MGI:97932")</f>
        <v>MGI:97932</v>
      </c>
      <c r="J6642" s="4" t="s">
        <v>12</v>
      </c>
    </row>
    <row r="6643" spans="1:10" x14ac:dyDescent="0.25">
      <c r="A6643" s="2">
        <v>30.547305695024601</v>
      </c>
      <c r="B6643" s="3">
        <v>-1.11763163604064</v>
      </c>
      <c r="C6643" s="5">
        <v>5.4059999702175599E-7</v>
      </c>
      <c r="D6643" s="6">
        <v>3.0963026227911702E-6</v>
      </c>
      <c r="E6643" s="3" t="s">
        <v>8013</v>
      </c>
      <c r="F6643" s="3" t="s">
        <v>8014</v>
      </c>
      <c r="G6643" s="3">
        <v>20341</v>
      </c>
      <c r="H6643" s="7" t="str">
        <f>HYPERLINK("http://www.ensembl.org/Mus_musculus/Gene/Summary?db=core;g=ENSMUSG00000068874","ENSMUSG00000068874")</f>
        <v>ENSMUSG00000068874</v>
      </c>
      <c r="I6643" s="7" t="str">
        <f>HYPERLINK("http://www.informatics.jax.org/marker/MGI:96825","MGI:96825")</f>
        <v>MGI:96825</v>
      </c>
      <c r="J6643" s="4" t="s">
        <v>12</v>
      </c>
    </row>
    <row r="6644" spans="1:10" x14ac:dyDescent="0.25">
      <c r="A6644" s="2">
        <v>52.075157386669098</v>
      </c>
      <c r="B6644" s="3">
        <v>-1.1192508286293501</v>
      </c>
      <c r="C6644" s="5">
        <v>1.3095315756219801E-9</v>
      </c>
      <c r="D6644" s="6">
        <v>1.0027820573828E-8</v>
      </c>
      <c r="E6644" s="3" t="s">
        <v>7904</v>
      </c>
      <c r="F6644" s="3" t="s">
        <v>7905</v>
      </c>
      <c r="G6644" s="3">
        <v>76117</v>
      </c>
      <c r="H6644" s="7" t="str">
        <f>HYPERLINK("http://www.ensembl.org/Mus_musculus/Gene/Summary?db=core;g=ENSMUSG00000049744","ENSMUSG00000049744")</f>
        <v>ENSMUSG00000049744</v>
      </c>
      <c r="I6644" s="7" t="str">
        <f>HYPERLINK("http://www.informatics.jax.org/marker/MGI:1923367","MGI:1923367")</f>
        <v>MGI:1923367</v>
      </c>
      <c r="J6644" s="4" t="s">
        <v>12</v>
      </c>
    </row>
    <row r="6645" spans="1:10" x14ac:dyDescent="0.25">
      <c r="A6645" s="2">
        <v>69.556908779754593</v>
      </c>
      <c r="B6645" s="3">
        <v>-1.1215871250493501</v>
      </c>
      <c r="C6645" s="5">
        <v>3.4220640195040702E-13</v>
      </c>
      <c r="D6645" s="6">
        <v>3.5925758499689901E-12</v>
      </c>
      <c r="E6645" s="3" t="s">
        <v>3512</v>
      </c>
      <c r="F6645" s="3" t="s">
        <v>3513</v>
      </c>
      <c r="G6645" s="3" t="s">
        <v>83</v>
      </c>
      <c r="H6645" s="7" t="str">
        <f>HYPERLINK("http://www.ensembl.org/Mus_musculus/Gene/Summary?db=core;g=ENSMUSG00000052364","ENSMUSG00000052364")</f>
        <v>ENSMUSG00000052364</v>
      </c>
      <c r="I6645" s="7" t="str">
        <f>HYPERLINK("http://www.informatics.jax.org/marker/MGI:2147918","MGI:2147918")</f>
        <v>MGI:2147918</v>
      </c>
      <c r="J6645" s="4" t="s">
        <v>12</v>
      </c>
    </row>
    <row r="6646" spans="1:10" x14ac:dyDescent="0.25">
      <c r="A6646" s="2">
        <v>22.800426631719201</v>
      </c>
      <c r="B6646" s="3">
        <v>-1.12197307821602</v>
      </c>
      <c r="C6646" s="5">
        <v>1.11133103666363E-5</v>
      </c>
      <c r="D6646" s="6">
        <v>5.3981898036232898E-5</v>
      </c>
      <c r="E6646" s="3" t="s">
        <v>5565</v>
      </c>
      <c r="F6646" s="3" t="s">
        <v>5566</v>
      </c>
      <c r="G6646" s="3">
        <v>330323</v>
      </c>
      <c r="H6646" s="7" t="str">
        <f>HYPERLINK("http://www.ensembl.org/Mus_musculus/Gene/Summary?db=core;g=ENSMUSG00000038022","ENSMUSG00000038022")</f>
        <v>ENSMUSG00000038022</v>
      </c>
      <c r="I6646" s="7" t="str">
        <f>HYPERLINK("http://www.informatics.jax.org/marker/MGI:3583959","MGI:3583959")</f>
        <v>MGI:3583959</v>
      </c>
      <c r="J6646" s="4" t="s">
        <v>12</v>
      </c>
    </row>
    <row r="6647" spans="1:10" x14ac:dyDescent="0.25">
      <c r="A6647" s="2">
        <v>4.9538225222352903</v>
      </c>
      <c r="B6647" s="3">
        <v>-1.12338012957958</v>
      </c>
      <c r="C6647" s="3">
        <v>8.6520981784711792E-3</v>
      </c>
      <c r="D6647" s="4">
        <v>2.4661321442389299E-2</v>
      </c>
      <c r="E6647" s="3" t="s">
        <v>13957</v>
      </c>
      <c r="F6647" s="3" t="s">
        <v>13958</v>
      </c>
      <c r="G6647" s="3" t="s">
        <v>83</v>
      </c>
      <c r="H6647" s="7" t="str">
        <f>HYPERLINK("http://www.ensembl.org/Mus_musculus/Gene/Summary?db=core;g=ENSMUSG00000086264","ENSMUSG00000086264")</f>
        <v>ENSMUSG00000086264</v>
      </c>
      <c r="I6647" s="7" t="str">
        <f>HYPERLINK("http://www.informatics.jax.org/marker/MGI:3801986","MGI:3801986")</f>
        <v>MGI:3801986</v>
      </c>
      <c r="J6647" s="4" t="s">
        <v>331</v>
      </c>
    </row>
    <row r="6648" spans="1:10" x14ac:dyDescent="0.25">
      <c r="A6648" s="2">
        <v>30.168655657779201</v>
      </c>
      <c r="B6648" s="3">
        <v>-1.1273162599506299</v>
      </c>
      <c r="C6648" s="5">
        <v>6.00149171821738E-8</v>
      </c>
      <c r="D6648" s="6">
        <v>3.8377960198074302E-7</v>
      </c>
      <c r="E6648" s="3" t="s">
        <v>6776</v>
      </c>
      <c r="F6648" s="3" t="s">
        <v>6777</v>
      </c>
      <c r="G6648" s="3">
        <v>72128</v>
      </c>
      <c r="H6648" s="7" t="str">
        <f>HYPERLINK("http://www.ensembl.org/Mus_musculus/Gene/Summary?db=core;g=ENSMUSG00000060301","ENSMUSG00000060301")</f>
        <v>ENSMUSG00000060301</v>
      </c>
      <c r="I6648" s="7" t="str">
        <f>HYPERLINK("http://www.informatics.jax.org/marker/MGI:1919378","MGI:1919378")</f>
        <v>MGI:1919378</v>
      </c>
      <c r="J6648" s="4" t="s">
        <v>12</v>
      </c>
    </row>
    <row r="6649" spans="1:10" x14ac:dyDescent="0.25">
      <c r="A6649" s="2">
        <v>17631.252769667899</v>
      </c>
      <c r="B6649" s="3">
        <v>-1.1285252776107599</v>
      </c>
      <c r="C6649" s="3">
        <v>2.2714730928589201E-4</v>
      </c>
      <c r="D6649" s="4">
        <v>8.9373050771489402E-4</v>
      </c>
      <c r="E6649" s="3" t="s">
        <v>9829</v>
      </c>
      <c r="F6649" s="3" t="s">
        <v>9830</v>
      </c>
      <c r="G6649" s="3">
        <v>20250</v>
      </c>
      <c r="H6649" s="7" t="str">
        <f>HYPERLINK("http://www.ensembl.org/Mus_musculus/Gene/Summary?db=core;g=ENSMUSG00000025203","ENSMUSG00000025203")</f>
        <v>ENSMUSG00000025203</v>
      </c>
      <c r="I6649" s="7" t="str">
        <f>HYPERLINK("http://www.informatics.jax.org/marker/MGI:98240","MGI:98240")</f>
        <v>MGI:98240</v>
      </c>
      <c r="J6649" s="4" t="s">
        <v>12</v>
      </c>
    </row>
    <row r="6650" spans="1:10" x14ac:dyDescent="0.25">
      <c r="A6650" s="2">
        <v>1402.8211656783701</v>
      </c>
      <c r="B6650" s="3">
        <v>-1.1299509038400899</v>
      </c>
      <c r="C6650" s="5">
        <v>3.7356369910588899E-60</v>
      </c>
      <c r="D6650" s="6">
        <v>2.30006703250163E-58</v>
      </c>
      <c r="E6650" s="3" t="s">
        <v>460</v>
      </c>
      <c r="F6650" s="3" t="s">
        <v>461</v>
      </c>
      <c r="G6650" s="3">
        <v>140481</v>
      </c>
      <c r="H6650" s="7" t="str">
        <f>HYPERLINK("http://www.ensembl.org/Mus_musculus/Gene/Summary?db=core;g=ENSMUSG00000038886","ENSMUSG00000038886")</f>
        <v>ENSMUSG00000038886</v>
      </c>
      <c r="I6650" s="7" t="str">
        <f>HYPERLINK("http://www.informatics.jax.org/marker/MGI:2150656","MGI:2150656")</f>
        <v>MGI:2150656</v>
      </c>
      <c r="J6650" s="4" t="s">
        <v>12</v>
      </c>
    </row>
    <row r="6651" spans="1:10" x14ac:dyDescent="0.25">
      <c r="A6651" s="2">
        <v>1049.8878771560001</v>
      </c>
      <c r="B6651" s="3">
        <v>-1.1317582825478401</v>
      </c>
      <c r="C6651" s="5">
        <v>4.7811312211007696E-46</v>
      </c>
      <c r="D6651" s="6">
        <v>2.06483688399435E-44</v>
      </c>
      <c r="E6651" s="3" t="s">
        <v>1110</v>
      </c>
      <c r="F6651" s="3" t="s">
        <v>1111</v>
      </c>
      <c r="G6651" s="3" t="s">
        <v>83</v>
      </c>
      <c r="H6651" s="7" t="str">
        <f>HYPERLINK("http://www.ensembl.org/Mus_musculus/Gene/Summary?db=core;g=ENSMUSG00000097415","ENSMUSG00000097415")</f>
        <v>ENSMUSG00000097415</v>
      </c>
      <c r="I6651" s="7" t="str">
        <f>HYPERLINK("http://www.informatics.jax.org/marker/MGI:2142134","MGI:2142134")</f>
        <v>MGI:2142134</v>
      </c>
      <c r="J6651" s="4" t="s">
        <v>939</v>
      </c>
    </row>
    <row r="6652" spans="1:10" x14ac:dyDescent="0.25">
      <c r="A6652" s="2">
        <v>610.73914292864697</v>
      </c>
      <c r="B6652" s="3">
        <v>-1.1321997170738001</v>
      </c>
      <c r="C6652" s="5">
        <v>7.1343794534159E-9</v>
      </c>
      <c r="D6652" s="6">
        <v>5.04555939225862E-8</v>
      </c>
      <c r="E6652" s="3" t="s">
        <v>6746</v>
      </c>
      <c r="F6652" s="3" t="s">
        <v>6747</v>
      </c>
      <c r="G6652" s="3">
        <v>12523</v>
      </c>
      <c r="H6652" s="7" t="str">
        <f>HYPERLINK("http://www.ensembl.org/Mus_musculus/Gene/Summary?db=core;g=ENSMUSG00000038147","ENSMUSG00000038147")</f>
        <v>ENSMUSG00000038147</v>
      </c>
      <c r="I6652" s="7" t="str">
        <f>HYPERLINK("http://www.informatics.jax.org/marker/MGI:1336885","MGI:1336885")</f>
        <v>MGI:1336885</v>
      </c>
      <c r="J6652" s="4" t="s">
        <v>12</v>
      </c>
    </row>
    <row r="6653" spans="1:10" x14ac:dyDescent="0.25">
      <c r="A6653" s="2">
        <v>117.350899627884</v>
      </c>
      <c r="B6653" s="3">
        <v>-1.13454811542519</v>
      </c>
      <c r="C6653" s="3">
        <v>1.2788000652266501E-4</v>
      </c>
      <c r="D6653" s="4">
        <v>5.2491286461161602E-4</v>
      </c>
      <c r="E6653" s="3" t="s">
        <v>10664</v>
      </c>
      <c r="F6653" s="3" t="s">
        <v>10665</v>
      </c>
      <c r="G6653" s="3">
        <v>12259</v>
      </c>
      <c r="H6653" s="7" t="str">
        <f>HYPERLINK("http://www.ensembl.org/Mus_musculus/Gene/Summary?db=core;g=ENSMUSG00000036887","ENSMUSG00000036887")</f>
        <v>ENSMUSG00000036887</v>
      </c>
      <c r="I6653" s="7" t="str">
        <f>HYPERLINK("http://www.informatics.jax.org/marker/MGI:88223","MGI:88223")</f>
        <v>MGI:88223</v>
      </c>
      <c r="J6653" s="4" t="s">
        <v>12</v>
      </c>
    </row>
    <row r="6654" spans="1:10" x14ac:dyDescent="0.25">
      <c r="A6654" s="2">
        <v>294.745165303161</v>
      </c>
      <c r="B6654" s="3">
        <v>-1.1349624073947</v>
      </c>
      <c r="C6654" s="5">
        <v>3.27356919398917E-37</v>
      </c>
      <c r="D6654" s="6">
        <v>1.02686400276166E-35</v>
      </c>
      <c r="E6654" s="3" t="s">
        <v>1314</v>
      </c>
      <c r="F6654" s="3" t="s">
        <v>1315</v>
      </c>
      <c r="G6654" s="3">
        <v>207952</v>
      </c>
      <c r="H6654" s="7" t="str">
        <f>HYPERLINK("http://www.ensembl.org/Mus_musculus/Gene/Summary?db=core;g=ENSMUSG00000055652","ENSMUSG00000055652")</f>
        <v>ENSMUSG00000055652</v>
      </c>
      <c r="I6654" s="7" t="str">
        <f>HYPERLINK("http://www.informatics.jax.org/marker/MGI:2668031","MGI:2668031")</f>
        <v>MGI:2668031</v>
      </c>
      <c r="J6654" s="4" t="s">
        <v>12</v>
      </c>
    </row>
    <row r="6655" spans="1:10" x14ac:dyDescent="0.25">
      <c r="A6655" s="2">
        <v>614.59903692810099</v>
      </c>
      <c r="B6655" s="3">
        <v>-1.1354406371263199</v>
      </c>
      <c r="C6655" s="5">
        <v>1.93865087284554E-48</v>
      </c>
      <c r="D6655" s="6">
        <v>8.9903084370508994E-47</v>
      </c>
      <c r="E6655" s="3" t="s">
        <v>1732</v>
      </c>
      <c r="F6655" s="3" t="s">
        <v>1733</v>
      </c>
      <c r="G6655" s="3">
        <v>232288</v>
      </c>
      <c r="H6655" s="7" t="str">
        <f>HYPERLINK("http://www.ensembl.org/Mus_musculus/Gene/Summary?db=core;g=ENSMUSG00000030064","ENSMUSG00000030064")</f>
        <v>ENSMUSG00000030064</v>
      </c>
      <c r="I6655" s="7" t="str">
        <f>HYPERLINK("http://www.informatics.jax.org/marker/MGI:2141794","MGI:2141794")</f>
        <v>MGI:2141794</v>
      </c>
      <c r="J6655" s="4" t="s">
        <v>12</v>
      </c>
    </row>
    <row r="6656" spans="1:10" x14ac:dyDescent="0.25">
      <c r="A6656" s="2">
        <v>32.423663551606197</v>
      </c>
      <c r="B6656" s="3">
        <v>-1.1381377848954299</v>
      </c>
      <c r="C6656" s="5">
        <v>6.9335242340944196E-7</v>
      </c>
      <c r="D6656" s="6">
        <v>3.92311329296401E-6</v>
      </c>
      <c r="E6656" s="3" t="s">
        <v>11163</v>
      </c>
      <c r="F6656" s="3" t="s">
        <v>11164</v>
      </c>
      <c r="G6656" s="3" t="s">
        <v>83</v>
      </c>
      <c r="H6656" s="7" t="str">
        <f>HYPERLINK("http://www.ensembl.org/Mus_musculus/Gene/Summary?db=core;g=ENSMUSG00000116530","ENSMUSG00000116530")</f>
        <v>ENSMUSG00000116530</v>
      </c>
      <c r="I6656" s="7" t="str">
        <f>HYPERLINK("http://www.informatics.jax.org/marker/MGI:5591471","MGI:5591471")</f>
        <v>MGI:5591471</v>
      </c>
      <c r="J6656" s="4" t="s">
        <v>932</v>
      </c>
    </row>
    <row r="6657" spans="1:10" x14ac:dyDescent="0.25">
      <c r="A6657" s="2">
        <v>12.9705652029443</v>
      </c>
      <c r="B6657" s="3">
        <v>-1.1388016056411101</v>
      </c>
      <c r="C6657" s="3">
        <v>1.6943252084562299E-4</v>
      </c>
      <c r="D6657" s="4">
        <v>6.8135650759299903E-4</v>
      </c>
      <c r="E6657" s="3" t="s">
        <v>8883</v>
      </c>
      <c r="F6657" s="3" t="s">
        <v>8884</v>
      </c>
      <c r="G6657" s="3" t="s">
        <v>83</v>
      </c>
      <c r="H6657" s="7" t="str">
        <f>HYPERLINK("http://www.ensembl.org/Mus_musculus/Gene/Summary?db=core;g=ENSMUSG00000114515","ENSMUSG00000114515")</f>
        <v>ENSMUSG00000114515</v>
      </c>
      <c r="I6657" s="7" t="str">
        <f>HYPERLINK("http://www.informatics.jax.org/marker/MGI:87994","MGI:87994")</f>
        <v>MGI:87994</v>
      </c>
      <c r="J6657" s="4" t="s">
        <v>12</v>
      </c>
    </row>
    <row r="6658" spans="1:10" x14ac:dyDescent="0.25">
      <c r="A6658" s="2">
        <v>47.087225235556403</v>
      </c>
      <c r="B6658" s="3">
        <v>-1.1396416997568899</v>
      </c>
      <c r="C6658" s="5">
        <v>9.9273453867365603E-6</v>
      </c>
      <c r="D6658" s="6">
        <v>4.8570703267992999E-5</v>
      </c>
      <c r="E6658" s="3" t="s">
        <v>10278</v>
      </c>
      <c r="F6658" s="3" t="s">
        <v>10279</v>
      </c>
      <c r="G6658" s="3">
        <v>14132</v>
      </c>
      <c r="H6658" s="7" t="str">
        <f>HYPERLINK("http://www.ensembl.org/Mus_musculus/Gene/Summary?db=core;g=ENSMUSG00000003420","ENSMUSG00000003420")</f>
        <v>ENSMUSG00000003420</v>
      </c>
      <c r="I6658" s="7" t="str">
        <f>HYPERLINK("http://www.informatics.jax.org/marker/MGI:103017","MGI:103017")</f>
        <v>MGI:103017</v>
      </c>
      <c r="J6658" s="4" t="s">
        <v>12</v>
      </c>
    </row>
    <row r="6659" spans="1:10" x14ac:dyDescent="0.25">
      <c r="A6659" s="2">
        <v>181.48718495274599</v>
      </c>
      <c r="B6659" s="3">
        <v>-1.1417089231514499</v>
      </c>
      <c r="C6659" s="5">
        <v>2.86855747265511E-15</v>
      </c>
      <c r="D6659" s="6">
        <v>3.41919293257943E-14</v>
      </c>
      <c r="E6659" s="3" t="s">
        <v>7396</v>
      </c>
      <c r="F6659" s="3" t="s">
        <v>7397</v>
      </c>
      <c r="G6659" s="3">
        <v>22317</v>
      </c>
      <c r="H6659" s="7" t="str">
        <f>HYPERLINK("http://www.ensembl.org/Mus_musculus/Gene/Summary?db=core;g=ENSMUSG00000030337","ENSMUSG00000030337")</f>
        <v>ENSMUSG00000030337</v>
      </c>
      <c r="I6659" s="7" t="str">
        <f>HYPERLINK("http://www.informatics.jax.org/marker/MGI:1313276","MGI:1313276")</f>
        <v>MGI:1313276</v>
      </c>
      <c r="J6659" s="4" t="s">
        <v>12</v>
      </c>
    </row>
    <row r="6660" spans="1:10" x14ac:dyDescent="0.25">
      <c r="A6660" s="2">
        <v>77.958285067347504</v>
      </c>
      <c r="B6660" s="3">
        <v>-1.14262046191582</v>
      </c>
      <c r="C6660" s="5">
        <v>6.0079010223362105E-11</v>
      </c>
      <c r="D6660" s="6">
        <v>5.2414550565858097E-10</v>
      </c>
      <c r="E6660" s="3" t="s">
        <v>5711</v>
      </c>
      <c r="F6660" s="3" t="s">
        <v>5712</v>
      </c>
      <c r="G6660" s="3">
        <v>14544</v>
      </c>
      <c r="H6660" s="7" t="str">
        <f>HYPERLINK("http://www.ensembl.org/Mus_musculus/Gene/Summary?db=core;g=ENSMUSG00000058624","ENSMUSG00000058624")</f>
        <v>ENSMUSG00000058624</v>
      </c>
      <c r="I6660" s="7" t="str">
        <f>HYPERLINK("http://www.informatics.jax.org/marker/MGI:95678","MGI:95678")</f>
        <v>MGI:95678</v>
      </c>
      <c r="J6660" s="4" t="s">
        <v>12</v>
      </c>
    </row>
    <row r="6661" spans="1:10" x14ac:dyDescent="0.25">
      <c r="A6661" s="2">
        <v>19.731958241607899</v>
      </c>
      <c r="B6661" s="3">
        <v>-1.1431308856759199</v>
      </c>
      <c r="C6661" s="5">
        <v>1.18200596898649E-5</v>
      </c>
      <c r="D6661" s="6">
        <v>5.7231824614183897E-5</v>
      </c>
      <c r="E6661" s="3" t="s">
        <v>10585</v>
      </c>
      <c r="F6661" s="3" t="s">
        <v>10586</v>
      </c>
      <c r="G6661" s="3">
        <v>15901</v>
      </c>
      <c r="H6661" s="7" t="str">
        <f>HYPERLINK("http://www.ensembl.org/Mus_musculus/Gene/Summary?db=core;g=ENSMUSG00000042745","ENSMUSG00000042745")</f>
        <v>ENSMUSG00000042745</v>
      </c>
      <c r="I6661" s="7" t="str">
        <f>HYPERLINK("http://www.informatics.jax.org/marker/MGI:96396","MGI:96396")</f>
        <v>MGI:96396</v>
      </c>
      <c r="J6661" s="4" t="s">
        <v>12</v>
      </c>
    </row>
    <row r="6662" spans="1:10" x14ac:dyDescent="0.25">
      <c r="A6662" s="2">
        <v>60.753708660947197</v>
      </c>
      <c r="B6662" s="3">
        <v>-1.14375422871974</v>
      </c>
      <c r="C6662" s="5">
        <v>1.0893299918156001E-8</v>
      </c>
      <c r="D6662" s="6">
        <v>7.5573045682677495E-8</v>
      </c>
      <c r="E6662" s="3" t="s">
        <v>5355</v>
      </c>
      <c r="F6662" s="3" t="s">
        <v>5356</v>
      </c>
      <c r="G6662" s="3">
        <v>244238</v>
      </c>
      <c r="H6662" s="7" t="str">
        <f>HYPERLINK("http://www.ensembl.org/Mus_musculus/Gene/Summary?db=core;g=ENSMUSG00000048965","ENSMUSG00000048965")</f>
        <v>ENSMUSG00000048965</v>
      </c>
      <c r="I6662" s="7" t="str">
        <f>HYPERLINK("http://www.informatics.jax.org/marker/MGI:2441884","MGI:2441884")</f>
        <v>MGI:2441884</v>
      </c>
      <c r="J6662" s="4" t="s">
        <v>12</v>
      </c>
    </row>
    <row r="6663" spans="1:10" x14ac:dyDescent="0.25">
      <c r="A6663" s="2">
        <v>9.9356643263340292</v>
      </c>
      <c r="B6663" s="3">
        <v>-1.14708904864646</v>
      </c>
      <c r="C6663" s="3">
        <v>6.0491885438617604E-4</v>
      </c>
      <c r="D6663" s="4">
        <v>2.2177924202752101E-3</v>
      </c>
      <c r="E6663" s="3" t="s">
        <v>8187</v>
      </c>
      <c r="F6663" s="3" t="s">
        <v>8188</v>
      </c>
      <c r="G6663" s="3" t="s">
        <v>83</v>
      </c>
      <c r="H6663" s="7" t="str">
        <f>HYPERLINK("http://www.ensembl.org/Mus_musculus/Gene/Summary?db=core;g=ENSMUSG00000073485","ENSMUSG00000073485")</f>
        <v>ENSMUSG00000073485</v>
      </c>
      <c r="I6663" s="7" t="str">
        <f>HYPERLINK("http://www.informatics.jax.org/marker/MGI:3802006","MGI:3802006")</f>
        <v>MGI:3802006</v>
      </c>
      <c r="J6663" s="4" t="s">
        <v>932</v>
      </c>
    </row>
    <row r="6664" spans="1:10" x14ac:dyDescent="0.25">
      <c r="A6664" s="2">
        <v>59.840876043073997</v>
      </c>
      <c r="B6664" s="3">
        <v>-1.1479182410211599</v>
      </c>
      <c r="C6664" s="5">
        <v>2.9526912529194602E-7</v>
      </c>
      <c r="D6664" s="6">
        <v>1.75514670856025E-6</v>
      </c>
      <c r="E6664" s="3" t="s">
        <v>7870</v>
      </c>
      <c r="F6664" s="3" t="s">
        <v>7871</v>
      </c>
      <c r="G6664" s="3">
        <v>77864</v>
      </c>
      <c r="H6664" s="7" t="str">
        <f>HYPERLINK("http://www.ensembl.org/Mus_musculus/Gene/Summary?db=core;g=ENSMUSG00000018427","ENSMUSG00000018427")</f>
        <v>ENSMUSG00000018427</v>
      </c>
      <c r="I6664" s="7" t="str">
        <f>HYPERLINK("http://www.informatics.jax.org/marker/MGI:1925114","MGI:1925114")</f>
        <v>MGI:1925114</v>
      </c>
      <c r="J6664" s="4" t="s">
        <v>12</v>
      </c>
    </row>
    <row r="6665" spans="1:10" x14ac:dyDescent="0.25">
      <c r="A6665" s="2">
        <v>1195.2904679209701</v>
      </c>
      <c r="B6665" s="3">
        <v>-1.15051800565714</v>
      </c>
      <c r="C6665" s="5">
        <v>7.1181056293284205E-86</v>
      </c>
      <c r="D6665" s="6">
        <v>8.0078688329944698E-84</v>
      </c>
      <c r="E6665" s="3" t="s">
        <v>156</v>
      </c>
      <c r="F6665" s="3" t="s">
        <v>157</v>
      </c>
      <c r="G6665" s="3">
        <v>72543</v>
      </c>
      <c r="H6665" s="7" t="str">
        <f>HYPERLINK("http://www.ensembl.org/Mus_musculus/Gene/Summary?db=core;g=ENSMUSG00000038740","ENSMUSG00000038740")</f>
        <v>ENSMUSG00000038740</v>
      </c>
      <c r="I6665" s="7" t="str">
        <f>HYPERLINK("http://www.informatics.jax.org/marker/MGI:1919793","MGI:1919793")</f>
        <v>MGI:1919793</v>
      </c>
      <c r="J6665" s="4" t="s">
        <v>12</v>
      </c>
    </row>
    <row r="6666" spans="1:10" x14ac:dyDescent="0.25">
      <c r="A6666" s="2">
        <v>209.896984624814</v>
      </c>
      <c r="B6666" s="3">
        <v>-1.1551046752736001</v>
      </c>
      <c r="C6666" s="5">
        <v>4.8500217557865901E-29</v>
      </c>
      <c r="D6666" s="6">
        <v>1.1479434610287101E-27</v>
      </c>
      <c r="E6666" s="3" t="s">
        <v>1112</v>
      </c>
      <c r="F6666" s="3" t="s">
        <v>1113</v>
      </c>
      <c r="G6666" s="3">
        <v>22241</v>
      </c>
      <c r="H6666" s="7" t="str">
        <f>HYPERLINK("http://www.ensembl.org/Mus_musculus/Gene/Summary?db=core;g=ENSMUSG00000029512","ENSMUSG00000029512")</f>
        <v>ENSMUSG00000029512</v>
      </c>
      <c r="I6666" s="7" t="str">
        <f>HYPERLINK("http://www.informatics.jax.org/marker/MGI:1270126","MGI:1270126")</f>
        <v>MGI:1270126</v>
      </c>
      <c r="J6666" s="4" t="s">
        <v>12</v>
      </c>
    </row>
    <row r="6667" spans="1:10" x14ac:dyDescent="0.25">
      <c r="A6667" s="2">
        <v>19.524756835209899</v>
      </c>
      <c r="B6667" s="3">
        <v>-1.15531813676615</v>
      </c>
      <c r="C6667" s="5">
        <v>3.7903516153462299E-6</v>
      </c>
      <c r="D6667" s="6">
        <v>1.9641500764766798E-5</v>
      </c>
      <c r="E6667" s="3" t="s">
        <v>10964</v>
      </c>
      <c r="F6667" s="3" t="s">
        <v>10965</v>
      </c>
      <c r="G6667" s="3">
        <v>13637</v>
      </c>
      <c r="H6667" s="7" t="str">
        <f>HYPERLINK("http://www.ensembl.org/Mus_musculus/Gene/Summary?db=core;g=ENSMUSG00000003070","ENSMUSG00000003070")</f>
        <v>ENSMUSG00000003070</v>
      </c>
      <c r="I6667" s="7" t="str">
        <f>HYPERLINK("http://www.informatics.jax.org/marker/MGI:102707","MGI:102707")</f>
        <v>MGI:102707</v>
      </c>
      <c r="J6667" s="4" t="s">
        <v>12</v>
      </c>
    </row>
    <row r="6668" spans="1:10" x14ac:dyDescent="0.25">
      <c r="A6668" s="2">
        <v>40.265137287271799</v>
      </c>
      <c r="B6668" s="3">
        <v>-1.1578818579621999</v>
      </c>
      <c r="C6668" s="5">
        <v>1.14150660403371E-6</v>
      </c>
      <c r="D6668" s="6">
        <v>6.3176306888899002E-6</v>
      </c>
      <c r="E6668" s="3" t="s">
        <v>4967</v>
      </c>
      <c r="F6668" s="3" t="s">
        <v>4968</v>
      </c>
      <c r="G6668" s="3">
        <v>73910</v>
      </c>
      <c r="H6668" s="7" t="str">
        <f>HYPERLINK("http://www.ensembl.org/Mus_musculus/Gene/Summary?db=core;g=ENSMUSG00000039031","ENSMUSG00000039031")</f>
        <v>ENSMUSG00000039031</v>
      </c>
      <c r="I6668" s="7" t="str">
        <f>HYPERLINK("http://www.informatics.jax.org/marker/MGI:1921160","MGI:1921160")</f>
        <v>MGI:1921160</v>
      </c>
      <c r="J6668" s="4" t="s">
        <v>12</v>
      </c>
    </row>
    <row r="6669" spans="1:10" x14ac:dyDescent="0.25">
      <c r="A6669" s="2">
        <v>212.18422514985599</v>
      </c>
      <c r="B6669" s="3">
        <v>-1.1582939371799501</v>
      </c>
      <c r="C6669" s="5">
        <v>1.11862027487875E-23</v>
      </c>
      <c r="D6669" s="6">
        <v>2.10390655414503E-22</v>
      </c>
      <c r="E6669" s="3" t="s">
        <v>1760</v>
      </c>
      <c r="F6669" s="3" t="s">
        <v>1761</v>
      </c>
      <c r="G6669" s="3">
        <v>18027</v>
      </c>
      <c r="H6669" s="7" t="str">
        <f>HYPERLINK("http://www.ensembl.org/Mus_musculus/Gene/Summary?db=core;g=ENSMUSG00000028565","ENSMUSG00000028565")</f>
        <v>ENSMUSG00000028565</v>
      </c>
      <c r="I6669" s="7" t="str">
        <f>HYPERLINK("http://www.informatics.jax.org/marker/MGI:108056","MGI:108056")</f>
        <v>MGI:108056</v>
      </c>
      <c r="J6669" s="4" t="s">
        <v>12</v>
      </c>
    </row>
    <row r="6670" spans="1:10" x14ac:dyDescent="0.25">
      <c r="A6670" s="2">
        <v>34.609911793288099</v>
      </c>
      <c r="B6670" s="3">
        <v>-1.15898121846957</v>
      </c>
      <c r="C6670" s="5">
        <v>1.18680446396202E-5</v>
      </c>
      <c r="D6670" s="6">
        <v>5.7448901343181403E-5</v>
      </c>
      <c r="E6670" s="3" t="s">
        <v>13401</v>
      </c>
      <c r="F6670" s="3" t="s">
        <v>13402</v>
      </c>
      <c r="G6670" s="3">
        <v>16491</v>
      </c>
      <c r="H6670" s="7" t="str">
        <f>HYPERLINK("http://www.ensembl.org/Mus_musculus/Gene/Summary?db=core;g=ENSMUSG00000047959","ENSMUSG00000047959")</f>
        <v>ENSMUSG00000047959</v>
      </c>
      <c r="I6670" s="7" t="str">
        <f>HYPERLINK("http://www.informatics.jax.org/marker/MGI:96660","MGI:96660")</f>
        <v>MGI:96660</v>
      </c>
      <c r="J6670" s="4" t="s">
        <v>12</v>
      </c>
    </row>
    <row r="6671" spans="1:10" x14ac:dyDescent="0.25">
      <c r="A6671" s="2">
        <v>316.78688035773098</v>
      </c>
      <c r="B6671" s="3">
        <v>-1.16008536519317</v>
      </c>
      <c r="C6671" s="5">
        <v>2.2931422647860099E-35</v>
      </c>
      <c r="D6671" s="6">
        <v>6.7735036913654799E-34</v>
      </c>
      <c r="E6671" s="3" t="s">
        <v>1885</v>
      </c>
      <c r="F6671" s="3" t="s">
        <v>1886</v>
      </c>
      <c r="G6671" s="3">
        <v>69993</v>
      </c>
      <c r="H6671" s="7" t="str">
        <f>HYPERLINK("http://www.ensembl.org/Mus_musculus/Gene/Summary?db=core;g=ENSMUSG00000004633","ENSMUSG00000004633")</f>
        <v>ENSMUSG00000004633</v>
      </c>
      <c r="I6671" s="7" t="str">
        <f>HYPERLINK("http://www.informatics.jax.org/marker/MGI:1917243","MGI:1917243")</f>
        <v>MGI:1917243</v>
      </c>
      <c r="J6671" s="4" t="s">
        <v>12</v>
      </c>
    </row>
    <row r="6672" spans="1:10" x14ac:dyDescent="0.25">
      <c r="A6672" s="2">
        <v>35.1366546767361</v>
      </c>
      <c r="B6672" s="3">
        <v>-1.16103148884352</v>
      </c>
      <c r="C6672" s="5">
        <v>1.5352667130283701E-7</v>
      </c>
      <c r="D6672" s="6">
        <v>9.4368417689517899E-7</v>
      </c>
      <c r="E6672" s="3" t="s">
        <v>9651</v>
      </c>
      <c r="F6672" s="3" t="s">
        <v>9652</v>
      </c>
      <c r="G6672" s="3">
        <v>114255</v>
      </c>
      <c r="H6672" s="7" t="str">
        <f>HYPERLINK("http://www.ensembl.org/Mus_musculus/Gene/Summary?db=core;g=ENSMUSG00000040631","ENSMUSG00000040631")</f>
        <v>ENSMUSG00000040631</v>
      </c>
      <c r="I6672" s="7" t="str">
        <f>HYPERLINK("http://www.informatics.jax.org/marker/MGI:2148865","MGI:2148865")</f>
        <v>MGI:2148865</v>
      </c>
      <c r="J6672" s="4" t="s">
        <v>12</v>
      </c>
    </row>
    <row r="6673" spans="1:10" x14ac:dyDescent="0.25">
      <c r="A6673" s="2">
        <v>200.322779409796</v>
      </c>
      <c r="B6673" s="3">
        <v>-1.16192979772195</v>
      </c>
      <c r="C6673" s="5">
        <v>1.05685308277093E-33</v>
      </c>
      <c r="D6673" s="6">
        <v>2.9816017698916699E-32</v>
      </c>
      <c r="E6673" s="3" t="s">
        <v>880</v>
      </c>
      <c r="F6673" s="3" t="s">
        <v>881</v>
      </c>
      <c r="G6673" s="3">
        <v>109242</v>
      </c>
      <c r="H6673" s="7" t="str">
        <f>HYPERLINK("http://www.ensembl.org/Mus_musculus/Gene/Summary?db=core;g=ENSMUSG00000028438","ENSMUSG00000028438")</f>
        <v>ENSMUSG00000028438</v>
      </c>
      <c r="I6673" s="7" t="str">
        <f>HYPERLINK("http://www.informatics.jax.org/marker/MGI:1918345","MGI:1918345")</f>
        <v>MGI:1918345</v>
      </c>
      <c r="J6673" s="4" t="s">
        <v>12</v>
      </c>
    </row>
    <row r="6674" spans="1:10" x14ac:dyDescent="0.25">
      <c r="A6674" s="2">
        <v>1462.7273756675199</v>
      </c>
      <c r="B6674" s="3">
        <v>-1.1620642627108499</v>
      </c>
      <c r="C6674" s="5">
        <v>5.1209803509267702E-17</v>
      </c>
      <c r="D6674" s="6">
        <v>6.8123990434774103E-16</v>
      </c>
      <c r="E6674" s="3" t="s">
        <v>3506</v>
      </c>
      <c r="F6674" s="3" t="s">
        <v>3507</v>
      </c>
      <c r="G6674" s="3">
        <v>16419</v>
      </c>
      <c r="H6674" s="7" t="str">
        <f>HYPERLINK("http://www.ensembl.org/Mus_musculus/Gene/Summary?db=core;g=ENSMUSG00000022817","ENSMUSG00000022817")</f>
        <v>ENSMUSG00000022817</v>
      </c>
      <c r="I6674" s="7" t="str">
        <f>HYPERLINK("http://www.informatics.jax.org/marker/MGI:96614","MGI:96614")</f>
        <v>MGI:96614</v>
      </c>
      <c r="J6674" s="4" t="s">
        <v>12</v>
      </c>
    </row>
    <row r="6675" spans="1:10" x14ac:dyDescent="0.25">
      <c r="A6675" s="2">
        <v>39.194683111399598</v>
      </c>
      <c r="B6675" s="3">
        <v>-1.1633610361640001</v>
      </c>
      <c r="C6675" s="5">
        <v>2.8530455182170801E-9</v>
      </c>
      <c r="D6675" s="6">
        <v>2.1145487828184699E-8</v>
      </c>
      <c r="E6675" s="3" t="s">
        <v>7038</v>
      </c>
      <c r="F6675" s="3" t="s">
        <v>7039</v>
      </c>
      <c r="G6675" s="3" t="s">
        <v>83</v>
      </c>
      <c r="H6675" s="7" t="str">
        <f>HYPERLINK("http://www.ensembl.org/Mus_musculus/Gene/Summary?db=core;g=ENSMUSG00000106820","ENSMUSG00000106820")</f>
        <v>ENSMUSG00000106820</v>
      </c>
      <c r="I6675" s="7" t="str">
        <f>HYPERLINK("http://www.informatics.jax.org/marker/MGI:1277165","MGI:1277165")</f>
        <v>MGI:1277165</v>
      </c>
      <c r="J6675" s="4" t="s">
        <v>939</v>
      </c>
    </row>
    <row r="6676" spans="1:10" x14ac:dyDescent="0.25">
      <c r="A6676" s="2">
        <v>1732.1397204857201</v>
      </c>
      <c r="B6676" s="3">
        <v>-1.16338160847237</v>
      </c>
      <c r="C6676" s="5">
        <v>1.67899803816085E-102</v>
      </c>
      <c r="D6676" s="6">
        <v>2.5499782704567901E-100</v>
      </c>
      <c r="E6676" s="3" t="s">
        <v>124</v>
      </c>
      <c r="F6676" s="3" t="s">
        <v>125</v>
      </c>
      <c r="G6676" s="3">
        <v>215653</v>
      </c>
      <c r="H6676" s="7" t="str">
        <f>HYPERLINK("http://www.ensembl.org/Mus_musculus/Gene/Summary?db=core;g=ENSMUSG00000027339","ENSMUSG00000027339")</f>
        <v>ENSMUSG00000027339</v>
      </c>
      <c r="I6676" s="7" t="str">
        <f>HYPERLINK("http://www.informatics.jax.org/marker/MGI:2442060","MGI:2442060")</f>
        <v>MGI:2442060</v>
      </c>
      <c r="J6676" s="4" t="s">
        <v>12</v>
      </c>
    </row>
    <row r="6677" spans="1:10" x14ac:dyDescent="0.25">
      <c r="A6677" s="2">
        <v>4.7843664012346601</v>
      </c>
      <c r="B6677" s="3">
        <v>-1.16685969309569</v>
      </c>
      <c r="C6677" s="3">
        <v>4.4351733408429499E-3</v>
      </c>
      <c r="D6677" s="4">
        <v>1.3496582757866599E-2</v>
      </c>
      <c r="E6677" s="3" t="s">
        <v>12263</v>
      </c>
      <c r="F6677" s="3" t="s">
        <v>12264</v>
      </c>
      <c r="G6677" s="3" t="s">
        <v>83</v>
      </c>
      <c r="H6677" s="7" t="str">
        <f>HYPERLINK("http://www.ensembl.org/Mus_musculus/Gene/Summary?db=core;g=ENSMUSG00000085262","ENSMUSG00000085262")</f>
        <v>ENSMUSG00000085262</v>
      </c>
      <c r="I6677" s="7" t="str">
        <f>HYPERLINK("http://www.informatics.jax.org/marker/MGI:3705166","MGI:3705166")</f>
        <v>MGI:3705166</v>
      </c>
      <c r="J6677" s="4" t="s">
        <v>331</v>
      </c>
    </row>
    <row r="6678" spans="1:10" x14ac:dyDescent="0.25">
      <c r="A6678" s="2">
        <v>1.49614602520261</v>
      </c>
      <c r="B6678" s="3">
        <v>-1.16813620431294</v>
      </c>
      <c r="C6678" s="3">
        <v>1.21343551428729E-2</v>
      </c>
      <c r="D6678" s="4">
        <v>3.3300500297976099E-2</v>
      </c>
      <c r="E6678" s="3" t="s">
        <v>13925</v>
      </c>
      <c r="F6678" s="3" t="s">
        <v>13926</v>
      </c>
      <c r="G6678" s="3" t="s">
        <v>83</v>
      </c>
      <c r="H6678" s="7" t="str">
        <f>HYPERLINK("http://www.ensembl.org/Mus_musculus/Gene/Summary?db=core;g=ENSMUSG00000101641","ENSMUSG00000101641")</f>
        <v>ENSMUSG00000101641</v>
      </c>
      <c r="I6678" s="7" t="str">
        <f>HYPERLINK("http://www.informatics.jax.org/marker/MGI:5580266","MGI:5580266")</f>
        <v>MGI:5580266</v>
      </c>
      <c r="J6678" s="4" t="s">
        <v>1828</v>
      </c>
    </row>
    <row r="6679" spans="1:10" x14ac:dyDescent="0.25">
      <c r="A6679" s="2">
        <v>111.04346997451501</v>
      </c>
      <c r="B6679" s="3">
        <v>-1.16999459919481</v>
      </c>
      <c r="C6679" s="5">
        <v>1.1303337031085099E-23</v>
      </c>
      <c r="D6679" s="6">
        <v>2.1237455401188198E-22</v>
      </c>
      <c r="E6679" s="3" t="s">
        <v>2145</v>
      </c>
      <c r="F6679" s="3" t="s">
        <v>2146</v>
      </c>
      <c r="G6679" s="3">
        <v>231532</v>
      </c>
      <c r="H6679" s="7" t="str">
        <f>HYPERLINK("http://www.ensembl.org/Mus_musculus/Gene/Summary?db=core;g=ENSMUSG00000057315","ENSMUSG00000057315")</f>
        <v>ENSMUSG00000057315</v>
      </c>
      <c r="I6679" s="7" t="str">
        <f>HYPERLINK("http://www.informatics.jax.org/marker/MGI:1922647","MGI:1922647")</f>
        <v>MGI:1922647</v>
      </c>
      <c r="J6679" s="4" t="s">
        <v>12</v>
      </c>
    </row>
    <row r="6680" spans="1:10" x14ac:dyDescent="0.25">
      <c r="A6680" s="2">
        <v>105.417924623076</v>
      </c>
      <c r="B6680" s="3">
        <v>-1.17268434349615</v>
      </c>
      <c r="C6680" s="5">
        <v>2.1506943060576599E-11</v>
      </c>
      <c r="D6680" s="6">
        <v>1.9481313980070001E-10</v>
      </c>
      <c r="E6680" s="3" t="s">
        <v>5333</v>
      </c>
      <c r="F6680" s="3" t="s">
        <v>5334</v>
      </c>
      <c r="G6680" s="3">
        <v>230991</v>
      </c>
      <c r="H6680" s="7" t="str">
        <f>HYPERLINK("http://www.ensembl.org/Mus_musculus/Gene/Summary?db=core;g=ENSMUSG00000074738","ENSMUSG00000074738")</f>
        <v>ENSMUSG00000074738</v>
      </c>
      <c r="I6680" s="7" t="str">
        <f>HYPERLINK("http://www.informatics.jax.org/marker/MGI:2444790","MGI:2444790")</f>
        <v>MGI:2444790</v>
      </c>
      <c r="J6680" s="4" t="s">
        <v>12</v>
      </c>
    </row>
    <row r="6681" spans="1:10" x14ac:dyDescent="0.25">
      <c r="A6681" s="2">
        <v>23.7481904699554</v>
      </c>
      <c r="B6681" s="3">
        <v>-1.1731796866089299</v>
      </c>
      <c r="C6681" s="5">
        <v>2.51638723018233E-6</v>
      </c>
      <c r="D6681" s="6">
        <v>1.33317317645561E-5</v>
      </c>
      <c r="E6681" s="3" t="s">
        <v>13027</v>
      </c>
      <c r="F6681" s="3" t="s">
        <v>13028</v>
      </c>
      <c r="G6681" s="3" t="s">
        <v>83</v>
      </c>
      <c r="H6681" s="7" t="str">
        <f>HYPERLINK("http://www.ensembl.org/Mus_musculus/Gene/Summary?db=core;g=ENSMUSG00000106978","ENSMUSG00000106978")</f>
        <v>ENSMUSG00000106978</v>
      </c>
      <c r="I6681" s="7" t="str">
        <f>HYPERLINK("http://www.informatics.jax.org/marker/MGI:1921484","MGI:1921484")</f>
        <v>MGI:1921484</v>
      </c>
      <c r="J6681" s="4" t="s">
        <v>331</v>
      </c>
    </row>
    <row r="6682" spans="1:10" x14ac:dyDescent="0.25">
      <c r="A6682" s="2">
        <v>264.41824717591902</v>
      </c>
      <c r="B6682" s="3">
        <v>-1.1743584697784799</v>
      </c>
      <c r="C6682" s="5">
        <v>3.6747237272919903E-42</v>
      </c>
      <c r="D6682" s="6">
        <v>1.3780213977344899E-40</v>
      </c>
      <c r="E6682" s="3" t="s">
        <v>1168</v>
      </c>
      <c r="F6682" s="3" t="s">
        <v>1169</v>
      </c>
      <c r="G6682" s="3">
        <v>20623</v>
      </c>
      <c r="H6682" s="7" t="str">
        <f>HYPERLINK("http://www.ensembl.org/Mus_musculus/Gene/Summary?db=core;g=ENSMUSG00000038145","ENSMUSG00000038145")</f>
        <v>ENSMUSG00000038145</v>
      </c>
      <c r="I6682" s="7" t="str">
        <f>HYPERLINK("http://www.informatics.jax.org/marker/MGI:108104","MGI:108104")</f>
        <v>MGI:108104</v>
      </c>
      <c r="J6682" s="4" t="s">
        <v>12</v>
      </c>
    </row>
    <row r="6683" spans="1:10" x14ac:dyDescent="0.25">
      <c r="A6683" s="2">
        <v>2144.74382700672</v>
      </c>
      <c r="B6683" s="3">
        <v>-1.1745941923005301</v>
      </c>
      <c r="C6683" s="5">
        <v>8.6550366573559794E-89</v>
      </c>
      <c r="D6683" s="6">
        <v>1.03775028342311E-86</v>
      </c>
      <c r="E6683" s="3" t="s">
        <v>216</v>
      </c>
      <c r="F6683" s="3" t="s">
        <v>217</v>
      </c>
      <c r="G6683" s="3">
        <v>215114</v>
      </c>
      <c r="H6683" s="7" t="str">
        <f>HYPERLINK("http://www.ensembl.org/Mus_musculus/Gene/Summary?db=core;g=ENSMUSG00000039959","ENSMUSG00000039959")</f>
        <v>ENSMUSG00000039959</v>
      </c>
      <c r="I6683" s="7" t="str">
        <f>HYPERLINK("http://www.informatics.jax.org/marker/MGI:1099804","MGI:1099804")</f>
        <v>MGI:1099804</v>
      </c>
      <c r="J6683" s="4" t="s">
        <v>12</v>
      </c>
    </row>
    <row r="6684" spans="1:10" x14ac:dyDescent="0.25">
      <c r="A6684" s="2">
        <v>27.971032866467201</v>
      </c>
      <c r="B6684" s="3">
        <v>-1.17487118111148</v>
      </c>
      <c r="C6684" s="5">
        <v>6.9320846849897798E-8</v>
      </c>
      <c r="D6684" s="6">
        <v>4.4004612812239198E-7</v>
      </c>
      <c r="E6684" s="3" t="s">
        <v>5903</v>
      </c>
      <c r="F6684" s="3" t="s">
        <v>5904</v>
      </c>
      <c r="G6684" s="3">
        <v>74463</v>
      </c>
      <c r="H6684" s="7" t="str">
        <f>HYPERLINK("http://www.ensembl.org/Mus_musculus/Gene/Summary?db=core;g=ENSMUSG00000011263","ENSMUSG00000011263")</f>
        <v>ENSMUSG00000011263</v>
      </c>
      <c r="I6684" s="7" t="str">
        <f>HYPERLINK("http://www.informatics.jax.org/marker/MGI:1921713","MGI:1921713")</f>
        <v>MGI:1921713</v>
      </c>
      <c r="J6684" s="4" t="s">
        <v>12</v>
      </c>
    </row>
    <row r="6685" spans="1:10" x14ac:dyDescent="0.25">
      <c r="A6685" s="2">
        <v>552.38822975947403</v>
      </c>
      <c r="B6685" s="3">
        <v>-1.1753869937735599</v>
      </c>
      <c r="C6685" s="5">
        <v>1.77566727936059E-65</v>
      </c>
      <c r="D6685" s="6">
        <v>1.2120425530467E-63</v>
      </c>
      <c r="E6685" s="3" t="s">
        <v>304</v>
      </c>
      <c r="F6685" s="3" t="s">
        <v>305</v>
      </c>
      <c r="G6685" s="3">
        <v>75687</v>
      </c>
      <c r="H6685" s="7" t="str">
        <f>HYPERLINK("http://www.ensembl.org/Mus_musculus/Gene/Summary?db=core;g=ENSMUSG00000038604","ENSMUSG00000038604")</f>
        <v>ENSMUSG00000038604</v>
      </c>
      <c r="I6685" s="7" t="str">
        <f>HYPERLINK("http://www.informatics.jax.org/marker/MGI:1922937","MGI:1922937")</f>
        <v>MGI:1922937</v>
      </c>
      <c r="J6685" s="4" t="s">
        <v>12</v>
      </c>
    </row>
    <row r="6686" spans="1:10" x14ac:dyDescent="0.25">
      <c r="A6686" s="2">
        <v>758.75127558705503</v>
      </c>
      <c r="B6686" s="3">
        <v>-1.1759922055193901</v>
      </c>
      <c r="C6686" s="5">
        <v>1.65456644006897E-84</v>
      </c>
      <c r="D6686" s="6">
        <v>1.7737925511915799E-82</v>
      </c>
      <c r="E6686" s="3" t="s">
        <v>236</v>
      </c>
      <c r="F6686" s="3" t="s">
        <v>237</v>
      </c>
      <c r="G6686" s="3">
        <v>241062</v>
      </c>
      <c r="H6686" s="7" t="str">
        <f>HYPERLINK("http://www.ensembl.org/Mus_musculus/Gene/Summary?db=core;g=ENSMUSG00000073678","ENSMUSG00000073678")</f>
        <v>ENSMUSG00000073678</v>
      </c>
      <c r="I6686" s="7" t="str">
        <f>HYPERLINK("http://www.informatics.jax.org/marker/MGI:2443342","MGI:2443342")</f>
        <v>MGI:2443342</v>
      </c>
      <c r="J6686" s="4" t="s">
        <v>12</v>
      </c>
    </row>
    <row r="6687" spans="1:10" x14ac:dyDescent="0.25">
      <c r="A6687" s="2">
        <v>275.477103038255</v>
      </c>
      <c r="B6687" s="3">
        <v>-1.1771818153944</v>
      </c>
      <c r="C6687" s="5">
        <v>4.3142490767035799E-14</v>
      </c>
      <c r="D6687" s="6">
        <v>4.7681740098800897E-13</v>
      </c>
      <c r="E6687" s="3" t="s">
        <v>5883</v>
      </c>
      <c r="F6687" s="3" t="s">
        <v>5884</v>
      </c>
      <c r="G6687" s="3">
        <v>15216</v>
      </c>
      <c r="H6687" s="7" t="str">
        <f>HYPERLINK("http://www.ensembl.org/Mus_musculus/Gene/Summary?db=core;g=ENSMUSG00000006611","ENSMUSG00000006611")</f>
        <v>ENSMUSG00000006611</v>
      </c>
      <c r="I6687" s="7" t="str">
        <f>HYPERLINK("http://www.informatics.jax.org/marker/MGI:109191","MGI:109191")</f>
        <v>MGI:109191</v>
      </c>
      <c r="J6687" s="4" t="s">
        <v>12</v>
      </c>
    </row>
    <row r="6688" spans="1:10" x14ac:dyDescent="0.25">
      <c r="A6688" s="2">
        <v>46.108386866422997</v>
      </c>
      <c r="B6688" s="3">
        <v>-1.1774731691634099</v>
      </c>
      <c r="C6688" s="5">
        <v>3.6384400954431999E-6</v>
      </c>
      <c r="D6688" s="6">
        <v>1.8894361638131498E-5</v>
      </c>
      <c r="E6688" s="3" t="s">
        <v>8695</v>
      </c>
      <c r="F6688" s="3" t="s">
        <v>8696</v>
      </c>
      <c r="G6688" s="3">
        <v>216152</v>
      </c>
      <c r="H6688" s="7" t="str">
        <f>HYPERLINK("http://www.ensembl.org/Mus_musculus/Gene/Summary?db=core;g=ENSMUSG00000035835","ENSMUSG00000035835")</f>
        <v>ENSMUSG00000035835</v>
      </c>
      <c r="I6688" s="7" t="str">
        <f>HYPERLINK("http://www.informatics.jax.org/marker/MGI:2388640","MGI:2388640")</f>
        <v>MGI:2388640</v>
      </c>
      <c r="J6688" s="4" t="s">
        <v>12</v>
      </c>
    </row>
    <row r="6689" spans="1:10" x14ac:dyDescent="0.25">
      <c r="A6689" s="2">
        <v>89.453708405944397</v>
      </c>
      <c r="B6689" s="3">
        <v>-1.1775173647572399</v>
      </c>
      <c r="C6689" s="5">
        <v>5.6711892266692698E-14</v>
      </c>
      <c r="D6689" s="6">
        <v>6.2376236364542796E-13</v>
      </c>
      <c r="E6689" s="3" t="s">
        <v>4681</v>
      </c>
      <c r="F6689" s="3" t="s">
        <v>4682</v>
      </c>
      <c r="G6689" s="3">
        <v>15166</v>
      </c>
      <c r="H6689" s="7" t="str">
        <f>HYPERLINK("http://www.ensembl.org/Mus_musculus/Gene/Summary?db=core;g=ENSMUSG00000020331","ENSMUSG00000020331")</f>
        <v>ENSMUSG00000020331</v>
      </c>
      <c r="I6689" s="7" t="str">
        <f>HYPERLINK("http://www.informatics.jax.org/marker/MGI:1298210","MGI:1298210")</f>
        <v>MGI:1298210</v>
      </c>
      <c r="J6689" s="4" t="s">
        <v>12</v>
      </c>
    </row>
    <row r="6690" spans="1:10" x14ac:dyDescent="0.25">
      <c r="A6690" s="2">
        <v>336.57055487747999</v>
      </c>
      <c r="B6690" s="3">
        <v>-1.1819303848807901</v>
      </c>
      <c r="C6690" s="5">
        <v>2.2206102815013502E-33</v>
      </c>
      <c r="D6690" s="6">
        <v>6.17872097410109E-32</v>
      </c>
      <c r="E6690" s="3" t="s">
        <v>1228</v>
      </c>
      <c r="F6690" s="3" t="s">
        <v>1229</v>
      </c>
      <c r="G6690" s="3">
        <v>19645</v>
      </c>
      <c r="H6690" s="7" t="str">
        <f>HYPERLINK("http://www.ensembl.org/Mus_musculus/Gene/Summary?db=core;g=ENSMUSG00000022105","ENSMUSG00000022105")</f>
        <v>ENSMUSG00000022105</v>
      </c>
      <c r="I6690" s="7" t="str">
        <f>HYPERLINK("http://www.informatics.jax.org/marker/MGI:97874","MGI:97874")</f>
        <v>MGI:97874</v>
      </c>
      <c r="J6690" s="4" t="s">
        <v>12</v>
      </c>
    </row>
    <row r="6691" spans="1:10" x14ac:dyDescent="0.25">
      <c r="A6691" s="2">
        <v>78.332189600345203</v>
      </c>
      <c r="B6691" s="3">
        <v>-1.1822921669956099</v>
      </c>
      <c r="C6691" s="5">
        <v>3.0083097405070099E-19</v>
      </c>
      <c r="D6691" s="6">
        <v>4.5273695310272696E-18</v>
      </c>
      <c r="E6691" s="3" t="s">
        <v>3534</v>
      </c>
      <c r="F6691" s="3" t="s">
        <v>3535</v>
      </c>
      <c r="G6691" s="3">
        <v>433766</v>
      </c>
      <c r="H6691" s="7" t="str">
        <f>HYPERLINK("http://www.ensembl.org/Mus_musculus/Gene/Summary?db=core;g=ENSMUSG00000028834","ENSMUSG00000028834")</f>
        <v>ENSMUSG00000028834</v>
      </c>
      <c r="I6691" s="7" t="str">
        <f>HYPERLINK("http://www.informatics.jax.org/marker/MGI:2447992","MGI:2447992")</f>
        <v>MGI:2447992</v>
      </c>
      <c r="J6691" s="4" t="s">
        <v>12</v>
      </c>
    </row>
    <row r="6692" spans="1:10" x14ac:dyDescent="0.25">
      <c r="A6692" s="2">
        <v>987.29134491928801</v>
      </c>
      <c r="B6692" s="3">
        <v>-1.1828127449650701</v>
      </c>
      <c r="C6692" s="5">
        <v>1.5506160704445101E-29</v>
      </c>
      <c r="D6692" s="6">
        <v>3.7579757824270201E-28</v>
      </c>
      <c r="E6692" s="3" t="s">
        <v>1476</v>
      </c>
      <c r="F6692" s="3" t="s">
        <v>1477</v>
      </c>
      <c r="G6692" s="3">
        <v>26360</v>
      </c>
      <c r="H6692" s="7" t="str">
        <f>HYPERLINK("http://www.ensembl.org/Mus_musculus/Gene/Summary?db=core;g=ENSMUSG00000004105","ENSMUSG00000004105")</f>
        <v>ENSMUSG00000004105</v>
      </c>
      <c r="I6692" s="7" t="str">
        <f>HYPERLINK("http://www.informatics.jax.org/marker/MGI:1347002","MGI:1347002")</f>
        <v>MGI:1347002</v>
      </c>
      <c r="J6692" s="4" t="s">
        <v>12</v>
      </c>
    </row>
    <row r="6693" spans="1:10" x14ac:dyDescent="0.25">
      <c r="A6693" s="2">
        <v>3.5199538145336202</v>
      </c>
      <c r="B6693" s="3">
        <v>-1.1835585362888199</v>
      </c>
      <c r="C6693" s="3">
        <v>8.1929228762017293E-3</v>
      </c>
      <c r="D6693" s="4">
        <v>2.3473670715103999E-2</v>
      </c>
      <c r="E6693" s="3" t="s">
        <v>10559</v>
      </c>
      <c r="F6693" s="3" t="s">
        <v>10560</v>
      </c>
      <c r="G6693" s="3">
        <v>13390</v>
      </c>
      <c r="H6693" s="7" t="str">
        <f>HYPERLINK("http://www.ensembl.org/Mus_musculus/Gene/Summary?db=core;g=ENSMUSG00000041911","ENSMUSG00000041911")</f>
        <v>ENSMUSG00000041911</v>
      </c>
      <c r="I6693" s="7" t="str">
        <f>HYPERLINK("http://www.informatics.jax.org/marker/MGI:94901","MGI:94901")</f>
        <v>MGI:94901</v>
      </c>
      <c r="J6693" s="4" t="s">
        <v>12</v>
      </c>
    </row>
    <row r="6694" spans="1:10" x14ac:dyDescent="0.25">
      <c r="A6694" s="2">
        <v>98.705501646623404</v>
      </c>
      <c r="B6694" s="3">
        <v>-1.1840133987724499</v>
      </c>
      <c r="C6694" s="5">
        <v>4.86059259110091E-6</v>
      </c>
      <c r="D6694" s="6">
        <v>2.4904217029185799E-5</v>
      </c>
      <c r="E6694" s="3" t="s">
        <v>10326</v>
      </c>
      <c r="F6694" s="3" t="s">
        <v>10327</v>
      </c>
      <c r="G6694" s="3">
        <v>12495</v>
      </c>
      <c r="H6694" s="7" t="str">
        <f>HYPERLINK("http://www.ensembl.org/Mus_musculus/Gene/Summary?db=core;g=ENSMUSG00000048120","ENSMUSG00000048120")</f>
        <v>ENSMUSG00000048120</v>
      </c>
      <c r="I6694" s="7" t="str">
        <f>HYPERLINK("http://www.informatics.jax.org/marker/MGI:102805","MGI:102805")</f>
        <v>MGI:102805</v>
      </c>
      <c r="J6694" s="4" t="s">
        <v>12</v>
      </c>
    </row>
    <row r="6695" spans="1:10" x14ac:dyDescent="0.25">
      <c r="A6695" s="2">
        <v>650.58387838142005</v>
      </c>
      <c r="B6695" s="3">
        <v>-1.1840802363403</v>
      </c>
      <c r="C6695" s="5">
        <v>3.7287465201785399E-36</v>
      </c>
      <c r="D6695" s="6">
        <v>1.1251060485141399E-34</v>
      </c>
      <c r="E6695" s="3" t="s">
        <v>600</v>
      </c>
      <c r="F6695" s="3" t="s">
        <v>601</v>
      </c>
      <c r="G6695" s="3">
        <v>58235</v>
      </c>
      <c r="H6695" s="7" t="str">
        <f>HYPERLINK("http://www.ensembl.org/Mus_musculus/Gene/Summary?db=core;g=ENSMUSG00000032012","ENSMUSG00000032012")</f>
        <v>ENSMUSG00000032012</v>
      </c>
      <c r="I6695" s="7" t="str">
        <f>HYPERLINK("http://www.informatics.jax.org/marker/MGI:1926483","MGI:1926483")</f>
        <v>MGI:1926483</v>
      </c>
      <c r="J6695" s="4" t="s">
        <v>12</v>
      </c>
    </row>
    <row r="6696" spans="1:10" x14ac:dyDescent="0.25">
      <c r="A6696" s="2">
        <v>12.201816449108399</v>
      </c>
      <c r="B6696" s="3">
        <v>-1.18458317305842</v>
      </c>
      <c r="C6696" s="3">
        <v>2.9855560952971499E-4</v>
      </c>
      <c r="D6696" s="4">
        <v>1.14913959528597E-3</v>
      </c>
      <c r="E6696" s="3" t="s">
        <v>8767</v>
      </c>
      <c r="F6696" s="3" t="s">
        <v>8768</v>
      </c>
      <c r="G6696" s="3">
        <v>224019</v>
      </c>
      <c r="H6696" s="7" t="str">
        <f>HYPERLINK("http://www.ensembl.org/Mus_musculus/Gene/Summary?db=core;g=ENSMUSG00000055692","ENSMUSG00000055692")</f>
        <v>ENSMUSG00000055692</v>
      </c>
      <c r="I6696" s="7" t="str">
        <f>HYPERLINK("http://www.informatics.jax.org/marker/MGI:107238","MGI:107238")</f>
        <v>MGI:107238</v>
      </c>
      <c r="J6696" s="4" t="s">
        <v>12</v>
      </c>
    </row>
    <row r="6697" spans="1:10" x14ac:dyDescent="0.25">
      <c r="A6697" s="2">
        <v>40.842958712769502</v>
      </c>
      <c r="B6697" s="3">
        <v>-1.18547843282489</v>
      </c>
      <c r="C6697" s="5">
        <v>1.7993798741657501E-9</v>
      </c>
      <c r="D6697" s="6">
        <v>1.3607343654220301E-8</v>
      </c>
      <c r="E6697" s="3" t="s">
        <v>4819</v>
      </c>
      <c r="F6697" s="3" t="s">
        <v>4820</v>
      </c>
      <c r="G6697" s="3">
        <v>69987</v>
      </c>
      <c r="H6697" s="7" t="str">
        <f>HYPERLINK("http://www.ensembl.org/Mus_musculus/Gene/Summary?db=core;g=ENSMUSG00000026809","ENSMUSG00000026809")</f>
        <v>ENSMUSG00000026809</v>
      </c>
      <c r="I6697" s="7" t="str">
        <f>HYPERLINK("http://www.informatics.jax.org/marker/MGI:1917237","MGI:1917237")</f>
        <v>MGI:1917237</v>
      </c>
      <c r="J6697" s="4" t="s">
        <v>12</v>
      </c>
    </row>
    <row r="6698" spans="1:10" x14ac:dyDescent="0.25">
      <c r="A6698" s="2">
        <v>24.862690434819601</v>
      </c>
      <c r="B6698" s="3">
        <v>-1.18725030477113</v>
      </c>
      <c r="C6698" s="5">
        <v>1.1067237285579399E-7</v>
      </c>
      <c r="D6698" s="6">
        <v>6.8933834425729397E-7</v>
      </c>
      <c r="E6698" s="3" t="s">
        <v>12971</v>
      </c>
      <c r="F6698" s="3" t="s">
        <v>12972</v>
      </c>
      <c r="G6698" s="3">
        <v>56013</v>
      </c>
      <c r="H6698" s="7" t="str">
        <f>HYPERLINK("http://www.ensembl.org/Mus_musculus/Gene/Summary?db=core;g=ENSMUSG00000038453","ENSMUSG00000038453")</f>
        <v>ENSMUSG00000038453</v>
      </c>
      <c r="I6698" s="7" t="str">
        <f>HYPERLINK("http://www.informatics.jax.org/marker/MGI:1933179","MGI:1933179")</f>
        <v>MGI:1933179</v>
      </c>
      <c r="J6698" s="4" t="s">
        <v>12</v>
      </c>
    </row>
    <row r="6699" spans="1:10" x14ac:dyDescent="0.25">
      <c r="A6699" s="2">
        <v>73.475061118434297</v>
      </c>
      <c r="B6699" s="3">
        <v>-1.1872569832808699</v>
      </c>
      <c r="C6699" s="5">
        <v>2.81282866452181E-11</v>
      </c>
      <c r="D6699" s="6">
        <v>2.51786848776572E-10</v>
      </c>
      <c r="E6699" s="3" t="s">
        <v>4611</v>
      </c>
      <c r="F6699" s="3" t="s">
        <v>4612</v>
      </c>
      <c r="G6699" s="3">
        <v>260305</v>
      </c>
      <c r="H6699" s="7" t="str">
        <f>HYPERLINK("http://www.ensembl.org/Mus_musculus/Gene/Summary?db=core;g=ENSMUSG00000039577","ENSMUSG00000039577")</f>
        <v>ENSMUSG00000039577</v>
      </c>
      <c r="I6699" s="7" t="str">
        <f>HYPERLINK("http://www.informatics.jax.org/marker/MGI:2384210","MGI:2384210")</f>
        <v>MGI:2384210</v>
      </c>
      <c r="J6699" s="4" t="s">
        <v>12</v>
      </c>
    </row>
    <row r="6700" spans="1:10" x14ac:dyDescent="0.25">
      <c r="A6700" s="2">
        <v>210.05449295977101</v>
      </c>
      <c r="B6700" s="3">
        <v>-1.18929258127245</v>
      </c>
      <c r="C6700" s="5">
        <v>2.0796688022356101E-10</v>
      </c>
      <c r="D6700" s="6">
        <v>1.7306832840522399E-9</v>
      </c>
      <c r="E6700" s="3" t="s">
        <v>5709</v>
      </c>
      <c r="F6700" s="3" t="s">
        <v>5710</v>
      </c>
      <c r="G6700" s="3">
        <v>56742</v>
      </c>
      <c r="H6700" s="7" t="str">
        <f>HYPERLINK("http://www.ensembl.org/Mus_musculus/Gene/Summary?db=core;g=ENSMUSG00000068744","ENSMUSG00000068744")</f>
        <v>ENSMUSG00000068744</v>
      </c>
      <c r="I6700" s="7" t="str">
        <f>HYPERLINK("http://www.informatics.jax.org/marker/MGI:1913099","MGI:1913099")</f>
        <v>MGI:1913099</v>
      </c>
      <c r="J6700" s="4" t="s">
        <v>12</v>
      </c>
    </row>
    <row r="6701" spans="1:10" x14ac:dyDescent="0.25">
      <c r="A6701" s="2">
        <v>17.916047241528801</v>
      </c>
      <c r="B6701" s="3">
        <v>-1.1922861606688</v>
      </c>
      <c r="C6701" s="3">
        <v>2.4815694744040101E-4</v>
      </c>
      <c r="D6701" s="4">
        <v>9.6762096001311597E-4</v>
      </c>
      <c r="E6701" s="3" t="s">
        <v>10084</v>
      </c>
      <c r="F6701" s="3" t="s">
        <v>10085</v>
      </c>
      <c r="G6701" s="3">
        <v>68107</v>
      </c>
      <c r="H6701" s="7" t="str">
        <f>HYPERLINK("http://www.ensembl.org/Mus_musculus/Gene/Summary?db=core;g=ENSMUSG00000078653","ENSMUSG00000078653")</f>
        <v>ENSMUSG00000078653</v>
      </c>
      <c r="I6701" s="7" t="str">
        <f>HYPERLINK("http://www.informatics.jax.org/marker/MGI:1923965","MGI:1923965")</f>
        <v>MGI:1923965</v>
      </c>
      <c r="J6701" s="4" t="s">
        <v>12</v>
      </c>
    </row>
    <row r="6702" spans="1:10" x14ac:dyDescent="0.25">
      <c r="A6702" s="2">
        <v>68.405043455513805</v>
      </c>
      <c r="B6702" s="3">
        <v>-1.1937192612088099</v>
      </c>
      <c r="C6702" s="5">
        <v>5.0373933991611795E-16</v>
      </c>
      <c r="D6702" s="6">
        <v>6.3446091706781298E-15</v>
      </c>
      <c r="E6702" s="3" t="s">
        <v>2235</v>
      </c>
      <c r="F6702" s="3" t="s">
        <v>2236</v>
      </c>
      <c r="G6702" s="3">
        <v>68318</v>
      </c>
      <c r="H6702" s="7" t="str">
        <f>HYPERLINK("http://www.ensembl.org/Mus_musculus/Gene/Summary?db=core;g=ENSMUSG00000053040","ENSMUSG00000053040")</f>
        <v>ENSMUSG00000053040</v>
      </c>
      <c r="I6702" s="7" t="str">
        <f>HYPERLINK("http://www.informatics.jax.org/marker/MGI:1915568","MGI:1915568")</f>
        <v>MGI:1915568</v>
      </c>
      <c r="J6702" s="4" t="s">
        <v>12</v>
      </c>
    </row>
    <row r="6703" spans="1:10" x14ac:dyDescent="0.25">
      <c r="A6703" s="2">
        <v>6.3014570405535499</v>
      </c>
      <c r="B6703" s="3">
        <v>-1.1938287834141199</v>
      </c>
      <c r="C6703" s="3">
        <v>2.0053370849633201E-3</v>
      </c>
      <c r="D6703" s="4">
        <v>6.6389225019902898E-3</v>
      </c>
      <c r="E6703" s="3" t="s">
        <v>12675</v>
      </c>
      <c r="F6703" s="3" t="s">
        <v>12676</v>
      </c>
      <c r="G6703" s="3">
        <v>100503280</v>
      </c>
      <c r="H6703" s="7" t="str">
        <f>HYPERLINK("http://www.ensembl.org/Mus_musculus/Gene/Summary?db=core;g=ENSMUSG00000032750","ENSMUSG00000032750")</f>
        <v>ENSMUSG00000032750</v>
      </c>
      <c r="I6703" s="7" t="str">
        <f>HYPERLINK("http://www.informatics.jax.org/marker/MGI:2387324","MGI:2387324")</f>
        <v>MGI:2387324</v>
      </c>
      <c r="J6703" s="4" t="s">
        <v>12</v>
      </c>
    </row>
    <row r="6704" spans="1:10" x14ac:dyDescent="0.25">
      <c r="A6704" s="2">
        <v>1906.67618495138</v>
      </c>
      <c r="B6704" s="3">
        <v>-1.19522658948674</v>
      </c>
      <c r="C6704" s="5">
        <v>2.81421643570153E-18</v>
      </c>
      <c r="D6704" s="6">
        <v>4.03851138115436E-17</v>
      </c>
      <c r="E6704" s="3" t="s">
        <v>2912</v>
      </c>
      <c r="F6704" s="3" t="s">
        <v>2913</v>
      </c>
      <c r="G6704" s="3">
        <v>12487</v>
      </c>
      <c r="H6704" s="7" t="str">
        <f>HYPERLINK("http://www.ensembl.org/Mus_musculus/Gene/Summary?db=core;g=ENSMUSG00000026012","ENSMUSG00000026012")</f>
        <v>ENSMUSG00000026012</v>
      </c>
      <c r="I6704" s="7" t="str">
        <f>HYPERLINK("http://www.informatics.jax.org/marker/MGI:88327","MGI:88327")</f>
        <v>MGI:88327</v>
      </c>
      <c r="J6704" s="4" t="s">
        <v>12</v>
      </c>
    </row>
    <row r="6705" spans="1:10" x14ac:dyDescent="0.25">
      <c r="A6705" s="2">
        <v>13.842715264172</v>
      </c>
      <c r="B6705" s="3">
        <v>-1.1963814607019201</v>
      </c>
      <c r="C6705" s="3">
        <v>6.1014506340961304E-4</v>
      </c>
      <c r="D6705" s="4">
        <v>2.2351545287719E-3</v>
      </c>
      <c r="E6705" s="3" t="s">
        <v>7842</v>
      </c>
      <c r="F6705" s="3" t="s">
        <v>7843</v>
      </c>
      <c r="G6705" s="3">
        <v>68054</v>
      </c>
      <c r="H6705" s="7" t="str">
        <f>HYPERLINK("http://www.ensembl.org/Mus_musculus/Gene/Summary?db=core;g=ENSMUSG00000041567","ENSMUSG00000041567")</f>
        <v>ENSMUSG00000041567</v>
      </c>
      <c r="I6705" s="7" t="str">
        <f>HYPERLINK("http://www.informatics.jax.org/marker/MGI:1915304","MGI:1915304")</f>
        <v>MGI:1915304</v>
      </c>
      <c r="J6705" s="4" t="s">
        <v>12</v>
      </c>
    </row>
    <row r="6706" spans="1:10" x14ac:dyDescent="0.25">
      <c r="A6706" s="2">
        <v>6.0789956465289201</v>
      </c>
      <c r="B6706" s="3">
        <v>-1.1984902036466301</v>
      </c>
      <c r="C6706" s="3">
        <v>6.9104993433871604E-3</v>
      </c>
      <c r="D6706" s="4">
        <v>2.0154240763839201E-2</v>
      </c>
      <c r="E6706" s="3" t="s">
        <v>7428</v>
      </c>
      <c r="F6706" s="3" t="s">
        <v>7429</v>
      </c>
      <c r="G6706" s="3">
        <v>109272</v>
      </c>
      <c r="H6706" s="7" t="str">
        <f>HYPERLINK("http://www.ensembl.org/Mus_musculus/Gene/Summary?db=core;g=ENSMUSG00000020061","ENSMUSG00000020061")</f>
        <v>ENSMUSG00000020061</v>
      </c>
      <c r="I6706" s="7" t="str">
        <f>HYPERLINK("http://www.informatics.jax.org/marker/MGI:1336213","MGI:1336213")</f>
        <v>MGI:1336213</v>
      </c>
      <c r="J6706" s="4" t="s">
        <v>12</v>
      </c>
    </row>
    <row r="6707" spans="1:10" x14ac:dyDescent="0.25">
      <c r="A6707" s="2">
        <v>36.985312811894403</v>
      </c>
      <c r="B6707" s="3">
        <v>-1.1999105218798101</v>
      </c>
      <c r="C6707" s="5">
        <v>1.28649951692733E-5</v>
      </c>
      <c r="D6707" s="6">
        <v>6.1962086934462505E-5</v>
      </c>
      <c r="E6707" s="3" t="s">
        <v>11555</v>
      </c>
      <c r="F6707" s="3" t="s">
        <v>11556</v>
      </c>
      <c r="G6707" s="3">
        <v>16174</v>
      </c>
      <c r="H6707" s="7" t="str">
        <f>HYPERLINK("http://www.ensembl.org/Mus_musculus/Gene/Summary?db=core;g=ENSMUSG00000026068","ENSMUSG00000026068")</f>
        <v>ENSMUSG00000026068</v>
      </c>
      <c r="I6707" s="7" t="str">
        <f>HYPERLINK("http://www.informatics.jax.org/marker/MGI:1338888","MGI:1338888")</f>
        <v>MGI:1338888</v>
      </c>
      <c r="J6707" s="4" t="s">
        <v>12</v>
      </c>
    </row>
    <row r="6708" spans="1:10" x14ac:dyDescent="0.25">
      <c r="A6708" s="2">
        <v>785.87185146741899</v>
      </c>
      <c r="B6708" s="3">
        <v>-1.2001054937368201</v>
      </c>
      <c r="C6708" s="5">
        <v>1.6530864964164899E-38</v>
      </c>
      <c r="D6708" s="6">
        <v>5.4283786301244298E-37</v>
      </c>
      <c r="E6708" s="3" t="s">
        <v>1144</v>
      </c>
      <c r="F6708" s="3" t="s">
        <v>1145</v>
      </c>
      <c r="G6708" s="3">
        <v>16970</v>
      </c>
      <c r="H6708" s="7" t="str">
        <f>HYPERLINK("http://www.ensembl.org/Mus_musculus/Gene/Summary?db=core;g=ENSMUSG00000030263","ENSMUSG00000030263")</f>
        <v>ENSMUSG00000030263</v>
      </c>
      <c r="I6708" s="7" t="str">
        <f>HYPERLINK("http://www.informatics.jax.org/marker/MGI:108424","MGI:108424")</f>
        <v>MGI:108424</v>
      </c>
      <c r="J6708" s="4" t="s">
        <v>12</v>
      </c>
    </row>
    <row r="6709" spans="1:10" x14ac:dyDescent="0.25">
      <c r="A6709" s="2">
        <v>1093.0239451376599</v>
      </c>
      <c r="B6709" s="3">
        <v>-1.2018948036107899</v>
      </c>
      <c r="C6709" s="5">
        <v>1.1548508599933299E-24</v>
      </c>
      <c r="D6709" s="6">
        <v>2.2631351530514499E-23</v>
      </c>
      <c r="E6709" s="3" t="s">
        <v>2055</v>
      </c>
      <c r="F6709" s="3" t="s">
        <v>2056</v>
      </c>
      <c r="G6709" s="3">
        <v>320982</v>
      </c>
      <c r="H6709" s="7" t="str">
        <f>HYPERLINK("http://www.ensembl.org/Mus_musculus/Gene/Summary?db=core;g=ENSMUSG00000049866","ENSMUSG00000049866")</f>
        <v>ENSMUSG00000049866</v>
      </c>
      <c r="I6709" s="7" t="str">
        <f>HYPERLINK("http://www.informatics.jax.org/marker/MGI:2445172","MGI:2445172")</f>
        <v>MGI:2445172</v>
      </c>
      <c r="J6709" s="4" t="s">
        <v>12</v>
      </c>
    </row>
    <row r="6710" spans="1:10" x14ac:dyDescent="0.25">
      <c r="A6710" s="2">
        <v>394.01882724448598</v>
      </c>
      <c r="B6710" s="3">
        <v>-1.2032144095666699</v>
      </c>
      <c r="C6710" s="5">
        <v>1.0699659850101601E-29</v>
      </c>
      <c r="D6710" s="6">
        <v>2.6034886617904E-28</v>
      </c>
      <c r="E6710" s="3" t="s">
        <v>1991</v>
      </c>
      <c r="F6710" s="3" t="s">
        <v>1992</v>
      </c>
      <c r="G6710" s="3">
        <v>385658</v>
      </c>
      <c r="H6710" s="7" t="str">
        <f>HYPERLINK("http://www.ensembl.org/Mus_musculus/Gene/Summary?db=core;g=ENSMUSG00000075033","ENSMUSG00000075033")</f>
        <v>ENSMUSG00000075033</v>
      </c>
      <c r="I6710" s="7" t="str">
        <f>HYPERLINK("http://www.informatics.jax.org/marker/MGI:2686598","MGI:2686598")</f>
        <v>MGI:2686598</v>
      </c>
      <c r="J6710" s="4" t="s">
        <v>12</v>
      </c>
    </row>
    <row r="6711" spans="1:10" x14ac:dyDescent="0.25">
      <c r="A6711" s="2">
        <v>160.97399894868099</v>
      </c>
      <c r="B6711" s="3">
        <v>-1.2081185328686499</v>
      </c>
      <c r="C6711" s="5">
        <v>4.8518707662560103E-26</v>
      </c>
      <c r="D6711" s="6">
        <v>1.01521635723325E-24</v>
      </c>
      <c r="E6711" s="3" t="s">
        <v>950</v>
      </c>
      <c r="F6711" s="3" t="s">
        <v>951</v>
      </c>
      <c r="G6711" s="3">
        <v>69274</v>
      </c>
      <c r="H6711" s="7" t="str">
        <f>HYPERLINK("http://www.ensembl.org/Mus_musculus/Gene/Summary?db=core;g=ENSMUSG00000047409","ENSMUSG00000047409")</f>
        <v>ENSMUSG00000047409</v>
      </c>
      <c r="I6711" s="7" t="str">
        <f>HYPERLINK("http://www.informatics.jax.org/marker/MGI:1916524","MGI:1916524")</f>
        <v>MGI:1916524</v>
      </c>
      <c r="J6711" s="4" t="s">
        <v>12</v>
      </c>
    </row>
    <row r="6712" spans="1:10" x14ac:dyDescent="0.25">
      <c r="A6712" s="2">
        <v>375.71476369043302</v>
      </c>
      <c r="B6712" s="3">
        <v>-1.2102279858465601</v>
      </c>
      <c r="C6712" s="5">
        <v>4.6409830480919697E-22</v>
      </c>
      <c r="D6712" s="6">
        <v>8.0785020106471994E-21</v>
      </c>
      <c r="E6712" s="3" t="s">
        <v>1734</v>
      </c>
      <c r="F6712" s="3" t="s">
        <v>1735</v>
      </c>
      <c r="G6712" s="3">
        <v>80909</v>
      </c>
      <c r="H6712" s="7" t="str">
        <f>HYPERLINK("http://www.ensembl.org/Mus_musculus/Gene/Summary?db=core;g=ENSMUSG00000015944","ENSMUSG00000015944")</f>
        <v>ENSMUSG00000015944</v>
      </c>
      <c r="I6712" s="7" t="str">
        <f>HYPERLINK("http://www.informatics.jax.org/marker/MGI:1933384","MGI:1933384")</f>
        <v>MGI:1933384</v>
      </c>
      <c r="J6712" s="4" t="s">
        <v>12</v>
      </c>
    </row>
    <row r="6713" spans="1:10" x14ac:dyDescent="0.25">
      <c r="A6713" s="2">
        <v>109.213023454623</v>
      </c>
      <c r="B6713" s="3">
        <v>-1.21354732682296</v>
      </c>
      <c r="C6713" s="5">
        <v>1.0477459462266701E-19</v>
      </c>
      <c r="D6713" s="6">
        <v>1.61140674008278E-18</v>
      </c>
      <c r="E6713" s="3" t="s">
        <v>2601</v>
      </c>
      <c r="F6713" s="3" t="s">
        <v>2602</v>
      </c>
      <c r="G6713" s="3">
        <v>20598</v>
      </c>
      <c r="H6713" s="7" t="str">
        <f>HYPERLINK("http://www.ensembl.org/Mus_musculus/Gene/Summary?db=core;g=ENSMUSG00000019822","ENSMUSG00000019822")</f>
        <v>ENSMUSG00000019822</v>
      </c>
      <c r="I6713" s="7" t="str">
        <f>HYPERLINK("http://www.informatics.jax.org/marker/MGI:1278330","MGI:1278330")</f>
        <v>MGI:1278330</v>
      </c>
      <c r="J6713" s="4" t="s">
        <v>12</v>
      </c>
    </row>
    <row r="6714" spans="1:10" x14ac:dyDescent="0.25">
      <c r="A6714" s="2">
        <v>4.2513450536520203</v>
      </c>
      <c r="B6714" s="3">
        <v>-1.2136916785960199</v>
      </c>
      <c r="C6714" s="3">
        <v>7.35090273081396E-3</v>
      </c>
      <c r="D6714" s="4">
        <v>2.1330937072231999E-2</v>
      </c>
      <c r="E6714" s="3" t="s">
        <v>10888</v>
      </c>
      <c r="F6714" s="3" t="s">
        <v>10889</v>
      </c>
      <c r="G6714" s="3">
        <v>21936</v>
      </c>
      <c r="H6714" s="7" t="str">
        <f>HYPERLINK("http://www.ensembl.org/Mus_musculus/Gene/Summary?db=core;g=ENSMUSG00000041954","ENSMUSG00000041954")</f>
        <v>ENSMUSG00000041954</v>
      </c>
      <c r="I6714" s="7" t="str">
        <f>HYPERLINK("http://www.informatics.jax.org/marker/MGI:894675","MGI:894675")</f>
        <v>MGI:894675</v>
      </c>
      <c r="J6714" s="4" t="s">
        <v>12</v>
      </c>
    </row>
    <row r="6715" spans="1:10" x14ac:dyDescent="0.25">
      <c r="A6715" s="2">
        <v>7.1798786113547397</v>
      </c>
      <c r="B6715" s="3">
        <v>-1.2156397264565</v>
      </c>
      <c r="C6715" s="3">
        <v>1.9998685153853799E-3</v>
      </c>
      <c r="D6715" s="4">
        <v>6.6220210197853397E-3</v>
      </c>
      <c r="E6715" s="3" t="s">
        <v>11663</v>
      </c>
      <c r="F6715" s="3" t="s">
        <v>11664</v>
      </c>
      <c r="G6715" s="3" t="s">
        <v>83</v>
      </c>
      <c r="H6715" s="7" t="str">
        <f>HYPERLINK("http://www.ensembl.org/Mus_musculus/Gene/Summary?db=core;g=ENSMUSG00000115410","ENSMUSG00000115410")</f>
        <v>ENSMUSG00000115410</v>
      </c>
      <c r="I6715" s="7" t="str">
        <f>HYPERLINK("http://www.informatics.jax.org/marker/MGI:1920074","MGI:1920074")</f>
        <v>MGI:1920074</v>
      </c>
      <c r="J6715" s="4" t="s">
        <v>932</v>
      </c>
    </row>
    <row r="6716" spans="1:10" x14ac:dyDescent="0.25">
      <c r="A6716" s="2">
        <v>3425.1453253534301</v>
      </c>
      <c r="B6716" s="3">
        <v>-1.21719575935306</v>
      </c>
      <c r="C6716" s="5">
        <v>1.8283400452151501E-33</v>
      </c>
      <c r="D6716" s="6">
        <v>5.1028326683072201E-32</v>
      </c>
      <c r="E6716" s="3" t="s">
        <v>2215</v>
      </c>
      <c r="F6716" s="3" t="s">
        <v>2216</v>
      </c>
      <c r="G6716" s="3">
        <v>16658</v>
      </c>
      <c r="H6716" s="7" t="str">
        <f>HYPERLINK("http://www.ensembl.org/Mus_musculus/Gene/Summary?db=core;g=ENSMUSG00000074622","ENSMUSG00000074622")</f>
        <v>ENSMUSG00000074622</v>
      </c>
      <c r="I6716" s="7" t="str">
        <f>HYPERLINK("http://www.informatics.jax.org/marker/MGI:104555","MGI:104555")</f>
        <v>MGI:104555</v>
      </c>
      <c r="J6716" s="4" t="s">
        <v>12</v>
      </c>
    </row>
    <row r="6717" spans="1:10" x14ac:dyDescent="0.25">
      <c r="A6717" s="2">
        <v>381.232309320046</v>
      </c>
      <c r="B6717" s="3">
        <v>-1.2184202256344101</v>
      </c>
      <c r="C6717" s="5">
        <v>2.7491023855844699E-37</v>
      </c>
      <c r="D6717" s="6">
        <v>8.6682337330929E-36</v>
      </c>
      <c r="E6717" s="3" t="s">
        <v>764</v>
      </c>
      <c r="F6717" s="3" t="s">
        <v>765</v>
      </c>
      <c r="G6717" s="3">
        <v>235041</v>
      </c>
      <c r="H6717" s="7" t="str">
        <f>HYPERLINK("http://www.ensembl.org/Mus_musculus/Gene/Summary?db=core;g=ENSMUSG00000032194","ENSMUSG00000032194")</f>
        <v>ENSMUSG00000032194</v>
      </c>
      <c r="I6717" s="7" t="str">
        <f>HYPERLINK("http://www.informatics.jax.org/marker/MGI:2384568","MGI:2384568")</f>
        <v>MGI:2384568</v>
      </c>
      <c r="J6717" s="4" t="s">
        <v>12</v>
      </c>
    </row>
    <row r="6718" spans="1:10" x14ac:dyDescent="0.25">
      <c r="A6718" s="2">
        <v>834.513372674263</v>
      </c>
      <c r="B6718" s="3">
        <v>-1.22006786789655</v>
      </c>
      <c r="C6718" s="5">
        <v>3.8978580783060298E-74</v>
      </c>
      <c r="D6718" s="6">
        <v>3.35087091873243E-72</v>
      </c>
      <c r="E6718" s="3" t="s">
        <v>534</v>
      </c>
      <c r="F6718" s="3" t="s">
        <v>535</v>
      </c>
      <c r="G6718" s="3">
        <v>223433</v>
      </c>
      <c r="H6718" s="7" t="str">
        <f>HYPERLINK("http://www.ensembl.org/Mus_musculus/Gene/Summary?db=core;g=ENSMUSG00000056069","ENSMUSG00000056069")</f>
        <v>ENSMUSG00000056069</v>
      </c>
      <c r="I6718" s="7" t="str">
        <f>HYPERLINK("http://www.informatics.jax.org/marker/MGI:2687281","MGI:2687281")</f>
        <v>MGI:2687281</v>
      </c>
      <c r="J6718" s="4" t="s">
        <v>12</v>
      </c>
    </row>
    <row r="6719" spans="1:10" x14ac:dyDescent="0.25">
      <c r="A6719" s="2">
        <v>5.02853806852431</v>
      </c>
      <c r="B6719" s="3">
        <v>-1.22754044572959</v>
      </c>
      <c r="C6719" s="3">
        <v>4.2448919191147997E-3</v>
      </c>
      <c r="D6719" s="4">
        <v>1.2986775975593501E-2</v>
      </c>
      <c r="E6719" s="3" t="s">
        <v>10966</v>
      </c>
      <c r="F6719" s="3" t="s">
        <v>10967</v>
      </c>
      <c r="G6719" s="3">
        <v>16499</v>
      </c>
      <c r="H6719" s="7" t="str">
        <f>HYPERLINK("http://www.ensembl.org/Mus_musculus/Gene/Summary?db=core;g=ENSMUSG00000018470","ENSMUSG00000018470")</f>
        <v>ENSMUSG00000018470</v>
      </c>
      <c r="I6719" s="7" t="str">
        <f>HYPERLINK("http://www.informatics.jax.org/marker/MGI:1336208","MGI:1336208")</f>
        <v>MGI:1336208</v>
      </c>
      <c r="J6719" s="4" t="s">
        <v>12</v>
      </c>
    </row>
    <row r="6720" spans="1:10" x14ac:dyDescent="0.25">
      <c r="A6720" s="2">
        <v>58.322232916526403</v>
      </c>
      <c r="B6720" s="3">
        <v>-1.2279060845961101</v>
      </c>
      <c r="C6720" s="5">
        <v>3.71911403303336E-10</v>
      </c>
      <c r="D6720" s="6">
        <v>3.0232316347918401E-9</v>
      </c>
      <c r="E6720" s="3" t="s">
        <v>4859</v>
      </c>
      <c r="F6720" s="3" t="s">
        <v>4860</v>
      </c>
      <c r="G6720" s="3">
        <v>75665</v>
      </c>
      <c r="H6720" s="7" t="str">
        <f>HYPERLINK("http://www.ensembl.org/Mus_musculus/Gene/Summary?db=core;g=ENSMUSG00000041609","ENSMUSG00000041609")</f>
        <v>ENSMUSG00000041609</v>
      </c>
      <c r="I6720" s="7" t="str">
        <f>HYPERLINK("http://www.informatics.jax.org/marker/MGI:1922915","MGI:1922915")</f>
        <v>MGI:1922915</v>
      </c>
      <c r="J6720" s="4" t="s">
        <v>12</v>
      </c>
    </row>
    <row r="6721" spans="1:10" x14ac:dyDescent="0.25">
      <c r="A6721" s="2">
        <v>5.3028402834941799</v>
      </c>
      <c r="B6721" s="3">
        <v>-1.22996408681318</v>
      </c>
      <c r="C6721" s="3">
        <v>4.3674983369595202E-3</v>
      </c>
      <c r="D6721" s="4">
        <v>1.3320068432835E-2</v>
      </c>
      <c r="E6721" s="3" t="s">
        <v>11131</v>
      </c>
      <c r="F6721" s="3" t="s">
        <v>11132</v>
      </c>
      <c r="G6721" s="3" t="s">
        <v>83</v>
      </c>
      <c r="H6721" s="7" t="str">
        <f>HYPERLINK("http://www.ensembl.org/Mus_musculus/Gene/Summary?db=core;g=ENSMUSG00000105748","ENSMUSG00000105748")</f>
        <v>ENSMUSG00000105748</v>
      </c>
      <c r="I6721" s="7" t="str">
        <f>HYPERLINK("http://www.informatics.jax.org/marker/MGI:5663225","MGI:5663225")</f>
        <v>MGI:5663225</v>
      </c>
      <c r="J6721" s="4" t="s">
        <v>1828</v>
      </c>
    </row>
    <row r="6722" spans="1:10" x14ac:dyDescent="0.25">
      <c r="A6722" s="2">
        <v>901.13030002501205</v>
      </c>
      <c r="B6722" s="3">
        <v>-1.2312115045434999</v>
      </c>
      <c r="C6722" s="5">
        <v>3.7519704826620799E-60</v>
      </c>
      <c r="D6722" s="6">
        <v>2.3023455234517299E-58</v>
      </c>
      <c r="E6722" s="3" t="s">
        <v>220</v>
      </c>
      <c r="F6722" s="3" t="s">
        <v>221</v>
      </c>
      <c r="G6722" s="3">
        <v>210789</v>
      </c>
      <c r="H6722" s="7" t="str">
        <f>HYPERLINK("http://www.ensembl.org/Mus_musculus/Gene/Summary?db=core;g=ENSMUSG00000033083","ENSMUSG00000033083")</f>
        <v>ENSMUSG00000033083</v>
      </c>
      <c r="I6722" s="7" t="str">
        <f>HYPERLINK("http://www.informatics.jax.org/marker/MGI:2429660","MGI:2429660")</f>
        <v>MGI:2429660</v>
      </c>
      <c r="J6722" s="4" t="s">
        <v>12</v>
      </c>
    </row>
    <row r="6723" spans="1:10" x14ac:dyDescent="0.25">
      <c r="A6723" s="2">
        <v>6.9843251039969099</v>
      </c>
      <c r="B6723" s="3">
        <v>-1.23157757902561</v>
      </c>
      <c r="C6723" s="3">
        <v>1.79948052389512E-3</v>
      </c>
      <c r="D6723" s="4">
        <v>6.0164249766994299E-3</v>
      </c>
      <c r="E6723" s="3" t="s">
        <v>12101</v>
      </c>
      <c r="F6723" s="3" t="s">
        <v>12102</v>
      </c>
      <c r="G6723" s="3">
        <v>12745</v>
      </c>
      <c r="H6723" s="7" t="str">
        <f>HYPERLINK("http://www.ensembl.org/Mus_musculus/Gene/Summary?db=core;g=ENSMUSG00000002190","ENSMUSG00000002190")</f>
        <v>ENSMUSG00000002190</v>
      </c>
      <c r="I6723" s="7" t="str">
        <f>HYPERLINK("http://www.informatics.jax.org/marker/MGI:107472","MGI:107472")</f>
        <v>MGI:107472</v>
      </c>
      <c r="J6723" s="4" t="s">
        <v>12</v>
      </c>
    </row>
    <row r="6724" spans="1:10" x14ac:dyDescent="0.25">
      <c r="A6724" s="2">
        <v>29.4141474192134</v>
      </c>
      <c r="B6724" s="3">
        <v>-1.2323730363801899</v>
      </c>
      <c r="C6724" s="5">
        <v>7.5229816083570104E-10</v>
      </c>
      <c r="D6724" s="6">
        <v>5.9507959987980298E-9</v>
      </c>
      <c r="E6724" s="3" t="s">
        <v>8199</v>
      </c>
      <c r="F6724" s="3" t="s">
        <v>8200</v>
      </c>
      <c r="G6724" s="3">
        <v>269389</v>
      </c>
      <c r="H6724" s="7" t="str">
        <f>HYPERLINK("http://www.ensembl.org/Mus_musculus/Gene/Summary?db=core;g=ENSMUSG00000074607","ENSMUSG00000074607")</f>
        <v>ENSMUSG00000074607</v>
      </c>
      <c r="I6724" s="7" t="str">
        <f>HYPERLINK("http://www.informatics.jax.org/marker/MGI:3611233","MGI:3611233")</f>
        <v>MGI:3611233</v>
      </c>
      <c r="J6724" s="4" t="s">
        <v>12</v>
      </c>
    </row>
    <row r="6725" spans="1:10" x14ac:dyDescent="0.25">
      <c r="A6725" s="2">
        <v>21.657225851490001</v>
      </c>
      <c r="B6725" s="3">
        <v>-1.23290631790915</v>
      </c>
      <c r="C6725" s="5">
        <v>7.5380186049058304E-6</v>
      </c>
      <c r="D6725" s="6">
        <v>3.7535625430166301E-5</v>
      </c>
      <c r="E6725" s="3" t="s">
        <v>6131</v>
      </c>
      <c r="F6725" s="3" t="s">
        <v>6132</v>
      </c>
      <c r="G6725" s="3">
        <v>73680</v>
      </c>
      <c r="H6725" s="7" t="str">
        <f>HYPERLINK("http://www.ensembl.org/Mus_musculus/Gene/Summary?db=core;g=ENSMUSG00000028807","ENSMUSG00000028807")</f>
        <v>ENSMUSG00000028807</v>
      </c>
      <c r="I6725" s="7" t="str">
        <f>HYPERLINK("http://www.informatics.jax.org/marker/MGI:1920930","MGI:1920930")</f>
        <v>MGI:1920930</v>
      </c>
      <c r="J6725" s="4" t="s">
        <v>12</v>
      </c>
    </row>
    <row r="6726" spans="1:10" x14ac:dyDescent="0.25">
      <c r="A6726" s="2">
        <v>1.2926463339011001</v>
      </c>
      <c r="B6726" s="3">
        <v>-1.2334232879899301</v>
      </c>
      <c r="C6726" s="3">
        <v>7.4142109341809497E-3</v>
      </c>
      <c r="D6726" s="4">
        <v>2.14823520310728E-2</v>
      </c>
      <c r="E6726" s="3" t="s">
        <v>12949</v>
      </c>
      <c r="F6726" s="3" t="s">
        <v>12950</v>
      </c>
      <c r="G6726" s="3" t="s">
        <v>83</v>
      </c>
      <c r="H6726" s="7" t="str">
        <f>HYPERLINK("http://www.ensembl.org/Mus_musculus/Gene/Summary?db=core;g=ENSMUSG00000101309","ENSMUSG00000101309")</f>
        <v>ENSMUSG00000101309</v>
      </c>
      <c r="I6726" s="7" t="str">
        <f>HYPERLINK("http://www.informatics.jax.org/marker/MGI:5580103","MGI:5580103")</f>
        <v>MGI:5580103</v>
      </c>
      <c r="J6726" s="4" t="s">
        <v>1043</v>
      </c>
    </row>
    <row r="6727" spans="1:10" x14ac:dyDescent="0.25">
      <c r="A6727" s="2">
        <v>44.417737167418601</v>
      </c>
      <c r="B6727" s="3">
        <v>-1.23344132076765</v>
      </c>
      <c r="C6727" s="5">
        <v>4.1663485451690397E-11</v>
      </c>
      <c r="D6727" s="6">
        <v>3.6806448005674099E-10</v>
      </c>
      <c r="E6727" s="3" t="s">
        <v>4533</v>
      </c>
      <c r="F6727" s="3" t="s">
        <v>4534</v>
      </c>
      <c r="G6727" s="3">
        <v>70152</v>
      </c>
      <c r="H6727" s="7" t="str">
        <f>HYPERLINK("http://www.ensembl.org/Mus_musculus/Gene/Summary?db=core;g=ENSMUSG00000054619","ENSMUSG00000054619")</f>
        <v>ENSMUSG00000054619</v>
      </c>
      <c r="I6727" s="7" t="str">
        <f>HYPERLINK("http://www.informatics.jax.org/marker/MGI:1916523","MGI:1916523")</f>
        <v>MGI:1916523</v>
      </c>
      <c r="J6727" s="4" t="s">
        <v>12</v>
      </c>
    </row>
    <row r="6728" spans="1:10" x14ac:dyDescent="0.25">
      <c r="A6728" s="2">
        <v>59.280416197695097</v>
      </c>
      <c r="B6728" s="3">
        <v>-1.23598999518191</v>
      </c>
      <c r="C6728" s="5">
        <v>8.6967802363239699E-10</v>
      </c>
      <c r="D6728" s="6">
        <v>6.8083685484108401E-9</v>
      </c>
      <c r="E6728" s="3" t="s">
        <v>4725</v>
      </c>
      <c r="F6728" s="3" t="s">
        <v>4726</v>
      </c>
      <c r="G6728" s="3" t="s">
        <v>83</v>
      </c>
      <c r="H6728" s="7" t="str">
        <f>HYPERLINK("http://www.ensembl.org/Mus_musculus/Gene/Summary?db=core;g=ENSMUSG00000100975","ENSMUSG00000100975")</f>
        <v>ENSMUSG00000100975</v>
      </c>
      <c r="I6728" s="7" t="str">
        <f>HYPERLINK("http://www.informatics.jax.org/marker/MGI:5579581","MGI:5579581")</f>
        <v>MGI:5579581</v>
      </c>
      <c r="J6728" s="4" t="s">
        <v>939</v>
      </c>
    </row>
    <row r="6729" spans="1:10" x14ac:dyDescent="0.25">
      <c r="A6729" s="2">
        <v>198.64627183796799</v>
      </c>
      <c r="B6729" s="3">
        <v>-1.2365810777236901</v>
      </c>
      <c r="C6729" s="5">
        <v>2.77957749641739E-21</v>
      </c>
      <c r="D6729" s="6">
        <v>4.63899266229002E-20</v>
      </c>
      <c r="E6729" s="3" t="s">
        <v>2073</v>
      </c>
      <c r="F6729" s="3" t="s">
        <v>2074</v>
      </c>
      <c r="G6729" s="3">
        <v>108902</v>
      </c>
      <c r="H6729" s="7" t="str">
        <f>HYPERLINK("http://www.ensembl.org/Mus_musculus/Gene/Summary?db=core;g=ENSMUSG00000047379","ENSMUSG00000047379")</f>
        <v>ENSMUSG00000047379</v>
      </c>
      <c r="I6729" s="7" t="str">
        <f>HYPERLINK("http://www.informatics.jax.org/marker/MGI:1919680","MGI:1919680")</f>
        <v>MGI:1919680</v>
      </c>
      <c r="J6729" s="4" t="s">
        <v>12</v>
      </c>
    </row>
    <row r="6730" spans="1:10" x14ac:dyDescent="0.25">
      <c r="A6730" s="2">
        <v>30.370429953148101</v>
      </c>
      <c r="B6730" s="3">
        <v>-1.2416346637017299</v>
      </c>
      <c r="C6730" s="5">
        <v>3.8462055270019702E-8</v>
      </c>
      <c r="D6730" s="6">
        <v>2.5007882886054499E-7</v>
      </c>
      <c r="E6730" s="3" t="s">
        <v>5849</v>
      </c>
      <c r="F6730" s="3" t="s">
        <v>5850</v>
      </c>
      <c r="G6730" s="3">
        <v>66279</v>
      </c>
      <c r="H6730" s="7" t="str">
        <f>HYPERLINK("http://www.ensembl.org/Mus_musculus/Gene/Summary?db=core;g=ENSMUSG00000032121","ENSMUSG00000032121")</f>
        <v>ENSMUSG00000032121</v>
      </c>
      <c r="I6730" s="7" t="str">
        <f>HYPERLINK("http://www.informatics.jax.org/marker/MGI:1913529","MGI:1913529")</f>
        <v>MGI:1913529</v>
      </c>
      <c r="J6730" s="4" t="s">
        <v>12</v>
      </c>
    </row>
    <row r="6731" spans="1:10" x14ac:dyDescent="0.25">
      <c r="A6731" s="2">
        <v>2.0778321018981698</v>
      </c>
      <c r="B6731" s="3">
        <v>-1.2425287598697901</v>
      </c>
      <c r="C6731" s="3">
        <v>8.1949764625724193E-3</v>
      </c>
      <c r="D6731" s="4">
        <v>2.3475863884058801E-2</v>
      </c>
      <c r="E6731" s="3" t="s">
        <v>12317</v>
      </c>
      <c r="F6731" s="3" t="s">
        <v>12318</v>
      </c>
      <c r="G6731" s="3" t="s">
        <v>83</v>
      </c>
      <c r="H6731" s="7" t="str">
        <f>HYPERLINK("http://www.ensembl.org/Mus_musculus/Gene/Summary?db=core;g=ENSMUSG00000087612","ENSMUSG00000087612")</f>
        <v>ENSMUSG00000087612</v>
      </c>
      <c r="I6731" s="7" t="str">
        <f>HYPERLINK("http://www.informatics.jax.org/marker/MGI:3603401","MGI:3603401")</f>
        <v>MGI:3603401</v>
      </c>
      <c r="J6731" s="4" t="s">
        <v>932</v>
      </c>
    </row>
    <row r="6732" spans="1:10" x14ac:dyDescent="0.25">
      <c r="A6732" s="2">
        <v>10.859669130633099</v>
      </c>
      <c r="B6732" s="3">
        <v>-1.2438769576206801</v>
      </c>
      <c r="C6732" s="3">
        <v>2.4444183248977002E-4</v>
      </c>
      <c r="D6732" s="4">
        <v>9.5456447335034598E-4</v>
      </c>
      <c r="E6732" s="3" t="s">
        <v>8933</v>
      </c>
      <c r="F6732" s="3" t="s">
        <v>8934</v>
      </c>
      <c r="G6732" s="3" t="s">
        <v>83</v>
      </c>
      <c r="H6732" s="7" t="str">
        <f>HYPERLINK("http://www.ensembl.org/Mus_musculus/Gene/Summary?db=core;g=ENSMUSG00000056735","ENSMUSG00000056735")</f>
        <v>ENSMUSG00000056735</v>
      </c>
      <c r="I6732" s="7" t="str">
        <f>HYPERLINK("http://www.informatics.jax.org/marker/MGI:1924414","MGI:1924414")</f>
        <v>MGI:1924414</v>
      </c>
      <c r="J6732" s="4" t="s">
        <v>932</v>
      </c>
    </row>
    <row r="6733" spans="1:10" x14ac:dyDescent="0.25">
      <c r="A6733" s="2">
        <v>17.841278099886701</v>
      </c>
      <c r="B6733" s="3">
        <v>-1.2443367532767899</v>
      </c>
      <c r="C6733" s="5">
        <v>8.8535190284767102E-6</v>
      </c>
      <c r="D6733" s="6">
        <v>4.3644951120905597E-5</v>
      </c>
      <c r="E6733" s="3" t="s">
        <v>5929</v>
      </c>
      <c r="F6733" s="3" t="s">
        <v>5930</v>
      </c>
      <c r="G6733" s="3">
        <v>244556</v>
      </c>
      <c r="H6733" s="7" t="str">
        <f>HYPERLINK("http://www.ensembl.org/Mus_musculus/Gene/Summary?db=core;g=ENSMUSG00000074194","ENSMUSG00000074194")</f>
        <v>ENSMUSG00000074194</v>
      </c>
      <c r="I6733" s="7" t="str">
        <f>HYPERLINK("http://www.informatics.jax.org/marker/MGI:3648473","MGI:3648473")</f>
        <v>MGI:3648473</v>
      </c>
      <c r="J6733" s="4" t="s">
        <v>12</v>
      </c>
    </row>
    <row r="6734" spans="1:10" x14ac:dyDescent="0.25">
      <c r="A6734" s="2">
        <v>80.823837716689596</v>
      </c>
      <c r="B6734" s="3">
        <v>-1.2449961631597499</v>
      </c>
      <c r="C6734" s="5">
        <v>1.9270602452740499E-13</v>
      </c>
      <c r="D6734" s="6">
        <v>2.0574500861229999E-12</v>
      </c>
      <c r="E6734" s="3" t="s">
        <v>7636</v>
      </c>
      <c r="F6734" s="3" t="s">
        <v>7637</v>
      </c>
      <c r="G6734" s="3" t="s">
        <v>83</v>
      </c>
      <c r="H6734" s="7" t="str">
        <f>HYPERLINK("http://www.ensembl.org/Mus_musculus/Gene/Summary?db=core;g=ENSMUSG00000056145","ENSMUSG00000056145")</f>
        <v>ENSMUSG00000056145</v>
      </c>
      <c r="I6734" s="7" t="str">
        <f>HYPERLINK("http://www.informatics.jax.org/marker/MGI:2139742","MGI:2139742")</f>
        <v>MGI:2139742</v>
      </c>
      <c r="J6734" s="4" t="s">
        <v>939</v>
      </c>
    </row>
    <row r="6735" spans="1:10" x14ac:dyDescent="0.25">
      <c r="A6735" s="2">
        <v>196.55955069555199</v>
      </c>
      <c r="B6735" s="3">
        <v>-1.24514252110727</v>
      </c>
      <c r="C6735" s="5">
        <v>4.48783943129522E-27</v>
      </c>
      <c r="D6735" s="6">
        <v>9.7719084391105604E-26</v>
      </c>
      <c r="E6735" s="3" t="s">
        <v>2377</v>
      </c>
      <c r="F6735" s="3" t="s">
        <v>2378</v>
      </c>
      <c r="G6735" s="3">
        <v>26427</v>
      </c>
      <c r="H6735" s="7" t="str">
        <f>HYPERLINK("http://www.ensembl.org/Mus_musculus/Gene/Summary?db=core;g=ENSMUSG00000027230","ENSMUSG00000027230")</f>
        <v>ENSMUSG00000027230</v>
      </c>
      <c r="I6735" s="7" t="str">
        <f>HYPERLINK("http://www.informatics.jax.org/marker/MGI:1347062","MGI:1347062")</f>
        <v>MGI:1347062</v>
      </c>
      <c r="J6735" s="4" t="s">
        <v>12</v>
      </c>
    </row>
    <row r="6736" spans="1:10" x14ac:dyDescent="0.25">
      <c r="A6736" s="2">
        <v>218.13608489004201</v>
      </c>
      <c r="B6736" s="3">
        <v>-1.24533031114805</v>
      </c>
      <c r="C6736" s="5">
        <v>4.1231079186904101E-25</v>
      </c>
      <c r="D6736" s="6">
        <v>8.2484787945260896E-24</v>
      </c>
      <c r="E6736" s="3" t="s">
        <v>1220</v>
      </c>
      <c r="F6736" s="3" t="s">
        <v>1221</v>
      </c>
      <c r="G6736" s="3">
        <v>67393</v>
      </c>
      <c r="H6736" s="7" t="str">
        <f>HYPERLINK("http://www.ensembl.org/Mus_musculus/Gene/Summary?db=core;g=ENSMUSG00000046668","ENSMUSG00000046668")</f>
        <v>ENSMUSG00000046668</v>
      </c>
      <c r="I6736" s="7" t="str">
        <f>HYPERLINK("http://www.informatics.jax.org/marker/MGI:1914643","MGI:1914643")</f>
        <v>MGI:1914643</v>
      </c>
      <c r="J6736" s="4" t="s">
        <v>12</v>
      </c>
    </row>
    <row r="6737" spans="1:10" x14ac:dyDescent="0.25">
      <c r="A6737" s="2">
        <v>7.7544615850231002</v>
      </c>
      <c r="B6737" s="3">
        <v>-1.24608313380534</v>
      </c>
      <c r="C6737" s="3">
        <v>7.64323615552332E-4</v>
      </c>
      <c r="D6737" s="4">
        <v>2.74208619949631E-3</v>
      </c>
      <c r="E6737" s="3" t="s">
        <v>10812</v>
      </c>
      <c r="F6737" s="3" t="s">
        <v>10813</v>
      </c>
      <c r="G6737" s="3" t="s">
        <v>83</v>
      </c>
      <c r="H6737" s="7" t="str">
        <f>HYPERLINK("http://www.ensembl.org/Mus_musculus/Gene/Summary?db=core;g=ENSMUSG00000087200","ENSMUSG00000087200")</f>
        <v>ENSMUSG00000087200</v>
      </c>
      <c r="I6737" s="7" t="str">
        <f>HYPERLINK("http://www.informatics.jax.org/marker/MGI:3651133","MGI:3651133")</f>
        <v>MGI:3651133</v>
      </c>
      <c r="J6737" s="4" t="s">
        <v>3187</v>
      </c>
    </row>
    <row r="6738" spans="1:10" x14ac:dyDescent="0.25">
      <c r="A6738" s="2">
        <v>289.06011160368701</v>
      </c>
      <c r="B6738" s="3">
        <v>-1.25114083226913</v>
      </c>
      <c r="C6738" s="5">
        <v>3.7748652311835099E-28</v>
      </c>
      <c r="D6738" s="6">
        <v>8.6755257047061003E-27</v>
      </c>
      <c r="E6738" s="3" t="s">
        <v>1792</v>
      </c>
      <c r="F6738" s="3" t="s">
        <v>1793</v>
      </c>
      <c r="G6738" s="3">
        <v>21425</v>
      </c>
      <c r="H6738" s="7" t="str">
        <f>HYPERLINK("http://www.ensembl.org/Mus_musculus/Gene/Summary?db=core;g=ENSMUSG00000023990","ENSMUSG00000023990")</f>
        <v>ENSMUSG00000023990</v>
      </c>
      <c r="I6738" s="7" t="str">
        <f>HYPERLINK("http://www.informatics.jax.org/marker/MGI:103270","MGI:103270")</f>
        <v>MGI:103270</v>
      </c>
      <c r="J6738" s="4" t="s">
        <v>12</v>
      </c>
    </row>
    <row r="6739" spans="1:10" x14ac:dyDescent="0.25">
      <c r="A6739" s="2">
        <v>238.172891318534</v>
      </c>
      <c r="B6739" s="3">
        <v>-1.25125593142978</v>
      </c>
      <c r="C6739" s="5">
        <v>2.7855336752272502E-41</v>
      </c>
      <c r="D6739" s="6">
        <v>1.0112818970322E-39</v>
      </c>
      <c r="E6739" s="3" t="s">
        <v>979</v>
      </c>
      <c r="F6739" s="3" t="s">
        <v>980</v>
      </c>
      <c r="G6739" s="3">
        <v>216190</v>
      </c>
      <c r="H6739" s="7" t="str">
        <f>HYPERLINK("http://www.ensembl.org/Mus_musculus/Gene/Summary?db=core;g=ENSMUSG00000020263","ENSMUSG00000020263")</f>
        <v>ENSMUSG00000020263</v>
      </c>
      <c r="I6739" s="7" t="str">
        <f>HYPERLINK("http://www.informatics.jax.org/marker/MGI:2384914","MGI:2384914")</f>
        <v>MGI:2384914</v>
      </c>
      <c r="J6739" s="4" t="s">
        <v>12</v>
      </c>
    </row>
    <row r="6740" spans="1:10" x14ac:dyDescent="0.25">
      <c r="A6740" s="2">
        <v>10.938623493082099</v>
      </c>
      <c r="B6740" s="3">
        <v>-1.25190303759914</v>
      </c>
      <c r="C6740" s="3">
        <v>3.60280864773351E-4</v>
      </c>
      <c r="D6740" s="4">
        <v>1.3670869790744001E-3</v>
      </c>
      <c r="E6740" s="3" t="s">
        <v>8027</v>
      </c>
      <c r="F6740" s="3" t="s">
        <v>8028</v>
      </c>
      <c r="G6740" s="3">
        <v>353211</v>
      </c>
      <c r="H6740" s="7" t="str">
        <f>HYPERLINK("http://www.ensembl.org/Mus_musculus/Gene/Summary?db=core;g=ENSMUSG00000039126","ENSMUSG00000039126")</f>
        <v>ENSMUSG00000039126</v>
      </c>
      <c r="I6740" s="7" t="str">
        <f>HYPERLINK("http://www.informatics.jax.org/marker/MGI:1925004","MGI:1925004")</f>
        <v>MGI:1925004</v>
      </c>
      <c r="J6740" s="4" t="s">
        <v>12</v>
      </c>
    </row>
    <row r="6741" spans="1:10" x14ac:dyDescent="0.25">
      <c r="A6741" s="2">
        <v>37.030013383157701</v>
      </c>
      <c r="B6741" s="3">
        <v>-1.2522674390444799</v>
      </c>
      <c r="C6741" s="5">
        <v>2.8323827201430101E-7</v>
      </c>
      <c r="D6741" s="6">
        <v>1.68693382596753E-6</v>
      </c>
      <c r="E6741" s="3" t="s">
        <v>6848</v>
      </c>
      <c r="F6741" s="3" t="s">
        <v>6849</v>
      </c>
      <c r="G6741" s="3">
        <v>233071</v>
      </c>
      <c r="H6741" s="7" t="str">
        <f>HYPERLINK("http://www.ensembl.org/Mus_musculus/Gene/Summary?db=core;g=ENSMUSG00000036882","ENSMUSG00000036882")</f>
        <v>ENSMUSG00000036882</v>
      </c>
      <c r="I6741" s="7" t="str">
        <f>HYPERLINK("http://www.informatics.jax.org/marker/MGI:2673998","MGI:2673998")</f>
        <v>MGI:2673998</v>
      </c>
      <c r="J6741" s="4" t="s">
        <v>12</v>
      </c>
    </row>
    <row r="6742" spans="1:10" x14ac:dyDescent="0.25">
      <c r="A6742" s="2">
        <v>173.97270065511901</v>
      </c>
      <c r="B6742" s="3">
        <v>-1.2523027850364199</v>
      </c>
      <c r="C6742" s="5">
        <v>8.3271274693143203E-17</v>
      </c>
      <c r="D6742" s="6">
        <v>1.0973383812599699E-15</v>
      </c>
      <c r="E6742" s="3" t="s">
        <v>3826</v>
      </c>
      <c r="F6742" s="3" t="s">
        <v>3827</v>
      </c>
      <c r="G6742" s="3">
        <v>107449</v>
      </c>
      <c r="H6742" s="7" t="str">
        <f>HYPERLINK("http://www.ensembl.org/Mus_musculus/Gene/Summary?db=core;g=ENSMUSG00000020099","ENSMUSG00000020099")</f>
        <v>ENSMUSG00000020099</v>
      </c>
      <c r="I6742" s="7" t="str">
        <f>HYPERLINK("http://www.informatics.jax.org/marker/MGI:894703","MGI:894703")</f>
        <v>MGI:894703</v>
      </c>
      <c r="J6742" s="4" t="s">
        <v>12</v>
      </c>
    </row>
    <row r="6743" spans="1:10" x14ac:dyDescent="0.25">
      <c r="A6743" s="2">
        <v>517.87797324897497</v>
      </c>
      <c r="B6743" s="3">
        <v>-1.2529432944289001</v>
      </c>
      <c r="C6743" s="5">
        <v>1.8599549359748801E-30</v>
      </c>
      <c r="D6743" s="6">
        <v>4.6819998215665999E-29</v>
      </c>
      <c r="E6743" s="3" t="s">
        <v>1674</v>
      </c>
      <c r="F6743" s="3" t="s">
        <v>1675</v>
      </c>
      <c r="G6743" s="3">
        <v>76108</v>
      </c>
      <c r="H6743" s="7" t="str">
        <f>HYPERLINK("http://www.ensembl.org/Mus_musculus/Gene/Summary?db=core;g=ENSMUSG00000051615","ENSMUSG00000051615")</f>
        <v>ENSMUSG00000051615</v>
      </c>
      <c r="I6743" s="7" t="str">
        <f>HYPERLINK("http://www.informatics.jax.org/marker/MGI:97855","MGI:97855")</f>
        <v>MGI:97855</v>
      </c>
      <c r="J6743" s="4" t="s">
        <v>12</v>
      </c>
    </row>
    <row r="6744" spans="1:10" x14ac:dyDescent="0.25">
      <c r="A6744" s="2">
        <v>6.5842535169671503</v>
      </c>
      <c r="B6744" s="3">
        <v>-1.2543515562530401</v>
      </c>
      <c r="C6744" s="3">
        <v>1.9978970662288299E-3</v>
      </c>
      <c r="D6744" s="4">
        <v>6.6178978611451302E-3</v>
      </c>
      <c r="E6744" s="3" t="s">
        <v>12013</v>
      </c>
      <c r="F6744" s="3" t="s">
        <v>12014</v>
      </c>
      <c r="G6744" s="3" t="s">
        <v>83</v>
      </c>
      <c r="H6744" s="7" t="str">
        <f>HYPERLINK("http://www.ensembl.org/Mus_musculus/Gene/Summary?db=core;g=ENSMUSG00000085213","ENSMUSG00000085213")</f>
        <v>ENSMUSG00000085213</v>
      </c>
      <c r="I6744" s="7" t="str">
        <f>HYPERLINK("http://www.informatics.jax.org/marker/MGI:3649653","MGI:3649653")</f>
        <v>MGI:3649653</v>
      </c>
      <c r="J6744" s="4" t="s">
        <v>932</v>
      </c>
    </row>
    <row r="6745" spans="1:10" x14ac:dyDescent="0.25">
      <c r="A6745" s="2">
        <v>65.368962395515695</v>
      </c>
      <c r="B6745" s="3">
        <v>-1.2569045093026601</v>
      </c>
      <c r="C6745" s="5">
        <v>4.3802076595190599E-9</v>
      </c>
      <c r="D6745" s="6">
        <v>3.1829858291361601E-8</v>
      </c>
      <c r="E6745" s="3" t="s">
        <v>8493</v>
      </c>
      <c r="F6745" s="3" t="s">
        <v>8494</v>
      </c>
      <c r="G6745" s="3">
        <v>17312</v>
      </c>
      <c r="H6745" s="7" t="str">
        <f>HYPERLINK("http://www.ensembl.org/Mus_musculus/Gene/Summary?db=core;g=ENSMUSG00000000318","ENSMUSG00000000318")</f>
        <v>ENSMUSG00000000318</v>
      </c>
      <c r="I6745" s="7" t="str">
        <f>HYPERLINK("http://www.informatics.jax.org/marker/MGI:96975","MGI:96975")</f>
        <v>MGI:96975</v>
      </c>
      <c r="J6745" s="4" t="s">
        <v>12</v>
      </c>
    </row>
    <row r="6746" spans="1:10" x14ac:dyDescent="0.25">
      <c r="A6746" s="2">
        <v>2334.3396023608602</v>
      </c>
      <c r="B6746" s="3">
        <v>-1.25857658466679</v>
      </c>
      <c r="C6746" s="5">
        <v>8.3548045959802295E-24</v>
      </c>
      <c r="D6746" s="6">
        <v>1.57788926177969E-22</v>
      </c>
      <c r="E6746" s="3" t="s">
        <v>1272</v>
      </c>
      <c r="F6746" s="3" t="s">
        <v>1273</v>
      </c>
      <c r="G6746" s="3">
        <v>20181</v>
      </c>
      <c r="H6746" s="7" t="str">
        <f>HYPERLINK("http://www.ensembl.org/Mus_musculus/Gene/Summary?db=core;g=ENSMUSG00000015846","ENSMUSG00000015846")</f>
        <v>ENSMUSG00000015846</v>
      </c>
      <c r="I6746" s="7" t="str">
        <f>HYPERLINK("http://www.informatics.jax.org/marker/MGI:98214","MGI:98214")</f>
        <v>MGI:98214</v>
      </c>
      <c r="J6746" s="4" t="s">
        <v>12</v>
      </c>
    </row>
    <row r="6747" spans="1:10" x14ac:dyDescent="0.25">
      <c r="A6747" s="2">
        <v>227.117807015327</v>
      </c>
      <c r="B6747" s="3">
        <v>-1.2606262988478401</v>
      </c>
      <c r="C6747" s="5">
        <v>1.28678173451293E-25</v>
      </c>
      <c r="D6747" s="6">
        <v>2.6439230114428501E-24</v>
      </c>
      <c r="E6747" s="3" t="s">
        <v>1688</v>
      </c>
      <c r="F6747" s="3" t="s">
        <v>1689</v>
      </c>
      <c r="G6747" s="3">
        <v>70155</v>
      </c>
      <c r="H6747" s="7" t="str">
        <f>HYPERLINK("http://www.ensembl.org/Mus_musculus/Gene/Summary?db=core;g=ENSMUSG00000026158","ENSMUSG00000026158")</f>
        <v>ENSMUSG00000026158</v>
      </c>
      <c r="I6747" s="7" t="str">
        <f>HYPERLINK("http://www.informatics.jax.org/marker/MGI:1917405","MGI:1917405")</f>
        <v>MGI:1917405</v>
      </c>
      <c r="J6747" s="4" t="s">
        <v>12</v>
      </c>
    </row>
    <row r="6748" spans="1:10" x14ac:dyDescent="0.25">
      <c r="A6748" s="2">
        <v>15.239581170566799</v>
      </c>
      <c r="B6748" s="3">
        <v>-1.2619558238830799</v>
      </c>
      <c r="C6748" s="5">
        <v>1.8842647835819901E-5</v>
      </c>
      <c r="D6748" s="6">
        <v>8.8467229958587198E-5</v>
      </c>
      <c r="E6748" s="3" t="s">
        <v>9353</v>
      </c>
      <c r="F6748" s="3" t="s">
        <v>9354</v>
      </c>
      <c r="G6748" s="3">
        <v>240055</v>
      </c>
      <c r="H6748" s="7" t="str">
        <f>HYPERLINK("http://www.ensembl.org/Mus_musculus/Gene/Summary?db=core;g=ENSMUSG00000034413","ENSMUSG00000034413")</f>
        <v>ENSMUSG00000034413</v>
      </c>
      <c r="I6748" s="7" t="str">
        <f>HYPERLINK("http://www.informatics.jax.org/marker/MGI:3643092","MGI:3643092")</f>
        <v>MGI:3643092</v>
      </c>
      <c r="J6748" s="4" t="s">
        <v>12</v>
      </c>
    </row>
    <row r="6749" spans="1:10" x14ac:dyDescent="0.25">
      <c r="A6749" s="2">
        <v>890.10720233731001</v>
      </c>
      <c r="B6749" s="3">
        <v>-1.2647077260611499</v>
      </c>
      <c r="C6749" s="5">
        <v>2.8694997494183899E-33</v>
      </c>
      <c r="D6749" s="6">
        <v>7.9599136884551295E-32</v>
      </c>
      <c r="E6749" s="3" t="s">
        <v>2001</v>
      </c>
      <c r="F6749" s="3" t="s">
        <v>2002</v>
      </c>
      <c r="G6749" s="3">
        <v>30838</v>
      </c>
      <c r="H6749" s="7" t="str">
        <f>HYPERLINK("http://www.ensembl.org/Mus_musculus/Gene/Summary?db=core;g=ENSMUSG00000040913","ENSMUSG00000040913")</f>
        <v>ENSMUSG00000040913</v>
      </c>
      <c r="I6749" s="7" t="str">
        <f>HYPERLINK("http://www.informatics.jax.org/marker/MGI:1354698","MGI:1354698")</f>
        <v>MGI:1354698</v>
      </c>
      <c r="J6749" s="4" t="s">
        <v>12</v>
      </c>
    </row>
    <row r="6750" spans="1:10" x14ac:dyDescent="0.25">
      <c r="A6750" s="2">
        <v>7.5751817274839199</v>
      </c>
      <c r="B6750" s="3">
        <v>-1.26576254599323</v>
      </c>
      <c r="C6750" s="3">
        <v>6.1405564021836396E-4</v>
      </c>
      <c r="D6750" s="4">
        <v>2.2476730353443801E-3</v>
      </c>
      <c r="E6750" s="3" t="s">
        <v>7504</v>
      </c>
      <c r="F6750" s="3" t="s">
        <v>7505</v>
      </c>
      <c r="G6750" s="3">
        <v>93840</v>
      </c>
      <c r="H6750" s="7" t="str">
        <f>HYPERLINK("http://www.ensembl.org/Mus_musculus/Gene/Summary?db=core;g=ENSMUSG00000026556","ENSMUSG00000026556")</f>
        <v>ENSMUSG00000026556</v>
      </c>
      <c r="I6750" s="7" t="str">
        <f>HYPERLINK("http://www.informatics.jax.org/marker/MGI:2135272","MGI:2135272")</f>
        <v>MGI:2135272</v>
      </c>
      <c r="J6750" s="4" t="s">
        <v>12</v>
      </c>
    </row>
    <row r="6751" spans="1:10" x14ac:dyDescent="0.25">
      <c r="A6751" s="2">
        <v>159.45247305854301</v>
      </c>
      <c r="B6751" s="3">
        <v>-1.26674465104199</v>
      </c>
      <c r="C6751" s="5">
        <v>2.3139707451776702E-27</v>
      </c>
      <c r="D6751" s="6">
        <v>5.1241940256212601E-26</v>
      </c>
      <c r="E6751" s="3" t="s">
        <v>1692</v>
      </c>
      <c r="F6751" s="3" t="s">
        <v>1693</v>
      </c>
      <c r="G6751" s="3">
        <v>74114</v>
      </c>
      <c r="H6751" s="7" t="str">
        <f>HYPERLINK("http://www.ensembl.org/Mus_musculus/Gene/Summary?db=core;g=ENSMUSG00000003623","ENSMUSG00000003623")</f>
        <v>ENSMUSG00000003623</v>
      </c>
      <c r="I6751" s="7" t="str">
        <f>HYPERLINK("http://www.informatics.jax.org/marker/MGI:1921364","MGI:1921364")</f>
        <v>MGI:1921364</v>
      </c>
      <c r="J6751" s="4" t="s">
        <v>12</v>
      </c>
    </row>
    <row r="6752" spans="1:10" x14ac:dyDescent="0.25">
      <c r="A6752" s="2">
        <v>65.983444525910798</v>
      </c>
      <c r="B6752" s="3">
        <v>-1.2716065571661701</v>
      </c>
      <c r="C6752" s="5">
        <v>2.0225146349279902E-9</v>
      </c>
      <c r="D6752" s="6">
        <v>1.5168859761959899E-8</v>
      </c>
      <c r="E6752" s="3" t="s">
        <v>7714</v>
      </c>
      <c r="F6752" s="3" t="s">
        <v>7715</v>
      </c>
      <c r="G6752" s="3" t="s">
        <v>83</v>
      </c>
      <c r="H6752" s="7" t="str">
        <f>HYPERLINK("http://www.ensembl.org/Mus_musculus/Gene/Summary?db=core;g=ENSMUSG00000114432","ENSMUSG00000114432")</f>
        <v>ENSMUSG00000114432</v>
      </c>
      <c r="I6752" s="7" t="str">
        <f>HYPERLINK("http://www.informatics.jax.org/marker/MGI:6121619","MGI:6121619")</f>
        <v>MGI:6121619</v>
      </c>
      <c r="J6752" s="4" t="s">
        <v>12</v>
      </c>
    </row>
    <row r="6753" spans="1:10" x14ac:dyDescent="0.25">
      <c r="A6753" s="2">
        <v>765.17861268370496</v>
      </c>
      <c r="B6753" s="3">
        <v>-1.2717104282740499</v>
      </c>
      <c r="C6753" s="5">
        <v>8.7702854203594595E-30</v>
      </c>
      <c r="D6753" s="6">
        <v>2.1426065923063202E-28</v>
      </c>
      <c r="E6753" s="3" t="s">
        <v>1001</v>
      </c>
      <c r="F6753" s="3" t="s">
        <v>1002</v>
      </c>
      <c r="G6753" s="3">
        <v>170753</v>
      </c>
      <c r="H6753" s="7" t="str">
        <f>HYPERLINK("http://www.ensembl.org/Mus_musculus/Gene/Summary?db=core;g=ENSMUSG00000040209","ENSMUSG00000040209")</f>
        <v>ENSMUSG00000040209</v>
      </c>
      <c r="I6753" s="7" t="str">
        <f>HYPERLINK("http://www.informatics.jax.org/marker/MGI:2180715","MGI:2180715")</f>
        <v>MGI:2180715</v>
      </c>
      <c r="J6753" s="4" t="s">
        <v>12</v>
      </c>
    </row>
    <row r="6754" spans="1:10" x14ac:dyDescent="0.25">
      <c r="A6754" s="2">
        <v>179.50152031768201</v>
      </c>
      <c r="B6754" s="3">
        <v>-1.2719324266854799</v>
      </c>
      <c r="C6754" s="5">
        <v>3.8429324078764102E-28</v>
      </c>
      <c r="D6754" s="6">
        <v>8.8208366666936607E-27</v>
      </c>
      <c r="E6754" s="3" t="s">
        <v>1158</v>
      </c>
      <c r="F6754" s="3" t="s">
        <v>1159</v>
      </c>
      <c r="G6754" s="3">
        <v>229715</v>
      </c>
      <c r="H6754" s="7" t="str">
        <f>HYPERLINK("http://www.ensembl.org/Mus_musculus/Gene/Summary?db=core;g=ENSMUSG00000050947","ENSMUSG00000050947")</f>
        <v>ENSMUSG00000050947</v>
      </c>
      <c r="I6754" s="7" t="str">
        <f>HYPERLINK("http://www.informatics.jax.org/marker/MGI:2653612","MGI:2653612")</f>
        <v>MGI:2653612</v>
      </c>
      <c r="J6754" s="4" t="s">
        <v>12</v>
      </c>
    </row>
    <row r="6755" spans="1:10" x14ac:dyDescent="0.25">
      <c r="A6755" s="2">
        <v>44.3807311067985</v>
      </c>
      <c r="B6755" s="3">
        <v>-1.2726669398707999</v>
      </c>
      <c r="C6755" s="5">
        <v>5.9514904856006497E-11</v>
      </c>
      <c r="D6755" s="6">
        <v>5.1972167752789503E-10</v>
      </c>
      <c r="E6755" s="3" t="s">
        <v>6519</v>
      </c>
      <c r="F6755" s="3" t="s">
        <v>6520</v>
      </c>
      <c r="G6755" s="3">
        <v>230909</v>
      </c>
      <c r="H6755" s="7" t="str">
        <f>HYPERLINK("http://www.ensembl.org/Mus_musculus/Gene/Summary?db=core;g=ENSMUSG00000070577","ENSMUSG00000070577")</f>
        <v>ENSMUSG00000070577</v>
      </c>
      <c r="I6755" s="7" t="str">
        <f>HYPERLINK("http://www.informatics.jax.org/marker/MGI:2685418","MGI:2685418")</f>
        <v>MGI:2685418</v>
      </c>
      <c r="J6755" s="4" t="s">
        <v>12</v>
      </c>
    </row>
    <row r="6756" spans="1:10" x14ac:dyDescent="0.25">
      <c r="A6756" s="2">
        <v>25.880951636398901</v>
      </c>
      <c r="B6756" s="3">
        <v>-1.27359130533175</v>
      </c>
      <c r="C6756" s="5">
        <v>3.4239734695185101E-8</v>
      </c>
      <c r="D6756" s="6">
        <v>2.2462892902078799E-7</v>
      </c>
      <c r="E6756" s="3" t="s">
        <v>5615</v>
      </c>
      <c r="F6756" s="3" t="s">
        <v>5616</v>
      </c>
      <c r="G6756" s="3">
        <v>382018</v>
      </c>
      <c r="H6756" s="7" t="str">
        <f>HYPERLINK("http://www.ensembl.org/Mus_musculus/Gene/Summary?db=core;g=ENSMUSG00000034799","ENSMUSG00000034799")</f>
        <v>ENSMUSG00000034799</v>
      </c>
      <c r="I6756" s="7" t="str">
        <f>HYPERLINK("http://www.informatics.jax.org/marker/MGI:3051532","MGI:3051532")</f>
        <v>MGI:3051532</v>
      </c>
      <c r="J6756" s="4" t="s">
        <v>12</v>
      </c>
    </row>
    <row r="6757" spans="1:10" x14ac:dyDescent="0.25">
      <c r="A6757" s="2">
        <v>34.405747622904101</v>
      </c>
      <c r="B6757" s="3">
        <v>-1.27441882195455</v>
      </c>
      <c r="C6757" s="5">
        <v>3.4973376889608501E-8</v>
      </c>
      <c r="D6757" s="6">
        <v>2.28865276054978E-7</v>
      </c>
      <c r="E6757" s="3" t="s">
        <v>5739</v>
      </c>
      <c r="F6757" s="3" t="s">
        <v>5740</v>
      </c>
      <c r="G6757" s="3">
        <v>15064</v>
      </c>
      <c r="H6757" s="7" t="str">
        <f>HYPERLINK("http://www.ensembl.org/Mus_musculus/Gene/Summary?db=core;g=ENSMUSG00000026471","ENSMUSG00000026471")</f>
        <v>ENSMUSG00000026471</v>
      </c>
      <c r="I6757" s="7" t="str">
        <f>HYPERLINK("http://www.informatics.jax.org/marker/MGI:1195463","MGI:1195463")</f>
        <v>MGI:1195463</v>
      </c>
      <c r="J6757" s="4" t="s">
        <v>12</v>
      </c>
    </row>
    <row r="6758" spans="1:10" x14ac:dyDescent="0.25">
      <c r="A6758" s="2">
        <v>127.801618850084</v>
      </c>
      <c r="B6758" s="3">
        <v>-1.27457894161356</v>
      </c>
      <c r="C6758" s="5">
        <v>3.4645417967504E-20</v>
      </c>
      <c r="D6758" s="6">
        <v>5.4620479451363297E-19</v>
      </c>
      <c r="E6758" s="3" t="s">
        <v>2409</v>
      </c>
      <c r="F6758" s="3" t="s">
        <v>2410</v>
      </c>
      <c r="G6758" s="3">
        <v>20166</v>
      </c>
      <c r="H6758" s="7" t="str">
        <f>HYPERLINK("http://www.ensembl.org/Mus_musculus/Gene/Summary?db=core;g=ENSMUSG00000034930","ENSMUSG00000034930")</f>
        <v>ENSMUSG00000034930</v>
      </c>
      <c r="I6758" s="7" t="str">
        <f>HYPERLINK("http://www.informatics.jax.org/marker/MGI:107371","MGI:107371")</f>
        <v>MGI:107371</v>
      </c>
      <c r="J6758" s="4" t="s">
        <v>12</v>
      </c>
    </row>
    <row r="6759" spans="1:10" x14ac:dyDescent="0.25">
      <c r="A6759" s="2">
        <v>664.96314487924303</v>
      </c>
      <c r="B6759" s="3">
        <v>-1.27940624898392</v>
      </c>
      <c r="C6759" s="5">
        <v>4.0068486123220003E-26</v>
      </c>
      <c r="D6759" s="6">
        <v>8.4421752554414503E-25</v>
      </c>
      <c r="E6759" s="3" t="s">
        <v>2041</v>
      </c>
      <c r="F6759" s="3" t="s">
        <v>2042</v>
      </c>
      <c r="G6759" s="3">
        <v>12192</v>
      </c>
      <c r="H6759" s="7" t="str">
        <f>HYPERLINK("http://www.ensembl.org/Mus_musculus/Gene/Summary?db=core;g=ENSMUSG00000021127","ENSMUSG00000021127")</f>
        <v>ENSMUSG00000021127</v>
      </c>
      <c r="I6759" s="7" t="str">
        <f>HYPERLINK("http://www.informatics.jax.org/marker/MGI:107946","MGI:107946")</f>
        <v>MGI:107946</v>
      </c>
      <c r="J6759" s="4" t="s">
        <v>12</v>
      </c>
    </row>
    <row r="6760" spans="1:10" x14ac:dyDescent="0.25">
      <c r="A6760" s="2">
        <v>405.33506774735298</v>
      </c>
      <c r="B6760" s="3">
        <v>-1.28087559520829</v>
      </c>
      <c r="C6760" s="5">
        <v>1.32388860960048E-33</v>
      </c>
      <c r="D6760" s="6">
        <v>3.7176995238780898E-32</v>
      </c>
      <c r="E6760" s="3" t="s">
        <v>746</v>
      </c>
      <c r="F6760" s="3" t="s">
        <v>747</v>
      </c>
      <c r="G6760" s="3">
        <v>106618</v>
      </c>
      <c r="H6760" s="7" t="str">
        <f>HYPERLINK("http://www.ensembl.org/Mus_musculus/Gene/Summary?db=core;g=ENSMUSG00000073434","ENSMUSG00000073434")</f>
        <v>ENSMUSG00000073434</v>
      </c>
      <c r="I6760" s="7" t="str">
        <f>HYPERLINK("http://www.informatics.jax.org/marker/MGI:1921267","MGI:1921267")</f>
        <v>MGI:1921267</v>
      </c>
      <c r="J6760" s="4" t="s">
        <v>12</v>
      </c>
    </row>
    <row r="6761" spans="1:10" x14ac:dyDescent="0.25">
      <c r="A6761" s="2">
        <v>3.80924140422725</v>
      </c>
      <c r="B6761" s="3">
        <v>-1.28101531960976</v>
      </c>
      <c r="C6761" s="3">
        <v>2.4945784914916398E-3</v>
      </c>
      <c r="D6761" s="4">
        <v>8.0766908878016005E-3</v>
      </c>
      <c r="E6761" s="3" t="s">
        <v>11227</v>
      </c>
      <c r="F6761" s="3" t="s">
        <v>11228</v>
      </c>
      <c r="G6761" s="3">
        <v>13056</v>
      </c>
      <c r="H6761" s="7" t="str">
        <f>HYPERLINK("http://www.ensembl.org/Mus_musculus/Gene/Summary?db=core;g=ENSMUSG00000019590","ENSMUSG00000019590")</f>
        <v>ENSMUSG00000019590</v>
      </c>
      <c r="I6761" s="7" t="str">
        <f>HYPERLINK("http://www.informatics.jax.org/marker/MGI:103253","MGI:103253")</f>
        <v>MGI:103253</v>
      </c>
      <c r="J6761" s="4" t="s">
        <v>12</v>
      </c>
    </row>
    <row r="6762" spans="1:10" x14ac:dyDescent="0.25">
      <c r="A6762" s="2">
        <v>214.206269310126</v>
      </c>
      <c r="B6762" s="3">
        <v>-1.28151440961494</v>
      </c>
      <c r="C6762" s="5">
        <v>3.7565500762295801E-16</v>
      </c>
      <c r="D6762" s="6">
        <v>4.77760817440922E-15</v>
      </c>
      <c r="E6762" s="3" t="s">
        <v>2700</v>
      </c>
      <c r="F6762" s="3" t="s">
        <v>2701</v>
      </c>
      <c r="G6762" s="3">
        <v>17988</v>
      </c>
      <c r="H6762" s="7" t="str">
        <f>HYPERLINK("http://www.ensembl.org/Mus_musculus/Gene/Summary?db=core;g=ENSMUSG00000005125","ENSMUSG00000005125")</f>
        <v>ENSMUSG00000005125</v>
      </c>
      <c r="I6762" s="7" t="str">
        <f>HYPERLINK("http://www.informatics.jax.org/marker/MGI:1341799","MGI:1341799")</f>
        <v>MGI:1341799</v>
      </c>
      <c r="J6762" s="4" t="s">
        <v>12</v>
      </c>
    </row>
    <row r="6763" spans="1:10" x14ac:dyDescent="0.25">
      <c r="A6763" s="2">
        <v>9.6073172926016106</v>
      </c>
      <c r="B6763" s="3">
        <v>-1.2817357812702099</v>
      </c>
      <c r="C6763" s="3">
        <v>2.6259842121117001E-4</v>
      </c>
      <c r="D6763" s="4">
        <v>1.0195688595171599E-3</v>
      </c>
      <c r="E6763" s="3" t="s">
        <v>13903</v>
      </c>
      <c r="F6763" s="3" t="s">
        <v>13904</v>
      </c>
      <c r="G6763" s="3">
        <v>102638882</v>
      </c>
      <c r="H6763" s="7" t="str">
        <f>HYPERLINK("http://www.ensembl.org/Mus_musculus/Gene/Summary?db=core;g=ENSMUSG00000109179","ENSMUSG00000109179")</f>
        <v>ENSMUSG00000109179</v>
      </c>
      <c r="I6763" s="7" t="str">
        <f>HYPERLINK("http://www.informatics.jax.org/marker/MGI:5594498","MGI:5594498")</f>
        <v>MGI:5594498</v>
      </c>
      <c r="J6763" s="4" t="s">
        <v>12</v>
      </c>
    </row>
    <row r="6764" spans="1:10" x14ac:dyDescent="0.25">
      <c r="A6764" s="2">
        <v>1031.5189432908701</v>
      </c>
      <c r="B6764" s="3">
        <v>-1.2852863319865999</v>
      </c>
      <c r="C6764" s="5">
        <v>7.6858253902879406E-67</v>
      </c>
      <c r="D6764" s="6">
        <v>5.4292313076743301E-65</v>
      </c>
      <c r="E6764" s="3" t="s">
        <v>498</v>
      </c>
      <c r="F6764" s="3" t="s">
        <v>499</v>
      </c>
      <c r="G6764" s="3">
        <v>70604</v>
      </c>
      <c r="H6764" s="7" t="str">
        <f>HYPERLINK("http://www.ensembl.org/Mus_musculus/Gene/Summary?db=core;g=ENSMUSG00000074212","ENSMUSG00000074212")</f>
        <v>ENSMUSG00000074212</v>
      </c>
      <c r="I6764" s="7" t="str">
        <f>HYPERLINK("http://www.informatics.jax.org/marker/MGI:1917854","MGI:1917854")</f>
        <v>MGI:1917854</v>
      </c>
      <c r="J6764" s="4" t="s">
        <v>12</v>
      </c>
    </row>
    <row r="6765" spans="1:10" x14ac:dyDescent="0.25">
      <c r="A6765" s="2">
        <v>1278.5354302507201</v>
      </c>
      <c r="B6765" s="3">
        <v>-1.28951600005767</v>
      </c>
      <c r="C6765" s="5">
        <v>7.4248811673789699E-32</v>
      </c>
      <c r="D6765" s="6">
        <v>1.9611370909490098E-30</v>
      </c>
      <c r="E6765" s="3" t="s">
        <v>922</v>
      </c>
      <c r="F6765" s="3" t="s">
        <v>923</v>
      </c>
      <c r="G6765" s="3">
        <v>12606</v>
      </c>
      <c r="H6765" s="7" t="str">
        <f>HYPERLINK("http://www.ensembl.org/Mus_musculus/Gene/Summary?db=core;g=ENSMUSG00000034957","ENSMUSG00000034957")</f>
        <v>ENSMUSG00000034957</v>
      </c>
      <c r="I6765" s="7" t="str">
        <f>HYPERLINK("http://www.informatics.jax.org/marker/MGI:99480","MGI:99480")</f>
        <v>MGI:99480</v>
      </c>
      <c r="J6765" s="4" t="s">
        <v>12</v>
      </c>
    </row>
    <row r="6766" spans="1:10" x14ac:dyDescent="0.25">
      <c r="A6766" s="2">
        <v>23.217294959676099</v>
      </c>
      <c r="B6766" s="3">
        <v>-1.29045851949532</v>
      </c>
      <c r="C6766" s="5">
        <v>5.3347594539917802E-6</v>
      </c>
      <c r="D6766" s="6">
        <v>2.7173278660983901E-5</v>
      </c>
      <c r="E6766" s="3" t="s">
        <v>5919</v>
      </c>
      <c r="F6766" s="3" t="s">
        <v>5920</v>
      </c>
      <c r="G6766" s="3" t="s">
        <v>83</v>
      </c>
      <c r="H6766" s="7" t="str">
        <f>HYPERLINK("http://www.ensembl.org/Mus_musculus/Gene/Summary?db=core;g=ENSMUSG00000104164","ENSMUSG00000104164")</f>
        <v>ENSMUSG00000104164</v>
      </c>
      <c r="I6766" s="7" t="str">
        <f>HYPERLINK("http://www.informatics.jax.org/marker/MGI:5611476","MGI:5611476")</f>
        <v>MGI:5611476</v>
      </c>
      <c r="J6766" s="4" t="s">
        <v>1828</v>
      </c>
    </row>
    <row r="6767" spans="1:10" x14ac:dyDescent="0.25">
      <c r="A6767" s="2">
        <v>1463.37379785895</v>
      </c>
      <c r="B6767" s="3">
        <v>-1.29113279807063</v>
      </c>
      <c r="C6767" s="5">
        <v>4.6183759669814102E-66</v>
      </c>
      <c r="D6767" s="6">
        <v>3.20037650183407E-64</v>
      </c>
      <c r="E6767" s="3" t="s">
        <v>730</v>
      </c>
      <c r="F6767" s="3" t="s">
        <v>731</v>
      </c>
      <c r="G6767" s="3">
        <v>228355</v>
      </c>
      <c r="H6767" s="7" t="str">
        <f>HYPERLINK("http://www.ensembl.org/Mus_musculus/Gene/Summary?db=core;g=ENSMUSG00000040687","ENSMUSG00000040687")</f>
        <v>ENSMUSG00000040687</v>
      </c>
      <c r="I6767" s="7" t="str">
        <f>HYPERLINK("http://www.informatics.jax.org/marker/MGI:2444672","MGI:2444672")</f>
        <v>MGI:2444672</v>
      </c>
      <c r="J6767" s="4" t="s">
        <v>12</v>
      </c>
    </row>
    <row r="6768" spans="1:10" x14ac:dyDescent="0.25">
      <c r="A6768" s="2">
        <v>119.461324704934</v>
      </c>
      <c r="B6768" s="3">
        <v>-1.29481413158992</v>
      </c>
      <c r="C6768" s="5">
        <v>2.9518465807954099E-31</v>
      </c>
      <c r="D6768" s="6">
        <v>7.6092509101833504E-30</v>
      </c>
      <c r="E6768" s="3" t="s">
        <v>1396</v>
      </c>
      <c r="F6768" s="3" t="s">
        <v>1397</v>
      </c>
      <c r="G6768" s="3">
        <v>230603</v>
      </c>
      <c r="H6768" s="7" t="str">
        <f>HYPERLINK("http://www.ensembl.org/Mus_musculus/Gene/Summary?db=core;g=ENSMUSG00000028555","ENSMUSG00000028555")</f>
        <v>ENSMUSG00000028555</v>
      </c>
      <c r="I6768" s="7" t="str">
        <f>HYPERLINK("http://www.informatics.jax.org/marker/MGI:2444350","MGI:2444350")</f>
        <v>MGI:2444350</v>
      </c>
      <c r="J6768" s="4" t="s">
        <v>12</v>
      </c>
    </row>
    <row r="6769" spans="1:10" x14ac:dyDescent="0.25">
      <c r="A6769" s="2">
        <v>191.896418075524</v>
      </c>
      <c r="B6769" s="3">
        <v>-1.2951509000180501</v>
      </c>
      <c r="C6769" s="5">
        <v>8.13278858835773E-34</v>
      </c>
      <c r="D6769" s="6">
        <v>2.3051333129520899E-32</v>
      </c>
      <c r="E6769" s="3" t="s">
        <v>1084</v>
      </c>
      <c r="F6769" s="3" t="s">
        <v>1085</v>
      </c>
      <c r="G6769" s="3">
        <v>97761</v>
      </c>
      <c r="H6769" s="7" t="str">
        <f>HYPERLINK("http://www.ensembl.org/Mus_musculus/Gene/Summary?db=core;g=ENSMUSG00000038351","ENSMUSG00000038351")</f>
        <v>ENSMUSG00000038351</v>
      </c>
      <c r="I6769" s="7" t="str">
        <f>HYPERLINK("http://www.informatics.jax.org/marker/MGI:2144695","MGI:2144695")</f>
        <v>MGI:2144695</v>
      </c>
      <c r="J6769" s="4" t="s">
        <v>12</v>
      </c>
    </row>
    <row r="6770" spans="1:10" x14ac:dyDescent="0.25">
      <c r="A6770" s="2">
        <v>593.07823629187101</v>
      </c>
      <c r="B6770" s="3">
        <v>-1.29524264525513</v>
      </c>
      <c r="C6770" s="5">
        <v>5.5357758946629098E-16</v>
      </c>
      <c r="D6770" s="6">
        <v>6.9531023900917702E-15</v>
      </c>
      <c r="E6770" s="3" t="s">
        <v>6577</v>
      </c>
      <c r="F6770" s="3" t="s">
        <v>6578</v>
      </c>
      <c r="G6770" s="3">
        <v>12894</v>
      </c>
      <c r="H6770" s="7" t="str">
        <f>HYPERLINK("http://www.ensembl.org/Mus_musculus/Gene/Summary?db=core;g=ENSMUSG00000024900","ENSMUSG00000024900")</f>
        <v>ENSMUSG00000024900</v>
      </c>
      <c r="I6770" s="7" t="str">
        <f>HYPERLINK("http://www.informatics.jax.org/marker/MGI:1098296","MGI:1098296")</f>
        <v>MGI:1098296</v>
      </c>
      <c r="J6770" s="4" t="s">
        <v>12</v>
      </c>
    </row>
    <row r="6771" spans="1:10" x14ac:dyDescent="0.25">
      <c r="A6771" s="2">
        <v>24.261914434906501</v>
      </c>
      <c r="B6771" s="3">
        <v>-1.2965111923374</v>
      </c>
      <c r="C6771" s="5">
        <v>2.5013526214268799E-8</v>
      </c>
      <c r="D6771" s="6">
        <v>1.6686365858530401E-7</v>
      </c>
      <c r="E6771" s="3" t="s">
        <v>4325</v>
      </c>
      <c r="F6771" s="3" t="s">
        <v>4326</v>
      </c>
      <c r="G6771" s="3">
        <v>244202</v>
      </c>
      <c r="H6771" s="7" t="str">
        <f>HYPERLINK("http://www.ensembl.org/Mus_musculus/Gene/Summary?db=core;g=ENSMUSG00000049709","ENSMUSG00000049709")</f>
        <v>ENSMUSG00000049709</v>
      </c>
      <c r="I6771" s="7" t="str">
        <f>HYPERLINK("http://www.informatics.jax.org/marker/MGI:2444084","MGI:2444084")</f>
        <v>MGI:2444084</v>
      </c>
      <c r="J6771" s="4" t="s">
        <v>12</v>
      </c>
    </row>
    <row r="6772" spans="1:10" x14ac:dyDescent="0.25">
      <c r="A6772" s="2">
        <v>43.659245378567597</v>
      </c>
      <c r="B6772" s="3">
        <v>-1.2971678087302601</v>
      </c>
      <c r="C6772" s="5">
        <v>8.1558026321443898E-13</v>
      </c>
      <c r="D6772" s="6">
        <v>8.3224805694754495E-12</v>
      </c>
      <c r="E6772" s="3" t="s">
        <v>5071</v>
      </c>
      <c r="F6772" s="3" t="s">
        <v>5072</v>
      </c>
      <c r="G6772" s="3">
        <v>74694</v>
      </c>
      <c r="H6772" s="7" t="str">
        <f>HYPERLINK("http://www.ensembl.org/Mus_musculus/Gene/Summary?db=core;g=ENSMUSG00000052302","ENSMUSG00000052302")</f>
        <v>ENSMUSG00000052302</v>
      </c>
      <c r="I6772" s="7" t="str">
        <f>HYPERLINK("http://www.informatics.jax.org/marker/MGI:1921944","MGI:1921944")</f>
        <v>MGI:1921944</v>
      </c>
      <c r="J6772" s="4" t="s">
        <v>12</v>
      </c>
    </row>
    <row r="6773" spans="1:10" x14ac:dyDescent="0.25">
      <c r="A6773" s="2">
        <v>23.105928570872798</v>
      </c>
      <c r="B6773" s="3">
        <v>-1.2977320652279301</v>
      </c>
      <c r="C6773" s="5">
        <v>4.1849569773226099E-7</v>
      </c>
      <c r="D6773" s="6">
        <v>2.4367680802461498E-6</v>
      </c>
      <c r="E6773" s="3" t="s">
        <v>5191</v>
      </c>
      <c r="F6773" s="3" t="s">
        <v>5192</v>
      </c>
      <c r="G6773" s="3">
        <v>16598</v>
      </c>
      <c r="H6773" s="7" t="str">
        <f>HYPERLINK("http://www.ensembl.org/Mus_musculus/Gene/Summary?db=core;g=ENSMUSG00000055148","ENSMUSG00000055148")</f>
        <v>ENSMUSG00000055148</v>
      </c>
      <c r="I6773" s="7" t="str">
        <f>HYPERLINK("http://www.informatics.jax.org/marker/MGI:1342772","MGI:1342772")</f>
        <v>MGI:1342772</v>
      </c>
      <c r="J6773" s="4" t="s">
        <v>12</v>
      </c>
    </row>
    <row r="6774" spans="1:10" x14ac:dyDescent="0.25">
      <c r="A6774" s="2">
        <v>4.8615485463276498</v>
      </c>
      <c r="B6774" s="3">
        <v>-1.2982270484877201</v>
      </c>
      <c r="C6774" s="3">
        <v>3.3603784916326701E-3</v>
      </c>
      <c r="D6774" s="4">
        <v>1.0535506280751001E-2</v>
      </c>
      <c r="E6774" s="3" t="s">
        <v>10262</v>
      </c>
      <c r="F6774" s="3" t="s">
        <v>10263</v>
      </c>
      <c r="G6774" s="3">
        <v>70737</v>
      </c>
      <c r="H6774" s="7" t="str">
        <f>HYPERLINK("http://www.ensembl.org/Mus_musculus/Gene/Summary?db=core;g=ENSMUSG00000068876","ENSMUSG00000068876")</f>
        <v>ENSMUSG00000068876</v>
      </c>
      <c r="I6774" s="7" t="str">
        <f>HYPERLINK("http://www.informatics.jax.org/marker/MGI:1927237","MGI:1927237")</f>
        <v>MGI:1927237</v>
      </c>
      <c r="J6774" s="4" t="s">
        <v>12</v>
      </c>
    </row>
    <row r="6775" spans="1:10" x14ac:dyDescent="0.25">
      <c r="A6775" s="2">
        <v>834.278693739912</v>
      </c>
      <c r="B6775" s="3">
        <v>-1.3010541140148799</v>
      </c>
      <c r="C6775" s="5">
        <v>1.3088419912691001E-29</v>
      </c>
      <c r="D6775" s="6">
        <v>3.1762510374007201E-28</v>
      </c>
      <c r="E6775" s="3" t="s">
        <v>1782</v>
      </c>
      <c r="F6775" s="3" t="s">
        <v>1783</v>
      </c>
      <c r="G6775" s="3">
        <v>74039</v>
      </c>
      <c r="H6775" s="7" t="str">
        <f>HYPERLINK("http://www.ensembl.org/Mus_musculus/Gene/Summary?db=core;g=ENSMUSG00000058099","ENSMUSG00000058099")</f>
        <v>ENSMUSG00000058099</v>
      </c>
      <c r="I6775" s="7" t="str">
        <f>HYPERLINK("http://www.informatics.jax.org/marker/MGI:1921289","MGI:1921289")</f>
        <v>MGI:1921289</v>
      </c>
      <c r="J6775" s="4" t="s">
        <v>12</v>
      </c>
    </row>
    <row r="6776" spans="1:10" x14ac:dyDescent="0.25">
      <c r="A6776" s="2">
        <v>1160.92314803823</v>
      </c>
      <c r="B6776" s="3">
        <v>-1.3039643657281601</v>
      </c>
      <c r="C6776" s="5">
        <v>3.7524425268320699E-32</v>
      </c>
      <c r="D6776" s="6">
        <v>1.0027604846263099E-30</v>
      </c>
      <c r="E6776" s="3" t="s">
        <v>2211</v>
      </c>
      <c r="F6776" s="3" t="s">
        <v>2212</v>
      </c>
      <c r="G6776" s="3">
        <v>71904</v>
      </c>
      <c r="H6776" s="7" t="str">
        <f>HYPERLINK("http://www.ensembl.org/Mus_musculus/Gene/Summary?db=core;g=ENSMUSG00000037348","ENSMUSG00000037348")</f>
        <v>ENSMUSG00000037348</v>
      </c>
      <c r="I6776" s="7" t="str">
        <f>HYPERLINK("http://www.informatics.jax.org/marker/MGI:1919154","MGI:1919154")</f>
        <v>MGI:1919154</v>
      </c>
      <c r="J6776" s="4" t="s">
        <v>12</v>
      </c>
    </row>
    <row r="6777" spans="1:10" x14ac:dyDescent="0.25">
      <c r="A6777" s="2">
        <v>926.64222353318996</v>
      </c>
      <c r="B6777" s="3">
        <v>-1.3049891393345301</v>
      </c>
      <c r="C6777" s="5">
        <v>5.8364600716584198E-23</v>
      </c>
      <c r="D6777" s="6">
        <v>1.0584028338903E-21</v>
      </c>
      <c r="E6777" s="3" t="s">
        <v>4053</v>
      </c>
      <c r="F6777" s="3" t="s">
        <v>4054</v>
      </c>
      <c r="G6777" s="3">
        <v>56644</v>
      </c>
      <c r="H6777" s="7" t="str">
        <f>HYPERLINK("http://www.ensembl.org/Mus_musculus/Gene/Summary?db=core;g=ENSMUSG00000079293","ENSMUSG00000079293")</f>
        <v>ENSMUSG00000079293</v>
      </c>
      <c r="I6777" s="7" t="str">
        <f>HYPERLINK("http://www.informatics.jax.org/marker/MGI:1861431","MGI:1861431")</f>
        <v>MGI:1861431</v>
      </c>
      <c r="J6777" s="4" t="s">
        <v>976</v>
      </c>
    </row>
    <row r="6778" spans="1:10" x14ac:dyDescent="0.25">
      <c r="A6778" s="2">
        <v>162.46731139778501</v>
      </c>
      <c r="B6778" s="3">
        <v>-1.3123287450085399</v>
      </c>
      <c r="C6778" s="5">
        <v>6.5733971123188596E-22</v>
      </c>
      <c r="D6778" s="6">
        <v>1.1301902110567101E-20</v>
      </c>
      <c r="E6778" s="3" t="s">
        <v>2045</v>
      </c>
      <c r="F6778" s="3" t="s">
        <v>2046</v>
      </c>
      <c r="G6778" s="3">
        <v>74552</v>
      </c>
      <c r="H6778" s="7" t="str">
        <f>HYPERLINK("http://www.ensembl.org/Mus_musculus/Gene/Summary?db=core;g=ENSMUSG00000028803","ENSMUSG00000028803")</f>
        <v>ENSMUSG00000028803</v>
      </c>
      <c r="I6778" s="7" t="str">
        <f>HYPERLINK("http://www.informatics.jax.org/marker/MGI:1921802","MGI:1921802")</f>
        <v>MGI:1921802</v>
      </c>
      <c r="J6778" s="4" t="s">
        <v>12</v>
      </c>
    </row>
    <row r="6779" spans="1:10" x14ac:dyDescent="0.25">
      <c r="A6779" s="2">
        <v>498.98524242289898</v>
      </c>
      <c r="B6779" s="3">
        <v>-1.31293257180559</v>
      </c>
      <c r="C6779" s="5">
        <v>4.4581507509221303E-18</v>
      </c>
      <c r="D6779" s="6">
        <v>6.3426852018388697E-17</v>
      </c>
      <c r="E6779" s="3" t="s">
        <v>3350</v>
      </c>
      <c r="F6779" s="3" t="s">
        <v>3351</v>
      </c>
      <c r="G6779" s="3">
        <v>234396</v>
      </c>
      <c r="H6779" s="7" t="str">
        <f>HYPERLINK("http://www.ensembl.org/Mus_musculus/Gene/Summary?db=core;g=ENSMUSG00000046295","ENSMUSG00000046295")</f>
        <v>ENSMUSG00000046295</v>
      </c>
      <c r="I6779" s="7" t="str">
        <f>HYPERLINK("http://www.informatics.jax.org/marker/MGI:1918775","MGI:1918775")</f>
        <v>MGI:1918775</v>
      </c>
      <c r="J6779" s="4" t="s">
        <v>12</v>
      </c>
    </row>
    <row r="6780" spans="1:10" x14ac:dyDescent="0.25">
      <c r="A6780" s="2">
        <v>350.45910266392502</v>
      </c>
      <c r="B6780" s="3">
        <v>-1.3134978533007999</v>
      </c>
      <c r="C6780" s="5">
        <v>3.1173441814098299E-32</v>
      </c>
      <c r="D6780" s="6">
        <v>8.3549408391461998E-31</v>
      </c>
      <c r="E6780" s="3" t="s">
        <v>1422</v>
      </c>
      <c r="F6780" s="3" t="s">
        <v>1423</v>
      </c>
      <c r="G6780" s="3">
        <v>226409</v>
      </c>
      <c r="H6780" s="7" t="str">
        <f>HYPERLINK("http://www.ensembl.org/Mus_musculus/Gene/Summary?db=core;g=ENSMUSG00000036086","ENSMUSG00000036086")</f>
        <v>ENSMUSG00000036086</v>
      </c>
      <c r="I6780" s="7" t="str">
        <f>HYPERLINK("http://www.informatics.jax.org/marker/MGI:1918362","MGI:1918362")</f>
        <v>MGI:1918362</v>
      </c>
      <c r="J6780" s="4" t="s">
        <v>12</v>
      </c>
    </row>
    <row r="6781" spans="1:10" x14ac:dyDescent="0.25">
      <c r="A6781" s="2">
        <v>30.111399402495099</v>
      </c>
      <c r="B6781" s="3">
        <v>-1.31514700846263</v>
      </c>
      <c r="C6781" s="5">
        <v>1.01956733199457E-7</v>
      </c>
      <c r="D6781" s="6">
        <v>6.3854345792443502E-7</v>
      </c>
      <c r="E6781" s="3" t="s">
        <v>9231</v>
      </c>
      <c r="F6781" s="3" t="s">
        <v>9232</v>
      </c>
      <c r="G6781" s="3" t="s">
        <v>83</v>
      </c>
      <c r="H6781" s="7" t="str">
        <f>HYPERLINK("http://www.ensembl.org/Mus_musculus/Gene/Summary?db=core;g=ENSMUSG00000089671","ENSMUSG00000089671")</f>
        <v>ENSMUSG00000089671</v>
      </c>
      <c r="I6781" s="7" t="str">
        <f>HYPERLINK("http://www.informatics.jax.org/marker/MGI:4414957","MGI:4414957")</f>
        <v>MGI:4414957</v>
      </c>
      <c r="J6781" s="4" t="s">
        <v>932</v>
      </c>
    </row>
    <row r="6782" spans="1:10" x14ac:dyDescent="0.25">
      <c r="A6782" s="2">
        <v>6.4664658451821602</v>
      </c>
      <c r="B6782" s="3">
        <v>-1.31620895956017</v>
      </c>
      <c r="C6782" s="3">
        <v>6.90164715476242E-4</v>
      </c>
      <c r="D6782" s="4">
        <v>2.49929051442752E-3</v>
      </c>
      <c r="E6782" s="3" t="s">
        <v>8641</v>
      </c>
      <c r="F6782" s="3" t="s">
        <v>8642</v>
      </c>
      <c r="G6782" s="3">
        <v>217310</v>
      </c>
      <c r="H6782" s="7" t="str">
        <f>HYPERLINK("http://www.ensembl.org/Mus_musculus/Gene/Summary?db=core;g=ENSMUSG00000034586","ENSMUSG00000034586")</f>
        <v>ENSMUSG00000034586</v>
      </c>
      <c r="I6782" s="7" t="str">
        <f>HYPERLINK("http://www.informatics.jax.org/marker/MGI:2445087","MGI:2445087")</f>
        <v>MGI:2445087</v>
      </c>
      <c r="J6782" s="4" t="s">
        <v>12</v>
      </c>
    </row>
    <row r="6783" spans="1:10" x14ac:dyDescent="0.25">
      <c r="A6783" s="2">
        <v>193.82683810586801</v>
      </c>
      <c r="B6783" s="3">
        <v>-1.31646609428128</v>
      </c>
      <c r="C6783" s="5">
        <v>2.48386195650447E-26</v>
      </c>
      <c r="D6783" s="6">
        <v>5.2760354495680602E-25</v>
      </c>
      <c r="E6783" s="3" t="s">
        <v>1943</v>
      </c>
      <c r="F6783" s="3" t="s">
        <v>1944</v>
      </c>
      <c r="G6783" s="3">
        <v>70807</v>
      </c>
      <c r="H6783" s="7" t="str">
        <f>HYPERLINK("http://www.ensembl.org/Mus_musculus/Gene/Summary?db=core;g=ENSMUSG00000002910","ENSMUSG00000002910")</f>
        <v>ENSMUSG00000002910</v>
      </c>
      <c r="I6783" s="7" t="str">
        <f>HYPERLINK("http://www.informatics.jax.org/marker/MGI:1918057","MGI:1918057")</f>
        <v>MGI:1918057</v>
      </c>
      <c r="J6783" s="4" t="s">
        <v>12</v>
      </c>
    </row>
    <row r="6784" spans="1:10" x14ac:dyDescent="0.25">
      <c r="A6784" s="2">
        <v>75.179334164019295</v>
      </c>
      <c r="B6784" s="3">
        <v>-1.31763374622986</v>
      </c>
      <c r="C6784" s="5">
        <v>4.7839672476201401E-11</v>
      </c>
      <c r="D6784" s="6">
        <v>4.2140069157987902E-10</v>
      </c>
      <c r="E6784" s="3" t="s">
        <v>6539</v>
      </c>
      <c r="F6784" s="3" t="s">
        <v>6540</v>
      </c>
      <c r="G6784" s="3">
        <v>13025</v>
      </c>
      <c r="H6784" s="7" t="str">
        <f>HYPERLINK("http://www.ensembl.org/Mus_musculus/Gene/Summary?db=core;g=ENSMUSG00000074874","ENSMUSG00000074874")</f>
        <v>ENSMUSG00000074874</v>
      </c>
      <c r="I6784" s="7" t="str">
        <f>HYPERLINK("http://www.informatics.jax.org/marker/MGI:88555","MGI:88555")</f>
        <v>MGI:88555</v>
      </c>
      <c r="J6784" s="4" t="s">
        <v>12</v>
      </c>
    </row>
    <row r="6785" spans="1:10" x14ac:dyDescent="0.25">
      <c r="A6785" s="2">
        <v>35.900812576291599</v>
      </c>
      <c r="B6785" s="3">
        <v>-1.3234552375197799</v>
      </c>
      <c r="C6785" s="5">
        <v>5.3221152560306098E-9</v>
      </c>
      <c r="D6785" s="6">
        <v>3.8202264884268501E-8</v>
      </c>
      <c r="E6785" s="3" t="s">
        <v>5259</v>
      </c>
      <c r="F6785" s="3" t="s">
        <v>5260</v>
      </c>
      <c r="G6785" s="3" t="s">
        <v>83</v>
      </c>
      <c r="H6785" s="7" t="str">
        <f>HYPERLINK("http://www.ensembl.org/Mus_musculus/Gene/Summary?db=core;g=ENSMUSG00000100280","ENSMUSG00000100280")</f>
        <v>ENSMUSG00000100280</v>
      </c>
      <c r="I6785" s="7" t="str">
        <f>HYPERLINK("http://www.informatics.jax.org/marker/MGI:5579123","MGI:5579123")</f>
        <v>MGI:5579123</v>
      </c>
      <c r="J6785" s="4" t="s">
        <v>331</v>
      </c>
    </row>
    <row r="6786" spans="1:10" x14ac:dyDescent="0.25">
      <c r="A6786" s="2">
        <v>65.7234769071908</v>
      </c>
      <c r="B6786" s="3">
        <v>-1.3256789463787899</v>
      </c>
      <c r="C6786" s="5">
        <v>2.7648930188137798E-19</v>
      </c>
      <c r="D6786" s="6">
        <v>4.1684615755664199E-18</v>
      </c>
      <c r="E6786" s="3" t="s">
        <v>2870</v>
      </c>
      <c r="F6786" s="3" t="s">
        <v>2871</v>
      </c>
      <c r="G6786" s="3">
        <v>72852</v>
      </c>
      <c r="H6786" s="7" t="str">
        <f>HYPERLINK("http://www.ensembl.org/Mus_musculus/Gene/Summary?db=core;g=ENSMUSG00000051098","ENSMUSG00000051098")</f>
        <v>ENSMUSG00000051098</v>
      </c>
      <c r="I6786" s="7" t="str">
        <f>HYPERLINK("http://www.informatics.jax.org/marker/MGI:1920102","MGI:1920102")</f>
        <v>MGI:1920102</v>
      </c>
      <c r="J6786" s="4" t="s">
        <v>12</v>
      </c>
    </row>
    <row r="6787" spans="1:10" x14ac:dyDescent="0.25">
      <c r="A6787" s="2">
        <v>75.686658860302103</v>
      </c>
      <c r="B6787" s="3">
        <v>-1.32721173596002</v>
      </c>
      <c r="C6787" s="5">
        <v>1.31111119186245E-17</v>
      </c>
      <c r="D6787" s="6">
        <v>1.8033963374862699E-16</v>
      </c>
      <c r="E6787" s="3" t="s">
        <v>2455</v>
      </c>
      <c r="F6787" s="3" t="s">
        <v>2456</v>
      </c>
      <c r="G6787" s="3">
        <v>227094</v>
      </c>
      <c r="H6787" s="7" t="str">
        <f>HYPERLINK("http://www.ensembl.org/Mus_musculus/Gene/Summary?db=core;g=ENSMUSG00000043015","ENSMUSG00000043015")</f>
        <v>ENSMUSG00000043015</v>
      </c>
      <c r="I6787" s="7" t="str">
        <f>HYPERLINK("http://www.informatics.jax.org/marker/MGI:2444113","MGI:2444113")</f>
        <v>MGI:2444113</v>
      </c>
      <c r="J6787" s="4" t="s">
        <v>12</v>
      </c>
    </row>
    <row r="6788" spans="1:10" x14ac:dyDescent="0.25">
      <c r="A6788" s="2">
        <v>389.30088403210402</v>
      </c>
      <c r="B6788" s="3">
        <v>-1.32881966328784</v>
      </c>
      <c r="C6788" s="5">
        <v>1.2079016830173699E-45</v>
      </c>
      <c r="D6788" s="6">
        <v>5.1434598535027096E-44</v>
      </c>
      <c r="E6788" s="3" t="s">
        <v>908</v>
      </c>
      <c r="F6788" s="3" t="s">
        <v>909</v>
      </c>
      <c r="G6788" s="3">
        <v>235504</v>
      </c>
      <c r="H6788" s="7" t="str">
        <f>HYPERLINK("http://www.ensembl.org/Mus_musculus/Gene/Summary?db=core;g=ENSMUSG00000049624","ENSMUSG00000049624")</f>
        <v>ENSMUSG00000049624</v>
      </c>
      <c r="I6788" s="7" t="str">
        <f>HYPERLINK("http://www.informatics.jax.org/marker/MGI:1924105","MGI:1924105")</f>
        <v>MGI:1924105</v>
      </c>
      <c r="J6788" s="4" t="s">
        <v>12</v>
      </c>
    </row>
    <row r="6789" spans="1:10" x14ac:dyDescent="0.25">
      <c r="A6789" s="2">
        <v>16.784124193041901</v>
      </c>
      <c r="B6789" s="3">
        <v>-1.3350040139896699</v>
      </c>
      <c r="C6789" s="5">
        <v>6.4981850205809301E-6</v>
      </c>
      <c r="D6789" s="6">
        <v>3.2697245168439399E-5</v>
      </c>
      <c r="E6789" s="3" t="s">
        <v>8443</v>
      </c>
      <c r="F6789" s="3" t="s">
        <v>8444</v>
      </c>
      <c r="G6789" s="3">
        <v>328035</v>
      </c>
      <c r="H6789" s="7" t="str">
        <f>HYPERLINK("http://www.ensembl.org/Mus_musculus/Gene/Summary?db=core;g=ENSMUSG00000044788","ENSMUSG00000044788")</f>
        <v>ENSMUSG00000044788</v>
      </c>
      <c r="I6789" s="7" t="str">
        <f>HYPERLINK("http://www.informatics.jax.org/marker/MGI:3039592","MGI:3039592")</f>
        <v>MGI:3039592</v>
      </c>
      <c r="J6789" s="4" t="s">
        <v>12</v>
      </c>
    </row>
    <row r="6790" spans="1:10" x14ac:dyDescent="0.25">
      <c r="A6790" s="2">
        <v>21.9957443482988</v>
      </c>
      <c r="B6790" s="3">
        <v>-1.33858365087942</v>
      </c>
      <c r="C6790" s="5">
        <v>1.07263704133771E-6</v>
      </c>
      <c r="D6790" s="6">
        <v>5.94731064142978E-6</v>
      </c>
      <c r="E6790" s="3" t="s">
        <v>7146</v>
      </c>
      <c r="F6790" s="3" t="s">
        <v>7147</v>
      </c>
      <c r="G6790" s="3">
        <v>18601</v>
      </c>
      <c r="H6790" s="7" t="str">
        <f>HYPERLINK("http://www.ensembl.org/Mus_musculus/Gene/Summary?db=core;g=ENSMUSG00000025328","ENSMUSG00000025328")</f>
        <v>ENSMUSG00000025328</v>
      </c>
      <c r="I6790" s="7" t="str">
        <f>HYPERLINK("http://www.informatics.jax.org/marker/MGI:1338891","MGI:1338891")</f>
        <v>MGI:1338891</v>
      </c>
      <c r="J6790" s="4" t="s">
        <v>12</v>
      </c>
    </row>
    <row r="6791" spans="1:10" x14ac:dyDescent="0.25">
      <c r="A6791" s="2">
        <v>45.641985748451802</v>
      </c>
      <c r="B6791" s="3">
        <v>-1.33894423238145</v>
      </c>
      <c r="C6791" s="5">
        <v>4.1040573813126396E-12</v>
      </c>
      <c r="D6791" s="6">
        <v>3.9408032547114199E-11</v>
      </c>
      <c r="E6791" s="3" t="s">
        <v>4345</v>
      </c>
      <c r="F6791" s="3" t="s">
        <v>4346</v>
      </c>
      <c r="G6791" s="3">
        <v>67881</v>
      </c>
      <c r="H6791" s="7" t="str">
        <f>HYPERLINK("http://www.ensembl.org/Mus_musculus/Gene/Summary?db=core;g=ENSMUSG00000002329","ENSMUSG00000002329")</f>
        <v>ENSMUSG00000002329</v>
      </c>
      <c r="I6791" s="7" t="str">
        <f>HYPERLINK("http://www.informatics.jax.org/marker/MGI:1915131","MGI:1915131")</f>
        <v>MGI:1915131</v>
      </c>
      <c r="J6791" s="4" t="s">
        <v>12</v>
      </c>
    </row>
    <row r="6792" spans="1:10" x14ac:dyDescent="0.25">
      <c r="A6792" s="2">
        <v>1031.4725639855301</v>
      </c>
      <c r="B6792" s="3">
        <v>-1.33921726341351</v>
      </c>
      <c r="C6792" s="5">
        <v>1.68712042438244E-71</v>
      </c>
      <c r="D6792" s="6">
        <v>1.36052078470664E-69</v>
      </c>
      <c r="E6792" s="3" t="s">
        <v>452</v>
      </c>
      <c r="F6792" s="3" t="s">
        <v>453</v>
      </c>
      <c r="G6792" s="3">
        <v>11732</v>
      </c>
      <c r="H6792" s="7" t="str">
        <f>HYPERLINK("http://www.ensembl.org/Mus_musculus/Gene/Summary?db=core;g=ENSMUSG00000022265","ENSMUSG00000022265")</f>
        <v>ENSMUSG00000022265</v>
      </c>
      <c r="I6792" s="7" t="str">
        <f>HYPERLINK("http://www.informatics.jax.org/marker/MGI:3045421","MGI:3045421")</f>
        <v>MGI:3045421</v>
      </c>
      <c r="J6792" s="4" t="s">
        <v>12</v>
      </c>
    </row>
    <row r="6793" spans="1:10" x14ac:dyDescent="0.25">
      <c r="A6793" s="2">
        <v>8.4581198043759205</v>
      </c>
      <c r="B6793" s="3">
        <v>-1.3422088307764</v>
      </c>
      <c r="C6793" s="3">
        <v>2.3490306120705501E-4</v>
      </c>
      <c r="D6793" s="4">
        <v>9.2106460638954001E-4</v>
      </c>
      <c r="E6793" s="3" t="s">
        <v>11311</v>
      </c>
      <c r="F6793" s="3" t="s">
        <v>11312</v>
      </c>
      <c r="G6793" s="3" t="s">
        <v>83</v>
      </c>
      <c r="H6793" s="7" t="str">
        <f>HYPERLINK("http://www.ensembl.org/Mus_musculus/Gene/Summary?db=core;g=ENSMUSG00000109366","ENSMUSG00000109366")</f>
        <v>ENSMUSG00000109366</v>
      </c>
      <c r="I6793" s="7" t="str">
        <f>HYPERLINK("http://www.informatics.jax.org/marker/MGI:5753274","MGI:5753274")</f>
        <v>MGI:5753274</v>
      </c>
      <c r="J6793" s="4" t="s">
        <v>939</v>
      </c>
    </row>
    <row r="6794" spans="1:10" x14ac:dyDescent="0.25">
      <c r="A6794" s="2">
        <v>121.683855606127</v>
      </c>
      <c r="B6794" s="3">
        <v>-1.3428514356385199</v>
      </c>
      <c r="C6794" s="5">
        <v>1.0704939405381799E-9</v>
      </c>
      <c r="D6794" s="6">
        <v>8.2738558381290695E-9</v>
      </c>
      <c r="E6794" s="3" t="s">
        <v>5069</v>
      </c>
      <c r="F6794" s="3" t="s">
        <v>5070</v>
      </c>
      <c r="G6794" s="3">
        <v>399603</v>
      </c>
      <c r="H6794" s="7" t="str">
        <f>HYPERLINK("http://www.ensembl.org/Mus_musculus/Gene/Summary?db=core;g=ENSMUSG00000072568","ENSMUSG00000072568")</f>
        <v>ENSMUSG00000072568</v>
      </c>
      <c r="I6794" s="7" t="str">
        <f>HYPERLINK("http://www.informatics.jax.org/marker/MGI:3026924","MGI:3026924")</f>
        <v>MGI:3026924</v>
      </c>
      <c r="J6794" s="4" t="s">
        <v>12</v>
      </c>
    </row>
    <row r="6795" spans="1:10" x14ac:dyDescent="0.25">
      <c r="A6795" s="2">
        <v>7.9121081070142703</v>
      </c>
      <c r="B6795" s="3">
        <v>-1.3450761340911199</v>
      </c>
      <c r="C6795" s="3">
        <v>2.1796917710401501E-4</v>
      </c>
      <c r="D6795" s="4">
        <v>8.6077751954944195E-4</v>
      </c>
      <c r="E6795" s="3" t="s">
        <v>11475</v>
      </c>
      <c r="F6795" s="3" t="s">
        <v>11476</v>
      </c>
      <c r="G6795" s="3" t="s">
        <v>83</v>
      </c>
      <c r="H6795" s="7" t="str">
        <f>HYPERLINK("http://www.ensembl.org/Mus_musculus/Gene/Summary?db=core;g=ENSMUSG00000092569","ENSMUSG00000092569")</f>
        <v>ENSMUSG00000092569</v>
      </c>
      <c r="I6795" s="7" t="str">
        <f>HYPERLINK("http://www.informatics.jax.org/marker/MGI:5142009","MGI:5142009")</f>
        <v>MGI:5142009</v>
      </c>
      <c r="J6795" s="4" t="s">
        <v>331</v>
      </c>
    </row>
    <row r="6796" spans="1:10" x14ac:dyDescent="0.25">
      <c r="A6796" s="2">
        <v>81.671310251386004</v>
      </c>
      <c r="B6796" s="3">
        <v>-1.3487303902564001</v>
      </c>
      <c r="C6796" s="5">
        <v>2.89950936166886E-10</v>
      </c>
      <c r="D6796" s="6">
        <v>2.3846370991162002E-9</v>
      </c>
      <c r="E6796" s="3" t="s">
        <v>4997</v>
      </c>
      <c r="F6796" s="3" t="s">
        <v>4998</v>
      </c>
      <c r="G6796" s="3" t="s">
        <v>83</v>
      </c>
      <c r="H6796" s="7" t="str">
        <f>HYPERLINK("http://www.ensembl.org/Mus_musculus/Gene/Summary?db=core;g=ENSMUSG00000104000","ENSMUSG00000104000")</f>
        <v>ENSMUSG00000104000</v>
      </c>
      <c r="I6796" s="7" t="str">
        <f>HYPERLINK("http://www.informatics.jax.org/marker/MGI:5611563","MGI:5611563")</f>
        <v>MGI:5611563</v>
      </c>
      <c r="J6796" s="4" t="s">
        <v>939</v>
      </c>
    </row>
    <row r="6797" spans="1:10" x14ac:dyDescent="0.25">
      <c r="A6797" s="2">
        <v>217.60360647533099</v>
      </c>
      <c r="B6797" s="3">
        <v>-1.35695517275193</v>
      </c>
      <c r="C6797" s="5">
        <v>3.90946945165637E-32</v>
      </c>
      <c r="D6797" s="6">
        <v>1.04319298325677E-30</v>
      </c>
      <c r="E6797" s="3" t="s">
        <v>1845</v>
      </c>
      <c r="F6797" s="3" t="s">
        <v>1846</v>
      </c>
      <c r="G6797" s="3">
        <v>12520</v>
      </c>
      <c r="H6797" s="7" t="str">
        <f>HYPERLINK("http://www.ensembl.org/Mus_musculus/Gene/Summary?db=core;g=ENSMUSG00000037706","ENSMUSG00000037706")</f>
        <v>ENSMUSG00000037706</v>
      </c>
      <c r="I6797" s="7" t="str">
        <f>HYPERLINK("http://www.informatics.jax.org/marker/MGI:1096398","MGI:1096398")</f>
        <v>MGI:1096398</v>
      </c>
      <c r="J6797" s="4" t="s">
        <v>12</v>
      </c>
    </row>
    <row r="6798" spans="1:10" x14ac:dyDescent="0.25">
      <c r="A6798" s="2">
        <v>23.897000870488899</v>
      </c>
      <c r="B6798" s="3">
        <v>-1.3602501160454199</v>
      </c>
      <c r="C6798" s="5">
        <v>2.7931374575784E-8</v>
      </c>
      <c r="D6798" s="6">
        <v>1.8537847838443699E-7</v>
      </c>
      <c r="E6798" s="3" t="s">
        <v>7610</v>
      </c>
      <c r="F6798" s="3" t="s">
        <v>7611</v>
      </c>
      <c r="G6798" s="3">
        <v>26399</v>
      </c>
      <c r="H6798" s="7" t="str">
        <f>HYPERLINK("http://www.ensembl.org/Mus_musculus/Gene/Summary?db=core;g=ENSMUSG00000020623","ENSMUSG00000020623")</f>
        <v>ENSMUSG00000020623</v>
      </c>
      <c r="I6798" s="7" t="str">
        <f>HYPERLINK("http://www.informatics.jax.org/marker/MGI:1346870","MGI:1346870")</f>
        <v>MGI:1346870</v>
      </c>
      <c r="J6798" s="4" t="s">
        <v>12</v>
      </c>
    </row>
    <row r="6799" spans="1:10" x14ac:dyDescent="0.25">
      <c r="A6799" s="2">
        <v>326.20856721985598</v>
      </c>
      <c r="B6799" s="3">
        <v>-1.3605383759673499</v>
      </c>
      <c r="C6799" s="5">
        <v>5.9220359288485998E-36</v>
      </c>
      <c r="D6799" s="6">
        <v>1.77807421422184E-34</v>
      </c>
      <c r="E6799" s="3" t="s">
        <v>1941</v>
      </c>
      <c r="F6799" s="3" t="s">
        <v>1942</v>
      </c>
      <c r="G6799" s="3">
        <v>243621</v>
      </c>
      <c r="H6799" s="7" t="str">
        <f>HYPERLINK("http://www.ensembl.org/Mus_musculus/Gene/Summary?db=core;g=ENSMUSG00000040797","ENSMUSG00000040797")</f>
        <v>ENSMUSG00000040797</v>
      </c>
      <c r="I6799" s="7" t="str">
        <f>HYPERLINK("http://www.informatics.jax.org/marker/MGI:2677208","MGI:2677208")</f>
        <v>MGI:2677208</v>
      </c>
      <c r="J6799" s="4" t="s">
        <v>12</v>
      </c>
    </row>
    <row r="6800" spans="1:10" x14ac:dyDescent="0.25">
      <c r="A6800" s="2">
        <v>21.313608706113801</v>
      </c>
      <c r="B6800" s="3">
        <v>-1.36335938392144</v>
      </c>
      <c r="C6800" s="5">
        <v>2.7062699116471998E-7</v>
      </c>
      <c r="D6800" s="6">
        <v>1.6160474816438499E-6</v>
      </c>
      <c r="E6800" s="3" t="s">
        <v>7372</v>
      </c>
      <c r="F6800" s="3" t="s">
        <v>7373</v>
      </c>
      <c r="G6800" s="3">
        <v>68918</v>
      </c>
      <c r="H6800" s="7" t="str">
        <f>HYPERLINK("http://www.ensembl.org/Mus_musculus/Gene/Summary?db=core;g=ENSMUSG00000043687","ENSMUSG00000043687")</f>
        <v>ENSMUSG00000043687</v>
      </c>
      <c r="I6800" s="7" t="str">
        <f>HYPERLINK("http://www.informatics.jax.org/marker/MGI:1916168","MGI:1916168")</f>
        <v>MGI:1916168</v>
      </c>
      <c r="J6800" s="4" t="s">
        <v>12</v>
      </c>
    </row>
    <row r="6801" spans="1:10" x14ac:dyDescent="0.25">
      <c r="A6801" s="2">
        <v>21.742482926465801</v>
      </c>
      <c r="B6801" s="3">
        <v>-1.36408902158072</v>
      </c>
      <c r="C6801" s="5">
        <v>8.0310745553572505E-8</v>
      </c>
      <c r="D6801" s="6">
        <v>5.0751155954017304E-7</v>
      </c>
      <c r="E6801" s="3" t="s">
        <v>12619</v>
      </c>
      <c r="F6801" s="3" t="s">
        <v>12620</v>
      </c>
      <c r="G6801" s="3">
        <v>94249</v>
      </c>
      <c r="H6801" s="7" t="str">
        <f>HYPERLINK("http://www.ensembl.org/Mus_musculus/Gene/Summary?db=core;g=ENSMUSG00000063873","ENSMUSG00000063873")</f>
        <v>ENSMUSG00000063873</v>
      </c>
      <c r="I6801" s="7" t="str">
        <f>HYPERLINK("http://www.informatics.jax.org/marker/MGI:2137513","MGI:2137513")</f>
        <v>MGI:2137513</v>
      </c>
      <c r="J6801" s="4" t="s">
        <v>12</v>
      </c>
    </row>
    <row r="6802" spans="1:10" x14ac:dyDescent="0.25">
      <c r="A6802" s="2">
        <v>3.2407493819798501</v>
      </c>
      <c r="B6802" s="3">
        <v>-1.3654914711863799</v>
      </c>
      <c r="C6802" s="3">
        <v>2.1884857515876298E-3</v>
      </c>
      <c r="D6802" s="4">
        <v>7.18008902882818E-3</v>
      </c>
      <c r="E6802" s="3" t="s">
        <v>12083</v>
      </c>
      <c r="F6802" s="3" t="s">
        <v>12084</v>
      </c>
      <c r="G6802" s="3">
        <v>83398</v>
      </c>
      <c r="H6802" s="7" t="str">
        <f>HYPERLINK("http://www.ensembl.org/Mus_musculus/Gene/Summary?db=core;g=ENSMUSG00000027977","ENSMUSG00000027977")</f>
        <v>ENSMUSG00000027977</v>
      </c>
      <c r="I6802" s="7" t="str">
        <f>HYPERLINK("http://www.informatics.jax.org/marker/MGI:1932544","MGI:1932544")</f>
        <v>MGI:1932544</v>
      </c>
      <c r="J6802" s="4" t="s">
        <v>12</v>
      </c>
    </row>
    <row r="6803" spans="1:10" x14ac:dyDescent="0.25">
      <c r="A6803" s="2">
        <v>474.42377928467602</v>
      </c>
      <c r="B6803" s="3">
        <v>-1.3665075508117599</v>
      </c>
      <c r="C6803" s="5">
        <v>5.8327798213394303E-32</v>
      </c>
      <c r="D6803" s="6">
        <v>1.5495978461211501E-30</v>
      </c>
      <c r="E6803" s="3" t="s">
        <v>995</v>
      </c>
      <c r="F6803" s="3" t="s">
        <v>996</v>
      </c>
      <c r="G6803" s="3">
        <v>232334</v>
      </c>
      <c r="H6803" s="7" t="str">
        <f>HYPERLINK("http://www.ensembl.org/Mus_musculus/Gene/Summary?db=core;g=ENSMUSG00000030315","ENSMUSG00000030315")</f>
        <v>ENSMUSG00000030315</v>
      </c>
      <c r="I6803" s="7" t="str">
        <f>HYPERLINK("http://www.informatics.jax.org/marker/MGI:2652840","MGI:2652840")</f>
        <v>MGI:2652840</v>
      </c>
      <c r="J6803" s="4" t="s">
        <v>12</v>
      </c>
    </row>
    <row r="6804" spans="1:10" x14ac:dyDescent="0.25">
      <c r="A6804" s="2">
        <v>56.325826635218398</v>
      </c>
      <c r="B6804" s="3">
        <v>-1.36861342209106</v>
      </c>
      <c r="C6804" s="5">
        <v>1.8126988990634799E-16</v>
      </c>
      <c r="D6804" s="6">
        <v>2.3446726355877899E-15</v>
      </c>
      <c r="E6804" s="3" t="s">
        <v>4615</v>
      </c>
      <c r="F6804" s="3" t="s">
        <v>4616</v>
      </c>
      <c r="G6804" s="3" t="s">
        <v>83</v>
      </c>
      <c r="H6804" s="7" t="str">
        <f>HYPERLINK("http://www.ensembl.org/Mus_musculus/Gene/Summary?db=core;g=ENSMUSG00000107761","ENSMUSG00000107761")</f>
        <v>ENSMUSG00000107761</v>
      </c>
      <c r="I6804" s="7" t="str">
        <f>HYPERLINK("http://www.informatics.jax.org/marker/MGI:1917109","MGI:1917109")</f>
        <v>MGI:1917109</v>
      </c>
      <c r="J6804" s="4" t="s">
        <v>1828</v>
      </c>
    </row>
    <row r="6805" spans="1:10" x14ac:dyDescent="0.25">
      <c r="A6805" s="2">
        <v>5.404314113101</v>
      </c>
      <c r="B6805" s="3">
        <v>-1.36902233856415</v>
      </c>
      <c r="C6805" s="3">
        <v>7.8479267826355196E-4</v>
      </c>
      <c r="D6805" s="4">
        <v>2.8088858133058199E-3</v>
      </c>
      <c r="E6805" s="3" t="s">
        <v>11551</v>
      </c>
      <c r="F6805" s="3" t="s">
        <v>11552</v>
      </c>
      <c r="G6805" s="3">
        <v>243923</v>
      </c>
      <c r="H6805" s="7" t="str">
        <f>HYPERLINK("http://www.ensembl.org/Mus_musculus/Gene/Summary?db=core;g=ENSMUSG00000056043","ENSMUSG00000056043")</f>
        <v>ENSMUSG00000056043</v>
      </c>
      <c r="I6805" s="7" t="str">
        <f>HYPERLINK("http://www.informatics.jax.org/marker/MGI:2384418","MGI:2384418")</f>
        <v>MGI:2384418</v>
      </c>
      <c r="J6805" s="4" t="s">
        <v>12</v>
      </c>
    </row>
    <row r="6806" spans="1:10" x14ac:dyDescent="0.25">
      <c r="A6806" s="2">
        <v>59.735432371815598</v>
      </c>
      <c r="B6806" s="3">
        <v>-1.37601645998607</v>
      </c>
      <c r="C6806" s="5">
        <v>3.7343272921509601E-14</v>
      </c>
      <c r="D6806" s="6">
        <v>4.13978801091553E-13</v>
      </c>
      <c r="E6806" s="3" t="s">
        <v>6317</v>
      </c>
      <c r="F6806" s="3" t="s">
        <v>6318</v>
      </c>
      <c r="G6806" s="3">
        <v>107986</v>
      </c>
      <c r="H6806" s="7" t="str">
        <f>HYPERLINK("http://www.ensembl.org/Mus_musculus/Gene/Summary?db=core;g=ENSMUSG00000002109","ENSMUSG00000002109")</f>
        <v>ENSMUSG00000002109</v>
      </c>
      <c r="I6806" s="7" t="str">
        <f>HYPERLINK("http://www.informatics.jax.org/marker/MGI:1355314","MGI:1355314")</f>
        <v>MGI:1355314</v>
      </c>
      <c r="J6806" s="4" t="s">
        <v>12</v>
      </c>
    </row>
    <row r="6807" spans="1:10" x14ac:dyDescent="0.25">
      <c r="A6807" s="2">
        <v>9.2937156560165395</v>
      </c>
      <c r="B6807" s="3">
        <v>-1.3781940875198899</v>
      </c>
      <c r="C6807" s="3">
        <v>1.4982950514490399E-4</v>
      </c>
      <c r="D6807" s="4">
        <v>6.0734936193635901E-4</v>
      </c>
      <c r="E6807" s="3" t="s">
        <v>13047</v>
      </c>
      <c r="F6807" s="3" t="s">
        <v>13048</v>
      </c>
      <c r="G6807" s="3">
        <v>271375</v>
      </c>
      <c r="H6807" s="7" t="str">
        <f>HYPERLINK("http://www.ensembl.org/Mus_musculus/Gene/Summary?db=core;g=ENSMUSG00000090176","ENSMUSG00000090176")</f>
        <v>ENSMUSG00000090176</v>
      </c>
      <c r="I6807" s="7" t="str">
        <f>HYPERLINK("http://www.informatics.jax.org/marker/MGI:3042847","MGI:3042847")</f>
        <v>MGI:3042847</v>
      </c>
      <c r="J6807" s="4" t="s">
        <v>12</v>
      </c>
    </row>
    <row r="6808" spans="1:10" x14ac:dyDescent="0.25">
      <c r="A6808" s="2">
        <v>62.743404957702303</v>
      </c>
      <c r="B6808" s="3">
        <v>-1.37845690493411</v>
      </c>
      <c r="C6808" s="5">
        <v>4.8312956819179096E-15</v>
      </c>
      <c r="D6808" s="6">
        <v>5.6733481831800201E-14</v>
      </c>
      <c r="E6808" s="3" t="s">
        <v>3304</v>
      </c>
      <c r="F6808" s="3" t="s">
        <v>3305</v>
      </c>
      <c r="G6808" s="3">
        <v>20677</v>
      </c>
      <c r="H6808" s="7" t="str">
        <f>HYPERLINK("http://www.ensembl.org/Mus_musculus/Gene/Summary?db=core;g=ENSMUSG00000076431","ENSMUSG00000076431")</f>
        <v>ENSMUSG00000076431</v>
      </c>
      <c r="I6808" s="7" t="str">
        <f>HYPERLINK("http://www.informatics.jax.org/marker/MGI:98366","MGI:98366")</f>
        <v>MGI:98366</v>
      </c>
      <c r="J6808" s="4" t="s">
        <v>12</v>
      </c>
    </row>
    <row r="6809" spans="1:10" x14ac:dyDescent="0.25">
      <c r="A6809" s="2">
        <v>633.95630240619403</v>
      </c>
      <c r="B6809" s="3">
        <v>-1.38390039120004</v>
      </c>
      <c r="C6809" s="5">
        <v>2.9143634041413301E-43</v>
      </c>
      <c r="D6809" s="6">
        <v>1.13492036411273E-41</v>
      </c>
      <c r="E6809" s="3" t="s">
        <v>796</v>
      </c>
      <c r="F6809" s="3" t="s">
        <v>797</v>
      </c>
      <c r="G6809" s="3">
        <v>21877</v>
      </c>
      <c r="H6809" s="7" t="str">
        <f>HYPERLINK("http://www.ensembl.org/Mus_musculus/Gene/Summary?db=core;g=ENSMUSG00000025574","ENSMUSG00000025574")</f>
        <v>ENSMUSG00000025574</v>
      </c>
      <c r="I6809" s="7" t="str">
        <f>HYPERLINK("http://www.informatics.jax.org/marker/MGI:98763","MGI:98763")</f>
        <v>MGI:98763</v>
      </c>
      <c r="J6809" s="4" t="s">
        <v>12</v>
      </c>
    </row>
    <row r="6810" spans="1:10" x14ac:dyDescent="0.25">
      <c r="A6810" s="2">
        <v>38.766008097258499</v>
      </c>
      <c r="B6810" s="3">
        <v>-1.3853952592693399</v>
      </c>
      <c r="C6810" s="5">
        <v>8.0526080393590001E-11</v>
      </c>
      <c r="D6810" s="6">
        <v>6.9356702040320296E-10</v>
      </c>
      <c r="E6810" s="3" t="s">
        <v>4563</v>
      </c>
      <c r="F6810" s="3" t="s">
        <v>4564</v>
      </c>
      <c r="G6810" s="3">
        <v>268739</v>
      </c>
      <c r="H6810" s="7" t="str">
        <f>HYPERLINK("http://www.ensembl.org/Mus_musculus/Gene/Summary?db=core;g=ENSMUSG00000004562","ENSMUSG00000004562")</f>
        <v>ENSMUSG00000004562</v>
      </c>
      <c r="I6810" s="7" t="str">
        <f>HYPERLINK("http://www.informatics.jax.org/marker/MGI:2685515","MGI:2685515")</f>
        <v>MGI:2685515</v>
      </c>
      <c r="J6810" s="4" t="s">
        <v>12</v>
      </c>
    </row>
    <row r="6811" spans="1:10" x14ac:dyDescent="0.25">
      <c r="A6811" s="2">
        <v>30.1157850915097</v>
      </c>
      <c r="B6811" s="3">
        <v>-1.3858642119055899</v>
      </c>
      <c r="C6811" s="5">
        <v>7.0237950945881301E-9</v>
      </c>
      <c r="D6811" s="6">
        <v>4.9828207706838702E-8</v>
      </c>
      <c r="E6811" s="3" t="s">
        <v>5407</v>
      </c>
      <c r="F6811" s="3" t="s">
        <v>5408</v>
      </c>
      <c r="G6811" s="3">
        <v>72287</v>
      </c>
      <c r="H6811" s="7" t="str">
        <f>HYPERLINK("http://www.ensembl.org/Mus_musculus/Gene/Summary?db=core;g=ENSMUSG00000074170","ENSMUSG00000074170")</f>
        <v>ENSMUSG00000074170</v>
      </c>
      <c r="I6811" s="7" t="str">
        <f>HYPERLINK("http://www.informatics.jax.org/marker/MGI:1919537","MGI:1919537")</f>
        <v>MGI:1919537</v>
      </c>
      <c r="J6811" s="4" t="s">
        <v>12</v>
      </c>
    </row>
    <row r="6812" spans="1:10" x14ac:dyDescent="0.25">
      <c r="A6812" s="2">
        <v>29.644561288923001</v>
      </c>
      <c r="B6812" s="3">
        <v>-1.3860668350541401</v>
      </c>
      <c r="C6812" s="5">
        <v>3.93289330737519E-10</v>
      </c>
      <c r="D6812" s="6">
        <v>3.1941613425540498E-9</v>
      </c>
      <c r="E6812" s="3" t="s">
        <v>7302</v>
      </c>
      <c r="F6812" s="3" t="s">
        <v>7303</v>
      </c>
      <c r="G6812" s="3">
        <v>22410</v>
      </c>
      <c r="H6812" s="7" t="str">
        <f>HYPERLINK("http://www.ensembl.org/Mus_musculus/Gene/Summary?db=core;g=ENSMUSG00000022996","ENSMUSG00000022996")</f>
        <v>ENSMUSG00000022996</v>
      </c>
      <c r="I6812" s="7" t="str">
        <f>HYPERLINK("http://www.informatics.jax.org/marker/MGI:108061","MGI:108061")</f>
        <v>MGI:108061</v>
      </c>
      <c r="J6812" s="4" t="s">
        <v>12</v>
      </c>
    </row>
    <row r="6813" spans="1:10" x14ac:dyDescent="0.25">
      <c r="A6813" s="2">
        <v>13.8064493390564</v>
      </c>
      <c r="B6813" s="3">
        <v>-1.3870784275496599</v>
      </c>
      <c r="C6813" s="5">
        <v>3.04275279187311E-6</v>
      </c>
      <c r="D6813" s="6">
        <v>1.59588812526056E-5</v>
      </c>
      <c r="E6813" s="3" t="s">
        <v>9191</v>
      </c>
      <c r="F6813" s="3" t="s">
        <v>9192</v>
      </c>
      <c r="G6813" s="3">
        <v>109889</v>
      </c>
      <c r="H6813" s="7" t="str">
        <f>HYPERLINK("http://www.ensembl.org/Mus_musculus/Gene/Summary?db=core;g=ENSMUSG00000030380","ENSMUSG00000030380")</f>
        <v>ENSMUSG00000030380</v>
      </c>
      <c r="I6813" s="7" t="str">
        <f>HYPERLINK("http://www.informatics.jax.org/marker/MGI:107457","MGI:107457")</f>
        <v>MGI:107457</v>
      </c>
      <c r="J6813" s="4" t="s">
        <v>12</v>
      </c>
    </row>
    <row r="6814" spans="1:10" x14ac:dyDescent="0.25">
      <c r="A6814" s="2">
        <v>79.211829116205095</v>
      </c>
      <c r="B6814" s="3">
        <v>-1.3895513228802301</v>
      </c>
      <c r="C6814" s="5">
        <v>1.1294658527053E-15</v>
      </c>
      <c r="D6814" s="6">
        <v>1.3852298227156199E-14</v>
      </c>
      <c r="E6814" s="3" t="s">
        <v>4757</v>
      </c>
      <c r="F6814" s="3" t="s">
        <v>4758</v>
      </c>
      <c r="G6814" s="3">
        <v>214239</v>
      </c>
      <c r="H6814" s="7" t="str">
        <f>HYPERLINK("http://www.ensembl.org/Mus_musculus/Gene/Summary?db=core;g=ENSMUSG00000045838","ENSMUSG00000045838")</f>
        <v>ENSMUSG00000045838</v>
      </c>
      <c r="I6814" s="7" t="str">
        <f>HYPERLINK("http://www.informatics.jax.org/marker/MGI:2685199","MGI:2685199")</f>
        <v>MGI:2685199</v>
      </c>
      <c r="J6814" s="4" t="s">
        <v>12</v>
      </c>
    </row>
    <row r="6815" spans="1:10" x14ac:dyDescent="0.25">
      <c r="A6815" s="2">
        <v>168.959000160996</v>
      </c>
      <c r="B6815" s="3">
        <v>-1.3912647646060201</v>
      </c>
      <c r="C6815" s="5">
        <v>3.5934256581904802E-31</v>
      </c>
      <c r="D6815" s="6">
        <v>9.2369792130495701E-30</v>
      </c>
      <c r="E6815" s="3" t="s">
        <v>2305</v>
      </c>
      <c r="F6815" s="3" t="s">
        <v>2306</v>
      </c>
      <c r="G6815" s="3" t="s">
        <v>83</v>
      </c>
      <c r="H6815" s="7" t="str">
        <f>HYPERLINK("http://www.ensembl.org/Mus_musculus/Gene/Summary?db=core;g=ENSMUSG00000109715","ENSMUSG00000109715")</f>
        <v>ENSMUSG00000109715</v>
      </c>
      <c r="I6815" s="7" t="str">
        <f>HYPERLINK("http://www.informatics.jax.org/marker/MGI:5791442","MGI:5791442")</f>
        <v>MGI:5791442</v>
      </c>
      <c r="J6815" s="4" t="s">
        <v>932</v>
      </c>
    </row>
    <row r="6816" spans="1:10" x14ac:dyDescent="0.25">
      <c r="A6816" s="2">
        <v>30.041096911198402</v>
      </c>
      <c r="B6816" s="3">
        <v>-1.3982176256868399</v>
      </c>
      <c r="C6816" s="5">
        <v>5.3548970051000301E-9</v>
      </c>
      <c r="D6816" s="6">
        <v>3.8407319133391602E-8</v>
      </c>
      <c r="E6816" s="3" t="s">
        <v>8383</v>
      </c>
      <c r="F6816" s="3" t="s">
        <v>8384</v>
      </c>
      <c r="G6816" s="3">
        <v>213402</v>
      </c>
      <c r="H6816" s="7" t="str">
        <f>HYPERLINK("http://www.ensembl.org/Mus_musculus/Gene/Summary?db=core;g=ENSMUSG00000071324","ENSMUSG00000071324")</f>
        <v>ENSMUSG00000071324</v>
      </c>
      <c r="I6816" s="7" t="str">
        <f>HYPERLINK("http://www.informatics.jax.org/marker/MGI:1916449","MGI:1916449")</f>
        <v>MGI:1916449</v>
      </c>
      <c r="J6816" s="4" t="s">
        <v>12</v>
      </c>
    </row>
    <row r="6817" spans="1:10" x14ac:dyDescent="0.25">
      <c r="A6817" s="2">
        <v>35.922215338156903</v>
      </c>
      <c r="B6817" s="3">
        <v>-1.3985259208041101</v>
      </c>
      <c r="C6817" s="5">
        <v>5.8427200502372702E-8</v>
      </c>
      <c r="D6817" s="6">
        <v>3.74151696822116E-7</v>
      </c>
      <c r="E6817" s="3" t="s">
        <v>6493</v>
      </c>
      <c r="F6817" s="3" t="s">
        <v>6494</v>
      </c>
      <c r="G6817" s="3">
        <v>17001</v>
      </c>
      <c r="H6817" s="7" t="str">
        <f>HYPERLINK("http://www.ensembl.org/Mus_musculus/Gene/Summary?db=core;g=ENSMUSG00000020377","ENSMUSG00000020377")</f>
        <v>ENSMUSG00000020377</v>
      </c>
      <c r="I6817" s="7" t="str">
        <f>HYPERLINK("http://www.informatics.jax.org/marker/MGI:107498","MGI:107498")</f>
        <v>MGI:107498</v>
      </c>
      <c r="J6817" s="4" t="s">
        <v>12</v>
      </c>
    </row>
    <row r="6818" spans="1:10" x14ac:dyDescent="0.25">
      <c r="A6818" s="2">
        <v>367.00517106283701</v>
      </c>
      <c r="B6818" s="3">
        <v>-1.4024008388683999</v>
      </c>
      <c r="C6818" s="5">
        <v>1.8429663814133199E-40</v>
      </c>
      <c r="D6818" s="6">
        <v>6.5093143994685395E-39</v>
      </c>
      <c r="E6818" s="3" t="s">
        <v>826</v>
      </c>
      <c r="F6818" s="3" t="s">
        <v>827</v>
      </c>
      <c r="G6818" s="3">
        <v>232811</v>
      </c>
      <c r="H6818" s="7" t="str">
        <f>HYPERLINK("http://www.ensembl.org/Mus_musculus/Gene/Summary?db=core;g=ENSMUSG00000059851","ENSMUSG00000059851")</f>
        <v>ENSMUSG00000059851</v>
      </c>
      <c r="I6818" s="7" t="str">
        <f>HYPERLINK("http://www.informatics.jax.org/marker/MGI:2385262","MGI:2385262")</f>
        <v>MGI:2385262</v>
      </c>
      <c r="J6818" s="4" t="s">
        <v>12</v>
      </c>
    </row>
    <row r="6819" spans="1:10" x14ac:dyDescent="0.25">
      <c r="A6819" s="2">
        <v>137.353796413211</v>
      </c>
      <c r="B6819" s="3">
        <v>-1.4067787647033201</v>
      </c>
      <c r="C6819" s="5">
        <v>5.8662503422632298E-34</v>
      </c>
      <c r="D6819" s="6">
        <v>1.6679003508228901E-32</v>
      </c>
      <c r="E6819" s="3" t="s">
        <v>1696</v>
      </c>
      <c r="F6819" s="3" t="s">
        <v>1697</v>
      </c>
      <c r="G6819" s="3">
        <v>381353</v>
      </c>
      <c r="H6819" s="7" t="str">
        <f>HYPERLINK("http://www.ensembl.org/Mus_musculus/Gene/Summary?db=core;g=ENSMUSG00000029419","ENSMUSG00000029419")</f>
        <v>ENSMUSG00000029419</v>
      </c>
      <c r="I6819" s="7" t="str">
        <f>HYPERLINK("http://www.informatics.jax.org/marker/MGI:2685842","MGI:2685842")</f>
        <v>MGI:2685842</v>
      </c>
      <c r="J6819" s="4" t="s">
        <v>12</v>
      </c>
    </row>
    <row r="6820" spans="1:10" x14ac:dyDescent="0.25">
      <c r="A6820" s="2">
        <v>2.1356332000412599</v>
      </c>
      <c r="B6820" s="3">
        <v>-1.40903162138231</v>
      </c>
      <c r="C6820" s="3">
        <v>2.45903545557417E-3</v>
      </c>
      <c r="D6820" s="4">
        <v>7.9701086924842904E-3</v>
      </c>
      <c r="E6820" s="3" t="s">
        <v>13043</v>
      </c>
      <c r="F6820" s="3" t="s">
        <v>13044</v>
      </c>
      <c r="G6820" s="3">
        <v>18799</v>
      </c>
      <c r="H6820" s="7" t="str">
        <f>HYPERLINK("http://www.ensembl.org/Mus_musculus/Gene/Summary?db=core;g=ENSMUSG00000010660","ENSMUSG00000010660")</f>
        <v>ENSMUSG00000010660</v>
      </c>
      <c r="I6820" s="7" t="str">
        <f>HYPERLINK("http://www.informatics.jax.org/marker/MGI:97614","MGI:97614")</f>
        <v>MGI:97614</v>
      </c>
      <c r="J6820" s="4" t="s">
        <v>12</v>
      </c>
    </row>
    <row r="6821" spans="1:10" x14ac:dyDescent="0.25">
      <c r="A6821" s="2">
        <v>218.496246419709</v>
      </c>
      <c r="B6821" s="3">
        <v>-1.4106630906492299</v>
      </c>
      <c r="C6821" s="5">
        <v>1.4585736960597201E-26</v>
      </c>
      <c r="D6821" s="6">
        <v>3.1310371744038099E-25</v>
      </c>
      <c r="E6821" s="3" t="s">
        <v>970</v>
      </c>
      <c r="F6821" s="3" t="s">
        <v>971</v>
      </c>
      <c r="G6821" s="3">
        <v>233781</v>
      </c>
      <c r="H6821" s="7" t="str">
        <f>HYPERLINK("http://www.ensembl.org/Mus_musculus/Gene/Summary?db=core;g=ENSMUSG00000030657","ENSMUSG00000030657")</f>
        <v>ENSMUSG00000030657</v>
      </c>
      <c r="I6821" s="7" t="str">
        <f>HYPERLINK("http://www.informatics.jax.org/marker/MGI:2451073","MGI:2451073")</f>
        <v>MGI:2451073</v>
      </c>
      <c r="J6821" s="4" t="s">
        <v>12</v>
      </c>
    </row>
    <row r="6822" spans="1:10" x14ac:dyDescent="0.25">
      <c r="A6822" s="2">
        <v>120.219955675294</v>
      </c>
      <c r="B6822" s="3">
        <v>-1.41214652654544</v>
      </c>
      <c r="C6822" s="5">
        <v>2.66822548333239E-20</v>
      </c>
      <c r="D6822" s="6">
        <v>4.2507350903612601E-19</v>
      </c>
      <c r="E6822" s="3" t="s">
        <v>3360</v>
      </c>
      <c r="F6822" s="3" t="s">
        <v>3361</v>
      </c>
      <c r="G6822" s="3">
        <v>12289</v>
      </c>
      <c r="H6822" s="7" t="str">
        <f>HYPERLINK("http://www.ensembl.org/Mus_musculus/Gene/Summary?db=core;g=ENSMUSG00000015968","ENSMUSG00000015968")</f>
        <v>ENSMUSG00000015968</v>
      </c>
      <c r="I6822" s="7" t="str">
        <f>HYPERLINK("http://www.informatics.jax.org/marker/MGI:88293","MGI:88293")</f>
        <v>MGI:88293</v>
      </c>
      <c r="J6822" s="4" t="s">
        <v>12</v>
      </c>
    </row>
    <row r="6823" spans="1:10" x14ac:dyDescent="0.25">
      <c r="A6823" s="2">
        <v>4.7023809837909196</v>
      </c>
      <c r="B6823" s="3">
        <v>-1.4148936620804</v>
      </c>
      <c r="C6823" s="3">
        <v>9.6461735117019597E-4</v>
      </c>
      <c r="D6823" s="4">
        <v>3.4056610467180898E-3</v>
      </c>
      <c r="E6823" s="3" t="s">
        <v>12563</v>
      </c>
      <c r="F6823" s="3" t="s">
        <v>12564</v>
      </c>
      <c r="G6823" s="3">
        <v>378435</v>
      </c>
      <c r="H6823" s="7" t="str">
        <f>HYPERLINK("http://www.ensembl.org/Mus_musculus/Gene/Summary?db=core;g=ENSMUSG00000047591","ENSMUSG00000047591")</f>
        <v>ENSMUSG00000047591</v>
      </c>
      <c r="I6823" s="7" t="str">
        <f>HYPERLINK("http://www.informatics.jax.org/marker/MGI:2673307","MGI:2673307")</f>
        <v>MGI:2673307</v>
      </c>
      <c r="J6823" s="4" t="s">
        <v>12</v>
      </c>
    </row>
    <row r="6824" spans="1:10" x14ac:dyDescent="0.25">
      <c r="A6824" s="2">
        <v>993.89055618333998</v>
      </c>
      <c r="B6824" s="3">
        <v>-1.4155695281629299</v>
      </c>
      <c r="C6824" s="5">
        <v>3.3363426736764399E-45</v>
      </c>
      <c r="D6824" s="6">
        <v>1.4010333001786401E-43</v>
      </c>
      <c r="E6824" s="3" t="s">
        <v>676</v>
      </c>
      <c r="F6824" s="3" t="s">
        <v>677</v>
      </c>
      <c r="G6824" s="3">
        <v>234686</v>
      </c>
      <c r="H6824" s="7" t="str">
        <f>HYPERLINK("http://www.ensembl.org/Mus_musculus/Gene/Summary?db=core;g=ENSMUSG00000014778","ENSMUSG00000014778")</f>
        <v>ENSMUSG00000014778</v>
      </c>
      <c r="I6824" s="7" t="str">
        <f>HYPERLINK("http://www.informatics.jax.org/marker/MGI:2679008","MGI:2679008")</f>
        <v>MGI:2679008</v>
      </c>
      <c r="J6824" s="4" t="s">
        <v>12</v>
      </c>
    </row>
    <row r="6825" spans="1:10" x14ac:dyDescent="0.25">
      <c r="A6825" s="2">
        <v>3.2876782895477898</v>
      </c>
      <c r="B6825" s="3">
        <v>-1.4205530785306899</v>
      </c>
      <c r="C6825" s="3">
        <v>1.44854412947017E-3</v>
      </c>
      <c r="D6825" s="4">
        <v>4.9456194753828798E-3</v>
      </c>
      <c r="E6825" s="3" t="s">
        <v>13431</v>
      </c>
      <c r="F6825" s="3" t="s">
        <v>13432</v>
      </c>
      <c r="G6825" s="3">
        <v>210027</v>
      </c>
      <c r="H6825" s="7" t="str">
        <f>HYPERLINK("http://www.ensembl.org/Mus_musculus/Gene/Summary?db=core;g=ENSMUSG00000057060","ENSMUSG00000057060")</f>
        <v>ENSMUSG00000057060</v>
      </c>
      <c r="I6825" s="7" t="str">
        <f>HYPERLINK("http://www.informatics.jax.org/marker/MGI:2444426","MGI:2444426")</f>
        <v>MGI:2444426</v>
      </c>
      <c r="J6825" s="4" t="s">
        <v>12</v>
      </c>
    </row>
    <row r="6826" spans="1:10" x14ac:dyDescent="0.25">
      <c r="A6826" s="2">
        <v>5.82803077989049</v>
      </c>
      <c r="B6826" s="3">
        <v>-1.42164307584538</v>
      </c>
      <c r="C6826" s="3">
        <v>6.4199707136649198E-4</v>
      </c>
      <c r="D6826" s="4">
        <v>2.33867611945919E-3</v>
      </c>
      <c r="E6826" s="3" t="s">
        <v>8321</v>
      </c>
      <c r="F6826" s="3" t="s">
        <v>8322</v>
      </c>
      <c r="G6826" s="3">
        <v>407831</v>
      </c>
      <c r="H6826" s="7" t="str">
        <f>HYPERLINK("http://www.ensembl.org/Mus_musculus/Gene/Summary?db=core;g=ENSMUSG00000024168","ENSMUSG00000024168")</f>
        <v>ENSMUSG00000024168</v>
      </c>
      <c r="I6826" s="7" t="str">
        <f>HYPERLINK("http://www.informatics.jax.org/marker/MGI:3039635","MGI:3039635")</f>
        <v>MGI:3039635</v>
      </c>
      <c r="J6826" s="4" t="s">
        <v>12</v>
      </c>
    </row>
    <row r="6827" spans="1:10" x14ac:dyDescent="0.25">
      <c r="A6827" s="2">
        <v>47.340260495865998</v>
      </c>
      <c r="B6827" s="3">
        <v>-1.42204738384375</v>
      </c>
      <c r="C6827" s="5">
        <v>2.1963884120921402E-12</v>
      </c>
      <c r="D6827" s="6">
        <v>2.1555831346461599E-11</v>
      </c>
      <c r="E6827" s="3" t="s">
        <v>4237</v>
      </c>
      <c r="F6827" s="3" t="s">
        <v>4238</v>
      </c>
      <c r="G6827" s="3">
        <v>16600</v>
      </c>
      <c r="H6827" s="7" t="str">
        <f>HYPERLINK("http://www.ensembl.org/Mus_musculus/Gene/Summary?db=core;g=ENSMUSG00000003032","ENSMUSG00000003032")</f>
        <v>ENSMUSG00000003032</v>
      </c>
      <c r="I6827" s="7" t="str">
        <f>HYPERLINK("http://www.informatics.jax.org/marker/MGI:1342287","MGI:1342287")</f>
        <v>MGI:1342287</v>
      </c>
      <c r="J6827" s="4" t="s">
        <v>12</v>
      </c>
    </row>
    <row r="6828" spans="1:10" x14ac:dyDescent="0.25">
      <c r="A6828" s="2">
        <v>74.471822105351393</v>
      </c>
      <c r="B6828" s="3">
        <v>-1.42232923214428</v>
      </c>
      <c r="C6828" s="5">
        <v>1.6221038747288299E-8</v>
      </c>
      <c r="D6828" s="6">
        <v>1.1043273484099E-7</v>
      </c>
      <c r="E6828" s="3" t="s">
        <v>10224</v>
      </c>
      <c r="F6828" s="3" t="s">
        <v>10225</v>
      </c>
      <c r="G6828" s="3">
        <v>102103</v>
      </c>
      <c r="H6828" s="7" t="str">
        <f>HYPERLINK("http://www.ensembl.org/Mus_musculus/Gene/Summary?db=core;g=ENSMUSG00000045636","ENSMUSG00000045636")</f>
        <v>ENSMUSG00000045636</v>
      </c>
      <c r="I6828" s="7" t="str">
        <f>HYPERLINK("http://www.informatics.jax.org/marker/MGI:2142572","MGI:2142572")</f>
        <v>MGI:2142572</v>
      </c>
      <c r="J6828" s="4" t="s">
        <v>12</v>
      </c>
    </row>
    <row r="6829" spans="1:10" x14ac:dyDescent="0.25">
      <c r="A6829" s="2">
        <v>42.349510604070701</v>
      </c>
      <c r="B6829" s="3">
        <v>-1.4226310214106701</v>
      </c>
      <c r="C6829" s="5">
        <v>1.6260204352396599E-12</v>
      </c>
      <c r="D6829" s="6">
        <v>1.62024179509256E-11</v>
      </c>
      <c r="E6829" s="3" t="s">
        <v>6886</v>
      </c>
      <c r="F6829" s="3" t="s">
        <v>6887</v>
      </c>
      <c r="G6829" s="3">
        <v>73095</v>
      </c>
      <c r="H6829" s="7" t="str">
        <f>HYPERLINK("http://www.ensembl.org/Mus_musculus/Gene/Summary?db=core;g=ENSMUSG00000002346","ENSMUSG00000002346")</f>
        <v>ENSMUSG00000002346</v>
      </c>
      <c r="I6829" s="7" t="str">
        <f>HYPERLINK("http://www.informatics.jax.org/marker/MGI:1920345","MGI:1920345")</f>
        <v>MGI:1920345</v>
      </c>
      <c r="J6829" s="4" t="s">
        <v>12</v>
      </c>
    </row>
    <row r="6830" spans="1:10" x14ac:dyDescent="0.25">
      <c r="A6830" s="2">
        <v>146.379418188946</v>
      </c>
      <c r="B6830" s="3">
        <v>-1.4246901950787501</v>
      </c>
      <c r="C6830" s="5">
        <v>1.18693773311341E-32</v>
      </c>
      <c r="D6830" s="6">
        <v>3.2259566281182899E-31</v>
      </c>
      <c r="E6830" s="3" t="s">
        <v>1788</v>
      </c>
      <c r="F6830" s="3" t="s">
        <v>1789</v>
      </c>
      <c r="G6830" s="3">
        <v>12009</v>
      </c>
      <c r="H6830" s="7" t="str">
        <f>HYPERLINK("http://www.ensembl.org/Mus_musculus/Gene/Summary?db=core;g=ENSMUSG00000039781","ENSMUSG00000039781")</f>
        <v>ENSMUSG00000039781</v>
      </c>
      <c r="I6830" s="7" t="str">
        <f>HYPERLINK("http://www.informatics.jax.org/marker/MGI:107440","MGI:107440")</f>
        <v>MGI:107440</v>
      </c>
      <c r="J6830" s="4" t="s">
        <v>12</v>
      </c>
    </row>
    <row r="6831" spans="1:10" x14ac:dyDescent="0.25">
      <c r="A6831" s="2">
        <v>1287.4768552605799</v>
      </c>
      <c r="B6831" s="3">
        <v>-1.43643196443313</v>
      </c>
      <c r="C6831" s="5">
        <v>2.1299341856224898E-45</v>
      </c>
      <c r="D6831" s="6">
        <v>9.0065082443085406E-44</v>
      </c>
      <c r="E6831" s="3" t="s">
        <v>810</v>
      </c>
      <c r="F6831" s="3" t="s">
        <v>811</v>
      </c>
      <c r="G6831" s="3">
        <v>17095</v>
      </c>
      <c r="H6831" s="7" t="str">
        <f>HYPERLINK("http://www.ensembl.org/Mus_musculus/Gene/Summary?db=core;g=ENSMUSG00000034041","ENSMUSG00000034041")</f>
        <v>ENSMUSG00000034041</v>
      </c>
      <c r="I6831" s="7" t="str">
        <f>HYPERLINK("http://www.informatics.jax.org/marker/MGI:96891","MGI:96891")</f>
        <v>MGI:96891</v>
      </c>
      <c r="J6831" s="4" t="s">
        <v>12</v>
      </c>
    </row>
    <row r="6832" spans="1:10" x14ac:dyDescent="0.25">
      <c r="A6832" s="2">
        <v>6.9272093144605096</v>
      </c>
      <c r="B6832" s="3">
        <v>-1.44129778088813</v>
      </c>
      <c r="C6832" s="3">
        <v>1.4213242154266701E-4</v>
      </c>
      <c r="D6832" s="4">
        <v>5.7859356323768205E-4</v>
      </c>
      <c r="E6832" s="3" t="s">
        <v>8985</v>
      </c>
      <c r="F6832" s="3" t="s">
        <v>8986</v>
      </c>
      <c r="G6832" s="3" t="s">
        <v>83</v>
      </c>
      <c r="H6832" s="7" t="str">
        <f>HYPERLINK("http://www.ensembl.org/Mus_musculus/Gene/Summary?db=core;g=ENSMUSG00000087277","ENSMUSG00000087277")</f>
        <v>ENSMUSG00000087277</v>
      </c>
      <c r="I6832" s="7" t="str">
        <f>HYPERLINK("http://www.informatics.jax.org/marker/MGI:1919329","MGI:1919329")</f>
        <v>MGI:1919329</v>
      </c>
      <c r="J6832" s="4" t="s">
        <v>939</v>
      </c>
    </row>
    <row r="6833" spans="1:10" x14ac:dyDescent="0.25">
      <c r="A6833" s="2">
        <v>41.563866042815299</v>
      </c>
      <c r="B6833" s="3">
        <v>-1.44583660917179</v>
      </c>
      <c r="C6833" s="5">
        <v>4.3563397065523702E-13</v>
      </c>
      <c r="D6833" s="6">
        <v>4.5394105861587701E-12</v>
      </c>
      <c r="E6833" s="3" t="s">
        <v>2720</v>
      </c>
      <c r="F6833" s="3" t="s">
        <v>2721</v>
      </c>
      <c r="G6833" s="3">
        <v>384763</v>
      </c>
      <c r="H6833" s="7" t="str">
        <f>HYPERLINK("http://www.ensembl.org/Mus_musculus/Gene/Summary?db=core;g=ENSMUSG00000054893","ENSMUSG00000054893")</f>
        <v>ENSMUSG00000054893</v>
      </c>
      <c r="I6833" s="7" t="str">
        <f>HYPERLINK("http://www.informatics.jax.org/marker/MGI:2442757","MGI:2442757")</f>
        <v>MGI:2442757</v>
      </c>
      <c r="J6833" s="4" t="s">
        <v>12</v>
      </c>
    </row>
    <row r="6834" spans="1:10" x14ac:dyDescent="0.25">
      <c r="A6834" s="2">
        <v>278.15404279041201</v>
      </c>
      <c r="B6834" s="3">
        <v>-1.45307674613814</v>
      </c>
      <c r="C6834" s="5">
        <v>1.6734114602672399E-52</v>
      </c>
      <c r="D6834" s="6">
        <v>8.4016319182838495E-51</v>
      </c>
      <c r="E6834" s="3" t="s">
        <v>756</v>
      </c>
      <c r="F6834" s="3" t="s">
        <v>757</v>
      </c>
      <c r="G6834" s="3">
        <v>70750</v>
      </c>
      <c r="H6834" s="7" t="str">
        <f>HYPERLINK("http://www.ensembl.org/Mus_musculus/Gene/Summary?db=core;g=ENSMUSG00000009905","ENSMUSG00000009905")</f>
        <v>ENSMUSG00000009905</v>
      </c>
      <c r="I6834" s="7" t="str">
        <f>HYPERLINK("http://www.informatics.jax.org/marker/MGI:1918000","MGI:1918000")</f>
        <v>MGI:1918000</v>
      </c>
      <c r="J6834" s="4" t="s">
        <v>12</v>
      </c>
    </row>
    <row r="6835" spans="1:10" x14ac:dyDescent="0.25">
      <c r="A6835" s="2">
        <v>26.930440959569101</v>
      </c>
      <c r="B6835" s="3">
        <v>-1.4573715177567901</v>
      </c>
      <c r="C6835" s="5">
        <v>1.5148317927956499E-7</v>
      </c>
      <c r="D6835" s="6">
        <v>9.3238127064169796E-7</v>
      </c>
      <c r="E6835" s="3" t="s">
        <v>9755</v>
      </c>
      <c r="F6835" s="3" t="s">
        <v>9756</v>
      </c>
      <c r="G6835" s="3" t="s">
        <v>83</v>
      </c>
      <c r="H6835" s="7" t="str">
        <f>HYPERLINK("http://www.ensembl.org/Mus_musculus/Gene/Summary?db=core;g=ENSMUSG00000114635","ENSMUSG00000114635")</f>
        <v>ENSMUSG00000114635</v>
      </c>
      <c r="I6835" s="7" t="str">
        <f>HYPERLINK("http://www.informatics.jax.org/marker/MGI:6121621","MGI:6121621")</f>
        <v>MGI:6121621</v>
      </c>
      <c r="J6835" s="4" t="s">
        <v>12</v>
      </c>
    </row>
    <row r="6836" spans="1:10" x14ac:dyDescent="0.25">
      <c r="A6836" s="2">
        <v>289.60290334937997</v>
      </c>
      <c r="B6836" s="3">
        <v>-1.45952526470648</v>
      </c>
      <c r="C6836" s="5">
        <v>9.260378932635699E-41</v>
      </c>
      <c r="D6836" s="6">
        <v>3.3157250696912701E-39</v>
      </c>
      <c r="E6836" s="3" t="s">
        <v>1364</v>
      </c>
      <c r="F6836" s="3" t="s">
        <v>1365</v>
      </c>
      <c r="G6836" s="3">
        <v>27027</v>
      </c>
      <c r="H6836" s="7" t="str">
        <f>HYPERLINK("http://www.ensembl.org/Mus_musculus/Gene/Summary?db=core;g=ENSMUSG00000000244","ENSMUSG00000000244")</f>
        <v>ENSMUSG00000000244</v>
      </c>
      <c r="I6836" s="7" t="str">
        <f>HYPERLINK("http://www.informatics.jax.org/marker/MGI:1350360","MGI:1350360")</f>
        <v>MGI:1350360</v>
      </c>
      <c r="J6836" s="4" t="s">
        <v>12</v>
      </c>
    </row>
    <row r="6837" spans="1:10" x14ac:dyDescent="0.25">
      <c r="A6837" s="2">
        <v>245.9759953274</v>
      </c>
      <c r="B6837" s="3">
        <v>-1.46114493701083</v>
      </c>
      <c r="C6837" s="5">
        <v>9.6585807316829005E-52</v>
      </c>
      <c r="D6837" s="6">
        <v>4.7319256407236797E-50</v>
      </c>
      <c r="E6837" s="3" t="s">
        <v>1676</v>
      </c>
      <c r="F6837" s="3" t="s">
        <v>1677</v>
      </c>
      <c r="G6837" s="3">
        <v>14051</v>
      </c>
      <c r="H6837" s="7" t="str">
        <f>HYPERLINK("http://www.ensembl.org/Mus_musculus/Gene/Summary?db=core;g=ENSMUSG00000010461","ENSMUSG00000010461")</f>
        <v>ENSMUSG00000010461</v>
      </c>
      <c r="I6837" s="7" t="str">
        <f>HYPERLINK("http://www.informatics.jax.org/marker/MGI:1337104","MGI:1337104")</f>
        <v>MGI:1337104</v>
      </c>
      <c r="J6837" s="4" t="s">
        <v>12</v>
      </c>
    </row>
    <row r="6838" spans="1:10" x14ac:dyDescent="0.25">
      <c r="A6838" s="2">
        <v>184.541273072124</v>
      </c>
      <c r="B6838" s="3">
        <v>-1.4633538455915001</v>
      </c>
      <c r="C6838" s="5">
        <v>8.4796016478036095E-21</v>
      </c>
      <c r="D6838" s="6">
        <v>1.3785971456844E-19</v>
      </c>
      <c r="E6838" s="3" t="s">
        <v>3996</v>
      </c>
      <c r="F6838" s="3" t="s">
        <v>3997</v>
      </c>
      <c r="G6838" s="3">
        <v>11727</v>
      </c>
      <c r="H6838" s="7" t="str">
        <f>HYPERLINK("http://www.ensembl.org/Mus_musculus/Gene/Summary?db=core;g=ENSMUSG00000072115","ENSMUSG00000072115")</f>
        <v>ENSMUSG00000072115</v>
      </c>
      <c r="I6838" s="7" t="str">
        <f>HYPERLINK("http://www.informatics.jax.org/marker/MGI:88022","MGI:88022")</f>
        <v>MGI:88022</v>
      </c>
      <c r="J6838" s="4" t="s">
        <v>12</v>
      </c>
    </row>
    <row r="6839" spans="1:10" x14ac:dyDescent="0.25">
      <c r="A6839" s="2">
        <v>208.41542417956401</v>
      </c>
      <c r="B6839" s="3">
        <v>-1.47518581328223</v>
      </c>
      <c r="C6839" s="5">
        <v>1.5248066787380301E-31</v>
      </c>
      <c r="D6839" s="6">
        <v>3.9699431028572099E-30</v>
      </c>
      <c r="E6839" s="3" t="s">
        <v>1118</v>
      </c>
      <c r="F6839" s="3" t="s">
        <v>1119</v>
      </c>
      <c r="G6839" s="3">
        <v>72194</v>
      </c>
      <c r="H6839" s="7" t="str">
        <f>HYPERLINK("http://www.ensembl.org/Mus_musculus/Gene/Summary?db=core;g=ENSMUSG00000020883","ENSMUSG00000020883")</f>
        <v>ENSMUSG00000020883</v>
      </c>
      <c r="I6839" s="7" t="str">
        <f>HYPERLINK("http://www.informatics.jax.org/marker/MGI:1919444","MGI:1919444")</f>
        <v>MGI:1919444</v>
      </c>
      <c r="J6839" s="4" t="s">
        <v>12</v>
      </c>
    </row>
    <row r="6840" spans="1:10" x14ac:dyDescent="0.25">
      <c r="A6840" s="2">
        <v>167.77677100124501</v>
      </c>
      <c r="B6840" s="3">
        <v>-1.4767701397830699</v>
      </c>
      <c r="C6840" s="5">
        <v>1.1297247359075301E-31</v>
      </c>
      <c r="D6840" s="6">
        <v>2.9582231769992399E-30</v>
      </c>
      <c r="E6840" s="3" t="s">
        <v>1216</v>
      </c>
      <c r="F6840" s="3" t="s">
        <v>1217</v>
      </c>
      <c r="G6840" s="3">
        <v>224454</v>
      </c>
      <c r="H6840" s="7" t="str">
        <f>HYPERLINK("http://www.ensembl.org/Mus_musculus/Gene/Summary?db=core;g=ENSMUSG00000034265","ENSMUSG00000034265")</f>
        <v>ENSMUSG00000034265</v>
      </c>
      <c r="I6840" s="7" t="str">
        <f>HYPERLINK("http://www.informatics.jax.org/marker/MGI:2653229","MGI:2653229")</f>
        <v>MGI:2653229</v>
      </c>
      <c r="J6840" s="4" t="s">
        <v>12</v>
      </c>
    </row>
    <row r="6841" spans="1:10" x14ac:dyDescent="0.25">
      <c r="A6841" s="2">
        <v>194.275989721282</v>
      </c>
      <c r="B6841" s="3">
        <v>-1.4779326578454</v>
      </c>
      <c r="C6841" s="5">
        <v>2.48851730453595E-18</v>
      </c>
      <c r="D6841" s="6">
        <v>3.5852354051516E-17</v>
      </c>
      <c r="E6841" s="3" t="s">
        <v>2768</v>
      </c>
      <c r="F6841" s="3" t="s">
        <v>2769</v>
      </c>
      <c r="G6841" s="3">
        <v>53376</v>
      </c>
      <c r="H6841" s="7" t="str">
        <f>HYPERLINK("http://www.ensembl.org/Mus_musculus/Gene/Summary?db=core;g=ENSMUSG00000032010","ENSMUSG00000032010")</f>
        <v>ENSMUSG00000032010</v>
      </c>
      <c r="I6841" s="7" t="str">
        <f>HYPERLINK("http://www.informatics.jax.org/marker/MGI:1858178","MGI:1858178")</f>
        <v>MGI:1858178</v>
      </c>
      <c r="J6841" s="4" t="s">
        <v>12</v>
      </c>
    </row>
    <row r="6842" spans="1:10" x14ac:dyDescent="0.25">
      <c r="A6842" s="2">
        <v>1624.3032265069901</v>
      </c>
      <c r="B6842" s="3">
        <v>-1.4782784996626499</v>
      </c>
      <c r="C6842" s="5">
        <v>1.37411119879603E-42</v>
      </c>
      <c r="D6842" s="6">
        <v>5.2391582841124895E-41</v>
      </c>
      <c r="E6842" s="3" t="s">
        <v>2587</v>
      </c>
      <c r="F6842" s="3" t="s">
        <v>2588</v>
      </c>
      <c r="G6842" s="3">
        <v>74030</v>
      </c>
      <c r="H6842" s="7" t="str">
        <f>HYPERLINK("http://www.ensembl.org/Mus_musculus/Gene/Summary?db=core;g=ENSMUSG00000001768","ENSMUSG00000001768")</f>
        <v>ENSMUSG00000001768</v>
      </c>
      <c r="I6842" s="7" t="str">
        <f>HYPERLINK("http://www.informatics.jax.org/marker/MGI:1921280","MGI:1921280")</f>
        <v>MGI:1921280</v>
      </c>
      <c r="J6842" s="4" t="s">
        <v>12</v>
      </c>
    </row>
    <row r="6843" spans="1:10" x14ac:dyDescent="0.25">
      <c r="A6843" s="2">
        <v>203.58294084569701</v>
      </c>
      <c r="B6843" s="3">
        <v>-1.4791026189237999</v>
      </c>
      <c r="C6843" s="5">
        <v>8.4184699890133698E-38</v>
      </c>
      <c r="D6843" s="6">
        <v>2.71071758921853E-36</v>
      </c>
      <c r="E6843" s="3" t="s">
        <v>736</v>
      </c>
      <c r="F6843" s="3" t="s">
        <v>737</v>
      </c>
      <c r="G6843" s="3">
        <v>76850</v>
      </c>
      <c r="H6843" s="7" t="str">
        <f>HYPERLINK("http://www.ensembl.org/Mus_musculus/Gene/Summary?db=core;g=ENSMUSG00000042500","ENSMUSG00000042500")</f>
        <v>ENSMUSG00000042500</v>
      </c>
      <c r="I6843" s="7" t="str">
        <f>HYPERLINK("http://www.informatics.jax.org/marker/MGI:1924100","MGI:1924100")</f>
        <v>MGI:1924100</v>
      </c>
      <c r="J6843" s="4" t="s">
        <v>12</v>
      </c>
    </row>
    <row r="6844" spans="1:10" x14ac:dyDescent="0.25">
      <c r="A6844" s="2">
        <v>252.033010223101</v>
      </c>
      <c r="B6844" s="3">
        <v>-1.4791109858569</v>
      </c>
      <c r="C6844" s="5">
        <v>8.4876229760559101E-38</v>
      </c>
      <c r="D6844" s="6">
        <v>2.7281645280179699E-36</v>
      </c>
      <c r="E6844" s="3" t="s">
        <v>806</v>
      </c>
      <c r="F6844" s="3" t="s">
        <v>807</v>
      </c>
      <c r="G6844" s="3">
        <v>217364</v>
      </c>
      <c r="H6844" s="7" t="str">
        <f>HYPERLINK("http://www.ensembl.org/Mus_musculus/Gene/Summary?db=core;g=ENSMUSG00000033857","ENSMUSG00000033857")</f>
        <v>ENSMUSG00000033857</v>
      </c>
      <c r="I6844" s="7" t="str">
        <f>HYPERLINK("http://www.informatics.jax.org/marker/MGI:2443788","MGI:2443788")</f>
        <v>MGI:2443788</v>
      </c>
      <c r="J6844" s="4" t="s">
        <v>12</v>
      </c>
    </row>
    <row r="6845" spans="1:10" x14ac:dyDescent="0.25">
      <c r="A6845" s="2">
        <v>332.66199890055498</v>
      </c>
      <c r="B6845" s="3">
        <v>-1.4792859105245699</v>
      </c>
      <c r="C6845" s="5">
        <v>2.9213964354727801E-58</v>
      </c>
      <c r="D6845" s="6">
        <v>1.68488765938264E-56</v>
      </c>
      <c r="E6845" s="3" t="s">
        <v>488</v>
      </c>
      <c r="F6845" s="3" t="s">
        <v>489</v>
      </c>
      <c r="G6845" s="3">
        <v>107771</v>
      </c>
      <c r="H6845" s="7" t="str">
        <f>HYPERLINK("http://www.ensembl.org/Mus_musculus/Gene/Summary?db=core;g=ENSMUSG00000049086","ENSMUSG00000049086")</f>
        <v>ENSMUSG00000049086</v>
      </c>
      <c r="I6845" s="7" t="str">
        <f>HYPERLINK("http://www.informatics.jax.org/marker/MGI:88184","MGI:88184")</f>
        <v>MGI:88184</v>
      </c>
      <c r="J6845" s="4" t="s">
        <v>12</v>
      </c>
    </row>
    <row r="6846" spans="1:10" x14ac:dyDescent="0.25">
      <c r="A6846" s="2">
        <v>14.2880292285128</v>
      </c>
      <c r="B6846" s="3">
        <v>-1.4859702745813099</v>
      </c>
      <c r="C6846" s="5">
        <v>1.6594242596196899E-7</v>
      </c>
      <c r="D6846" s="6">
        <v>1.01588871788945E-6</v>
      </c>
      <c r="E6846" s="3" t="s">
        <v>7304</v>
      </c>
      <c r="F6846" s="3" t="s">
        <v>7305</v>
      </c>
      <c r="G6846" s="3">
        <v>12398</v>
      </c>
      <c r="H6846" s="7" t="str">
        <f>HYPERLINK("http://www.ensembl.org/Mus_musculus/Gene/Summary?db=core;g=ENSMUSG00000006362","ENSMUSG00000006362")</f>
        <v>ENSMUSG00000006362</v>
      </c>
      <c r="I6846" s="7" t="str">
        <f>HYPERLINK("http://www.informatics.jax.org/marker/MGI:1338013","MGI:1338013")</f>
        <v>MGI:1338013</v>
      </c>
      <c r="J6846" s="4" t="s">
        <v>12</v>
      </c>
    </row>
    <row r="6847" spans="1:10" x14ac:dyDescent="0.25">
      <c r="A6847" s="2">
        <v>340.647164903987</v>
      </c>
      <c r="B6847" s="3">
        <v>-1.4865258072185299</v>
      </c>
      <c r="C6847" s="5">
        <v>4.41394332098855E-60</v>
      </c>
      <c r="D6847" s="6">
        <v>2.69043869648884E-58</v>
      </c>
      <c r="E6847" s="3" t="s">
        <v>276</v>
      </c>
      <c r="F6847" s="3" t="s">
        <v>277</v>
      </c>
      <c r="G6847" s="3">
        <v>19651</v>
      </c>
      <c r="H6847" s="7" t="str">
        <f>HYPERLINK("http://www.ensembl.org/Mus_musculus/Gene/Summary?db=core;g=ENSMUSG00000031666","ENSMUSG00000031666")</f>
        <v>ENSMUSG00000031666</v>
      </c>
      <c r="I6847" s="7" t="str">
        <f>HYPERLINK("http://www.informatics.jax.org/marker/MGI:105085","MGI:105085")</f>
        <v>MGI:105085</v>
      </c>
      <c r="J6847" s="4" t="s">
        <v>12</v>
      </c>
    </row>
    <row r="6848" spans="1:10" x14ac:dyDescent="0.25">
      <c r="A6848" s="2">
        <v>812.35641081410597</v>
      </c>
      <c r="B6848" s="3">
        <v>-1.4924878130432999</v>
      </c>
      <c r="C6848" s="5">
        <v>3.3284101098307399E-60</v>
      </c>
      <c r="D6848" s="6">
        <v>2.0562804831073001E-58</v>
      </c>
      <c r="E6848" s="3" t="s">
        <v>894</v>
      </c>
      <c r="F6848" s="3" t="s">
        <v>895</v>
      </c>
      <c r="G6848" s="3">
        <v>26382</v>
      </c>
      <c r="H6848" s="7" t="str">
        <f>HYPERLINK("http://www.ensembl.org/Mus_musculus/Gene/Summary?db=core;g=ENSMUSG00000024013","ENSMUSG00000024013")</f>
        <v>ENSMUSG00000024013</v>
      </c>
      <c r="I6848" s="7" t="str">
        <f>HYPERLINK("http://www.informatics.jax.org/marker/MGI:1347084","MGI:1347084")</f>
        <v>MGI:1347084</v>
      </c>
      <c r="J6848" s="4" t="s">
        <v>12</v>
      </c>
    </row>
    <row r="6849" spans="1:10" x14ac:dyDescent="0.25">
      <c r="A6849" s="2">
        <v>18.9207462327876</v>
      </c>
      <c r="B6849" s="3">
        <v>-1.4941631658674099</v>
      </c>
      <c r="C6849" s="5">
        <v>2.54536718994886E-7</v>
      </c>
      <c r="D6849" s="6">
        <v>1.52395916678114E-6</v>
      </c>
      <c r="E6849" s="3" t="s">
        <v>5573</v>
      </c>
      <c r="F6849" s="3" t="s">
        <v>5574</v>
      </c>
      <c r="G6849" s="3">
        <v>320127</v>
      </c>
      <c r="H6849" s="7" t="str">
        <f>HYPERLINK("http://www.ensembl.org/Mus_musculus/Gene/Summary?db=core;g=ENSMUSG00000038665","ENSMUSG00000038665")</f>
        <v>ENSMUSG00000038665</v>
      </c>
      <c r="I6849" s="7" t="str">
        <f>HYPERLINK("http://www.informatics.jax.org/marker/MGI:2443430","MGI:2443430")</f>
        <v>MGI:2443430</v>
      </c>
      <c r="J6849" s="4" t="s">
        <v>12</v>
      </c>
    </row>
    <row r="6850" spans="1:10" x14ac:dyDescent="0.25">
      <c r="A6850" s="2">
        <v>45.094565918691302</v>
      </c>
      <c r="B6850" s="3">
        <v>-1.49870703016508</v>
      </c>
      <c r="C6850" s="5">
        <v>1.3375263416473501E-13</v>
      </c>
      <c r="D6850" s="6">
        <v>1.43983565130082E-12</v>
      </c>
      <c r="E6850" s="3" t="s">
        <v>4793</v>
      </c>
      <c r="F6850" s="3" t="s">
        <v>4794</v>
      </c>
      <c r="G6850" s="3">
        <v>57781</v>
      </c>
      <c r="H6850" s="7" t="str">
        <f>HYPERLINK("http://www.ensembl.org/Mus_musculus/Gene/Summary?db=core;g=ENSMUSG00000022667","ENSMUSG00000022667")</f>
        <v>ENSMUSG00000022667</v>
      </c>
      <c r="I6850" s="7" t="str">
        <f>HYPERLINK("http://www.informatics.jax.org/marker/MGI:1889024","MGI:1889024")</f>
        <v>MGI:1889024</v>
      </c>
      <c r="J6850" s="4" t="s">
        <v>12</v>
      </c>
    </row>
    <row r="6851" spans="1:10" x14ac:dyDescent="0.25">
      <c r="A6851" s="2">
        <v>12.998281024173499</v>
      </c>
      <c r="B6851" s="3">
        <v>-1.49926786113896</v>
      </c>
      <c r="C6851" s="5">
        <v>4.5773197491761597E-6</v>
      </c>
      <c r="D6851" s="6">
        <v>2.35189321761307E-5</v>
      </c>
      <c r="E6851" s="3" t="s">
        <v>10410</v>
      </c>
      <c r="F6851" s="3" t="s">
        <v>10411</v>
      </c>
      <c r="G6851" s="3" t="s">
        <v>83</v>
      </c>
      <c r="H6851" s="7" t="str">
        <f>HYPERLINK("http://www.ensembl.org/Mus_musculus/Gene/Summary?db=core;g=ENSMUSG00000059659","ENSMUSG00000059659")</f>
        <v>ENSMUSG00000059659</v>
      </c>
      <c r="I6851" s="7" t="str">
        <f>HYPERLINK("http://www.informatics.jax.org/marker/MGI:3641875","MGI:3641875")</f>
        <v>MGI:3641875</v>
      </c>
      <c r="J6851" s="4" t="s">
        <v>932</v>
      </c>
    </row>
    <row r="6852" spans="1:10" x14ac:dyDescent="0.25">
      <c r="A6852" s="2">
        <v>2404.72914996088</v>
      </c>
      <c r="B6852" s="3">
        <v>-1.5012237171821099</v>
      </c>
      <c r="C6852" s="5">
        <v>2.2500389790012701E-67</v>
      </c>
      <c r="D6852" s="6">
        <v>1.6144472595393E-65</v>
      </c>
      <c r="E6852" s="3" t="s">
        <v>664</v>
      </c>
      <c r="F6852" s="3" t="s">
        <v>665</v>
      </c>
      <c r="G6852" s="3">
        <v>16331</v>
      </c>
      <c r="H6852" s="7" t="str">
        <f>HYPERLINK("http://www.ensembl.org/Mus_musculus/Gene/Summary?db=core;g=ENSMUSG00000026288","ENSMUSG00000026288")</f>
        <v>ENSMUSG00000026288</v>
      </c>
      <c r="I6852" s="7" t="str">
        <f>HYPERLINK("http://www.informatics.jax.org/marker/MGI:107357","MGI:107357")</f>
        <v>MGI:107357</v>
      </c>
      <c r="J6852" s="4" t="s">
        <v>12</v>
      </c>
    </row>
    <row r="6853" spans="1:10" x14ac:dyDescent="0.25">
      <c r="A6853" s="2">
        <v>33.264739221395899</v>
      </c>
      <c r="B6853" s="3">
        <v>-1.5084906738257899</v>
      </c>
      <c r="C6853" s="5">
        <v>1.34870758152013E-12</v>
      </c>
      <c r="D6853" s="6">
        <v>1.35056020182441E-11</v>
      </c>
      <c r="E6853" s="3" t="s">
        <v>7498</v>
      </c>
      <c r="F6853" s="3" t="s">
        <v>7499</v>
      </c>
      <c r="G6853" s="3">
        <v>68423</v>
      </c>
      <c r="H6853" s="7" t="str">
        <f>HYPERLINK("http://www.ensembl.org/Mus_musculus/Gene/Summary?db=core;g=ENSMUSG00000005986","ENSMUSG00000005986")</f>
        <v>ENSMUSG00000005986</v>
      </c>
      <c r="I6853" s="7" t="str">
        <f>HYPERLINK("http://www.informatics.jax.org/marker/MGI:1915673","MGI:1915673")</f>
        <v>MGI:1915673</v>
      </c>
      <c r="J6853" s="4" t="s">
        <v>12</v>
      </c>
    </row>
    <row r="6854" spans="1:10" x14ac:dyDescent="0.25">
      <c r="A6854" s="2">
        <v>8.8652576167899504</v>
      </c>
      <c r="B6854" s="3">
        <v>-1.5105545569851699</v>
      </c>
      <c r="C6854" s="3">
        <v>4.5121062467039002E-4</v>
      </c>
      <c r="D6854" s="4">
        <v>1.6875258843870001E-3</v>
      </c>
      <c r="E6854" s="3" t="s">
        <v>8349</v>
      </c>
      <c r="F6854" s="3" t="s">
        <v>8350</v>
      </c>
      <c r="G6854" s="3">
        <v>71918</v>
      </c>
      <c r="H6854" s="7" t="str">
        <f>HYPERLINK("http://www.ensembl.org/Mus_musculus/Gene/Summary?db=core;g=ENSMUSG00000055538","ENSMUSG00000055538")</f>
        <v>ENSMUSG00000055538</v>
      </c>
      <c r="I6854" s="7" t="str">
        <f>HYPERLINK("http://www.informatics.jax.org/marker/MGI:1919168","MGI:1919168")</f>
        <v>MGI:1919168</v>
      </c>
      <c r="J6854" s="4" t="s">
        <v>12</v>
      </c>
    </row>
    <row r="6855" spans="1:10" x14ac:dyDescent="0.25">
      <c r="A6855" s="2">
        <v>349.90820444559603</v>
      </c>
      <c r="B6855" s="3">
        <v>-1.51137936802566</v>
      </c>
      <c r="C6855" s="5">
        <v>2.0936223649650701E-11</v>
      </c>
      <c r="D6855" s="6">
        <v>1.8983217712183299E-10</v>
      </c>
      <c r="E6855" s="3" t="s">
        <v>5479</v>
      </c>
      <c r="F6855" s="3" t="s">
        <v>5480</v>
      </c>
      <c r="G6855" s="3">
        <v>20452</v>
      </c>
      <c r="H6855" s="7" t="str">
        <f>HYPERLINK("http://www.ensembl.org/Mus_musculus/Gene/Summary?db=core;g=ENSMUSG00000040710","ENSMUSG00000040710")</f>
        <v>ENSMUSG00000040710</v>
      </c>
      <c r="I6855" s="7" t="str">
        <f>HYPERLINK("http://www.informatics.jax.org/marker/MGI:106018","MGI:106018")</f>
        <v>MGI:106018</v>
      </c>
      <c r="J6855" s="4" t="s">
        <v>12</v>
      </c>
    </row>
    <row r="6856" spans="1:10" x14ac:dyDescent="0.25">
      <c r="A6856" s="2">
        <v>132.128935972216</v>
      </c>
      <c r="B6856" s="3">
        <v>-1.5122901563765601</v>
      </c>
      <c r="C6856" s="5">
        <v>2.07335827016204E-33</v>
      </c>
      <c r="D6856" s="6">
        <v>5.7778217849698999E-32</v>
      </c>
      <c r="E6856" s="3" t="s">
        <v>1254</v>
      </c>
      <c r="F6856" s="3" t="s">
        <v>1255</v>
      </c>
      <c r="G6856" s="3">
        <v>67477</v>
      </c>
      <c r="H6856" s="7" t="str">
        <f>HYPERLINK("http://www.ensembl.org/Mus_musculus/Gene/Summary?db=core;g=ENSMUSG00000000686","ENSMUSG00000000686")</f>
        <v>ENSMUSG00000000686</v>
      </c>
      <c r="I6856" s="7" t="str">
        <f>HYPERLINK("http://www.informatics.jax.org/marker/MGI:1914727","MGI:1914727")</f>
        <v>MGI:1914727</v>
      </c>
      <c r="J6856" s="4" t="s">
        <v>12</v>
      </c>
    </row>
    <row r="6857" spans="1:10" x14ac:dyDescent="0.25">
      <c r="A6857" s="2">
        <v>641.28711613123801</v>
      </c>
      <c r="B6857" s="3">
        <v>-1.5125339793720101</v>
      </c>
      <c r="C6857" s="5">
        <v>7.3740744529676095E-70</v>
      </c>
      <c r="D6857" s="6">
        <v>5.5305558397257099E-68</v>
      </c>
      <c r="E6857" s="3" t="s">
        <v>1728</v>
      </c>
      <c r="F6857" s="3" t="s">
        <v>1729</v>
      </c>
      <c r="G6857" s="3">
        <v>12524</v>
      </c>
      <c r="H6857" s="7" t="str">
        <f>HYPERLINK("http://www.ensembl.org/Mus_musculus/Gene/Summary?db=core;g=ENSMUSG00000022901","ENSMUSG00000022901")</f>
        <v>ENSMUSG00000022901</v>
      </c>
      <c r="I6857" s="7" t="str">
        <f>HYPERLINK("http://www.informatics.jax.org/marker/MGI:101773","MGI:101773")</f>
        <v>MGI:101773</v>
      </c>
      <c r="J6857" s="4" t="s">
        <v>12</v>
      </c>
    </row>
    <row r="6858" spans="1:10" x14ac:dyDescent="0.25">
      <c r="A6858" s="2">
        <v>578.01625070945499</v>
      </c>
      <c r="B6858" s="3">
        <v>-1.52912506129586</v>
      </c>
      <c r="C6858" s="5">
        <v>3.1745312361741501E-24</v>
      </c>
      <c r="D6858" s="6">
        <v>6.0709162412669404E-23</v>
      </c>
      <c r="E6858" s="3" t="s">
        <v>1426</v>
      </c>
      <c r="F6858" s="3" t="s">
        <v>1427</v>
      </c>
      <c r="G6858" s="3">
        <v>74048</v>
      </c>
      <c r="H6858" s="7" t="str">
        <f>HYPERLINK("http://www.ensembl.org/Mus_musculus/Gene/Summary?db=core;g=ENSMUSG00000020101","ENSMUSG00000020101")</f>
        <v>ENSMUSG00000020101</v>
      </c>
      <c r="I6858" s="7" t="str">
        <f>HYPERLINK("http://www.informatics.jax.org/marker/MGI:1921298","MGI:1921298")</f>
        <v>MGI:1921298</v>
      </c>
      <c r="J6858" s="4" t="s">
        <v>12</v>
      </c>
    </row>
    <row r="6859" spans="1:10" x14ac:dyDescent="0.25">
      <c r="A6859" s="2">
        <v>5.2923877647430499</v>
      </c>
      <c r="B6859" s="3">
        <v>-1.5319464523625099</v>
      </c>
      <c r="C6859" s="3">
        <v>5.2041539600629599E-4</v>
      </c>
      <c r="D6859" s="4">
        <v>1.92697492730897E-3</v>
      </c>
      <c r="E6859" s="3" t="s">
        <v>7940</v>
      </c>
      <c r="F6859" s="3" t="s">
        <v>7941</v>
      </c>
      <c r="G6859" s="3">
        <v>268451</v>
      </c>
      <c r="H6859" s="7" t="str">
        <f>HYPERLINK("http://www.ensembl.org/Mus_musculus/Gene/Summary?db=core;g=ENSMUSG00000017639","ENSMUSG00000017639")</f>
        <v>ENSMUSG00000017639</v>
      </c>
      <c r="I6859" s="7" t="str">
        <f>HYPERLINK("http://www.informatics.jax.org/marker/MGI:2442920","MGI:2442920")</f>
        <v>MGI:2442920</v>
      </c>
      <c r="J6859" s="4" t="s">
        <v>12</v>
      </c>
    </row>
    <row r="6860" spans="1:10" x14ac:dyDescent="0.25">
      <c r="A6860" s="2">
        <v>12.9982253519337</v>
      </c>
      <c r="B6860" s="3">
        <v>-1.5328341373896801</v>
      </c>
      <c r="C6860" s="5">
        <v>5.9691783607267401E-7</v>
      </c>
      <c r="D6860" s="6">
        <v>3.3996336132576499E-6</v>
      </c>
      <c r="E6860" s="3" t="s">
        <v>7242</v>
      </c>
      <c r="F6860" s="3" t="s">
        <v>7243</v>
      </c>
      <c r="G6860" s="3" t="s">
        <v>83</v>
      </c>
      <c r="H6860" s="7" t="str">
        <f>HYPERLINK("http://www.ensembl.org/Mus_musculus/Gene/Summary?db=core;g=ENSMUSG00000043126","ENSMUSG00000043126")</f>
        <v>ENSMUSG00000043126</v>
      </c>
      <c r="I6860" s="7" t="str">
        <f>HYPERLINK("http://www.informatics.jax.org/marker/MGI:2445111","MGI:2445111")</f>
        <v>MGI:2445111</v>
      </c>
      <c r="J6860" s="4" t="s">
        <v>932</v>
      </c>
    </row>
    <row r="6861" spans="1:10" x14ac:dyDescent="0.25">
      <c r="A6861" s="2">
        <v>34.375865487348101</v>
      </c>
      <c r="B6861" s="3">
        <v>-1.5340329672222901</v>
      </c>
      <c r="C6861" s="5">
        <v>9.7615747385311003E-12</v>
      </c>
      <c r="D6861" s="6">
        <v>9.0721417445043004E-11</v>
      </c>
      <c r="E6861" s="3" t="s">
        <v>4223</v>
      </c>
      <c r="F6861" s="3" t="s">
        <v>4224</v>
      </c>
      <c r="G6861" s="3">
        <v>16869</v>
      </c>
      <c r="H6861" s="7" t="str">
        <f>HYPERLINK("http://www.ensembl.org/Mus_musculus/Gene/Summary?db=core;g=ENSMUSG00000018698","ENSMUSG00000018698")</f>
        <v>ENSMUSG00000018698</v>
      </c>
      <c r="I6861" s="7" t="str">
        <f>HYPERLINK("http://www.informatics.jax.org/marker/MGI:99783","MGI:99783")</f>
        <v>MGI:99783</v>
      </c>
      <c r="J6861" s="4" t="s">
        <v>12</v>
      </c>
    </row>
    <row r="6862" spans="1:10" x14ac:dyDescent="0.25">
      <c r="A6862" s="2">
        <v>158.422845879557</v>
      </c>
      <c r="B6862" s="3">
        <v>-1.5343508235615499</v>
      </c>
      <c r="C6862" s="5">
        <v>1.21091068434326E-25</v>
      </c>
      <c r="D6862" s="6">
        <v>2.4936550533509501E-24</v>
      </c>
      <c r="E6862" s="3" t="s">
        <v>1658</v>
      </c>
      <c r="F6862" s="3" t="s">
        <v>1659</v>
      </c>
      <c r="G6862" s="3">
        <v>212398</v>
      </c>
      <c r="H6862" s="7" t="str">
        <f>HYPERLINK("http://www.ensembl.org/Mus_musculus/Gene/Summary?db=core;g=ENSMUSG00000047604","ENSMUSG00000047604")</f>
        <v>ENSMUSG00000047604</v>
      </c>
      <c r="I6862" s="7" t="str">
        <f>HYPERLINK("http://www.informatics.jax.org/marker/MGI:2673967","MGI:2673967")</f>
        <v>MGI:2673967</v>
      </c>
      <c r="J6862" s="4" t="s">
        <v>12</v>
      </c>
    </row>
    <row r="6863" spans="1:10" x14ac:dyDescent="0.25">
      <c r="A6863" s="2">
        <v>108.644098776045</v>
      </c>
      <c r="B6863" s="3">
        <v>-1.5351914858778699</v>
      </c>
      <c r="C6863" s="5">
        <v>3.2247188629326901E-18</v>
      </c>
      <c r="D6863" s="6">
        <v>4.6203224274330399E-17</v>
      </c>
      <c r="E6863" s="3" t="s">
        <v>2183</v>
      </c>
      <c r="F6863" s="3" t="s">
        <v>2184</v>
      </c>
      <c r="G6863" s="3">
        <v>77976</v>
      </c>
      <c r="H6863" s="7" t="str">
        <f>HYPERLINK("http://www.ensembl.org/Mus_musculus/Gene/Summary?db=core;g=ENSMUSG00000020032","ENSMUSG00000020032")</f>
        <v>ENSMUSG00000020032</v>
      </c>
      <c r="I6863" s="7" t="str">
        <f>HYPERLINK("http://www.informatics.jax.org/marker/MGI:1925226","MGI:1925226")</f>
        <v>MGI:1925226</v>
      </c>
      <c r="J6863" s="4" t="s">
        <v>12</v>
      </c>
    </row>
    <row r="6864" spans="1:10" x14ac:dyDescent="0.25">
      <c r="A6864" s="2">
        <v>5.45315640706563</v>
      </c>
      <c r="B6864" s="3">
        <v>-1.5409213773866799</v>
      </c>
      <c r="C6864" s="3">
        <v>3.08169789091256E-4</v>
      </c>
      <c r="D6864" s="4">
        <v>1.1826478008397901E-3</v>
      </c>
      <c r="E6864" s="3" t="s">
        <v>13897</v>
      </c>
      <c r="F6864" s="3" t="s">
        <v>13898</v>
      </c>
      <c r="G6864" s="3" t="s">
        <v>83</v>
      </c>
      <c r="H6864" s="7" t="str">
        <f>HYPERLINK("http://www.ensembl.org/Mus_musculus/Gene/Summary?db=core;g=ENSMUSG00000072837","ENSMUSG00000072837")</f>
        <v>ENSMUSG00000072837</v>
      </c>
      <c r="I6864" s="7" t="str">
        <f>HYPERLINK("http://www.informatics.jax.org/marker/MGI:3619433","MGI:3619433")</f>
        <v>MGI:3619433</v>
      </c>
      <c r="J6864" s="4" t="s">
        <v>6715</v>
      </c>
    </row>
    <row r="6865" spans="1:10" x14ac:dyDescent="0.25">
      <c r="A6865" s="2">
        <v>206.490912263621</v>
      </c>
      <c r="B6865" s="3">
        <v>-1.5453261043536901</v>
      </c>
      <c r="C6865" s="5">
        <v>2.9856098477532099E-36</v>
      </c>
      <c r="D6865" s="6">
        <v>9.0537004118639199E-35</v>
      </c>
      <c r="E6865" s="3" t="s">
        <v>1350</v>
      </c>
      <c r="F6865" s="3" t="s">
        <v>1351</v>
      </c>
      <c r="G6865" s="3">
        <v>14788</v>
      </c>
      <c r="H6865" s="7" t="str">
        <f>HYPERLINK("http://www.ensembl.org/Mus_musculus/Gene/Summary?db=core;g=ENSMUSG00000038390","ENSMUSG00000038390")</f>
        <v>ENSMUSG00000038390</v>
      </c>
      <c r="I6865" s="7" t="str">
        <f>HYPERLINK("http://www.informatics.jax.org/marker/MGI:1315214","MGI:1315214")</f>
        <v>MGI:1315214</v>
      </c>
      <c r="J6865" s="4" t="s">
        <v>12</v>
      </c>
    </row>
    <row r="6866" spans="1:10" x14ac:dyDescent="0.25">
      <c r="A6866" s="2">
        <v>538.44877475632597</v>
      </c>
      <c r="B6866" s="3">
        <v>-1.5475452827302401</v>
      </c>
      <c r="C6866" s="5">
        <v>2.6037831926057899E-59</v>
      </c>
      <c r="D6866" s="6">
        <v>1.55586717000789E-57</v>
      </c>
      <c r="E6866" s="3" t="s">
        <v>438</v>
      </c>
      <c r="F6866" s="3" t="s">
        <v>439</v>
      </c>
      <c r="G6866" s="3">
        <v>16848</v>
      </c>
      <c r="H6866" s="7" t="str">
        <f>HYPERLINK("http://www.ensembl.org/Mus_musculus/Gene/Summary?db=core;g=ENSMUSG00000029570","ENSMUSG00000029570")</f>
        <v>ENSMUSG00000029570</v>
      </c>
      <c r="I6866" s="7" t="str">
        <f>HYPERLINK("http://www.informatics.jax.org/marker/MGI:1095413","MGI:1095413")</f>
        <v>MGI:1095413</v>
      </c>
      <c r="J6866" s="4" t="s">
        <v>12</v>
      </c>
    </row>
    <row r="6867" spans="1:10" x14ac:dyDescent="0.25">
      <c r="A6867" s="2">
        <v>226.72055609442401</v>
      </c>
      <c r="B6867" s="3">
        <v>-1.55278906703941</v>
      </c>
      <c r="C6867" s="5">
        <v>4.8938107214038497E-49</v>
      </c>
      <c r="D6867" s="6">
        <v>2.2987036184944599E-47</v>
      </c>
      <c r="E6867" s="3" t="s">
        <v>710</v>
      </c>
      <c r="F6867" s="3" t="s">
        <v>711</v>
      </c>
      <c r="G6867" s="3">
        <v>12580</v>
      </c>
      <c r="H6867" s="7" t="str">
        <f>HYPERLINK("http://www.ensembl.org/Mus_musculus/Gene/Summary?db=core;g=ENSMUSG00000028551","ENSMUSG00000028551")</f>
        <v>ENSMUSG00000028551</v>
      </c>
      <c r="I6867" s="7" t="str">
        <f>HYPERLINK("http://www.informatics.jax.org/marker/MGI:105388","MGI:105388")</f>
        <v>MGI:105388</v>
      </c>
      <c r="J6867" s="4" t="s">
        <v>12</v>
      </c>
    </row>
    <row r="6868" spans="1:10" x14ac:dyDescent="0.25">
      <c r="A6868" s="2">
        <v>6.8564505095555202</v>
      </c>
      <c r="B6868" s="3">
        <v>-1.5531446582021899</v>
      </c>
      <c r="C6868" s="5">
        <v>7.4526303742269601E-5</v>
      </c>
      <c r="D6868" s="4">
        <v>3.1719801160739498E-4</v>
      </c>
      <c r="E6868" s="3" t="s">
        <v>7454</v>
      </c>
      <c r="F6868" s="3" t="s">
        <v>7455</v>
      </c>
      <c r="G6868" s="3">
        <v>72315</v>
      </c>
      <c r="H6868" s="7" t="str">
        <f>HYPERLINK("http://www.ensembl.org/Mus_musculus/Gene/Summary?db=core;g=ENSMUSG00000041617","ENSMUSG00000041617")</f>
        <v>ENSMUSG00000041617</v>
      </c>
      <c r="I6868" s="7" t="str">
        <f>HYPERLINK("http://www.informatics.jax.org/marker/MGI:1919565","MGI:1919565")</f>
        <v>MGI:1919565</v>
      </c>
      <c r="J6868" s="4" t="s">
        <v>12</v>
      </c>
    </row>
    <row r="6869" spans="1:10" x14ac:dyDescent="0.25">
      <c r="A6869" s="2">
        <v>21.039527621937498</v>
      </c>
      <c r="B6869" s="3">
        <v>-1.55350695065685</v>
      </c>
      <c r="C6869" s="5">
        <v>7.0908018233402097E-9</v>
      </c>
      <c r="D6869" s="6">
        <v>5.0205852070852902E-8</v>
      </c>
      <c r="E6869" s="3" t="s">
        <v>7152</v>
      </c>
      <c r="F6869" s="3" t="s">
        <v>7153</v>
      </c>
      <c r="G6869" s="3">
        <v>74511</v>
      </c>
      <c r="H6869" s="7" t="str">
        <f>HYPERLINK("http://www.ensembl.org/Mus_musculus/Gene/Summary?db=core;g=ENSMUSG00000039883","ENSMUSG00000039883")</f>
        <v>ENSMUSG00000039883</v>
      </c>
      <c r="I6869" s="7" t="str">
        <f>HYPERLINK("http://www.informatics.jax.org/marker/MGI:1921761","MGI:1921761")</f>
        <v>MGI:1921761</v>
      </c>
      <c r="J6869" s="4" t="s">
        <v>12</v>
      </c>
    </row>
    <row r="6870" spans="1:10" x14ac:dyDescent="0.25">
      <c r="A6870" s="2">
        <v>49.531522839467101</v>
      </c>
      <c r="B6870" s="3">
        <v>-1.55361011955733</v>
      </c>
      <c r="C6870" s="5">
        <v>6.7041123514986704E-11</v>
      </c>
      <c r="D6870" s="6">
        <v>5.8265354127831799E-10</v>
      </c>
      <c r="E6870" s="3" t="s">
        <v>5345</v>
      </c>
      <c r="F6870" s="3" t="s">
        <v>5346</v>
      </c>
      <c r="G6870" s="3">
        <v>13609</v>
      </c>
      <c r="H6870" s="7" t="str">
        <f>HYPERLINK("http://www.ensembl.org/Mus_musculus/Gene/Summary?db=core;g=ENSMUSG00000045092","ENSMUSG00000045092")</f>
        <v>ENSMUSG00000045092</v>
      </c>
      <c r="I6870" s="7" t="str">
        <f>HYPERLINK("http://www.informatics.jax.org/marker/MGI:1096355","MGI:1096355")</f>
        <v>MGI:1096355</v>
      </c>
      <c r="J6870" s="4" t="s">
        <v>12</v>
      </c>
    </row>
    <row r="6871" spans="1:10" x14ac:dyDescent="0.25">
      <c r="A6871" s="2">
        <v>533.99606792970201</v>
      </c>
      <c r="B6871" s="3">
        <v>-1.55933590432351</v>
      </c>
      <c r="C6871" s="5">
        <v>1.54418170197709E-106</v>
      </c>
      <c r="D6871" s="6">
        <v>2.51274209986897E-104</v>
      </c>
      <c r="E6871" s="3" t="s">
        <v>140</v>
      </c>
      <c r="F6871" s="3" t="s">
        <v>141</v>
      </c>
      <c r="G6871" s="3">
        <v>78334</v>
      </c>
      <c r="H6871" s="7" t="str">
        <f>HYPERLINK("http://www.ensembl.org/Mus_musculus/Gene/Summary?db=core;g=ENSMUSG00000038481","ENSMUSG00000038481")</f>
        <v>ENSMUSG00000038481</v>
      </c>
      <c r="I6871" s="7" t="str">
        <f>HYPERLINK("http://www.informatics.jax.org/marker/MGI:1925584","MGI:1925584")</f>
        <v>MGI:1925584</v>
      </c>
      <c r="J6871" s="4" t="s">
        <v>12</v>
      </c>
    </row>
    <row r="6872" spans="1:10" x14ac:dyDescent="0.25">
      <c r="A6872" s="2">
        <v>15.1617227219398</v>
      </c>
      <c r="B6872" s="3">
        <v>-1.5601454049252399</v>
      </c>
      <c r="C6872" s="5">
        <v>2.1253905458960701E-6</v>
      </c>
      <c r="D6872" s="6">
        <v>1.13693110357957E-5</v>
      </c>
      <c r="E6872" s="3" t="s">
        <v>10208</v>
      </c>
      <c r="F6872" s="3" t="s">
        <v>10209</v>
      </c>
      <c r="G6872" s="3">
        <v>378460</v>
      </c>
      <c r="H6872" s="7" t="str">
        <f>HYPERLINK("http://www.ensembl.org/Mus_musculus/Gene/Summary?db=core;g=ENSMUSG00000032739","ENSMUSG00000032739")</f>
        <v>ENSMUSG00000032739</v>
      </c>
      <c r="I6872" s="7" t="str">
        <f>HYPERLINK("http://www.informatics.jax.org/marker/MGI:3576625","MGI:3576625")</f>
        <v>MGI:3576625</v>
      </c>
      <c r="J6872" s="4" t="s">
        <v>12</v>
      </c>
    </row>
    <row r="6873" spans="1:10" x14ac:dyDescent="0.25">
      <c r="A6873" s="2">
        <v>1642.2877599092001</v>
      </c>
      <c r="B6873" s="3">
        <v>-1.56118228266349</v>
      </c>
      <c r="C6873" s="5">
        <v>1.7828302131411799E-64</v>
      </c>
      <c r="D6873" s="6">
        <v>1.19896976511062E-62</v>
      </c>
      <c r="E6873" s="3" t="s">
        <v>592</v>
      </c>
      <c r="F6873" s="3" t="s">
        <v>593</v>
      </c>
      <c r="G6873" s="3">
        <v>17260</v>
      </c>
      <c r="H6873" s="7" t="str">
        <f>HYPERLINK("http://www.ensembl.org/Mus_musculus/Gene/Summary?db=core;g=ENSMUSG00000005583","ENSMUSG00000005583")</f>
        <v>ENSMUSG00000005583</v>
      </c>
      <c r="I6873" s="7" t="str">
        <f>HYPERLINK("http://www.informatics.jax.org/marker/MGI:99458","MGI:99458")</f>
        <v>MGI:99458</v>
      </c>
      <c r="J6873" s="4" t="s">
        <v>12</v>
      </c>
    </row>
    <row r="6874" spans="1:10" x14ac:dyDescent="0.25">
      <c r="A6874" s="2">
        <v>42.745404139816898</v>
      </c>
      <c r="B6874" s="3">
        <v>-1.5625308167816301</v>
      </c>
      <c r="C6874" s="5">
        <v>1.4656414552514101E-14</v>
      </c>
      <c r="D6874" s="6">
        <v>1.6767931903300099E-13</v>
      </c>
      <c r="E6874" s="3" t="s">
        <v>3974</v>
      </c>
      <c r="F6874" s="3" t="s">
        <v>3975</v>
      </c>
      <c r="G6874" s="3">
        <v>105841</v>
      </c>
      <c r="H6874" s="7" t="str">
        <f>HYPERLINK("http://www.ensembl.org/Mus_musculus/Gene/Summary?db=core;g=ENSMUSG00000036661","ENSMUSG00000036661")</f>
        <v>ENSMUSG00000036661</v>
      </c>
      <c r="I6874" s="7" t="str">
        <f>HYPERLINK("http://www.informatics.jax.org/marker/MGI:2146009","MGI:2146009")</f>
        <v>MGI:2146009</v>
      </c>
      <c r="J6874" s="4" t="s">
        <v>12</v>
      </c>
    </row>
    <row r="6875" spans="1:10" x14ac:dyDescent="0.25">
      <c r="A6875" s="2">
        <v>136.310379588784</v>
      </c>
      <c r="B6875" s="3">
        <v>-1.56381865776167</v>
      </c>
      <c r="C6875" s="5">
        <v>2.2762089627473401E-34</v>
      </c>
      <c r="D6875" s="6">
        <v>6.5328989521370496E-33</v>
      </c>
      <c r="E6875" s="3" t="s">
        <v>2439</v>
      </c>
      <c r="F6875" s="3" t="s">
        <v>2440</v>
      </c>
      <c r="G6875" s="3">
        <v>13844</v>
      </c>
      <c r="H6875" s="7" t="str">
        <f>HYPERLINK("http://www.ensembl.org/Mus_musculus/Gene/Summary?db=core;g=ENSMUSG00000028664","ENSMUSG00000028664")</f>
        <v>ENSMUSG00000028664</v>
      </c>
      <c r="I6875" s="7" t="str">
        <f>HYPERLINK("http://www.informatics.jax.org/marker/MGI:99611","MGI:99611")</f>
        <v>MGI:99611</v>
      </c>
      <c r="J6875" s="4" t="s">
        <v>12</v>
      </c>
    </row>
    <row r="6876" spans="1:10" x14ac:dyDescent="0.25">
      <c r="A6876" s="2">
        <v>17.5176677763308</v>
      </c>
      <c r="B6876" s="3">
        <v>-1.5652237046584601</v>
      </c>
      <c r="C6876" s="5">
        <v>5.1245356933888199E-6</v>
      </c>
      <c r="D6876" s="6">
        <v>2.6182972529299501E-5</v>
      </c>
      <c r="E6876" s="3" t="s">
        <v>9643</v>
      </c>
      <c r="F6876" s="3" t="s">
        <v>9644</v>
      </c>
      <c r="G6876" s="3">
        <v>637515</v>
      </c>
      <c r="H6876" s="7" t="str">
        <f>HYPERLINK("http://www.ensembl.org/Mus_musculus/Gene/Summary?db=core;g=ENSMUSG00000070390","ENSMUSG00000070390")</f>
        <v>ENSMUSG00000070390</v>
      </c>
      <c r="I6876" s="7" t="str">
        <f>HYPERLINK("http://www.informatics.jax.org/marker/MGI:3582959","MGI:3582959")</f>
        <v>MGI:3582959</v>
      </c>
      <c r="J6876" s="4" t="s">
        <v>12</v>
      </c>
    </row>
    <row r="6877" spans="1:10" x14ac:dyDescent="0.25">
      <c r="A6877" s="2">
        <v>1177.6745812004699</v>
      </c>
      <c r="B6877" s="3">
        <v>-1.5725414905228801</v>
      </c>
      <c r="C6877" s="5">
        <v>1.8315742892676901E-53</v>
      </c>
      <c r="D6877" s="6">
        <v>9.4029412456066393E-52</v>
      </c>
      <c r="E6877" s="3" t="s">
        <v>742</v>
      </c>
      <c r="F6877" s="3" t="s">
        <v>743</v>
      </c>
      <c r="G6877" s="3">
        <v>56857</v>
      </c>
      <c r="H6877" s="7" t="str">
        <f>HYPERLINK("http://www.ensembl.org/Mus_musculus/Gene/Summary?db=core;g=ENSMUSG00000032122","ENSMUSG00000032122")</f>
        <v>ENSMUSG00000032122</v>
      </c>
      <c r="I6877" s="7" t="str">
        <f>HYPERLINK("http://www.informatics.jax.org/marker/MGI:1929693","MGI:1929693")</f>
        <v>MGI:1929693</v>
      </c>
      <c r="J6877" s="4" t="s">
        <v>12</v>
      </c>
    </row>
    <row r="6878" spans="1:10" x14ac:dyDescent="0.25">
      <c r="A6878" s="2">
        <v>5.0982817205984601</v>
      </c>
      <c r="B6878" s="3">
        <v>-1.57539368499713</v>
      </c>
      <c r="C6878" s="3">
        <v>1.3760605225902301E-4</v>
      </c>
      <c r="D6878" s="4">
        <v>5.61421603407364E-4</v>
      </c>
      <c r="E6878" s="3" t="s">
        <v>10982</v>
      </c>
      <c r="F6878" s="3" t="s">
        <v>10983</v>
      </c>
      <c r="G6878" s="3" t="s">
        <v>83</v>
      </c>
      <c r="H6878" s="7" t="str">
        <f>HYPERLINK("http://www.ensembl.org/Mus_musculus/Gene/Summary?db=core;g=ENSMUSG00000108234","ENSMUSG00000108234")</f>
        <v>ENSMUSG00000108234</v>
      </c>
      <c r="I6878" s="7" t="str">
        <f>HYPERLINK("http://www.informatics.jax.org/marker/MGI:5690820","MGI:5690820")</f>
        <v>MGI:5690820</v>
      </c>
      <c r="J6878" s="4" t="s">
        <v>1828</v>
      </c>
    </row>
    <row r="6879" spans="1:10" x14ac:dyDescent="0.25">
      <c r="A6879" s="2">
        <v>41.268660937953598</v>
      </c>
      <c r="B6879" s="3">
        <v>-1.5756615298537799</v>
      </c>
      <c r="C6879" s="5">
        <v>2.4888851388476499E-11</v>
      </c>
      <c r="D6879" s="6">
        <v>2.2376429441782999E-10</v>
      </c>
      <c r="E6879" s="3" t="s">
        <v>3894</v>
      </c>
      <c r="F6879" s="3" t="s">
        <v>3895</v>
      </c>
      <c r="G6879" s="3">
        <v>14347</v>
      </c>
      <c r="H6879" s="7" t="str">
        <f>HYPERLINK("http://www.ensembl.org/Mus_musculus/Gene/Summary?db=core;g=ENSMUSG00000036587","ENSMUSG00000036587")</f>
        <v>ENSMUSG00000036587</v>
      </c>
      <c r="I6879" s="7" t="str">
        <f>HYPERLINK("http://www.informatics.jax.org/marker/MGI:107692","MGI:107692")</f>
        <v>MGI:107692</v>
      </c>
      <c r="J6879" s="4" t="s">
        <v>12</v>
      </c>
    </row>
    <row r="6880" spans="1:10" x14ac:dyDescent="0.25">
      <c r="A6880" s="2">
        <v>9.3579963162302295</v>
      </c>
      <c r="B6880" s="3">
        <v>-1.5757625687095</v>
      </c>
      <c r="C6880" s="5">
        <v>3.1928993662179797E-5</v>
      </c>
      <c r="D6880" s="4">
        <v>1.44557596410078E-4</v>
      </c>
      <c r="E6880" s="3" t="s">
        <v>9413</v>
      </c>
      <c r="F6880" s="3" t="s">
        <v>9414</v>
      </c>
      <c r="G6880" s="3">
        <v>12335</v>
      </c>
      <c r="H6880" s="7" t="str">
        <f>HYPERLINK("http://www.ensembl.org/Mus_musculus/Gene/Summary?db=core;g=ENSMUSG00000079110","ENSMUSG00000079110")</f>
        <v>ENSMUSG00000079110</v>
      </c>
      <c r="I6880" s="7" t="str">
        <f>HYPERLINK("http://www.informatics.jax.org/marker/MGI:107437","MGI:107437")</f>
        <v>MGI:107437</v>
      </c>
      <c r="J6880" s="4" t="s">
        <v>12</v>
      </c>
    </row>
    <row r="6881" spans="1:10" x14ac:dyDescent="0.25">
      <c r="A6881" s="2">
        <v>198.964153066129</v>
      </c>
      <c r="B6881" s="3">
        <v>-1.5877761181605501</v>
      </c>
      <c r="C6881" s="5">
        <v>2.6112537650630399E-29</v>
      </c>
      <c r="D6881" s="6">
        <v>6.2536267895234996E-28</v>
      </c>
      <c r="E6881" s="3" t="s">
        <v>850</v>
      </c>
      <c r="F6881" s="3" t="s">
        <v>851</v>
      </c>
      <c r="G6881" s="3">
        <v>27029</v>
      </c>
      <c r="H6881" s="7" t="str">
        <f>HYPERLINK("http://www.ensembl.org/Mus_musculus/Gene/Summary?db=core;g=ENSMUSG00000005043","ENSMUSG00000005043")</f>
        <v>ENSMUSG00000005043</v>
      </c>
      <c r="I6881" s="7" t="str">
        <f>HYPERLINK("http://www.informatics.jax.org/marker/MGI:1350341","MGI:1350341")</f>
        <v>MGI:1350341</v>
      </c>
      <c r="J6881" s="4" t="s">
        <v>12</v>
      </c>
    </row>
    <row r="6882" spans="1:10" x14ac:dyDescent="0.25">
      <c r="A6882" s="2">
        <v>17.4029706407017</v>
      </c>
      <c r="B6882" s="3">
        <v>-1.59338371045796</v>
      </c>
      <c r="C6882" s="5">
        <v>3.3356035084882501E-8</v>
      </c>
      <c r="D6882" s="6">
        <v>2.1922601493760701E-7</v>
      </c>
      <c r="E6882" s="3" t="s">
        <v>6411</v>
      </c>
      <c r="F6882" s="3" t="s">
        <v>6412</v>
      </c>
      <c r="G6882" s="3">
        <v>79196</v>
      </c>
      <c r="H6882" s="7" t="str">
        <f>HYPERLINK("http://www.ensembl.org/Mus_musculus/Gene/Summary?db=core;g=ENSMUSG00000037606","ENSMUSG00000037606")</f>
        <v>ENSMUSG00000037606</v>
      </c>
      <c r="I6882" s="7" t="str">
        <f>HYPERLINK("http://www.informatics.jax.org/marker/MGI:1930265","MGI:1930265")</f>
        <v>MGI:1930265</v>
      </c>
      <c r="J6882" s="4" t="s">
        <v>12</v>
      </c>
    </row>
    <row r="6883" spans="1:10" x14ac:dyDescent="0.25">
      <c r="A6883" s="2">
        <v>148.536738977233</v>
      </c>
      <c r="B6883" s="3">
        <v>-1.5969688023003501</v>
      </c>
      <c r="C6883" s="5">
        <v>4.0520059734234701E-25</v>
      </c>
      <c r="D6883" s="6">
        <v>8.1151438313893098E-24</v>
      </c>
      <c r="E6883" s="3" t="s">
        <v>2555</v>
      </c>
      <c r="F6883" s="3" t="s">
        <v>2556</v>
      </c>
      <c r="G6883" s="3">
        <v>194590</v>
      </c>
      <c r="H6883" s="7" t="str">
        <f>HYPERLINK("http://www.ensembl.org/Mus_musculus/Gene/Summary?db=core;g=ENSMUSG00000040855","ENSMUSG00000040855")</f>
        <v>ENSMUSG00000040855</v>
      </c>
      <c r="I6883" s="7" t="str">
        <f>HYPERLINK("http://www.informatics.jax.org/marker/MGI:2663511","MGI:2663511")</f>
        <v>MGI:2663511</v>
      </c>
      <c r="J6883" s="4" t="s">
        <v>12</v>
      </c>
    </row>
    <row r="6884" spans="1:10" x14ac:dyDescent="0.25">
      <c r="A6884" s="2">
        <v>530.79079163224503</v>
      </c>
      <c r="B6884" s="3">
        <v>-1.5996361367159799</v>
      </c>
      <c r="C6884" s="5">
        <v>5.9897779587338999E-46</v>
      </c>
      <c r="D6884" s="6">
        <v>2.5685577246570702E-44</v>
      </c>
      <c r="E6884" s="3" t="s">
        <v>774</v>
      </c>
      <c r="F6884" s="3" t="s">
        <v>775</v>
      </c>
      <c r="G6884" s="3">
        <v>75785</v>
      </c>
      <c r="H6884" s="7" t="str">
        <f>HYPERLINK("http://www.ensembl.org/Mus_musculus/Gene/Summary?db=core;g=ENSMUSG00000062901","ENSMUSG00000062901")</f>
        <v>ENSMUSG00000062901</v>
      </c>
      <c r="I6884" s="7" t="str">
        <f>HYPERLINK("http://www.informatics.jax.org/marker/MGI:1923035","MGI:1923035")</f>
        <v>MGI:1923035</v>
      </c>
      <c r="J6884" s="4" t="s">
        <v>12</v>
      </c>
    </row>
    <row r="6885" spans="1:10" x14ac:dyDescent="0.25">
      <c r="A6885" s="2">
        <v>513.03491310221602</v>
      </c>
      <c r="B6885" s="3">
        <v>-1.6045329281499801</v>
      </c>
      <c r="C6885" s="5">
        <v>4.8479429208522298E-59</v>
      </c>
      <c r="D6885" s="6">
        <v>2.8593449751628399E-57</v>
      </c>
      <c r="E6885" s="3" t="s">
        <v>386</v>
      </c>
      <c r="F6885" s="3" t="s">
        <v>387</v>
      </c>
      <c r="G6885" s="3">
        <v>52468</v>
      </c>
      <c r="H6885" s="7" t="str">
        <f>HYPERLINK("http://www.ensembl.org/Mus_musculus/Gene/Summary?db=core;g=ENSMUSG00000078429","ENSMUSG00000078429")</f>
        <v>ENSMUSG00000078429</v>
      </c>
      <c r="I6885" s="7" t="str">
        <f>HYPERLINK("http://www.informatics.jax.org/marker/MGI:1098748","MGI:1098748")</f>
        <v>MGI:1098748</v>
      </c>
      <c r="J6885" s="4" t="s">
        <v>12</v>
      </c>
    </row>
    <row r="6886" spans="1:10" x14ac:dyDescent="0.25">
      <c r="A6886" s="2">
        <v>22.9175457338062</v>
      </c>
      <c r="B6886" s="3">
        <v>-1.6216774907057101</v>
      </c>
      <c r="C6886" s="5">
        <v>5.6071455738129204E-9</v>
      </c>
      <c r="D6886" s="6">
        <v>4.0137560126763699E-8</v>
      </c>
      <c r="E6886" s="3" t="s">
        <v>6065</v>
      </c>
      <c r="F6886" s="3" t="s">
        <v>6066</v>
      </c>
      <c r="G6886" s="3">
        <v>70788</v>
      </c>
      <c r="H6886" s="7" t="str">
        <f>HYPERLINK("http://www.ensembl.org/Mus_musculus/Gene/Summary?db=core;g=ENSMUSG00000026308","ENSMUSG00000026308")</f>
        <v>ENSMUSG00000026308</v>
      </c>
      <c r="I6886" s="7" t="str">
        <f>HYPERLINK("http://www.informatics.jax.org/marker/MGI:1918038","MGI:1918038")</f>
        <v>MGI:1918038</v>
      </c>
      <c r="J6886" s="4" t="s">
        <v>12</v>
      </c>
    </row>
    <row r="6887" spans="1:10" x14ac:dyDescent="0.25">
      <c r="A6887" s="2">
        <v>248.91977889457701</v>
      </c>
      <c r="B6887" s="3">
        <v>-1.6299749552774501</v>
      </c>
      <c r="C6887" s="5">
        <v>5.7463757830926901E-33</v>
      </c>
      <c r="D6887" s="6">
        <v>1.5796032978410901E-31</v>
      </c>
      <c r="E6887" s="3" t="s">
        <v>2673</v>
      </c>
      <c r="F6887" s="3" t="s">
        <v>2674</v>
      </c>
      <c r="G6887" s="3">
        <v>24014</v>
      </c>
      <c r="H6887" s="7" t="str">
        <f>HYPERLINK("http://www.ensembl.org/Mus_musculus/Gene/Summary?db=core;g=ENSMUSG00000066800","ENSMUSG00000066800")</f>
        <v>ENSMUSG00000066800</v>
      </c>
      <c r="I6887" s="7" t="str">
        <f>HYPERLINK("http://www.informatics.jax.org/marker/MGI:1098272","MGI:1098272")</f>
        <v>MGI:1098272</v>
      </c>
      <c r="J6887" s="4" t="s">
        <v>12</v>
      </c>
    </row>
    <row r="6888" spans="1:10" x14ac:dyDescent="0.25">
      <c r="A6888" s="2">
        <v>475.96677053573598</v>
      </c>
      <c r="B6888" s="3">
        <v>-1.63393733803688</v>
      </c>
      <c r="C6888" s="5">
        <v>1.2159917350886299E-32</v>
      </c>
      <c r="D6888" s="6">
        <v>3.29783472797476E-31</v>
      </c>
      <c r="E6888" s="3" t="s">
        <v>1881</v>
      </c>
      <c r="F6888" s="3" t="s">
        <v>1882</v>
      </c>
      <c r="G6888" s="3">
        <v>17064</v>
      </c>
      <c r="H6888" s="7" t="str">
        <f>HYPERLINK("http://www.ensembl.org/Mus_musculus/Gene/Summary?db=core;g=ENSMUSG00000027435","ENSMUSG00000027435")</f>
        <v>ENSMUSG00000027435</v>
      </c>
      <c r="I6888" s="7" t="str">
        <f>HYPERLINK("http://www.informatics.jax.org/marker/MGI:106664","MGI:106664")</f>
        <v>MGI:106664</v>
      </c>
      <c r="J6888" s="4" t="s">
        <v>12</v>
      </c>
    </row>
    <row r="6889" spans="1:10" x14ac:dyDescent="0.25">
      <c r="A6889" s="2">
        <v>10.6457024597026</v>
      </c>
      <c r="B6889" s="3">
        <v>-1.6374935087704401</v>
      </c>
      <c r="C6889" s="5">
        <v>6.3801714626364203E-6</v>
      </c>
      <c r="D6889" s="6">
        <v>3.2138923412534198E-5</v>
      </c>
      <c r="E6889" s="3" t="s">
        <v>12539</v>
      </c>
      <c r="F6889" s="3" t="s">
        <v>12540</v>
      </c>
      <c r="G6889" s="3">
        <v>240892</v>
      </c>
      <c r="H6889" s="7" t="str">
        <f>HYPERLINK("http://www.ensembl.org/Mus_musculus/Gene/Summary?db=core;g=ENSMUSG00000026564","ENSMUSG00000026564")</f>
        <v>ENSMUSG00000026564</v>
      </c>
      <c r="I6889" s="7" t="str">
        <f>HYPERLINK("http://www.informatics.jax.org/marker/MGI:2685055","MGI:2685055")</f>
        <v>MGI:2685055</v>
      </c>
      <c r="J6889" s="4" t="s">
        <v>12</v>
      </c>
    </row>
    <row r="6890" spans="1:10" x14ac:dyDescent="0.25">
      <c r="A6890" s="2">
        <v>335.16534452398002</v>
      </c>
      <c r="B6890" s="3">
        <v>-1.6385040461942799</v>
      </c>
      <c r="C6890" s="5">
        <v>3.71181541903615E-59</v>
      </c>
      <c r="D6890" s="6">
        <v>2.19635831207578E-57</v>
      </c>
      <c r="E6890" s="3" t="s">
        <v>604</v>
      </c>
      <c r="F6890" s="3" t="s">
        <v>605</v>
      </c>
      <c r="G6890" s="3">
        <v>16582</v>
      </c>
      <c r="H6890" s="7" t="str">
        <f>HYPERLINK("http://www.ensembl.org/Mus_musculus/Gene/Summary?db=core;g=ENSMUSG00000031788","ENSMUSG00000031788")</f>
        <v>ENSMUSG00000031788</v>
      </c>
      <c r="I6890" s="7" t="str">
        <f>HYPERLINK("http://www.informatics.jax.org/marker/MGI:109202","MGI:109202")</f>
        <v>MGI:109202</v>
      </c>
      <c r="J6890" s="4" t="s">
        <v>12</v>
      </c>
    </row>
    <row r="6891" spans="1:10" x14ac:dyDescent="0.25">
      <c r="A6891" s="2">
        <v>10.7497784654144</v>
      </c>
      <c r="B6891" s="3">
        <v>-1.64099125400838</v>
      </c>
      <c r="C6891" s="5">
        <v>1.58583735330135E-5</v>
      </c>
      <c r="D6891" s="6">
        <v>7.5206572375532494E-5</v>
      </c>
      <c r="E6891" s="3" t="s">
        <v>7856</v>
      </c>
      <c r="F6891" s="3" t="s">
        <v>7857</v>
      </c>
      <c r="G6891" s="3" t="s">
        <v>83</v>
      </c>
      <c r="H6891" s="7" t="str">
        <f>HYPERLINK("http://www.ensembl.org/Mus_musculus/Gene/Summary?db=core;g=ENSMUSG00000086291","ENSMUSG00000086291")</f>
        <v>ENSMUSG00000086291</v>
      </c>
      <c r="I6891" s="7" t="str">
        <f>HYPERLINK("http://www.informatics.jax.org/marker/MGI:3782961","MGI:3782961")</f>
        <v>MGI:3782961</v>
      </c>
      <c r="J6891" s="4" t="s">
        <v>4024</v>
      </c>
    </row>
    <row r="6892" spans="1:10" x14ac:dyDescent="0.25">
      <c r="A6892" s="2">
        <v>25.216373906864199</v>
      </c>
      <c r="B6892" s="3">
        <v>-1.64349804262508</v>
      </c>
      <c r="C6892" s="5">
        <v>7.37072711753986E-11</v>
      </c>
      <c r="D6892" s="6">
        <v>6.3754865551572803E-10</v>
      </c>
      <c r="E6892" s="3" t="s">
        <v>7866</v>
      </c>
      <c r="F6892" s="3" t="s">
        <v>7867</v>
      </c>
      <c r="G6892" s="3" t="s">
        <v>83</v>
      </c>
      <c r="H6892" s="7" t="str">
        <f>HYPERLINK("http://www.ensembl.org/Mus_musculus/Gene/Summary?db=core;g=ENSMUSG00000110235","ENSMUSG00000110235")</f>
        <v>ENSMUSG00000110235</v>
      </c>
      <c r="I6892" s="7" t="str">
        <f>HYPERLINK("http://www.informatics.jax.org/marker/MGI:3644417","MGI:3644417")</f>
        <v>MGI:3644417</v>
      </c>
      <c r="J6892" s="4" t="s">
        <v>939</v>
      </c>
    </row>
    <row r="6893" spans="1:10" x14ac:dyDescent="0.25">
      <c r="A6893" s="2">
        <v>68.866888756442606</v>
      </c>
      <c r="B6893" s="3">
        <v>-1.6476341037345501</v>
      </c>
      <c r="C6893" s="5">
        <v>8.0442563654068301E-11</v>
      </c>
      <c r="D6893" s="6">
        <v>6.9317528255101399E-10</v>
      </c>
      <c r="E6893" s="3" t="s">
        <v>2031</v>
      </c>
      <c r="F6893" s="3" t="s">
        <v>2032</v>
      </c>
      <c r="G6893" s="3">
        <v>330812</v>
      </c>
      <c r="H6893" s="7" t="str">
        <f>HYPERLINK("http://www.ensembl.org/Mus_musculus/Gene/Summary?db=core;g=ENSMUSG00000047747","ENSMUSG00000047747")</f>
        <v>ENSMUSG00000047747</v>
      </c>
      <c r="I6893" s="7" t="str">
        <f>HYPERLINK("http://www.informatics.jax.org/marker/MGI:2443860","MGI:2443860")</f>
        <v>MGI:2443860</v>
      </c>
      <c r="J6893" s="4" t="s">
        <v>12</v>
      </c>
    </row>
    <row r="6894" spans="1:10" x14ac:dyDescent="0.25">
      <c r="A6894" s="2">
        <v>44.808772605381101</v>
      </c>
      <c r="B6894" s="3">
        <v>-1.6491869694294501</v>
      </c>
      <c r="C6894" s="5">
        <v>9.6982508977719404E-11</v>
      </c>
      <c r="D6894" s="6">
        <v>8.2942572788312301E-10</v>
      </c>
      <c r="E6894" s="3" t="s">
        <v>4039</v>
      </c>
      <c r="F6894" s="3" t="s">
        <v>4040</v>
      </c>
      <c r="G6894" s="3">
        <v>114644</v>
      </c>
      <c r="H6894" s="7" t="str">
        <f>HYPERLINK("http://www.ensembl.org/Mus_musculus/Gene/Summary?db=core;g=ENSMUSG00000018459","ENSMUSG00000018459")</f>
        <v>ENSMUSG00000018459</v>
      </c>
      <c r="I6894" s="7" t="str">
        <f>HYPERLINK("http://www.informatics.jax.org/marker/MGI:2149635","MGI:2149635")</f>
        <v>MGI:2149635</v>
      </c>
      <c r="J6894" s="4" t="s">
        <v>12</v>
      </c>
    </row>
    <row r="6895" spans="1:10" x14ac:dyDescent="0.25">
      <c r="A6895" s="2">
        <v>10.238763074323799</v>
      </c>
      <c r="B6895" s="3">
        <v>-1.6494617360142501</v>
      </c>
      <c r="C6895" s="5">
        <v>1.48125503515728E-6</v>
      </c>
      <c r="D6895" s="6">
        <v>8.0898630553615303E-6</v>
      </c>
      <c r="E6895" s="3" t="s">
        <v>11933</v>
      </c>
      <c r="F6895" s="3" t="s">
        <v>11934</v>
      </c>
      <c r="G6895" s="3">
        <v>104027</v>
      </c>
      <c r="H6895" s="7" t="str">
        <f>HYPERLINK("http://www.ensembl.org/Mus_musculus/Gene/Summary?db=core;g=ENSMUSG00000043079","ENSMUSG00000043079")</f>
        <v>ENSMUSG00000043079</v>
      </c>
      <c r="I6895" s="7" t="str">
        <f>HYPERLINK("http://www.informatics.jax.org/marker/MGI:1099446","MGI:1099446")</f>
        <v>MGI:1099446</v>
      </c>
      <c r="J6895" s="4" t="s">
        <v>12</v>
      </c>
    </row>
    <row r="6896" spans="1:10" x14ac:dyDescent="0.25">
      <c r="A6896" s="2">
        <v>7.1900685585789796</v>
      </c>
      <c r="B6896" s="3">
        <v>-1.65163468692611</v>
      </c>
      <c r="C6896" s="5">
        <v>5.95009686557763E-5</v>
      </c>
      <c r="D6896" s="4">
        <v>2.5776209977454797E-4</v>
      </c>
      <c r="E6896" s="3" t="s">
        <v>10522</v>
      </c>
      <c r="F6896" s="3" t="s">
        <v>10523</v>
      </c>
      <c r="G6896" s="3" t="s">
        <v>83</v>
      </c>
      <c r="H6896" s="7" t="str">
        <f>HYPERLINK("http://www.ensembl.org/Mus_musculus/Gene/Summary?db=core;g=ENSMUSG00000104069","ENSMUSG00000104069")</f>
        <v>ENSMUSG00000104069</v>
      </c>
      <c r="I6896" s="7" t="str">
        <f>HYPERLINK("http://www.informatics.jax.org/marker/MGI:5610426","MGI:5610426")</f>
        <v>MGI:5610426</v>
      </c>
      <c r="J6896" s="4" t="s">
        <v>1828</v>
      </c>
    </row>
    <row r="6897" spans="1:10" x14ac:dyDescent="0.25">
      <c r="A6897" s="2">
        <v>13.690768492858799</v>
      </c>
      <c r="B6897" s="3">
        <v>-1.66267049080621</v>
      </c>
      <c r="C6897" s="5">
        <v>1.12362118720281E-6</v>
      </c>
      <c r="D6897" s="6">
        <v>6.2224236210182696E-6</v>
      </c>
      <c r="E6897" s="3" t="s">
        <v>7046</v>
      </c>
      <c r="F6897" s="3" t="s">
        <v>7047</v>
      </c>
      <c r="G6897" s="3">
        <v>54167</v>
      </c>
      <c r="H6897" s="7" t="str">
        <f>HYPERLINK("http://www.ensembl.org/Mus_musculus/Gene/Summary?db=core;g=ENSMUSG00000026009","ENSMUSG00000026009")</f>
        <v>ENSMUSG00000026009</v>
      </c>
      <c r="I6897" s="7" t="str">
        <f>HYPERLINK("http://www.informatics.jax.org/marker/MGI:1858745","MGI:1858745")</f>
        <v>MGI:1858745</v>
      </c>
      <c r="J6897" s="4" t="s">
        <v>12</v>
      </c>
    </row>
    <row r="6898" spans="1:10" x14ac:dyDescent="0.25">
      <c r="A6898" s="2">
        <v>109.206921576829</v>
      </c>
      <c r="B6898" s="3">
        <v>-1.66513287500625</v>
      </c>
      <c r="C6898" s="5">
        <v>8.0825749160884297E-16</v>
      </c>
      <c r="D6898" s="6">
        <v>1.0013931192774401E-14</v>
      </c>
      <c r="E6898" s="3" t="s">
        <v>6375</v>
      </c>
      <c r="F6898" s="3" t="s">
        <v>6376</v>
      </c>
      <c r="G6898" s="3">
        <v>12452</v>
      </c>
      <c r="H6898" s="7" t="str">
        <f>HYPERLINK("http://www.ensembl.org/Mus_musculus/Gene/Summary?db=core;g=ENSMUSG00000029385","ENSMUSG00000029385")</f>
        <v>ENSMUSG00000029385</v>
      </c>
      <c r="I6898" s="7" t="str">
        <f>HYPERLINK("http://www.informatics.jax.org/marker/MGI:1095734","MGI:1095734")</f>
        <v>MGI:1095734</v>
      </c>
      <c r="J6898" s="4" t="s">
        <v>12</v>
      </c>
    </row>
    <row r="6899" spans="1:10" x14ac:dyDescent="0.25">
      <c r="A6899" s="2">
        <v>14.089292716956701</v>
      </c>
      <c r="B6899" s="3">
        <v>-1.6690172594393899</v>
      </c>
      <c r="C6899" s="5">
        <v>3.0032380418120402E-7</v>
      </c>
      <c r="D6899" s="6">
        <v>1.78170616250079E-6</v>
      </c>
      <c r="E6899" s="3" t="s">
        <v>7530</v>
      </c>
      <c r="F6899" s="3" t="s">
        <v>7531</v>
      </c>
      <c r="G6899" s="3">
        <v>22354</v>
      </c>
      <c r="H6899" s="7" t="str">
        <f>HYPERLINK("http://www.ensembl.org/Mus_musculus/Gene/Summary?db=core;g=ENSMUSG00000032528","ENSMUSG00000032528")</f>
        <v>ENSMUSG00000032528</v>
      </c>
      <c r="I6899" s="7" t="str">
        <f>HYPERLINK("http://www.informatics.jax.org/marker/MGI:109272","MGI:109272")</f>
        <v>MGI:109272</v>
      </c>
      <c r="J6899" s="4" t="s">
        <v>12</v>
      </c>
    </row>
    <row r="6900" spans="1:10" x14ac:dyDescent="0.25">
      <c r="A6900" s="2">
        <v>1363.4602557360099</v>
      </c>
      <c r="B6900" s="3">
        <v>-1.66936836666347</v>
      </c>
      <c r="C6900" s="5">
        <v>1.14940732019127E-91</v>
      </c>
      <c r="D6900" s="6">
        <v>1.4547186396170799E-89</v>
      </c>
      <c r="E6900" s="3" t="s">
        <v>356</v>
      </c>
      <c r="F6900" s="3" t="s">
        <v>357</v>
      </c>
      <c r="G6900" s="3">
        <v>16403</v>
      </c>
      <c r="H6900" s="7" t="str">
        <f>HYPERLINK("http://www.ensembl.org/Mus_musculus/Gene/Summary?db=core;g=ENSMUSG00000027111","ENSMUSG00000027111")</f>
        <v>ENSMUSG00000027111</v>
      </c>
      <c r="I6900" s="7" t="str">
        <f>HYPERLINK("http://www.informatics.jax.org/marker/MGI:96605","MGI:96605")</f>
        <v>MGI:96605</v>
      </c>
      <c r="J6900" s="4" t="s">
        <v>12</v>
      </c>
    </row>
    <row r="6901" spans="1:10" x14ac:dyDescent="0.25">
      <c r="A6901" s="2">
        <v>735.75409770067097</v>
      </c>
      <c r="B6901" s="3">
        <v>-1.67727604470047</v>
      </c>
      <c r="C6901" s="5">
        <v>2.4184134405312099E-88</v>
      </c>
      <c r="D6901" s="6">
        <v>2.8620509710182601E-86</v>
      </c>
      <c r="E6901" s="3" t="s">
        <v>172</v>
      </c>
      <c r="F6901" s="3" t="s">
        <v>173</v>
      </c>
      <c r="G6901" s="3">
        <v>243219</v>
      </c>
      <c r="H6901" s="7" t="str">
        <f>HYPERLINK("http://www.ensembl.org/Mus_musculus/Gene/Summary?db=core;g=ENSMUSG00000051339","ENSMUSG00000051339")</f>
        <v>ENSMUSG00000051339</v>
      </c>
      <c r="I6901" s="7" t="str">
        <f>HYPERLINK("http://www.informatics.jax.org/marker/MGI:1920194","MGI:1920194")</f>
        <v>MGI:1920194</v>
      </c>
      <c r="J6901" s="4" t="s">
        <v>12</v>
      </c>
    </row>
    <row r="6902" spans="1:10" x14ac:dyDescent="0.25">
      <c r="A6902" s="2">
        <v>179.225929909683</v>
      </c>
      <c r="B6902" s="3">
        <v>-1.6826777410226199</v>
      </c>
      <c r="C6902" s="5">
        <v>6.1909049909197495E-29</v>
      </c>
      <c r="D6902" s="6">
        <v>1.46151869766208E-27</v>
      </c>
      <c r="E6902" s="3" t="s">
        <v>1416</v>
      </c>
      <c r="F6902" s="3" t="s">
        <v>1417</v>
      </c>
      <c r="G6902" s="3">
        <v>546611</v>
      </c>
      <c r="H6902" s="7" t="str">
        <f>HYPERLINK("http://www.ensembl.org/Mus_musculus/Gene/Summary?db=core;g=ENSMUSG00000090799","ENSMUSG00000090799")</f>
        <v>ENSMUSG00000090799</v>
      </c>
      <c r="I6902" s="7" t="str">
        <f>HYPERLINK("http://www.informatics.jax.org/marker/MGI:3644593","MGI:3644593")</f>
        <v>MGI:3644593</v>
      </c>
      <c r="J6902" s="4" t="s">
        <v>12</v>
      </c>
    </row>
    <row r="6903" spans="1:10" x14ac:dyDescent="0.25">
      <c r="A6903" s="2">
        <v>5.9828800803526203</v>
      </c>
      <c r="B6903" s="3">
        <v>-1.68295228446858</v>
      </c>
      <c r="C6903" s="5">
        <v>8.0698508325518402E-5</v>
      </c>
      <c r="D6903" s="4">
        <v>3.4210986606945199E-4</v>
      </c>
      <c r="E6903" s="3" t="s">
        <v>10642</v>
      </c>
      <c r="F6903" s="3" t="s">
        <v>10643</v>
      </c>
      <c r="G6903" s="3" t="s">
        <v>83</v>
      </c>
      <c r="H6903" s="7" t="str">
        <f>HYPERLINK("http://www.ensembl.org/Mus_musculus/Gene/Summary?db=core;g=ENSMUSG00000085048","ENSMUSG00000085048")</f>
        <v>ENSMUSG00000085048</v>
      </c>
      <c r="I6903" s="7" t="str">
        <f>HYPERLINK("http://www.informatics.jax.org/marker/MGI:3782985","MGI:3782985")</f>
        <v>MGI:3782985</v>
      </c>
      <c r="J6903" s="4" t="s">
        <v>932</v>
      </c>
    </row>
    <row r="6904" spans="1:10" x14ac:dyDescent="0.25">
      <c r="A6904" s="2">
        <v>231.511075639322</v>
      </c>
      <c r="B6904" s="3">
        <v>-1.68447985482107</v>
      </c>
      <c r="C6904" s="5">
        <v>1.2100302172119001E-47</v>
      </c>
      <c r="D6904" s="6">
        <v>5.4994515483009503E-46</v>
      </c>
      <c r="E6904" s="3" t="s">
        <v>720</v>
      </c>
      <c r="F6904" s="3" t="s">
        <v>721</v>
      </c>
      <c r="G6904" s="3">
        <v>18441</v>
      </c>
      <c r="H6904" s="7" t="str">
        <f>HYPERLINK("http://www.ensembl.org/Mus_musculus/Gene/Summary?db=core;g=ENSMUSG00000027765","ENSMUSG00000027765")</f>
        <v>ENSMUSG00000027765</v>
      </c>
      <c r="I6904" s="7" t="str">
        <f>HYPERLINK("http://www.informatics.jax.org/marker/MGI:105049","MGI:105049")</f>
        <v>MGI:105049</v>
      </c>
      <c r="J6904" s="4" t="s">
        <v>12</v>
      </c>
    </row>
    <row r="6905" spans="1:10" x14ac:dyDescent="0.25">
      <c r="A6905" s="2">
        <v>117.84031631978</v>
      </c>
      <c r="B6905" s="3">
        <v>-1.6866581509704299</v>
      </c>
      <c r="C6905" s="5">
        <v>1.55054845358613E-27</v>
      </c>
      <c r="D6905" s="6">
        <v>3.4588427866104401E-26</v>
      </c>
      <c r="E6905" s="3" t="s">
        <v>2081</v>
      </c>
      <c r="F6905" s="3" t="s">
        <v>2082</v>
      </c>
      <c r="G6905" s="3">
        <v>68526</v>
      </c>
      <c r="H6905" s="7" t="str">
        <f>HYPERLINK("http://www.ensembl.org/Mus_musculus/Gene/Summary?db=core;g=ENSMUSG00000041762","ENSMUSG00000041762")</f>
        <v>ENSMUSG00000041762</v>
      </c>
      <c r="I6905" s="7" t="str">
        <f>HYPERLINK("http://www.informatics.jax.org/marker/MGI:1915776","MGI:1915776")</f>
        <v>MGI:1915776</v>
      </c>
      <c r="J6905" s="4" t="s">
        <v>12</v>
      </c>
    </row>
    <row r="6906" spans="1:10" x14ac:dyDescent="0.25">
      <c r="A6906" s="2">
        <v>15.2961947918457</v>
      </c>
      <c r="B6906" s="3">
        <v>-1.69492756645709</v>
      </c>
      <c r="C6906" s="5">
        <v>2.49795371477683E-8</v>
      </c>
      <c r="D6906" s="6">
        <v>1.66729419698605E-7</v>
      </c>
      <c r="E6906" s="3" t="s">
        <v>7588</v>
      </c>
      <c r="F6906" s="3" t="s">
        <v>7589</v>
      </c>
      <c r="G6906" s="3">
        <v>15205</v>
      </c>
      <c r="H6906" s="7" t="str">
        <f>HYPERLINK("http://www.ensembl.org/Mus_musculus/Gene/Summary?db=core;g=ENSMUSG00000022528","ENSMUSG00000022528")</f>
        <v>ENSMUSG00000022528</v>
      </c>
      <c r="I6906" s="7" t="str">
        <f>HYPERLINK("http://www.informatics.jax.org/marker/MGI:104853","MGI:104853")</f>
        <v>MGI:104853</v>
      </c>
      <c r="J6906" s="4" t="s">
        <v>12</v>
      </c>
    </row>
    <row r="6907" spans="1:10" x14ac:dyDescent="0.25">
      <c r="A6907" s="2">
        <v>241.92229266315701</v>
      </c>
      <c r="B6907" s="3">
        <v>-1.6970508468229599</v>
      </c>
      <c r="C6907" s="5">
        <v>1.0461382936682399E-26</v>
      </c>
      <c r="D6907" s="6">
        <v>2.25898938413552E-25</v>
      </c>
      <c r="E6907" s="3" t="s">
        <v>1278</v>
      </c>
      <c r="F6907" s="3" t="s">
        <v>1279</v>
      </c>
      <c r="G6907" s="3">
        <v>14605</v>
      </c>
      <c r="H6907" s="7" t="str">
        <f>HYPERLINK("http://www.ensembl.org/Mus_musculus/Gene/Summary?db=core;g=ENSMUSG00000031431","ENSMUSG00000031431")</f>
        <v>ENSMUSG00000031431</v>
      </c>
      <c r="I6907" s="7" t="str">
        <f>HYPERLINK("http://www.informatics.jax.org/marker/MGI:1196284","MGI:1196284")</f>
        <v>MGI:1196284</v>
      </c>
      <c r="J6907" s="4" t="s">
        <v>12</v>
      </c>
    </row>
    <row r="6908" spans="1:10" x14ac:dyDescent="0.25">
      <c r="A6908" s="2">
        <v>531.87862876572694</v>
      </c>
      <c r="B6908" s="3">
        <v>-1.69705806613074</v>
      </c>
      <c r="C6908" s="5">
        <v>5.2429284070393005E-44</v>
      </c>
      <c r="D6908" s="6">
        <v>2.1000520927096999E-42</v>
      </c>
      <c r="E6908" s="3" t="s">
        <v>556</v>
      </c>
      <c r="F6908" s="3" t="s">
        <v>557</v>
      </c>
      <c r="G6908" s="3">
        <v>74760</v>
      </c>
      <c r="H6908" s="7" t="str">
        <f>HYPERLINK("http://www.ensembl.org/Mus_musculus/Gene/Summary?db=core;g=ENSMUSG00000024663","ENSMUSG00000024663")</f>
        <v>ENSMUSG00000024663</v>
      </c>
      <c r="I6908" s="7" t="str">
        <f>HYPERLINK("http://www.informatics.jax.org/marker/MGI:1922010","MGI:1922010")</f>
        <v>MGI:1922010</v>
      </c>
      <c r="J6908" s="4" t="s">
        <v>12</v>
      </c>
    </row>
    <row r="6909" spans="1:10" x14ac:dyDescent="0.25">
      <c r="A6909" s="2">
        <v>9.33998350407734</v>
      </c>
      <c r="B6909" s="3">
        <v>-1.6993834312824501</v>
      </c>
      <c r="C6909" s="5">
        <v>1.5372001270931601E-6</v>
      </c>
      <c r="D6909" s="6">
        <v>8.3753280467183606E-6</v>
      </c>
      <c r="E6909" s="3" t="s">
        <v>7690</v>
      </c>
      <c r="F6909" s="3" t="s">
        <v>7691</v>
      </c>
      <c r="G6909" s="3" t="s">
        <v>83</v>
      </c>
      <c r="H6909" s="7" t="str">
        <f>HYPERLINK("http://www.ensembl.org/Mus_musculus/Gene/Summary?db=core;g=ENSMUSG00000105311","ENSMUSG00000105311")</f>
        <v>ENSMUSG00000105311</v>
      </c>
      <c r="I6909" s="7" t="str">
        <f>HYPERLINK("http://www.informatics.jax.org/marker/MGI:5753150","MGI:5753150")</f>
        <v>MGI:5753150</v>
      </c>
      <c r="J6909" s="4" t="s">
        <v>331</v>
      </c>
    </row>
    <row r="6910" spans="1:10" x14ac:dyDescent="0.25">
      <c r="A6910" s="2">
        <v>566.44155351188897</v>
      </c>
      <c r="B6910" s="3">
        <v>-1.70597733374109</v>
      </c>
      <c r="C6910" s="5">
        <v>5.43454120067423E-89</v>
      </c>
      <c r="D6910" s="6">
        <v>6.5592392968402502E-87</v>
      </c>
      <c r="E6910" s="3" t="s">
        <v>388</v>
      </c>
      <c r="F6910" s="3" t="s">
        <v>389</v>
      </c>
      <c r="G6910" s="3">
        <v>230279</v>
      </c>
      <c r="H6910" s="7" t="str">
        <f>HYPERLINK("http://www.ensembl.org/Mus_musculus/Gene/Summary?db=core;g=ENSMUSG00000045917","ENSMUSG00000045917")</f>
        <v>ENSMUSG00000045917</v>
      </c>
      <c r="I6910" s="7" t="str">
        <f>HYPERLINK("http://www.informatics.jax.org/marker/MGI:1913920","MGI:1913920")</f>
        <v>MGI:1913920</v>
      </c>
      <c r="J6910" s="4" t="s">
        <v>12</v>
      </c>
    </row>
    <row r="6911" spans="1:10" x14ac:dyDescent="0.25">
      <c r="A6911" s="2">
        <v>234.490143982543</v>
      </c>
      <c r="B6911" s="3">
        <v>-1.7083926167896499</v>
      </c>
      <c r="C6911" s="5">
        <v>4.0684347264448698E-44</v>
      </c>
      <c r="D6911" s="6">
        <v>1.6404252851649901E-42</v>
      </c>
      <c r="E6911" s="3" t="s">
        <v>1348</v>
      </c>
      <c r="F6911" s="3" t="s">
        <v>1349</v>
      </c>
      <c r="G6911" s="3">
        <v>236920</v>
      </c>
      <c r="H6911" s="7" t="str">
        <f>HYPERLINK("http://www.ensembl.org/Mus_musculus/Gene/Summary?db=core;g=ENSMUSG00000031216","ENSMUSG00000031216")</f>
        <v>ENSMUSG00000031216</v>
      </c>
      <c r="I6911" s="7" t="str">
        <f>HYPERLINK("http://www.informatics.jax.org/marker/MGI:2448556","MGI:2448556")</f>
        <v>MGI:2448556</v>
      </c>
      <c r="J6911" s="4" t="s">
        <v>12</v>
      </c>
    </row>
    <row r="6912" spans="1:10" x14ac:dyDescent="0.25">
      <c r="A6912" s="2">
        <v>1331.7385390913</v>
      </c>
      <c r="B6912" s="3">
        <v>-1.7093337002789699</v>
      </c>
      <c r="C6912" s="5">
        <v>3.8641513885461498E-110</v>
      </c>
      <c r="D6912" s="6">
        <v>6.9726890154706496E-108</v>
      </c>
      <c r="E6912" s="3" t="s">
        <v>180</v>
      </c>
      <c r="F6912" s="3" t="s">
        <v>181</v>
      </c>
      <c r="G6912" s="3">
        <v>70719</v>
      </c>
      <c r="H6912" s="7" t="str">
        <f>HYPERLINK("http://www.ensembl.org/Mus_musculus/Gene/Summary?db=core;g=ENSMUSG00000035697","ENSMUSG00000035697")</f>
        <v>ENSMUSG00000035697</v>
      </c>
      <c r="I6912" s="7" t="str">
        <f>HYPERLINK("http://www.informatics.jax.org/marker/MGI:1917969","MGI:1917969")</f>
        <v>MGI:1917969</v>
      </c>
      <c r="J6912" s="4" t="s">
        <v>12</v>
      </c>
    </row>
    <row r="6913" spans="1:10" x14ac:dyDescent="0.25">
      <c r="A6913" s="2">
        <v>18.391702325063399</v>
      </c>
      <c r="B6913" s="3">
        <v>-1.71063605929921</v>
      </c>
      <c r="C6913" s="5">
        <v>3.29303103622933E-10</v>
      </c>
      <c r="D6913" s="6">
        <v>2.6876619182839002E-9</v>
      </c>
      <c r="E6913" s="3" t="s">
        <v>9453</v>
      </c>
      <c r="F6913" s="3" t="s">
        <v>9454</v>
      </c>
      <c r="G6913" s="3">
        <v>109245</v>
      </c>
      <c r="H6913" s="7" t="str">
        <f>HYPERLINK("http://www.ensembl.org/Mus_musculus/Gene/Summary?db=core;g=ENSMUSG00000027961","ENSMUSG00000027961")</f>
        <v>ENSMUSG00000027961</v>
      </c>
      <c r="I6913" s="7" t="str">
        <f>HYPERLINK("http://www.informatics.jax.org/marker/MGI:1924557","MGI:1924557")</f>
        <v>MGI:1924557</v>
      </c>
      <c r="J6913" s="4" t="s">
        <v>12</v>
      </c>
    </row>
    <row r="6914" spans="1:10" x14ac:dyDescent="0.25">
      <c r="A6914" s="2">
        <v>8.5844848881586096</v>
      </c>
      <c r="B6914" s="3">
        <v>-1.7119519241075201</v>
      </c>
      <c r="C6914" s="5">
        <v>1.65309923838456E-6</v>
      </c>
      <c r="D6914" s="6">
        <v>8.9612533074237403E-6</v>
      </c>
      <c r="E6914" s="3" t="s">
        <v>10988</v>
      </c>
      <c r="F6914" s="3" t="s">
        <v>10989</v>
      </c>
      <c r="G6914" s="3" t="s">
        <v>83</v>
      </c>
      <c r="H6914" s="7" t="str">
        <f>HYPERLINK("http://www.ensembl.org/Mus_musculus/Gene/Summary?db=core;g=ENSMUSG00000097773","ENSMUSG00000097773")</f>
        <v>ENSMUSG00000097773</v>
      </c>
      <c r="I6914" s="7" t="str">
        <f>HYPERLINK("http://www.informatics.jax.org/marker/MGI:3642104","MGI:3642104")</f>
        <v>MGI:3642104</v>
      </c>
      <c r="J6914" s="4" t="s">
        <v>3187</v>
      </c>
    </row>
    <row r="6915" spans="1:10" x14ac:dyDescent="0.25">
      <c r="A6915" s="2">
        <v>1135.8361421618399</v>
      </c>
      <c r="B6915" s="3">
        <v>-1.71617847360757</v>
      </c>
      <c r="C6915" s="5">
        <v>6.3113312977428399E-52</v>
      </c>
      <c r="D6915" s="6">
        <v>3.1087571054422498E-50</v>
      </c>
      <c r="E6915" s="3" t="s">
        <v>1806</v>
      </c>
      <c r="F6915" s="3" t="s">
        <v>1807</v>
      </c>
      <c r="G6915" s="3">
        <v>13730</v>
      </c>
      <c r="H6915" s="7" t="str">
        <f>HYPERLINK("http://www.ensembl.org/Mus_musculus/Gene/Summary?db=core;g=ENSMUSG00000030208","ENSMUSG00000030208")</f>
        <v>ENSMUSG00000030208</v>
      </c>
      <c r="I6915" s="7" t="str">
        <f>HYPERLINK("http://www.informatics.jax.org/marker/MGI:107941","MGI:107941")</f>
        <v>MGI:107941</v>
      </c>
      <c r="J6915" s="4" t="s">
        <v>12</v>
      </c>
    </row>
    <row r="6916" spans="1:10" x14ac:dyDescent="0.25">
      <c r="A6916" s="2">
        <v>26.094327263309701</v>
      </c>
      <c r="B6916" s="3">
        <v>-1.7214704984537501</v>
      </c>
      <c r="C6916" s="5">
        <v>1.2514571412700401E-7</v>
      </c>
      <c r="D6916" s="6">
        <v>7.7524834805052705E-7</v>
      </c>
      <c r="E6916" s="3" t="s">
        <v>9923</v>
      </c>
      <c r="F6916" s="3" t="s">
        <v>9924</v>
      </c>
      <c r="G6916" s="3">
        <v>74191</v>
      </c>
      <c r="H6916" s="7" t="str">
        <f>HYPERLINK("http://www.ensembl.org/Mus_musculus/Gene/Summary?db=core;g=ENSMUSG00000036362","ENSMUSG00000036362")</f>
        <v>ENSMUSG00000036362</v>
      </c>
      <c r="I6916" s="7" t="str">
        <f>HYPERLINK("http://www.informatics.jax.org/marker/MGI:1921441","MGI:1921441")</f>
        <v>MGI:1921441</v>
      </c>
      <c r="J6916" s="4" t="s">
        <v>12</v>
      </c>
    </row>
    <row r="6917" spans="1:10" x14ac:dyDescent="0.25">
      <c r="A6917" s="2">
        <v>129.78398090936699</v>
      </c>
      <c r="B6917" s="3">
        <v>-1.7238600753361299</v>
      </c>
      <c r="C6917" s="5">
        <v>3.4314548228261E-28</v>
      </c>
      <c r="D6917" s="6">
        <v>7.9062280841979403E-27</v>
      </c>
      <c r="E6917" s="3" t="s">
        <v>828</v>
      </c>
      <c r="F6917" s="3" t="s">
        <v>829</v>
      </c>
      <c r="G6917" s="3">
        <v>171543</v>
      </c>
      <c r="H6917" s="7" t="str">
        <f>HYPERLINK("http://www.ensembl.org/Mus_musculus/Gene/Summary?db=core;g=ENSMUSG00000040093","ENSMUSG00000040093")</f>
        <v>ENSMUSG00000040093</v>
      </c>
      <c r="I6917" s="7" t="str">
        <f>HYPERLINK("http://www.informatics.jax.org/marker/MGI:2176433","MGI:2176433")</f>
        <v>MGI:2176433</v>
      </c>
      <c r="J6917" s="4" t="s">
        <v>12</v>
      </c>
    </row>
    <row r="6918" spans="1:10" x14ac:dyDescent="0.25">
      <c r="A6918" s="2">
        <v>13.270415879661501</v>
      </c>
      <c r="B6918" s="3">
        <v>-1.72836804746256</v>
      </c>
      <c r="C6918" s="5">
        <v>2.41733836009494E-7</v>
      </c>
      <c r="D6918" s="6">
        <v>1.45159774671269E-6</v>
      </c>
      <c r="E6918" s="3" t="s">
        <v>11763</v>
      </c>
      <c r="F6918" s="3" t="s">
        <v>11764</v>
      </c>
      <c r="G6918" s="3" t="s">
        <v>83</v>
      </c>
      <c r="H6918" s="7" t="str">
        <f>HYPERLINK("http://www.ensembl.org/Mus_musculus/Gene/Summary?db=core;g=ENSMUSG00000087624","ENSMUSG00000087624")</f>
        <v>ENSMUSG00000087624</v>
      </c>
      <c r="I6918" s="7" t="str">
        <f>HYPERLINK("http://www.informatics.jax.org/marker/MGI:1924998","MGI:1924998")</f>
        <v>MGI:1924998</v>
      </c>
      <c r="J6918" s="4" t="s">
        <v>939</v>
      </c>
    </row>
    <row r="6919" spans="1:10" x14ac:dyDescent="0.25">
      <c r="A6919" s="2">
        <v>12.782391469559199</v>
      </c>
      <c r="B6919" s="3">
        <v>-1.73497975681029</v>
      </c>
      <c r="C6919" s="5">
        <v>5.2627850360219002E-7</v>
      </c>
      <c r="D6919" s="6">
        <v>3.0218732602866798E-6</v>
      </c>
      <c r="E6919" s="3" t="s">
        <v>9793</v>
      </c>
      <c r="F6919" s="3" t="s">
        <v>9794</v>
      </c>
      <c r="G6919" s="3" t="s">
        <v>83</v>
      </c>
      <c r="H6919" s="7" t="str">
        <f>HYPERLINK("http://www.ensembl.org/Mus_musculus/Gene/Summary?db=core;g=ENSMUSG00000073492","ENSMUSG00000073492")</f>
        <v>ENSMUSG00000073492</v>
      </c>
      <c r="I6919" s="7" t="str">
        <f>HYPERLINK("http://www.informatics.jax.org/marker/MGI:3642358","MGI:3642358")</f>
        <v>MGI:3642358</v>
      </c>
      <c r="J6919" s="4" t="s">
        <v>12</v>
      </c>
    </row>
    <row r="6920" spans="1:10" x14ac:dyDescent="0.25">
      <c r="A6920" s="2">
        <v>19.220867322946798</v>
      </c>
      <c r="B6920" s="3">
        <v>-1.7361503144387</v>
      </c>
      <c r="C6920" s="5">
        <v>8.3788508616136602E-9</v>
      </c>
      <c r="D6920" s="6">
        <v>5.89365329806673E-8</v>
      </c>
      <c r="E6920" s="3" t="s">
        <v>8003</v>
      </c>
      <c r="F6920" s="3" t="s">
        <v>8004</v>
      </c>
      <c r="G6920" s="3">
        <v>70789</v>
      </c>
      <c r="H6920" s="7" t="str">
        <f>HYPERLINK("http://www.ensembl.org/Mus_musculus/Gene/Summary?db=core;g=ENSMUSG00000026866","ENSMUSG00000026866")</f>
        <v>ENSMUSG00000026866</v>
      </c>
      <c r="I6920" s="7" t="str">
        <f>HYPERLINK("http://www.informatics.jax.org/marker/MGI:1918039","MGI:1918039")</f>
        <v>MGI:1918039</v>
      </c>
      <c r="J6920" s="4" t="s">
        <v>12</v>
      </c>
    </row>
    <row r="6921" spans="1:10" x14ac:dyDescent="0.25">
      <c r="A6921" s="2">
        <v>639.72155859313602</v>
      </c>
      <c r="B6921" s="3">
        <v>-1.7399502758524401</v>
      </c>
      <c r="C6921" s="5">
        <v>1.52701633067832E-86</v>
      </c>
      <c r="D6921" s="6">
        <v>1.77260335201353E-84</v>
      </c>
      <c r="E6921" s="3" t="s">
        <v>334</v>
      </c>
      <c r="F6921" s="3" t="s">
        <v>335</v>
      </c>
      <c r="G6921" s="3">
        <v>67991</v>
      </c>
      <c r="H6921" s="7" t="str">
        <f>HYPERLINK("http://www.ensembl.org/Mus_musculus/Gene/Summary?db=core;g=ENSMUSG00000026932","ENSMUSG00000026932")</f>
        <v>ENSMUSG00000026932</v>
      </c>
      <c r="I6921" s="7" t="str">
        <f>HYPERLINK("http://www.informatics.jax.org/marker/MGI:1915241","MGI:1915241")</f>
        <v>MGI:1915241</v>
      </c>
      <c r="J6921" s="4" t="s">
        <v>12</v>
      </c>
    </row>
    <row r="6922" spans="1:10" x14ac:dyDescent="0.25">
      <c r="A6922" s="2">
        <v>233.40323850377001</v>
      </c>
      <c r="B6922" s="3">
        <v>-1.74797638041069</v>
      </c>
      <c r="C6922" s="5">
        <v>5.9147018719992304E-18</v>
      </c>
      <c r="D6922" s="6">
        <v>8.3239723256514205E-17</v>
      </c>
      <c r="E6922" s="3" t="s">
        <v>4705</v>
      </c>
      <c r="F6922" s="3" t="s">
        <v>4706</v>
      </c>
      <c r="G6922" s="3">
        <v>246049</v>
      </c>
      <c r="H6922" s="7" t="str">
        <f>HYPERLINK("http://www.ensembl.org/Mus_musculus/Gene/Summary?db=core;g=ENSMUSG00000020264","ENSMUSG00000020264")</f>
        <v>ENSMUSG00000020264</v>
      </c>
      <c r="I6922" s="7" t="str">
        <f>HYPERLINK("http://www.informatics.jax.org/marker/MGI:1891430","MGI:1891430")</f>
        <v>MGI:1891430</v>
      </c>
      <c r="J6922" s="4" t="s">
        <v>12</v>
      </c>
    </row>
    <row r="6923" spans="1:10" x14ac:dyDescent="0.25">
      <c r="A6923" s="2">
        <v>20.1563485085147</v>
      </c>
      <c r="B6923" s="3">
        <v>-1.7493871531354299</v>
      </c>
      <c r="C6923" s="5">
        <v>3.2759633394961002E-10</v>
      </c>
      <c r="D6923" s="6">
        <v>2.67492974293532E-9</v>
      </c>
      <c r="E6923" s="3" t="s">
        <v>5477</v>
      </c>
      <c r="F6923" s="3" t="s">
        <v>5478</v>
      </c>
      <c r="G6923" s="3" t="s">
        <v>83</v>
      </c>
      <c r="H6923" s="7" t="str">
        <f>HYPERLINK("http://www.ensembl.org/Mus_musculus/Gene/Summary?db=core;g=ENSMUSG00000086119","ENSMUSG00000086119")</f>
        <v>ENSMUSG00000086119</v>
      </c>
      <c r="I6923" s="7" t="str">
        <f>HYPERLINK("http://www.informatics.jax.org/marker/MGI:3780582","MGI:3780582")</f>
        <v>MGI:3780582</v>
      </c>
      <c r="J6923" s="4" t="s">
        <v>932</v>
      </c>
    </row>
    <row r="6924" spans="1:10" x14ac:dyDescent="0.25">
      <c r="A6924" s="2">
        <v>641.99047602595101</v>
      </c>
      <c r="B6924" s="3">
        <v>-1.75384942536598</v>
      </c>
      <c r="C6924" s="5">
        <v>1.03861916374161E-47</v>
      </c>
      <c r="D6924" s="6">
        <v>4.7559885073343797E-46</v>
      </c>
      <c r="E6924" s="3" t="s">
        <v>476</v>
      </c>
      <c r="F6924" s="3" t="s">
        <v>477</v>
      </c>
      <c r="G6924" s="3">
        <v>98388</v>
      </c>
      <c r="H6924" s="7" t="str">
        <f>HYPERLINK("http://www.ensembl.org/Mus_musculus/Gene/Summary?db=core;g=ENSMUSG00000026080","ENSMUSG00000026080")</f>
        <v>ENSMUSG00000026080</v>
      </c>
      <c r="I6924" s="7" t="str">
        <f>HYPERLINK("http://www.informatics.jax.org/marker/MGI:2138283","MGI:2138283")</f>
        <v>MGI:2138283</v>
      </c>
      <c r="J6924" s="4" t="s">
        <v>12</v>
      </c>
    </row>
    <row r="6925" spans="1:10" x14ac:dyDescent="0.25">
      <c r="A6925" s="2">
        <v>119.82595846196099</v>
      </c>
      <c r="B6925" s="3">
        <v>-1.7540913265396501</v>
      </c>
      <c r="C6925" s="5">
        <v>1.72201451213475E-46</v>
      </c>
      <c r="D6925" s="6">
        <v>7.5080656659463605E-45</v>
      </c>
      <c r="E6925" s="3" t="s">
        <v>1080</v>
      </c>
      <c r="F6925" s="3" t="s">
        <v>1081</v>
      </c>
      <c r="G6925" s="3">
        <v>269608</v>
      </c>
      <c r="H6925" s="7" t="str">
        <f>HYPERLINK("http://www.ensembl.org/Mus_musculus/Gene/Summary?db=core;g=ENSMUSG00000039713","ENSMUSG00000039713")</f>
        <v>ENSMUSG00000039713</v>
      </c>
      <c r="I6925" s="7" t="str">
        <f>HYPERLINK("http://www.informatics.jax.org/marker/MGI:2652860","MGI:2652860")</f>
        <v>MGI:2652860</v>
      </c>
      <c r="J6925" s="4" t="s">
        <v>12</v>
      </c>
    </row>
    <row r="6926" spans="1:10" x14ac:dyDescent="0.25">
      <c r="A6926" s="2">
        <v>10.265198270139001</v>
      </c>
      <c r="B6926" s="3">
        <v>-1.7589434743794601</v>
      </c>
      <c r="C6926" s="5">
        <v>1.59557311982191E-6</v>
      </c>
      <c r="D6926" s="6">
        <v>8.6726275301981095E-6</v>
      </c>
      <c r="E6926" s="3" t="s">
        <v>7392</v>
      </c>
      <c r="F6926" s="3" t="s">
        <v>7393</v>
      </c>
      <c r="G6926" s="3">
        <v>20776</v>
      </c>
      <c r="H6926" s="7" t="str">
        <f>HYPERLINK("http://www.ensembl.org/Mus_musculus/Gene/Summary?db=core;g=ENSMUSG00000049555","ENSMUSG00000049555")</f>
        <v>ENSMUSG00000049555</v>
      </c>
      <c r="I6926" s="7" t="str">
        <f>HYPERLINK("http://www.informatics.jax.org/marker/MGI:2159400","MGI:2159400")</f>
        <v>MGI:2159400</v>
      </c>
      <c r="J6926" s="4" t="s">
        <v>12</v>
      </c>
    </row>
    <row r="6927" spans="1:10" x14ac:dyDescent="0.25">
      <c r="A6927" s="2">
        <v>3.5194617445915202</v>
      </c>
      <c r="B6927" s="3">
        <v>-1.76579655825157</v>
      </c>
      <c r="C6927" s="5">
        <v>9.5554951048074197E-5</v>
      </c>
      <c r="D6927" s="4">
        <v>4.0107991313937199E-4</v>
      </c>
      <c r="E6927" s="3" t="s">
        <v>12103</v>
      </c>
      <c r="F6927" s="3" t="s">
        <v>12104</v>
      </c>
      <c r="G6927" s="3">
        <v>233332</v>
      </c>
      <c r="H6927" s="7" t="str">
        <f>HYPERLINK("http://www.ensembl.org/Mus_musculus/Gene/Summary?db=core;g=ENSMUSG00000058145","ENSMUSG00000058145")</f>
        <v>ENSMUSG00000058145</v>
      </c>
      <c r="I6927" s="7" t="str">
        <f>HYPERLINK("http://www.informatics.jax.org/marker/MGI:3588195","MGI:3588195")</f>
        <v>MGI:3588195</v>
      </c>
      <c r="J6927" s="4" t="s">
        <v>12</v>
      </c>
    </row>
    <row r="6928" spans="1:10" x14ac:dyDescent="0.25">
      <c r="A6928" s="2">
        <v>6.87144502927495</v>
      </c>
      <c r="B6928" s="3">
        <v>-1.7715916530642</v>
      </c>
      <c r="C6928" s="5">
        <v>8.1069541613418207E-6</v>
      </c>
      <c r="D6928" s="6">
        <v>4.0160162976475897E-5</v>
      </c>
      <c r="E6928" s="3" t="s">
        <v>11006</v>
      </c>
      <c r="F6928" s="3" t="s">
        <v>11007</v>
      </c>
      <c r="G6928" s="3">
        <v>68070</v>
      </c>
      <c r="H6928" s="7" t="str">
        <f>HYPERLINK("http://www.ensembl.org/Mus_musculus/Gene/Summary?db=core;g=ENSMUSG00000022197","ENSMUSG00000022197")</f>
        <v>ENSMUSG00000022197</v>
      </c>
      <c r="I6928" s="7" t="str">
        <f>HYPERLINK("http://www.informatics.jax.org/marker/MGI:1922394","MGI:1922394")</f>
        <v>MGI:1922394</v>
      </c>
      <c r="J6928" s="4" t="s">
        <v>12</v>
      </c>
    </row>
    <row r="6929" spans="1:10" x14ac:dyDescent="0.25">
      <c r="A6929" s="2">
        <v>284.72499010400497</v>
      </c>
      <c r="B6929" s="3">
        <v>-1.7782353238435999</v>
      </c>
      <c r="C6929" s="5">
        <v>5.08951993679929E-67</v>
      </c>
      <c r="D6929" s="6">
        <v>3.6375098371830201E-65</v>
      </c>
      <c r="E6929" s="3" t="s">
        <v>650</v>
      </c>
      <c r="F6929" s="3" t="s">
        <v>651</v>
      </c>
      <c r="G6929" s="3">
        <v>242894</v>
      </c>
      <c r="H6929" s="7" t="str">
        <f>HYPERLINK("http://www.ensembl.org/Mus_musculus/Gene/Summary?db=core;g=ENSMUSG00000056367","ENSMUSG00000056367")</f>
        <v>ENSMUSG00000056367</v>
      </c>
      <c r="I6929" s="7" t="str">
        <f>HYPERLINK("http://www.informatics.jax.org/marker/MGI:2661120","MGI:2661120")</f>
        <v>MGI:2661120</v>
      </c>
      <c r="J6929" s="4" t="s">
        <v>12</v>
      </c>
    </row>
    <row r="6930" spans="1:10" x14ac:dyDescent="0.25">
      <c r="A6930" s="2">
        <v>19.862571547406102</v>
      </c>
      <c r="B6930" s="3">
        <v>-1.7784113421094501</v>
      </c>
      <c r="C6930" s="5">
        <v>4.24708358326987E-10</v>
      </c>
      <c r="D6930" s="6">
        <v>3.4355569598354802E-9</v>
      </c>
      <c r="E6930" s="3" t="s">
        <v>7106</v>
      </c>
      <c r="F6930" s="3" t="s">
        <v>7107</v>
      </c>
      <c r="G6930" s="3">
        <v>66970</v>
      </c>
      <c r="H6930" s="7" t="str">
        <f>HYPERLINK("http://www.ensembl.org/Mus_musculus/Gene/Summary?db=core;g=ENSMUSG00000003992","ENSMUSG00000003992")</f>
        <v>ENSMUSG00000003992</v>
      </c>
      <c r="I6930" s="7" t="str">
        <f>HYPERLINK("http://www.informatics.jax.org/marker/MGI:1914220","MGI:1914220")</f>
        <v>MGI:1914220</v>
      </c>
      <c r="J6930" s="4" t="s">
        <v>12</v>
      </c>
    </row>
    <row r="6931" spans="1:10" x14ac:dyDescent="0.25">
      <c r="A6931" s="2">
        <v>17.2724073140025</v>
      </c>
      <c r="B6931" s="3">
        <v>-1.77873137391766</v>
      </c>
      <c r="C6931" s="5">
        <v>1.14933305926014E-7</v>
      </c>
      <c r="D6931" s="6">
        <v>7.1441319935252401E-7</v>
      </c>
      <c r="E6931" s="3" t="s">
        <v>6211</v>
      </c>
      <c r="F6931" s="3" t="s">
        <v>6212</v>
      </c>
      <c r="G6931" s="3">
        <v>105171</v>
      </c>
      <c r="H6931" s="7" t="str">
        <f>HYPERLINK("http://www.ensembl.org/Mus_musculus/Gene/Summary?db=core;g=ENSMUSG00000074794","ENSMUSG00000074794")</f>
        <v>ENSMUSG00000074794</v>
      </c>
      <c r="I6931" s="7" t="str">
        <f>HYPERLINK("http://www.informatics.jax.org/marker/MGI:2145242","MGI:2145242")</f>
        <v>MGI:2145242</v>
      </c>
      <c r="J6931" s="4" t="s">
        <v>12</v>
      </c>
    </row>
    <row r="6932" spans="1:10" x14ac:dyDescent="0.25">
      <c r="A6932" s="2">
        <v>44.198718262857803</v>
      </c>
      <c r="B6932" s="3">
        <v>-1.781668505167</v>
      </c>
      <c r="C6932" s="5">
        <v>4.74176868996795E-18</v>
      </c>
      <c r="D6932" s="6">
        <v>6.71474237565392E-17</v>
      </c>
      <c r="E6932" s="3" t="s">
        <v>4167</v>
      </c>
      <c r="F6932" s="3" t="s">
        <v>4168</v>
      </c>
      <c r="G6932" s="3" t="s">
        <v>83</v>
      </c>
      <c r="H6932" s="7" t="str">
        <f>HYPERLINK("http://www.ensembl.org/Mus_musculus/Gene/Summary?db=core;g=ENSMUSG00000112095","ENSMUSG00000112095")</f>
        <v>ENSMUSG00000112095</v>
      </c>
      <c r="I6932" s="7" t="str">
        <f>HYPERLINK("http://www.informatics.jax.org/marker/MGI:2441782","MGI:2441782")</f>
        <v>MGI:2441782</v>
      </c>
      <c r="J6932" s="4" t="s">
        <v>939</v>
      </c>
    </row>
    <row r="6933" spans="1:10" x14ac:dyDescent="0.25">
      <c r="A6933" s="2">
        <v>6.7761495528629299</v>
      </c>
      <c r="B6933" s="3">
        <v>-1.7864521874656001</v>
      </c>
      <c r="C6933" s="5">
        <v>2.7411843025611601E-5</v>
      </c>
      <c r="D6933" s="4">
        <v>1.25554370229146E-4</v>
      </c>
      <c r="E6933" s="3" t="s">
        <v>8481</v>
      </c>
      <c r="F6933" s="3" t="s">
        <v>8482</v>
      </c>
      <c r="G6933" s="3">
        <v>108797</v>
      </c>
      <c r="H6933" s="7" t="str">
        <f>HYPERLINK("http://www.ensembl.org/Mus_musculus/Gene/Summary?db=core;g=ENSMUSG00000057706","ENSMUSG00000057706")</f>
        <v>ENSMUSG00000057706</v>
      </c>
      <c r="I6933" s="7" t="str">
        <f>HYPERLINK("http://www.informatics.jax.org/marker/MGI:1918252","MGI:1918252")</f>
        <v>MGI:1918252</v>
      </c>
      <c r="J6933" s="4" t="s">
        <v>12</v>
      </c>
    </row>
    <row r="6934" spans="1:10" x14ac:dyDescent="0.25">
      <c r="A6934" s="2">
        <v>13.4804395862009</v>
      </c>
      <c r="B6934" s="3">
        <v>-1.79127459139122</v>
      </c>
      <c r="C6934" s="5">
        <v>5.8905553054243902E-8</v>
      </c>
      <c r="D6934" s="6">
        <v>3.7695003666207703E-7</v>
      </c>
      <c r="E6934" s="3" t="s">
        <v>6373</v>
      </c>
      <c r="F6934" s="3" t="s">
        <v>6374</v>
      </c>
      <c r="G6934" s="3">
        <v>14632</v>
      </c>
      <c r="H6934" s="7" t="str">
        <f>HYPERLINK("http://www.ensembl.org/Mus_musculus/Gene/Summary?db=core;g=ENSMUSG00000025407","ENSMUSG00000025407")</f>
        <v>ENSMUSG00000025407</v>
      </c>
      <c r="I6934" s="7" t="str">
        <f>HYPERLINK("http://www.informatics.jax.org/marker/MGI:95727","MGI:95727")</f>
        <v>MGI:95727</v>
      </c>
      <c r="J6934" s="4" t="s">
        <v>12</v>
      </c>
    </row>
    <row r="6935" spans="1:10" x14ac:dyDescent="0.25">
      <c r="A6935" s="2">
        <v>517.40736126171896</v>
      </c>
      <c r="B6935" s="3">
        <v>-1.7946850322621299</v>
      </c>
      <c r="C6935" s="5">
        <v>8.4722996422172198E-94</v>
      </c>
      <c r="D6935" s="6">
        <v>1.1029118641386301E-91</v>
      </c>
      <c r="E6935" s="3" t="s">
        <v>390</v>
      </c>
      <c r="F6935" s="3" t="s">
        <v>391</v>
      </c>
      <c r="G6935" s="3">
        <v>98682</v>
      </c>
      <c r="H6935" s="7" t="str">
        <f>HYPERLINK("http://www.ensembl.org/Mus_musculus/Gene/Summary?db=core;g=ENSMUSG00000041439","ENSMUSG00000041439")</f>
        <v>ENSMUSG00000041439</v>
      </c>
      <c r="I6935" s="7" t="str">
        <f>HYPERLINK("http://www.informatics.jax.org/marker/MGI:1922925","MGI:1922925")</f>
        <v>MGI:1922925</v>
      </c>
      <c r="J6935" s="4" t="s">
        <v>12</v>
      </c>
    </row>
    <row r="6936" spans="1:10" x14ac:dyDescent="0.25">
      <c r="A6936" s="2">
        <v>17.4999370432779</v>
      </c>
      <c r="B6936" s="3">
        <v>-1.79887868619632</v>
      </c>
      <c r="C6936" s="5">
        <v>2.62667584201036E-11</v>
      </c>
      <c r="D6936" s="6">
        <v>2.3558645285747399E-10</v>
      </c>
      <c r="E6936" s="3" t="s">
        <v>7440</v>
      </c>
      <c r="F6936" s="3" t="s">
        <v>7441</v>
      </c>
      <c r="G6936" s="3">
        <v>19725</v>
      </c>
      <c r="H6936" s="7" t="str">
        <f>HYPERLINK("http://www.ensembl.org/Mus_musculus/Gene/Summary?db=core;g=ENSMUSG00000024206","ENSMUSG00000024206")</f>
        <v>ENSMUSG00000024206</v>
      </c>
      <c r="I6936" s="7" t="str">
        <f>HYPERLINK("http://www.informatics.jax.org/marker/MGI:106583","MGI:106583")</f>
        <v>MGI:106583</v>
      </c>
      <c r="J6936" s="4" t="s">
        <v>12</v>
      </c>
    </row>
    <row r="6937" spans="1:10" x14ac:dyDescent="0.25">
      <c r="A6937" s="2">
        <v>424.96233676515499</v>
      </c>
      <c r="B6937" s="3">
        <v>-1.7995673637989</v>
      </c>
      <c r="C6937" s="5">
        <v>9.42491785306253E-49</v>
      </c>
      <c r="D6937" s="6">
        <v>4.3930723240937296E-47</v>
      </c>
      <c r="E6937" s="3" t="s">
        <v>1027</v>
      </c>
      <c r="F6937" s="3" t="s">
        <v>1028</v>
      </c>
      <c r="G6937" s="3">
        <v>80288</v>
      </c>
      <c r="H6937" s="7" t="str">
        <f>HYPERLINK("http://www.ensembl.org/Mus_musculus/Gene/Summary?db=core;g=ENSMUSG00000063382","ENSMUSG00000063382")</f>
        <v>ENSMUSG00000063382</v>
      </c>
      <c r="I6937" s="7" t="str">
        <f>HYPERLINK("http://www.informatics.jax.org/marker/MGI:1933114","MGI:1933114")</f>
        <v>MGI:1933114</v>
      </c>
      <c r="J6937" s="4" t="s">
        <v>12</v>
      </c>
    </row>
    <row r="6938" spans="1:10" x14ac:dyDescent="0.25">
      <c r="A6938" s="2">
        <v>91.335071999011305</v>
      </c>
      <c r="B6938" s="3">
        <v>-1.80115523102839</v>
      </c>
      <c r="C6938" s="5">
        <v>2.5610613165114002E-35</v>
      </c>
      <c r="D6938" s="6">
        <v>7.54044305224883E-34</v>
      </c>
      <c r="E6938" s="3" t="s">
        <v>1280</v>
      </c>
      <c r="F6938" s="3" t="s">
        <v>1281</v>
      </c>
      <c r="G6938" s="3">
        <v>20667</v>
      </c>
      <c r="H6938" s="7" t="str">
        <f>HYPERLINK("http://www.ensembl.org/Mus_musculus/Gene/Summary?db=core;g=ENSMUSG00000051817","ENSMUSG00000051817")</f>
        <v>ENSMUSG00000051817</v>
      </c>
      <c r="I6938" s="7" t="str">
        <f>HYPERLINK("http://www.informatics.jax.org/marker/MGI:98360","MGI:98360")</f>
        <v>MGI:98360</v>
      </c>
      <c r="J6938" s="4" t="s">
        <v>12</v>
      </c>
    </row>
    <row r="6939" spans="1:10" x14ac:dyDescent="0.25">
      <c r="A6939" s="2">
        <v>16.3067367624177</v>
      </c>
      <c r="B6939" s="3">
        <v>-1.80411253849152</v>
      </c>
      <c r="C6939" s="5">
        <v>6.4221629879549603E-10</v>
      </c>
      <c r="D6939" s="6">
        <v>5.10440124097162E-9</v>
      </c>
      <c r="E6939" s="3" t="s">
        <v>6045</v>
      </c>
      <c r="F6939" s="3" t="s">
        <v>6046</v>
      </c>
      <c r="G6939" s="3" t="s">
        <v>83</v>
      </c>
      <c r="H6939" s="7" t="str">
        <f>HYPERLINK("http://www.ensembl.org/Mus_musculus/Gene/Summary?db=core;g=ENSMUSG00000110980","ENSMUSG00000110980")</f>
        <v>ENSMUSG00000110980</v>
      </c>
      <c r="I6939" s="7" t="str">
        <f>HYPERLINK("http://www.informatics.jax.org/marker/MGI:6096003","MGI:6096003")</f>
        <v>MGI:6096003</v>
      </c>
      <c r="J6939" s="4" t="s">
        <v>939</v>
      </c>
    </row>
    <row r="6940" spans="1:10" x14ac:dyDescent="0.25">
      <c r="A6940" s="2">
        <v>103.806720990092</v>
      </c>
      <c r="B6940" s="3">
        <v>-1.8096694217896101</v>
      </c>
      <c r="C6940" s="5">
        <v>2.04277178687787E-29</v>
      </c>
      <c r="D6940" s="6">
        <v>4.9245391290805701E-28</v>
      </c>
      <c r="E6940" s="3" t="s">
        <v>1518</v>
      </c>
      <c r="F6940" s="3" t="s">
        <v>1519</v>
      </c>
      <c r="G6940" s="3">
        <v>18569</v>
      </c>
      <c r="H6940" s="7" t="str">
        <f>HYPERLINK("http://www.ensembl.org/Mus_musculus/Gene/Summary?db=core;g=ENSMUSG00000024975","ENSMUSG00000024975")</f>
        <v>ENSMUSG00000024975</v>
      </c>
      <c r="I6940" s="7" t="str">
        <f>HYPERLINK("http://www.informatics.jax.org/marker/MGI:107490","MGI:107490")</f>
        <v>MGI:107490</v>
      </c>
      <c r="J6940" s="4" t="s">
        <v>12</v>
      </c>
    </row>
    <row r="6941" spans="1:10" x14ac:dyDescent="0.25">
      <c r="A6941" s="2">
        <v>87.778367243404901</v>
      </c>
      <c r="B6941" s="3">
        <v>-1.81441465711887</v>
      </c>
      <c r="C6941" s="5">
        <v>7.6422116677038897E-16</v>
      </c>
      <c r="D6941" s="6">
        <v>9.4812326510485602E-15</v>
      </c>
      <c r="E6941" s="3" t="s">
        <v>3558</v>
      </c>
      <c r="F6941" s="3" t="s">
        <v>3559</v>
      </c>
      <c r="G6941" s="3">
        <v>319352</v>
      </c>
      <c r="H6941" s="7" t="str">
        <f>HYPERLINK("http://www.ensembl.org/Mus_musculus/Gene/Summary?db=core;g=ENSMUSG00000030329","ENSMUSG00000030329")</f>
        <v>ENSMUSG00000030329</v>
      </c>
      <c r="I6941" s="7" t="str">
        <f>HYPERLINK("http://www.informatics.jax.org/marker/MGI:2441908","MGI:2441908")</f>
        <v>MGI:2441908</v>
      </c>
      <c r="J6941" s="4" t="s">
        <v>12</v>
      </c>
    </row>
    <row r="6942" spans="1:10" x14ac:dyDescent="0.25">
      <c r="A6942" s="2">
        <v>92.483078533858006</v>
      </c>
      <c r="B6942" s="3">
        <v>-1.8260521852924601</v>
      </c>
      <c r="C6942" s="5">
        <v>7.1416262839790103E-19</v>
      </c>
      <c r="D6942" s="6">
        <v>1.05560534489471E-17</v>
      </c>
      <c r="E6942" s="3" t="s">
        <v>6111</v>
      </c>
      <c r="F6942" s="3" t="s">
        <v>6112</v>
      </c>
      <c r="G6942" s="3" t="s">
        <v>83</v>
      </c>
      <c r="H6942" s="7" t="str">
        <f>HYPERLINK("http://www.ensembl.org/Mus_musculus/Gene/Summary?db=core;g=ENSMUSG00000109675","ENSMUSG00000109675")</f>
        <v>ENSMUSG00000109675</v>
      </c>
      <c r="I6942" s="7" t="str">
        <f>HYPERLINK("http://www.informatics.jax.org/marker/MGI:3646632","MGI:3646632")</f>
        <v>MGI:3646632</v>
      </c>
      <c r="J6942" s="4" t="s">
        <v>320</v>
      </c>
    </row>
    <row r="6943" spans="1:10" x14ac:dyDescent="0.25">
      <c r="A6943" s="2">
        <v>107.60949512342501</v>
      </c>
      <c r="B6943" s="3">
        <v>-1.8333617023467701</v>
      </c>
      <c r="C6943" s="5">
        <v>8.8027127995662102E-39</v>
      </c>
      <c r="D6943" s="6">
        <v>2.9222120359215699E-37</v>
      </c>
      <c r="E6943" s="3" t="s">
        <v>838</v>
      </c>
      <c r="F6943" s="3" t="s">
        <v>839</v>
      </c>
      <c r="G6943" s="3">
        <v>54610</v>
      </c>
      <c r="H6943" s="7" t="str">
        <f>HYPERLINK("http://www.ensembl.org/Mus_musculus/Gene/Summary?db=core;g=ENSMUSG00000003134","ENSMUSG00000003134")</f>
        <v>ENSMUSG00000003134</v>
      </c>
      <c r="I6943" s="7" t="str">
        <f>HYPERLINK("http://www.informatics.jax.org/marker/MGI:1927225","MGI:1927225")</f>
        <v>MGI:1927225</v>
      </c>
      <c r="J6943" s="4" t="s">
        <v>12</v>
      </c>
    </row>
    <row r="6944" spans="1:10" x14ac:dyDescent="0.25">
      <c r="A6944" s="2">
        <v>111.83245575547799</v>
      </c>
      <c r="B6944" s="3">
        <v>-1.83564342263502</v>
      </c>
      <c r="C6944" s="5">
        <v>6.8326560278819302E-29</v>
      </c>
      <c r="D6944" s="6">
        <v>1.6109334554741E-27</v>
      </c>
      <c r="E6944" s="3" t="s">
        <v>1712</v>
      </c>
      <c r="F6944" s="3" t="s">
        <v>1713</v>
      </c>
      <c r="G6944" s="3">
        <v>14766</v>
      </c>
      <c r="H6944" s="7" t="str">
        <f>HYPERLINK("http://www.ensembl.org/Mus_musculus/Gene/Summary?db=core;g=ENSMUSG00000031785","ENSMUSG00000031785")</f>
        <v>ENSMUSG00000031785</v>
      </c>
      <c r="I6944" s="7" t="str">
        <f>HYPERLINK("http://www.informatics.jax.org/marker/MGI:1340051","MGI:1340051")</f>
        <v>MGI:1340051</v>
      </c>
      <c r="J6944" s="4" t="s">
        <v>12</v>
      </c>
    </row>
    <row r="6945" spans="1:10" x14ac:dyDescent="0.25">
      <c r="A6945" s="2">
        <v>75.296787972156395</v>
      </c>
      <c r="B6945" s="3">
        <v>-1.84367199453492</v>
      </c>
      <c r="C6945" s="5">
        <v>7.5144803880391494E-30</v>
      </c>
      <c r="D6945" s="6">
        <v>1.8481970994873601E-28</v>
      </c>
      <c r="E6945" s="3" t="s">
        <v>1198</v>
      </c>
      <c r="F6945" s="3" t="s">
        <v>1199</v>
      </c>
      <c r="G6945" s="3">
        <v>12802</v>
      </c>
      <c r="H6945" s="7" t="str">
        <f>HYPERLINK("http://www.ensembl.org/Mus_musculus/Gene/Summary?db=core;g=ENSMUSG00000062585","ENSMUSG00000062585")</f>
        <v>ENSMUSG00000062585</v>
      </c>
      <c r="I6945" s="7" t="str">
        <f>HYPERLINK("http://www.informatics.jax.org/marker/MGI:104650","MGI:104650")</f>
        <v>MGI:104650</v>
      </c>
      <c r="J6945" s="4" t="s">
        <v>12</v>
      </c>
    </row>
    <row r="6946" spans="1:10" x14ac:dyDescent="0.25">
      <c r="A6946" s="2">
        <v>91.576270789553604</v>
      </c>
      <c r="B6946" s="3">
        <v>-1.84663046563907</v>
      </c>
      <c r="C6946" s="5">
        <v>2.0479387702637098E-27</v>
      </c>
      <c r="D6946" s="6">
        <v>4.5516687912263599E-26</v>
      </c>
      <c r="E6946" s="3" t="s">
        <v>1564</v>
      </c>
      <c r="F6946" s="3" t="s">
        <v>1565</v>
      </c>
      <c r="G6946" s="3">
        <v>104175</v>
      </c>
      <c r="H6946" s="7" t="str">
        <f>HYPERLINK("http://www.ensembl.org/Mus_musculus/Gene/Summary?db=core;g=ENSMUSG00000042978","ENSMUSG00000042978")</f>
        <v>ENSMUSG00000042978</v>
      </c>
      <c r="I6946" s="7" t="str">
        <f>HYPERLINK("http://www.informatics.jax.org/marker/MGI:2135937","MGI:2135937")</f>
        <v>MGI:2135937</v>
      </c>
      <c r="J6946" s="4" t="s">
        <v>12</v>
      </c>
    </row>
    <row r="6947" spans="1:10" x14ac:dyDescent="0.25">
      <c r="A6947" s="2">
        <v>2.9515989710072401</v>
      </c>
      <c r="B6947" s="3">
        <v>-1.8495134134433999</v>
      </c>
      <c r="C6947" s="5">
        <v>5.1660396033150898E-5</v>
      </c>
      <c r="D6947" s="4">
        <v>2.2621593409518899E-4</v>
      </c>
      <c r="E6947" s="3" t="s">
        <v>12801</v>
      </c>
      <c r="F6947" s="3" t="s">
        <v>12802</v>
      </c>
      <c r="G6947" s="3">
        <v>328660</v>
      </c>
      <c r="H6947" s="7" t="str">
        <f>HYPERLINK("http://www.ensembl.org/Mus_musculus/Gene/Summary?db=core;g=ENSMUSG00000075269","ENSMUSG00000075269")</f>
        <v>ENSMUSG00000075269</v>
      </c>
      <c r="I6947" s="7" t="str">
        <f>HYPERLINK("http://www.informatics.jax.org/marker/MGI:3588247","MGI:3588247")</f>
        <v>MGI:3588247</v>
      </c>
      <c r="J6947" s="4" t="s">
        <v>12</v>
      </c>
    </row>
    <row r="6948" spans="1:10" x14ac:dyDescent="0.25">
      <c r="A6948" s="2">
        <v>194.952011892553</v>
      </c>
      <c r="B6948" s="3">
        <v>-1.8582690977671401</v>
      </c>
      <c r="C6948" s="5">
        <v>2.3445371693869199E-26</v>
      </c>
      <c r="D6948" s="6">
        <v>4.9917277934668902E-25</v>
      </c>
      <c r="E6948" s="3" t="s">
        <v>962</v>
      </c>
      <c r="F6948" s="3" t="s">
        <v>963</v>
      </c>
      <c r="G6948" s="3">
        <v>52882</v>
      </c>
      <c r="H6948" s="7" t="str">
        <f>HYPERLINK("http://www.ensembl.org/Mus_musculus/Gene/Summary?db=core;g=ENSMUSG00000021719","ENSMUSG00000021719")</f>
        <v>ENSMUSG00000021719</v>
      </c>
      <c r="I6948" s="7" t="str">
        <f>HYPERLINK("http://www.informatics.jax.org/marker/MGI:106334","MGI:106334")</f>
        <v>MGI:106334</v>
      </c>
      <c r="J6948" s="4" t="s">
        <v>12</v>
      </c>
    </row>
    <row r="6949" spans="1:10" x14ac:dyDescent="0.25">
      <c r="A6949" s="2">
        <v>4.6341479735033397</v>
      </c>
      <c r="B6949" s="3">
        <v>-1.8598552479794599</v>
      </c>
      <c r="C6949" s="5">
        <v>1.4261940836904801E-5</v>
      </c>
      <c r="D6949" s="6">
        <v>6.8132076475121704E-5</v>
      </c>
      <c r="E6949" s="3" t="s">
        <v>12903</v>
      </c>
      <c r="F6949" s="3" t="s">
        <v>12904</v>
      </c>
      <c r="G6949" s="3">
        <v>14282</v>
      </c>
      <c r="H6949" s="7" t="str">
        <f>HYPERLINK("http://www.ensembl.org/Mus_musculus/Gene/Summary?db=core;g=ENSMUSG00000003545","ENSMUSG00000003545")</f>
        <v>ENSMUSG00000003545</v>
      </c>
      <c r="I6949" s="7" t="str">
        <f>HYPERLINK("http://www.informatics.jax.org/marker/MGI:95575","MGI:95575")</f>
        <v>MGI:95575</v>
      </c>
      <c r="J6949" s="4" t="s">
        <v>12</v>
      </c>
    </row>
    <row r="6950" spans="1:10" x14ac:dyDescent="0.25">
      <c r="A6950" s="2">
        <v>181.18405529688999</v>
      </c>
      <c r="B6950" s="3">
        <v>-1.86094054092489</v>
      </c>
      <c r="C6950" s="5">
        <v>7.0160600256250902E-67</v>
      </c>
      <c r="D6950" s="6">
        <v>4.97539665241312E-65</v>
      </c>
      <c r="E6950" s="3" t="s">
        <v>396</v>
      </c>
      <c r="F6950" s="3" t="s">
        <v>397</v>
      </c>
      <c r="G6950" s="3">
        <v>211586</v>
      </c>
      <c r="H6950" s="7" t="str">
        <f>HYPERLINK("http://www.ensembl.org/Mus_musculus/Gene/Summary?db=core;g=ENSMUSG00000032411","ENSMUSG00000032411")</f>
        <v>ENSMUSG00000032411</v>
      </c>
      <c r="I6950" s="7" t="str">
        <f>HYPERLINK("http://www.informatics.jax.org/marker/MGI:107167","MGI:107167")</f>
        <v>MGI:107167</v>
      </c>
      <c r="J6950" s="4" t="s">
        <v>12</v>
      </c>
    </row>
    <row r="6951" spans="1:10" x14ac:dyDescent="0.25">
      <c r="A6951" s="2">
        <v>260.869099245776</v>
      </c>
      <c r="B6951" s="3">
        <v>-1.8617526348525599</v>
      </c>
      <c r="C6951" s="5">
        <v>1.10278204372448E-45</v>
      </c>
      <c r="D6951" s="6">
        <v>4.7068390507912705E-44</v>
      </c>
      <c r="E6951" s="3" t="s">
        <v>2087</v>
      </c>
      <c r="F6951" s="3" t="s">
        <v>2088</v>
      </c>
      <c r="G6951" s="3">
        <v>217262</v>
      </c>
      <c r="H6951" s="7" t="str">
        <f>HYPERLINK("http://www.ensembl.org/Mus_musculus/Gene/Summary?db=core;g=ENSMUSG00000041797","ENSMUSG00000041797")</f>
        <v>ENSMUSG00000041797</v>
      </c>
      <c r="I6951" s="7" t="str">
        <f>HYPERLINK("http://www.informatics.jax.org/marker/MGI:2386796","MGI:2386796")</f>
        <v>MGI:2386796</v>
      </c>
      <c r="J6951" s="4" t="s">
        <v>12</v>
      </c>
    </row>
    <row r="6952" spans="1:10" x14ac:dyDescent="0.25">
      <c r="A6952" s="2">
        <v>121.12825408132301</v>
      </c>
      <c r="B6952" s="3">
        <v>-1.86686528173032</v>
      </c>
      <c r="C6952" s="5">
        <v>1.41907273762855E-47</v>
      </c>
      <c r="D6952" s="6">
        <v>6.4175187700447702E-46</v>
      </c>
      <c r="E6952" s="3" t="s">
        <v>946</v>
      </c>
      <c r="F6952" s="3" t="s">
        <v>947</v>
      </c>
      <c r="G6952" s="3">
        <v>66329</v>
      </c>
      <c r="H6952" s="7" t="str">
        <f>HYPERLINK("http://www.ensembl.org/Mus_musculus/Gene/Summary?db=core;g=ENSMUSG00000021384","ENSMUSG00000021384")</f>
        <v>ENSMUSG00000021384</v>
      </c>
      <c r="I6952" s="7" t="str">
        <f>HYPERLINK("http://www.informatics.jax.org/marker/MGI:1913579","MGI:1913579")</f>
        <v>MGI:1913579</v>
      </c>
      <c r="J6952" s="4" t="s">
        <v>12</v>
      </c>
    </row>
    <row r="6953" spans="1:10" x14ac:dyDescent="0.25">
      <c r="A6953" s="2">
        <v>23.637213800959</v>
      </c>
      <c r="B6953" s="3">
        <v>-1.8692604483994</v>
      </c>
      <c r="C6953" s="5">
        <v>2.6728906023330998E-10</v>
      </c>
      <c r="D6953" s="6">
        <v>2.20722388887724E-9</v>
      </c>
      <c r="E6953" s="3" t="s">
        <v>5257</v>
      </c>
      <c r="F6953" s="3" t="s">
        <v>5258</v>
      </c>
      <c r="G6953" s="3">
        <v>98256</v>
      </c>
      <c r="H6953" s="7" t="str">
        <f>HYPERLINK("http://www.ensembl.org/Mus_musculus/Gene/Summary?db=core;g=ENSMUSG00000039783","ENSMUSG00000039783")</f>
        <v>ENSMUSG00000039783</v>
      </c>
      <c r="I6953" s="7" t="str">
        <f>HYPERLINK("http://www.informatics.jax.org/marker/MGI:2138151","MGI:2138151")</f>
        <v>MGI:2138151</v>
      </c>
      <c r="J6953" s="4" t="s">
        <v>12</v>
      </c>
    </row>
    <row r="6954" spans="1:10" x14ac:dyDescent="0.25">
      <c r="A6954" s="2">
        <v>186.795132474817</v>
      </c>
      <c r="B6954" s="3">
        <v>-1.87615635106353</v>
      </c>
      <c r="C6954" s="5">
        <v>7.9199473465969195E-40</v>
      </c>
      <c r="D6954" s="6">
        <v>2.72341585644771E-38</v>
      </c>
      <c r="E6954" s="3" t="s">
        <v>896</v>
      </c>
      <c r="F6954" s="3" t="s">
        <v>897</v>
      </c>
      <c r="G6954" s="3">
        <v>171580</v>
      </c>
      <c r="H6954" s="7" t="str">
        <f>HYPERLINK("http://www.ensembl.org/Mus_musculus/Gene/Summary?db=core;g=ENSMUSG00000019823","ENSMUSG00000019823")</f>
        <v>ENSMUSG00000019823</v>
      </c>
      <c r="I6954" s="7" t="str">
        <f>HYPERLINK("http://www.informatics.jax.org/marker/MGI:2385847","MGI:2385847")</f>
        <v>MGI:2385847</v>
      </c>
      <c r="J6954" s="4" t="s">
        <v>12</v>
      </c>
    </row>
    <row r="6955" spans="1:10" x14ac:dyDescent="0.25">
      <c r="A6955" s="2">
        <v>1065.36864254902</v>
      </c>
      <c r="B6955" s="3">
        <v>-1.88695927055365</v>
      </c>
      <c r="C6955" s="5">
        <v>3.20851772425976E-56</v>
      </c>
      <c r="D6955" s="6">
        <v>1.7613022748383799E-54</v>
      </c>
      <c r="E6955" s="3" t="s">
        <v>1058</v>
      </c>
      <c r="F6955" s="3" t="s">
        <v>1059</v>
      </c>
      <c r="G6955" s="3">
        <v>19224</v>
      </c>
      <c r="H6955" s="7" t="str">
        <f>HYPERLINK("http://www.ensembl.org/Mus_musculus/Gene/Summary?db=core;g=ENSMUSG00000047250","ENSMUSG00000047250")</f>
        <v>ENSMUSG00000047250</v>
      </c>
      <c r="I6955" s="7" t="str">
        <f>HYPERLINK("http://www.informatics.jax.org/marker/MGI:97797","MGI:97797")</f>
        <v>MGI:97797</v>
      </c>
      <c r="J6955" s="4" t="s">
        <v>12</v>
      </c>
    </row>
    <row r="6956" spans="1:10" x14ac:dyDescent="0.25">
      <c r="A6956" s="2">
        <v>16.6984689159694</v>
      </c>
      <c r="B6956" s="3">
        <v>-1.8934015196342699</v>
      </c>
      <c r="C6956" s="5">
        <v>3.5803531475442502E-10</v>
      </c>
      <c r="D6956" s="6">
        <v>2.9130328622318699E-9</v>
      </c>
      <c r="E6956" s="3" t="s">
        <v>7776</v>
      </c>
      <c r="F6956" s="3" t="s">
        <v>7777</v>
      </c>
      <c r="G6956" s="3">
        <v>102371</v>
      </c>
      <c r="H6956" s="7" t="str">
        <f>HYPERLINK("http://www.ensembl.org/Mus_musculus/Gene/Summary?db=core;g=ENSMUSG00000041361","ENSMUSG00000041361")</f>
        <v>ENSMUSG00000041361</v>
      </c>
      <c r="I6956" s="7" t="str">
        <f>HYPERLINK("http://www.informatics.jax.org/marker/MGI:2142908","MGI:2142908")</f>
        <v>MGI:2142908</v>
      </c>
      <c r="J6956" s="4" t="s">
        <v>12</v>
      </c>
    </row>
    <row r="6957" spans="1:10" x14ac:dyDescent="0.25">
      <c r="A6957" s="2">
        <v>272.88229478267101</v>
      </c>
      <c r="B6957" s="3">
        <v>-1.89687515968217</v>
      </c>
      <c r="C6957" s="5">
        <v>9.6462281445285407E-72</v>
      </c>
      <c r="D6957" s="6">
        <v>7.8835205351584202E-70</v>
      </c>
      <c r="E6957" s="3" t="s">
        <v>892</v>
      </c>
      <c r="F6957" s="3" t="s">
        <v>893</v>
      </c>
      <c r="G6957" s="3">
        <v>68010</v>
      </c>
      <c r="H6957" s="7" t="str">
        <f>HYPERLINK("http://www.ensembl.org/Mus_musculus/Gene/Summary?db=core;g=ENSMUSG00000024232","ENSMUSG00000024232")</f>
        <v>ENSMUSG00000024232</v>
      </c>
      <c r="I6957" s="7" t="str">
        <f>HYPERLINK("http://www.informatics.jax.org/marker/MGI:1915260","MGI:1915260")</f>
        <v>MGI:1915260</v>
      </c>
      <c r="J6957" s="4" t="s">
        <v>12</v>
      </c>
    </row>
    <row r="6958" spans="1:10" x14ac:dyDescent="0.25">
      <c r="A6958" s="2">
        <v>568.87369235438996</v>
      </c>
      <c r="B6958" s="3">
        <v>-1.9037125029681099</v>
      </c>
      <c r="C6958" s="5">
        <v>1.6301012280000599E-111</v>
      </c>
      <c r="D6958" s="6">
        <v>3.03148927350012E-109</v>
      </c>
      <c r="E6958" s="3" t="s">
        <v>94</v>
      </c>
      <c r="F6958" s="3" t="s">
        <v>95</v>
      </c>
      <c r="G6958" s="3">
        <v>27355</v>
      </c>
      <c r="H6958" s="7" t="str">
        <f>HYPERLINK("http://www.ensembl.org/Mus_musculus/Gene/Summary?db=core;g=ENSMUSG00000020092","ENSMUSG00000020092")</f>
        <v>ENSMUSG00000020092</v>
      </c>
      <c r="I6958" s="7" t="str">
        <f>HYPERLINK("http://www.informatics.jax.org/marker/MGI:1351623","MGI:1351623")</f>
        <v>MGI:1351623</v>
      </c>
      <c r="J6958" s="4" t="s">
        <v>12</v>
      </c>
    </row>
    <row r="6959" spans="1:10" x14ac:dyDescent="0.25">
      <c r="A6959" s="2">
        <v>117.607993484064</v>
      </c>
      <c r="B6959" s="3">
        <v>-1.9118970168254501</v>
      </c>
      <c r="C6959" s="5">
        <v>5.5719600310313997E-16</v>
      </c>
      <c r="D6959" s="6">
        <v>6.9937308240735097E-15</v>
      </c>
      <c r="E6959" s="3" t="s">
        <v>3234</v>
      </c>
      <c r="F6959" s="3" t="s">
        <v>3235</v>
      </c>
      <c r="G6959" s="3">
        <v>74901</v>
      </c>
      <c r="H6959" s="7" t="str">
        <f>HYPERLINK("http://www.ensembl.org/Mus_musculus/Gene/Summary?db=core;g=ENSMUSG00000055675","ENSMUSG00000055675")</f>
        <v>ENSMUSG00000055675</v>
      </c>
      <c r="I6959" s="7" t="str">
        <f>HYPERLINK("http://www.informatics.jax.org/marker/MGI:1922151","MGI:1922151")</f>
        <v>MGI:1922151</v>
      </c>
      <c r="J6959" s="4" t="s">
        <v>12</v>
      </c>
    </row>
    <row r="6960" spans="1:10" x14ac:dyDescent="0.25">
      <c r="A6960" s="2">
        <v>17.1340419458983</v>
      </c>
      <c r="B6960" s="3">
        <v>-1.9297842176939899</v>
      </c>
      <c r="C6960" s="5">
        <v>8.5165128762179901E-11</v>
      </c>
      <c r="D6960" s="6">
        <v>7.3248441325659698E-10</v>
      </c>
      <c r="E6960" s="3" t="s">
        <v>7004</v>
      </c>
      <c r="F6960" s="3" t="s">
        <v>7005</v>
      </c>
      <c r="G6960" s="3">
        <v>72480</v>
      </c>
      <c r="H6960" s="7" t="str">
        <f>HYPERLINK("http://www.ensembl.org/Mus_musculus/Gene/Summary?db=core;g=ENSMUSG00000039485","ENSMUSG00000039485")</f>
        <v>ENSMUSG00000039485</v>
      </c>
      <c r="I6960" s="7" t="str">
        <f>HYPERLINK("http://www.informatics.jax.org/marker/MGI:106393","MGI:106393")</f>
        <v>MGI:106393</v>
      </c>
      <c r="J6960" s="4" t="s">
        <v>12</v>
      </c>
    </row>
    <row r="6961" spans="1:10" x14ac:dyDescent="0.25">
      <c r="A6961" s="2">
        <v>744.32720800179095</v>
      </c>
      <c r="B6961" s="3">
        <v>-1.9491966015539901</v>
      </c>
      <c r="C6961" s="5">
        <v>1.9571755403799102E-36</v>
      </c>
      <c r="D6961" s="6">
        <v>5.9948780207434996E-35</v>
      </c>
      <c r="E6961" s="3" t="s">
        <v>1190</v>
      </c>
      <c r="F6961" s="3" t="s">
        <v>1191</v>
      </c>
      <c r="G6961" s="3">
        <v>19735</v>
      </c>
      <c r="H6961" s="7" t="str">
        <f>HYPERLINK("http://www.ensembl.org/Mus_musculus/Gene/Summary?db=core;g=ENSMUSG00000026360","ENSMUSG00000026360")</f>
        <v>ENSMUSG00000026360</v>
      </c>
      <c r="I6961" s="7" t="str">
        <f>HYPERLINK("http://www.informatics.jax.org/marker/MGI:1098271","MGI:1098271")</f>
        <v>MGI:1098271</v>
      </c>
      <c r="J6961" s="4" t="s">
        <v>12</v>
      </c>
    </row>
    <row r="6962" spans="1:10" x14ac:dyDescent="0.25">
      <c r="A6962" s="2">
        <v>720.68786228251201</v>
      </c>
      <c r="B6962" s="3">
        <v>-1.9538171022493001</v>
      </c>
      <c r="C6962" s="5">
        <v>7.1543768094964498E-69</v>
      </c>
      <c r="D6962" s="6">
        <v>5.2788873422296698E-67</v>
      </c>
      <c r="E6962" s="3" t="s">
        <v>494</v>
      </c>
      <c r="F6962" s="3" t="s">
        <v>495</v>
      </c>
      <c r="G6962" s="3">
        <v>97998</v>
      </c>
      <c r="H6962" s="7" t="str">
        <f>HYPERLINK("http://www.ensembl.org/Mus_musculus/Gene/Summary?db=core;g=ENSMUSG00000022419","ENSMUSG00000022419")</f>
        <v>ENSMUSG00000022419</v>
      </c>
      <c r="I6962" s="7" t="str">
        <f>HYPERLINK("http://www.informatics.jax.org/marker/MGI:2146322","MGI:2146322")</f>
        <v>MGI:2146322</v>
      </c>
      <c r="J6962" s="4" t="s">
        <v>12</v>
      </c>
    </row>
    <row r="6963" spans="1:10" x14ac:dyDescent="0.25">
      <c r="A6963" s="2">
        <v>107.814587867551</v>
      </c>
      <c r="B6963" s="3">
        <v>-1.9589332195225799</v>
      </c>
      <c r="C6963" s="5">
        <v>9.7082325198883796E-35</v>
      </c>
      <c r="D6963" s="6">
        <v>2.8309206027994501E-33</v>
      </c>
      <c r="E6963" s="3" t="s">
        <v>1666</v>
      </c>
      <c r="F6963" s="3" t="s">
        <v>1667</v>
      </c>
      <c r="G6963" s="3">
        <v>170835</v>
      </c>
      <c r="H6963" s="7" t="str">
        <f>HYPERLINK("http://www.ensembl.org/Mus_musculus/Gene/Summary?db=core;g=ENSMUSG00000034570","ENSMUSG00000034570")</f>
        <v>ENSMUSG00000034570</v>
      </c>
      <c r="I6963" s="7" t="str">
        <f>HYPERLINK("http://www.informatics.jax.org/marker/MGI:2158663","MGI:2158663")</f>
        <v>MGI:2158663</v>
      </c>
      <c r="J6963" s="4" t="s">
        <v>12</v>
      </c>
    </row>
    <row r="6964" spans="1:10" x14ac:dyDescent="0.25">
      <c r="A6964" s="2">
        <v>3.89826517299133</v>
      </c>
      <c r="B6964" s="3">
        <v>-1.95935621821712</v>
      </c>
      <c r="C6964" s="5">
        <v>1.03751888236738E-5</v>
      </c>
      <c r="D6964" s="6">
        <v>5.0639479462092798E-5</v>
      </c>
      <c r="E6964" s="3" t="s">
        <v>10742</v>
      </c>
      <c r="F6964" s="3" t="s">
        <v>10743</v>
      </c>
      <c r="G6964" s="3" t="s">
        <v>83</v>
      </c>
      <c r="H6964" s="7" t="str">
        <f>HYPERLINK("http://www.ensembl.org/Mus_musculus/Gene/Summary?db=core;g=ENSMUSG00000110510","ENSMUSG00000110510")</f>
        <v>ENSMUSG00000110510</v>
      </c>
      <c r="I6964" s="7" t="str">
        <f>HYPERLINK("http://www.informatics.jax.org/marker/MGI:5805023","MGI:5805023")</f>
        <v>MGI:5805023</v>
      </c>
      <c r="J6964" s="4" t="s">
        <v>1043</v>
      </c>
    </row>
    <row r="6965" spans="1:10" x14ac:dyDescent="0.25">
      <c r="A6965" s="2">
        <v>95.2563757924801</v>
      </c>
      <c r="B6965" s="3">
        <v>-1.9620984970747499</v>
      </c>
      <c r="C6965" s="5">
        <v>4.43594638512245E-38</v>
      </c>
      <c r="D6965" s="6">
        <v>1.4434855072288599E-36</v>
      </c>
      <c r="E6965" s="3" t="s">
        <v>5063</v>
      </c>
      <c r="F6965" s="3" t="s">
        <v>5064</v>
      </c>
      <c r="G6965" s="3">
        <v>271221</v>
      </c>
      <c r="H6965" s="7" t="str">
        <f>HYPERLINK("http://www.ensembl.org/Mus_musculus/Gene/Summary?db=core;g=ENSMUSG00000034959","ENSMUSG00000034959")</f>
        <v>ENSMUSG00000034959</v>
      </c>
      <c r="I6965" s="7" t="str">
        <f>HYPERLINK("http://www.informatics.jax.org/marker/MGI:2685590","MGI:2685590")</f>
        <v>MGI:2685590</v>
      </c>
      <c r="J6965" s="4" t="s">
        <v>12</v>
      </c>
    </row>
    <row r="6966" spans="1:10" x14ac:dyDescent="0.25">
      <c r="A6966" s="2">
        <v>25.4824012781798</v>
      </c>
      <c r="B6966" s="3">
        <v>-1.9818026077136901</v>
      </c>
      <c r="C6966" s="5">
        <v>7.8337876871801799E-15</v>
      </c>
      <c r="D6966" s="6">
        <v>9.1169080842183099E-14</v>
      </c>
      <c r="E6966" s="3" t="s">
        <v>3968</v>
      </c>
      <c r="F6966" s="3" t="s">
        <v>3969</v>
      </c>
      <c r="G6966" s="3">
        <v>17121</v>
      </c>
      <c r="H6966" s="7" t="str">
        <f>HYPERLINK("http://www.ensembl.org/Mus_musculus/Gene/Summary?db=core;g=ENSMUSG00000021485","ENSMUSG00000021485")</f>
        <v>ENSMUSG00000021485</v>
      </c>
      <c r="I6966" s="7" t="str">
        <f>HYPERLINK("http://www.informatics.jax.org/marker/MGI:104987","MGI:104987")</f>
        <v>MGI:104987</v>
      </c>
      <c r="J6966" s="4" t="s">
        <v>12</v>
      </c>
    </row>
    <row r="6967" spans="1:10" x14ac:dyDescent="0.25">
      <c r="A6967" s="2">
        <v>6.4178774758065504</v>
      </c>
      <c r="B6967" s="3">
        <v>-1.9964654827141399</v>
      </c>
      <c r="C6967" s="5">
        <v>1.54359138408481E-6</v>
      </c>
      <c r="D6967" s="6">
        <v>8.4051248804737699E-6</v>
      </c>
      <c r="E6967" s="3" t="s">
        <v>6285</v>
      </c>
      <c r="F6967" s="3" t="s">
        <v>6286</v>
      </c>
      <c r="G6967" s="3" t="s">
        <v>83</v>
      </c>
      <c r="H6967" s="7" t="str">
        <f>HYPERLINK("http://www.ensembl.org/Mus_musculus/Gene/Summary?db=core;g=ENSMUSG00000045231","ENSMUSG00000045231")</f>
        <v>ENSMUSG00000045231</v>
      </c>
      <c r="I6967" s="7" t="str">
        <f>HYPERLINK("http://www.informatics.jax.org/marker/MGI:3702726","MGI:3702726")</f>
        <v>MGI:3702726</v>
      </c>
      <c r="J6967" s="4" t="s">
        <v>331</v>
      </c>
    </row>
    <row r="6968" spans="1:10" x14ac:dyDescent="0.25">
      <c r="A6968" s="2">
        <v>10.896907723695501</v>
      </c>
      <c r="B6968" s="3">
        <v>-2.0060822626781198</v>
      </c>
      <c r="C6968" s="5">
        <v>2.21542213843182E-9</v>
      </c>
      <c r="D6968" s="6">
        <v>1.6554353617433299E-8</v>
      </c>
      <c r="E6968" s="3" t="s">
        <v>8891</v>
      </c>
      <c r="F6968" s="3" t="s">
        <v>8892</v>
      </c>
      <c r="G6968" s="3">
        <v>242700</v>
      </c>
      <c r="H6968" s="7" t="str">
        <f>HYPERLINK("http://www.ensembl.org/Mus_musculus/Gene/Summary?db=core;g=ENSMUSG00000062157","ENSMUSG00000062157")</f>
        <v>ENSMUSG00000062157</v>
      </c>
      <c r="I6968" s="7" t="str">
        <f>HYPERLINK("http://www.informatics.jax.org/marker/MGI:2429859","MGI:2429859")</f>
        <v>MGI:2429859</v>
      </c>
      <c r="J6968" s="4" t="s">
        <v>12</v>
      </c>
    </row>
    <row r="6969" spans="1:10" x14ac:dyDescent="0.25">
      <c r="A6969" s="2">
        <v>17.553866993963901</v>
      </c>
      <c r="B6969" s="3">
        <v>-2.0067830681421501</v>
      </c>
      <c r="C6969" s="5">
        <v>9.3406213189831894E-12</v>
      </c>
      <c r="D6969" s="6">
        <v>8.6986624189304398E-11</v>
      </c>
      <c r="E6969" s="3" t="s">
        <v>9135</v>
      </c>
      <c r="F6969" s="3" t="s">
        <v>9136</v>
      </c>
      <c r="G6969" s="3" t="s">
        <v>83</v>
      </c>
      <c r="H6969" s="7" t="str">
        <f>HYPERLINK("http://www.ensembl.org/Mus_musculus/Gene/Summary?db=core;g=ENSMUSG00000084797","ENSMUSG00000084797")</f>
        <v>ENSMUSG00000084797</v>
      </c>
      <c r="I6969" s="7" t="str">
        <f>HYPERLINK("http://www.informatics.jax.org/marker/MGI:3701951","MGI:3701951")</f>
        <v>MGI:3701951</v>
      </c>
      <c r="J6969" s="4" t="s">
        <v>939</v>
      </c>
    </row>
    <row r="6970" spans="1:10" x14ac:dyDescent="0.25">
      <c r="A6970" s="2">
        <v>6.38972997718888</v>
      </c>
      <c r="B6970" s="3">
        <v>-2.0070142275158398</v>
      </c>
      <c r="C6970" s="5">
        <v>8.2237780534228698E-7</v>
      </c>
      <c r="D6970" s="6">
        <v>4.6116416930348202E-6</v>
      </c>
      <c r="E6970" s="3" t="s">
        <v>8953</v>
      </c>
      <c r="F6970" s="3" t="s">
        <v>8954</v>
      </c>
      <c r="G6970" s="3">
        <v>17301</v>
      </c>
      <c r="H6970" s="7" t="str">
        <f>HYPERLINK("http://www.ensembl.org/Mus_musculus/Gene/Summary?db=core;g=ENSMUSG00000055210","ENSMUSG00000055210")</f>
        <v>ENSMUSG00000055210</v>
      </c>
      <c r="I6970" s="7" t="str">
        <f>HYPERLINK("http://www.informatics.jax.org/marker/MGI:1347471","MGI:1347471")</f>
        <v>MGI:1347471</v>
      </c>
      <c r="J6970" s="4" t="s">
        <v>12</v>
      </c>
    </row>
    <row r="6971" spans="1:10" x14ac:dyDescent="0.25">
      <c r="A6971" s="2">
        <v>154.71671577954299</v>
      </c>
      <c r="B6971" s="3">
        <v>-2.00830070243045</v>
      </c>
      <c r="C6971" s="5">
        <v>9.3461531344215495E-40</v>
      </c>
      <c r="D6971" s="6">
        <v>3.2077898469836701E-38</v>
      </c>
      <c r="E6971" s="3" t="s">
        <v>1086</v>
      </c>
      <c r="F6971" s="3" t="s">
        <v>1087</v>
      </c>
      <c r="G6971" s="3">
        <v>268512</v>
      </c>
      <c r="H6971" s="7" t="str">
        <f>HYPERLINK("http://www.ensembl.org/Mus_musculus/Gene/Summary?db=core;g=ENSMUSG00000039908","ENSMUSG00000039908")</f>
        <v>ENSMUSG00000039908</v>
      </c>
      <c r="I6971" s="7" t="str">
        <f>HYPERLINK("http://www.informatics.jax.org/marker/MGI:2444589","MGI:2444589")</f>
        <v>MGI:2444589</v>
      </c>
      <c r="J6971" s="4" t="s">
        <v>12</v>
      </c>
    </row>
    <row r="6972" spans="1:10" x14ac:dyDescent="0.25">
      <c r="A6972" s="2">
        <v>20.142561173500699</v>
      </c>
      <c r="B6972" s="3">
        <v>-2.0192315629715201</v>
      </c>
      <c r="C6972" s="5">
        <v>5.4876155763119398E-13</v>
      </c>
      <c r="D6972" s="6">
        <v>5.6631819863128602E-12</v>
      </c>
      <c r="E6972" s="3" t="s">
        <v>6521</v>
      </c>
      <c r="F6972" s="3" t="s">
        <v>6522</v>
      </c>
      <c r="G6972" s="3">
        <v>78408</v>
      </c>
      <c r="H6972" s="7" t="str">
        <f>HYPERLINK("http://www.ensembl.org/Mus_musculus/Gene/Summary?db=core;g=ENSMUSG00000050821","ENSMUSG00000050821")</f>
        <v>ENSMUSG00000050821</v>
      </c>
      <c r="I6972" s="7" t="str">
        <f>HYPERLINK("http://www.informatics.jax.org/marker/MGI:1925658","MGI:1925658")</f>
        <v>MGI:1925658</v>
      </c>
      <c r="J6972" s="4" t="s">
        <v>12</v>
      </c>
    </row>
    <row r="6973" spans="1:10" x14ac:dyDescent="0.25">
      <c r="A6973" s="2">
        <v>20.8950139439761</v>
      </c>
      <c r="B6973" s="3">
        <v>-2.0336465141197801</v>
      </c>
      <c r="C6973" s="5">
        <v>7.5300825231936298E-13</v>
      </c>
      <c r="D6973" s="6">
        <v>7.7228899260103498E-12</v>
      </c>
      <c r="E6973" s="3" t="s">
        <v>6271</v>
      </c>
      <c r="F6973" s="3" t="s">
        <v>6272</v>
      </c>
      <c r="G6973" s="3">
        <v>66333</v>
      </c>
      <c r="H6973" s="7" t="str">
        <f>HYPERLINK("http://www.ensembl.org/Mus_musculus/Gene/Summary?db=core;g=ENSMUSG00000042797","ENSMUSG00000042797")</f>
        <v>ENSMUSG00000042797</v>
      </c>
      <c r="I6973" s="7" t="str">
        <f>HYPERLINK("http://www.informatics.jax.org/marker/MGI:1913583","MGI:1913583")</f>
        <v>MGI:1913583</v>
      </c>
      <c r="J6973" s="4" t="s">
        <v>12</v>
      </c>
    </row>
    <row r="6974" spans="1:10" x14ac:dyDescent="0.25">
      <c r="A6974" s="2">
        <v>30.258635067509701</v>
      </c>
      <c r="B6974" s="3">
        <v>-2.0336833363737501</v>
      </c>
      <c r="C6974" s="5">
        <v>5.2951523806415902E-14</v>
      </c>
      <c r="D6974" s="6">
        <v>5.8310665943923203E-13</v>
      </c>
      <c r="E6974" s="3" t="s">
        <v>3632</v>
      </c>
      <c r="F6974" s="3" t="s">
        <v>3633</v>
      </c>
      <c r="G6974" s="3">
        <v>319772</v>
      </c>
      <c r="H6974" s="7" t="str">
        <f>HYPERLINK("http://www.ensembl.org/Mus_musculus/Gene/Summary?db=core;g=ENSMUSG00000044092","ENSMUSG00000044092")</f>
        <v>ENSMUSG00000044092</v>
      </c>
      <c r="I6974" s="7" t="str">
        <f>HYPERLINK("http://www.informatics.jax.org/marker/MGI:2442694","MGI:2442694")</f>
        <v>MGI:2442694</v>
      </c>
      <c r="J6974" s="4" t="s">
        <v>12</v>
      </c>
    </row>
    <row r="6975" spans="1:10" x14ac:dyDescent="0.25">
      <c r="A6975" s="2">
        <v>319.73945277951299</v>
      </c>
      <c r="B6975" s="3">
        <v>-2.0353662091347799</v>
      </c>
      <c r="C6975" s="5">
        <v>1.69204223444479E-26</v>
      </c>
      <c r="D6975" s="6">
        <v>3.6236744680089701E-25</v>
      </c>
      <c r="E6975" s="3" t="s">
        <v>4025</v>
      </c>
      <c r="F6975" s="3" t="s">
        <v>4026</v>
      </c>
      <c r="G6975" s="3">
        <v>79221</v>
      </c>
      <c r="H6975" s="7" t="str">
        <f>HYPERLINK("http://www.ensembl.org/Mus_musculus/Gene/Summary?db=core;g=ENSMUSG00000004698","ENSMUSG00000004698")</f>
        <v>ENSMUSG00000004698</v>
      </c>
      <c r="I6975" s="7" t="str">
        <f>HYPERLINK("http://www.informatics.jax.org/marker/MGI:1931221","MGI:1931221")</f>
        <v>MGI:1931221</v>
      </c>
      <c r="J6975" s="4" t="s">
        <v>12</v>
      </c>
    </row>
    <row r="6976" spans="1:10" x14ac:dyDescent="0.25">
      <c r="A6976" s="2">
        <v>7.0143616980593704</v>
      </c>
      <c r="B6976" s="3">
        <v>-2.0385288197261202</v>
      </c>
      <c r="C6976" s="5">
        <v>1.1485329674587801E-6</v>
      </c>
      <c r="D6976" s="6">
        <v>6.3507322002233998E-6</v>
      </c>
      <c r="E6976" s="3" t="s">
        <v>13207</v>
      </c>
      <c r="F6976" s="3" t="s">
        <v>13208</v>
      </c>
      <c r="G6976" s="3">
        <v>21810</v>
      </c>
      <c r="H6976" s="7" t="str">
        <f>HYPERLINK("http://www.ensembl.org/Mus_musculus/Gene/Summary?db=core;g=ENSMUSG00000035493","ENSMUSG00000035493")</f>
        <v>ENSMUSG00000035493</v>
      </c>
      <c r="I6976" s="7" t="str">
        <f>HYPERLINK("http://www.informatics.jax.org/marker/MGI:99959","MGI:99959")</f>
        <v>MGI:99959</v>
      </c>
      <c r="J6976" s="4" t="s">
        <v>12</v>
      </c>
    </row>
    <row r="6977" spans="1:10" x14ac:dyDescent="0.25">
      <c r="A6977" s="2">
        <v>60.1657013901089</v>
      </c>
      <c r="B6977" s="3">
        <v>-2.0512587859084399</v>
      </c>
      <c r="C6977" s="5">
        <v>2.1302582450181401E-25</v>
      </c>
      <c r="D6977" s="6">
        <v>4.3330308610999503E-24</v>
      </c>
      <c r="E6977" s="3" t="s">
        <v>3666</v>
      </c>
      <c r="F6977" s="3" t="s">
        <v>3667</v>
      </c>
      <c r="G6977" s="3">
        <v>18505</v>
      </c>
      <c r="H6977" s="7" t="str">
        <f>HYPERLINK("http://www.ensembl.org/Mus_musculus/Gene/Summary?db=core;g=ENSMUSG00000004872","ENSMUSG00000004872")</f>
        <v>ENSMUSG00000004872</v>
      </c>
      <c r="I6977" s="7" t="str">
        <f>HYPERLINK("http://www.informatics.jax.org/marker/MGI:97487","MGI:97487")</f>
        <v>MGI:97487</v>
      </c>
      <c r="J6977" s="4" t="s">
        <v>12</v>
      </c>
    </row>
    <row r="6978" spans="1:10" x14ac:dyDescent="0.25">
      <c r="A6978" s="2">
        <v>69.397492289761701</v>
      </c>
      <c r="B6978" s="3">
        <v>-2.0548969650179099</v>
      </c>
      <c r="C6978" s="5">
        <v>4.9131455959101501E-17</v>
      </c>
      <c r="D6978" s="6">
        <v>6.5454735734987202E-16</v>
      </c>
      <c r="E6978" s="3" t="s">
        <v>2505</v>
      </c>
      <c r="F6978" s="3" t="s">
        <v>2506</v>
      </c>
      <c r="G6978" s="3">
        <v>71706</v>
      </c>
      <c r="H6978" s="7" t="str">
        <f>HYPERLINK("http://www.ensembl.org/Mus_musculus/Gene/Summary?db=core;g=ENSMUSG00000029650","ENSMUSG00000029650")</f>
        <v>ENSMUSG00000029650</v>
      </c>
      <c r="I6978" s="7" t="str">
        <f>HYPERLINK("http://www.informatics.jax.org/marker/MGI:1918956","MGI:1918956")</f>
        <v>MGI:1918956</v>
      </c>
      <c r="J6978" s="4" t="s">
        <v>12</v>
      </c>
    </row>
    <row r="6979" spans="1:10" x14ac:dyDescent="0.25">
      <c r="A6979" s="2">
        <v>62.691905744666002</v>
      </c>
      <c r="B6979" s="3">
        <v>-2.0565305137854901</v>
      </c>
      <c r="C6979" s="5">
        <v>3.2444606653050602E-23</v>
      </c>
      <c r="D6979" s="6">
        <v>5.9727571338570499E-22</v>
      </c>
      <c r="E6979" s="3" t="s">
        <v>1863</v>
      </c>
      <c r="F6979" s="3" t="s">
        <v>1864</v>
      </c>
      <c r="G6979" s="3">
        <v>319430</v>
      </c>
      <c r="H6979" s="7" t="str">
        <f>HYPERLINK("http://www.ensembl.org/Mus_musculus/Gene/Summary?db=core;g=ENSMUSG00000074361","ENSMUSG00000074361")</f>
        <v>ENSMUSG00000074361</v>
      </c>
      <c r="I6979" s="7" t="str">
        <f>HYPERLINK("http://www.informatics.jax.org/marker/MGI:2442013","MGI:2442013")</f>
        <v>MGI:2442013</v>
      </c>
      <c r="J6979" s="4" t="s">
        <v>12</v>
      </c>
    </row>
    <row r="6980" spans="1:10" x14ac:dyDescent="0.25">
      <c r="A6980" s="2">
        <v>3.8066933488208301</v>
      </c>
      <c r="B6980" s="3">
        <v>-2.0603052587776598</v>
      </c>
      <c r="C6980" s="5">
        <v>5.85428894152207E-6</v>
      </c>
      <c r="D6980" s="6">
        <v>2.96208817210549E-5</v>
      </c>
      <c r="E6980" s="3" t="s">
        <v>11217</v>
      </c>
      <c r="F6980" s="3" t="s">
        <v>11218</v>
      </c>
      <c r="G6980" s="3">
        <v>110880</v>
      </c>
      <c r="H6980" s="7" t="str">
        <f>HYPERLINK("http://www.ensembl.org/Mus_musculus/Gene/Summary?db=core;g=ENSMUSG00000001027","ENSMUSG00000001027")</f>
        <v>ENSMUSG00000001027</v>
      </c>
      <c r="I6980" s="7" t="str">
        <f>HYPERLINK("http://www.informatics.jax.org/marker/MGI:98250","MGI:98250")</f>
        <v>MGI:98250</v>
      </c>
      <c r="J6980" s="4" t="s">
        <v>12</v>
      </c>
    </row>
    <row r="6981" spans="1:10" x14ac:dyDescent="0.25">
      <c r="A6981" s="2">
        <v>2.9102800798411299</v>
      </c>
      <c r="B6981" s="3">
        <v>-2.0619179782048001</v>
      </c>
      <c r="C6981" s="5">
        <v>6.9174189751661904E-6</v>
      </c>
      <c r="D6981" s="6">
        <v>3.4634604621539502E-5</v>
      </c>
      <c r="E6981" s="3" t="s">
        <v>11012</v>
      </c>
      <c r="F6981" s="3" t="s">
        <v>11013</v>
      </c>
      <c r="G6981" s="3">
        <v>329934</v>
      </c>
      <c r="H6981" s="7" t="str">
        <f>HYPERLINK("http://www.ensembl.org/Mus_musculus/Gene/Summary?db=core;g=ENSMUSG00000052135","ENSMUSG00000052135")</f>
        <v>ENSMUSG00000052135</v>
      </c>
      <c r="I6981" s="7" t="str">
        <f>HYPERLINK("http://www.informatics.jax.org/marker/MGI:2676586","MGI:2676586")</f>
        <v>MGI:2676586</v>
      </c>
      <c r="J6981" s="4" t="s">
        <v>12</v>
      </c>
    </row>
    <row r="6982" spans="1:10" x14ac:dyDescent="0.25">
      <c r="A6982" s="2">
        <v>104.699227651398</v>
      </c>
      <c r="B6982" s="3">
        <v>-2.0808479029152802</v>
      </c>
      <c r="C6982" s="5">
        <v>1.00177442336433E-38</v>
      </c>
      <c r="D6982" s="6">
        <v>3.3195161574208798E-37</v>
      </c>
      <c r="E6982" s="3" t="s">
        <v>3598</v>
      </c>
      <c r="F6982" s="3" t="s">
        <v>3599</v>
      </c>
      <c r="G6982" s="3">
        <v>14538</v>
      </c>
      <c r="H6982" s="7" t="str">
        <f>HYPERLINK("http://www.ensembl.org/Mus_musculus/Gene/Summary?db=core;g=ENSMUSG00000021360","ENSMUSG00000021360")</f>
        <v>ENSMUSG00000021360</v>
      </c>
      <c r="I6982" s="7" t="str">
        <f>HYPERLINK("http://www.informatics.jax.org/marker/MGI:1100870","MGI:1100870")</f>
        <v>MGI:1100870</v>
      </c>
      <c r="J6982" s="4" t="s">
        <v>12</v>
      </c>
    </row>
    <row r="6983" spans="1:10" x14ac:dyDescent="0.25">
      <c r="A6983" s="2">
        <v>387.442405695096</v>
      </c>
      <c r="B6983" s="3">
        <v>-2.0871475210114201</v>
      </c>
      <c r="C6983" s="5">
        <v>9.42011838740222E-96</v>
      </c>
      <c r="D6983" s="6">
        <v>1.2908395309053E-93</v>
      </c>
      <c r="E6983" s="3" t="s">
        <v>176</v>
      </c>
      <c r="F6983" s="3" t="s">
        <v>177</v>
      </c>
      <c r="G6983" s="3">
        <v>227929</v>
      </c>
      <c r="H6983" s="7" t="str">
        <f>HYPERLINK("http://www.ensembl.org/Mus_musculus/Gene/Summary?db=core;g=ENSMUSG00000026832","ENSMUSG00000026832")</f>
        <v>ENSMUSG00000026832</v>
      </c>
      <c r="I6983" s="7" t="str">
        <f>HYPERLINK("http://www.informatics.jax.org/marker/MGI:2183535","MGI:2183535")</f>
        <v>MGI:2183535</v>
      </c>
      <c r="J6983" s="4" t="s">
        <v>12</v>
      </c>
    </row>
    <row r="6984" spans="1:10" x14ac:dyDescent="0.25">
      <c r="A6984" s="2">
        <v>13.0742966798104</v>
      </c>
      <c r="B6984" s="3">
        <v>-2.1303400521442102</v>
      </c>
      <c r="C6984" s="5">
        <v>1.47824493162598E-10</v>
      </c>
      <c r="D6984" s="6">
        <v>1.2501630570247599E-9</v>
      </c>
      <c r="E6984" s="3" t="s">
        <v>6087</v>
      </c>
      <c r="F6984" s="3" t="s">
        <v>6088</v>
      </c>
      <c r="G6984" s="3">
        <v>13199</v>
      </c>
      <c r="H6984" s="7" t="str">
        <f>HYPERLINK("http://www.ensembl.org/Mus_musculus/Gene/Summary?db=core;g=ENSMUSG00000059213","ENSMUSG00000059213")</f>
        <v>ENSMUSG00000059213</v>
      </c>
      <c r="I6984" s="7" t="str">
        <f>HYPERLINK("http://www.informatics.jax.org/marker/MGI:108101","MGI:108101")</f>
        <v>MGI:108101</v>
      </c>
      <c r="J6984" s="4" t="s">
        <v>12</v>
      </c>
    </row>
    <row r="6985" spans="1:10" x14ac:dyDescent="0.25">
      <c r="A6985" s="2">
        <v>11.3863032497157</v>
      </c>
      <c r="B6985" s="3">
        <v>-2.1356247586097998</v>
      </c>
      <c r="C6985" s="5">
        <v>5.1132838566559704E-7</v>
      </c>
      <c r="D6985" s="6">
        <v>2.94159085503646E-6</v>
      </c>
      <c r="E6985" s="3" t="s">
        <v>3584</v>
      </c>
      <c r="F6985" s="3" t="s">
        <v>3585</v>
      </c>
      <c r="G6985" s="3">
        <v>170744</v>
      </c>
      <c r="H6985" s="7" t="str">
        <f>HYPERLINK("http://www.ensembl.org/Mus_musculus/Gene/Summary?db=core;g=ENSMUSG00000040522","ENSMUSG00000040522")</f>
        <v>ENSMUSG00000040522</v>
      </c>
      <c r="I6985" s="7" t="str">
        <f>HYPERLINK("http://www.informatics.jax.org/marker/MGI:2176887","MGI:2176887")</f>
        <v>MGI:2176887</v>
      </c>
      <c r="J6985" s="4" t="s">
        <v>12</v>
      </c>
    </row>
    <row r="6986" spans="1:10" x14ac:dyDescent="0.25">
      <c r="A6986" s="2">
        <v>7.2876715608343696</v>
      </c>
      <c r="B6986" s="3">
        <v>-2.1505338928947402</v>
      </c>
      <c r="C6986" s="5">
        <v>3.5386085660583897E-8</v>
      </c>
      <c r="D6986" s="6">
        <v>2.3131686196705199E-7</v>
      </c>
      <c r="E6986" s="3" t="s">
        <v>8503</v>
      </c>
      <c r="F6986" s="3" t="s">
        <v>8504</v>
      </c>
      <c r="G6986" s="3">
        <v>228550</v>
      </c>
      <c r="H6986" s="7" t="str">
        <f>HYPERLINK("http://www.ensembl.org/Mus_musculus/Gene/Summary?db=core;g=ENSMUSG00000027296","ENSMUSG00000027296")</f>
        <v>ENSMUSG00000027296</v>
      </c>
      <c r="I6986" s="7" t="str">
        <f>HYPERLINK("http://www.informatics.jax.org/marker/MGI:1333822","MGI:1333822")</f>
        <v>MGI:1333822</v>
      </c>
      <c r="J6986" s="4" t="s">
        <v>12</v>
      </c>
    </row>
    <row r="6987" spans="1:10" x14ac:dyDescent="0.25">
      <c r="A6987" s="2">
        <v>293.52614639580599</v>
      </c>
      <c r="B6987" s="3">
        <v>-2.1723805238843701</v>
      </c>
      <c r="C6987" s="5">
        <v>7.8591372040066097E-96</v>
      </c>
      <c r="D6987" s="6">
        <v>1.0850967844168201E-93</v>
      </c>
      <c r="E6987" s="3" t="s">
        <v>192</v>
      </c>
      <c r="F6987" s="3" t="s">
        <v>193</v>
      </c>
      <c r="G6987" s="3">
        <v>380912</v>
      </c>
      <c r="H6987" s="7" t="str">
        <f>HYPERLINK("http://www.ensembl.org/Mus_musculus/Gene/Summary?db=core;g=ENSMUSG00000034522","ENSMUSG00000034522")</f>
        <v>ENSMUSG00000034522</v>
      </c>
      <c r="I6987" s="7" t="str">
        <f>HYPERLINK("http://www.informatics.jax.org/marker/MGI:2682318","MGI:2682318")</f>
        <v>MGI:2682318</v>
      </c>
      <c r="J6987" s="4" t="s">
        <v>12</v>
      </c>
    </row>
    <row r="6988" spans="1:10" x14ac:dyDescent="0.25">
      <c r="A6988" s="2">
        <v>8.1316371048405607</v>
      </c>
      <c r="B6988" s="3">
        <v>-2.17248238265153</v>
      </c>
      <c r="C6988" s="5">
        <v>2.7531141839912399E-7</v>
      </c>
      <c r="D6988" s="6">
        <v>1.6429438769888799E-6</v>
      </c>
      <c r="E6988" s="3" t="s">
        <v>9817</v>
      </c>
      <c r="F6988" s="3" t="s">
        <v>9818</v>
      </c>
      <c r="G6988" s="3">
        <v>70839</v>
      </c>
      <c r="H6988" s="7" t="str">
        <f>HYPERLINK("http://www.ensembl.org/Mus_musculus/Gene/Summary?db=core;g=ENSMUSG00000036353","ENSMUSG00000036353")</f>
        <v>ENSMUSG00000036353</v>
      </c>
      <c r="I6988" s="7" t="str">
        <f>HYPERLINK("http://www.informatics.jax.org/marker/MGI:1918089","MGI:1918089")</f>
        <v>MGI:1918089</v>
      </c>
      <c r="J6988" s="4" t="s">
        <v>12</v>
      </c>
    </row>
    <row r="6989" spans="1:10" x14ac:dyDescent="0.25">
      <c r="A6989" s="2">
        <v>502.40591952850002</v>
      </c>
      <c r="B6989" s="3">
        <v>-2.18170376030755</v>
      </c>
      <c r="C6989" s="5">
        <v>3.5324426660260802E-50</v>
      </c>
      <c r="D6989" s="6">
        <v>1.6986482213278401E-48</v>
      </c>
      <c r="E6989" s="3" t="s">
        <v>1802</v>
      </c>
      <c r="F6989" s="3" t="s">
        <v>1803</v>
      </c>
      <c r="G6989" s="3">
        <v>58809</v>
      </c>
      <c r="H6989" s="7" t="str">
        <f>HYPERLINK("http://www.ensembl.org/Mus_musculus/Gene/Summary?db=core;g=ENSMUSG00000021876","ENSMUSG00000021876")</f>
        <v>ENSMUSG00000021876</v>
      </c>
      <c r="I6989" s="7" t="str">
        <f>HYPERLINK("http://www.informatics.jax.org/marker/MGI:1926217","MGI:1926217")</f>
        <v>MGI:1926217</v>
      </c>
      <c r="J6989" s="4" t="s">
        <v>12</v>
      </c>
    </row>
    <row r="6990" spans="1:10" x14ac:dyDescent="0.25">
      <c r="A6990" s="2">
        <v>111.38826063510299</v>
      </c>
      <c r="B6990" s="3">
        <v>-2.1817571618735299</v>
      </c>
      <c r="C6990" s="5">
        <v>3.9187772343436703E-49</v>
      </c>
      <c r="D6990" s="6">
        <v>1.84547067431301E-47</v>
      </c>
      <c r="E6990" s="3" t="s">
        <v>648</v>
      </c>
      <c r="F6990" s="3" t="s">
        <v>649</v>
      </c>
      <c r="G6990" s="3">
        <v>21824</v>
      </c>
      <c r="H6990" s="7" t="str">
        <f>HYPERLINK("http://www.ensembl.org/Mus_musculus/Gene/Summary?db=core;g=ENSMUSG00000074743","ENSMUSG00000074743")</f>
        <v>ENSMUSG00000074743</v>
      </c>
      <c r="I6990" s="7" t="str">
        <f>HYPERLINK("http://www.informatics.jax.org/marker/MGI:98736","MGI:98736")</f>
        <v>MGI:98736</v>
      </c>
      <c r="J6990" s="4" t="s">
        <v>12</v>
      </c>
    </row>
    <row r="6991" spans="1:10" x14ac:dyDescent="0.25">
      <c r="A6991" s="2">
        <v>46.293873107877097</v>
      </c>
      <c r="B6991" s="3">
        <v>-2.20199058607469</v>
      </c>
      <c r="C6991" s="5">
        <v>9.2191056664758305E-24</v>
      </c>
      <c r="D6991" s="6">
        <v>1.7375201734386999E-22</v>
      </c>
      <c r="E6991" s="3" t="s">
        <v>2431</v>
      </c>
      <c r="F6991" s="3" t="s">
        <v>2432</v>
      </c>
      <c r="G6991" s="3">
        <v>235320</v>
      </c>
      <c r="H6991" s="7" t="str">
        <f>HYPERLINK("http://www.ensembl.org/Mus_musculus/Gene/Summary?db=core;g=ENSMUSG00000066687","ENSMUSG00000066687")</f>
        <v>ENSMUSG00000066687</v>
      </c>
      <c r="I6991" s="7" t="str">
        <f>HYPERLINK("http://www.informatics.jax.org/marker/MGI:103222","MGI:103222")</f>
        <v>MGI:103222</v>
      </c>
      <c r="J6991" s="4" t="s">
        <v>12</v>
      </c>
    </row>
    <row r="6992" spans="1:10" x14ac:dyDescent="0.25">
      <c r="A6992" s="2">
        <v>210.878517085857</v>
      </c>
      <c r="B6992" s="3">
        <v>-2.2198394564030099</v>
      </c>
      <c r="C6992" s="5">
        <v>1.73076728794481E-16</v>
      </c>
      <c r="D6992" s="6">
        <v>2.2402864930961799E-15</v>
      </c>
      <c r="E6992" s="3" t="s">
        <v>2940</v>
      </c>
      <c r="F6992" s="3" t="s">
        <v>2941</v>
      </c>
      <c r="G6992" s="3">
        <v>332397</v>
      </c>
      <c r="H6992" s="7" t="str">
        <f>HYPERLINK("http://www.ensembl.org/Mus_musculus/Gene/Summary?db=core;g=ENSMUSG00000072437","ENSMUSG00000072437")</f>
        <v>ENSMUSG00000072437</v>
      </c>
      <c r="I6992" s="7" t="str">
        <f>HYPERLINK("http://www.informatics.jax.org/marker/MGI:2669254","MGI:2669254")</f>
        <v>MGI:2669254</v>
      </c>
      <c r="J6992" s="4" t="s">
        <v>12</v>
      </c>
    </row>
    <row r="6993" spans="1:10" x14ac:dyDescent="0.25">
      <c r="A6993" s="2">
        <v>11.526135031087399</v>
      </c>
      <c r="B6993" s="3">
        <v>-2.22094255577501</v>
      </c>
      <c r="C6993" s="5">
        <v>1.3040372885625099E-9</v>
      </c>
      <c r="D6993" s="6">
        <v>9.9899451803495995E-9</v>
      </c>
      <c r="E6993" s="3" t="s">
        <v>5123</v>
      </c>
      <c r="F6993" s="3" t="s">
        <v>5124</v>
      </c>
      <c r="G6993" s="3">
        <v>14296</v>
      </c>
      <c r="H6993" s="7" t="str">
        <f>HYPERLINK("http://www.ensembl.org/Mus_musculus/Gene/Summary?db=core;g=ENSMUSG00000067199","ENSMUSG00000067199")</f>
        <v>ENSMUSG00000067199</v>
      </c>
      <c r="I6993" s="7" t="str">
        <f>HYPERLINK("http://www.informatics.jax.org/marker/MGI:109450","MGI:109450")</f>
        <v>MGI:109450</v>
      </c>
      <c r="J6993" s="4" t="s">
        <v>12</v>
      </c>
    </row>
    <row r="6994" spans="1:10" x14ac:dyDescent="0.25">
      <c r="A6994" s="2">
        <v>52.174457650213597</v>
      </c>
      <c r="B6994" s="3">
        <v>-2.2425373231042101</v>
      </c>
      <c r="C6994" s="5">
        <v>4.32795158179298E-20</v>
      </c>
      <c r="D6994" s="6">
        <v>6.7705508650795698E-19</v>
      </c>
      <c r="E6994" s="3" t="s">
        <v>2131</v>
      </c>
      <c r="F6994" s="3" t="s">
        <v>2132</v>
      </c>
      <c r="G6994" s="3">
        <v>67731</v>
      </c>
      <c r="H6994" s="7" t="str">
        <f>HYPERLINK("http://www.ensembl.org/Mus_musculus/Gene/Summary?db=core;g=ENSMUSG00000022358","ENSMUSG00000022358")</f>
        <v>ENSMUSG00000022358</v>
      </c>
      <c r="I6994" s="7" t="str">
        <f>HYPERLINK("http://www.informatics.jax.org/marker/MGI:1914981","MGI:1914981")</f>
        <v>MGI:1914981</v>
      </c>
      <c r="J6994" s="4" t="s">
        <v>12</v>
      </c>
    </row>
    <row r="6995" spans="1:10" x14ac:dyDescent="0.25">
      <c r="A6995" s="2">
        <v>2880.52130694166</v>
      </c>
      <c r="B6995" s="3">
        <v>-2.2478781849780201</v>
      </c>
      <c r="C6995" s="5">
        <v>3.3333195187977001E-121</v>
      </c>
      <c r="D6995" s="6">
        <v>7.5937185287610104E-119</v>
      </c>
      <c r="E6995" s="3" t="s">
        <v>162</v>
      </c>
      <c r="F6995" s="3" t="s">
        <v>163</v>
      </c>
      <c r="G6995" s="3">
        <v>240168</v>
      </c>
      <c r="H6995" s="7" t="str">
        <f>HYPERLINK("http://www.ensembl.org/Mus_musculus/Gene/Summary?db=core;g=ENSMUSG00000071042","ENSMUSG00000071042")</f>
        <v>ENSMUSG00000071042</v>
      </c>
      <c r="I6995" s="7" t="str">
        <f>HYPERLINK("http://www.informatics.jax.org/marker/MGI:3028579","MGI:3028579")</f>
        <v>MGI:3028579</v>
      </c>
      <c r="J6995" s="4" t="s">
        <v>12</v>
      </c>
    </row>
    <row r="6996" spans="1:10" x14ac:dyDescent="0.25">
      <c r="A6996" s="2">
        <v>48.275075607923299</v>
      </c>
      <c r="B6996" s="3">
        <v>-2.25367680291057</v>
      </c>
      <c r="C6996" s="5">
        <v>2.49112065170586E-17</v>
      </c>
      <c r="D6996" s="6">
        <v>3.3730069745423E-16</v>
      </c>
      <c r="E6996" s="3" t="s">
        <v>2277</v>
      </c>
      <c r="F6996" s="3" t="s">
        <v>2278</v>
      </c>
      <c r="G6996" s="3">
        <v>66090</v>
      </c>
      <c r="H6996" s="7" t="str">
        <f>HYPERLINK("http://www.ensembl.org/Mus_musculus/Gene/Summary?db=core;g=ENSMUSG00000042675","ENSMUSG00000042675")</f>
        <v>ENSMUSG00000042675</v>
      </c>
      <c r="I6996" s="7" t="str">
        <f>HYPERLINK("http://www.informatics.jax.org/marker/MGI:1913340","MGI:1913340")</f>
        <v>MGI:1913340</v>
      </c>
      <c r="J6996" s="4" t="s">
        <v>12</v>
      </c>
    </row>
    <row r="6997" spans="1:10" x14ac:dyDescent="0.25">
      <c r="A6997" s="2">
        <v>19.188753114667001</v>
      </c>
      <c r="B6997" s="3">
        <v>-2.2928544827700899</v>
      </c>
      <c r="C6997" s="5">
        <v>3.7676323875385899E-12</v>
      </c>
      <c r="D6997" s="6">
        <v>3.6292336291168502E-11</v>
      </c>
      <c r="E6997" s="3" t="s">
        <v>3618</v>
      </c>
      <c r="F6997" s="3" t="s">
        <v>3619</v>
      </c>
      <c r="G6997" s="3">
        <v>68515</v>
      </c>
      <c r="H6997" s="7" t="str">
        <f>HYPERLINK("http://www.ensembl.org/Mus_musculus/Gene/Summary?db=core;g=ENSMUSG00000025141","ENSMUSG00000025141")</f>
        <v>ENSMUSG00000025141</v>
      </c>
      <c r="I6997" s="7" t="str">
        <f>HYPERLINK("http://www.informatics.jax.org/marker/MGI:1915765","MGI:1915765")</f>
        <v>MGI:1915765</v>
      </c>
      <c r="J6997" s="4" t="s">
        <v>12</v>
      </c>
    </row>
    <row r="6998" spans="1:10" x14ac:dyDescent="0.25">
      <c r="A6998" s="2">
        <v>147.848328215039</v>
      </c>
      <c r="B6998" s="3">
        <v>-2.2939951333292199</v>
      </c>
      <c r="C6998" s="5">
        <v>9.7856650520861902E-40</v>
      </c>
      <c r="D6998" s="6">
        <v>3.3523260446291501E-38</v>
      </c>
      <c r="E6998" s="3" t="s">
        <v>1400</v>
      </c>
      <c r="F6998" s="3" t="s">
        <v>1401</v>
      </c>
      <c r="G6998" s="3">
        <v>231633</v>
      </c>
      <c r="H6998" s="7" t="str">
        <f>HYPERLINK("http://www.ensembl.org/Mus_musculus/Gene/Summary?db=core;g=ENSMUSG00000054675","ENSMUSG00000054675")</f>
        <v>ENSMUSG00000054675</v>
      </c>
      <c r="I6998" s="7" t="str">
        <f>HYPERLINK("http://www.informatics.jax.org/marker/MGI:2385228","MGI:2385228")</f>
        <v>MGI:2385228</v>
      </c>
      <c r="J6998" s="4" t="s">
        <v>12</v>
      </c>
    </row>
    <row r="6999" spans="1:10" x14ac:dyDescent="0.25">
      <c r="A6999" s="2">
        <v>30.963197322549298</v>
      </c>
      <c r="B6999" s="3">
        <v>-2.29452185300031</v>
      </c>
      <c r="C6999" s="5">
        <v>7.1149892601571399E-19</v>
      </c>
      <c r="D6999" s="6">
        <v>1.05252174729192E-17</v>
      </c>
      <c r="E6999" s="3" t="s">
        <v>5203</v>
      </c>
      <c r="F6999" s="3" t="s">
        <v>5204</v>
      </c>
      <c r="G6999" s="3" t="s">
        <v>83</v>
      </c>
      <c r="H6999" s="7" t="str">
        <f>HYPERLINK("http://www.ensembl.org/Mus_musculus/Gene/Summary?db=core;g=ENSMUSG00000084821","ENSMUSG00000084821")</f>
        <v>ENSMUSG00000084821</v>
      </c>
      <c r="I6999" s="7" t="str">
        <f>HYPERLINK("http://www.informatics.jax.org/marker/MGI:3802014","MGI:3802014")</f>
        <v>MGI:3802014</v>
      </c>
      <c r="J6999" s="4" t="s">
        <v>932</v>
      </c>
    </row>
    <row r="7000" spans="1:10" x14ac:dyDescent="0.25">
      <c r="A7000" s="2">
        <v>279.71797010362798</v>
      </c>
      <c r="B7000" s="3">
        <v>-2.2965274629197698</v>
      </c>
      <c r="C7000" s="5">
        <v>1.0224708253896201E-14</v>
      </c>
      <c r="D7000" s="6">
        <v>1.18239408583285E-13</v>
      </c>
      <c r="E7000" s="3" t="s">
        <v>5461</v>
      </c>
      <c r="F7000" s="3" t="s">
        <v>5462</v>
      </c>
      <c r="G7000" s="3">
        <v>432779</v>
      </c>
      <c r="H7000" s="7" t="str">
        <f>HYPERLINK("http://www.ensembl.org/Mus_musculus/Gene/Summary?db=core;g=ENSMUSG00000021579","ENSMUSG00000021579")</f>
        <v>ENSMUSG00000021579</v>
      </c>
      <c r="I7000" s="7" t="str">
        <f>HYPERLINK("http://www.informatics.jax.org/marker/MGI:2145269","MGI:2145269")</f>
        <v>MGI:2145269</v>
      </c>
      <c r="J7000" s="4" t="s">
        <v>12</v>
      </c>
    </row>
    <row r="7001" spans="1:10" x14ac:dyDescent="0.25">
      <c r="A7001" s="2">
        <v>34.435764655714202</v>
      </c>
      <c r="B7001" s="3">
        <v>-2.2968992277759002</v>
      </c>
      <c r="C7001" s="5">
        <v>3.9595287872290801E-20</v>
      </c>
      <c r="D7001" s="6">
        <v>6.2155393753014599E-19</v>
      </c>
      <c r="E7001" s="3" t="s">
        <v>2487</v>
      </c>
      <c r="F7001" s="3" t="s">
        <v>2488</v>
      </c>
      <c r="G7001" s="3">
        <v>64929</v>
      </c>
      <c r="H7001" s="7" t="str">
        <f>HYPERLINK("http://www.ensembl.org/Mus_musculus/Gene/Summary?db=core;g=ENSMUSG00000022123","ENSMUSG00000022123")</f>
        <v>ENSMUSG00000022123</v>
      </c>
      <c r="I7001" s="7" t="str">
        <f>HYPERLINK("http://www.informatics.jax.org/marker/MGI:1891228","MGI:1891228")</f>
        <v>MGI:1891228</v>
      </c>
      <c r="J7001" s="4" t="s">
        <v>12</v>
      </c>
    </row>
    <row r="7002" spans="1:10" x14ac:dyDescent="0.25">
      <c r="A7002" s="2">
        <v>4.0720666202493101</v>
      </c>
      <c r="B7002" s="3">
        <v>-2.2990580720291298</v>
      </c>
      <c r="C7002" s="5">
        <v>2.2454916718943699E-7</v>
      </c>
      <c r="D7002" s="6">
        <v>1.3551021761680399E-6</v>
      </c>
      <c r="E7002" s="3" t="s">
        <v>11251</v>
      </c>
      <c r="F7002" s="3" t="s">
        <v>11252</v>
      </c>
      <c r="G7002" s="3">
        <v>16511</v>
      </c>
      <c r="H7002" s="7" t="str">
        <f>HYPERLINK("http://www.ensembl.org/Mus_musculus/Gene/Summary?db=core;g=ENSMUSG00000038319","ENSMUSG00000038319")</f>
        <v>ENSMUSG00000038319</v>
      </c>
      <c r="I7002" s="7" t="str">
        <f>HYPERLINK("http://www.informatics.jax.org/marker/MGI:1341722","MGI:1341722")</f>
        <v>MGI:1341722</v>
      </c>
      <c r="J7002" s="4" t="s">
        <v>12</v>
      </c>
    </row>
    <row r="7003" spans="1:10" x14ac:dyDescent="0.25">
      <c r="A7003" s="2">
        <v>20.1023630617109</v>
      </c>
      <c r="B7003" s="3">
        <v>-2.3134392367905399</v>
      </c>
      <c r="C7003" s="5">
        <v>2.0580190218808799E-15</v>
      </c>
      <c r="D7003" s="6">
        <v>2.47737098241606E-14</v>
      </c>
      <c r="E7003" s="3" t="s">
        <v>4517</v>
      </c>
      <c r="F7003" s="3" t="s">
        <v>4518</v>
      </c>
      <c r="G7003" s="3">
        <v>13636</v>
      </c>
      <c r="H7003" s="7" t="str">
        <f>HYPERLINK("http://www.ensembl.org/Mus_musculus/Gene/Summary?db=core;g=ENSMUSG00000027954","ENSMUSG00000027954")</f>
        <v>ENSMUSG00000027954</v>
      </c>
      <c r="I7003" s="7" t="str">
        <f>HYPERLINK("http://www.informatics.jax.org/marker/MGI:103236","MGI:103236")</f>
        <v>MGI:103236</v>
      </c>
      <c r="J7003" s="4" t="s">
        <v>12</v>
      </c>
    </row>
    <row r="7004" spans="1:10" x14ac:dyDescent="0.25">
      <c r="A7004" s="2">
        <v>12.0195666787147</v>
      </c>
      <c r="B7004" s="3">
        <v>-2.3166985055429801</v>
      </c>
      <c r="C7004" s="5">
        <v>1.82465592804638E-11</v>
      </c>
      <c r="D7004" s="6">
        <v>1.66105665777449E-10</v>
      </c>
      <c r="E7004" s="3" t="s">
        <v>6766</v>
      </c>
      <c r="F7004" s="3" t="s">
        <v>6767</v>
      </c>
      <c r="G7004" s="3">
        <v>433940</v>
      </c>
      <c r="H7004" s="7" t="str">
        <f>HYPERLINK("http://www.ensembl.org/Mus_musculus/Gene/Summary?db=core;g=ENSMUSG00000041930","ENSMUSG00000041930")</f>
        <v>ENSMUSG00000041930</v>
      </c>
      <c r="I7004" s="7" t="str">
        <f>HYPERLINK("http://www.informatics.jax.org/marker/MGI:3605543","MGI:3605543")</f>
        <v>MGI:3605543</v>
      </c>
      <c r="J7004" s="4" t="s">
        <v>12</v>
      </c>
    </row>
    <row r="7005" spans="1:10" x14ac:dyDescent="0.25">
      <c r="A7005" s="2">
        <v>9.7378275664365894</v>
      </c>
      <c r="B7005" s="3">
        <v>-2.3225284654400502</v>
      </c>
      <c r="C7005" s="5">
        <v>1.4779554100723499E-8</v>
      </c>
      <c r="D7005" s="6">
        <v>1.01110125182314E-7</v>
      </c>
      <c r="E7005" s="3" t="s">
        <v>7718</v>
      </c>
      <c r="F7005" s="3" t="s">
        <v>7719</v>
      </c>
      <c r="G7005" s="3">
        <v>76184</v>
      </c>
      <c r="H7005" s="7" t="str">
        <f>HYPERLINK("http://www.ensembl.org/Mus_musculus/Gene/Summary?db=core;g=ENSMUSG00000044749","ENSMUSG00000044749")</f>
        <v>ENSMUSG00000044749</v>
      </c>
      <c r="I7005" s="7" t="str">
        <f>HYPERLINK("http://www.informatics.jax.org/marker/MGI:1923434","MGI:1923434")</f>
        <v>MGI:1923434</v>
      </c>
      <c r="J7005" s="4" t="s">
        <v>12</v>
      </c>
    </row>
    <row r="7006" spans="1:10" x14ac:dyDescent="0.25">
      <c r="A7006" s="2">
        <v>355.68931356671101</v>
      </c>
      <c r="B7006" s="3">
        <v>-2.3274214716474599</v>
      </c>
      <c r="C7006" s="5">
        <v>4.3207529007123001E-75</v>
      </c>
      <c r="D7006" s="6">
        <v>3.78585200074431E-73</v>
      </c>
      <c r="E7006" s="3" t="s">
        <v>196</v>
      </c>
      <c r="F7006" s="3" t="s">
        <v>197</v>
      </c>
      <c r="G7006" s="3">
        <v>12767</v>
      </c>
      <c r="H7006" s="7" t="str">
        <f>HYPERLINK("http://www.ensembl.org/Mus_musculus/Gene/Summary?db=core;g=ENSMUSG00000045382","ENSMUSG00000045382")</f>
        <v>ENSMUSG00000045382</v>
      </c>
      <c r="I7006" s="7" t="str">
        <f>HYPERLINK("http://www.informatics.jax.org/marker/MGI:109563","MGI:109563")</f>
        <v>MGI:109563</v>
      </c>
      <c r="J7006" s="4" t="s">
        <v>12</v>
      </c>
    </row>
    <row r="7007" spans="1:10" x14ac:dyDescent="0.25">
      <c r="A7007" s="2">
        <v>502.88107245651202</v>
      </c>
      <c r="B7007" s="3">
        <v>-2.3488963647127701</v>
      </c>
      <c r="C7007" s="5">
        <v>3.6574814763779299E-110</v>
      </c>
      <c r="D7007" s="6">
        <v>6.66575999069878E-108</v>
      </c>
      <c r="E7007" s="3" t="s">
        <v>212</v>
      </c>
      <c r="F7007" s="3" t="s">
        <v>213</v>
      </c>
      <c r="G7007" s="3">
        <v>140742</v>
      </c>
      <c r="H7007" s="7" t="str">
        <f>HYPERLINK("http://www.ensembl.org/Mus_musculus/Gene/Summary?db=core;g=ENSMUSG00000038332","ENSMUSG00000038332")</f>
        <v>ENSMUSG00000038332</v>
      </c>
      <c r="I7007" s="7" t="str">
        <f>HYPERLINK("http://www.informatics.jax.org/marker/MGI:2155278","MGI:2155278")</f>
        <v>MGI:2155278</v>
      </c>
      <c r="J7007" s="4" t="s">
        <v>12</v>
      </c>
    </row>
    <row r="7008" spans="1:10" x14ac:dyDescent="0.25">
      <c r="A7008" s="2">
        <v>4.4221827993217202</v>
      </c>
      <c r="B7008" s="3">
        <v>-2.3734585435661701</v>
      </c>
      <c r="C7008" s="5">
        <v>1.89891558649365E-7</v>
      </c>
      <c r="D7008" s="6">
        <v>1.1562892269912E-6</v>
      </c>
      <c r="E7008" s="3" t="s">
        <v>10328</v>
      </c>
      <c r="F7008" s="3" t="s">
        <v>10329</v>
      </c>
      <c r="G7008" s="3">
        <v>71007</v>
      </c>
      <c r="H7008" s="7" t="str">
        <f>HYPERLINK("http://www.ensembl.org/Mus_musculus/Gene/Summary?db=core;g=ENSMUSG00000030994","ENSMUSG00000030994")</f>
        <v>ENSMUSG00000030994</v>
      </c>
      <c r="I7008" s="7" t="str">
        <f>HYPERLINK("http://www.informatics.jax.org/marker/MGI:1196431","MGI:1196431")</f>
        <v>MGI:1196431</v>
      </c>
      <c r="J7008" s="4" t="s">
        <v>12</v>
      </c>
    </row>
    <row r="7009" spans="1:10" x14ac:dyDescent="0.25">
      <c r="A7009" s="2">
        <v>87.905853101701894</v>
      </c>
      <c r="B7009" s="3">
        <v>-2.37480832364081</v>
      </c>
      <c r="C7009" s="5">
        <v>2.8805424550798201E-27</v>
      </c>
      <c r="D7009" s="6">
        <v>6.3633801507672499E-26</v>
      </c>
      <c r="E7009" s="3" t="s">
        <v>1460</v>
      </c>
      <c r="F7009" s="3" t="s">
        <v>1461</v>
      </c>
      <c r="G7009" s="3">
        <v>17122</v>
      </c>
      <c r="H7009" s="7" t="str">
        <f>HYPERLINK("http://www.ensembl.org/Mus_musculus/Gene/Summary?db=core;g=ENSMUSG00000037235","ENSMUSG00000037235")</f>
        <v>ENSMUSG00000037235</v>
      </c>
      <c r="I7009" s="7" t="str">
        <f>HYPERLINK("http://www.informatics.jax.org/marker/MGI:104991","MGI:104991")</f>
        <v>MGI:104991</v>
      </c>
      <c r="J7009" s="4" t="s">
        <v>12</v>
      </c>
    </row>
    <row r="7010" spans="1:10" x14ac:dyDescent="0.25">
      <c r="A7010" s="2">
        <v>7.26841782123382</v>
      </c>
      <c r="B7010" s="3">
        <v>-2.3867580401409199</v>
      </c>
      <c r="C7010" s="5">
        <v>1.4002593863117099E-8</v>
      </c>
      <c r="D7010" s="6">
        <v>9.6089265878559794E-8</v>
      </c>
      <c r="E7010" s="3" t="s">
        <v>9581</v>
      </c>
      <c r="F7010" s="3" t="s">
        <v>9582</v>
      </c>
      <c r="G7010" s="3" t="s">
        <v>83</v>
      </c>
      <c r="H7010" s="7" t="str">
        <f>HYPERLINK("http://www.ensembl.org/Mus_musculus/Gene/Summary?db=core;g=ENSMUSG00000072618","ENSMUSG00000072618")</f>
        <v>ENSMUSG00000072618</v>
      </c>
      <c r="I7010" s="7" t="str">
        <f>HYPERLINK("http://www.informatics.jax.org/marker/MGI:3641812","MGI:3641812")</f>
        <v>MGI:3641812</v>
      </c>
      <c r="J7010" s="4" t="s">
        <v>939</v>
      </c>
    </row>
    <row r="7011" spans="1:10" x14ac:dyDescent="0.25">
      <c r="A7011" s="2">
        <v>189.49596562294499</v>
      </c>
      <c r="B7011" s="3">
        <v>-2.3870809650568998</v>
      </c>
      <c r="C7011" s="5">
        <v>3.29308871198232E-47</v>
      </c>
      <c r="D7011" s="6">
        <v>1.4673971094346699E-45</v>
      </c>
      <c r="E7011" s="3" t="s">
        <v>868</v>
      </c>
      <c r="F7011" s="3" t="s">
        <v>869</v>
      </c>
      <c r="G7011" s="3" t="s">
        <v>83</v>
      </c>
      <c r="H7011" s="7" t="str">
        <f>HYPERLINK("http://www.ensembl.org/Mus_musculus/Gene/Summary?db=core;g=ENSMUSG00000085006","ENSMUSG00000085006")</f>
        <v>ENSMUSG00000085006</v>
      </c>
      <c r="I7011" s="7" t="str">
        <f>HYPERLINK("http://www.informatics.jax.org/marker/MGI:3615512","MGI:3615512")</f>
        <v>MGI:3615512</v>
      </c>
      <c r="J7011" s="4" t="s">
        <v>320</v>
      </c>
    </row>
    <row r="7012" spans="1:10" x14ac:dyDescent="0.25">
      <c r="A7012" s="2">
        <v>198.05160712685</v>
      </c>
      <c r="B7012" s="3">
        <v>-2.42712393190501</v>
      </c>
      <c r="C7012" s="5">
        <v>2.3508603120041401E-47</v>
      </c>
      <c r="D7012" s="6">
        <v>1.05268867779547E-45</v>
      </c>
      <c r="E7012" s="3" t="s">
        <v>1160</v>
      </c>
      <c r="F7012" s="3" t="s">
        <v>1161</v>
      </c>
      <c r="G7012" s="3">
        <v>321019</v>
      </c>
      <c r="H7012" s="7" t="str">
        <f>HYPERLINK("http://www.ensembl.org/Mus_musculus/Gene/Summary?db=core;g=ENSMUSG00000051212","ENSMUSG00000051212")</f>
        <v>ENSMUSG00000051212</v>
      </c>
      <c r="I7012" s="7" t="str">
        <f>HYPERLINK("http://www.informatics.jax.org/marker/MGI:2442034","MGI:2442034")</f>
        <v>MGI:2442034</v>
      </c>
      <c r="J7012" s="4" t="s">
        <v>12</v>
      </c>
    </row>
    <row r="7013" spans="1:10" x14ac:dyDescent="0.25">
      <c r="A7013" s="2">
        <v>581.05728973135604</v>
      </c>
      <c r="B7013" s="3">
        <v>-2.4320107981662198</v>
      </c>
      <c r="C7013" s="5">
        <v>2.91002920384627E-128</v>
      </c>
      <c r="D7013" s="6">
        <v>7.1669300324457005E-126</v>
      </c>
      <c r="E7013" s="3" t="s">
        <v>282</v>
      </c>
      <c r="F7013" s="3" t="s">
        <v>283</v>
      </c>
      <c r="G7013" s="3">
        <v>17289</v>
      </c>
      <c r="H7013" s="7" t="str">
        <f>HYPERLINK("http://www.ensembl.org/Mus_musculus/Gene/Summary?db=core;g=ENSMUSG00000014361","ENSMUSG00000014361")</f>
        <v>ENSMUSG00000014361</v>
      </c>
      <c r="I7013" s="7" t="str">
        <f>HYPERLINK("http://www.informatics.jax.org/marker/MGI:96965","MGI:96965")</f>
        <v>MGI:96965</v>
      </c>
      <c r="J7013" s="4" t="s">
        <v>12</v>
      </c>
    </row>
    <row r="7014" spans="1:10" x14ac:dyDescent="0.25">
      <c r="A7014" s="2">
        <v>163.84977500436801</v>
      </c>
      <c r="B7014" s="3">
        <v>-2.4688625829983999</v>
      </c>
      <c r="C7014" s="5">
        <v>1.3803420250730601E-17</v>
      </c>
      <c r="D7014" s="6">
        <v>1.8971895480359399E-16</v>
      </c>
      <c r="E7014" s="3" t="s">
        <v>2119</v>
      </c>
      <c r="F7014" s="3" t="s">
        <v>2120</v>
      </c>
      <c r="G7014" s="3">
        <v>14245</v>
      </c>
      <c r="H7014" s="7" t="str">
        <f>HYPERLINK("http://www.ensembl.org/Mus_musculus/Gene/Summary?db=core;g=ENSMUSG00000020593","ENSMUSG00000020593")</f>
        <v>ENSMUSG00000020593</v>
      </c>
      <c r="I7014" s="7" t="str">
        <f>HYPERLINK("http://www.informatics.jax.org/marker/MGI:1891340","MGI:1891340")</f>
        <v>MGI:1891340</v>
      </c>
      <c r="J7014" s="4" t="s">
        <v>12</v>
      </c>
    </row>
    <row r="7015" spans="1:10" x14ac:dyDescent="0.25">
      <c r="A7015" s="2">
        <v>483.30217097077002</v>
      </c>
      <c r="B7015" s="3">
        <v>-2.4757909794145898</v>
      </c>
      <c r="C7015" s="5">
        <v>4.5825789179446497E-139</v>
      </c>
      <c r="D7015" s="6">
        <v>1.3470564641861499E-136</v>
      </c>
      <c r="E7015" s="3" t="s">
        <v>188</v>
      </c>
      <c r="F7015" s="3" t="s">
        <v>189</v>
      </c>
      <c r="G7015" s="3">
        <v>239743</v>
      </c>
      <c r="H7015" s="7" t="str">
        <f>HYPERLINK("http://www.ensembl.org/Mus_musculus/Gene/Summary?db=core;g=ENSMUSG00000043008","ENSMUSG00000043008")</f>
        <v>ENSMUSG00000043008</v>
      </c>
      <c r="I7015" s="7" t="str">
        <f>HYPERLINK("http://www.informatics.jax.org/marker/MGI:2686922","MGI:2686922")</f>
        <v>MGI:2686922</v>
      </c>
      <c r="J7015" s="4" t="s">
        <v>12</v>
      </c>
    </row>
    <row r="7016" spans="1:10" x14ac:dyDescent="0.25">
      <c r="A7016" s="2">
        <v>11.3617950196313</v>
      </c>
      <c r="B7016" s="3">
        <v>-2.5179726643187199</v>
      </c>
      <c r="C7016" s="5">
        <v>7.7803906453046799E-10</v>
      </c>
      <c r="D7016" s="6">
        <v>6.1410835647759996E-9</v>
      </c>
      <c r="E7016" s="3" t="s">
        <v>4795</v>
      </c>
      <c r="F7016" s="3" t="s">
        <v>4796</v>
      </c>
      <c r="G7016" s="3">
        <v>70355</v>
      </c>
      <c r="H7016" s="7" t="str">
        <f>HYPERLINK("http://www.ensembl.org/Mus_musculus/Gene/Summary?db=core;g=ENSMUSG00000051043","ENSMUSG00000051043")</f>
        <v>ENSMUSG00000051043</v>
      </c>
      <c r="I7016" s="7" t="str">
        <f>HYPERLINK("http://www.informatics.jax.org/marker/MGI:1917605","MGI:1917605")</f>
        <v>MGI:1917605</v>
      </c>
      <c r="J7016" s="4" t="s">
        <v>12</v>
      </c>
    </row>
    <row r="7017" spans="1:10" x14ac:dyDescent="0.25">
      <c r="A7017" s="2">
        <v>75.944791711493195</v>
      </c>
      <c r="B7017" s="3">
        <v>-2.5437228240856902</v>
      </c>
      <c r="C7017" s="5">
        <v>2.9372462027231101E-43</v>
      </c>
      <c r="D7017" s="6">
        <v>1.14139258090893E-41</v>
      </c>
      <c r="E7017" s="3" t="s">
        <v>1276</v>
      </c>
      <c r="F7017" s="3" t="s">
        <v>1277</v>
      </c>
      <c r="G7017" s="3">
        <v>71862</v>
      </c>
      <c r="H7017" s="7" t="str">
        <f>HYPERLINK("http://www.ensembl.org/Mus_musculus/Gene/Summary?db=core;g=ENSMUSG00000037661","ENSMUSG00000037661")</f>
        <v>ENSMUSG00000037661</v>
      </c>
      <c r="I7017" s="7" t="str">
        <f>HYPERLINK("http://www.informatics.jax.org/marker/MGI:1919112","MGI:1919112")</f>
        <v>MGI:1919112</v>
      </c>
      <c r="J7017" s="4" t="s">
        <v>12</v>
      </c>
    </row>
    <row r="7018" spans="1:10" x14ac:dyDescent="0.25">
      <c r="A7018" s="2">
        <v>6.4250933439812696</v>
      </c>
      <c r="B7018" s="3">
        <v>-2.5445917787315202</v>
      </c>
      <c r="C7018" s="5">
        <v>1.76150993203967E-9</v>
      </c>
      <c r="D7018" s="6">
        <v>1.33264917025417E-8</v>
      </c>
      <c r="E7018" s="3" t="s">
        <v>9583</v>
      </c>
      <c r="F7018" s="3" t="s">
        <v>9584</v>
      </c>
      <c r="G7018" s="3" t="s">
        <v>83</v>
      </c>
      <c r="H7018" s="7" t="str">
        <f>HYPERLINK("http://www.ensembl.org/Mus_musculus/Gene/Summary?db=core;g=ENSMUSG00000111713","ENSMUSG00000111713")</f>
        <v>ENSMUSG00000111713</v>
      </c>
      <c r="I7018" s="7" t="str">
        <f>HYPERLINK("http://www.informatics.jax.org/marker/MGI:5012419","MGI:5012419")</f>
        <v>MGI:5012419</v>
      </c>
      <c r="J7018" s="4" t="s">
        <v>932</v>
      </c>
    </row>
    <row r="7019" spans="1:10" x14ac:dyDescent="0.25">
      <c r="A7019" s="2">
        <v>106.21805789846201</v>
      </c>
      <c r="B7019" s="3">
        <v>-2.56615924142007</v>
      </c>
      <c r="C7019" s="5">
        <v>3.0058167036493998E-32</v>
      </c>
      <c r="D7019" s="6">
        <v>8.0678953496333204E-31</v>
      </c>
      <c r="E7019" s="3" t="s">
        <v>2341</v>
      </c>
      <c r="F7019" s="3" t="s">
        <v>2342</v>
      </c>
      <c r="G7019" s="3">
        <v>74614</v>
      </c>
      <c r="H7019" s="7" t="str">
        <f>HYPERLINK("http://www.ensembl.org/Mus_musculus/Gene/Summary?db=core;g=ENSMUSG00000027670","ENSMUSG00000027670")</f>
        <v>ENSMUSG00000027670</v>
      </c>
      <c r="I7019" s="7" t="str">
        <f>HYPERLINK("http://www.informatics.jax.org/marker/MGI:1921864","MGI:1921864")</f>
        <v>MGI:1921864</v>
      </c>
      <c r="J7019" s="4" t="s">
        <v>12</v>
      </c>
    </row>
    <row r="7020" spans="1:10" x14ac:dyDescent="0.25">
      <c r="A7020" s="2">
        <v>10.712229376314999</v>
      </c>
      <c r="B7020" s="3">
        <v>-2.5946776175610702</v>
      </c>
      <c r="C7020" s="5">
        <v>1.8712328621877401E-11</v>
      </c>
      <c r="D7020" s="6">
        <v>1.7009086739836201E-10</v>
      </c>
      <c r="E7020" s="3" t="s">
        <v>5741</v>
      </c>
      <c r="F7020" s="3" t="s">
        <v>5742</v>
      </c>
      <c r="G7020" s="3" t="s">
        <v>83</v>
      </c>
      <c r="H7020" s="7" t="str">
        <f>HYPERLINK("http://www.ensembl.org/Mus_musculus/Gene/Summary?db=core;g=ENSMUSG00000097654","ENSMUSG00000097654")</f>
        <v>ENSMUSG00000097654</v>
      </c>
      <c r="I7020" s="7" t="str">
        <f>HYPERLINK("http://www.informatics.jax.org/marker/MGI:5477208","MGI:5477208")</f>
        <v>MGI:5477208</v>
      </c>
      <c r="J7020" s="4" t="s">
        <v>932</v>
      </c>
    </row>
    <row r="7021" spans="1:10" x14ac:dyDescent="0.25">
      <c r="A7021" s="2">
        <v>74.027248378043197</v>
      </c>
      <c r="B7021" s="3">
        <v>-2.6402444089753798</v>
      </c>
      <c r="C7021" s="5">
        <v>7.4179011403358497E-43</v>
      </c>
      <c r="D7021" s="6">
        <v>2.8581659256368098E-41</v>
      </c>
      <c r="E7021" s="3" t="s">
        <v>1362</v>
      </c>
      <c r="F7021" s="3" t="s">
        <v>1363</v>
      </c>
      <c r="G7021" s="3" t="s">
        <v>83</v>
      </c>
      <c r="H7021" s="7" t="str">
        <f>HYPERLINK("http://www.ensembl.org/Mus_musculus/Gene/Summary?db=core;g=ENSMUSG00000117916","ENSMUSG00000117916")</f>
        <v>ENSMUSG00000117916</v>
      </c>
      <c r="I7021" s="7" t="str">
        <f>HYPERLINK("http://www.informatics.jax.org/marker/MGI:2442601","MGI:2442601")</f>
        <v>MGI:2442601</v>
      </c>
      <c r="J7021" s="4" t="s">
        <v>939</v>
      </c>
    </row>
    <row r="7022" spans="1:10" x14ac:dyDescent="0.25">
      <c r="A7022" s="2">
        <v>188.58071124013799</v>
      </c>
      <c r="B7022" s="3">
        <v>-2.7529790976796198</v>
      </c>
      <c r="C7022" s="5">
        <v>4.1178597962830997E-63</v>
      </c>
      <c r="D7022" s="6">
        <v>2.7093138912368099E-61</v>
      </c>
      <c r="E7022" s="3" t="s">
        <v>576</v>
      </c>
      <c r="F7022" s="3" t="s">
        <v>577</v>
      </c>
      <c r="G7022" s="3">
        <v>117590</v>
      </c>
      <c r="H7022" s="7" t="str">
        <f>HYPERLINK("http://www.ensembl.org/Mus_musculus/Gene/Summary?db=core;g=ENSMUSG00000038204","ENSMUSG00000038204")</f>
        <v>ENSMUSG00000038204</v>
      </c>
      <c r="I7022" s="7" t="str">
        <f>HYPERLINK("http://www.informatics.jax.org/marker/MGI:2152836","MGI:2152836")</f>
        <v>MGI:2152836</v>
      </c>
      <c r="J7022" s="4" t="s">
        <v>12</v>
      </c>
    </row>
    <row r="7023" spans="1:10" x14ac:dyDescent="0.25">
      <c r="A7023" s="2">
        <v>89.662570297662896</v>
      </c>
      <c r="B7023" s="3">
        <v>-2.7939237316330301</v>
      </c>
      <c r="C7023" s="5">
        <v>5.8965963563267103E-59</v>
      </c>
      <c r="D7023" s="6">
        <v>3.4666280191630401E-57</v>
      </c>
      <c r="E7023" s="3" t="s">
        <v>794</v>
      </c>
      <c r="F7023" s="3" t="s">
        <v>795</v>
      </c>
      <c r="G7023" s="3">
        <v>15213</v>
      </c>
      <c r="H7023" s="7" t="str">
        <f>HYPERLINK("http://www.ensembl.org/Mus_musculus/Gene/Summary?db=core;g=ENSMUSG00000040289","ENSMUSG00000040289")</f>
        <v>ENSMUSG00000040289</v>
      </c>
      <c r="I7023" s="7" t="str">
        <f>HYPERLINK("http://www.informatics.jax.org/marker/MGI:1341800","MGI:1341800")</f>
        <v>MGI:1341800</v>
      </c>
      <c r="J7023" s="4" t="s">
        <v>12</v>
      </c>
    </row>
    <row r="7024" spans="1:10" x14ac:dyDescent="0.25">
      <c r="A7024" s="2">
        <v>105.033959533043</v>
      </c>
      <c r="B7024" s="3">
        <v>-2.8704181513086602</v>
      </c>
      <c r="C7024" s="5">
        <v>6.6000881794014494E-30</v>
      </c>
      <c r="D7024" s="6">
        <v>1.6254946901296101E-28</v>
      </c>
      <c r="E7024" s="3" t="s">
        <v>1967</v>
      </c>
      <c r="F7024" s="3" t="s">
        <v>1968</v>
      </c>
      <c r="G7024" s="3">
        <v>110197</v>
      </c>
      <c r="H7024" s="7" t="str">
        <f>HYPERLINK("http://www.ensembl.org/Mus_musculus/Gene/Summary?db=core;g=ENSMUSG00000022861","ENSMUSG00000022861")</f>
        <v>ENSMUSG00000022861</v>
      </c>
      <c r="I7024" s="7" t="str">
        <f>HYPERLINK("http://www.informatics.jax.org/marker/MGI:105060","MGI:105060")</f>
        <v>MGI:105060</v>
      </c>
      <c r="J7024" s="4" t="s">
        <v>12</v>
      </c>
    </row>
    <row r="7025" spans="1:10" x14ac:dyDescent="0.25">
      <c r="A7025" s="2">
        <v>501.58807182568898</v>
      </c>
      <c r="B7025" s="3">
        <v>-2.8790334529856501</v>
      </c>
      <c r="C7025" s="5">
        <v>1.00620064548305E-234</v>
      </c>
      <c r="D7025" s="6">
        <v>8.7323841732993094E-232</v>
      </c>
      <c r="E7025" s="3" t="s">
        <v>33</v>
      </c>
      <c r="F7025" s="3" t="s">
        <v>34</v>
      </c>
      <c r="G7025" s="3">
        <v>20440</v>
      </c>
      <c r="H7025" s="7" t="str">
        <f>HYPERLINK("http://www.ensembl.org/Mus_musculus/Gene/Summary?db=core;g=ENSMUSG00000022885","ENSMUSG00000022885")</f>
        <v>ENSMUSG00000022885</v>
      </c>
      <c r="I7025" s="7" t="str">
        <f>HYPERLINK("http://www.informatics.jax.org/marker/MGI:108470","MGI:108470")</f>
        <v>MGI:108470</v>
      </c>
      <c r="J7025" s="4" t="s">
        <v>12</v>
      </c>
    </row>
    <row r="7026" spans="1:10" x14ac:dyDescent="0.25">
      <c r="A7026" s="2">
        <v>314.92696956596001</v>
      </c>
      <c r="B7026" s="3">
        <v>-2.89549655792539</v>
      </c>
      <c r="C7026" s="5">
        <v>1.41989896297626E-17</v>
      </c>
      <c r="D7026" s="6">
        <v>1.9486188705001701E-16</v>
      </c>
      <c r="E7026" s="3" t="s">
        <v>3634</v>
      </c>
      <c r="F7026" s="3" t="s">
        <v>3635</v>
      </c>
      <c r="G7026" s="3">
        <v>77889</v>
      </c>
      <c r="H7026" s="7" t="str">
        <f>HYPERLINK("http://www.ensembl.org/Mus_musculus/Gene/Summary?db=core;g=ENSMUSG00000024063","ENSMUSG00000024063")</f>
        <v>ENSMUSG00000024063</v>
      </c>
      <c r="I7026" s="7" t="str">
        <f>HYPERLINK("http://www.informatics.jax.org/marker/MGI:1925139","MGI:1925139")</f>
        <v>MGI:1925139</v>
      </c>
      <c r="J7026" s="4" t="s">
        <v>12</v>
      </c>
    </row>
    <row r="7027" spans="1:10" x14ac:dyDescent="0.25">
      <c r="A7027" s="2">
        <v>267.28459755330999</v>
      </c>
      <c r="B7027" s="3">
        <v>-2.9489824620015299</v>
      </c>
      <c r="C7027" s="5">
        <v>1.72789072287587E-90</v>
      </c>
      <c r="D7027" s="6">
        <v>2.1277573259738401E-88</v>
      </c>
      <c r="E7027" s="3" t="s">
        <v>412</v>
      </c>
      <c r="F7027" s="3" t="s">
        <v>413</v>
      </c>
      <c r="G7027" s="3">
        <v>269604</v>
      </c>
      <c r="H7027" s="7" t="str">
        <f>HYPERLINK("http://www.ensembl.org/Mus_musculus/Gene/Summary?db=core;g=ENSMUSG00000047875","ENSMUSG00000047875")</f>
        <v>ENSMUSG00000047875</v>
      </c>
      <c r="I7027" s="7" t="str">
        <f>HYPERLINK("http://www.informatics.jax.org/marker/MGI:2442046","MGI:2442046")</f>
        <v>MGI:2442046</v>
      </c>
      <c r="J7027" s="4" t="s">
        <v>12</v>
      </c>
    </row>
    <row r="7028" spans="1:10" x14ac:dyDescent="0.25">
      <c r="A7028" s="2">
        <v>113.930080095059</v>
      </c>
      <c r="B7028" s="3">
        <v>-3.0419216035085701</v>
      </c>
      <c r="C7028" s="5">
        <v>6.45798817087435E-54</v>
      </c>
      <c r="D7028" s="6">
        <v>3.3341879437446199E-52</v>
      </c>
      <c r="E7028" s="3" t="s">
        <v>844</v>
      </c>
      <c r="F7028" s="3" t="s">
        <v>845</v>
      </c>
      <c r="G7028" s="3">
        <v>237847</v>
      </c>
      <c r="H7028" s="7" t="str">
        <f>HYPERLINK("http://www.ensembl.org/Mus_musculus/Gene/Summary?db=core;g=ENSMUSG00000045287","ENSMUSG00000045287")</f>
        <v>ENSMUSG00000045287</v>
      </c>
      <c r="I7028" s="7" t="str">
        <f>HYPERLINK("http://www.informatics.jax.org/marker/MGI:2661375","MGI:2661375")</f>
        <v>MGI:2661375</v>
      </c>
      <c r="J7028" s="4" t="s">
        <v>12</v>
      </c>
    </row>
    <row r="7029" spans="1:10" x14ac:dyDescent="0.25">
      <c r="A7029" s="2">
        <v>119.982097965595</v>
      </c>
      <c r="B7029" s="3">
        <v>-3.1420828446254601</v>
      </c>
      <c r="C7029" s="5">
        <v>2.24975711714215E-54</v>
      </c>
      <c r="D7029" s="6">
        <v>1.17821331781367E-52</v>
      </c>
      <c r="E7029" s="3" t="s">
        <v>1861</v>
      </c>
      <c r="F7029" s="3" t="s">
        <v>1862</v>
      </c>
      <c r="G7029" s="3">
        <v>11628</v>
      </c>
      <c r="H7029" s="7" t="str">
        <f>HYPERLINK("http://www.ensembl.org/Mus_musculus/Gene/Summary?db=core;g=ENSMUSG00000040627","ENSMUSG00000040627")</f>
        <v>ENSMUSG00000040627</v>
      </c>
      <c r="I7029" s="7" t="str">
        <f>HYPERLINK("http://www.informatics.jax.org/marker/MGI:1342279","MGI:1342279")</f>
        <v>MGI:1342279</v>
      </c>
      <c r="J7029" s="4" t="s">
        <v>12</v>
      </c>
    </row>
    <row r="7030" spans="1:10" x14ac:dyDescent="0.25">
      <c r="A7030" s="2">
        <v>120.812049131173</v>
      </c>
      <c r="B7030" s="3">
        <v>-3.1920774732132799</v>
      </c>
      <c r="C7030" s="5">
        <v>4.9753734764437398E-63</v>
      </c>
      <c r="D7030" s="6">
        <v>3.2617331513736402E-61</v>
      </c>
      <c r="E7030" s="3" t="s">
        <v>920</v>
      </c>
      <c r="F7030" s="3" t="s">
        <v>921</v>
      </c>
      <c r="G7030" s="3">
        <v>216505</v>
      </c>
      <c r="H7030" s="7" t="str">
        <f>HYPERLINK("http://www.ensembl.org/Mus_musculus/Gene/Summary?db=core;g=ENSMUSG00000034614","ENSMUSG00000034614")</f>
        <v>ENSMUSG00000034614</v>
      </c>
      <c r="I7030" s="7" t="str">
        <f>HYPERLINK("http://www.informatics.jax.org/marker/MGI:1917016","MGI:1917016")</f>
        <v>MGI:1917016</v>
      </c>
      <c r="J7030" s="4" t="s">
        <v>12</v>
      </c>
    </row>
    <row r="7031" spans="1:10" x14ac:dyDescent="0.25">
      <c r="A7031" s="2">
        <v>217.54408244527701</v>
      </c>
      <c r="B7031" s="3">
        <v>-3.8603375250051601</v>
      </c>
      <c r="C7031" s="5">
        <v>3.5593478238150902E-82</v>
      </c>
      <c r="D7031" s="6">
        <v>3.60383967161278E-80</v>
      </c>
      <c r="E7031" s="3" t="s">
        <v>428</v>
      </c>
      <c r="F7031" s="3" t="s">
        <v>429</v>
      </c>
      <c r="G7031" s="3">
        <v>26874</v>
      </c>
      <c r="H7031" s="7" t="str">
        <f>HYPERLINK("http://www.ensembl.org/Mus_musculus/Gene/Summary?db=core;g=ENSMUSG00000055782","ENSMUSG00000055782")</f>
        <v>ENSMUSG00000055782</v>
      </c>
      <c r="I7031" s="7" t="str">
        <f>HYPERLINK("http://www.informatics.jax.org/marker/MGI:1349467","MGI:1349467")</f>
        <v>MGI:1349467</v>
      </c>
      <c r="J7031" s="4" t="s">
        <v>12</v>
      </c>
    </row>
    <row r="7032" spans="1:10" x14ac:dyDescent="0.25">
      <c r="A7032" s="2">
        <v>51.541653207683297</v>
      </c>
      <c r="B7032" s="3">
        <v>-4.8182447435536799</v>
      </c>
      <c r="C7032" s="5">
        <v>2.8892802994022999E-47</v>
      </c>
      <c r="D7032" s="6">
        <v>1.2906160160933099E-45</v>
      </c>
      <c r="E7032" s="3" t="s">
        <v>1436</v>
      </c>
      <c r="F7032" s="3" t="s">
        <v>1437</v>
      </c>
      <c r="G7032" s="3">
        <v>320495</v>
      </c>
      <c r="H7032" s="7" t="str">
        <f>HYPERLINK("http://www.ensembl.org/Mus_musculus/Gene/Summary?db=core;g=ENSMUSG00000064065","ENSMUSG00000064065")</f>
        <v>ENSMUSG00000064065</v>
      </c>
      <c r="I7032" s="7" t="str">
        <f>HYPERLINK("http://www.informatics.jax.org/marker/MGI:2444159","MGI:2444159")</f>
        <v>MGI:2444159</v>
      </c>
      <c r="J7032" s="4" t="s">
        <v>12</v>
      </c>
    </row>
  </sheetData>
  <autoFilter ref="A7:J7" xr:uid="{00000000-0001-0000-0000-000000000000}">
    <sortState xmlns:xlrd2="http://schemas.microsoft.com/office/spreadsheetml/2017/richdata2" ref="A8:J7032">
      <sortCondition descending="1" ref="B7"/>
    </sortState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F3DE3-AE6B-40A1-BC20-9312C1B8117B}">
  <dimension ref="A7:J1048"/>
  <sheetViews>
    <sheetView workbookViewId="0">
      <selection activeCell="O1023" sqref="O1023"/>
    </sheetView>
  </sheetViews>
  <sheetFormatPr defaultRowHeight="15" x14ac:dyDescent="0.25"/>
  <sheetData>
    <row r="7" spans="1:10" x14ac:dyDescent="0.25">
      <c r="A7" s="8" t="s">
        <v>0</v>
      </c>
      <c r="B7" s="8" t="s">
        <v>1</v>
      </c>
      <c r="C7" s="8" t="s">
        <v>2</v>
      </c>
      <c r="D7" s="8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x14ac:dyDescent="0.25">
      <c r="A8" s="2">
        <v>492.01093764563899</v>
      </c>
      <c r="B8" s="3">
        <v>5.6607190159423597</v>
      </c>
      <c r="C8" s="5">
        <v>7.3729159896851204E-9</v>
      </c>
      <c r="D8" s="6">
        <v>1.42971010579291E-6</v>
      </c>
      <c r="E8" s="3" t="s">
        <v>272</v>
      </c>
      <c r="F8" s="3" t="s">
        <v>273</v>
      </c>
      <c r="G8" s="3">
        <v>12985</v>
      </c>
      <c r="H8" s="7" t="str">
        <f>HYPERLINK("http://www.ensembl.org/Mus_musculus/Gene/Summary?db=core;g=ENSMUSG00000038067","ENSMUSG00000038067")</f>
        <v>ENSMUSG00000038067</v>
      </c>
      <c r="I8" s="7" t="str">
        <f>HYPERLINK("http://www.informatics.jax.org/marker/MGI:1339751","MGI:1339751")</f>
        <v>MGI:1339751</v>
      </c>
      <c r="J8" s="4" t="s">
        <v>12</v>
      </c>
    </row>
    <row r="9" spans="1:10" x14ac:dyDescent="0.25">
      <c r="A9" s="2">
        <v>1442.15242395928</v>
      </c>
      <c r="B9" s="3">
        <v>4.9220709014048598</v>
      </c>
      <c r="C9" s="5">
        <v>3.02477262676733E-5</v>
      </c>
      <c r="D9" s="4">
        <v>1.1009585026942399E-3</v>
      </c>
      <c r="E9" s="3" t="s">
        <v>1566</v>
      </c>
      <c r="F9" s="3" t="s">
        <v>1567</v>
      </c>
      <c r="G9" s="3">
        <v>18126</v>
      </c>
      <c r="H9" s="7" t="str">
        <f>HYPERLINK("http://www.ensembl.org/Mus_musculus/Gene/Summary?db=core;g=ENSMUSG00000020826","ENSMUSG00000020826")</f>
        <v>ENSMUSG00000020826</v>
      </c>
      <c r="I9" s="7" t="str">
        <f>HYPERLINK("http://www.informatics.jax.org/marker/MGI:97361","MGI:97361")</f>
        <v>MGI:97361</v>
      </c>
      <c r="J9" s="4" t="s">
        <v>12</v>
      </c>
    </row>
    <row r="10" spans="1:10" x14ac:dyDescent="0.25">
      <c r="A10" s="2">
        <v>893.98898573699796</v>
      </c>
      <c r="B10" s="3">
        <v>4.1909176451236796</v>
      </c>
      <c r="C10" s="5">
        <v>3.4026801557971098E-6</v>
      </c>
      <c r="D10" s="4">
        <v>1.8945516689232699E-4</v>
      </c>
      <c r="E10" s="3" t="s">
        <v>1636</v>
      </c>
      <c r="F10" s="3" t="s">
        <v>1637</v>
      </c>
      <c r="G10" s="3">
        <v>22029</v>
      </c>
      <c r="H10" s="7" t="str">
        <f>HYPERLINK("http://www.ensembl.org/Mus_musculus/Gene/Summary?db=core;g=ENSMUSG00000026875","ENSMUSG00000026875")</f>
        <v>ENSMUSG00000026875</v>
      </c>
      <c r="I10" s="7" t="str">
        <f>HYPERLINK("http://www.informatics.jax.org/marker/MGI:101836","MGI:101836")</f>
        <v>MGI:101836</v>
      </c>
      <c r="J10" s="4" t="s">
        <v>12</v>
      </c>
    </row>
    <row r="11" spans="1:10" x14ac:dyDescent="0.25">
      <c r="A11" s="2">
        <v>976.03518898309005</v>
      </c>
      <c r="B11" s="3">
        <v>4.1172441108914501</v>
      </c>
      <c r="C11" s="3">
        <v>6.6575233855054798E-4</v>
      </c>
      <c r="D11" s="4">
        <v>1.1791582573409501E-2</v>
      </c>
      <c r="E11" s="3" t="s">
        <v>1596</v>
      </c>
      <c r="F11" s="3" t="s">
        <v>1597</v>
      </c>
      <c r="G11" s="3">
        <v>20310</v>
      </c>
      <c r="H11" s="7" t="str">
        <f>HYPERLINK("http://www.ensembl.org/Mus_musculus/Gene/Summary?db=core;g=ENSMUSG00000058427","ENSMUSG00000058427")</f>
        <v>ENSMUSG00000058427</v>
      </c>
      <c r="I11" s="7" t="str">
        <f>HYPERLINK("http://www.informatics.jax.org/marker/MGI:1340094","MGI:1340094")</f>
        <v>MGI:1340094</v>
      </c>
      <c r="J11" s="4" t="s">
        <v>12</v>
      </c>
    </row>
    <row r="12" spans="1:10" x14ac:dyDescent="0.25">
      <c r="A12" s="2">
        <v>104.992251643616</v>
      </c>
      <c r="B12" s="3">
        <v>3.3173881493385</v>
      </c>
      <c r="C12" s="3">
        <v>2.1973786351017102E-3</v>
      </c>
      <c r="D12" s="4">
        <v>2.9331073722848999E-2</v>
      </c>
      <c r="E12" s="3" t="s">
        <v>1288</v>
      </c>
      <c r="F12" s="3" t="s">
        <v>1289</v>
      </c>
      <c r="G12" s="3">
        <v>16819</v>
      </c>
      <c r="H12" s="7" t="str">
        <f>HYPERLINK("http://www.ensembl.org/Mus_musculus/Gene/Summary?db=core;g=ENSMUSG00000026822","ENSMUSG00000026822")</f>
        <v>ENSMUSG00000026822</v>
      </c>
      <c r="I12" s="7" t="str">
        <f>HYPERLINK("http://www.informatics.jax.org/marker/MGI:96757","MGI:96757")</f>
        <v>MGI:96757</v>
      </c>
      <c r="J12" s="4" t="s">
        <v>12</v>
      </c>
    </row>
    <row r="13" spans="1:10" x14ac:dyDescent="0.25">
      <c r="A13" s="2">
        <v>545.67610522212897</v>
      </c>
      <c r="B13" s="3">
        <v>2.7516501265679101</v>
      </c>
      <c r="C13" s="3">
        <v>3.3893956956387497E-4</v>
      </c>
      <c r="D13" s="4">
        <v>7.1925534695941604E-3</v>
      </c>
      <c r="E13" s="3" t="s">
        <v>1098</v>
      </c>
      <c r="F13" s="3" t="s">
        <v>1099</v>
      </c>
      <c r="G13" s="3">
        <v>67775</v>
      </c>
      <c r="H13" s="7" t="str">
        <f>HYPERLINK("http://www.ensembl.org/Mus_musculus/Gene/Summary?db=core;g=ENSMUSG00000033355","ENSMUSG00000033355")</f>
        <v>ENSMUSG00000033355</v>
      </c>
      <c r="I13" s="7" t="str">
        <f>HYPERLINK("http://www.informatics.jax.org/marker/MGI:1915025","MGI:1915025")</f>
        <v>MGI:1915025</v>
      </c>
      <c r="J13" s="4" t="s">
        <v>12</v>
      </c>
    </row>
    <row r="14" spans="1:10" x14ac:dyDescent="0.25">
      <c r="A14" s="2">
        <v>35.837448111949001</v>
      </c>
      <c r="B14" s="3">
        <v>1.8324748798889401</v>
      </c>
      <c r="C14" s="5">
        <v>1.19570913541657E-6</v>
      </c>
      <c r="D14" s="6">
        <v>8.6206029782244793E-5</v>
      </c>
      <c r="E14" s="3" t="s">
        <v>17020</v>
      </c>
      <c r="F14" s="3" t="s">
        <v>17021</v>
      </c>
      <c r="G14" s="3" t="s">
        <v>83</v>
      </c>
      <c r="H14" s="7" t="str">
        <f>HYPERLINK("http://www.ensembl.org/Mus_musculus/Gene/Summary?db=core;g=ENSMUSG00000086742","ENSMUSG00000086742")</f>
        <v>ENSMUSG00000086742</v>
      </c>
      <c r="I14" s="7" t="str">
        <f>HYPERLINK("http://www.informatics.jax.org/marker/MGI:3802153","MGI:3802153")</f>
        <v>MGI:3802153</v>
      </c>
      <c r="J14" s="4" t="s">
        <v>331</v>
      </c>
    </row>
    <row r="15" spans="1:10" x14ac:dyDescent="0.25">
      <c r="A15" s="2">
        <v>423.22810320555101</v>
      </c>
      <c r="B15" s="3">
        <v>1.6963842826353399</v>
      </c>
      <c r="C15" s="3">
        <v>5.0700009416727995E-4</v>
      </c>
      <c r="D15" s="4">
        <v>9.5997139042077496E-3</v>
      </c>
      <c r="E15" s="3" t="s">
        <v>977</v>
      </c>
      <c r="F15" s="3" t="s">
        <v>978</v>
      </c>
      <c r="G15" s="3">
        <v>19250</v>
      </c>
      <c r="H15" s="7" t="str">
        <f>HYPERLINK("http://www.ensembl.org/Mus_musculus/Gene/Summary?db=core;g=ENSMUSG00000026604","ENSMUSG00000026604")</f>
        <v>ENSMUSG00000026604</v>
      </c>
      <c r="I15" s="7" t="str">
        <f>HYPERLINK("http://www.informatics.jax.org/marker/MGI:102467","MGI:102467")</f>
        <v>MGI:102467</v>
      </c>
      <c r="J15" s="4" t="s">
        <v>12</v>
      </c>
    </row>
    <row r="16" spans="1:10" x14ac:dyDescent="0.25">
      <c r="A16" s="2">
        <v>3637.3655226058299</v>
      </c>
      <c r="B16" s="3">
        <v>1.6639391589280299</v>
      </c>
      <c r="C16" s="3">
        <v>1.78685117939802E-3</v>
      </c>
      <c r="D16" s="4">
        <v>2.50270426085797E-2</v>
      </c>
      <c r="E16" s="3" t="s">
        <v>1029</v>
      </c>
      <c r="F16" s="3" t="s">
        <v>1030</v>
      </c>
      <c r="G16" s="3">
        <v>20210</v>
      </c>
      <c r="H16" s="7" t="str">
        <f>HYPERLINK("http://www.ensembl.org/Mus_musculus/Gene/Summary?db=core;g=ENSMUSG00000040026","ENSMUSG00000040026")</f>
        <v>ENSMUSG00000040026</v>
      </c>
      <c r="I16" s="7" t="str">
        <f>HYPERLINK("http://www.informatics.jax.org/marker/MGI:98223","MGI:98223")</f>
        <v>MGI:98223</v>
      </c>
      <c r="J16" s="4" t="s">
        <v>12</v>
      </c>
    </row>
    <row r="17" spans="1:10" x14ac:dyDescent="0.25">
      <c r="A17" s="2">
        <v>163.84977500436801</v>
      </c>
      <c r="B17" s="3">
        <v>1.60499815377252</v>
      </c>
      <c r="C17" s="3">
        <v>7.4705493847717903E-4</v>
      </c>
      <c r="D17" s="4">
        <v>1.2749813191279E-2</v>
      </c>
      <c r="E17" s="3" t="s">
        <v>2119</v>
      </c>
      <c r="F17" s="3" t="s">
        <v>2120</v>
      </c>
      <c r="G17" s="3">
        <v>14245</v>
      </c>
      <c r="H17" s="7" t="str">
        <f>HYPERLINK("http://www.ensembl.org/Mus_musculus/Gene/Summary?db=core;g=ENSMUSG00000020593","ENSMUSG00000020593")</f>
        <v>ENSMUSG00000020593</v>
      </c>
      <c r="I17" s="7" t="str">
        <f>HYPERLINK("http://www.informatics.jax.org/marker/MGI:1891340","MGI:1891340")</f>
        <v>MGI:1891340</v>
      </c>
      <c r="J17" s="4" t="s">
        <v>12</v>
      </c>
    </row>
    <row r="18" spans="1:10" x14ac:dyDescent="0.25">
      <c r="A18" s="2">
        <v>41.563866042815299</v>
      </c>
      <c r="B18" s="3">
        <v>1.5911620279252401</v>
      </c>
      <c r="C18" s="5">
        <v>8.3673055071368696E-6</v>
      </c>
      <c r="D18" s="4">
        <v>4.12750372977054E-4</v>
      </c>
      <c r="E18" s="3" t="s">
        <v>2720</v>
      </c>
      <c r="F18" s="3" t="s">
        <v>2721</v>
      </c>
      <c r="G18" s="3">
        <v>384763</v>
      </c>
      <c r="H18" s="7" t="str">
        <f>HYPERLINK("http://www.ensembl.org/Mus_musculus/Gene/Summary?db=core;g=ENSMUSG00000054893","ENSMUSG00000054893")</f>
        <v>ENSMUSG00000054893</v>
      </c>
      <c r="I18" s="7" t="str">
        <f>HYPERLINK("http://www.informatics.jax.org/marker/MGI:2442757","MGI:2442757")</f>
        <v>MGI:2442757</v>
      </c>
      <c r="J18" s="4" t="s">
        <v>12</v>
      </c>
    </row>
    <row r="19" spans="1:10" x14ac:dyDescent="0.25">
      <c r="A19" s="2">
        <v>355.68931356671101</v>
      </c>
      <c r="B19" s="3">
        <v>1.58205306993073</v>
      </c>
      <c r="C19" s="5">
        <v>2.8169946574645699E-15</v>
      </c>
      <c r="D19" s="6">
        <v>6.3365477825008003E-12</v>
      </c>
      <c r="E19" s="3" t="s">
        <v>196</v>
      </c>
      <c r="F19" s="3" t="s">
        <v>197</v>
      </c>
      <c r="G19" s="3">
        <v>12767</v>
      </c>
      <c r="H19" s="7" t="str">
        <f>HYPERLINK("http://www.ensembl.org/Mus_musculus/Gene/Summary?db=core;g=ENSMUSG00000045382","ENSMUSG00000045382")</f>
        <v>ENSMUSG00000045382</v>
      </c>
      <c r="I19" s="7" t="str">
        <f>HYPERLINK("http://www.informatics.jax.org/marker/MGI:109563","MGI:109563")</f>
        <v>MGI:109563</v>
      </c>
      <c r="J19" s="4" t="s">
        <v>12</v>
      </c>
    </row>
    <row r="20" spans="1:10" x14ac:dyDescent="0.25">
      <c r="A20" s="2">
        <v>68.866888756442606</v>
      </c>
      <c r="B20" s="3">
        <v>1.5228987273505199</v>
      </c>
      <c r="C20" s="5">
        <v>7.3521844079871404E-5</v>
      </c>
      <c r="D20" s="4">
        <v>2.1422284465448501E-3</v>
      </c>
      <c r="E20" s="3" t="s">
        <v>2031</v>
      </c>
      <c r="F20" s="3" t="s">
        <v>2032</v>
      </c>
      <c r="G20" s="3">
        <v>330812</v>
      </c>
      <c r="H20" s="7" t="str">
        <f>HYPERLINK("http://www.ensembl.org/Mus_musculus/Gene/Summary?db=core;g=ENSMUSG00000047747","ENSMUSG00000047747")</f>
        <v>ENSMUSG00000047747</v>
      </c>
      <c r="I20" s="7" t="str">
        <f>HYPERLINK("http://www.informatics.jax.org/marker/MGI:2443860","MGI:2443860")</f>
        <v>MGI:2443860</v>
      </c>
      <c r="J20" s="4" t="s">
        <v>12</v>
      </c>
    </row>
    <row r="21" spans="1:10" x14ac:dyDescent="0.25">
      <c r="A21" s="2">
        <v>24.261914434906501</v>
      </c>
      <c r="B21" s="3">
        <v>1.50262526618135</v>
      </c>
      <c r="C21" s="3">
        <v>5.1318863260512001E-4</v>
      </c>
      <c r="D21" s="4">
        <v>9.7005589090920705E-3</v>
      </c>
      <c r="E21" s="3" t="s">
        <v>4325</v>
      </c>
      <c r="F21" s="3" t="s">
        <v>4326</v>
      </c>
      <c r="G21" s="3">
        <v>244202</v>
      </c>
      <c r="H21" s="7" t="str">
        <f>HYPERLINK("http://www.ensembl.org/Mus_musculus/Gene/Summary?db=core;g=ENSMUSG00000049709","ENSMUSG00000049709")</f>
        <v>ENSMUSG00000049709</v>
      </c>
      <c r="I21" s="7" t="str">
        <f>HYPERLINK("http://www.informatics.jax.org/marker/MGI:2444084","MGI:2444084")</f>
        <v>MGI:2444084</v>
      </c>
      <c r="J21" s="4" t="s">
        <v>12</v>
      </c>
    </row>
    <row r="22" spans="1:10" x14ac:dyDescent="0.25">
      <c r="A22" s="2">
        <v>52.174457650213597</v>
      </c>
      <c r="B22" s="3">
        <v>1.43697650112136</v>
      </c>
      <c r="C22" s="3">
        <v>6.1195736406180804E-4</v>
      </c>
      <c r="D22" s="4">
        <v>1.11913568676474E-2</v>
      </c>
      <c r="E22" s="3" t="s">
        <v>2131</v>
      </c>
      <c r="F22" s="3" t="s">
        <v>2132</v>
      </c>
      <c r="G22" s="3">
        <v>67731</v>
      </c>
      <c r="H22" s="7" t="str">
        <f>HYPERLINK("http://www.ensembl.org/Mus_musculus/Gene/Summary?db=core;g=ENSMUSG00000022358","ENSMUSG00000022358")</f>
        <v>ENSMUSG00000022358</v>
      </c>
      <c r="I22" s="7" t="str">
        <f>HYPERLINK("http://www.informatics.jax.org/marker/MGI:1914981","MGI:1914981")</f>
        <v>MGI:1914981</v>
      </c>
      <c r="J22" s="4" t="s">
        <v>12</v>
      </c>
    </row>
    <row r="23" spans="1:10" x14ac:dyDescent="0.25">
      <c r="A23" s="2">
        <v>75.296787972156395</v>
      </c>
      <c r="B23" s="3">
        <v>1.431390936486</v>
      </c>
      <c r="C23" s="5">
        <v>1.7641689211285501E-7</v>
      </c>
      <c r="D23" s="6">
        <v>1.8203309959571398E-5</v>
      </c>
      <c r="E23" s="3" t="s">
        <v>1198</v>
      </c>
      <c r="F23" s="3" t="s">
        <v>1199</v>
      </c>
      <c r="G23" s="3">
        <v>12802</v>
      </c>
      <c r="H23" s="7" t="str">
        <f>HYPERLINK("http://www.ensembl.org/Mus_musculus/Gene/Summary?db=core;g=ENSMUSG00000062585","ENSMUSG00000062585")</f>
        <v>ENSMUSG00000062585</v>
      </c>
      <c r="I23" s="7" t="str">
        <f>HYPERLINK("http://www.informatics.jax.org/marker/MGI:104650","MGI:104650")</f>
        <v>MGI:104650</v>
      </c>
      <c r="J23" s="4" t="s">
        <v>12</v>
      </c>
    </row>
    <row r="24" spans="1:10" x14ac:dyDescent="0.25">
      <c r="A24" s="2">
        <v>194.952011892553</v>
      </c>
      <c r="B24" s="3">
        <v>1.4098885497497</v>
      </c>
      <c r="C24" s="5">
        <v>1.4462126361143201E-7</v>
      </c>
      <c r="D24" s="6">
        <v>1.6165280308254E-5</v>
      </c>
      <c r="E24" s="3" t="s">
        <v>962</v>
      </c>
      <c r="F24" s="3" t="s">
        <v>963</v>
      </c>
      <c r="G24" s="3">
        <v>52882</v>
      </c>
      <c r="H24" s="7" t="str">
        <f>HYPERLINK("http://www.ensembl.org/Mus_musculus/Gene/Summary?db=core;g=ENSMUSG00000021719","ENSMUSG00000021719")</f>
        <v>ENSMUSG00000021719</v>
      </c>
      <c r="I24" s="7" t="str">
        <f>HYPERLINK("http://www.informatics.jax.org/marker/MGI:106334","MGI:106334")</f>
        <v>MGI:106334</v>
      </c>
      <c r="J24" s="4" t="s">
        <v>12</v>
      </c>
    </row>
    <row r="25" spans="1:10" x14ac:dyDescent="0.25">
      <c r="A25" s="2">
        <v>129.78398090936699</v>
      </c>
      <c r="B25" s="3">
        <v>1.39918503136589</v>
      </c>
      <c r="C25" s="5">
        <v>6.8251066608781497E-9</v>
      </c>
      <c r="D25" s="6">
        <v>1.3467013090332699E-6</v>
      </c>
      <c r="E25" s="3" t="s">
        <v>828</v>
      </c>
      <c r="F25" s="3" t="s">
        <v>829</v>
      </c>
      <c r="G25" s="3">
        <v>171543</v>
      </c>
      <c r="H25" s="7" t="str">
        <f>HYPERLINK("http://www.ensembl.org/Mus_musculus/Gene/Summary?db=core;g=ENSMUSG00000040093","ENSMUSG00000040093")</f>
        <v>ENSMUSG00000040093</v>
      </c>
      <c r="I25" s="7" t="str">
        <f>HYPERLINK("http://www.informatics.jax.org/marker/MGI:2176433","MGI:2176433")</f>
        <v>MGI:2176433</v>
      </c>
      <c r="J25" s="4" t="s">
        <v>12</v>
      </c>
    </row>
    <row r="26" spans="1:10" x14ac:dyDescent="0.25">
      <c r="A26" s="2">
        <v>34.435764655714202</v>
      </c>
      <c r="B26" s="3">
        <v>1.3402281236829701</v>
      </c>
      <c r="C26" s="3">
        <v>2.9956628472702202E-3</v>
      </c>
      <c r="D26" s="4">
        <v>3.6384686871758297E-2</v>
      </c>
      <c r="E26" s="3" t="s">
        <v>2487</v>
      </c>
      <c r="F26" s="3" t="s">
        <v>2488</v>
      </c>
      <c r="G26" s="3">
        <v>64929</v>
      </c>
      <c r="H26" s="7" t="str">
        <f>HYPERLINK("http://www.ensembl.org/Mus_musculus/Gene/Summary?db=core;g=ENSMUSG00000022123","ENSMUSG00000022123")</f>
        <v>ENSMUSG00000022123</v>
      </c>
      <c r="I26" s="7" t="str">
        <f>HYPERLINK("http://www.informatics.jax.org/marker/MGI:1891228","MGI:1891228")</f>
        <v>MGI:1891228</v>
      </c>
      <c r="J26" s="4" t="s">
        <v>12</v>
      </c>
    </row>
    <row r="27" spans="1:10" x14ac:dyDescent="0.25">
      <c r="A27" s="2">
        <v>46.601252615390699</v>
      </c>
      <c r="B27" s="3">
        <v>1.28039497461848</v>
      </c>
      <c r="C27" s="3">
        <v>1.3834732023978099E-4</v>
      </c>
      <c r="D27" s="4">
        <v>3.4905151150214902E-3</v>
      </c>
      <c r="E27" s="3" t="s">
        <v>15423</v>
      </c>
      <c r="F27" s="3" t="s">
        <v>15424</v>
      </c>
      <c r="G27" s="3">
        <v>68235</v>
      </c>
      <c r="H27" s="7" t="str">
        <f>HYPERLINK("http://www.ensembl.org/Mus_musculus/Gene/Summary?db=core;g=ENSMUSG00000038065","ENSMUSG00000038065")</f>
        <v>ENSMUSG00000038065</v>
      </c>
      <c r="I27" s="7" t="str">
        <f>HYPERLINK("http://www.informatics.jax.org/marker/MGI:1915485","MGI:1915485")</f>
        <v>MGI:1915485</v>
      </c>
      <c r="J27" s="4" t="s">
        <v>12</v>
      </c>
    </row>
    <row r="28" spans="1:10" x14ac:dyDescent="0.25">
      <c r="A28" s="2">
        <v>37.898777832785697</v>
      </c>
      <c r="B28" s="3">
        <v>1.2507392891567899</v>
      </c>
      <c r="C28" s="5">
        <v>9.1262170836992605E-5</v>
      </c>
      <c r="D28" s="4">
        <v>2.4673693158741702E-3</v>
      </c>
      <c r="E28" s="3" t="s">
        <v>3850</v>
      </c>
      <c r="F28" s="3" t="s">
        <v>3851</v>
      </c>
      <c r="G28" s="3">
        <v>235493</v>
      </c>
      <c r="H28" s="7" t="str">
        <f>HYPERLINK("http://www.ensembl.org/Mus_musculus/Gene/Summary?db=core;g=ENSMUSG00000034858","ENSMUSG00000034858")</f>
        <v>ENSMUSG00000034858</v>
      </c>
      <c r="I28" s="7" t="str">
        <f>HYPERLINK("http://www.informatics.jax.org/marker/MGI:2387648","MGI:2387648")</f>
        <v>MGI:2387648</v>
      </c>
      <c r="J28" s="4" t="s">
        <v>12</v>
      </c>
    </row>
    <row r="29" spans="1:10" x14ac:dyDescent="0.25">
      <c r="A29" s="2">
        <v>25.871195670144299</v>
      </c>
      <c r="B29" s="3">
        <v>1.14856445305232</v>
      </c>
      <c r="C29" s="3">
        <v>4.20724840209768E-3</v>
      </c>
      <c r="D29" s="4">
        <v>4.6880149809943601E-2</v>
      </c>
      <c r="E29" s="3" t="s">
        <v>5117</v>
      </c>
      <c r="F29" s="3" t="s">
        <v>5118</v>
      </c>
      <c r="G29" s="3">
        <v>76498</v>
      </c>
      <c r="H29" s="7" t="str">
        <f>HYPERLINK("http://www.ensembl.org/Mus_musculus/Gene/Summary?db=core;g=ENSMUSG00000023909","ENSMUSG00000023909")</f>
        <v>ENSMUSG00000023909</v>
      </c>
      <c r="I29" s="7" t="str">
        <f>HYPERLINK("http://www.informatics.jax.org/marker/MGI:1923748","MGI:1923748")</f>
        <v>MGI:1923748</v>
      </c>
      <c r="J29" s="4" t="s">
        <v>12</v>
      </c>
    </row>
    <row r="30" spans="1:10" x14ac:dyDescent="0.25">
      <c r="A30" s="2">
        <v>165.11142261319301</v>
      </c>
      <c r="B30" s="3">
        <v>1.13504253868289</v>
      </c>
      <c r="C30" s="5">
        <v>4.0008206603335503E-8</v>
      </c>
      <c r="D30" s="6">
        <v>5.5552135761446198E-6</v>
      </c>
      <c r="E30" s="3" t="s">
        <v>2375</v>
      </c>
      <c r="F30" s="3" t="s">
        <v>2376</v>
      </c>
      <c r="G30" s="3">
        <v>106795</v>
      </c>
      <c r="H30" s="7" t="str">
        <f>HYPERLINK("http://www.ensembl.org/Mus_musculus/Gene/Summary?db=core;g=ENSMUSG00000050410","ENSMUSG00000050410")</f>
        <v>ENSMUSG00000050410</v>
      </c>
      <c r="I30" s="7" t="str">
        <f>HYPERLINK("http://www.informatics.jax.org/marker/MGI:103180","MGI:103180")</f>
        <v>MGI:103180</v>
      </c>
      <c r="J30" s="4" t="s">
        <v>12</v>
      </c>
    </row>
    <row r="31" spans="1:10" x14ac:dyDescent="0.25">
      <c r="A31" s="2">
        <v>111.38826063510299</v>
      </c>
      <c r="B31" s="3">
        <v>1.1305363725366999</v>
      </c>
      <c r="C31" s="5">
        <v>1.5124304624360899E-6</v>
      </c>
      <c r="D31" s="4">
        <v>1.0309276006678E-4</v>
      </c>
      <c r="E31" s="3" t="s">
        <v>648</v>
      </c>
      <c r="F31" s="3" t="s">
        <v>649</v>
      </c>
      <c r="G31" s="3">
        <v>21824</v>
      </c>
      <c r="H31" s="7" t="str">
        <f>HYPERLINK("http://www.ensembl.org/Mus_musculus/Gene/Summary?db=core;g=ENSMUSG00000074743","ENSMUSG00000074743")</f>
        <v>ENSMUSG00000074743</v>
      </c>
      <c r="I31" s="7" t="str">
        <f>HYPERLINK("http://www.informatics.jax.org/marker/MGI:98736","MGI:98736")</f>
        <v>MGI:98736</v>
      </c>
      <c r="J31" s="4" t="s">
        <v>12</v>
      </c>
    </row>
    <row r="32" spans="1:10" x14ac:dyDescent="0.25">
      <c r="A32" s="2">
        <v>600.79472627185396</v>
      </c>
      <c r="B32" s="3">
        <v>1.11999345603355</v>
      </c>
      <c r="C32" s="5">
        <v>1.77680134856865E-13</v>
      </c>
      <c r="D32" s="6">
        <v>2.22040941859463E-10</v>
      </c>
      <c r="E32" s="3" t="s">
        <v>926</v>
      </c>
      <c r="F32" s="3" t="s">
        <v>927</v>
      </c>
      <c r="G32" s="3">
        <v>242705</v>
      </c>
      <c r="H32" s="7" t="str">
        <f>HYPERLINK("http://www.ensembl.org/Mus_musculus/Gene/Summary?db=core;g=ENSMUSG00000018983","ENSMUSG00000018983")</f>
        <v>ENSMUSG00000018983</v>
      </c>
      <c r="I32" s="7" t="str">
        <f>HYPERLINK("http://www.informatics.jax.org/marker/MGI:1096341","MGI:1096341")</f>
        <v>MGI:1096341</v>
      </c>
      <c r="J32" s="4" t="s">
        <v>12</v>
      </c>
    </row>
    <row r="33" spans="1:10" x14ac:dyDescent="0.25">
      <c r="A33" s="2">
        <v>198.964153066129</v>
      </c>
      <c r="B33" s="3">
        <v>1.1055180744328501</v>
      </c>
      <c r="C33" s="5">
        <v>1.74100149922293E-7</v>
      </c>
      <c r="D33" s="6">
        <v>1.8130596168296601E-5</v>
      </c>
      <c r="E33" s="3" t="s">
        <v>850</v>
      </c>
      <c r="F33" s="3" t="s">
        <v>851</v>
      </c>
      <c r="G33" s="3">
        <v>27029</v>
      </c>
      <c r="H33" s="7" t="str">
        <f>HYPERLINK("http://www.ensembl.org/Mus_musculus/Gene/Summary?db=core;g=ENSMUSG00000005043","ENSMUSG00000005043")</f>
        <v>ENSMUSG00000005043</v>
      </c>
      <c r="I33" s="7" t="str">
        <f>HYPERLINK("http://www.informatics.jax.org/marker/MGI:1350341","MGI:1350341")</f>
        <v>MGI:1350341</v>
      </c>
      <c r="J33" s="4" t="s">
        <v>12</v>
      </c>
    </row>
    <row r="34" spans="1:10" x14ac:dyDescent="0.25">
      <c r="A34" s="2">
        <v>186.795132474817</v>
      </c>
      <c r="B34" s="3">
        <v>1.0890089459498999</v>
      </c>
      <c r="C34" s="5">
        <v>1.5841767224855299E-6</v>
      </c>
      <c r="D34" s="4">
        <v>1.0669003351972899E-4</v>
      </c>
      <c r="E34" s="3" t="s">
        <v>896</v>
      </c>
      <c r="F34" s="3" t="s">
        <v>897</v>
      </c>
      <c r="G34" s="3">
        <v>171580</v>
      </c>
      <c r="H34" s="7" t="str">
        <f>HYPERLINK("http://www.ensembl.org/Mus_musculus/Gene/Summary?db=core;g=ENSMUSG00000019823","ENSMUSG00000019823")</f>
        <v>ENSMUSG00000019823</v>
      </c>
      <c r="I34" s="7" t="str">
        <f>HYPERLINK("http://www.informatics.jax.org/marker/MGI:2385847","MGI:2385847")</f>
        <v>MGI:2385847</v>
      </c>
      <c r="J34" s="4" t="s">
        <v>12</v>
      </c>
    </row>
    <row r="35" spans="1:10" x14ac:dyDescent="0.25">
      <c r="A35" s="2">
        <v>31.583749817508799</v>
      </c>
      <c r="B35" s="3">
        <v>1.0744905231909201</v>
      </c>
      <c r="C35" s="3">
        <v>6.4938957567781705E-4</v>
      </c>
      <c r="D35" s="4">
        <v>1.1613723043524401E-2</v>
      </c>
      <c r="E35" s="3" t="s">
        <v>9393</v>
      </c>
      <c r="F35" s="3" t="s">
        <v>9394</v>
      </c>
      <c r="G35" s="3">
        <v>99470</v>
      </c>
      <c r="H35" s="7" t="str">
        <f>HYPERLINK("http://www.ensembl.org/Mus_musculus/Gene/Summary?db=core;g=ENSMUSG00000052539","ENSMUSG00000052539")</f>
        <v>ENSMUSG00000052539</v>
      </c>
      <c r="I35" s="7" t="str">
        <f>HYPERLINK("http://www.informatics.jax.org/marker/MGI:1923484","MGI:1923484")</f>
        <v>MGI:1923484</v>
      </c>
      <c r="J35" s="4" t="s">
        <v>12</v>
      </c>
    </row>
    <row r="36" spans="1:10" x14ac:dyDescent="0.25">
      <c r="A36" s="2">
        <v>36.337261762529501</v>
      </c>
      <c r="B36" s="3">
        <v>1.0661027505616201</v>
      </c>
      <c r="C36" s="3">
        <v>2.3753655054986001E-4</v>
      </c>
      <c r="D36" s="4">
        <v>5.5542070354142898E-3</v>
      </c>
      <c r="E36" s="3" t="s">
        <v>4969</v>
      </c>
      <c r="F36" s="3" t="s">
        <v>4970</v>
      </c>
      <c r="G36" s="3">
        <v>66443</v>
      </c>
      <c r="H36" s="7" t="str">
        <f>HYPERLINK("http://www.ensembl.org/Mus_musculus/Gene/Summary?db=core;g=ENSMUSG00000044469","ENSMUSG00000044469")</f>
        <v>ENSMUSG00000044469</v>
      </c>
      <c r="I36" s="7" t="str">
        <f>HYPERLINK("http://www.informatics.jax.org/marker/MGI:1913693","MGI:1913693")</f>
        <v>MGI:1913693</v>
      </c>
      <c r="J36" s="4" t="s">
        <v>12</v>
      </c>
    </row>
    <row r="37" spans="1:10" x14ac:dyDescent="0.25">
      <c r="A37" s="2">
        <v>91.576270789553604</v>
      </c>
      <c r="B37" s="3">
        <v>1.05758323828068</v>
      </c>
      <c r="C37" s="3">
        <v>1.09587271835143E-4</v>
      </c>
      <c r="D37" s="4">
        <v>2.86634429379035E-3</v>
      </c>
      <c r="E37" s="3" t="s">
        <v>1564</v>
      </c>
      <c r="F37" s="3" t="s">
        <v>1565</v>
      </c>
      <c r="G37" s="3">
        <v>104175</v>
      </c>
      <c r="H37" s="7" t="str">
        <f>HYPERLINK("http://www.ensembl.org/Mus_musculus/Gene/Summary?db=core;g=ENSMUSG00000042978","ENSMUSG00000042978")</f>
        <v>ENSMUSG00000042978</v>
      </c>
      <c r="I37" s="7" t="str">
        <f>HYPERLINK("http://www.informatics.jax.org/marker/MGI:2135937","MGI:2135937")</f>
        <v>MGI:2135937</v>
      </c>
      <c r="J37" s="4" t="s">
        <v>12</v>
      </c>
    </row>
    <row r="38" spans="1:10" x14ac:dyDescent="0.25">
      <c r="A38" s="2">
        <v>160.97399894868099</v>
      </c>
      <c r="B38" s="3">
        <v>1.0574847801398199</v>
      </c>
      <c r="C38" s="5">
        <v>2.4705250077298E-9</v>
      </c>
      <c r="D38" s="6">
        <v>6.3462784231083898E-7</v>
      </c>
      <c r="E38" s="3" t="s">
        <v>950</v>
      </c>
      <c r="F38" s="3" t="s">
        <v>951</v>
      </c>
      <c r="G38" s="3">
        <v>69274</v>
      </c>
      <c r="H38" s="7" t="str">
        <f>HYPERLINK("http://www.ensembl.org/Mus_musculus/Gene/Summary?db=core;g=ENSMUSG00000047409","ENSMUSG00000047409")</f>
        <v>ENSMUSG00000047409</v>
      </c>
      <c r="I38" s="7" t="str">
        <f>HYPERLINK("http://www.informatics.jax.org/marker/MGI:1916524","MGI:1916524")</f>
        <v>MGI:1916524</v>
      </c>
      <c r="J38" s="4" t="s">
        <v>12</v>
      </c>
    </row>
    <row r="39" spans="1:10" x14ac:dyDescent="0.25">
      <c r="A39" s="2">
        <v>100.28870898906401</v>
      </c>
      <c r="B39" s="3">
        <v>1.05480520069909</v>
      </c>
      <c r="C39" s="3">
        <v>4.6366916088600802E-4</v>
      </c>
      <c r="D39" s="4">
        <v>8.9911845732498791E-3</v>
      </c>
      <c r="E39" s="3" t="s">
        <v>3906</v>
      </c>
      <c r="F39" s="3" t="s">
        <v>3907</v>
      </c>
      <c r="G39" s="3">
        <v>15370</v>
      </c>
      <c r="H39" s="7" t="str">
        <f>HYPERLINK("http://www.ensembl.org/Mus_musculus/Gene/Summary?db=core;g=ENSMUSG00000023034","ENSMUSG00000023034")</f>
        <v>ENSMUSG00000023034</v>
      </c>
      <c r="I39" s="7" t="str">
        <f>HYPERLINK("http://www.informatics.jax.org/marker/MGI:1352454","MGI:1352454")</f>
        <v>MGI:1352454</v>
      </c>
      <c r="J39" s="4" t="s">
        <v>12</v>
      </c>
    </row>
    <row r="40" spans="1:10" x14ac:dyDescent="0.25">
      <c r="A40" s="2">
        <v>293.52614639580599</v>
      </c>
      <c r="B40" s="3">
        <v>1.03663503051763</v>
      </c>
      <c r="C40" s="5">
        <v>2.0979547979020401E-10</v>
      </c>
      <c r="D40" s="6">
        <v>8.1364474524152602E-8</v>
      </c>
      <c r="E40" s="3" t="s">
        <v>192</v>
      </c>
      <c r="F40" s="3" t="s">
        <v>193</v>
      </c>
      <c r="G40" s="3">
        <v>380912</v>
      </c>
      <c r="H40" s="7" t="str">
        <f>HYPERLINK("http://www.ensembl.org/Mus_musculus/Gene/Summary?db=core;g=ENSMUSG00000034522","ENSMUSG00000034522")</f>
        <v>ENSMUSG00000034522</v>
      </c>
      <c r="I40" s="7" t="str">
        <f>HYPERLINK("http://www.informatics.jax.org/marker/MGI:2682318","MGI:2682318")</f>
        <v>MGI:2682318</v>
      </c>
      <c r="J40" s="4" t="s">
        <v>12</v>
      </c>
    </row>
    <row r="41" spans="1:10" x14ac:dyDescent="0.25">
      <c r="A41" s="2">
        <v>545.41380285129503</v>
      </c>
      <c r="B41" s="3">
        <v>1.03191459212243</v>
      </c>
      <c r="C41" s="5">
        <v>1.40600792686097E-8</v>
      </c>
      <c r="D41" s="6">
        <v>2.4417179644169098E-6</v>
      </c>
      <c r="E41" s="3" t="s">
        <v>2828</v>
      </c>
      <c r="F41" s="3" t="s">
        <v>2829</v>
      </c>
      <c r="G41" s="3">
        <v>23834</v>
      </c>
      <c r="H41" s="7" t="str">
        <f>HYPERLINK("http://www.ensembl.org/Mus_musculus/Gene/Summary?db=core;g=ENSMUSG00000017499","ENSMUSG00000017499")</f>
        <v>ENSMUSG00000017499</v>
      </c>
      <c r="I41" s="7" t="str">
        <f>HYPERLINK("http://www.informatics.jax.org/marker/MGI:1345150","MGI:1345150")</f>
        <v>MGI:1345150</v>
      </c>
      <c r="J41" s="4" t="s">
        <v>12</v>
      </c>
    </row>
    <row r="42" spans="1:10" x14ac:dyDescent="0.25">
      <c r="A42" s="2">
        <v>60.745301101120297</v>
      </c>
      <c r="B42" s="3">
        <v>1.02869231855375</v>
      </c>
      <c r="C42" s="5">
        <v>2.6229261899342701E-6</v>
      </c>
      <c r="D42" s="4">
        <v>1.60326363359732E-4</v>
      </c>
      <c r="E42" s="3" t="s">
        <v>4391</v>
      </c>
      <c r="F42" s="3" t="s">
        <v>4392</v>
      </c>
      <c r="G42" s="3">
        <v>114714</v>
      </c>
      <c r="H42" s="7" t="str">
        <f>HYPERLINK("http://www.ensembl.org/Mus_musculus/Gene/Summary?db=core;g=ENSMUSG00000007646","ENSMUSG00000007646")</f>
        <v>ENSMUSG00000007646</v>
      </c>
      <c r="I42" s="7" t="str">
        <f>HYPERLINK("http://www.informatics.jax.org/marker/MGI:2150020","MGI:2150020")</f>
        <v>MGI:2150020</v>
      </c>
      <c r="J42" s="4" t="s">
        <v>12</v>
      </c>
    </row>
    <row r="43" spans="1:10" x14ac:dyDescent="0.25">
      <c r="A43" s="2">
        <v>219.43693152896</v>
      </c>
      <c r="B43" s="3">
        <v>1.02035320251241</v>
      </c>
      <c r="C43" s="5">
        <v>1.6778588444384201E-8</v>
      </c>
      <c r="D43" s="6">
        <v>2.7751291799116099E-6</v>
      </c>
      <c r="E43" s="3" t="s">
        <v>1494</v>
      </c>
      <c r="F43" s="3" t="s">
        <v>1495</v>
      </c>
      <c r="G43" s="3">
        <v>269224</v>
      </c>
      <c r="H43" s="7" t="str">
        <f>HYPERLINK("http://www.ensembl.org/Mus_musculus/Gene/Summary?db=core;g=ENSMUSG00000026274","ENSMUSG00000026274")</f>
        <v>ENSMUSG00000026274</v>
      </c>
      <c r="I43" s="7" t="str">
        <f>HYPERLINK("http://www.informatics.jax.org/marker/MGI:2155936","MGI:2155936")</f>
        <v>MGI:2155936</v>
      </c>
      <c r="J43" s="4" t="s">
        <v>12</v>
      </c>
    </row>
    <row r="44" spans="1:10" x14ac:dyDescent="0.25">
      <c r="A44" s="2">
        <v>568.87369235438996</v>
      </c>
      <c r="B44" s="3">
        <v>1.01628746177945</v>
      </c>
      <c r="C44" s="5">
        <v>1.0192029704881699E-15</v>
      </c>
      <c r="D44" s="6">
        <v>2.8657439522701202E-12</v>
      </c>
      <c r="E44" s="3" t="s">
        <v>94</v>
      </c>
      <c r="F44" s="3" t="s">
        <v>95</v>
      </c>
      <c r="G44" s="3">
        <v>27355</v>
      </c>
      <c r="H44" s="7" t="str">
        <f>HYPERLINK("http://www.ensembl.org/Mus_musculus/Gene/Summary?db=core;g=ENSMUSG00000020092","ENSMUSG00000020092")</f>
        <v>ENSMUSG00000020092</v>
      </c>
      <c r="I44" s="7" t="str">
        <f>HYPERLINK("http://www.informatics.jax.org/marker/MGI:1351623","MGI:1351623")</f>
        <v>MGI:1351623</v>
      </c>
      <c r="J44" s="4" t="s">
        <v>12</v>
      </c>
    </row>
    <row r="45" spans="1:10" x14ac:dyDescent="0.25">
      <c r="A45" s="2">
        <v>84.652270400328504</v>
      </c>
      <c r="B45" s="3">
        <v>1.01030885235989</v>
      </c>
      <c r="C45" s="3">
        <v>3.3260305126580502E-4</v>
      </c>
      <c r="D45" s="4">
        <v>7.07415517530196E-3</v>
      </c>
      <c r="E45" s="3" t="s">
        <v>3242</v>
      </c>
      <c r="F45" s="3" t="s">
        <v>3243</v>
      </c>
      <c r="G45" s="3">
        <v>234258</v>
      </c>
      <c r="H45" s="7" t="str">
        <f>HYPERLINK("http://www.ensembl.org/Mus_musculus/Gene/Summary?db=core;g=ENSMUSG00000039396","ENSMUSG00000039396")</f>
        <v>ENSMUSG00000039396</v>
      </c>
      <c r="I45" s="7" t="str">
        <f>HYPERLINK("http://www.informatics.jax.org/marker/MGI:2384588","MGI:2384588")</f>
        <v>MGI:2384588</v>
      </c>
      <c r="J45" s="4" t="s">
        <v>12</v>
      </c>
    </row>
    <row r="46" spans="1:10" x14ac:dyDescent="0.25">
      <c r="A46" s="2">
        <v>3343.07028670304</v>
      </c>
      <c r="B46" s="3">
        <v>1.0070306105487901</v>
      </c>
      <c r="C46" s="5">
        <v>3.8752080379900003E-11</v>
      </c>
      <c r="D46" s="6">
        <v>1.8160193668030699E-8</v>
      </c>
      <c r="E46" s="3" t="s">
        <v>1352</v>
      </c>
      <c r="F46" s="3" t="s">
        <v>1353</v>
      </c>
      <c r="G46" s="3">
        <v>18140</v>
      </c>
      <c r="H46" s="7" t="str">
        <f>HYPERLINK("http://www.ensembl.org/Mus_musculus/Gene/Summary?db=core;g=ENSMUSG00000001228","ENSMUSG00000001228")</f>
        <v>ENSMUSG00000001228</v>
      </c>
      <c r="I46" s="7" t="str">
        <f>HYPERLINK("http://www.informatics.jax.org/marker/MGI:1338889","MGI:1338889")</f>
        <v>MGI:1338889</v>
      </c>
      <c r="J46" s="4" t="s">
        <v>12</v>
      </c>
    </row>
    <row r="47" spans="1:10" x14ac:dyDescent="0.25">
      <c r="A47" s="2">
        <v>486.64532971760099</v>
      </c>
      <c r="B47" s="3">
        <v>0.99061550057917902</v>
      </c>
      <c r="C47" s="3">
        <v>2.1984613806670002E-3</v>
      </c>
      <c r="D47" s="4">
        <v>2.9331073722848999E-2</v>
      </c>
      <c r="E47" s="3" t="s">
        <v>5795</v>
      </c>
      <c r="F47" s="3" t="s">
        <v>5796</v>
      </c>
      <c r="G47" s="3">
        <v>22256</v>
      </c>
      <c r="H47" s="7" t="str">
        <f>HYPERLINK("http://www.ensembl.org/Mus_musculus/Gene/Summary?db=core;g=ENSMUSG00000029591","ENSMUSG00000029591")</f>
        <v>ENSMUSG00000029591</v>
      </c>
      <c r="I47" s="7" t="str">
        <f>HYPERLINK("http://www.informatics.jax.org/marker/MGI:109352","MGI:109352")</f>
        <v>MGI:109352</v>
      </c>
      <c r="J47" s="4" t="s">
        <v>12</v>
      </c>
    </row>
    <row r="48" spans="1:10" x14ac:dyDescent="0.25">
      <c r="A48" s="2">
        <v>793.62365980000095</v>
      </c>
      <c r="B48" s="3">
        <v>0.98251505730177202</v>
      </c>
      <c r="C48" s="5">
        <v>4.4815611694648101E-17</v>
      </c>
      <c r="D48" s="6">
        <v>5.0404118472970702E-13</v>
      </c>
      <c r="E48" s="3" t="s">
        <v>704</v>
      </c>
      <c r="F48" s="3" t="s">
        <v>705</v>
      </c>
      <c r="G48" s="3">
        <v>218973</v>
      </c>
      <c r="H48" s="7" t="str">
        <f>HYPERLINK("http://www.ensembl.org/Mus_musculus/Gene/Summary?db=core;g=ENSMUSG00000037572","ENSMUSG00000037572")</f>
        <v>ENSMUSG00000037572</v>
      </c>
      <c r="I48" s="7" t="str">
        <f>HYPERLINK("http://www.informatics.jax.org/marker/MGI:2443514","MGI:2443514")</f>
        <v>MGI:2443514</v>
      </c>
      <c r="J48" s="4" t="s">
        <v>12</v>
      </c>
    </row>
    <row r="49" spans="1:10" x14ac:dyDescent="0.25">
      <c r="A49" s="2">
        <v>621.91234505508896</v>
      </c>
      <c r="B49" s="3">
        <v>0.96930600791702204</v>
      </c>
      <c r="C49" s="5">
        <v>6.3634526632325398E-9</v>
      </c>
      <c r="D49" s="6">
        <v>1.27803128756029E-6</v>
      </c>
      <c r="E49" s="3" t="s">
        <v>10344</v>
      </c>
      <c r="F49" s="3" t="s">
        <v>10345</v>
      </c>
      <c r="G49" s="3">
        <v>20148</v>
      </c>
      <c r="H49" s="7" t="str">
        <f>HYPERLINK("http://www.ensembl.org/Mus_musculus/Gene/Summary?db=core;g=ENSMUSG00000066026","ENSMUSG00000066026")</f>
        <v>ENSMUSG00000066026</v>
      </c>
      <c r="I49" s="7" t="str">
        <f>HYPERLINK("http://www.informatics.jax.org/marker/MGI:1315215","MGI:1315215")</f>
        <v>MGI:1315215</v>
      </c>
      <c r="J49" s="4" t="s">
        <v>12</v>
      </c>
    </row>
    <row r="50" spans="1:10" x14ac:dyDescent="0.25">
      <c r="A50" s="2">
        <v>641.99047602595101</v>
      </c>
      <c r="B50" s="3">
        <v>0.95910575282860899</v>
      </c>
      <c r="C50" s="5">
        <v>5.7216373855349703E-8</v>
      </c>
      <c r="D50" s="6">
        <v>7.4827041482688201E-6</v>
      </c>
      <c r="E50" s="3" t="s">
        <v>476</v>
      </c>
      <c r="F50" s="3" t="s">
        <v>477</v>
      </c>
      <c r="G50" s="3">
        <v>98388</v>
      </c>
      <c r="H50" s="7" t="str">
        <f>HYPERLINK("http://www.ensembl.org/Mus_musculus/Gene/Summary?db=core;g=ENSMUSG00000026080","ENSMUSG00000026080")</f>
        <v>ENSMUSG00000026080</v>
      </c>
      <c r="I50" s="7" t="str">
        <f>HYPERLINK("http://www.informatics.jax.org/marker/MGI:2138283","MGI:2138283")</f>
        <v>MGI:2138283</v>
      </c>
      <c r="J50" s="4" t="s">
        <v>12</v>
      </c>
    </row>
    <row r="51" spans="1:10" x14ac:dyDescent="0.25">
      <c r="A51" s="2">
        <v>130.243116953384</v>
      </c>
      <c r="B51" s="3">
        <v>0.94973878947558898</v>
      </c>
      <c r="C51" s="5">
        <v>1.7746465763537899E-5</v>
      </c>
      <c r="D51" s="4">
        <v>7.3651107174358202E-4</v>
      </c>
      <c r="E51" s="3" t="s">
        <v>968</v>
      </c>
      <c r="F51" s="3" t="s">
        <v>969</v>
      </c>
      <c r="G51" s="3">
        <v>21817</v>
      </c>
      <c r="H51" s="7" t="str">
        <f>HYPERLINK("http://www.ensembl.org/Mus_musculus/Gene/Summary?db=core;g=ENSMUSG00000037820","ENSMUSG00000037820")</f>
        <v>ENSMUSG00000037820</v>
      </c>
      <c r="I51" s="7" t="str">
        <f>HYPERLINK("http://www.informatics.jax.org/marker/MGI:98731","MGI:98731")</f>
        <v>MGI:98731</v>
      </c>
      <c r="J51" s="4" t="s">
        <v>12</v>
      </c>
    </row>
    <row r="52" spans="1:10" x14ac:dyDescent="0.25">
      <c r="A52" s="2">
        <v>531.87862876572694</v>
      </c>
      <c r="B52" s="3">
        <v>0.94879293315468805</v>
      </c>
      <c r="C52" s="5">
        <v>1.38686992032175E-7</v>
      </c>
      <c r="D52" s="6">
        <v>1.5755682822079499E-5</v>
      </c>
      <c r="E52" s="3" t="s">
        <v>556</v>
      </c>
      <c r="F52" s="3" t="s">
        <v>557</v>
      </c>
      <c r="G52" s="3">
        <v>74760</v>
      </c>
      <c r="H52" s="7" t="str">
        <f>HYPERLINK("http://www.ensembl.org/Mus_musculus/Gene/Summary?db=core;g=ENSMUSG00000024663","ENSMUSG00000024663")</f>
        <v>ENSMUSG00000024663</v>
      </c>
      <c r="I52" s="7" t="str">
        <f>HYPERLINK("http://www.informatics.jax.org/marker/MGI:1922010","MGI:1922010")</f>
        <v>MGI:1922010</v>
      </c>
      <c r="J52" s="4" t="s">
        <v>12</v>
      </c>
    </row>
    <row r="53" spans="1:10" x14ac:dyDescent="0.25">
      <c r="A53" s="2">
        <v>36.116528492907101</v>
      </c>
      <c r="B53" s="3">
        <v>0.94643727490079499</v>
      </c>
      <c r="C53" s="3">
        <v>2.32277043628462E-3</v>
      </c>
      <c r="D53" s="4">
        <v>3.06262591991713E-2</v>
      </c>
      <c r="E53" s="3" t="s">
        <v>5081</v>
      </c>
      <c r="F53" s="3" t="s">
        <v>5082</v>
      </c>
      <c r="G53" s="3">
        <v>232984</v>
      </c>
      <c r="H53" s="7" t="str">
        <f>HYPERLINK("http://www.ensembl.org/Mus_musculus/Gene/Summary?db=core;g=ENSMUSG00000059479","ENSMUSG00000059479")</f>
        <v>ENSMUSG00000059479</v>
      </c>
      <c r="I53" s="7" t="str">
        <f>HYPERLINK("http://www.informatics.jax.org/marker/MGI:2385269","MGI:2385269")</f>
        <v>MGI:2385269</v>
      </c>
      <c r="J53" s="4" t="s">
        <v>12</v>
      </c>
    </row>
    <row r="54" spans="1:10" x14ac:dyDescent="0.25">
      <c r="A54" s="2">
        <v>340.647164903987</v>
      </c>
      <c r="B54" s="3">
        <v>0.94543664710168995</v>
      </c>
      <c r="C54" s="5">
        <v>4.1156879414745603E-12</v>
      </c>
      <c r="D54" s="6">
        <v>2.8930713923602701E-9</v>
      </c>
      <c r="E54" s="3" t="s">
        <v>276</v>
      </c>
      <c r="F54" s="3" t="s">
        <v>277</v>
      </c>
      <c r="G54" s="3">
        <v>19651</v>
      </c>
      <c r="H54" s="7" t="str">
        <f>HYPERLINK("http://www.ensembl.org/Mus_musculus/Gene/Summary?db=core;g=ENSMUSG00000031666","ENSMUSG00000031666")</f>
        <v>ENSMUSG00000031666</v>
      </c>
      <c r="I54" s="7" t="str">
        <f>HYPERLINK("http://www.informatics.jax.org/marker/MGI:105085","MGI:105085")</f>
        <v>MGI:105085</v>
      </c>
      <c r="J54" s="4" t="s">
        <v>12</v>
      </c>
    </row>
    <row r="55" spans="1:10" x14ac:dyDescent="0.25">
      <c r="A55" s="2">
        <v>218.496246419709</v>
      </c>
      <c r="B55" s="3">
        <v>0.93879729015371605</v>
      </c>
      <c r="C55" s="5">
        <v>1.4651561503147099E-6</v>
      </c>
      <c r="D55" s="4">
        <v>1.0079967280702799E-4</v>
      </c>
      <c r="E55" s="3" t="s">
        <v>970</v>
      </c>
      <c r="F55" s="3" t="s">
        <v>971</v>
      </c>
      <c r="G55" s="3">
        <v>233781</v>
      </c>
      <c r="H55" s="7" t="str">
        <f>HYPERLINK("http://www.ensembl.org/Mus_musculus/Gene/Summary?db=core;g=ENSMUSG00000030657","ENSMUSG00000030657")</f>
        <v>ENSMUSG00000030657</v>
      </c>
      <c r="I55" s="7" t="str">
        <f>HYPERLINK("http://www.informatics.jax.org/marker/MGI:2451073","MGI:2451073")</f>
        <v>MGI:2451073</v>
      </c>
      <c r="J55" s="4" t="s">
        <v>12</v>
      </c>
    </row>
    <row r="56" spans="1:10" x14ac:dyDescent="0.25">
      <c r="A56" s="2">
        <v>62.691905744666002</v>
      </c>
      <c r="B56" s="3">
        <v>0.93570872580832198</v>
      </c>
      <c r="C56" s="3">
        <v>3.87029410538485E-3</v>
      </c>
      <c r="D56" s="4">
        <v>4.41920789880847E-2</v>
      </c>
      <c r="E56" s="3" t="s">
        <v>1863</v>
      </c>
      <c r="F56" s="3" t="s">
        <v>1864</v>
      </c>
      <c r="G56" s="3">
        <v>319430</v>
      </c>
      <c r="H56" s="7" t="str">
        <f>HYPERLINK("http://www.ensembl.org/Mus_musculus/Gene/Summary?db=core;g=ENSMUSG00000074361","ENSMUSG00000074361")</f>
        <v>ENSMUSG00000074361</v>
      </c>
      <c r="I56" s="7" t="str">
        <f>HYPERLINK("http://www.informatics.jax.org/marker/MGI:2442013","MGI:2442013")</f>
        <v>MGI:2442013</v>
      </c>
      <c r="J56" s="4" t="s">
        <v>12</v>
      </c>
    </row>
    <row r="57" spans="1:10" x14ac:dyDescent="0.25">
      <c r="A57" s="2">
        <v>1052.3423589603501</v>
      </c>
      <c r="B57" s="3">
        <v>0.92881234670480095</v>
      </c>
      <c r="C57" s="5">
        <v>1.10116007716311E-16</v>
      </c>
      <c r="D57" s="6">
        <v>6.1923736939267298E-13</v>
      </c>
      <c r="E57" s="3" t="s">
        <v>458</v>
      </c>
      <c r="F57" s="3" t="s">
        <v>459</v>
      </c>
      <c r="G57" s="3">
        <v>269582</v>
      </c>
      <c r="H57" s="7" t="str">
        <f>HYPERLINK("http://www.ensembl.org/Mus_musculus/Gene/Summary?db=core;g=ENSMUSG00000042489","ENSMUSG00000042489")</f>
        <v>ENSMUSG00000042489</v>
      </c>
      <c r="I57" s="7" t="str">
        <f>HYPERLINK("http://www.informatics.jax.org/marker/MGI:2445153","MGI:2445153")</f>
        <v>MGI:2445153</v>
      </c>
      <c r="J57" s="4" t="s">
        <v>12</v>
      </c>
    </row>
    <row r="58" spans="1:10" x14ac:dyDescent="0.25">
      <c r="A58" s="2">
        <v>159.811650358577</v>
      </c>
      <c r="B58" s="3">
        <v>0.92106760506200502</v>
      </c>
      <c r="C58" s="5">
        <v>2.48276207536916E-9</v>
      </c>
      <c r="D58" s="6">
        <v>6.3462784231083898E-7</v>
      </c>
      <c r="E58" s="3" t="s">
        <v>1726</v>
      </c>
      <c r="F58" s="3" t="s">
        <v>1727</v>
      </c>
      <c r="G58" s="3">
        <v>73420</v>
      </c>
      <c r="H58" s="7" t="str">
        <f>HYPERLINK("http://www.ensembl.org/Mus_musculus/Gene/Summary?db=core;g=ENSMUSG00000031971","ENSMUSG00000031971")</f>
        <v>ENSMUSG00000031971</v>
      </c>
      <c r="I58" s="7" t="str">
        <f>HYPERLINK("http://www.informatics.jax.org/marker/MGI:1920670","MGI:1920670")</f>
        <v>MGI:1920670</v>
      </c>
      <c r="J58" s="4" t="s">
        <v>12</v>
      </c>
    </row>
    <row r="59" spans="1:10" x14ac:dyDescent="0.25">
      <c r="A59" s="2">
        <v>107.60949512342501</v>
      </c>
      <c r="B59" s="3">
        <v>0.91687743385106701</v>
      </c>
      <c r="C59" s="5">
        <v>1.96848546380467E-5</v>
      </c>
      <c r="D59" s="4">
        <v>7.8848593698345004E-4</v>
      </c>
      <c r="E59" s="3" t="s">
        <v>838</v>
      </c>
      <c r="F59" s="3" t="s">
        <v>839</v>
      </c>
      <c r="G59" s="3">
        <v>54610</v>
      </c>
      <c r="H59" s="7" t="str">
        <f>HYPERLINK("http://www.ensembl.org/Mus_musculus/Gene/Summary?db=core;g=ENSMUSG00000003134","ENSMUSG00000003134")</f>
        <v>ENSMUSG00000003134</v>
      </c>
      <c r="I59" s="7" t="str">
        <f>HYPERLINK("http://www.informatics.jax.org/marker/MGI:1927225","MGI:1927225")</f>
        <v>MGI:1927225</v>
      </c>
      <c r="J59" s="4" t="s">
        <v>12</v>
      </c>
    </row>
    <row r="60" spans="1:10" x14ac:dyDescent="0.25">
      <c r="A60" s="2">
        <v>58.833097771434701</v>
      </c>
      <c r="B60" s="3">
        <v>0.91589103079799805</v>
      </c>
      <c r="C60" s="3">
        <v>3.93319796006091E-4</v>
      </c>
      <c r="D60" s="4">
        <v>7.9705725147396593E-3</v>
      </c>
      <c r="E60" s="3" t="s">
        <v>7548</v>
      </c>
      <c r="F60" s="3" t="s">
        <v>7549</v>
      </c>
      <c r="G60" s="3">
        <v>194655</v>
      </c>
      <c r="H60" s="7" t="str">
        <f>HYPERLINK("http://www.ensembl.org/Mus_musculus/Gene/Summary?db=core;g=ENSMUSG00000020653","ENSMUSG00000020653")</f>
        <v>ENSMUSG00000020653</v>
      </c>
      <c r="I60" s="7" t="str">
        <f>HYPERLINK("http://www.informatics.jax.org/marker/MGI:2653368","MGI:2653368")</f>
        <v>MGI:2653368</v>
      </c>
      <c r="J60" s="4" t="s">
        <v>12</v>
      </c>
    </row>
    <row r="61" spans="1:10" x14ac:dyDescent="0.25">
      <c r="A61" s="2">
        <v>387.442405695096</v>
      </c>
      <c r="B61" s="3">
        <v>0.91466875079016596</v>
      </c>
      <c r="C61" s="5">
        <v>1.6278896340002099E-9</v>
      </c>
      <c r="D61" s="6">
        <v>4.8181249246316904E-7</v>
      </c>
      <c r="E61" s="3" t="s">
        <v>176</v>
      </c>
      <c r="F61" s="3" t="s">
        <v>177</v>
      </c>
      <c r="G61" s="3">
        <v>227929</v>
      </c>
      <c r="H61" s="7" t="str">
        <f>HYPERLINK("http://www.ensembl.org/Mus_musculus/Gene/Summary?db=core;g=ENSMUSG00000026832","ENSMUSG00000026832")</f>
        <v>ENSMUSG00000026832</v>
      </c>
      <c r="I61" s="7" t="str">
        <f>HYPERLINK("http://www.informatics.jax.org/marker/MGI:2183535","MGI:2183535")</f>
        <v>MGI:2183535</v>
      </c>
      <c r="J61" s="4" t="s">
        <v>12</v>
      </c>
    </row>
    <row r="62" spans="1:10" x14ac:dyDescent="0.25">
      <c r="A62" s="2">
        <v>188.58071124013799</v>
      </c>
      <c r="B62" s="3">
        <v>0.90776799636833705</v>
      </c>
      <c r="C62" s="3">
        <v>3.4606331869440401E-4</v>
      </c>
      <c r="D62" s="4">
        <v>7.2750918604784203E-3</v>
      </c>
      <c r="E62" s="3" t="s">
        <v>576</v>
      </c>
      <c r="F62" s="3" t="s">
        <v>577</v>
      </c>
      <c r="G62" s="3">
        <v>117590</v>
      </c>
      <c r="H62" s="7" t="str">
        <f>HYPERLINK("http://www.ensembl.org/Mus_musculus/Gene/Summary?db=core;g=ENSMUSG00000038204","ENSMUSG00000038204")</f>
        <v>ENSMUSG00000038204</v>
      </c>
      <c r="I62" s="7" t="str">
        <f>HYPERLINK("http://www.informatics.jax.org/marker/MGI:2152836","MGI:2152836")</f>
        <v>MGI:2152836</v>
      </c>
      <c r="J62" s="4" t="s">
        <v>12</v>
      </c>
    </row>
    <row r="63" spans="1:10" x14ac:dyDescent="0.25">
      <c r="A63" s="2">
        <v>241.92229266315701</v>
      </c>
      <c r="B63" s="3">
        <v>0.904703525745437</v>
      </c>
      <c r="C63" s="3">
        <v>1.22361501208322E-4</v>
      </c>
      <c r="D63" s="4">
        <v>3.16367771055172E-3</v>
      </c>
      <c r="E63" s="3" t="s">
        <v>1278</v>
      </c>
      <c r="F63" s="3" t="s">
        <v>1279</v>
      </c>
      <c r="G63" s="3">
        <v>14605</v>
      </c>
      <c r="H63" s="7" t="str">
        <f>HYPERLINK("http://www.ensembl.org/Mus_musculus/Gene/Summary?db=core;g=ENSMUSG00000031431","ENSMUSG00000031431")</f>
        <v>ENSMUSG00000031431</v>
      </c>
      <c r="I63" s="7" t="str">
        <f>HYPERLINK("http://www.informatics.jax.org/marker/MGI:1196284","MGI:1196284")</f>
        <v>MGI:1196284</v>
      </c>
      <c r="J63" s="4" t="s">
        <v>12</v>
      </c>
    </row>
    <row r="64" spans="1:10" x14ac:dyDescent="0.25">
      <c r="A64" s="2">
        <v>34.487181686724902</v>
      </c>
      <c r="B64" s="3">
        <v>0.89447496300771301</v>
      </c>
      <c r="C64" s="3">
        <v>3.09325922798359E-3</v>
      </c>
      <c r="D64" s="4">
        <v>3.7288195645371398E-2</v>
      </c>
      <c r="E64" s="3" t="s">
        <v>5607</v>
      </c>
      <c r="F64" s="3" t="s">
        <v>5608</v>
      </c>
      <c r="G64" s="3">
        <v>67492</v>
      </c>
      <c r="H64" s="7" t="str">
        <f>HYPERLINK("http://www.ensembl.org/Mus_musculus/Gene/Summary?db=core;g=ENSMUSG00000042213","ENSMUSG00000042213")</f>
        <v>ENSMUSG00000042213</v>
      </c>
      <c r="I64" s="7" t="str">
        <f>HYPERLINK("http://www.informatics.jax.org/marker/MGI:1914742","MGI:1914742")</f>
        <v>MGI:1914742</v>
      </c>
      <c r="J64" s="4" t="s">
        <v>12</v>
      </c>
    </row>
    <row r="65" spans="1:10" x14ac:dyDescent="0.25">
      <c r="A65" s="2">
        <v>813.38774310707402</v>
      </c>
      <c r="B65" s="3">
        <v>0.89115164413424397</v>
      </c>
      <c r="C65" s="5">
        <v>2.7013853927056999E-12</v>
      </c>
      <c r="D65" s="6">
        <v>2.3371139624431601E-9</v>
      </c>
      <c r="E65" s="3" t="s">
        <v>606</v>
      </c>
      <c r="F65" s="3" t="s">
        <v>607</v>
      </c>
      <c r="G65" s="3">
        <v>12189</v>
      </c>
      <c r="H65" s="7" t="str">
        <f>HYPERLINK("http://www.ensembl.org/Mus_musculus/Gene/Summary?db=core;g=ENSMUSG00000017146","ENSMUSG00000017146")</f>
        <v>ENSMUSG00000017146</v>
      </c>
      <c r="I65" s="7" t="str">
        <f>HYPERLINK("http://www.informatics.jax.org/marker/MGI:104537","MGI:104537")</f>
        <v>MGI:104537</v>
      </c>
      <c r="J65" s="4" t="s">
        <v>12</v>
      </c>
    </row>
    <row r="66" spans="1:10" x14ac:dyDescent="0.25">
      <c r="A66" s="2">
        <v>179.225929909683</v>
      </c>
      <c r="B66" s="3">
        <v>0.88529495418132798</v>
      </c>
      <c r="C66" s="3">
        <v>1.3945133272173701E-4</v>
      </c>
      <c r="D66" s="4">
        <v>3.4931161227647598E-3</v>
      </c>
      <c r="E66" s="3" t="s">
        <v>1416</v>
      </c>
      <c r="F66" s="3" t="s">
        <v>1417</v>
      </c>
      <c r="G66" s="3">
        <v>546611</v>
      </c>
      <c r="H66" s="7" t="str">
        <f>HYPERLINK("http://www.ensembl.org/Mus_musculus/Gene/Summary?db=core;g=ENSMUSG00000090799","ENSMUSG00000090799")</f>
        <v>ENSMUSG00000090799</v>
      </c>
      <c r="I66" s="7" t="str">
        <f>HYPERLINK("http://www.informatics.jax.org/marker/MGI:3644593","MGI:3644593")</f>
        <v>MGI:3644593</v>
      </c>
      <c r="J66" s="4" t="s">
        <v>12</v>
      </c>
    </row>
    <row r="67" spans="1:10" x14ac:dyDescent="0.25">
      <c r="A67" s="2">
        <v>168.54340657324099</v>
      </c>
      <c r="B67" s="3">
        <v>0.88070049779244397</v>
      </c>
      <c r="C67" s="5">
        <v>3.1182007052106701E-9</v>
      </c>
      <c r="D67" s="6">
        <v>7.3063340273967605E-7</v>
      </c>
      <c r="E67" s="3" t="s">
        <v>3004</v>
      </c>
      <c r="F67" s="3" t="s">
        <v>3005</v>
      </c>
      <c r="G67" s="3">
        <v>57080</v>
      </c>
      <c r="H67" s="7" t="str">
        <f>HYPERLINK("http://www.ensembl.org/Mus_musculus/Gene/Summary?db=core;g=ENSMUSG00000023079","ENSMUSG00000023079")</f>
        <v>ENSMUSG00000023079</v>
      </c>
      <c r="I67" s="7" t="str">
        <f>HYPERLINK("http://www.informatics.jax.org/marker/MGI:1861942","MGI:1861942")</f>
        <v>MGI:1861942</v>
      </c>
      <c r="J67" s="4" t="s">
        <v>12</v>
      </c>
    </row>
    <row r="68" spans="1:10" x14ac:dyDescent="0.25">
      <c r="A68" s="2">
        <v>32.355640113335603</v>
      </c>
      <c r="B68" s="3">
        <v>0.88042090946294704</v>
      </c>
      <c r="C68" s="3">
        <v>3.4420534922997002E-3</v>
      </c>
      <c r="D68" s="4">
        <v>4.0622010102722698E-2</v>
      </c>
      <c r="E68" s="3" t="s">
        <v>7156</v>
      </c>
      <c r="F68" s="3" t="s">
        <v>7157</v>
      </c>
      <c r="G68" s="3">
        <v>69519</v>
      </c>
      <c r="H68" s="7" t="str">
        <f>HYPERLINK("http://www.ensembl.org/Mus_musculus/Gene/Summary?db=core;g=ENSMUSG00000032417","ENSMUSG00000032417")</f>
        <v>ENSMUSG00000032417</v>
      </c>
      <c r="I68" s="7" t="str">
        <f>HYPERLINK("http://www.informatics.jax.org/marker/MGI:1916769","MGI:1916769")</f>
        <v>MGI:1916769</v>
      </c>
      <c r="J68" s="4" t="s">
        <v>12</v>
      </c>
    </row>
    <row r="69" spans="1:10" x14ac:dyDescent="0.25">
      <c r="A69" s="2">
        <v>33.583495190397301</v>
      </c>
      <c r="B69" s="3">
        <v>0.87805470607446701</v>
      </c>
      <c r="C69" s="3">
        <v>4.2099183167104998E-3</v>
      </c>
      <c r="D69" s="4">
        <v>4.6880149809943601E-2</v>
      </c>
      <c r="E69" s="3" t="s">
        <v>8169</v>
      </c>
      <c r="F69" s="3" t="s">
        <v>8170</v>
      </c>
      <c r="G69" s="3">
        <v>13845</v>
      </c>
      <c r="H69" s="7" t="str">
        <f>HYPERLINK("http://www.ensembl.org/Mus_musculus/Gene/Summary?db=core;g=ENSMUSG00000005958","ENSMUSG00000005958")</f>
        <v>ENSMUSG00000005958</v>
      </c>
      <c r="I69" s="7" t="str">
        <f>HYPERLINK("http://www.informatics.jax.org/marker/MGI:104770","MGI:104770")</f>
        <v>MGI:104770</v>
      </c>
      <c r="J69" s="4" t="s">
        <v>12</v>
      </c>
    </row>
    <row r="70" spans="1:10" x14ac:dyDescent="0.25">
      <c r="A70" s="2">
        <v>218.13608489004201</v>
      </c>
      <c r="B70" s="3">
        <v>0.877503396960857</v>
      </c>
      <c r="C70" s="5">
        <v>1.45490713786852E-6</v>
      </c>
      <c r="D70" s="4">
        <v>1.0079967280702799E-4</v>
      </c>
      <c r="E70" s="3" t="s">
        <v>1220</v>
      </c>
      <c r="F70" s="3" t="s">
        <v>1221</v>
      </c>
      <c r="G70" s="3">
        <v>67393</v>
      </c>
      <c r="H70" s="7" t="str">
        <f>HYPERLINK("http://www.ensembl.org/Mus_musculus/Gene/Summary?db=core;g=ENSMUSG00000046668","ENSMUSG00000046668")</f>
        <v>ENSMUSG00000046668</v>
      </c>
      <c r="I70" s="7" t="str">
        <f>HYPERLINK("http://www.informatics.jax.org/marker/MGI:1914643","MGI:1914643")</f>
        <v>MGI:1914643</v>
      </c>
      <c r="J70" s="4" t="s">
        <v>12</v>
      </c>
    </row>
    <row r="71" spans="1:10" x14ac:dyDescent="0.25">
      <c r="A71" s="2">
        <v>1703.66812505395</v>
      </c>
      <c r="B71" s="3">
        <v>0.873253812087183</v>
      </c>
      <c r="C71" s="5">
        <v>1.41114668522361E-8</v>
      </c>
      <c r="D71" s="6">
        <v>2.4417179644169098E-6</v>
      </c>
      <c r="E71" s="3" t="s">
        <v>1847</v>
      </c>
      <c r="F71" s="3" t="s">
        <v>1848</v>
      </c>
      <c r="G71" s="3">
        <v>20135</v>
      </c>
      <c r="H71" s="7" t="str">
        <f>HYPERLINK("http://www.ensembl.org/Mus_musculus/Gene/Summary?db=core;g=ENSMUSG00000020649","ENSMUSG00000020649")</f>
        <v>ENSMUSG00000020649</v>
      </c>
      <c r="I71" s="7" t="str">
        <f>HYPERLINK("http://www.informatics.jax.org/marker/MGI:98181","MGI:98181")</f>
        <v>MGI:98181</v>
      </c>
      <c r="J71" s="4" t="s">
        <v>12</v>
      </c>
    </row>
    <row r="72" spans="1:10" x14ac:dyDescent="0.25">
      <c r="A72" s="2">
        <v>108.644098776045</v>
      </c>
      <c r="B72" s="3">
        <v>0.87055521459404595</v>
      </c>
      <c r="C72" s="3">
        <v>1.22271672893055E-3</v>
      </c>
      <c r="D72" s="4">
        <v>1.8735551839621101E-2</v>
      </c>
      <c r="E72" s="3" t="s">
        <v>2183</v>
      </c>
      <c r="F72" s="3" t="s">
        <v>2184</v>
      </c>
      <c r="G72" s="3">
        <v>77976</v>
      </c>
      <c r="H72" s="7" t="str">
        <f>HYPERLINK("http://www.ensembl.org/Mus_musculus/Gene/Summary?db=core;g=ENSMUSG00000020032","ENSMUSG00000020032")</f>
        <v>ENSMUSG00000020032</v>
      </c>
      <c r="I72" s="7" t="str">
        <f>HYPERLINK("http://www.informatics.jax.org/marker/MGI:1925226","MGI:1925226")</f>
        <v>MGI:1925226</v>
      </c>
      <c r="J72" s="4" t="s">
        <v>12</v>
      </c>
    </row>
    <row r="73" spans="1:10" x14ac:dyDescent="0.25">
      <c r="A73" s="2">
        <v>294.34735318471502</v>
      </c>
      <c r="B73" s="3">
        <v>0.86439666047167596</v>
      </c>
      <c r="C73" s="5">
        <v>9.78420670984816E-5</v>
      </c>
      <c r="D73" s="4">
        <v>2.6138473364765401E-3</v>
      </c>
      <c r="E73" s="3" t="s">
        <v>6121</v>
      </c>
      <c r="F73" s="3" t="s">
        <v>6122</v>
      </c>
      <c r="G73" s="3">
        <v>12448</v>
      </c>
      <c r="H73" s="7" t="str">
        <f>HYPERLINK("http://www.ensembl.org/Mus_musculus/Gene/Summary?db=core;g=ENSMUSG00000028212","ENSMUSG00000028212")</f>
        <v>ENSMUSG00000028212</v>
      </c>
      <c r="I73" s="7" t="str">
        <f>HYPERLINK("http://www.informatics.jax.org/marker/MGI:1329034","MGI:1329034")</f>
        <v>MGI:1329034</v>
      </c>
      <c r="J73" s="4" t="s">
        <v>12</v>
      </c>
    </row>
    <row r="74" spans="1:10" x14ac:dyDescent="0.25">
      <c r="A74" s="2">
        <v>501.58807182568898</v>
      </c>
      <c r="B74" s="3">
        <v>0.85737801212890696</v>
      </c>
      <c r="C74" s="5">
        <v>1.85665275311984E-10</v>
      </c>
      <c r="D74" s="6">
        <v>7.4642136589872995E-8</v>
      </c>
      <c r="E74" s="3" t="s">
        <v>33</v>
      </c>
      <c r="F74" s="3" t="s">
        <v>34</v>
      </c>
      <c r="G74" s="3">
        <v>20440</v>
      </c>
      <c r="H74" s="7" t="str">
        <f>HYPERLINK("http://www.ensembl.org/Mus_musculus/Gene/Summary?db=core;g=ENSMUSG00000022885","ENSMUSG00000022885")</f>
        <v>ENSMUSG00000022885</v>
      </c>
      <c r="I74" s="7" t="str">
        <f>HYPERLINK("http://www.informatics.jax.org/marker/MGI:108470","MGI:108470")</f>
        <v>MGI:108470</v>
      </c>
      <c r="J74" s="4" t="s">
        <v>12</v>
      </c>
    </row>
    <row r="75" spans="1:10" x14ac:dyDescent="0.25">
      <c r="A75" s="2">
        <v>571.50243127496299</v>
      </c>
      <c r="B75" s="3">
        <v>0.85403948948465502</v>
      </c>
      <c r="C75" s="5">
        <v>7.9013674240028399E-6</v>
      </c>
      <c r="D75" s="4">
        <v>3.93215395653805E-4</v>
      </c>
      <c r="E75" s="3" t="s">
        <v>2804</v>
      </c>
      <c r="F75" s="3" t="s">
        <v>2805</v>
      </c>
      <c r="G75" s="3">
        <v>327762</v>
      </c>
      <c r="H75" s="7" t="str">
        <f>HYPERLINK("http://www.ensembl.org/Mus_musculus/Gene/Summary?db=core;g=ENSMUSG00000036875","ENSMUSG00000036875")</f>
        <v>ENSMUSG00000036875</v>
      </c>
      <c r="I75" s="7" t="str">
        <f>HYPERLINK("http://www.informatics.jax.org/marker/MGI:2443732","MGI:2443732")</f>
        <v>MGI:2443732</v>
      </c>
      <c r="J75" s="4" t="s">
        <v>12</v>
      </c>
    </row>
    <row r="76" spans="1:10" x14ac:dyDescent="0.25">
      <c r="A76" s="2">
        <v>64.325590843822098</v>
      </c>
      <c r="B76" s="3">
        <v>0.84848195288484995</v>
      </c>
      <c r="C76" s="3">
        <v>2.4756269677382099E-4</v>
      </c>
      <c r="D76" s="4">
        <v>5.6823217359493203E-3</v>
      </c>
      <c r="E76" s="3" t="s">
        <v>4285</v>
      </c>
      <c r="F76" s="3" t="s">
        <v>4286</v>
      </c>
      <c r="G76" s="3">
        <v>74201</v>
      </c>
      <c r="H76" s="7" t="str">
        <f>HYPERLINK("http://www.ensembl.org/Mus_musculus/Gene/Summary?db=core;g=ENSMUSG00000022604","ENSMUSG00000022604")</f>
        <v>ENSMUSG00000022604</v>
      </c>
      <c r="I76" s="7" t="str">
        <f>HYPERLINK("http://www.informatics.jax.org/marker/MGI:1921451","MGI:1921451")</f>
        <v>MGI:1921451</v>
      </c>
      <c r="J76" s="4" t="s">
        <v>12</v>
      </c>
    </row>
    <row r="77" spans="1:10" x14ac:dyDescent="0.25">
      <c r="A77" s="2">
        <v>50.226831197714503</v>
      </c>
      <c r="B77" s="3">
        <v>0.83601169764342298</v>
      </c>
      <c r="C77" s="3">
        <v>2.3407950671162502E-3</v>
      </c>
      <c r="D77" s="4">
        <v>3.0791721777609901E-2</v>
      </c>
      <c r="E77" s="3" t="s">
        <v>3980</v>
      </c>
      <c r="F77" s="3" t="s">
        <v>3981</v>
      </c>
      <c r="G77" s="3">
        <v>78255</v>
      </c>
      <c r="H77" s="7" t="str">
        <f>HYPERLINK("http://www.ensembl.org/Mus_musculus/Gene/Summary?db=core;g=ENSMUSG00000026594","ENSMUSG00000026594")</f>
        <v>ENSMUSG00000026594</v>
      </c>
      <c r="I77" s="7" t="str">
        <f>HYPERLINK("http://www.informatics.jax.org/marker/MGI:1925505","MGI:1925505")</f>
        <v>MGI:1925505</v>
      </c>
      <c r="J77" s="4" t="s">
        <v>12</v>
      </c>
    </row>
    <row r="78" spans="1:10" x14ac:dyDescent="0.25">
      <c r="A78" s="2">
        <v>181.18405529688999</v>
      </c>
      <c r="B78" s="3">
        <v>0.83210334425587895</v>
      </c>
      <c r="C78" s="5">
        <v>3.5182515308551098E-7</v>
      </c>
      <c r="D78" s="6">
        <v>3.2622683923868602E-5</v>
      </c>
      <c r="E78" s="3" t="s">
        <v>396</v>
      </c>
      <c r="F78" s="3" t="s">
        <v>397</v>
      </c>
      <c r="G78" s="3">
        <v>211586</v>
      </c>
      <c r="H78" s="7" t="str">
        <f>HYPERLINK("http://www.ensembl.org/Mus_musculus/Gene/Summary?db=core;g=ENSMUSG00000032411","ENSMUSG00000032411")</f>
        <v>ENSMUSG00000032411</v>
      </c>
      <c r="I78" s="7" t="str">
        <f>HYPERLINK("http://www.informatics.jax.org/marker/MGI:107167","MGI:107167")</f>
        <v>MGI:107167</v>
      </c>
      <c r="J78" s="4" t="s">
        <v>12</v>
      </c>
    </row>
    <row r="79" spans="1:10" x14ac:dyDescent="0.25">
      <c r="A79" s="2">
        <v>901.13030002501205</v>
      </c>
      <c r="B79" s="3">
        <v>0.83108635678374498</v>
      </c>
      <c r="C79" s="5">
        <v>4.7017995357236102E-14</v>
      </c>
      <c r="D79" s="6">
        <v>6.6101424222854404E-11</v>
      </c>
      <c r="E79" s="3" t="s">
        <v>220</v>
      </c>
      <c r="F79" s="3" t="s">
        <v>221</v>
      </c>
      <c r="G79" s="3">
        <v>210789</v>
      </c>
      <c r="H79" s="7" t="str">
        <f>HYPERLINK("http://www.ensembl.org/Mus_musculus/Gene/Summary?db=core;g=ENSMUSG00000033083","ENSMUSG00000033083")</f>
        <v>ENSMUSG00000033083</v>
      </c>
      <c r="I79" s="7" t="str">
        <f>HYPERLINK("http://www.informatics.jax.org/marker/MGI:2429660","MGI:2429660")</f>
        <v>MGI:2429660</v>
      </c>
      <c r="J79" s="4" t="s">
        <v>12</v>
      </c>
    </row>
    <row r="80" spans="1:10" x14ac:dyDescent="0.25">
      <c r="A80" s="2">
        <v>179.50152031768201</v>
      </c>
      <c r="B80" s="3">
        <v>0.82629476536848401</v>
      </c>
      <c r="C80" s="5">
        <v>2.7570920449415798E-6</v>
      </c>
      <c r="D80" s="4">
        <v>1.6494156505030799E-4</v>
      </c>
      <c r="E80" s="3" t="s">
        <v>1158</v>
      </c>
      <c r="F80" s="3" t="s">
        <v>1159</v>
      </c>
      <c r="G80" s="3">
        <v>229715</v>
      </c>
      <c r="H80" s="7" t="str">
        <f>HYPERLINK("http://www.ensembl.org/Mus_musculus/Gene/Summary?db=core;g=ENSMUSG00000050947","ENSMUSG00000050947")</f>
        <v>ENSMUSG00000050947</v>
      </c>
      <c r="I80" s="7" t="str">
        <f>HYPERLINK("http://www.informatics.jax.org/marker/MGI:2653612","MGI:2653612")</f>
        <v>MGI:2653612</v>
      </c>
      <c r="J80" s="4" t="s">
        <v>12</v>
      </c>
    </row>
    <row r="81" spans="1:10" x14ac:dyDescent="0.25">
      <c r="A81" s="2">
        <v>1457.53956074895</v>
      </c>
      <c r="B81" s="3">
        <v>0.82403332257657802</v>
      </c>
      <c r="C81" s="5">
        <v>2.7995538419342699E-5</v>
      </c>
      <c r="D81" s="4">
        <v>1.04955273534116E-3</v>
      </c>
      <c r="E81" s="3" t="s">
        <v>1722</v>
      </c>
      <c r="F81" s="3" t="s">
        <v>1723</v>
      </c>
      <c r="G81" s="3">
        <v>16565</v>
      </c>
      <c r="H81" s="7" t="str">
        <f>HYPERLINK("http://www.ensembl.org/Mus_musculus/Gene/Summary?db=core;g=ENSMUSG00000041642","ENSMUSG00000041642")</f>
        <v>ENSMUSG00000041642</v>
      </c>
      <c r="I81" s="7" t="str">
        <f>HYPERLINK("http://www.informatics.jax.org/marker/MGI:109234","MGI:109234")</f>
        <v>MGI:109234</v>
      </c>
      <c r="J81" s="4" t="s">
        <v>12</v>
      </c>
    </row>
    <row r="82" spans="1:10" x14ac:dyDescent="0.25">
      <c r="A82" s="2">
        <v>132.128935972216</v>
      </c>
      <c r="B82" s="3">
        <v>0.81795584093025997</v>
      </c>
      <c r="C82" s="5">
        <v>3.5160494663295502E-5</v>
      </c>
      <c r="D82" s="4">
        <v>1.25363343573152E-3</v>
      </c>
      <c r="E82" s="3" t="s">
        <v>1254</v>
      </c>
      <c r="F82" s="3" t="s">
        <v>1255</v>
      </c>
      <c r="G82" s="3">
        <v>67477</v>
      </c>
      <c r="H82" s="7" t="str">
        <f>HYPERLINK("http://www.ensembl.org/Mus_musculus/Gene/Summary?db=core;g=ENSMUSG00000000686","ENSMUSG00000000686")</f>
        <v>ENSMUSG00000000686</v>
      </c>
      <c r="I82" s="7" t="str">
        <f>HYPERLINK("http://www.informatics.jax.org/marker/MGI:1914727","MGI:1914727")</f>
        <v>MGI:1914727</v>
      </c>
      <c r="J82" s="4" t="s">
        <v>12</v>
      </c>
    </row>
    <row r="83" spans="1:10" x14ac:dyDescent="0.25">
      <c r="A83" s="2">
        <v>158.422845879557</v>
      </c>
      <c r="B83" s="3">
        <v>0.81578507754976004</v>
      </c>
      <c r="C83" s="3">
        <v>3.08079975712536E-4</v>
      </c>
      <c r="D83" s="4">
        <v>6.6891418664843504E-3</v>
      </c>
      <c r="E83" s="3" t="s">
        <v>1658</v>
      </c>
      <c r="F83" s="3" t="s">
        <v>1659</v>
      </c>
      <c r="G83" s="3">
        <v>212398</v>
      </c>
      <c r="H83" s="7" t="str">
        <f>HYPERLINK("http://www.ensembl.org/Mus_musculus/Gene/Summary?db=core;g=ENSMUSG00000047604","ENSMUSG00000047604")</f>
        <v>ENSMUSG00000047604</v>
      </c>
      <c r="I83" s="7" t="str">
        <f>HYPERLINK("http://www.informatics.jax.org/marker/MGI:2673967","MGI:2673967")</f>
        <v>MGI:2673967</v>
      </c>
      <c r="J83" s="4" t="s">
        <v>12</v>
      </c>
    </row>
    <row r="84" spans="1:10" x14ac:dyDescent="0.25">
      <c r="A84" s="2">
        <v>68.405043455513805</v>
      </c>
      <c r="B84" s="3">
        <v>0.81426508860843205</v>
      </c>
      <c r="C84" s="3">
        <v>2.7907676846205301E-4</v>
      </c>
      <c r="D84" s="4">
        <v>6.2277309819299799E-3</v>
      </c>
      <c r="E84" s="3" t="s">
        <v>2235</v>
      </c>
      <c r="F84" s="3" t="s">
        <v>2236</v>
      </c>
      <c r="G84" s="3">
        <v>68318</v>
      </c>
      <c r="H84" s="7" t="str">
        <f>HYPERLINK("http://www.ensembl.org/Mus_musculus/Gene/Summary?db=core;g=ENSMUSG00000053040","ENSMUSG00000053040")</f>
        <v>ENSMUSG00000053040</v>
      </c>
      <c r="I84" s="7" t="str">
        <f>HYPERLINK("http://www.informatics.jax.org/marker/MGI:1915568","MGI:1915568")</f>
        <v>MGI:1915568</v>
      </c>
      <c r="J84" s="4" t="s">
        <v>12</v>
      </c>
    </row>
    <row r="85" spans="1:10" x14ac:dyDescent="0.25">
      <c r="A85" s="2">
        <v>1108.62698172453</v>
      </c>
      <c r="B85" s="3">
        <v>0.81297455001628804</v>
      </c>
      <c r="C85" s="5">
        <v>3.1270861650996102E-13</v>
      </c>
      <c r="D85" s="6">
        <v>3.5170338098875401E-10</v>
      </c>
      <c r="E85" s="3" t="s">
        <v>890</v>
      </c>
      <c r="F85" s="3" t="s">
        <v>891</v>
      </c>
      <c r="G85" s="3">
        <v>76843</v>
      </c>
      <c r="H85" s="7" t="str">
        <f>HYPERLINK("http://www.ensembl.org/Mus_musculus/Gene/Summary?db=core;g=ENSMUSG00000037474","ENSMUSG00000037474")</f>
        <v>ENSMUSG00000037474</v>
      </c>
      <c r="I85" s="7" t="str">
        <f>HYPERLINK("http://www.informatics.jax.org/marker/MGI:1924093","MGI:1924093")</f>
        <v>MGI:1924093</v>
      </c>
      <c r="J85" s="4" t="s">
        <v>12</v>
      </c>
    </row>
    <row r="86" spans="1:10" x14ac:dyDescent="0.25">
      <c r="A86" s="2">
        <v>513.03102678580603</v>
      </c>
      <c r="B86" s="3">
        <v>0.81213733869040905</v>
      </c>
      <c r="C86" s="5">
        <v>7.7176189824314607E-9</v>
      </c>
      <c r="D86" s="6">
        <v>1.4711874694136701E-6</v>
      </c>
      <c r="E86" s="3" t="s">
        <v>1192</v>
      </c>
      <c r="F86" s="3" t="s">
        <v>1193</v>
      </c>
      <c r="G86" s="3">
        <v>241627</v>
      </c>
      <c r="H86" s="7" t="str">
        <f>HYPERLINK("http://www.ensembl.org/Mus_musculus/Gene/Summary?db=core;g=ENSMUSG00000027242","ENSMUSG00000027242")</f>
        <v>ENSMUSG00000027242</v>
      </c>
      <c r="I86" s="7" t="str">
        <f>HYPERLINK("http://www.informatics.jax.org/marker/MGI:1926186","MGI:1926186")</f>
        <v>MGI:1926186</v>
      </c>
      <c r="J86" s="4" t="s">
        <v>12</v>
      </c>
    </row>
    <row r="87" spans="1:10" x14ac:dyDescent="0.25">
      <c r="A87" s="2">
        <v>80.290756152546393</v>
      </c>
      <c r="B87" s="3">
        <v>0.80265817259481098</v>
      </c>
      <c r="C87" s="3">
        <v>6.2547249163441598E-4</v>
      </c>
      <c r="D87" s="4">
        <v>1.1346272763568199E-2</v>
      </c>
      <c r="E87" s="3" t="s">
        <v>4233</v>
      </c>
      <c r="F87" s="3" t="s">
        <v>4234</v>
      </c>
      <c r="G87" s="3">
        <v>67893</v>
      </c>
      <c r="H87" s="7" t="str">
        <f>HYPERLINK("http://www.ensembl.org/Mus_musculus/Gene/Summary?db=core;g=ENSMUSG00000010307","ENSMUSG00000010307")</f>
        <v>ENSMUSG00000010307</v>
      </c>
      <c r="I87" s="7" t="str">
        <f>HYPERLINK("http://www.informatics.jax.org/marker/MGI:1915143","MGI:1915143")</f>
        <v>MGI:1915143</v>
      </c>
      <c r="J87" s="4" t="s">
        <v>12</v>
      </c>
    </row>
    <row r="88" spans="1:10" x14ac:dyDescent="0.25">
      <c r="A88" s="2">
        <v>216.48816568003201</v>
      </c>
      <c r="B88" s="3">
        <v>0.80116233863943398</v>
      </c>
      <c r="C88" s="5">
        <v>7.0337038404848201E-6</v>
      </c>
      <c r="D88" s="4">
        <v>3.5795505472367798E-4</v>
      </c>
      <c r="E88" s="3" t="s">
        <v>2015</v>
      </c>
      <c r="F88" s="3" t="s">
        <v>2016</v>
      </c>
      <c r="G88" s="3">
        <v>72500</v>
      </c>
      <c r="H88" s="7" t="str">
        <f>HYPERLINK("http://www.ensembl.org/Mus_musculus/Gene/Summary?db=core;g=ENSMUSG00000089762","ENSMUSG00000089762")</f>
        <v>ENSMUSG00000089762</v>
      </c>
      <c r="I88" s="7" t="str">
        <f>HYPERLINK("http://www.informatics.jax.org/marker/MGI:1919750","MGI:1919750")</f>
        <v>MGI:1919750</v>
      </c>
      <c r="J88" s="4" t="s">
        <v>12</v>
      </c>
    </row>
    <row r="89" spans="1:10" x14ac:dyDescent="0.25">
      <c r="A89" s="2">
        <v>247.297358315049</v>
      </c>
      <c r="B89" s="3">
        <v>0.79624699307972202</v>
      </c>
      <c r="C89" s="3">
        <v>7.4071394452631398E-4</v>
      </c>
      <c r="D89" s="4">
        <v>1.26790268008754E-2</v>
      </c>
      <c r="E89" s="3" t="s">
        <v>4933</v>
      </c>
      <c r="F89" s="3" t="s">
        <v>4934</v>
      </c>
      <c r="G89" s="3">
        <v>12416</v>
      </c>
      <c r="H89" s="7" t="str">
        <f>HYPERLINK("http://www.ensembl.org/Mus_musculus/Gene/Summary?db=core;g=ENSMUSG00000025577","ENSMUSG00000025577")</f>
        <v>ENSMUSG00000025577</v>
      </c>
      <c r="I89" s="7" t="str">
        <f>HYPERLINK("http://www.informatics.jax.org/marker/MGI:88289","MGI:88289")</f>
        <v>MGI:88289</v>
      </c>
      <c r="J89" s="4" t="s">
        <v>12</v>
      </c>
    </row>
    <row r="90" spans="1:10" x14ac:dyDescent="0.25">
      <c r="A90" s="2">
        <v>299.09968919293402</v>
      </c>
      <c r="B90" s="3">
        <v>0.79483255423306998</v>
      </c>
      <c r="C90" s="5">
        <v>6.8417505801573697E-8</v>
      </c>
      <c r="D90" s="6">
        <v>8.6459740196662793E-6</v>
      </c>
      <c r="E90" s="3" t="s">
        <v>1033</v>
      </c>
      <c r="F90" s="3" t="s">
        <v>1034</v>
      </c>
      <c r="G90" s="3">
        <v>94218</v>
      </c>
      <c r="H90" s="7" t="str">
        <f>HYPERLINK("http://www.ensembl.org/Mus_musculus/Gene/Summary?db=core;g=ENSMUSG00000001138","ENSMUSG00000001138")</f>
        <v>ENSMUSG00000001138</v>
      </c>
      <c r="I90" s="7" t="str">
        <f>HYPERLINK("http://www.informatics.jax.org/marker/MGI:2151055","MGI:2151055")</f>
        <v>MGI:2151055</v>
      </c>
      <c r="J90" s="4" t="s">
        <v>12</v>
      </c>
    </row>
    <row r="91" spans="1:10" x14ac:dyDescent="0.25">
      <c r="A91" s="2">
        <v>119.461324704934</v>
      </c>
      <c r="B91" s="3">
        <v>0.79349685177349205</v>
      </c>
      <c r="C91" s="5">
        <v>9.7201435850536607E-6</v>
      </c>
      <c r="D91" s="4">
        <v>4.65201935749355E-4</v>
      </c>
      <c r="E91" s="3" t="s">
        <v>1396</v>
      </c>
      <c r="F91" s="3" t="s">
        <v>1397</v>
      </c>
      <c r="G91" s="3">
        <v>230603</v>
      </c>
      <c r="H91" s="7" t="str">
        <f>HYPERLINK("http://www.ensembl.org/Mus_musculus/Gene/Summary?db=core;g=ENSMUSG00000028555","ENSMUSG00000028555")</f>
        <v>ENSMUSG00000028555</v>
      </c>
      <c r="I91" s="7" t="str">
        <f>HYPERLINK("http://www.informatics.jax.org/marker/MGI:2444350","MGI:2444350")</f>
        <v>MGI:2444350</v>
      </c>
      <c r="J91" s="4" t="s">
        <v>12</v>
      </c>
    </row>
    <row r="92" spans="1:10" x14ac:dyDescent="0.25">
      <c r="A92" s="2">
        <v>69.152771589735295</v>
      </c>
      <c r="B92" s="3">
        <v>0.79240983225766004</v>
      </c>
      <c r="C92" s="3">
        <v>4.6032331583287303E-3</v>
      </c>
      <c r="D92" s="4">
        <v>4.9871432696979398E-2</v>
      </c>
      <c r="E92" s="3" t="s">
        <v>5843</v>
      </c>
      <c r="F92" s="3" t="s">
        <v>5844</v>
      </c>
      <c r="G92" s="3">
        <v>272347</v>
      </c>
      <c r="H92" s="7" t="str">
        <f>HYPERLINK("http://www.ensembl.org/Mus_musculus/Gene/Summary?db=core;g=ENSMUSG00000062519","ENSMUSG00000062519")</f>
        <v>ENSMUSG00000062519</v>
      </c>
      <c r="I92" s="7" t="str">
        <f>HYPERLINK("http://www.informatics.jax.org/marker/MGI:1917856","MGI:1917856")</f>
        <v>MGI:1917856</v>
      </c>
      <c r="J92" s="4" t="s">
        <v>12</v>
      </c>
    </row>
    <row r="93" spans="1:10" x14ac:dyDescent="0.25">
      <c r="A93" s="2">
        <v>75.686658860302103</v>
      </c>
      <c r="B93" s="3">
        <v>0.78852907229017699</v>
      </c>
      <c r="C93" s="3">
        <v>1.1196365403220001E-3</v>
      </c>
      <c r="D93" s="4">
        <v>1.7369037474484799E-2</v>
      </c>
      <c r="E93" s="3" t="s">
        <v>2455</v>
      </c>
      <c r="F93" s="3" t="s">
        <v>2456</v>
      </c>
      <c r="G93" s="3">
        <v>227094</v>
      </c>
      <c r="H93" s="7" t="str">
        <f>HYPERLINK("http://www.ensembl.org/Mus_musculus/Gene/Summary?db=core;g=ENSMUSG00000043015","ENSMUSG00000043015")</f>
        <v>ENSMUSG00000043015</v>
      </c>
      <c r="I93" s="7" t="str">
        <f>HYPERLINK("http://www.informatics.jax.org/marker/MGI:2444113","MGI:2444113")</f>
        <v>MGI:2444113</v>
      </c>
      <c r="J93" s="4" t="s">
        <v>12</v>
      </c>
    </row>
    <row r="94" spans="1:10" x14ac:dyDescent="0.25">
      <c r="A94" s="2">
        <v>125.007216058986</v>
      </c>
      <c r="B94" s="3">
        <v>0.78688858898218295</v>
      </c>
      <c r="C94" s="5">
        <v>7.4815071108161901E-5</v>
      </c>
      <c r="D94" s="4">
        <v>2.1630979556645199E-3</v>
      </c>
      <c r="E94" s="3" t="s">
        <v>3546</v>
      </c>
      <c r="F94" s="3" t="s">
        <v>3547</v>
      </c>
      <c r="G94" s="3">
        <v>17082</v>
      </c>
      <c r="H94" s="7" t="str">
        <f>HYPERLINK("http://www.ensembl.org/Mus_musculus/Gene/Summary?db=core;g=ENSMUSG00000026069","ENSMUSG00000026069")</f>
        <v>ENSMUSG00000026069</v>
      </c>
      <c r="I94" s="7" t="str">
        <f>HYPERLINK("http://www.informatics.jax.org/marker/MGI:98427","MGI:98427")</f>
        <v>MGI:98427</v>
      </c>
      <c r="J94" s="4" t="s">
        <v>12</v>
      </c>
    </row>
    <row r="95" spans="1:10" x14ac:dyDescent="0.25">
      <c r="A95" s="2">
        <v>650.58387838142005</v>
      </c>
      <c r="B95" s="3">
        <v>0.785260642176418</v>
      </c>
      <c r="C95" s="5">
        <v>1.2125876488175001E-8</v>
      </c>
      <c r="D95" s="6">
        <v>2.23573332561483E-6</v>
      </c>
      <c r="E95" s="3" t="s">
        <v>600</v>
      </c>
      <c r="F95" s="3" t="s">
        <v>601</v>
      </c>
      <c r="G95" s="3">
        <v>58235</v>
      </c>
      <c r="H95" s="7" t="str">
        <f>HYPERLINK("http://www.ensembl.org/Mus_musculus/Gene/Summary?db=core;g=ENSMUSG00000032012","ENSMUSG00000032012")</f>
        <v>ENSMUSG00000032012</v>
      </c>
      <c r="I95" s="7" t="str">
        <f>HYPERLINK("http://www.informatics.jax.org/marker/MGI:1926483","MGI:1926483")</f>
        <v>MGI:1926483</v>
      </c>
      <c r="J95" s="4" t="s">
        <v>12</v>
      </c>
    </row>
    <row r="96" spans="1:10" x14ac:dyDescent="0.25">
      <c r="A96" s="2">
        <v>405.33506774735298</v>
      </c>
      <c r="B96" s="3">
        <v>0.77971958148708398</v>
      </c>
      <c r="C96" s="5">
        <v>5.0953966622005805E-7</v>
      </c>
      <c r="D96" s="6">
        <v>4.3415095651340903E-5</v>
      </c>
      <c r="E96" s="3" t="s">
        <v>746</v>
      </c>
      <c r="F96" s="3" t="s">
        <v>747</v>
      </c>
      <c r="G96" s="3">
        <v>106618</v>
      </c>
      <c r="H96" s="7" t="str">
        <f>HYPERLINK("http://www.ensembl.org/Mus_musculus/Gene/Summary?db=core;g=ENSMUSG00000073434","ENSMUSG00000073434")</f>
        <v>ENSMUSG00000073434</v>
      </c>
      <c r="I96" s="7" t="str">
        <f>HYPERLINK("http://www.informatics.jax.org/marker/MGI:1921267","MGI:1921267")</f>
        <v>MGI:1921267</v>
      </c>
      <c r="J96" s="4" t="s">
        <v>12</v>
      </c>
    </row>
    <row r="97" spans="1:10" x14ac:dyDescent="0.25">
      <c r="A97" s="2">
        <v>247.39082436912199</v>
      </c>
      <c r="B97" s="3">
        <v>0.77631045640174601</v>
      </c>
      <c r="C97" s="5">
        <v>1.5424128685542799E-5</v>
      </c>
      <c r="D97" s="4">
        <v>6.6465584416207E-4</v>
      </c>
      <c r="E97" s="3" t="s">
        <v>3646</v>
      </c>
      <c r="F97" s="3" t="s">
        <v>3647</v>
      </c>
      <c r="G97" s="3">
        <v>71643</v>
      </c>
      <c r="H97" s="7" t="str">
        <f>HYPERLINK("http://www.ensembl.org/Mus_musculus/Gene/Summary?db=core;g=ENSMUSG00000051278","ENSMUSG00000051278")</f>
        <v>ENSMUSG00000051278</v>
      </c>
      <c r="I97" s="7" t="str">
        <f>HYPERLINK("http://www.informatics.jax.org/marker/MGI:1918893","MGI:1918893")</f>
        <v>MGI:1918893</v>
      </c>
      <c r="J97" s="4" t="s">
        <v>12</v>
      </c>
    </row>
    <row r="98" spans="1:10" x14ac:dyDescent="0.25">
      <c r="A98" s="2">
        <v>610.63414237143002</v>
      </c>
      <c r="B98" s="3">
        <v>0.77269466294571598</v>
      </c>
      <c r="C98" s="5">
        <v>2.0782783709690801E-11</v>
      </c>
      <c r="D98" s="6">
        <v>1.0624725835585999E-8</v>
      </c>
      <c r="E98" s="3" t="s">
        <v>985</v>
      </c>
      <c r="F98" s="3" t="s">
        <v>986</v>
      </c>
      <c r="G98" s="3">
        <v>237877</v>
      </c>
      <c r="H98" s="7" t="str">
        <f>HYPERLINK("http://www.ensembl.org/Mus_musculus/Gene/Summary?db=core;g=ENSMUSG00000017550","ENSMUSG00000017550")</f>
        <v>ENSMUSG00000017550</v>
      </c>
      <c r="I98" s="7" t="str">
        <f>HYPERLINK("http://www.informatics.jax.org/marker/MGI:2442925","MGI:2442925")</f>
        <v>MGI:2442925</v>
      </c>
      <c r="J98" s="4" t="s">
        <v>12</v>
      </c>
    </row>
    <row r="99" spans="1:10" x14ac:dyDescent="0.25">
      <c r="A99" s="2">
        <v>578.01625070945499</v>
      </c>
      <c r="B99" s="3">
        <v>0.77193574320250902</v>
      </c>
      <c r="C99" s="3">
        <v>4.27468252959417E-4</v>
      </c>
      <c r="D99" s="4">
        <v>8.47925121875584E-3</v>
      </c>
      <c r="E99" s="3" t="s">
        <v>1426</v>
      </c>
      <c r="F99" s="3" t="s">
        <v>1427</v>
      </c>
      <c r="G99" s="3">
        <v>74048</v>
      </c>
      <c r="H99" s="7" t="str">
        <f>HYPERLINK("http://www.ensembl.org/Mus_musculus/Gene/Summary?db=core;g=ENSMUSG00000020101","ENSMUSG00000020101")</f>
        <v>ENSMUSG00000020101</v>
      </c>
      <c r="I99" s="7" t="str">
        <f>HYPERLINK("http://www.informatics.jax.org/marker/MGI:1921298","MGI:1921298")</f>
        <v>MGI:1921298</v>
      </c>
      <c r="J99" s="4" t="s">
        <v>12</v>
      </c>
    </row>
    <row r="100" spans="1:10" x14ac:dyDescent="0.25">
      <c r="A100" s="2">
        <v>911.67861543089703</v>
      </c>
      <c r="B100" s="3">
        <v>0.77167251230463096</v>
      </c>
      <c r="C100" s="5">
        <v>2.99272201420085E-16</v>
      </c>
      <c r="D100" s="6">
        <v>1.1219714831239001E-12</v>
      </c>
      <c r="E100" s="3" t="s">
        <v>160</v>
      </c>
      <c r="F100" s="3" t="s">
        <v>161</v>
      </c>
      <c r="G100" s="3">
        <v>17685</v>
      </c>
      <c r="H100" s="7" t="str">
        <f>HYPERLINK("http://www.ensembl.org/Mus_musculus/Gene/Summary?db=core;g=ENSMUSG00000024151","ENSMUSG00000024151")</f>
        <v>ENSMUSG00000024151</v>
      </c>
      <c r="I100" s="7" t="str">
        <f>HYPERLINK("http://www.informatics.jax.org/marker/MGI:101816","MGI:101816")</f>
        <v>MGI:101816</v>
      </c>
      <c r="J100" s="4" t="s">
        <v>12</v>
      </c>
    </row>
    <row r="101" spans="1:10" x14ac:dyDescent="0.25">
      <c r="A101" s="2">
        <v>569.05955208476303</v>
      </c>
      <c r="B101" s="3">
        <v>0.77161906702183303</v>
      </c>
      <c r="C101" s="5">
        <v>1.85471058548421E-6</v>
      </c>
      <c r="D101" s="4">
        <v>1.19622908429238E-4</v>
      </c>
      <c r="E101" s="3" t="s">
        <v>1903</v>
      </c>
      <c r="F101" s="3" t="s">
        <v>1904</v>
      </c>
      <c r="G101" s="3">
        <v>77777</v>
      </c>
      <c r="H101" s="7" t="str">
        <f>HYPERLINK("http://www.ensembl.org/Mus_musculus/Gene/Summary?db=core;g=ENSMUSG00000079685","ENSMUSG00000079685")</f>
        <v>ENSMUSG00000079685</v>
      </c>
      <c r="I101" s="7" t="str">
        <f>HYPERLINK("http://www.informatics.jax.org/marker/MGI:1925027","MGI:1925027")</f>
        <v>MGI:1925027</v>
      </c>
      <c r="J101" s="4" t="s">
        <v>12</v>
      </c>
    </row>
    <row r="102" spans="1:10" x14ac:dyDescent="0.25">
      <c r="A102" s="2">
        <v>128.960568896816</v>
      </c>
      <c r="B102" s="3">
        <v>0.77111924758292705</v>
      </c>
      <c r="C102" s="5">
        <v>4.8112216326087702E-5</v>
      </c>
      <c r="D102" s="4">
        <v>1.60094111544233E-3</v>
      </c>
      <c r="E102" s="3" t="s">
        <v>2591</v>
      </c>
      <c r="F102" s="3" t="s">
        <v>2592</v>
      </c>
      <c r="G102" s="3">
        <v>72107</v>
      </c>
      <c r="H102" s="7" t="str">
        <f>HYPERLINK("http://www.ensembl.org/Mus_musculus/Gene/Summary?db=core;g=ENSMUSG00000022422","ENSMUSG00000022422")</f>
        <v>ENSMUSG00000022422</v>
      </c>
      <c r="I102" s="7" t="str">
        <f>HYPERLINK("http://www.informatics.jax.org/marker/MGI:1919357","MGI:1919357")</f>
        <v>MGI:1919357</v>
      </c>
      <c r="J102" s="4" t="s">
        <v>12</v>
      </c>
    </row>
    <row r="103" spans="1:10" x14ac:dyDescent="0.25">
      <c r="A103" s="2">
        <v>420.919587933412</v>
      </c>
      <c r="B103" s="3">
        <v>0.766083064994041</v>
      </c>
      <c r="C103" s="3">
        <v>1.1581493906309399E-4</v>
      </c>
      <c r="D103" s="4">
        <v>3.0013147918032598E-3</v>
      </c>
      <c r="E103" s="3" t="s">
        <v>4811</v>
      </c>
      <c r="F103" s="3" t="s">
        <v>4812</v>
      </c>
      <c r="G103" s="3">
        <v>72324</v>
      </c>
      <c r="H103" s="7" t="str">
        <f>HYPERLINK("http://www.ensembl.org/Mus_musculus/Gene/Summary?db=core;g=ENSMUSG00000017417","ENSMUSG00000017417")</f>
        <v>ENSMUSG00000017417</v>
      </c>
      <c r="I103" s="7" t="str">
        <f>HYPERLINK("http://www.informatics.jax.org/marker/MGI:1919574","MGI:1919574")</f>
        <v>MGI:1919574</v>
      </c>
      <c r="J103" s="4" t="s">
        <v>12</v>
      </c>
    </row>
    <row r="104" spans="1:10" x14ac:dyDescent="0.25">
      <c r="A104" s="2">
        <v>513.03491310221602</v>
      </c>
      <c r="B104" s="3">
        <v>0.76606162335013805</v>
      </c>
      <c r="C104" s="5">
        <v>1.3534759181665599E-7</v>
      </c>
      <c r="D104" s="6">
        <v>1.5533207807774801E-5</v>
      </c>
      <c r="E104" s="3" t="s">
        <v>386</v>
      </c>
      <c r="F104" s="3" t="s">
        <v>387</v>
      </c>
      <c r="G104" s="3">
        <v>52468</v>
      </c>
      <c r="H104" s="7" t="str">
        <f>HYPERLINK("http://www.ensembl.org/Mus_musculus/Gene/Summary?db=core;g=ENSMUSG00000078429","ENSMUSG00000078429")</f>
        <v>ENSMUSG00000078429</v>
      </c>
      <c r="I104" s="7" t="str">
        <f>HYPERLINK("http://www.informatics.jax.org/marker/MGI:1098748","MGI:1098748")</f>
        <v>MGI:1098748</v>
      </c>
      <c r="J104" s="4" t="s">
        <v>12</v>
      </c>
    </row>
    <row r="105" spans="1:10" x14ac:dyDescent="0.25">
      <c r="A105" s="2">
        <v>115.599943065506</v>
      </c>
      <c r="B105" s="3">
        <v>0.76556373974265102</v>
      </c>
      <c r="C105" s="5">
        <v>1.74068898082053E-5</v>
      </c>
      <c r="D105" s="4">
        <v>7.2778918094009402E-4</v>
      </c>
      <c r="E105" s="3" t="s">
        <v>4185</v>
      </c>
      <c r="F105" s="3" t="s">
        <v>4186</v>
      </c>
      <c r="G105" s="3">
        <v>74166</v>
      </c>
      <c r="H105" s="7" t="str">
        <f>HYPERLINK("http://www.ensembl.org/Mus_musculus/Gene/Summary?db=core;g=ENSMUSG00000031791","ENSMUSG00000031791")</f>
        <v>ENSMUSG00000031791</v>
      </c>
      <c r="I105" s="7" t="str">
        <f>HYPERLINK("http://www.informatics.jax.org/marker/MGI:1921416","MGI:1921416")</f>
        <v>MGI:1921416</v>
      </c>
      <c r="J105" s="4" t="s">
        <v>12</v>
      </c>
    </row>
    <row r="106" spans="1:10" x14ac:dyDescent="0.25">
      <c r="A106" s="2">
        <v>851.48110930136102</v>
      </c>
      <c r="B106" s="3">
        <v>0.76495929919135197</v>
      </c>
      <c r="C106" s="5">
        <v>6.0157357771291301E-12</v>
      </c>
      <c r="D106" s="6">
        <v>3.97994001678655E-9</v>
      </c>
      <c r="E106" s="3" t="s">
        <v>830</v>
      </c>
      <c r="F106" s="3" t="s">
        <v>831</v>
      </c>
      <c r="G106" s="3">
        <v>213988</v>
      </c>
      <c r="H106" s="7" t="str">
        <f>HYPERLINK("http://www.ensembl.org/Mus_musculus/Gene/Summary?db=core;g=ENSMUSG00000047888","ENSMUSG00000047888")</f>
        <v>ENSMUSG00000047888</v>
      </c>
      <c r="I106" s="7" t="str">
        <f>HYPERLINK("http://www.informatics.jax.org/marker/MGI:2443730","MGI:2443730")</f>
        <v>MGI:2443730</v>
      </c>
      <c r="J106" s="4" t="s">
        <v>12</v>
      </c>
    </row>
    <row r="107" spans="1:10" x14ac:dyDescent="0.25">
      <c r="A107" s="2">
        <v>970.67566937297204</v>
      </c>
      <c r="B107" s="3">
        <v>0.76447707394807196</v>
      </c>
      <c r="C107" s="5">
        <v>8.6958096529464103E-7</v>
      </c>
      <c r="D107" s="6">
        <v>6.7449497356336804E-5</v>
      </c>
      <c r="E107" s="3" t="s">
        <v>1622</v>
      </c>
      <c r="F107" s="3" t="s">
        <v>1623</v>
      </c>
      <c r="G107" s="3">
        <v>108961</v>
      </c>
      <c r="H107" s="7" t="str">
        <f>HYPERLINK("http://www.ensembl.org/Mus_musculus/Gene/Summary?db=core;g=ENSMUSG00000046179","ENSMUSG00000046179")</f>
        <v>ENSMUSG00000046179</v>
      </c>
      <c r="I107" s="7" t="str">
        <f>HYPERLINK("http://www.informatics.jax.org/marker/MGI:1922038","MGI:1922038")</f>
        <v>MGI:1922038</v>
      </c>
      <c r="J107" s="4" t="s">
        <v>12</v>
      </c>
    </row>
    <row r="108" spans="1:10" x14ac:dyDescent="0.25">
      <c r="A108" s="2">
        <v>735.75409770067097</v>
      </c>
      <c r="B108" s="3">
        <v>0.76092602281962995</v>
      </c>
      <c r="C108" s="5">
        <v>8.6612322807898699E-10</v>
      </c>
      <c r="D108" s="6">
        <v>2.8650846900601102E-7</v>
      </c>
      <c r="E108" s="3" t="s">
        <v>172</v>
      </c>
      <c r="F108" s="3" t="s">
        <v>173</v>
      </c>
      <c r="G108" s="3">
        <v>243219</v>
      </c>
      <c r="H108" s="7" t="str">
        <f>HYPERLINK("http://www.ensembl.org/Mus_musculus/Gene/Summary?db=core;g=ENSMUSG00000051339","ENSMUSG00000051339")</f>
        <v>ENSMUSG00000051339</v>
      </c>
      <c r="I108" s="7" t="str">
        <f>HYPERLINK("http://www.informatics.jax.org/marker/MGI:1920194","MGI:1920194")</f>
        <v>MGI:1920194</v>
      </c>
      <c r="J108" s="4" t="s">
        <v>12</v>
      </c>
    </row>
    <row r="109" spans="1:10" x14ac:dyDescent="0.25">
      <c r="A109" s="2">
        <v>98.644373146874898</v>
      </c>
      <c r="B109" s="3">
        <v>0.75821762259421499</v>
      </c>
      <c r="C109" s="5">
        <v>1.18451159653381E-5</v>
      </c>
      <c r="D109" s="4">
        <v>5.3936040187108395E-4</v>
      </c>
      <c r="E109" s="3" t="s">
        <v>2435</v>
      </c>
      <c r="F109" s="3" t="s">
        <v>2436</v>
      </c>
      <c r="G109" s="3">
        <v>17193</v>
      </c>
      <c r="H109" s="7" t="str">
        <f>HYPERLINK("http://www.ensembl.org/Mus_musculus/Gene/Summary?db=core;g=ENSMUSG00000030322","ENSMUSG00000030322")</f>
        <v>ENSMUSG00000030322</v>
      </c>
      <c r="I109" s="7" t="str">
        <f>HYPERLINK("http://www.informatics.jax.org/marker/MGI:1333850","MGI:1333850")</f>
        <v>MGI:1333850</v>
      </c>
      <c r="J109" s="4" t="s">
        <v>12</v>
      </c>
    </row>
    <row r="110" spans="1:10" x14ac:dyDescent="0.25">
      <c r="A110" s="2">
        <v>46.202574619828802</v>
      </c>
      <c r="B110" s="3">
        <v>0.75814725749926604</v>
      </c>
      <c r="C110" s="3">
        <v>3.6816412078210098E-3</v>
      </c>
      <c r="D110" s="4">
        <v>4.2818961936099603E-2</v>
      </c>
      <c r="E110" s="3" t="s">
        <v>5619</v>
      </c>
      <c r="F110" s="3" t="s">
        <v>5620</v>
      </c>
      <c r="G110" s="3">
        <v>100503583</v>
      </c>
      <c r="H110" s="7" t="str">
        <f>HYPERLINK("http://www.ensembl.org/Mus_musculus/Gene/Summary?db=core;g=ENSMUSG00000094595","ENSMUSG00000094595")</f>
        <v>ENSMUSG00000094595</v>
      </c>
      <c r="I110" s="7" t="str">
        <f>HYPERLINK("http://www.informatics.jax.org/marker/MGI:5301008","MGI:5301008")</f>
        <v>MGI:5301008</v>
      </c>
      <c r="J110" s="4" t="s">
        <v>12</v>
      </c>
    </row>
    <row r="111" spans="1:10" x14ac:dyDescent="0.25">
      <c r="A111" s="2">
        <v>252.033010223101</v>
      </c>
      <c r="B111" s="3">
        <v>0.75582852569150805</v>
      </c>
      <c r="C111" s="5">
        <v>9.5648157300806498E-6</v>
      </c>
      <c r="D111" s="4">
        <v>4.59724284257338E-4</v>
      </c>
      <c r="E111" s="3" t="s">
        <v>806</v>
      </c>
      <c r="F111" s="3" t="s">
        <v>807</v>
      </c>
      <c r="G111" s="3">
        <v>217364</v>
      </c>
      <c r="H111" s="7" t="str">
        <f>HYPERLINK("http://www.ensembl.org/Mus_musculus/Gene/Summary?db=core;g=ENSMUSG00000033857","ENSMUSG00000033857")</f>
        <v>ENSMUSG00000033857</v>
      </c>
      <c r="I111" s="7" t="str">
        <f>HYPERLINK("http://www.informatics.jax.org/marker/MGI:2443788","MGI:2443788")</f>
        <v>MGI:2443788</v>
      </c>
      <c r="J111" s="4" t="s">
        <v>12</v>
      </c>
    </row>
    <row r="112" spans="1:10" x14ac:dyDescent="0.25">
      <c r="A112" s="2">
        <v>65.267368241912706</v>
      </c>
      <c r="B112" s="3">
        <v>0.75312080562450101</v>
      </c>
      <c r="C112" s="3">
        <v>5.27149959931493E-4</v>
      </c>
      <c r="D112" s="4">
        <v>9.9477442942105705E-3</v>
      </c>
      <c r="E112" s="3" t="s">
        <v>4435</v>
      </c>
      <c r="F112" s="3" t="s">
        <v>4436</v>
      </c>
      <c r="G112" s="3">
        <v>21778</v>
      </c>
      <c r="H112" s="7" t="str">
        <f>HYPERLINK("http://www.ensembl.org/Mus_musculus/Gene/Summary?db=core;g=ENSMUSG00000090626","ENSMUSG00000090626")</f>
        <v>ENSMUSG00000090626</v>
      </c>
      <c r="I112" s="7" t="str">
        <f>HYPERLINK("http://www.informatics.jax.org/marker/MGI:1201610","MGI:1201610")</f>
        <v>MGI:1201610</v>
      </c>
      <c r="J112" s="4" t="s">
        <v>12</v>
      </c>
    </row>
    <row r="113" spans="1:10" x14ac:dyDescent="0.25">
      <c r="A113" s="2">
        <v>748.65495382749396</v>
      </c>
      <c r="B113" s="3">
        <v>0.74990186026942296</v>
      </c>
      <c r="C113" s="5">
        <v>2.7633294302942401E-9</v>
      </c>
      <c r="D113" s="6">
        <v>6.9064813561153896E-7</v>
      </c>
      <c r="E113" s="3" t="s">
        <v>1019</v>
      </c>
      <c r="F113" s="3" t="s">
        <v>1020</v>
      </c>
      <c r="G113" s="3">
        <v>21887</v>
      </c>
      <c r="H113" s="7" t="str">
        <f>HYPERLINK("http://www.ensembl.org/Mus_musculus/Gene/Summary?db=core;g=ENSMUSG00000032280","ENSMUSG00000032280")</f>
        <v>ENSMUSG00000032280</v>
      </c>
      <c r="I113" s="7" t="str">
        <f>HYPERLINK("http://www.informatics.jax.org/marker/MGI:104634","MGI:104634")</f>
        <v>MGI:104634</v>
      </c>
      <c r="J113" s="4" t="s">
        <v>12</v>
      </c>
    </row>
    <row r="114" spans="1:10" x14ac:dyDescent="0.25">
      <c r="A114" s="2">
        <v>555.88692807043606</v>
      </c>
      <c r="B114" s="3">
        <v>0.74510291846390497</v>
      </c>
      <c r="C114" s="5">
        <v>1.4226477915442801E-6</v>
      </c>
      <c r="D114" s="6">
        <v>9.9382110009307699E-5</v>
      </c>
      <c r="E114" s="3" t="s">
        <v>2141</v>
      </c>
      <c r="F114" s="3" t="s">
        <v>2142</v>
      </c>
      <c r="G114" s="3">
        <v>12190</v>
      </c>
      <c r="H114" s="7" t="str">
        <f>HYPERLINK("http://www.ensembl.org/Mus_musculus/Gene/Summary?db=core;g=ENSMUSG00000041147","ENSMUSG00000041147")</f>
        <v>ENSMUSG00000041147</v>
      </c>
      <c r="I114" s="7" t="str">
        <f>HYPERLINK("http://www.informatics.jax.org/marker/MGI:109337","MGI:109337")</f>
        <v>MGI:109337</v>
      </c>
      <c r="J114" s="4" t="s">
        <v>12</v>
      </c>
    </row>
    <row r="115" spans="1:10" x14ac:dyDescent="0.25">
      <c r="A115" s="2">
        <v>67.507089991304795</v>
      </c>
      <c r="B115" s="3">
        <v>0.74487991953295096</v>
      </c>
      <c r="C115" s="3">
        <v>1.1843983087956901E-3</v>
      </c>
      <c r="D115" s="4">
        <v>1.8247846272637199E-2</v>
      </c>
      <c r="E115" s="3" t="s">
        <v>6788</v>
      </c>
      <c r="F115" s="3" t="s">
        <v>6789</v>
      </c>
      <c r="G115" s="3">
        <v>16351</v>
      </c>
      <c r="H115" s="7" t="str">
        <f>HYPERLINK("http://www.ensembl.org/Mus_musculus/Gene/Summary?db=core;g=ENSMUSG00000028696","ENSMUSG00000028696")</f>
        <v>ENSMUSG00000028696</v>
      </c>
      <c r="I115" s="7" t="str">
        <f>HYPERLINK("http://www.informatics.jax.org/marker/MGI:96581","MGI:96581")</f>
        <v>MGI:96581</v>
      </c>
      <c r="J115" s="4" t="s">
        <v>12</v>
      </c>
    </row>
    <row r="116" spans="1:10" x14ac:dyDescent="0.25">
      <c r="A116" s="2">
        <v>1132.1545954127901</v>
      </c>
      <c r="B116" s="3">
        <v>0.74413103507127698</v>
      </c>
      <c r="C116" s="5">
        <v>1.7943237032599801E-14</v>
      </c>
      <c r="D116" s="6">
        <v>2.9772882581946797E-11</v>
      </c>
      <c r="E116" s="3" t="s">
        <v>264</v>
      </c>
      <c r="F116" s="3" t="s">
        <v>265</v>
      </c>
      <c r="G116" s="3">
        <v>494448</v>
      </c>
      <c r="H116" s="7" t="str">
        <f>HYPERLINK("http://www.ensembl.org/Mus_musculus/Gene/Summary?db=core;g=ENSMUSG00000089715","ENSMUSG00000089715")</f>
        <v>ENSMUSG00000089715</v>
      </c>
      <c r="I116" s="7" t="str">
        <f>HYPERLINK("http://www.informatics.jax.org/marker/MGI:3512628","MGI:3512628")</f>
        <v>MGI:3512628</v>
      </c>
      <c r="J116" s="4" t="s">
        <v>12</v>
      </c>
    </row>
    <row r="117" spans="1:10" x14ac:dyDescent="0.25">
      <c r="A117" s="2">
        <v>1655.1172893588</v>
      </c>
      <c r="B117" s="3">
        <v>0.74298892447641096</v>
      </c>
      <c r="C117" s="5">
        <v>3.0003393010296501E-12</v>
      </c>
      <c r="D117" s="6">
        <v>2.4103440084771701E-9</v>
      </c>
      <c r="E117" s="3" t="s">
        <v>418</v>
      </c>
      <c r="F117" s="3" t="s">
        <v>419</v>
      </c>
      <c r="G117" s="3">
        <v>17688</v>
      </c>
      <c r="H117" s="7" t="str">
        <f>HYPERLINK("http://www.ensembl.org/Mus_musculus/Gene/Summary?db=core;g=ENSMUSG00000005370","ENSMUSG00000005370")</f>
        <v>ENSMUSG00000005370</v>
      </c>
      <c r="I117" s="7" t="str">
        <f>HYPERLINK("http://www.informatics.jax.org/marker/MGI:1343961","MGI:1343961")</f>
        <v>MGI:1343961</v>
      </c>
      <c r="J117" s="4" t="s">
        <v>12</v>
      </c>
    </row>
    <row r="118" spans="1:10" x14ac:dyDescent="0.25">
      <c r="A118" s="2">
        <v>380.13350472446399</v>
      </c>
      <c r="B118" s="3">
        <v>0.74088553183296102</v>
      </c>
      <c r="C118" s="5">
        <v>3.0650586512007302E-9</v>
      </c>
      <c r="D118" s="6">
        <v>7.3063340273967605E-7</v>
      </c>
      <c r="E118" s="3" t="s">
        <v>1074</v>
      </c>
      <c r="F118" s="3" t="s">
        <v>1075</v>
      </c>
      <c r="G118" s="3">
        <v>72749</v>
      </c>
      <c r="H118" s="7" t="str">
        <f>HYPERLINK("http://www.ensembl.org/Mus_musculus/Gene/Summary?db=core;g=ENSMUSG00000059323","ENSMUSG00000059323")</f>
        <v>ENSMUSG00000059323</v>
      </c>
      <c r="I118" s="7" t="str">
        <f>HYPERLINK("http://www.informatics.jax.org/marker/MGI:1919999","MGI:1919999")</f>
        <v>MGI:1919999</v>
      </c>
      <c r="J118" s="4" t="s">
        <v>12</v>
      </c>
    </row>
    <row r="119" spans="1:10" x14ac:dyDescent="0.25">
      <c r="A119" s="2">
        <v>136.310379588784</v>
      </c>
      <c r="B119" s="3">
        <v>0.74013924880358395</v>
      </c>
      <c r="C119" s="3">
        <v>1.6512187258875201E-3</v>
      </c>
      <c r="D119" s="4">
        <v>2.3478201024092302E-2</v>
      </c>
      <c r="E119" s="3" t="s">
        <v>2439</v>
      </c>
      <c r="F119" s="3" t="s">
        <v>2440</v>
      </c>
      <c r="G119" s="3">
        <v>13844</v>
      </c>
      <c r="H119" s="7" t="str">
        <f>HYPERLINK("http://www.ensembl.org/Mus_musculus/Gene/Summary?db=core;g=ENSMUSG00000028664","ENSMUSG00000028664")</f>
        <v>ENSMUSG00000028664</v>
      </c>
      <c r="I119" s="7" t="str">
        <f>HYPERLINK("http://www.informatics.jax.org/marker/MGI:99611","MGI:99611")</f>
        <v>MGI:99611</v>
      </c>
      <c r="J119" s="4" t="s">
        <v>12</v>
      </c>
    </row>
    <row r="120" spans="1:10" x14ac:dyDescent="0.25">
      <c r="A120" s="2">
        <v>146.041706004253</v>
      </c>
      <c r="B120" s="3">
        <v>0.73674848741113896</v>
      </c>
      <c r="C120" s="5">
        <v>2.2909896764030201E-5</v>
      </c>
      <c r="D120" s="4">
        <v>8.9158342181677405E-4</v>
      </c>
      <c r="E120" s="3" t="s">
        <v>2894</v>
      </c>
      <c r="F120" s="3" t="s">
        <v>2895</v>
      </c>
      <c r="G120" s="3">
        <v>69706</v>
      </c>
      <c r="H120" s="7" t="str">
        <f>HYPERLINK("http://www.ensembl.org/Mus_musculus/Gene/Summary?db=core;g=ENSMUSG00000034883","ENSMUSG00000034883")</f>
        <v>ENSMUSG00000034883</v>
      </c>
      <c r="I120" s="7" t="str">
        <f>HYPERLINK("http://www.informatics.jax.org/marker/MGI:1916956","MGI:1916956")</f>
        <v>MGI:1916956</v>
      </c>
      <c r="J120" s="4" t="s">
        <v>12</v>
      </c>
    </row>
    <row r="121" spans="1:10" x14ac:dyDescent="0.25">
      <c r="A121" s="2">
        <v>2334.3396023608602</v>
      </c>
      <c r="B121" s="3">
        <v>0.73469007770658201</v>
      </c>
      <c r="C121" s="5">
        <v>4.7741818533844697E-5</v>
      </c>
      <c r="D121" s="4">
        <v>1.59333006839808E-3</v>
      </c>
      <c r="E121" s="3" t="s">
        <v>1272</v>
      </c>
      <c r="F121" s="3" t="s">
        <v>1273</v>
      </c>
      <c r="G121" s="3">
        <v>20181</v>
      </c>
      <c r="H121" s="7" t="str">
        <f>HYPERLINK("http://www.ensembl.org/Mus_musculus/Gene/Summary?db=core;g=ENSMUSG00000015846","ENSMUSG00000015846")</f>
        <v>ENSMUSG00000015846</v>
      </c>
      <c r="I121" s="7" t="str">
        <f>HYPERLINK("http://www.informatics.jax.org/marker/MGI:98214","MGI:98214")</f>
        <v>MGI:98214</v>
      </c>
      <c r="J121" s="4" t="s">
        <v>12</v>
      </c>
    </row>
    <row r="122" spans="1:10" x14ac:dyDescent="0.25">
      <c r="A122" s="2">
        <v>181.91977789180299</v>
      </c>
      <c r="B122" s="3">
        <v>0.72916447361047199</v>
      </c>
      <c r="C122" s="5">
        <v>2.9924777654914001E-6</v>
      </c>
      <c r="D122" s="4">
        <v>1.7259690988964999E-4</v>
      </c>
      <c r="E122" s="3" t="s">
        <v>2561</v>
      </c>
      <c r="F122" s="3" t="s">
        <v>2562</v>
      </c>
      <c r="G122" s="3">
        <v>75939</v>
      </c>
      <c r="H122" s="7" t="str">
        <f>HYPERLINK("http://www.ensembl.org/Mus_musculus/Gene/Summary?db=core;g=ENSMUSG00000027811","ENSMUSG00000027811")</f>
        <v>ENSMUSG00000027811</v>
      </c>
      <c r="I122" s="7" t="str">
        <f>HYPERLINK("http://www.informatics.jax.org/marker/MGI:1923189","MGI:1923189")</f>
        <v>MGI:1923189</v>
      </c>
      <c r="J122" s="4" t="s">
        <v>12</v>
      </c>
    </row>
    <row r="123" spans="1:10" x14ac:dyDescent="0.25">
      <c r="A123" s="2">
        <v>828.65929766073305</v>
      </c>
      <c r="B123" s="3">
        <v>0.72388677967189397</v>
      </c>
      <c r="C123" s="5">
        <v>3.7456278029398601E-10</v>
      </c>
      <c r="D123" s="6">
        <v>1.3589379322472499E-7</v>
      </c>
      <c r="E123" s="3" t="s">
        <v>574</v>
      </c>
      <c r="F123" s="3" t="s">
        <v>575</v>
      </c>
      <c r="G123" s="3">
        <v>67155</v>
      </c>
      <c r="H123" s="7" t="str">
        <f>HYPERLINK("http://www.ensembl.org/Mus_musculus/Gene/Summary?db=core;g=ENSMUSG00000024921","ENSMUSG00000024921")</f>
        <v>ENSMUSG00000024921</v>
      </c>
      <c r="I123" s="7" t="str">
        <f>HYPERLINK("http://www.informatics.jax.org/marker/MGI:99603","MGI:99603")</f>
        <v>MGI:99603</v>
      </c>
      <c r="J123" s="4" t="s">
        <v>12</v>
      </c>
    </row>
    <row r="124" spans="1:10" x14ac:dyDescent="0.25">
      <c r="A124" s="2">
        <v>72.191104239133693</v>
      </c>
      <c r="B124" s="3">
        <v>0.72307271306952903</v>
      </c>
      <c r="C124" s="3">
        <v>3.6014543955614298E-4</v>
      </c>
      <c r="D124" s="4">
        <v>7.4595870325744797E-3</v>
      </c>
      <c r="E124" s="3" t="s">
        <v>4881</v>
      </c>
      <c r="F124" s="3" t="s">
        <v>4882</v>
      </c>
      <c r="G124" s="3">
        <v>30951</v>
      </c>
      <c r="H124" s="7" t="str">
        <f>HYPERLINK("http://www.ensembl.org/Mus_musculus/Gene/Summary?db=core;g=ENSMUSG00000025578","ENSMUSG00000025578")</f>
        <v>ENSMUSG00000025578</v>
      </c>
      <c r="I124" s="7" t="str">
        <f>HYPERLINK("http://www.informatics.jax.org/marker/MGI:1353589","MGI:1353589")</f>
        <v>MGI:1353589</v>
      </c>
      <c r="J124" s="4" t="s">
        <v>12</v>
      </c>
    </row>
    <row r="125" spans="1:10" x14ac:dyDescent="0.25">
      <c r="A125" s="2">
        <v>776.01523461509498</v>
      </c>
      <c r="B125" s="3">
        <v>0.72167504430709095</v>
      </c>
      <c r="C125" s="5">
        <v>1.2286288538475401E-7</v>
      </c>
      <c r="D125" s="6">
        <v>1.45456723360245E-5</v>
      </c>
      <c r="E125" s="3" t="s">
        <v>840</v>
      </c>
      <c r="F125" s="3" t="s">
        <v>841</v>
      </c>
      <c r="G125" s="3">
        <v>225049</v>
      </c>
      <c r="H125" s="7" t="str">
        <f>HYPERLINK("http://www.ensembl.org/Mus_musculus/Gene/Summary?db=core;g=ENSMUSG00000036918","ENSMUSG00000036918")</f>
        <v>ENSMUSG00000036918</v>
      </c>
      <c r="I125" s="7" t="str">
        <f>HYPERLINK("http://www.informatics.jax.org/marker/MGI:1920999","MGI:1920999")</f>
        <v>MGI:1920999</v>
      </c>
      <c r="J125" s="4" t="s">
        <v>12</v>
      </c>
    </row>
    <row r="126" spans="1:10" x14ac:dyDescent="0.25">
      <c r="A126" s="2">
        <v>632.55303352850501</v>
      </c>
      <c r="B126" s="3">
        <v>0.71975114510497595</v>
      </c>
      <c r="C126" s="5">
        <v>3.35638825735806E-8</v>
      </c>
      <c r="D126" s="6">
        <v>4.7783922443678597E-6</v>
      </c>
      <c r="E126" s="3" t="s">
        <v>748</v>
      </c>
      <c r="F126" s="3" t="s">
        <v>749</v>
      </c>
      <c r="G126" s="3">
        <v>19414</v>
      </c>
      <c r="H126" s="7" t="str">
        <f>HYPERLINK("http://www.ensembl.org/Mus_musculus/Gene/Summary?db=core;g=ENSMUSG00000031453","ENSMUSG00000031453")</f>
        <v>ENSMUSG00000031453</v>
      </c>
      <c r="I126" s="7" t="str">
        <f>HYPERLINK("http://www.informatics.jax.org/marker/MGI:1197013","MGI:1197013")</f>
        <v>MGI:1197013</v>
      </c>
      <c r="J126" s="4" t="s">
        <v>12</v>
      </c>
    </row>
    <row r="127" spans="1:10" x14ac:dyDescent="0.25">
      <c r="A127" s="2">
        <v>338.76262452251001</v>
      </c>
      <c r="B127" s="3">
        <v>0.71933009382734403</v>
      </c>
      <c r="C127" s="5">
        <v>1.7032336230971598E-5</v>
      </c>
      <c r="D127" s="4">
        <v>7.1918935828548598E-4</v>
      </c>
      <c r="E127" s="3" t="s">
        <v>1660</v>
      </c>
      <c r="F127" s="3" t="s">
        <v>1661</v>
      </c>
      <c r="G127" s="3">
        <v>22761</v>
      </c>
      <c r="H127" s="7" t="str">
        <f>HYPERLINK("http://www.ensembl.org/Mus_musculus/Gene/Summary?db=core;g=ENSMUSG00000049577","ENSMUSG00000049577")</f>
        <v>ENSMUSG00000049577</v>
      </c>
      <c r="I127" s="7" t="str">
        <f>HYPERLINK("http://www.informatics.jax.org/marker/MGI:1095400","MGI:1095400")</f>
        <v>MGI:1095400</v>
      </c>
      <c r="J127" s="4" t="s">
        <v>12</v>
      </c>
    </row>
    <row r="128" spans="1:10" x14ac:dyDescent="0.25">
      <c r="A128" s="2">
        <v>203.58294084569701</v>
      </c>
      <c r="B128" s="3">
        <v>0.718346624614011</v>
      </c>
      <c r="C128" s="5">
        <v>1.7976171236336398E-5</v>
      </c>
      <c r="D128" s="4">
        <v>7.4078323853209096E-4</v>
      </c>
      <c r="E128" s="3" t="s">
        <v>736</v>
      </c>
      <c r="F128" s="3" t="s">
        <v>737</v>
      </c>
      <c r="G128" s="3">
        <v>76850</v>
      </c>
      <c r="H128" s="7" t="str">
        <f>HYPERLINK("http://www.ensembl.org/Mus_musculus/Gene/Summary?db=core;g=ENSMUSG00000042500","ENSMUSG00000042500")</f>
        <v>ENSMUSG00000042500</v>
      </c>
      <c r="I128" s="7" t="str">
        <f>HYPERLINK("http://www.informatics.jax.org/marker/MGI:1924100","MGI:1924100")</f>
        <v>MGI:1924100</v>
      </c>
      <c r="J128" s="4" t="s">
        <v>12</v>
      </c>
    </row>
    <row r="129" spans="1:10" x14ac:dyDescent="0.25">
      <c r="A129" s="2">
        <v>530.74682937213197</v>
      </c>
      <c r="B129" s="3">
        <v>0.71582218025775801</v>
      </c>
      <c r="C129" s="5">
        <v>1.2632550751759701E-7</v>
      </c>
      <c r="D129" s="6">
        <v>1.4799822740108401E-5</v>
      </c>
      <c r="E129" s="3" t="s">
        <v>2345</v>
      </c>
      <c r="F129" s="3" t="s">
        <v>2346</v>
      </c>
      <c r="G129" s="3">
        <v>77011</v>
      </c>
      <c r="H129" s="7" t="str">
        <f>HYPERLINK("http://www.ensembl.org/Mus_musculus/Gene/Summary?db=core;g=ENSMUSG00000046591","ENSMUSG00000046591")</f>
        <v>ENSMUSG00000046591</v>
      </c>
      <c r="I129" s="7" t="str">
        <f>HYPERLINK("http://www.informatics.jax.org/marker/MGI:1924261","MGI:1924261")</f>
        <v>MGI:1924261</v>
      </c>
      <c r="J129" s="4" t="s">
        <v>12</v>
      </c>
    </row>
    <row r="130" spans="1:10" x14ac:dyDescent="0.25">
      <c r="A130" s="2">
        <v>200.322779409796</v>
      </c>
      <c r="B130" s="3">
        <v>0.71577834726034995</v>
      </c>
      <c r="C130" s="5">
        <v>7.7512703064288997E-7</v>
      </c>
      <c r="D130" s="6">
        <v>6.0964011983500598E-5</v>
      </c>
      <c r="E130" s="3" t="s">
        <v>880</v>
      </c>
      <c r="F130" s="3" t="s">
        <v>881</v>
      </c>
      <c r="G130" s="3">
        <v>109242</v>
      </c>
      <c r="H130" s="7" t="str">
        <f>HYPERLINK("http://www.ensembl.org/Mus_musculus/Gene/Summary?db=core;g=ENSMUSG00000028438","ENSMUSG00000028438")</f>
        <v>ENSMUSG00000028438</v>
      </c>
      <c r="I130" s="7" t="str">
        <f>HYPERLINK("http://www.informatics.jax.org/marker/MGI:1918345","MGI:1918345")</f>
        <v>MGI:1918345</v>
      </c>
      <c r="J130" s="4" t="s">
        <v>12</v>
      </c>
    </row>
    <row r="131" spans="1:10" x14ac:dyDescent="0.25">
      <c r="A131" s="2">
        <v>419.36507143516002</v>
      </c>
      <c r="B131" s="3">
        <v>0.71053158052090304</v>
      </c>
      <c r="C131" s="5">
        <v>1.8098063107150201E-5</v>
      </c>
      <c r="D131" s="4">
        <v>7.4287925462086996E-4</v>
      </c>
      <c r="E131" s="3" t="s">
        <v>3698</v>
      </c>
      <c r="F131" s="3" t="s">
        <v>3699</v>
      </c>
      <c r="G131" s="3">
        <v>235086</v>
      </c>
      <c r="H131" s="7" t="str">
        <f>HYPERLINK("http://www.ensembl.org/Mus_musculus/Gene/Summary?db=core;g=ENSMUSG00000034275","ENSMUSG00000034275")</f>
        <v>ENSMUSG00000034275</v>
      </c>
      <c r="I131" s="7" t="str">
        <f>HYPERLINK("http://www.informatics.jax.org/marker/MGI:2685354","MGI:2685354")</f>
        <v>MGI:2685354</v>
      </c>
      <c r="J131" s="4" t="s">
        <v>12</v>
      </c>
    </row>
    <row r="132" spans="1:10" x14ac:dyDescent="0.25">
      <c r="A132" s="2">
        <v>2536.5729405164798</v>
      </c>
      <c r="B132" s="3">
        <v>0.71021587977041301</v>
      </c>
      <c r="C132" s="5">
        <v>2.95488461796673E-9</v>
      </c>
      <c r="D132" s="6">
        <v>7.2246928909286599E-7</v>
      </c>
      <c r="E132" s="3" t="s">
        <v>1480</v>
      </c>
      <c r="F132" s="3" t="s">
        <v>1481</v>
      </c>
      <c r="G132" s="3">
        <v>70472</v>
      </c>
      <c r="H132" s="7" t="str">
        <f>HYPERLINK("http://www.ensembl.org/Mus_musculus/Gene/Summary?db=core;g=ENSMUSG00000022360","ENSMUSG00000022360")</f>
        <v>ENSMUSG00000022360</v>
      </c>
      <c r="I132" s="7" t="str">
        <f>HYPERLINK("http://www.informatics.jax.org/marker/MGI:1917722","MGI:1917722")</f>
        <v>MGI:1917722</v>
      </c>
      <c r="J132" s="4" t="s">
        <v>12</v>
      </c>
    </row>
    <row r="133" spans="1:10" x14ac:dyDescent="0.25">
      <c r="A133" s="2">
        <v>218.57250934428501</v>
      </c>
      <c r="B133" s="3">
        <v>0.70503333132768298</v>
      </c>
      <c r="C133" s="5">
        <v>7.7561084344305105E-6</v>
      </c>
      <c r="D133" s="4">
        <v>3.8770200694240002E-4</v>
      </c>
      <c r="E133" s="3" t="s">
        <v>2191</v>
      </c>
      <c r="F133" s="3" t="s">
        <v>2192</v>
      </c>
      <c r="G133" s="3">
        <v>57913</v>
      </c>
      <c r="H133" s="7" t="str">
        <f>HYPERLINK("http://www.ensembl.org/Mus_musculus/Gene/Summary?db=core;g=ENSMUSG00000025507","ENSMUSG00000025507")</f>
        <v>ENSMUSG00000025507</v>
      </c>
      <c r="I133" s="7" t="str">
        <f>HYPERLINK("http://www.informatics.jax.org/marker/MGI:1889507","MGI:1889507")</f>
        <v>MGI:1889507</v>
      </c>
      <c r="J133" s="4" t="s">
        <v>12</v>
      </c>
    </row>
    <row r="134" spans="1:10" x14ac:dyDescent="0.25">
      <c r="A134" s="2">
        <v>438.75292974182599</v>
      </c>
      <c r="B134" s="3">
        <v>0.70249904635793203</v>
      </c>
      <c r="C134" s="5">
        <v>8.0285400412406302E-8</v>
      </c>
      <c r="D134" s="6">
        <v>9.9249657260583803E-6</v>
      </c>
      <c r="E134" s="3" t="s">
        <v>1758</v>
      </c>
      <c r="F134" s="3" t="s">
        <v>1759</v>
      </c>
      <c r="G134" s="3">
        <v>104806</v>
      </c>
      <c r="H134" s="7" t="str">
        <f>HYPERLINK("http://www.ensembl.org/Mus_musculus/Gene/Summary?db=core;g=ENSMUSG00000055884","ENSMUSG00000055884")</f>
        <v>ENSMUSG00000055884</v>
      </c>
      <c r="I134" s="7" t="str">
        <f>HYPERLINK("http://www.informatics.jax.org/marker/MGI:2442306","MGI:2442306")</f>
        <v>MGI:2442306</v>
      </c>
      <c r="J134" s="4" t="s">
        <v>12</v>
      </c>
    </row>
    <row r="135" spans="1:10" x14ac:dyDescent="0.25">
      <c r="A135" s="2">
        <v>332.66199890055498</v>
      </c>
      <c r="B135" s="3">
        <v>0.70133037905347095</v>
      </c>
      <c r="C135" s="5">
        <v>3.73928151522277E-7</v>
      </c>
      <c r="D135" s="6">
        <v>3.39158864529924E-5</v>
      </c>
      <c r="E135" s="3" t="s">
        <v>488</v>
      </c>
      <c r="F135" s="3" t="s">
        <v>489</v>
      </c>
      <c r="G135" s="3">
        <v>107771</v>
      </c>
      <c r="H135" s="7" t="str">
        <f>HYPERLINK("http://www.ensembl.org/Mus_musculus/Gene/Summary?db=core;g=ENSMUSG00000049086","ENSMUSG00000049086")</f>
        <v>ENSMUSG00000049086</v>
      </c>
      <c r="I135" s="7" t="str">
        <f>HYPERLINK("http://www.informatics.jax.org/marker/MGI:88184","MGI:88184")</f>
        <v>MGI:88184</v>
      </c>
      <c r="J135" s="4" t="s">
        <v>12</v>
      </c>
    </row>
    <row r="136" spans="1:10" x14ac:dyDescent="0.25">
      <c r="A136" s="2">
        <v>426.42783581333998</v>
      </c>
      <c r="B136" s="3">
        <v>0.70001173009274997</v>
      </c>
      <c r="C136" s="5">
        <v>2.0614978755803798E-9</v>
      </c>
      <c r="D136" s="6">
        <v>5.5203968111077499E-7</v>
      </c>
      <c r="E136" s="3" t="s">
        <v>1304</v>
      </c>
      <c r="F136" s="3" t="s">
        <v>1305</v>
      </c>
      <c r="G136" s="3">
        <v>320782</v>
      </c>
      <c r="H136" s="7" t="str">
        <f>HYPERLINK("http://www.ensembl.org/Mus_musculus/Gene/Summary?db=core;g=ENSMUSG00000056498","ENSMUSG00000056498")</f>
        <v>ENSMUSG00000056498</v>
      </c>
      <c r="I136" s="7" t="str">
        <f>HYPERLINK("http://www.informatics.jax.org/marker/MGI:2444725","MGI:2444725")</f>
        <v>MGI:2444725</v>
      </c>
      <c r="J136" s="4" t="s">
        <v>12</v>
      </c>
    </row>
    <row r="137" spans="1:10" x14ac:dyDescent="0.25">
      <c r="A137" s="2">
        <v>165.53277977414399</v>
      </c>
      <c r="B137" s="3">
        <v>0.69291979950092497</v>
      </c>
      <c r="C137" s="5">
        <v>1.0010865480194799E-5</v>
      </c>
      <c r="D137" s="4">
        <v>4.7307648762920298E-4</v>
      </c>
      <c r="E137" s="3" t="s">
        <v>2261</v>
      </c>
      <c r="F137" s="3" t="s">
        <v>2262</v>
      </c>
      <c r="G137" s="3">
        <v>29869</v>
      </c>
      <c r="H137" s="7" t="str">
        <f>HYPERLINK("http://www.ensembl.org/Mus_musculus/Gene/Summary?db=core;g=ENSMUSG00000004798","ENSMUSG00000004798")</f>
        <v>ENSMUSG00000004798</v>
      </c>
      <c r="I137" s="7" t="str">
        <f>HYPERLINK("http://www.informatics.jax.org/marker/MGI:1352758","MGI:1352758")</f>
        <v>MGI:1352758</v>
      </c>
      <c r="J137" s="4" t="s">
        <v>12</v>
      </c>
    </row>
    <row r="138" spans="1:10" x14ac:dyDescent="0.25">
      <c r="A138" s="2">
        <v>230.40763576974899</v>
      </c>
      <c r="B138" s="3">
        <v>0.691587329841725</v>
      </c>
      <c r="C138" s="5">
        <v>3.8204427569099698E-7</v>
      </c>
      <c r="D138" s="6">
        <v>3.4374815749573197E-5</v>
      </c>
      <c r="E138" s="3" t="s">
        <v>1054</v>
      </c>
      <c r="F138" s="3" t="s">
        <v>1055</v>
      </c>
      <c r="G138" s="3">
        <v>56458</v>
      </c>
      <c r="H138" s="7" t="str">
        <f>HYPERLINK("http://www.ensembl.org/Mus_musculus/Gene/Summary?db=core;g=ENSMUSG00000044167","ENSMUSG00000044167")</f>
        <v>ENSMUSG00000044167</v>
      </c>
      <c r="I138" s="7" t="str">
        <f>HYPERLINK("http://www.informatics.jax.org/marker/MGI:1890077","MGI:1890077")</f>
        <v>MGI:1890077</v>
      </c>
      <c r="J138" s="4" t="s">
        <v>12</v>
      </c>
    </row>
    <row r="139" spans="1:10" x14ac:dyDescent="0.25">
      <c r="A139" s="2">
        <v>117.126774408779</v>
      </c>
      <c r="B139" s="3">
        <v>0.68991961439236404</v>
      </c>
      <c r="C139" s="3">
        <v>3.3207328119281001E-3</v>
      </c>
      <c r="D139" s="4">
        <v>3.9480213462743503E-2</v>
      </c>
      <c r="E139" s="3" t="s">
        <v>6165</v>
      </c>
      <c r="F139" s="3" t="s">
        <v>6166</v>
      </c>
      <c r="G139" s="3">
        <v>26404</v>
      </c>
      <c r="H139" s="7" t="str">
        <f>HYPERLINK("http://www.ensembl.org/Mus_musculus/Gene/Summary?db=core;g=ENSMUSG00000023050","ENSMUSG00000023050")</f>
        <v>ENSMUSG00000023050</v>
      </c>
      <c r="I139" s="7" t="str">
        <f>HYPERLINK("http://www.informatics.jax.org/marker/MGI:1346881","MGI:1346881")</f>
        <v>MGI:1346881</v>
      </c>
      <c r="J139" s="4" t="s">
        <v>12</v>
      </c>
    </row>
    <row r="140" spans="1:10" x14ac:dyDescent="0.25">
      <c r="A140" s="2">
        <v>565.43214023182895</v>
      </c>
      <c r="B140" s="3">
        <v>0.68851375989636399</v>
      </c>
      <c r="C140" s="3">
        <v>1.3661327991058101E-3</v>
      </c>
      <c r="D140" s="4">
        <v>2.0459248457447499E-2</v>
      </c>
      <c r="E140" s="3" t="s">
        <v>4219</v>
      </c>
      <c r="F140" s="3" t="s">
        <v>4220</v>
      </c>
      <c r="G140" s="3">
        <v>241303</v>
      </c>
      <c r="H140" s="7" t="str">
        <f>HYPERLINK("http://www.ensembl.org/Mus_musculus/Gene/Summary?db=core;g=ENSMUSG00000050592","ENSMUSG00000050592")</f>
        <v>ENSMUSG00000050592</v>
      </c>
      <c r="I140" s="7" t="str">
        <f>HYPERLINK("http://www.informatics.jax.org/marker/MGI:2443569","MGI:2443569")</f>
        <v>MGI:2443569</v>
      </c>
      <c r="J140" s="4" t="s">
        <v>12</v>
      </c>
    </row>
    <row r="141" spans="1:10" x14ac:dyDescent="0.25">
      <c r="A141" s="2">
        <v>421.97181635159302</v>
      </c>
      <c r="B141" s="3">
        <v>0.68817849588068103</v>
      </c>
      <c r="C141" s="5">
        <v>1.83886537384804E-6</v>
      </c>
      <c r="D141" s="4">
        <v>1.19547507859358E-4</v>
      </c>
      <c r="E141" s="3" t="s">
        <v>1730</v>
      </c>
      <c r="F141" s="3" t="s">
        <v>1731</v>
      </c>
      <c r="G141" s="3">
        <v>14537</v>
      </c>
      <c r="H141" s="7" t="str">
        <f>HYPERLINK("http://www.ensembl.org/Mus_musculus/Gene/Summary?db=core;g=ENSMUSG00000038843","ENSMUSG00000038843")</f>
        <v>ENSMUSG00000038843</v>
      </c>
      <c r="I141" s="7" t="str">
        <f>HYPERLINK("http://www.informatics.jax.org/marker/MGI:95676","MGI:95676")</f>
        <v>MGI:95676</v>
      </c>
      <c r="J141" s="4" t="s">
        <v>12</v>
      </c>
    </row>
    <row r="142" spans="1:10" x14ac:dyDescent="0.25">
      <c r="A142" s="2">
        <v>2981.4919220523898</v>
      </c>
      <c r="B142" s="3">
        <v>0.68140471470381103</v>
      </c>
      <c r="C142" s="5">
        <v>1.34707892081433E-9</v>
      </c>
      <c r="D142" s="6">
        <v>4.0947558438915601E-7</v>
      </c>
      <c r="E142" s="3" t="s">
        <v>1598</v>
      </c>
      <c r="F142" s="3" t="s">
        <v>1599</v>
      </c>
      <c r="G142" s="3">
        <v>17217</v>
      </c>
      <c r="H142" s="7" t="str">
        <f>HYPERLINK("http://www.ensembl.org/Mus_musculus/Gene/Summary?db=core;g=ENSMUSG00000022673","ENSMUSG00000022673")</f>
        <v>ENSMUSG00000022673</v>
      </c>
      <c r="I142" s="7" t="str">
        <f>HYPERLINK("http://www.informatics.jax.org/marker/MGI:103199","MGI:103199")</f>
        <v>MGI:103199</v>
      </c>
      <c r="J142" s="4" t="s">
        <v>12</v>
      </c>
    </row>
    <row r="143" spans="1:10" x14ac:dyDescent="0.25">
      <c r="A143" s="2">
        <v>196.119809869612</v>
      </c>
      <c r="B143" s="3">
        <v>0.67760846726595902</v>
      </c>
      <c r="C143" s="5">
        <v>8.9782739323579695E-5</v>
      </c>
      <c r="D143" s="4">
        <v>2.4332204076441002E-3</v>
      </c>
      <c r="E143" s="3" t="s">
        <v>1822</v>
      </c>
      <c r="F143" s="3" t="s">
        <v>1823</v>
      </c>
      <c r="G143" s="3">
        <v>381810</v>
      </c>
      <c r="H143" s="7" t="str">
        <f>HYPERLINK("http://www.ensembl.org/Mus_musculus/Gene/Summary?db=core;g=ENSMUSG00000067714","ENSMUSG00000067714")</f>
        <v>ENSMUSG00000067714</v>
      </c>
      <c r="I143" s="7" t="str">
        <f>HYPERLINK("http://www.informatics.jax.org/marker/MGI:2685918","MGI:2685918")</f>
        <v>MGI:2685918</v>
      </c>
      <c r="J143" s="4" t="s">
        <v>12</v>
      </c>
    </row>
    <row r="144" spans="1:10" x14ac:dyDescent="0.25">
      <c r="A144" s="2">
        <v>758.21434132276295</v>
      </c>
      <c r="B144" s="3">
        <v>0.67665250673625299</v>
      </c>
      <c r="C144" s="5">
        <v>1.4516700552446399E-7</v>
      </c>
      <c r="D144" s="6">
        <v>1.6165280308254E-5</v>
      </c>
      <c r="E144" s="3" t="s">
        <v>1887</v>
      </c>
      <c r="F144" s="3" t="s">
        <v>1888</v>
      </c>
      <c r="G144" s="3">
        <v>12544</v>
      </c>
      <c r="H144" s="7" t="str">
        <f>HYPERLINK("http://www.ensembl.org/Mus_musculus/Gene/Summary?db=core;g=ENSMUSG00000000028","ENSMUSG00000000028")</f>
        <v>ENSMUSG00000000028</v>
      </c>
      <c r="I144" s="7" t="str">
        <f>HYPERLINK("http://www.informatics.jax.org/marker/MGI:1338073","MGI:1338073")</f>
        <v>MGI:1338073</v>
      </c>
      <c r="J144" s="4" t="s">
        <v>12</v>
      </c>
    </row>
    <row r="145" spans="1:10" x14ac:dyDescent="0.25">
      <c r="A145" s="2">
        <v>103.717514492706</v>
      </c>
      <c r="B145" s="3">
        <v>0.67486398184529806</v>
      </c>
      <c r="C145" s="3">
        <v>6.5063646346788203E-4</v>
      </c>
      <c r="D145" s="4">
        <v>1.1613723043524401E-2</v>
      </c>
      <c r="E145" s="3" t="s">
        <v>5721</v>
      </c>
      <c r="F145" s="3" t="s">
        <v>5722</v>
      </c>
      <c r="G145" s="3">
        <v>240614</v>
      </c>
      <c r="H145" s="7" t="str">
        <f>HYPERLINK("http://www.ensembl.org/Mus_musculus/Gene/Summary?db=core;g=ENSMUSG00000074909","ENSMUSG00000074909")</f>
        <v>ENSMUSG00000074909</v>
      </c>
      <c r="I145" s="7" t="str">
        <f>HYPERLINK("http://www.informatics.jax.org/marker/MGI:2683212","MGI:2683212")</f>
        <v>MGI:2683212</v>
      </c>
      <c r="J145" s="4" t="s">
        <v>12</v>
      </c>
    </row>
    <row r="146" spans="1:10" x14ac:dyDescent="0.25">
      <c r="A146" s="2">
        <v>167.77677100124501</v>
      </c>
      <c r="B146" s="3">
        <v>0.67349368984130598</v>
      </c>
      <c r="C146" s="3">
        <v>3.4215786482413803E-4</v>
      </c>
      <c r="D146" s="4">
        <v>7.2199803108387896E-3</v>
      </c>
      <c r="E146" s="3" t="s">
        <v>1216</v>
      </c>
      <c r="F146" s="3" t="s">
        <v>1217</v>
      </c>
      <c r="G146" s="3">
        <v>224454</v>
      </c>
      <c r="H146" s="7" t="str">
        <f>HYPERLINK("http://www.ensembl.org/Mus_musculus/Gene/Summary?db=core;g=ENSMUSG00000034265","ENSMUSG00000034265")</f>
        <v>ENSMUSG00000034265</v>
      </c>
      <c r="I146" s="7" t="str">
        <f>HYPERLINK("http://www.informatics.jax.org/marker/MGI:2653229","MGI:2653229")</f>
        <v>MGI:2653229</v>
      </c>
      <c r="J146" s="4" t="s">
        <v>12</v>
      </c>
    </row>
    <row r="147" spans="1:10" x14ac:dyDescent="0.25">
      <c r="A147" s="2">
        <v>922.85563222909298</v>
      </c>
      <c r="B147" s="3">
        <v>0.67211261026087199</v>
      </c>
      <c r="C147" s="5">
        <v>2.4432451327125701E-8</v>
      </c>
      <c r="D147" s="6">
        <v>3.7642709599477002E-6</v>
      </c>
      <c r="E147" s="3" t="s">
        <v>2129</v>
      </c>
      <c r="F147" s="3" t="s">
        <v>2130</v>
      </c>
      <c r="G147" s="3">
        <v>110749</v>
      </c>
      <c r="H147" s="7" t="str">
        <f>HYPERLINK("http://www.ensembl.org/Mus_musculus/Gene/Summary?db=core;g=ENSMUSG00000022945","ENSMUSG00000022945")</f>
        <v>ENSMUSG00000022945</v>
      </c>
      <c r="I147" s="7" t="str">
        <f>HYPERLINK("http://www.informatics.jax.org/marker/MGI:1314881","MGI:1314881")</f>
        <v>MGI:1314881</v>
      </c>
      <c r="J147" s="4" t="s">
        <v>12</v>
      </c>
    </row>
    <row r="148" spans="1:10" x14ac:dyDescent="0.25">
      <c r="A148" s="2">
        <v>172.05945582934999</v>
      </c>
      <c r="B148" s="3">
        <v>0.662974207733941</v>
      </c>
      <c r="C148" s="3">
        <v>3.2836304871532201E-4</v>
      </c>
      <c r="D148" s="4">
        <v>7.0344746836213702E-3</v>
      </c>
      <c r="E148" s="3" t="s">
        <v>5037</v>
      </c>
      <c r="F148" s="3" t="s">
        <v>5038</v>
      </c>
      <c r="G148" s="3">
        <v>77128</v>
      </c>
      <c r="H148" s="7" t="str">
        <f>HYPERLINK("http://www.ensembl.org/Mus_musculus/Gene/Summary?db=core;g=ENSMUSG00000048249","ENSMUSG00000048249")</f>
        <v>ENSMUSG00000048249</v>
      </c>
      <c r="I148" s="7" t="str">
        <f>HYPERLINK("http://www.informatics.jax.org/marker/MGI:1924378","MGI:1924378")</f>
        <v>MGI:1924378</v>
      </c>
      <c r="J148" s="4" t="s">
        <v>12</v>
      </c>
    </row>
    <row r="149" spans="1:10" x14ac:dyDescent="0.25">
      <c r="A149" s="2">
        <v>184.47474181046601</v>
      </c>
      <c r="B149" s="3">
        <v>0.659128837720793</v>
      </c>
      <c r="C149" s="3">
        <v>1.69273671265275E-4</v>
      </c>
      <c r="D149" s="4">
        <v>4.1477581279314698E-3</v>
      </c>
      <c r="E149" s="3" t="s">
        <v>3402</v>
      </c>
      <c r="F149" s="3" t="s">
        <v>3403</v>
      </c>
      <c r="G149" s="3">
        <v>223970</v>
      </c>
      <c r="H149" s="7" t="str">
        <f>HYPERLINK("http://www.ensembl.org/Mus_musculus/Gene/Summary?db=core;g=ENSMUSG00000037991","ENSMUSG00000037991")</f>
        <v>ENSMUSG00000037991</v>
      </c>
      <c r="I149" s="7" t="str">
        <f>HYPERLINK("http://www.informatics.jax.org/marker/MGI:2685383","MGI:2685383")</f>
        <v>MGI:2685383</v>
      </c>
      <c r="J149" s="4" t="s">
        <v>12</v>
      </c>
    </row>
    <row r="150" spans="1:10" x14ac:dyDescent="0.25">
      <c r="A150" s="2">
        <v>159.50945699110599</v>
      </c>
      <c r="B150" s="3">
        <v>0.65591518759596201</v>
      </c>
      <c r="C150" s="5">
        <v>1.9660482464913701E-5</v>
      </c>
      <c r="D150" s="4">
        <v>7.8848593698345004E-4</v>
      </c>
      <c r="E150" s="3" t="s">
        <v>1985</v>
      </c>
      <c r="F150" s="3" t="s">
        <v>1986</v>
      </c>
      <c r="G150" s="3">
        <v>74335</v>
      </c>
      <c r="H150" s="7" t="str">
        <f>HYPERLINK("http://www.ensembl.org/Mus_musculus/Gene/Summary?db=core;g=ENSMUSG00000021287","ENSMUSG00000021287")</f>
        <v>ENSMUSG00000021287</v>
      </c>
      <c r="I150" s="7" t="str">
        <f>HYPERLINK("http://www.informatics.jax.org/marker/MGI:1921585","MGI:1921585")</f>
        <v>MGI:1921585</v>
      </c>
      <c r="J150" s="4" t="s">
        <v>12</v>
      </c>
    </row>
    <row r="151" spans="1:10" x14ac:dyDescent="0.25">
      <c r="A151" s="2">
        <v>762.26005109784103</v>
      </c>
      <c r="B151" s="3">
        <v>0.65394836963793401</v>
      </c>
      <c r="C151" s="5">
        <v>1.5862638764770199E-11</v>
      </c>
      <c r="D151" s="6">
        <v>8.9203549093685306E-9</v>
      </c>
      <c r="E151" s="3" t="s">
        <v>288</v>
      </c>
      <c r="F151" s="3" t="s">
        <v>289</v>
      </c>
      <c r="G151" s="3">
        <v>18019</v>
      </c>
      <c r="H151" s="7" t="str">
        <f>HYPERLINK("http://www.ensembl.org/Mus_musculus/Gene/Summary?db=core;g=ENSMUSG00000027544","ENSMUSG00000027544")</f>
        <v>ENSMUSG00000027544</v>
      </c>
      <c r="I151" s="7" t="str">
        <f>HYPERLINK("http://www.informatics.jax.org/marker/MGI:102463","MGI:102463")</f>
        <v>MGI:102463</v>
      </c>
      <c r="J151" s="4" t="s">
        <v>12</v>
      </c>
    </row>
    <row r="152" spans="1:10" x14ac:dyDescent="0.25">
      <c r="A152" s="2">
        <v>139.347121841106</v>
      </c>
      <c r="B152" s="3">
        <v>0.65336953930684005</v>
      </c>
      <c r="C152" s="3">
        <v>2.6086269258505999E-4</v>
      </c>
      <c r="D152" s="4">
        <v>5.9391147844213999E-3</v>
      </c>
      <c r="E152" s="3" t="s">
        <v>1875</v>
      </c>
      <c r="F152" s="3" t="s">
        <v>1876</v>
      </c>
      <c r="G152" s="3">
        <v>64296</v>
      </c>
      <c r="H152" s="7" t="str">
        <f>HYPERLINK("http://www.ensembl.org/Mus_musculus/Gene/Summary?db=core;g=ENSMUSG00000007950","ENSMUSG00000007950")</f>
        <v>ENSMUSG00000007950</v>
      </c>
      <c r="I152" s="7" t="str">
        <f>HYPERLINK("http://www.informatics.jax.org/marker/MGI:1918946","MGI:1918946")</f>
        <v>MGI:1918946</v>
      </c>
      <c r="J152" s="4" t="s">
        <v>12</v>
      </c>
    </row>
    <row r="153" spans="1:10" x14ac:dyDescent="0.25">
      <c r="A153" s="2">
        <v>377.48009206072601</v>
      </c>
      <c r="B153" s="3">
        <v>0.65186872896966797</v>
      </c>
      <c r="C153" s="5">
        <v>2.4073390885239398E-7</v>
      </c>
      <c r="D153" s="6">
        <v>2.3750300639148001E-5</v>
      </c>
      <c r="E153" s="3" t="s">
        <v>1312</v>
      </c>
      <c r="F153" s="3" t="s">
        <v>1313</v>
      </c>
      <c r="G153" s="3">
        <v>237911</v>
      </c>
      <c r="H153" s="7" t="str">
        <f>HYPERLINK("http://www.ensembl.org/Mus_musculus/Gene/Summary?db=core;g=ENSMUSG00000034329","ENSMUSG00000034329")</f>
        <v>ENSMUSG00000034329</v>
      </c>
      <c r="I153" s="7" t="str">
        <f>HYPERLINK("http://www.informatics.jax.org/marker/MGI:2442836","MGI:2442836")</f>
        <v>MGI:2442836</v>
      </c>
      <c r="J153" s="4" t="s">
        <v>12</v>
      </c>
    </row>
    <row r="154" spans="1:10" x14ac:dyDescent="0.25">
      <c r="A154" s="2">
        <v>353.11692707340598</v>
      </c>
      <c r="B154" s="3">
        <v>0.65184249324465804</v>
      </c>
      <c r="C154" s="5">
        <v>6.4807127206571697E-6</v>
      </c>
      <c r="D154" s="4">
        <v>3.3488175675440901E-4</v>
      </c>
      <c r="E154" s="3" t="s">
        <v>9029</v>
      </c>
      <c r="F154" s="3" t="s">
        <v>9030</v>
      </c>
      <c r="G154" s="3">
        <v>217333</v>
      </c>
      <c r="H154" s="7" t="str">
        <f>HYPERLINK("http://www.ensembl.org/Mus_musculus/Gene/Summary?db=core;g=ENSMUSG00000020773","ENSMUSG00000020773")</f>
        <v>ENSMUSG00000020773</v>
      </c>
      <c r="I154" s="7" t="str">
        <f>HYPERLINK("http://www.informatics.jax.org/marker/MGI:1917374","MGI:1917374")</f>
        <v>MGI:1917374</v>
      </c>
      <c r="J154" s="4" t="s">
        <v>12</v>
      </c>
    </row>
    <row r="155" spans="1:10" x14ac:dyDescent="0.25">
      <c r="A155" s="2">
        <v>97.7798059798682</v>
      </c>
      <c r="B155" s="3">
        <v>0.65164209598020195</v>
      </c>
      <c r="C155" s="3">
        <v>2.5828999218697598E-3</v>
      </c>
      <c r="D155" s="4">
        <v>3.3199857624307702E-2</v>
      </c>
      <c r="E155" s="3" t="s">
        <v>3928</v>
      </c>
      <c r="F155" s="3" t="s">
        <v>3929</v>
      </c>
      <c r="G155" s="3">
        <v>171210</v>
      </c>
      <c r="H155" s="7" t="str">
        <f>HYPERLINK("http://www.ensembl.org/Mus_musculus/Gene/Summary?db=core;g=ENSMUSG00000021226","ENSMUSG00000021226")</f>
        <v>ENSMUSG00000021226</v>
      </c>
      <c r="I155" s="7" t="str">
        <f>HYPERLINK("http://www.informatics.jax.org/marker/MGI:2159605","MGI:2159605")</f>
        <v>MGI:2159605</v>
      </c>
      <c r="J155" s="4" t="s">
        <v>12</v>
      </c>
    </row>
    <row r="156" spans="1:10" x14ac:dyDescent="0.25">
      <c r="A156" s="2">
        <v>261.020234933366</v>
      </c>
      <c r="B156" s="3">
        <v>0.65141014158958699</v>
      </c>
      <c r="C156" s="5">
        <v>1.03866645074528E-7</v>
      </c>
      <c r="D156" s="6">
        <v>1.24275335867363E-5</v>
      </c>
      <c r="E156" s="3" t="s">
        <v>1610</v>
      </c>
      <c r="F156" s="3" t="s">
        <v>1611</v>
      </c>
      <c r="G156" s="3">
        <v>504193</v>
      </c>
      <c r="H156" s="7" t="str">
        <f>HYPERLINK("http://www.ensembl.org/Mus_musculus/Gene/Summary?db=core;g=ENSMUSG00000089837","ENSMUSG00000089837")</f>
        <v>ENSMUSG00000089837</v>
      </c>
      <c r="I156" s="7" t="str">
        <f>HYPERLINK("http://www.informatics.jax.org/marker/MGI:3845555","MGI:3845555")</f>
        <v>MGI:3845555</v>
      </c>
      <c r="J156" s="4" t="s">
        <v>12</v>
      </c>
    </row>
    <row r="157" spans="1:10" x14ac:dyDescent="0.25">
      <c r="A157" s="2">
        <v>571.35502048658202</v>
      </c>
      <c r="B157" s="3">
        <v>0.65134623750518605</v>
      </c>
      <c r="C157" s="5">
        <v>1.7540656353490699E-6</v>
      </c>
      <c r="D157" s="4">
        <v>1.16733586986811E-4</v>
      </c>
      <c r="E157" s="3" t="s">
        <v>1820</v>
      </c>
      <c r="F157" s="3" t="s">
        <v>1821</v>
      </c>
      <c r="G157" s="3">
        <v>79456</v>
      </c>
      <c r="H157" s="7" t="str">
        <f>HYPERLINK("http://www.ensembl.org/Mus_musculus/Gene/Summary?db=core;g=ENSMUSG00000033762","ENSMUSG00000033762")</f>
        <v>ENSMUSG00000033762</v>
      </c>
      <c r="I157" s="7" t="str">
        <f>HYPERLINK("http://www.informatics.jax.org/marker/MGI:1931028","MGI:1931028")</f>
        <v>MGI:1931028</v>
      </c>
      <c r="J157" s="4" t="s">
        <v>12</v>
      </c>
    </row>
    <row r="158" spans="1:10" x14ac:dyDescent="0.25">
      <c r="A158" s="2">
        <v>806.32866729847399</v>
      </c>
      <c r="B158" s="3">
        <v>0.650685941385026</v>
      </c>
      <c r="C158" s="5">
        <v>1.23352895427868E-8</v>
      </c>
      <c r="D158" s="6">
        <v>2.2376613143181098E-6</v>
      </c>
      <c r="E158" s="3" t="s">
        <v>1166</v>
      </c>
      <c r="F158" s="3" t="s">
        <v>1167</v>
      </c>
      <c r="G158" s="3">
        <v>26909</v>
      </c>
      <c r="H158" s="7" t="str">
        <f>HYPERLINK("http://www.ensembl.org/Mus_musculus/Gene/Summary?db=core;g=ENSMUSG00000039748","ENSMUSG00000039748")</f>
        <v>ENSMUSG00000039748</v>
      </c>
      <c r="I158" s="7" t="str">
        <f>HYPERLINK("http://www.informatics.jax.org/marker/MGI:1349427","MGI:1349427")</f>
        <v>MGI:1349427</v>
      </c>
      <c r="J158" s="4" t="s">
        <v>12</v>
      </c>
    </row>
    <row r="159" spans="1:10" x14ac:dyDescent="0.25">
      <c r="A159" s="2">
        <v>65.055923269205806</v>
      </c>
      <c r="B159" s="3">
        <v>0.65005681850485098</v>
      </c>
      <c r="C159" s="3">
        <v>2.5861558476313602E-3</v>
      </c>
      <c r="D159" s="4">
        <v>3.3202142685019198E-2</v>
      </c>
      <c r="E159" s="3" t="s">
        <v>6081</v>
      </c>
      <c r="F159" s="3" t="s">
        <v>6082</v>
      </c>
      <c r="G159" s="3">
        <v>50776</v>
      </c>
      <c r="H159" s="7" t="str">
        <f>HYPERLINK("http://www.ensembl.org/Mus_musculus/Gene/Summary?db=core;g=ENSMUSG00000020718","ENSMUSG00000020718")</f>
        <v>ENSMUSG00000020718</v>
      </c>
      <c r="I159" s="7" t="str">
        <f>HYPERLINK("http://www.informatics.jax.org/marker/MGI:1354947","MGI:1354947")</f>
        <v>MGI:1354947</v>
      </c>
      <c r="J159" s="4" t="s">
        <v>12</v>
      </c>
    </row>
    <row r="160" spans="1:10" x14ac:dyDescent="0.25">
      <c r="A160" s="2">
        <v>538.44877475632597</v>
      </c>
      <c r="B160" s="3">
        <v>0.64923893679473599</v>
      </c>
      <c r="C160" s="5">
        <v>3.0659002386508999E-6</v>
      </c>
      <c r="D160" s="4">
        <v>1.7592948971483001E-4</v>
      </c>
      <c r="E160" s="3" t="s">
        <v>438</v>
      </c>
      <c r="F160" s="3" t="s">
        <v>439</v>
      </c>
      <c r="G160" s="3">
        <v>16848</v>
      </c>
      <c r="H160" s="7" t="str">
        <f>HYPERLINK("http://www.ensembl.org/Mus_musculus/Gene/Summary?db=core;g=ENSMUSG00000029570","ENSMUSG00000029570")</f>
        <v>ENSMUSG00000029570</v>
      </c>
      <c r="I160" s="7" t="str">
        <f>HYPERLINK("http://www.informatics.jax.org/marker/MGI:1095413","MGI:1095413")</f>
        <v>MGI:1095413</v>
      </c>
      <c r="J160" s="4" t="s">
        <v>12</v>
      </c>
    </row>
    <row r="161" spans="1:10" x14ac:dyDescent="0.25">
      <c r="A161" s="2">
        <v>191.295282988357</v>
      </c>
      <c r="B161" s="3">
        <v>0.645436479463251</v>
      </c>
      <c r="C161" s="3">
        <v>2.4165142069645601E-4</v>
      </c>
      <c r="D161" s="4">
        <v>5.6038217083980097E-3</v>
      </c>
      <c r="E161" s="3" t="s">
        <v>2127</v>
      </c>
      <c r="F161" s="3" t="s">
        <v>2128</v>
      </c>
      <c r="G161" s="3">
        <v>106633</v>
      </c>
      <c r="H161" s="7" t="str">
        <f>HYPERLINK("http://www.ensembl.org/Mus_musculus/Gene/Summary?db=core;g=ENSMUSG00000024169","ENSMUSG00000024169")</f>
        <v>ENSMUSG00000024169</v>
      </c>
      <c r="I161" s="7" t="str">
        <f>HYPERLINK("http://www.informatics.jax.org/marker/MGI:2146906","MGI:2146906")</f>
        <v>MGI:2146906</v>
      </c>
      <c r="J161" s="4" t="s">
        <v>12</v>
      </c>
    </row>
    <row r="162" spans="1:10" x14ac:dyDescent="0.25">
      <c r="A162" s="2">
        <v>3062.9246398425498</v>
      </c>
      <c r="B162" s="3">
        <v>0.64393401203816603</v>
      </c>
      <c r="C162" s="5">
        <v>3.4302510810475801E-12</v>
      </c>
      <c r="D162" s="6">
        <v>2.57200226056947E-9</v>
      </c>
      <c r="E162" s="3" t="s">
        <v>1088</v>
      </c>
      <c r="F162" s="3" t="s">
        <v>1089</v>
      </c>
      <c r="G162" s="3">
        <v>17216</v>
      </c>
      <c r="H162" s="7" t="str">
        <f>HYPERLINK("http://www.ensembl.org/Mus_musculus/Gene/Summary?db=core;g=ENSMUSG00000002870","ENSMUSG00000002870")</f>
        <v>ENSMUSG00000002870</v>
      </c>
      <c r="I162" s="7" t="str">
        <f>HYPERLINK("http://www.informatics.jax.org/marker/MGI:105380","MGI:105380")</f>
        <v>MGI:105380</v>
      </c>
      <c r="J162" s="4" t="s">
        <v>12</v>
      </c>
    </row>
    <row r="163" spans="1:10" x14ac:dyDescent="0.25">
      <c r="A163" s="2">
        <v>298.17532850899897</v>
      </c>
      <c r="B163" s="3">
        <v>0.64334357227214201</v>
      </c>
      <c r="C163" s="5">
        <v>8.0303359213240194E-8</v>
      </c>
      <c r="D163" s="6">
        <v>9.9249657260583803E-6</v>
      </c>
      <c r="E163" s="3" t="s">
        <v>1188</v>
      </c>
      <c r="F163" s="3" t="s">
        <v>1189</v>
      </c>
      <c r="G163" s="3">
        <v>100201</v>
      </c>
      <c r="H163" s="7" t="str">
        <f>HYPERLINK("http://www.ensembl.org/Mus_musculus/Gene/Summary?db=core;g=ENSMUSG00000043252","ENSMUSG00000043252")</f>
        <v>ENSMUSG00000043252</v>
      </c>
      <c r="I163" s="7" t="str">
        <f>HYPERLINK("http://www.informatics.jax.org/marker/MGI:2140359","MGI:2140359")</f>
        <v>MGI:2140359</v>
      </c>
      <c r="J163" s="4" t="s">
        <v>12</v>
      </c>
    </row>
    <row r="164" spans="1:10" x14ac:dyDescent="0.25">
      <c r="A164" s="2">
        <v>474.42377928467602</v>
      </c>
      <c r="B164" s="3">
        <v>0.64011404887537404</v>
      </c>
      <c r="C164" s="3">
        <v>1.4755032131820499E-4</v>
      </c>
      <c r="D164" s="4">
        <v>3.6714567784642701E-3</v>
      </c>
      <c r="E164" s="3" t="s">
        <v>995</v>
      </c>
      <c r="F164" s="3" t="s">
        <v>996</v>
      </c>
      <c r="G164" s="3">
        <v>232334</v>
      </c>
      <c r="H164" s="7" t="str">
        <f>HYPERLINK("http://www.ensembl.org/Mus_musculus/Gene/Summary?db=core;g=ENSMUSG00000030315","ENSMUSG00000030315")</f>
        <v>ENSMUSG00000030315</v>
      </c>
      <c r="I164" s="7" t="str">
        <f>HYPERLINK("http://www.informatics.jax.org/marker/MGI:2652840","MGI:2652840")</f>
        <v>MGI:2652840</v>
      </c>
      <c r="J164" s="4" t="s">
        <v>12</v>
      </c>
    </row>
    <row r="165" spans="1:10" x14ac:dyDescent="0.25">
      <c r="A165" s="2">
        <v>290.65512840949702</v>
      </c>
      <c r="B165" s="3">
        <v>0.63767469157360401</v>
      </c>
      <c r="C165" s="5">
        <v>4.7309121375702202E-6</v>
      </c>
      <c r="D165" s="4">
        <v>2.53374137196439E-4</v>
      </c>
      <c r="E165" s="3" t="s">
        <v>872</v>
      </c>
      <c r="F165" s="3" t="s">
        <v>873</v>
      </c>
      <c r="G165" s="3">
        <v>24100</v>
      </c>
      <c r="H165" s="7" t="str">
        <f>HYPERLINK("http://www.ensembl.org/Mus_musculus/Gene/Summary?db=core;g=ENSMUSG00000002871","ENSMUSG00000002871")</f>
        <v>ENSMUSG00000002871</v>
      </c>
      <c r="I165" s="7" t="str">
        <f>HYPERLINK("http://www.informatics.jax.org/marker/MGI:1345190","MGI:1345190")</f>
        <v>MGI:1345190</v>
      </c>
      <c r="J165" s="4" t="s">
        <v>12</v>
      </c>
    </row>
    <row r="166" spans="1:10" x14ac:dyDescent="0.25">
      <c r="A166" s="2">
        <v>765.17861268370496</v>
      </c>
      <c r="B166" s="3">
        <v>0.63725844693393696</v>
      </c>
      <c r="C166" s="5">
        <v>8.0015574793518499E-5</v>
      </c>
      <c r="D166" s="4">
        <v>2.2636521473660401E-3</v>
      </c>
      <c r="E166" s="3" t="s">
        <v>1001</v>
      </c>
      <c r="F166" s="3" t="s">
        <v>1002</v>
      </c>
      <c r="G166" s="3">
        <v>170753</v>
      </c>
      <c r="H166" s="7" t="str">
        <f>HYPERLINK("http://www.ensembl.org/Mus_musculus/Gene/Summary?db=core;g=ENSMUSG00000040209","ENSMUSG00000040209")</f>
        <v>ENSMUSG00000040209</v>
      </c>
      <c r="I166" s="7" t="str">
        <f>HYPERLINK("http://www.informatics.jax.org/marker/MGI:2180715","MGI:2180715")</f>
        <v>MGI:2180715</v>
      </c>
      <c r="J166" s="4" t="s">
        <v>12</v>
      </c>
    </row>
    <row r="167" spans="1:10" x14ac:dyDescent="0.25">
      <c r="A167" s="2">
        <v>220.55421114132699</v>
      </c>
      <c r="B167" s="3">
        <v>0.63534678471666695</v>
      </c>
      <c r="C167" s="5">
        <v>1.4886072559116501E-5</v>
      </c>
      <c r="D167" s="4">
        <v>6.4680762347691398E-4</v>
      </c>
      <c r="E167" s="3" t="s">
        <v>3068</v>
      </c>
      <c r="F167" s="3" t="s">
        <v>3069</v>
      </c>
      <c r="G167" s="3">
        <v>240334</v>
      </c>
      <c r="H167" s="7" t="str">
        <f>HYPERLINK("http://www.ensembl.org/Mus_musculus/Gene/Summary?db=core;g=ENSMUSG00000024579","ENSMUSG00000024579")</f>
        <v>ENSMUSG00000024579</v>
      </c>
      <c r="I167" s="7" t="str">
        <f>HYPERLINK("http://www.informatics.jax.org/marker/MGI:3606062","MGI:3606062")</f>
        <v>MGI:3606062</v>
      </c>
      <c r="J167" s="4" t="s">
        <v>12</v>
      </c>
    </row>
    <row r="168" spans="1:10" x14ac:dyDescent="0.25">
      <c r="A168" s="2">
        <v>1937.7850583618799</v>
      </c>
      <c r="B168" s="3">
        <v>0.63366769263934797</v>
      </c>
      <c r="C168" s="5">
        <v>1.64707464176351E-7</v>
      </c>
      <c r="D168" s="6">
        <v>1.76425223770611E-5</v>
      </c>
      <c r="E168" s="3" t="s">
        <v>2003</v>
      </c>
      <c r="F168" s="3" t="s">
        <v>2004</v>
      </c>
      <c r="G168" s="3">
        <v>27221</v>
      </c>
      <c r="H168" s="7" t="str">
        <f>HYPERLINK("http://www.ensembl.org/Mus_musculus/Gene/Summary?db=core;g=ENSMUSG00000002835","ENSMUSG00000002835")</f>
        <v>ENSMUSG00000002835</v>
      </c>
      <c r="I168" s="7" t="str">
        <f>HYPERLINK("http://www.informatics.jax.org/marker/MGI:1351331","MGI:1351331")</f>
        <v>MGI:1351331</v>
      </c>
      <c r="J168" s="4" t="s">
        <v>12</v>
      </c>
    </row>
    <row r="169" spans="1:10" x14ac:dyDescent="0.25">
      <c r="A169" s="2">
        <v>404.969975862034</v>
      </c>
      <c r="B169" s="3">
        <v>0.63351522958025897</v>
      </c>
      <c r="C169" s="5">
        <v>1.5772809429757899E-8</v>
      </c>
      <c r="D169" s="6">
        <v>2.6477132486042799E-6</v>
      </c>
      <c r="E169" s="3" t="s">
        <v>1186</v>
      </c>
      <c r="F169" s="3" t="s">
        <v>1187</v>
      </c>
      <c r="G169" s="3">
        <v>236266</v>
      </c>
      <c r="H169" s="7" t="str">
        <f>HYPERLINK("http://www.ensembl.org/Mus_musculus/Gene/Summary?db=core;g=ENSMUSG00000063810","ENSMUSG00000063810")</f>
        <v>ENSMUSG00000063810</v>
      </c>
      <c r="I169" s="7" t="str">
        <f>HYPERLINK("http://www.informatics.jax.org/marker/MGI:1934606","MGI:1934606")</f>
        <v>MGI:1934606</v>
      </c>
      <c r="J169" s="4" t="s">
        <v>12</v>
      </c>
    </row>
    <row r="170" spans="1:10" x14ac:dyDescent="0.25">
      <c r="A170" s="2">
        <v>206.22493267353801</v>
      </c>
      <c r="B170" s="3">
        <v>0.63348555490439196</v>
      </c>
      <c r="C170" s="5">
        <v>9.9350840681877806E-5</v>
      </c>
      <c r="D170" s="4">
        <v>2.6416049767117701E-3</v>
      </c>
      <c r="E170" s="3" t="s">
        <v>3462</v>
      </c>
      <c r="F170" s="3" t="s">
        <v>3463</v>
      </c>
      <c r="G170" s="3">
        <v>58245</v>
      </c>
      <c r="H170" s="7" t="str">
        <f>HYPERLINK("http://www.ensembl.org/Mus_musculus/Gene/Summary?db=core;g=ENSMUSG00000022131","ENSMUSG00000022131")</f>
        <v>ENSMUSG00000022131</v>
      </c>
      <c r="I170" s="7" t="str">
        <f>HYPERLINK("http://www.informatics.jax.org/marker/MGI:1930949","MGI:1930949")</f>
        <v>MGI:1930949</v>
      </c>
      <c r="J170" s="4" t="s">
        <v>12</v>
      </c>
    </row>
    <row r="171" spans="1:10" x14ac:dyDescent="0.25">
      <c r="A171" s="2">
        <v>136.136298082454</v>
      </c>
      <c r="B171" s="3">
        <v>0.63228402246037796</v>
      </c>
      <c r="C171" s="3">
        <v>4.6230436581283198E-4</v>
      </c>
      <c r="D171" s="4">
        <v>8.9835126430872301E-3</v>
      </c>
      <c r="E171" s="3" t="s">
        <v>8485</v>
      </c>
      <c r="F171" s="3" t="s">
        <v>8486</v>
      </c>
      <c r="G171" s="3">
        <v>11515</v>
      </c>
      <c r="H171" s="7" t="str">
        <f>HYPERLINK("http://www.ensembl.org/Mus_musculus/Gene/Summary?db=core;g=ENSMUSG00000005580","ENSMUSG00000005580")</f>
        <v>ENSMUSG00000005580</v>
      </c>
      <c r="I171" s="7" t="str">
        <f>HYPERLINK("http://www.informatics.jax.org/marker/MGI:108450","MGI:108450")</f>
        <v>MGI:108450</v>
      </c>
      <c r="J171" s="4" t="s">
        <v>12</v>
      </c>
    </row>
    <row r="172" spans="1:10" x14ac:dyDescent="0.25">
      <c r="A172" s="2">
        <v>113.01105506021401</v>
      </c>
      <c r="B172" s="3">
        <v>0.63217642905968696</v>
      </c>
      <c r="C172" s="3">
        <v>7.0451112928325305E-4</v>
      </c>
      <c r="D172" s="4">
        <v>1.2240728197042101E-2</v>
      </c>
      <c r="E172" s="3" t="s">
        <v>6433</v>
      </c>
      <c r="F172" s="3" t="s">
        <v>6434</v>
      </c>
      <c r="G172" s="3">
        <v>433926</v>
      </c>
      <c r="H172" s="7" t="str">
        <f>HYPERLINK("http://www.ensembl.org/Mus_musculus/Gene/Summary?db=core;g=ENSMUSG00000070639","ENSMUSG00000070639")</f>
        <v>ENSMUSG00000070639</v>
      </c>
      <c r="I172" s="7" t="str">
        <f>HYPERLINK("http://www.informatics.jax.org/marker/MGI:2141353","MGI:2141353")</f>
        <v>MGI:2141353</v>
      </c>
      <c r="J172" s="4" t="s">
        <v>12</v>
      </c>
    </row>
    <row r="173" spans="1:10" x14ac:dyDescent="0.25">
      <c r="A173" s="2">
        <v>114.21291680502701</v>
      </c>
      <c r="B173" s="3">
        <v>0.63096037818090001</v>
      </c>
      <c r="C173" s="3">
        <v>1.4912144738257001E-3</v>
      </c>
      <c r="D173" s="4">
        <v>2.1838136962392798E-2</v>
      </c>
      <c r="E173" s="3" t="s">
        <v>4577</v>
      </c>
      <c r="F173" s="3" t="s">
        <v>4578</v>
      </c>
      <c r="G173" s="3">
        <v>228662</v>
      </c>
      <c r="H173" s="7" t="str">
        <f>HYPERLINK("http://www.ensembl.org/Mus_musculus/Gene/Summary?db=core;g=ENSMUSG00000062098","ENSMUSG00000062098")</f>
        <v>ENSMUSG00000062098</v>
      </c>
      <c r="I173" s="7" t="str">
        <f>HYPERLINK("http://www.informatics.jax.org/marker/MGI:2385155","MGI:2385155")</f>
        <v>MGI:2385155</v>
      </c>
      <c r="J173" s="4" t="s">
        <v>12</v>
      </c>
    </row>
    <row r="174" spans="1:10" x14ac:dyDescent="0.25">
      <c r="A174" s="2">
        <v>5366.5290353230903</v>
      </c>
      <c r="B174" s="3">
        <v>0.62866676724966297</v>
      </c>
      <c r="C174" s="5">
        <v>9.7774642086595105E-12</v>
      </c>
      <c r="D174" s="6">
        <v>5.7877442081470299E-9</v>
      </c>
      <c r="E174" s="3" t="s">
        <v>816</v>
      </c>
      <c r="F174" s="3" t="s">
        <v>817</v>
      </c>
      <c r="G174" s="3">
        <v>13433</v>
      </c>
      <c r="H174" s="7" t="str">
        <f>HYPERLINK("http://www.ensembl.org/Mus_musculus/Gene/Summary?db=core;g=ENSMUSG00000004099","ENSMUSG00000004099")</f>
        <v>ENSMUSG00000004099</v>
      </c>
      <c r="I174" s="7" t="str">
        <f>HYPERLINK("http://www.informatics.jax.org/marker/MGI:94912","MGI:94912")</f>
        <v>MGI:94912</v>
      </c>
      <c r="J174" s="4" t="s">
        <v>12</v>
      </c>
    </row>
    <row r="175" spans="1:10" x14ac:dyDescent="0.25">
      <c r="A175" s="2">
        <v>88.526425589559807</v>
      </c>
      <c r="B175" s="3">
        <v>0.62853779884081096</v>
      </c>
      <c r="C175" s="3">
        <v>2.7919888841624E-3</v>
      </c>
      <c r="D175" s="4">
        <v>3.4697788928369597E-2</v>
      </c>
      <c r="E175" s="3" t="s">
        <v>4735</v>
      </c>
      <c r="F175" s="3" t="s">
        <v>4736</v>
      </c>
      <c r="G175" s="3">
        <v>20688</v>
      </c>
      <c r="H175" s="7" t="str">
        <f>HYPERLINK("http://www.ensembl.org/Mus_musculus/Gene/Summary?db=core;g=ENSMUSG00000025323","ENSMUSG00000025323")</f>
        <v>ENSMUSG00000025323</v>
      </c>
      <c r="I175" s="7" t="str">
        <f>HYPERLINK("http://www.informatics.jax.org/marker/MGI:107595","MGI:107595")</f>
        <v>MGI:107595</v>
      </c>
      <c r="J175" s="4" t="s">
        <v>12</v>
      </c>
    </row>
    <row r="176" spans="1:10" x14ac:dyDescent="0.25">
      <c r="A176" s="2">
        <v>398.46923233625199</v>
      </c>
      <c r="B176" s="3">
        <v>0.62806833952531405</v>
      </c>
      <c r="C176" s="5">
        <v>3.4055092022587499E-5</v>
      </c>
      <c r="D176" s="4">
        <v>1.22369846638352E-3</v>
      </c>
      <c r="E176" s="3" t="s">
        <v>1668</v>
      </c>
      <c r="F176" s="3" t="s">
        <v>1669</v>
      </c>
      <c r="G176" s="3">
        <v>319518</v>
      </c>
      <c r="H176" s="7" t="str">
        <f>HYPERLINK("http://www.ensembl.org/Mus_musculus/Gene/Summary?db=core;g=ENSMUSG00000033624","ENSMUSG00000033624")</f>
        <v>ENSMUSG00000033624</v>
      </c>
      <c r="I176" s="7" t="str">
        <f>HYPERLINK("http://www.informatics.jax.org/marker/MGI:2442188","MGI:2442188")</f>
        <v>MGI:2442188</v>
      </c>
      <c r="J176" s="4" t="s">
        <v>12</v>
      </c>
    </row>
    <row r="177" spans="1:10" x14ac:dyDescent="0.25">
      <c r="A177" s="2">
        <v>381.232309320046</v>
      </c>
      <c r="B177" s="3">
        <v>0.62440059469450204</v>
      </c>
      <c r="C177" s="5">
        <v>7.6168820316334303E-6</v>
      </c>
      <c r="D177" s="4">
        <v>3.8244228665080897E-4</v>
      </c>
      <c r="E177" s="3" t="s">
        <v>764</v>
      </c>
      <c r="F177" s="3" t="s">
        <v>765</v>
      </c>
      <c r="G177" s="3">
        <v>235041</v>
      </c>
      <c r="H177" s="7" t="str">
        <f>HYPERLINK("http://www.ensembl.org/Mus_musculus/Gene/Summary?db=core;g=ENSMUSG00000032194","ENSMUSG00000032194")</f>
        <v>ENSMUSG00000032194</v>
      </c>
      <c r="I177" s="7" t="str">
        <f>HYPERLINK("http://www.informatics.jax.org/marker/MGI:2384568","MGI:2384568")</f>
        <v>MGI:2384568</v>
      </c>
      <c r="J177" s="4" t="s">
        <v>12</v>
      </c>
    </row>
    <row r="178" spans="1:10" x14ac:dyDescent="0.25">
      <c r="A178" s="2">
        <v>671.80022275595798</v>
      </c>
      <c r="B178" s="3">
        <v>0.62351132593103298</v>
      </c>
      <c r="C178" s="5">
        <v>2.9353751082342102E-5</v>
      </c>
      <c r="D178" s="4">
        <v>1.07853290861173E-3</v>
      </c>
      <c r="E178" s="3" t="s">
        <v>12859</v>
      </c>
      <c r="F178" s="3" t="s">
        <v>12860</v>
      </c>
      <c r="G178" s="3">
        <v>209131</v>
      </c>
      <c r="H178" s="7" t="str">
        <f>HYPERLINK("http://www.ensembl.org/Mus_musculus/Gene/Summary?db=core;g=ENSMUSG00000028385","ENSMUSG00000028385")</f>
        <v>ENSMUSG00000028385</v>
      </c>
      <c r="I178" s="7" t="str">
        <f>HYPERLINK("http://www.informatics.jax.org/marker/MGI:2443882","MGI:2443882")</f>
        <v>MGI:2443882</v>
      </c>
      <c r="J178" s="4" t="s">
        <v>12</v>
      </c>
    </row>
    <row r="179" spans="1:10" x14ac:dyDescent="0.25">
      <c r="A179" s="2">
        <v>432.18956093574502</v>
      </c>
      <c r="B179" s="3">
        <v>0.62280848323686899</v>
      </c>
      <c r="C179" s="5">
        <v>8.6715432230500593E-6</v>
      </c>
      <c r="D179" s="4">
        <v>4.2403846360714801E-4</v>
      </c>
      <c r="E179" s="3" t="s">
        <v>4491</v>
      </c>
      <c r="F179" s="3" t="s">
        <v>4492</v>
      </c>
      <c r="G179" s="3">
        <v>74008</v>
      </c>
      <c r="H179" s="7" t="str">
        <f>HYPERLINK("http://www.ensembl.org/Mus_musculus/Gene/Summary?db=core;g=ENSMUSG00000020604","ENSMUSG00000020604")</f>
        <v>ENSMUSG00000020604</v>
      </c>
      <c r="I179" s="7" t="str">
        <f>HYPERLINK("http://www.informatics.jax.org/marker/MGI:1921258","MGI:1921258")</f>
        <v>MGI:1921258</v>
      </c>
      <c r="J179" s="4" t="s">
        <v>12</v>
      </c>
    </row>
    <row r="180" spans="1:10" x14ac:dyDescent="0.25">
      <c r="A180" s="2">
        <v>361.78092131641199</v>
      </c>
      <c r="B180" s="3">
        <v>0.62115856899893795</v>
      </c>
      <c r="C180" s="3">
        <v>1.6165901916046299E-3</v>
      </c>
      <c r="D180" s="4">
        <v>2.3161515777041002E-2</v>
      </c>
      <c r="E180" s="3" t="s">
        <v>3278</v>
      </c>
      <c r="F180" s="3" t="s">
        <v>3279</v>
      </c>
      <c r="G180" s="3">
        <v>268903</v>
      </c>
      <c r="H180" s="7" t="str">
        <f>HYPERLINK("http://www.ensembl.org/Mus_musculus/Gene/Summary?db=core;g=ENSMUSG00000048490","ENSMUSG00000048490")</f>
        <v>ENSMUSG00000048490</v>
      </c>
      <c r="I180" s="7" t="str">
        <f>HYPERLINK("http://www.informatics.jax.org/marker/MGI:1315213","MGI:1315213")</f>
        <v>MGI:1315213</v>
      </c>
      <c r="J180" s="4" t="s">
        <v>12</v>
      </c>
    </row>
    <row r="181" spans="1:10" x14ac:dyDescent="0.25">
      <c r="A181" s="2">
        <v>267.99554025103902</v>
      </c>
      <c r="B181" s="3">
        <v>0.62038423813733501</v>
      </c>
      <c r="C181" s="5">
        <v>2.6999665678001898E-6</v>
      </c>
      <c r="D181" s="4">
        <v>1.6257450964912799E-4</v>
      </c>
      <c r="E181" s="3" t="s">
        <v>2101</v>
      </c>
      <c r="F181" s="3" t="s">
        <v>2102</v>
      </c>
      <c r="G181" s="3">
        <v>260409</v>
      </c>
      <c r="H181" s="7" t="str">
        <f>HYPERLINK("http://www.ensembl.org/Mus_musculus/Gene/Summary?db=core;g=ENSMUSG00000036533","ENSMUSG00000036533")</f>
        <v>ENSMUSG00000036533</v>
      </c>
      <c r="I181" s="7" t="str">
        <f>HYPERLINK("http://www.informatics.jax.org/marker/MGI:2384718","MGI:2384718")</f>
        <v>MGI:2384718</v>
      </c>
      <c r="J181" s="4" t="s">
        <v>12</v>
      </c>
    </row>
    <row r="182" spans="1:10" x14ac:dyDescent="0.25">
      <c r="A182" s="2">
        <v>226.72055609442401</v>
      </c>
      <c r="B182" s="3">
        <v>0.61876135008067601</v>
      </c>
      <c r="C182" s="5">
        <v>9.4990660454421605E-5</v>
      </c>
      <c r="D182" s="4">
        <v>2.5497851029376599E-3</v>
      </c>
      <c r="E182" s="3" t="s">
        <v>710</v>
      </c>
      <c r="F182" s="3" t="s">
        <v>711</v>
      </c>
      <c r="G182" s="3">
        <v>12580</v>
      </c>
      <c r="H182" s="7" t="str">
        <f>HYPERLINK("http://www.ensembl.org/Mus_musculus/Gene/Summary?db=core;g=ENSMUSG00000028551","ENSMUSG00000028551")</f>
        <v>ENSMUSG00000028551</v>
      </c>
      <c r="I182" s="7" t="str">
        <f>HYPERLINK("http://www.informatics.jax.org/marker/MGI:105388","MGI:105388")</f>
        <v>MGI:105388</v>
      </c>
      <c r="J182" s="4" t="s">
        <v>12</v>
      </c>
    </row>
    <row r="183" spans="1:10" x14ac:dyDescent="0.25">
      <c r="A183" s="2">
        <v>1278.5354302507201</v>
      </c>
      <c r="B183" s="3">
        <v>0.61825088436368802</v>
      </c>
      <c r="C183" s="5">
        <v>8.64469274553113E-5</v>
      </c>
      <c r="D183" s="4">
        <v>2.38301125757325E-3</v>
      </c>
      <c r="E183" s="3" t="s">
        <v>922</v>
      </c>
      <c r="F183" s="3" t="s">
        <v>923</v>
      </c>
      <c r="G183" s="3">
        <v>12606</v>
      </c>
      <c r="H183" s="7" t="str">
        <f>HYPERLINK("http://www.ensembl.org/Mus_musculus/Gene/Summary?db=core;g=ENSMUSG00000034957","ENSMUSG00000034957")</f>
        <v>ENSMUSG00000034957</v>
      </c>
      <c r="I183" s="7" t="str">
        <f>HYPERLINK("http://www.informatics.jax.org/marker/MGI:99480","MGI:99480")</f>
        <v>MGI:99480</v>
      </c>
      <c r="J183" s="4" t="s">
        <v>12</v>
      </c>
    </row>
    <row r="184" spans="1:10" x14ac:dyDescent="0.25">
      <c r="A184" s="2">
        <v>231.511075639322</v>
      </c>
      <c r="B184" s="3">
        <v>0.61804539409844295</v>
      </c>
      <c r="C184" s="3">
        <v>3.2351505163973998E-4</v>
      </c>
      <c r="D184" s="4">
        <v>6.9438431026567901E-3</v>
      </c>
      <c r="E184" s="3" t="s">
        <v>720</v>
      </c>
      <c r="F184" s="3" t="s">
        <v>721</v>
      </c>
      <c r="G184" s="3">
        <v>18441</v>
      </c>
      <c r="H184" s="7" t="str">
        <f>HYPERLINK("http://www.ensembl.org/Mus_musculus/Gene/Summary?db=core;g=ENSMUSG00000027765","ENSMUSG00000027765")</f>
        <v>ENSMUSG00000027765</v>
      </c>
      <c r="I184" s="7" t="str">
        <f>HYPERLINK("http://www.informatics.jax.org/marker/MGI:105049","MGI:105049")</f>
        <v>MGI:105049</v>
      </c>
      <c r="J184" s="4" t="s">
        <v>12</v>
      </c>
    </row>
    <row r="185" spans="1:10" x14ac:dyDescent="0.25">
      <c r="A185" s="2">
        <v>381.701880867814</v>
      </c>
      <c r="B185" s="3">
        <v>0.61772566045486799</v>
      </c>
      <c r="C185" s="5">
        <v>5.2153509893423301E-5</v>
      </c>
      <c r="D185" s="4">
        <v>1.7002044225256001E-3</v>
      </c>
      <c r="E185" s="3" t="s">
        <v>2559</v>
      </c>
      <c r="F185" s="3" t="s">
        <v>2560</v>
      </c>
      <c r="G185" s="3">
        <v>216846</v>
      </c>
      <c r="H185" s="7" t="str">
        <f>HYPERLINK("http://www.ensembl.org/Mus_musculus/Gene/Summary?db=core;g=ENSMUSG00000032782","ENSMUSG00000032782")</f>
        <v>ENSMUSG00000032782</v>
      </c>
      <c r="I185" s="7" t="str">
        <f>HYPERLINK("http://www.informatics.jax.org/marker/MGI:2443290","MGI:2443290")</f>
        <v>MGI:2443290</v>
      </c>
      <c r="J185" s="4" t="s">
        <v>12</v>
      </c>
    </row>
    <row r="186" spans="1:10" x14ac:dyDescent="0.25">
      <c r="A186" s="2">
        <v>551.06089102560099</v>
      </c>
      <c r="B186" s="3">
        <v>0.61436830000702103</v>
      </c>
      <c r="C186" s="3">
        <v>7.1863849902717902E-4</v>
      </c>
      <c r="D186" s="4">
        <v>1.2396514108218799E-2</v>
      </c>
      <c r="E186" s="3" t="s">
        <v>3414</v>
      </c>
      <c r="F186" s="3" t="s">
        <v>3415</v>
      </c>
      <c r="G186" s="3">
        <v>67484</v>
      </c>
      <c r="H186" s="7" t="str">
        <f>HYPERLINK("http://www.ensembl.org/Mus_musculus/Gene/Summary?db=core;g=ENSMUSG00000036611","ENSMUSG00000036611")</f>
        <v>ENSMUSG00000036611</v>
      </c>
      <c r="I186" s="7" t="str">
        <f>HYPERLINK("http://www.informatics.jax.org/marker/MGI:1914734","MGI:1914734")</f>
        <v>MGI:1914734</v>
      </c>
      <c r="J186" s="4" t="s">
        <v>12</v>
      </c>
    </row>
    <row r="187" spans="1:10" x14ac:dyDescent="0.25">
      <c r="A187" s="2">
        <v>512.23368126993398</v>
      </c>
      <c r="B187" s="3">
        <v>0.61337471787144004</v>
      </c>
      <c r="C187" s="5">
        <v>2.6378924118306101E-6</v>
      </c>
      <c r="D187" s="4">
        <v>1.6036959976139899E-4</v>
      </c>
      <c r="E187" s="3" t="s">
        <v>1340</v>
      </c>
      <c r="F187" s="3" t="s">
        <v>1341</v>
      </c>
      <c r="G187" s="3">
        <v>77045</v>
      </c>
      <c r="H187" s="7" t="str">
        <f>HYPERLINK("http://www.ensembl.org/Mus_musculus/Gene/Summary?db=core;g=ENSMUSG00000029438","ENSMUSG00000029438")</f>
        <v>ENSMUSG00000029438</v>
      </c>
      <c r="I187" s="7" t="str">
        <f>HYPERLINK("http://www.informatics.jax.org/marker/MGI:1924295","MGI:1924295")</f>
        <v>MGI:1924295</v>
      </c>
      <c r="J187" s="4" t="s">
        <v>12</v>
      </c>
    </row>
    <row r="188" spans="1:10" x14ac:dyDescent="0.25">
      <c r="A188" s="2">
        <v>119.496930688671</v>
      </c>
      <c r="B188" s="3">
        <v>0.61327656688853405</v>
      </c>
      <c r="C188" s="3">
        <v>9.2468962304786896E-4</v>
      </c>
      <c r="D188" s="4">
        <v>1.49855679977225E-2</v>
      </c>
      <c r="E188" s="3" t="s">
        <v>2239</v>
      </c>
      <c r="F188" s="3" t="s">
        <v>2240</v>
      </c>
      <c r="G188" s="3">
        <v>22701</v>
      </c>
      <c r="H188" s="7" t="str">
        <f>HYPERLINK("http://www.ensembl.org/Mus_musculus/Gene/Summary?db=core;g=ENSMUSG00000047003","ENSMUSG00000047003")</f>
        <v>ENSMUSG00000047003</v>
      </c>
      <c r="I188" s="7" t="str">
        <f>HYPERLINK("http://www.informatics.jax.org/marker/MGI:99186","MGI:99186")</f>
        <v>MGI:99186</v>
      </c>
      <c r="J188" s="4" t="s">
        <v>12</v>
      </c>
    </row>
    <row r="189" spans="1:10" x14ac:dyDescent="0.25">
      <c r="A189" s="2">
        <v>95.902066449568494</v>
      </c>
      <c r="B189" s="3">
        <v>0.61052614537190897</v>
      </c>
      <c r="C189" s="3">
        <v>3.89243613565167E-3</v>
      </c>
      <c r="D189" s="4">
        <v>4.4354842165830098E-2</v>
      </c>
      <c r="E189" s="3" t="s">
        <v>4999</v>
      </c>
      <c r="F189" s="3" t="s">
        <v>5000</v>
      </c>
      <c r="G189" s="3">
        <v>234353</v>
      </c>
      <c r="H189" s="7" t="str">
        <f>HYPERLINK("http://www.ensembl.org/Mus_musculus/Gene/Summary?db=core;g=ENSMUSG00000030465","ENSMUSG00000030465")</f>
        <v>ENSMUSG00000030465</v>
      </c>
      <c r="I189" s="7" t="str">
        <f>HYPERLINK("http://www.informatics.jax.org/marker/MGI:1918215","MGI:1918215")</f>
        <v>MGI:1918215</v>
      </c>
      <c r="J189" s="4" t="s">
        <v>12</v>
      </c>
    </row>
    <row r="190" spans="1:10" x14ac:dyDescent="0.25">
      <c r="A190" s="2">
        <v>199.825199547491</v>
      </c>
      <c r="B190" s="3">
        <v>0.61031188243650902</v>
      </c>
      <c r="C190" s="5">
        <v>3.9515628848075299E-6</v>
      </c>
      <c r="D190" s="4">
        <v>2.1679623300209901E-4</v>
      </c>
      <c r="E190" s="3" t="s">
        <v>9737</v>
      </c>
      <c r="F190" s="3" t="s">
        <v>9738</v>
      </c>
      <c r="G190" s="3">
        <v>76773</v>
      </c>
      <c r="H190" s="7" t="str">
        <f>HYPERLINK("http://www.ensembl.org/Mus_musculus/Gene/Summary?db=core;g=ENSMUSG00000022359","ENSMUSG00000022359")</f>
        <v>ENSMUSG00000022359</v>
      </c>
      <c r="I190" s="7" t="str">
        <f>HYPERLINK("http://www.informatics.jax.org/marker/MGI:1924023","MGI:1924023")</f>
        <v>MGI:1924023</v>
      </c>
      <c r="J190" s="4" t="s">
        <v>12</v>
      </c>
    </row>
    <row r="191" spans="1:10" x14ac:dyDescent="0.25">
      <c r="A191" s="2">
        <v>210.407866429622</v>
      </c>
      <c r="B191" s="3">
        <v>0.61013528703141495</v>
      </c>
      <c r="C191" s="5">
        <v>1.4021964408646401E-5</v>
      </c>
      <c r="D191" s="4">
        <v>6.1845111256488797E-4</v>
      </c>
      <c r="E191" s="3" t="s">
        <v>4253</v>
      </c>
      <c r="F191" s="3" t="s">
        <v>4254</v>
      </c>
      <c r="G191" s="3">
        <v>52504</v>
      </c>
      <c r="H191" s="7" t="str">
        <f>HYPERLINK("http://www.ensembl.org/Mus_musculus/Gene/Summary?db=core;g=ENSMUSG00000020652","ENSMUSG00000020652")</f>
        <v>ENSMUSG00000020652</v>
      </c>
      <c r="I191" s="7" t="str">
        <f>HYPERLINK("http://www.informatics.jax.org/marker/MGI:1923800","MGI:1923800")</f>
        <v>MGI:1923800</v>
      </c>
      <c r="J191" s="4" t="s">
        <v>12</v>
      </c>
    </row>
    <row r="192" spans="1:10" x14ac:dyDescent="0.25">
      <c r="A192" s="2">
        <v>78.558081540820694</v>
      </c>
      <c r="B192" s="3">
        <v>0.60822455665793196</v>
      </c>
      <c r="C192" s="3">
        <v>4.3307299521990004E-3</v>
      </c>
      <c r="D192" s="4">
        <v>4.77526664435119E-2</v>
      </c>
      <c r="E192" s="3" t="s">
        <v>4371</v>
      </c>
      <c r="F192" s="3" t="s">
        <v>4372</v>
      </c>
      <c r="G192" s="3">
        <v>214345</v>
      </c>
      <c r="H192" s="7" t="str">
        <f>HYPERLINK("http://www.ensembl.org/Mus_musculus/Gene/Summary?db=core;g=ENSMUSG00000032352","ENSMUSG00000032352")</f>
        <v>ENSMUSG00000032352</v>
      </c>
      <c r="I192" s="7" t="str">
        <f>HYPERLINK("http://www.informatics.jax.org/marker/MGI:2442313","MGI:2442313")</f>
        <v>MGI:2442313</v>
      </c>
      <c r="J192" s="4" t="s">
        <v>12</v>
      </c>
    </row>
    <row r="193" spans="1:10" x14ac:dyDescent="0.25">
      <c r="A193" s="2">
        <v>723.751272297279</v>
      </c>
      <c r="B193" s="3">
        <v>0.60796857024470496</v>
      </c>
      <c r="C193" s="5">
        <v>2.8447074588039199E-5</v>
      </c>
      <c r="D193" s="4">
        <v>1.0605544077682801E-3</v>
      </c>
      <c r="E193" s="3" t="s">
        <v>4861</v>
      </c>
      <c r="F193" s="3" t="s">
        <v>4862</v>
      </c>
      <c r="G193" s="3">
        <v>50720</v>
      </c>
      <c r="H193" s="7" t="str">
        <f>HYPERLINK("http://www.ensembl.org/Mus_musculus/Gene/Summary?db=core;g=ENSMUSG00000048279","ENSMUSG00000048279")</f>
        <v>ENSMUSG00000048279</v>
      </c>
      <c r="I193" s="7" t="str">
        <f>HYPERLINK("http://www.informatics.jax.org/marker/MGI:1354724","MGI:1354724")</f>
        <v>MGI:1354724</v>
      </c>
      <c r="J193" s="4" t="s">
        <v>12</v>
      </c>
    </row>
    <row r="194" spans="1:10" x14ac:dyDescent="0.25">
      <c r="A194" s="2">
        <v>212.18422514985599</v>
      </c>
      <c r="B194" s="3">
        <v>0.60588651638899205</v>
      </c>
      <c r="C194" s="3">
        <v>4.9927249672659295E-4</v>
      </c>
      <c r="D194" s="4">
        <v>9.5336464697521103E-3</v>
      </c>
      <c r="E194" s="3" t="s">
        <v>1760</v>
      </c>
      <c r="F194" s="3" t="s">
        <v>1761</v>
      </c>
      <c r="G194" s="3">
        <v>18027</v>
      </c>
      <c r="H194" s="7" t="str">
        <f>HYPERLINK("http://www.ensembl.org/Mus_musculus/Gene/Summary?db=core;g=ENSMUSG00000028565","ENSMUSG00000028565")</f>
        <v>ENSMUSG00000028565</v>
      </c>
      <c r="I194" s="7" t="str">
        <f>HYPERLINK("http://www.informatics.jax.org/marker/MGI:108056","MGI:108056")</f>
        <v>MGI:108056</v>
      </c>
      <c r="J194" s="4" t="s">
        <v>12</v>
      </c>
    </row>
    <row r="195" spans="1:10" x14ac:dyDescent="0.25">
      <c r="A195" s="2">
        <v>265.57524551789697</v>
      </c>
      <c r="B195" s="3">
        <v>0.60571999880863303</v>
      </c>
      <c r="C195" s="5">
        <v>4.0988186935520201E-7</v>
      </c>
      <c r="D195" s="6">
        <v>3.65868363860156E-5</v>
      </c>
      <c r="E195" s="3" t="s">
        <v>2653</v>
      </c>
      <c r="F195" s="3" t="s">
        <v>2654</v>
      </c>
      <c r="G195" s="3">
        <v>13666</v>
      </c>
      <c r="H195" s="7" t="str">
        <f>HYPERLINK("http://www.ensembl.org/Mus_musculus/Gene/Summary?db=core;g=ENSMUSG00000031668","ENSMUSG00000031668")</f>
        <v>ENSMUSG00000031668</v>
      </c>
      <c r="I195" s="7" t="str">
        <f>HYPERLINK("http://www.informatics.jax.org/marker/MGI:1341830","MGI:1341830")</f>
        <v>MGI:1341830</v>
      </c>
      <c r="J195" s="4" t="s">
        <v>12</v>
      </c>
    </row>
    <row r="196" spans="1:10" x14ac:dyDescent="0.25">
      <c r="A196" s="2">
        <v>932.63137788778602</v>
      </c>
      <c r="B196" s="3">
        <v>0.60374929868618499</v>
      </c>
      <c r="C196" s="5">
        <v>1.8530290572919701E-14</v>
      </c>
      <c r="D196" s="6">
        <v>2.9772882581946797E-11</v>
      </c>
      <c r="E196" s="3" t="s">
        <v>158</v>
      </c>
      <c r="F196" s="3" t="s">
        <v>159</v>
      </c>
      <c r="G196" s="3">
        <v>219072</v>
      </c>
      <c r="H196" s="7" t="str">
        <f>HYPERLINK("http://www.ensembl.org/Mus_musculus/Gene/Summary?db=core;g=ENSMUSG00000022177","ENSMUSG00000022177")</f>
        <v>ENSMUSG00000022177</v>
      </c>
      <c r="I196" s="7" t="str">
        <f>HYPERLINK("http://www.informatics.jax.org/marker/MGI:1261794","MGI:1261794")</f>
        <v>MGI:1261794</v>
      </c>
      <c r="J196" s="4" t="s">
        <v>12</v>
      </c>
    </row>
    <row r="197" spans="1:10" x14ac:dyDescent="0.25">
      <c r="A197" s="2">
        <v>210.864489003074</v>
      </c>
      <c r="B197" s="3">
        <v>0.60309842553415705</v>
      </c>
      <c r="C197" s="5">
        <v>5.6676464575041803E-6</v>
      </c>
      <c r="D197" s="4">
        <v>2.9648381259325299E-4</v>
      </c>
      <c r="E197" s="3" t="s">
        <v>2209</v>
      </c>
      <c r="F197" s="3" t="s">
        <v>2210</v>
      </c>
      <c r="G197" s="3">
        <v>320799</v>
      </c>
      <c r="H197" s="7" t="str">
        <f>HYPERLINK("http://www.ensembl.org/Mus_musculus/Gene/Summary?db=core;g=ENSMUSG00000035877","ENSMUSG00000035877")</f>
        <v>ENSMUSG00000035877</v>
      </c>
      <c r="I197" s="7" t="str">
        <f>HYPERLINK("http://www.informatics.jax.org/marker/MGI:2444772","MGI:2444772")</f>
        <v>MGI:2444772</v>
      </c>
      <c r="J197" s="4" t="s">
        <v>12</v>
      </c>
    </row>
    <row r="198" spans="1:10" x14ac:dyDescent="0.25">
      <c r="A198" s="2">
        <v>216.94465822069799</v>
      </c>
      <c r="B198" s="3">
        <v>0.60237238418639305</v>
      </c>
      <c r="C198" s="5">
        <v>6.9266574910822903E-6</v>
      </c>
      <c r="D198" s="4">
        <v>3.5410962182819302E-4</v>
      </c>
      <c r="E198" s="3" t="s">
        <v>7666</v>
      </c>
      <c r="F198" s="3" t="s">
        <v>7667</v>
      </c>
      <c r="G198" s="3">
        <v>57028</v>
      </c>
      <c r="H198" s="7" t="str">
        <f>HYPERLINK("http://www.ensembl.org/Mus_musculus/Gene/Summary?db=core;g=ENSMUSG00000116165","ENSMUSG00000116165")</f>
        <v>ENSMUSG00000116165</v>
      </c>
      <c r="I198" s="7" t="str">
        <f>HYPERLINK("http://www.informatics.jax.org/marker/MGI:1919282","MGI:1919282")</f>
        <v>MGI:1919282</v>
      </c>
      <c r="J198" s="4" t="s">
        <v>12</v>
      </c>
    </row>
    <row r="199" spans="1:10" x14ac:dyDescent="0.25">
      <c r="A199" s="2">
        <v>209.896984624814</v>
      </c>
      <c r="B199" s="3">
        <v>0.60220762967611197</v>
      </c>
      <c r="C199" s="5">
        <v>6.6757571491393499E-5</v>
      </c>
      <c r="D199" s="4">
        <v>1.9938019853062701E-3</v>
      </c>
      <c r="E199" s="3" t="s">
        <v>1112</v>
      </c>
      <c r="F199" s="3" t="s">
        <v>1113</v>
      </c>
      <c r="G199" s="3">
        <v>22241</v>
      </c>
      <c r="H199" s="7" t="str">
        <f>HYPERLINK("http://www.ensembl.org/Mus_musculus/Gene/Summary?db=core;g=ENSMUSG00000029512","ENSMUSG00000029512")</f>
        <v>ENSMUSG00000029512</v>
      </c>
      <c r="I199" s="7" t="str">
        <f>HYPERLINK("http://www.informatics.jax.org/marker/MGI:1270126","MGI:1270126")</f>
        <v>MGI:1270126</v>
      </c>
      <c r="J199" s="4" t="s">
        <v>12</v>
      </c>
    </row>
    <row r="200" spans="1:10" x14ac:dyDescent="0.25">
      <c r="A200" s="2">
        <v>424.015736230431</v>
      </c>
      <c r="B200" s="3">
        <v>0.60172871270769102</v>
      </c>
      <c r="C200" s="5">
        <v>2.3919190542982599E-5</v>
      </c>
      <c r="D200" s="4">
        <v>9.2446438500661595E-4</v>
      </c>
      <c r="E200" s="3" t="s">
        <v>1302</v>
      </c>
      <c r="F200" s="3" t="s">
        <v>1303</v>
      </c>
      <c r="G200" s="3">
        <v>71988</v>
      </c>
      <c r="H200" s="7" t="str">
        <f>HYPERLINK("http://www.ensembl.org/Mus_musculus/Gene/Summary?db=core;g=ENSMUSG00000022034","ENSMUSG00000022034")</f>
        <v>ENSMUSG00000022034</v>
      </c>
      <c r="I200" s="7" t="str">
        <f>HYPERLINK("http://www.informatics.jax.org/marker/MGI:1919238","MGI:1919238")</f>
        <v>MGI:1919238</v>
      </c>
      <c r="J200" s="4" t="s">
        <v>12</v>
      </c>
    </row>
    <row r="201" spans="1:10" x14ac:dyDescent="0.25">
      <c r="A201" s="2">
        <v>633.84837252320301</v>
      </c>
      <c r="B201" s="3">
        <v>0.59631185604249104</v>
      </c>
      <c r="C201" s="3">
        <v>5.3513570036404601E-4</v>
      </c>
      <c r="D201" s="4">
        <v>1.0049028633799299E-2</v>
      </c>
      <c r="E201" s="3" t="s">
        <v>2533</v>
      </c>
      <c r="F201" s="3" t="s">
        <v>2534</v>
      </c>
      <c r="G201" s="3">
        <v>12447</v>
      </c>
      <c r="H201" s="7" t="str">
        <f>HYPERLINK("http://www.ensembl.org/Mus_musculus/Gene/Summary?db=core;g=ENSMUSG00000002068","ENSMUSG00000002068")</f>
        <v>ENSMUSG00000002068</v>
      </c>
      <c r="I201" s="7" t="str">
        <f>HYPERLINK("http://www.informatics.jax.org/marker/MGI:88316","MGI:88316")</f>
        <v>MGI:88316</v>
      </c>
      <c r="J201" s="4" t="s">
        <v>12</v>
      </c>
    </row>
    <row r="202" spans="1:10" x14ac:dyDescent="0.25">
      <c r="A202" s="2">
        <v>3074.89224700984</v>
      </c>
      <c r="B202" s="3">
        <v>0.59374411365097601</v>
      </c>
      <c r="C202" s="5">
        <v>9.2263081664891901E-11</v>
      </c>
      <c r="D202" s="6">
        <v>4.1507315179401598E-8</v>
      </c>
      <c r="E202" s="3" t="s">
        <v>562</v>
      </c>
      <c r="F202" s="3" t="s">
        <v>563</v>
      </c>
      <c r="G202" s="3">
        <v>17220</v>
      </c>
      <c r="H202" s="7" t="str">
        <f>HYPERLINK("http://www.ensembl.org/Mus_musculus/Gene/Summary?db=core;g=ENSMUSG00000029730","ENSMUSG00000029730")</f>
        <v>ENSMUSG00000029730</v>
      </c>
      <c r="I202" s="7" t="str">
        <f>HYPERLINK("http://www.informatics.jax.org/marker/MGI:1298398","MGI:1298398")</f>
        <v>MGI:1298398</v>
      </c>
      <c r="J202" s="4" t="s">
        <v>12</v>
      </c>
    </row>
    <row r="203" spans="1:10" x14ac:dyDescent="0.25">
      <c r="A203" s="2">
        <v>3853.2638837487202</v>
      </c>
      <c r="B203" s="3">
        <v>0.59108502811184704</v>
      </c>
      <c r="C203" s="5">
        <v>3.2500031863676999E-9</v>
      </c>
      <c r="D203" s="6">
        <v>7.4597522116484801E-7</v>
      </c>
      <c r="E203" s="3" t="s">
        <v>596</v>
      </c>
      <c r="F203" s="3" t="s">
        <v>597</v>
      </c>
      <c r="G203" s="3">
        <v>71085</v>
      </c>
      <c r="H203" s="7" t="str">
        <f>HYPERLINK("http://www.ensembl.org/Mus_musculus/Gene/Summary?db=core;g=ENSMUSG00000025154","ENSMUSG00000025154")</f>
        <v>ENSMUSG00000025154</v>
      </c>
      <c r="I203" s="7" t="str">
        <f>HYPERLINK("http://www.informatics.jax.org/marker/MGI:1918335","MGI:1918335")</f>
        <v>MGI:1918335</v>
      </c>
      <c r="J203" s="4" t="s">
        <v>12</v>
      </c>
    </row>
    <row r="204" spans="1:10" x14ac:dyDescent="0.25">
      <c r="A204" s="2">
        <v>193.79877232678501</v>
      </c>
      <c r="B204" s="3">
        <v>0.58973854724352004</v>
      </c>
      <c r="C204" s="3">
        <v>4.3011896613567501E-3</v>
      </c>
      <c r="D204" s="4">
        <v>4.75746089112353E-2</v>
      </c>
      <c r="E204" s="3" t="s">
        <v>2698</v>
      </c>
      <c r="F204" s="3" t="s">
        <v>2699</v>
      </c>
      <c r="G204" s="3">
        <v>22057</v>
      </c>
      <c r="H204" s="7" t="str">
        <f>HYPERLINK("http://www.ensembl.org/Mus_musculus/Gene/Summary?db=core;g=ENSMUSG00000037573","ENSMUSG00000037573")</f>
        <v>ENSMUSG00000037573</v>
      </c>
      <c r="I204" s="7" t="str">
        <f>HYPERLINK("http://www.informatics.jax.org/marker/MGI:1349721","MGI:1349721")</f>
        <v>MGI:1349721</v>
      </c>
      <c r="J204" s="4" t="s">
        <v>12</v>
      </c>
    </row>
    <row r="205" spans="1:10" x14ac:dyDescent="0.25">
      <c r="A205" s="2">
        <v>4479.61387490174</v>
      </c>
      <c r="B205" s="3">
        <v>0.58852625100093503</v>
      </c>
      <c r="C205" s="5">
        <v>1.0708102357367799E-6</v>
      </c>
      <c r="D205" s="6">
        <v>7.9757633916103003E-5</v>
      </c>
      <c r="E205" s="3" t="s">
        <v>1969</v>
      </c>
      <c r="F205" s="3" t="s">
        <v>1970</v>
      </c>
      <c r="G205" s="3">
        <v>12419</v>
      </c>
      <c r="H205" s="7" t="str">
        <f>HYPERLINK("http://www.ensembl.org/Mus_musculus/Gene/Summary?db=core;g=ENSMUSG00000009575","ENSMUSG00000009575")</f>
        <v>ENSMUSG00000009575</v>
      </c>
      <c r="I205" s="7" t="str">
        <f>HYPERLINK("http://www.informatics.jax.org/marker/MGI:109372","MGI:109372")</f>
        <v>MGI:109372</v>
      </c>
      <c r="J205" s="4" t="s">
        <v>12</v>
      </c>
    </row>
    <row r="206" spans="1:10" x14ac:dyDescent="0.25">
      <c r="A206" s="2">
        <v>620.89905391795298</v>
      </c>
      <c r="B206" s="3">
        <v>0.58811024671510403</v>
      </c>
      <c r="C206" s="5">
        <v>8.1165708546459192E-6</v>
      </c>
      <c r="D206" s="4">
        <v>4.0214569340177401E-4</v>
      </c>
      <c r="E206" s="3" t="s">
        <v>2069</v>
      </c>
      <c r="F206" s="3" t="s">
        <v>2070</v>
      </c>
      <c r="G206" s="3">
        <v>263406</v>
      </c>
      <c r="H206" s="7" t="str">
        <f>HYPERLINK("http://www.ensembl.org/Mus_musculus/Gene/Summary?db=core;g=ENSMUSG00000052609","ENSMUSG00000052609")</f>
        <v>ENSMUSG00000052609</v>
      </c>
      <c r="I206" s="7" t="str">
        <f>HYPERLINK("http://www.informatics.jax.org/marker/MGI:2388284","MGI:2388284")</f>
        <v>MGI:2388284</v>
      </c>
      <c r="J206" s="4" t="s">
        <v>12</v>
      </c>
    </row>
    <row r="207" spans="1:10" x14ac:dyDescent="0.25">
      <c r="A207" s="2">
        <v>167.34177192867099</v>
      </c>
      <c r="B207" s="3">
        <v>0.587373002161513</v>
      </c>
      <c r="C207" s="3">
        <v>4.2496629204856999E-4</v>
      </c>
      <c r="D207" s="4">
        <v>8.4445157008308704E-3</v>
      </c>
      <c r="E207" s="3" t="s">
        <v>3762</v>
      </c>
      <c r="F207" s="3" t="s">
        <v>3763</v>
      </c>
      <c r="G207" s="3">
        <v>100637</v>
      </c>
      <c r="H207" s="7" t="str">
        <f>HYPERLINK("http://www.ensembl.org/Mus_musculus/Gene/Summary?db=core;g=ENSMUSG00000041132","ENSMUSG00000041132")</f>
        <v>ENSMUSG00000041132</v>
      </c>
      <c r="I207" s="7" t="str">
        <f>HYPERLINK("http://www.informatics.jax.org/marker/MGI:2140872","MGI:2140872")</f>
        <v>MGI:2140872</v>
      </c>
      <c r="J207" s="4" t="s">
        <v>12</v>
      </c>
    </row>
    <row r="208" spans="1:10" x14ac:dyDescent="0.25">
      <c r="A208" s="2">
        <v>1259.8000959485</v>
      </c>
      <c r="B208" s="3">
        <v>0.58712491234576303</v>
      </c>
      <c r="C208" s="5">
        <v>2.5255593691665499E-8</v>
      </c>
      <c r="D208" s="6">
        <v>3.8385089493265201E-6</v>
      </c>
      <c r="E208" s="3" t="s">
        <v>2367</v>
      </c>
      <c r="F208" s="3" t="s">
        <v>2368</v>
      </c>
      <c r="G208" s="3">
        <v>13555</v>
      </c>
      <c r="H208" s="7" t="str">
        <f>HYPERLINK("http://www.ensembl.org/Mus_musculus/Gene/Summary?db=core;g=ENSMUSG00000027490","ENSMUSG00000027490")</f>
        <v>ENSMUSG00000027490</v>
      </c>
      <c r="I208" s="7" t="str">
        <f>HYPERLINK("http://www.informatics.jax.org/marker/MGI:101941","MGI:101941")</f>
        <v>MGI:101941</v>
      </c>
      <c r="J208" s="4" t="s">
        <v>12</v>
      </c>
    </row>
    <row r="209" spans="1:10" x14ac:dyDescent="0.25">
      <c r="A209" s="2">
        <v>490.849202859743</v>
      </c>
      <c r="B209" s="3">
        <v>0.585344381568212</v>
      </c>
      <c r="C209" s="3">
        <v>1.33893090615693E-3</v>
      </c>
      <c r="D209" s="4">
        <v>2.0132293986025299E-2</v>
      </c>
      <c r="E209" s="3" t="s">
        <v>2491</v>
      </c>
      <c r="F209" s="3" t="s">
        <v>2492</v>
      </c>
      <c r="G209" s="3">
        <v>13631</v>
      </c>
      <c r="H209" s="7" t="str">
        <f>HYPERLINK("http://www.ensembl.org/Mus_musculus/Gene/Summary?db=core;g=ENSMUSG00000035064","ENSMUSG00000035064")</f>
        <v>ENSMUSG00000035064</v>
      </c>
      <c r="I209" s="7" t="str">
        <f>HYPERLINK("http://www.informatics.jax.org/marker/MGI:1195261","MGI:1195261")</f>
        <v>MGI:1195261</v>
      </c>
      <c r="J209" s="4" t="s">
        <v>12</v>
      </c>
    </row>
    <row r="210" spans="1:10" x14ac:dyDescent="0.25">
      <c r="A210" s="2">
        <v>367.00517106283701</v>
      </c>
      <c r="B210" s="3">
        <v>0.58372106597735895</v>
      </c>
      <c r="C210" s="3">
        <v>1.5583916097058599E-4</v>
      </c>
      <c r="D210" s="4">
        <v>3.8521385570025901E-3</v>
      </c>
      <c r="E210" s="3" t="s">
        <v>826</v>
      </c>
      <c r="F210" s="3" t="s">
        <v>827</v>
      </c>
      <c r="G210" s="3">
        <v>232811</v>
      </c>
      <c r="H210" s="7" t="str">
        <f>HYPERLINK("http://www.ensembl.org/Mus_musculus/Gene/Summary?db=core;g=ENSMUSG00000059851","ENSMUSG00000059851")</f>
        <v>ENSMUSG00000059851</v>
      </c>
      <c r="I210" s="7" t="str">
        <f>HYPERLINK("http://www.informatics.jax.org/marker/MGI:2385262","MGI:2385262")</f>
        <v>MGI:2385262</v>
      </c>
      <c r="J210" s="4" t="s">
        <v>12</v>
      </c>
    </row>
    <row r="211" spans="1:10" x14ac:dyDescent="0.25">
      <c r="A211" s="2">
        <v>344.79232041139898</v>
      </c>
      <c r="B211" s="3">
        <v>0.58294446306593595</v>
      </c>
      <c r="C211" s="5">
        <v>8.3362589835892496E-5</v>
      </c>
      <c r="D211" s="4">
        <v>2.3264988781247701E-3</v>
      </c>
      <c r="E211" s="3" t="s">
        <v>2221</v>
      </c>
      <c r="F211" s="3" t="s">
        <v>2222</v>
      </c>
      <c r="G211" s="3">
        <v>12021</v>
      </c>
      <c r="H211" s="7" t="str">
        <f>HYPERLINK("http://www.ensembl.org/Mus_musculus/Gene/Summary?db=core;g=ENSMUSG00000026196","ENSMUSG00000026196")</f>
        <v>ENSMUSG00000026196</v>
      </c>
      <c r="I211" s="7" t="str">
        <f>HYPERLINK("http://www.informatics.jax.org/marker/MGI:1328361","MGI:1328361")</f>
        <v>MGI:1328361</v>
      </c>
      <c r="J211" s="4" t="s">
        <v>12</v>
      </c>
    </row>
    <row r="212" spans="1:10" x14ac:dyDescent="0.25">
      <c r="A212" s="2">
        <v>291.54442750769198</v>
      </c>
      <c r="B212" s="3">
        <v>0.582208884630526</v>
      </c>
      <c r="C212" s="5">
        <v>1.25545182699472E-6</v>
      </c>
      <c r="D212" s="6">
        <v>8.9936730561844799E-5</v>
      </c>
      <c r="E212" s="3" t="s">
        <v>2565</v>
      </c>
      <c r="F212" s="3" t="s">
        <v>2566</v>
      </c>
      <c r="G212" s="3">
        <v>68145</v>
      </c>
      <c r="H212" s="7" t="str">
        <f>HYPERLINK("http://www.ensembl.org/Mus_musculus/Gene/Summary?db=core;g=ENSMUSG00000016984","ENSMUSG00000016984")</f>
        <v>ENSMUSG00000016984</v>
      </c>
      <c r="I212" s="7" t="str">
        <f>HYPERLINK("http://www.informatics.jax.org/marker/MGI:1915395","MGI:1915395")</f>
        <v>MGI:1915395</v>
      </c>
      <c r="J212" s="4" t="s">
        <v>12</v>
      </c>
    </row>
    <row r="213" spans="1:10" x14ac:dyDescent="0.25">
      <c r="A213" s="2">
        <v>140.914019710221</v>
      </c>
      <c r="B213" s="3">
        <v>0.58091912790337197</v>
      </c>
      <c r="C213" s="3">
        <v>3.3081103698170597E-4</v>
      </c>
      <c r="D213" s="4">
        <v>7.0665959270695697E-3</v>
      </c>
      <c r="E213" s="3" t="s">
        <v>4561</v>
      </c>
      <c r="F213" s="3" t="s">
        <v>4562</v>
      </c>
      <c r="G213" s="3">
        <v>319822</v>
      </c>
      <c r="H213" s="7" t="str">
        <f>HYPERLINK("http://www.ensembl.org/Mus_musculus/Gene/Summary?db=core;g=ENSMUSG00000018809","ENSMUSG00000018809")</f>
        <v>ENSMUSG00000018809</v>
      </c>
      <c r="I213" s="7" t="str">
        <f>HYPERLINK("http://www.informatics.jax.org/marker/MGI:2442796","MGI:2442796")</f>
        <v>MGI:2442796</v>
      </c>
      <c r="J213" s="4" t="s">
        <v>12</v>
      </c>
    </row>
    <row r="214" spans="1:10" x14ac:dyDescent="0.25">
      <c r="A214" s="2">
        <v>132.47144164359</v>
      </c>
      <c r="B214" s="3">
        <v>0.58052238391334199</v>
      </c>
      <c r="C214" s="3">
        <v>4.6246621991822504E-3</v>
      </c>
      <c r="D214" s="4">
        <v>4.9965010330646299E-2</v>
      </c>
      <c r="E214" s="3" t="s">
        <v>6327</v>
      </c>
      <c r="F214" s="3" t="s">
        <v>6328</v>
      </c>
      <c r="G214" s="3">
        <v>67434</v>
      </c>
      <c r="H214" s="7" t="str">
        <f>HYPERLINK("http://www.ensembl.org/Mus_musculus/Gene/Summary?db=core;g=ENSMUSG00000022237","ENSMUSG00000022237")</f>
        <v>ENSMUSG00000022237</v>
      </c>
      <c r="I214" s="7" t="str">
        <f>HYPERLINK("http://www.informatics.jax.org/marker/MGI:1917904","MGI:1917904")</f>
        <v>MGI:1917904</v>
      </c>
      <c r="J214" s="4" t="s">
        <v>12</v>
      </c>
    </row>
    <row r="215" spans="1:10" x14ac:dyDescent="0.25">
      <c r="A215" s="2">
        <v>254.74171006666299</v>
      </c>
      <c r="B215" s="3">
        <v>0.58052156926335097</v>
      </c>
      <c r="C215" s="3">
        <v>5.3470333770343204E-4</v>
      </c>
      <c r="D215" s="4">
        <v>1.0049028633799299E-2</v>
      </c>
      <c r="E215" s="3" t="s">
        <v>6541</v>
      </c>
      <c r="F215" s="3" t="s">
        <v>6542</v>
      </c>
      <c r="G215" s="3">
        <v>56707</v>
      </c>
      <c r="H215" s="7" t="str">
        <f>HYPERLINK("http://www.ensembl.org/Mus_musculus/Gene/Summary?db=core;g=ENSMUSG00000087598","ENSMUSG00000087598")</f>
        <v>ENSMUSG00000087598</v>
      </c>
      <c r="I215" s="7" t="str">
        <f>HYPERLINK("http://www.informatics.jax.org/marker/MGI:1929114","MGI:1929114")</f>
        <v>MGI:1929114</v>
      </c>
      <c r="J215" s="4" t="s">
        <v>12</v>
      </c>
    </row>
    <row r="216" spans="1:10" x14ac:dyDescent="0.25">
      <c r="A216" s="2">
        <v>635.53365001848397</v>
      </c>
      <c r="B216" s="3">
        <v>0.57912600031446504</v>
      </c>
      <c r="C216" s="5">
        <v>5.1071258895345599E-6</v>
      </c>
      <c r="D216" s="4">
        <v>2.6967063323753599E-4</v>
      </c>
      <c r="E216" s="3" t="s">
        <v>856</v>
      </c>
      <c r="F216" s="3" t="s">
        <v>857</v>
      </c>
      <c r="G216" s="3">
        <v>57441</v>
      </c>
      <c r="H216" s="7" t="str">
        <f>HYPERLINK("http://www.ensembl.org/Mus_musculus/Gene/Summary?db=core;g=ENSMUSG00000006715","ENSMUSG00000006715")</f>
        <v>ENSMUSG00000006715</v>
      </c>
      <c r="I216" s="7" t="str">
        <f>HYPERLINK("http://www.informatics.jax.org/marker/MGI:1927344","MGI:1927344")</f>
        <v>MGI:1927344</v>
      </c>
      <c r="J216" s="4" t="s">
        <v>12</v>
      </c>
    </row>
    <row r="217" spans="1:10" x14ac:dyDescent="0.25">
      <c r="A217" s="2">
        <v>487.32566581123899</v>
      </c>
      <c r="B217" s="3">
        <v>0.57908110230146403</v>
      </c>
      <c r="C217" s="5">
        <v>1.4712575249550399E-7</v>
      </c>
      <c r="D217" s="6">
        <v>1.6222777826636601E-5</v>
      </c>
      <c r="E217" s="3" t="s">
        <v>5667</v>
      </c>
      <c r="F217" s="3" t="s">
        <v>5668</v>
      </c>
      <c r="G217" s="3">
        <v>238673</v>
      </c>
      <c r="H217" s="7" t="str">
        <f>HYPERLINK("http://www.ensembl.org/Mus_musculus/Gene/Summary?db=core;g=ENSMUSG00000044934","ENSMUSG00000044934")</f>
        <v>ENSMUSG00000044934</v>
      </c>
      <c r="I217" s="7" t="str">
        <f>HYPERLINK("http://www.informatics.jax.org/marker/MGI:2442266","MGI:2442266")</f>
        <v>MGI:2442266</v>
      </c>
      <c r="J217" s="4" t="s">
        <v>12</v>
      </c>
    </row>
    <row r="218" spans="1:10" x14ac:dyDescent="0.25">
      <c r="A218" s="2">
        <v>379.89271145942001</v>
      </c>
      <c r="B218" s="3">
        <v>0.57877636170185698</v>
      </c>
      <c r="C218" s="5">
        <v>1.32621770289665E-8</v>
      </c>
      <c r="D218" s="6">
        <v>2.3676143657902499E-6</v>
      </c>
      <c r="E218" s="3" t="s">
        <v>1284</v>
      </c>
      <c r="F218" s="3" t="s">
        <v>1285</v>
      </c>
      <c r="G218" s="3">
        <v>231670</v>
      </c>
      <c r="H218" s="7" t="str">
        <f>HYPERLINK("http://www.ensembl.org/Mus_musculus/Gene/Summary?db=core;g=ENSMUSG00000032898","ENSMUSG00000032898")</f>
        <v>ENSMUSG00000032898</v>
      </c>
      <c r="I218" s="7" t="str">
        <f>HYPERLINK("http://www.informatics.jax.org/marker/MGI:1924223","MGI:1924223")</f>
        <v>MGI:1924223</v>
      </c>
      <c r="J218" s="4" t="s">
        <v>12</v>
      </c>
    </row>
    <row r="219" spans="1:10" x14ac:dyDescent="0.25">
      <c r="A219" s="2">
        <v>186.977179913421</v>
      </c>
      <c r="B219" s="3">
        <v>0.57814997431089798</v>
      </c>
      <c r="C219" s="3">
        <v>5.0204164849763499E-4</v>
      </c>
      <c r="D219" s="4">
        <v>9.5379432781299098E-3</v>
      </c>
      <c r="E219" s="3" t="s">
        <v>4377</v>
      </c>
      <c r="F219" s="3" t="s">
        <v>4378</v>
      </c>
      <c r="G219" s="3">
        <v>116914</v>
      </c>
      <c r="H219" s="7" t="str">
        <f>HYPERLINK("http://www.ensembl.org/Mus_musculus/Gene/Summary?db=core;g=ENSMUSG00000040918","ENSMUSG00000040918")</f>
        <v>ENSMUSG00000040918</v>
      </c>
      <c r="I219" s="7" t="str">
        <f>HYPERLINK("http://www.informatics.jax.org/marker/MGI:1928761","MGI:1928761")</f>
        <v>MGI:1928761</v>
      </c>
      <c r="J219" s="4" t="s">
        <v>12</v>
      </c>
    </row>
    <row r="220" spans="1:10" x14ac:dyDescent="0.25">
      <c r="A220" s="2">
        <v>375.71476369043302</v>
      </c>
      <c r="B220" s="3">
        <v>0.57786908451976804</v>
      </c>
      <c r="C220" s="3">
        <v>1.50788433871766E-3</v>
      </c>
      <c r="D220" s="4">
        <v>2.2024902802022701E-2</v>
      </c>
      <c r="E220" s="3" t="s">
        <v>1734</v>
      </c>
      <c r="F220" s="3" t="s">
        <v>1735</v>
      </c>
      <c r="G220" s="3">
        <v>80909</v>
      </c>
      <c r="H220" s="7" t="str">
        <f>HYPERLINK("http://www.ensembl.org/Mus_musculus/Gene/Summary?db=core;g=ENSMUSG00000015944","ENSMUSG00000015944")</f>
        <v>ENSMUSG00000015944</v>
      </c>
      <c r="I220" s="7" t="str">
        <f>HYPERLINK("http://www.informatics.jax.org/marker/MGI:1933384","MGI:1933384")</f>
        <v>MGI:1933384</v>
      </c>
      <c r="J220" s="4" t="s">
        <v>12</v>
      </c>
    </row>
    <row r="221" spans="1:10" x14ac:dyDescent="0.25">
      <c r="A221" s="2">
        <v>130.456651495648</v>
      </c>
      <c r="B221" s="3">
        <v>0.57730849929870098</v>
      </c>
      <c r="C221" s="3">
        <v>2.8134965640331101E-3</v>
      </c>
      <c r="D221" s="4">
        <v>3.47789173680969E-2</v>
      </c>
      <c r="E221" s="3" t="s">
        <v>12265</v>
      </c>
      <c r="F221" s="3" t="s">
        <v>12266</v>
      </c>
      <c r="G221" s="3">
        <v>67839</v>
      </c>
      <c r="H221" s="7" t="str">
        <f>HYPERLINK("http://www.ensembl.org/Mus_musculus/Gene/Summary?db=core;g=ENSMUSG00000026930","ENSMUSG00000026930")</f>
        <v>ENSMUSG00000026930</v>
      </c>
      <c r="I221" s="7" t="str">
        <f>HYPERLINK("http://www.informatics.jax.org/marker/MGI:1915089","MGI:1915089")</f>
        <v>MGI:1915089</v>
      </c>
      <c r="J221" s="4" t="s">
        <v>12</v>
      </c>
    </row>
    <row r="222" spans="1:10" x14ac:dyDescent="0.25">
      <c r="A222" s="2">
        <v>459.54765895709301</v>
      </c>
      <c r="B222" s="3">
        <v>0.57711901315401604</v>
      </c>
      <c r="C222" s="3">
        <v>1.1094794140124799E-3</v>
      </c>
      <c r="D222" s="4">
        <v>1.7325751588080199E-2</v>
      </c>
      <c r="E222" s="3" t="s">
        <v>2708</v>
      </c>
      <c r="F222" s="3" t="s">
        <v>2709</v>
      </c>
      <c r="G222" s="3">
        <v>208869</v>
      </c>
      <c r="H222" s="7" t="str">
        <f>HYPERLINK("http://www.ensembl.org/Mus_musculus/Gene/Summary?db=core;g=ENSMUSG00000039716","ENSMUSG00000039716")</f>
        <v>ENSMUSG00000039716</v>
      </c>
      <c r="I222" s="7" t="str">
        <f>HYPERLINK("http://www.informatics.jax.org/marker/MGI:2429763","MGI:2429763")</f>
        <v>MGI:2429763</v>
      </c>
      <c r="J222" s="4" t="s">
        <v>12</v>
      </c>
    </row>
    <row r="223" spans="1:10" x14ac:dyDescent="0.25">
      <c r="A223" s="2">
        <v>552.38822975947403</v>
      </c>
      <c r="B223" s="3">
        <v>0.57611866581946103</v>
      </c>
      <c r="C223" s="5">
        <v>1.0621398614406299E-8</v>
      </c>
      <c r="D223" s="6">
        <v>1.9909811702704599E-6</v>
      </c>
      <c r="E223" s="3" t="s">
        <v>304</v>
      </c>
      <c r="F223" s="3" t="s">
        <v>305</v>
      </c>
      <c r="G223" s="3">
        <v>75687</v>
      </c>
      <c r="H223" s="7" t="str">
        <f>HYPERLINK("http://www.ensembl.org/Mus_musculus/Gene/Summary?db=core;g=ENSMUSG00000038604","ENSMUSG00000038604")</f>
        <v>ENSMUSG00000038604</v>
      </c>
      <c r="I223" s="7" t="str">
        <f>HYPERLINK("http://www.informatics.jax.org/marker/MGI:1922937","MGI:1922937")</f>
        <v>MGI:1922937</v>
      </c>
      <c r="J223" s="4" t="s">
        <v>12</v>
      </c>
    </row>
    <row r="224" spans="1:10" x14ac:dyDescent="0.25">
      <c r="A224" s="2">
        <v>601.12243206177902</v>
      </c>
      <c r="B224" s="3">
        <v>0.57505957910823002</v>
      </c>
      <c r="C224" s="3">
        <v>2.9154090324818899E-4</v>
      </c>
      <c r="D224" s="4">
        <v>6.4546467299850096E-3</v>
      </c>
      <c r="E224" s="3" t="s">
        <v>5099</v>
      </c>
      <c r="F224" s="3" t="s">
        <v>5100</v>
      </c>
      <c r="G224" s="3">
        <v>18676</v>
      </c>
      <c r="H224" s="7" t="str">
        <f>HYPERLINK("http://www.ensembl.org/Mus_musculus/Gene/Summary?db=core;g=ENSMUSG00000038025","ENSMUSG00000038025")</f>
        <v>ENSMUSG00000038025</v>
      </c>
      <c r="I224" s="7" t="str">
        <f>HYPERLINK("http://www.informatics.jax.org/marker/MGI:1338034","MGI:1338034")</f>
        <v>MGI:1338034</v>
      </c>
      <c r="J224" s="4" t="s">
        <v>12</v>
      </c>
    </row>
    <row r="225" spans="1:10" x14ac:dyDescent="0.25">
      <c r="A225" s="2">
        <v>4191.88136985244</v>
      </c>
      <c r="B225" s="3">
        <v>0.57360946430941995</v>
      </c>
      <c r="C225" s="5">
        <v>1.6954354754515601E-9</v>
      </c>
      <c r="D225" s="6">
        <v>4.8661317239312203E-7</v>
      </c>
      <c r="E225" s="3" t="s">
        <v>1865</v>
      </c>
      <c r="F225" s="3" t="s">
        <v>1866</v>
      </c>
      <c r="G225" s="3">
        <v>17215</v>
      </c>
      <c r="H225" s="7" t="str">
        <f>HYPERLINK("http://www.ensembl.org/Mus_musculus/Gene/Summary?db=core;g=ENSMUSG00000041859","ENSMUSG00000041859")</f>
        <v>ENSMUSG00000041859</v>
      </c>
      <c r="I225" s="7" t="str">
        <f>HYPERLINK("http://www.informatics.jax.org/marker/MGI:101845","MGI:101845")</f>
        <v>MGI:101845</v>
      </c>
      <c r="J225" s="4" t="s">
        <v>12</v>
      </c>
    </row>
    <row r="226" spans="1:10" x14ac:dyDescent="0.25">
      <c r="A226" s="2">
        <v>696.37895482763395</v>
      </c>
      <c r="B226" s="3">
        <v>0.57197681388672394</v>
      </c>
      <c r="C226" s="5">
        <v>3.8447302834434798E-6</v>
      </c>
      <c r="D226" s="4">
        <v>2.11969026950435E-4</v>
      </c>
      <c r="E226" s="3" t="s">
        <v>2307</v>
      </c>
      <c r="F226" s="3" t="s">
        <v>2308</v>
      </c>
      <c r="G226" s="3">
        <v>57748</v>
      </c>
      <c r="H226" s="7" t="str">
        <f>HYPERLINK("http://www.ensembl.org/Mus_musculus/Gene/Summary?db=core;g=ENSMUSG00000021690","ENSMUSG00000021690")</f>
        <v>ENSMUSG00000021690</v>
      </c>
      <c r="I226" s="7" t="str">
        <f>HYPERLINK("http://www.informatics.jax.org/marker/MGI:1913096","MGI:1913096")</f>
        <v>MGI:1913096</v>
      </c>
      <c r="J226" s="4" t="s">
        <v>12</v>
      </c>
    </row>
    <row r="227" spans="1:10" x14ac:dyDescent="0.25">
      <c r="A227" s="2">
        <v>163.57809710237899</v>
      </c>
      <c r="B227" s="3">
        <v>0.56999919494252804</v>
      </c>
      <c r="C227" s="3">
        <v>5.6213534558514596E-4</v>
      </c>
      <c r="D227" s="4">
        <v>1.04709996933185E-2</v>
      </c>
      <c r="E227" s="3" t="s">
        <v>5437</v>
      </c>
      <c r="F227" s="3" t="s">
        <v>5438</v>
      </c>
      <c r="G227" s="3">
        <v>234413</v>
      </c>
      <c r="H227" s="7" t="str">
        <f>HYPERLINK("http://www.ensembl.org/Mus_musculus/Gene/Summary?db=core;g=ENSMUSG00000052446","ENSMUSG00000052446")</f>
        <v>ENSMUSG00000052446</v>
      </c>
      <c r="I227" s="7" t="str">
        <f>HYPERLINK("http://www.informatics.jax.org/marker/MGI:3583954","MGI:3583954")</f>
        <v>MGI:3583954</v>
      </c>
      <c r="J227" s="4" t="s">
        <v>12</v>
      </c>
    </row>
    <row r="228" spans="1:10" x14ac:dyDescent="0.25">
      <c r="A228" s="2">
        <v>468.88036953756</v>
      </c>
      <c r="B228" s="3">
        <v>0.56949569439395398</v>
      </c>
      <c r="C228" s="5">
        <v>9.27787454110932E-5</v>
      </c>
      <c r="D228" s="4">
        <v>2.5023562341452399E-3</v>
      </c>
      <c r="E228" s="3" t="s">
        <v>1586</v>
      </c>
      <c r="F228" s="3" t="s">
        <v>1587</v>
      </c>
      <c r="G228" s="3">
        <v>27360</v>
      </c>
      <c r="H228" s="7" t="str">
        <f>HYPERLINK("http://www.ensembl.org/Mus_musculus/Gene/Summary?db=core;g=ENSMUSG00000025026","ENSMUSG00000025026")</f>
        <v>ENSMUSG00000025026</v>
      </c>
      <c r="I228" s="7" t="str">
        <f>HYPERLINK("http://www.informatics.jax.org/marker/MGI:1351615","MGI:1351615")</f>
        <v>MGI:1351615</v>
      </c>
      <c r="J228" s="4" t="s">
        <v>12</v>
      </c>
    </row>
    <row r="229" spans="1:10" x14ac:dyDescent="0.25">
      <c r="A229" s="2">
        <v>113.383542649094</v>
      </c>
      <c r="B229" s="3">
        <v>0.56533196898316196</v>
      </c>
      <c r="C229" s="3">
        <v>1.8818216683433001E-3</v>
      </c>
      <c r="D229" s="4">
        <v>2.60760993162528E-2</v>
      </c>
      <c r="E229" s="3" t="s">
        <v>3190</v>
      </c>
      <c r="F229" s="3" t="s">
        <v>3191</v>
      </c>
      <c r="G229" s="3">
        <v>209032</v>
      </c>
      <c r="H229" s="7" t="str">
        <f>HYPERLINK("http://www.ensembl.org/Mus_musculus/Gene/Summary?db=core;g=ENSMUSG00000047749","ENSMUSG00000047749")</f>
        <v>ENSMUSG00000047749</v>
      </c>
      <c r="I229" s="7" t="str">
        <f>HYPERLINK("http://www.informatics.jax.org/marker/MGI:2443387","MGI:2443387")</f>
        <v>MGI:2443387</v>
      </c>
      <c r="J229" s="4" t="s">
        <v>12</v>
      </c>
    </row>
    <row r="230" spans="1:10" x14ac:dyDescent="0.25">
      <c r="A230" s="2">
        <v>242.501268294851</v>
      </c>
      <c r="B230" s="3">
        <v>0.56410497698876805</v>
      </c>
      <c r="C230" s="3">
        <v>7.5000522562485201E-4</v>
      </c>
      <c r="D230" s="4">
        <v>1.27614353594595E-2</v>
      </c>
      <c r="E230" s="3" t="s">
        <v>2864</v>
      </c>
      <c r="F230" s="3" t="s">
        <v>2865</v>
      </c>
      <c r="G230" s="3">
        <v>17127</v>
      </c>
      <c r="H230" s="7" t="str">
        <f>HYPERLINK("http://www.ensembl.org/Mus_musculus/Gene/Summary?db=core;g=ENSMUSG00000032402","ENSMUSG00000032402")</f>
        <v>ENSMUSG00000032402</v>
      </c>
      <c r="I230" s="7" t="str">
        <f>HYPERLINK("http://www.informatics.jax.org/marker/MGI:1201674","MGI:1201674")</f>
        <v>MGI:1201674</v>
      </c>
      <c r="J230" s="4" t="s">
        <v>12</v>
      </c>
    </row>
    <row r="231" spans="1:10" x14ac:dyDescent="0.25">
      <c r="A231" s="2">
        <v>214.28036560494601</v>
      </c>
      <c r="B231" s="3">
        <v>0.56370784477469504</v>
      </c>
      <c r="C231" s="3">
        <v>8.8232626095376295E-4</v>
      </c>
      <c r="D231" s="4">
        <v>1.45080752294546E-2</v>
      </c>
      <c r="E231" s="3" t="s">
        <v>3148</v>
      </c>
      <c r="F231" s="3" t="s">
        <v>3149</v>
      </c>
      <c r="G231" s="3" t="s">
        <v>83</v>
      </c>
      <c r="H231" s="7" t="str">
        <f>HYPERLINK("http://www.ensembl.org/Mus_musculus/Gene/Summary?db=core;g=ENSMUSG00000107476","ENSMUSG00000107476")</f>
        <v>ENSMUSG00000107476</v>
      </c>
      <c r="I231" s="7" t="str">
        <f>HYPERLINK("http://www.informatics.jax.org/marker/MGI:1889827","MGI:1889827")</f>
        <v>MGI:1889827</v>
      </c>
      <c r="J231" s="4" t="s">
        <v>3150</v>
      </c>
    </row>
    <row r="232" spans="1:10" x14ac:dyDescent="0.25">
      <c r="A232" s="2">
        <v>198.64627183796799</v>
      </c>
      <c r="B232" s="3">
        <v>0.56210716402029204</v>
      </c>
      <c r="C232" s="3">
        <v>3.7758498706844E-3</v>
      </c>
      <c r="D232" s="4">
        <v>4.33779198116317E-2</v>
      </c>
      <c r="E232" s="3" t="s">
        <v>2073</v>
      </c>
      <c r="F232" s="3" t="s">
        <v>2074</v>
      </c>
      <c r="G232" s="3">
        <v>108902</v>
      </c>
      <c r="H232" s="7" t="str">
        <f>HYPERLINK("http://www.ensembl.org/Mus_musculus/Gene/Summary?db=core;g=ENSMUSG00000047379","ENSMUSG00000047379")</f>
        <v>ENSMUSG00000047379</v>
      </c>
      <c r="I232" s="7" t="str">
        <f>HYPERLINK("http://www.informatics.jax.org/marker/MGI:1919680","MGI:1919680")</f>
        <v>MGI:1919680</v>
      </c>
      <c r="J232" s="4" t="s">
        <v>12</v>
      </c>
    </row>
    <row r="233" spans="1:10" x14ac:dyDescent="0.25">
      <c r="A233" s="2">
        <v>164.77923861854299</v>
      </c>
      <c r="B233" s="3">
        <v>0.56058818525410603</v>
      </c>
      <c r="C233" s="3">
        <v>1.08614472637687E-4</v>
      </c>
      <c r="D233" s="4">
        <v>2.8608594233163198E-3</v>
      </c>
      <c r="E233" s="3" t="s">
        <v>4095</v>
      </c>
      <c r="F233" s="3" t="s">
        <v>4096</v>
      </c>
      <c r="G233" s="3">
        <v>69928</v>
      </c>
      <c r="H233" s="7" t="str">
        <f>HYPERLINK("http://www.ensembl.org/Mus_musculus/Gene/Summary?db=core;g=ENSMUSG00000073705","ENSMUSG00000073705")</f>
        <v>ENSMUSG00000073705</v>
      </c>
      <c r="I233" s="7" t="str">
        <f>HYPERLINK("http://www.informatics.jax.org/marker/MGI:1917178","MGI:1917178")</f>
        <v>MGI:1917178</v>
      </c>
      <c r="J233" s="4" t="s">
        <v>12</v>
      </c>
    </row>
    <row r="234" spans="1:10" x14ac:dyDescent="0.25">
      <c r="A234" s="2">
        <v>387.55425621450797</v>
      </c>
      <c r="B234" s="3">
        <v>0.56028824095268004</v>
      </c>
      <c r="C234" s="5">
        <v>2.6683750974196898E-7</v>
      </c>
      <c r="D234" s="6">
        <v>2.58717368281718E-5</v>
      </c>
      <c r="E234" s="3" t="s">
        <v>2667</v>
      </c>
      <c r="F234" s="3" t="s">
        <v>2668</v>
      </c>
      <c r="G234" s="3">
        <v>70238</v>
      </c>
      <c r="H234" s="7" t="str">
        <f>HYPERLINK("http://www.ensembl.org/Mus_musculus/Gene/Summary?db=core;g=ENSMUSG00000014074","ENSMUSG00000014074")</f>
        <v>ENSMUSG00000014074</v>
      </c>
      <c r="I234" s="7" t="str">
        <f>HYPERLINK("http://www.informatics.jax.org/marker/MGI:1917488","MGI:1917488")</f>
        <v>MGI:1917488</v>
      </c>
      <c r="J234" s="4" t="s">
        <v>12</v>
      </c>
    </row>
    <row r="235" spans="1:10" x14ac:dyDescent="0.25">
      <c r="A235" s="2">
        <v>287.17701044380101</v>
      </c>
      <c r="B235" s="3">
        <v>0.559597736023277</v>
      </c>
      <c r="C235" s="5">
        <v>5.9887221044239903E-5</v>
      </c>
      <c r="D235" s="4">
        <v>1.8824295847210499E-3</v>
      </c>
      <c r="E235" s="3" t="s">
        <v>5635</v>
      </c>
      <c r="F235" s="3" t="s">
        <v>5636</v>
      </c>
      <c r="G235" s="3">
        <v>94220</v>
      </c>
      <c r="H235" s="7" t="str">
        <f>HYPERLINK("http://www.ensembl.org/Mus_musculus/Gene/Summary?db=core;g=ENSMUSG00000037408","ENSMUSG00000037408")</f>
        <v>ENSMUSG00000037408</v>
      </c>
      <c r="I235" s="7" t="str">
        <f>HYPERLINK("http://www.informatics.jax.org/marker/MGI:2151060","MGI:2151060")</f>
        <v>MGI:2151060</v>
      </c>
      <c r="J235" s="4" t="s">
        <v>12</v>
      </c>
    </row>
    <row r="236" spans="1:10" x14ac:dyDescent="0.25">
      <c r="A236" s="2">
        <v>229.66072048343099</v>
      </c>
      <c r="B236" s="3">
        <v>0.558138224691068</v>
      </c>
      <c r="C236" s="3">
        <v>1.9287150058449801E-4</v>
      </c>
      <c r="D236" s="4">
        <v>4.6350977928928403E-3</v>
      </c>
      <c r="E236" s="3" t="s">
        <v>2233</v>
      </c>
      <c r="F236" s="3" t="s">
        <v>2234</v>
      </c>
      <c r="G236" s="3">
        <v>213948</v>
      </c>
      <c r="H236" s="7" t="str">
        <f>HYPERLINK("http://www.ensembl.org/Mus_musculus/Gene/Summary?db=core;g=ENSMUSG00000038295","ENSMUSG00000038295")</f>
        <v>ENSMUSG00000038295</v>
      </c>
      <c r="I236" s="7" t="str">
        <f>HYPERLINK("http://www.informatics.jax.org/marker/MGI:2685420","MGI:2685420")</f>
        <v>MGI:2685420</v>
      </c>
      <c r="J236" s="4" t="s">
        <v>12</v>
      </c>
    </row>
    <row r="237" spans="1:10" x14ac:dyDescent="0.25">
      <c r="A237" s="2">
        <v>1258.7895607375599</v>
      </c>
      <c r="B237" s="3">
        <v>0.55651637508354201</v>
      </c>
      <c r="C237" s="5">
        <v>3.0134054148680301E-10</v>
      </c>
      <c r="D237" s="6">
        <v>1.12972569003402E-7</v>
      </c>
      <c r="E237" s="3" t="s">
        <v>298</v>
      </c>
      <c r="F237" s="3" t="s">
        <v>299</v>
      </c>
      <c r="G237" s="3">
        <v>68477</v>
      </c>
      <c r="H237" s="7" t="str">
        <f>HYPERLINK("http://www.ensembl.org/Mus_musculus/Gene/Summary?db=core;g=ENSMUSG00000002222","ENSMUSG00000002222")</f>
        <v>ENSMUSG00000002222</v>
      </c>
      <c r="I237" s="7" t="str">
        <f>HYPERLINK("http://www.informatics.jax.org/marker/MGI:1915727","MGI:1915727")</f>
        <v>MGI:1915727</v>
      </c>
      <c r="J237" s="4" t="s">
        <v>12</v>
      </c>
    </row>
    <row r="238" spans="1:10" x14ac:dyDescent="0.25">
      <c r="A238" s="2">
        <v>311.12079207647298</v>
      </c>
      <c r="B238" s="3">
        <v>0.55646854921350997</v>
      </c>
      <c r="C238" s="5">
        <v>5.15048625611118E-8</v>
      </c>
      <c r="D238" s="6">
        <v>6.8961332050574398E-6</v>
      </c>
      <c r="E238" s="3" t="s">
        <v>6185</v>
      </c>
      <c r="F238" s="3" t="s">
        <v>6186</v>
      </c>
      <c r="G238" s="3">
        <v>72475</v>
      </c>
      <c r="H238" s="7" t="str">
        <f>HYPERLINK("http://www.ensembl.org/Mus_musculus/Gene/Summary?db=core;g=ENSMUSG00000061887","ENSMUSG00000061887")</f>
        <v>ENSMUSG00000061887</v>
      </c>
      <c r="I238" s="7" t="str">
        <f>HYPERLINK("http://www.informatics.jax.org/marker/MGI:1919725","MGI:1919725")</f>
        <v>MGI:1919725</v>
      </c>
      <c r="J238" s="4" t="s">
        <v>12</v>
      </c>
    </row>
    <row r="239" spans="1:10" x14ac:dyDescent="0.25">
      <c r="A239" s="2">
        <v>2342.1714161813702</v>
      </c>
      <c r="B239" s="3">
        <v>0.55502118002648904</v>
      </c>
      <c r="C239" s="5">
        <v>7.1235032055378695E-13</v>
      </c>
      <c r="D239" s="6">
        <v>6.6765033793903704E-10</v>
      </c>
      <c r="E239" s="3" t="s">
        <v>778</v>
      </c>
      <c r="F239" s="3" t="s">
        <v>779</v>
      </c>
      <c r="G239" s="3">
        <v>76044</v>
      </c>
      <c r="H239" s="7" t="str">
        <f>HYPERLINK("http://www.ensembl.org/Mus_musculus/Gene/Summary?db=core;g=ENSMUSG00000042029","ENSMUSG00000042029")</f>
        <v>ENSMUSG00000042029</v>
      </c>
      <c r="I239" s="7" t="str">
        <f>HYPERLINK("http://www.informatics.jax.org/marker/MGI:1923294","MGI:1923294")</f>
        <v>MGI:1923294</v>
      </c>
      <c r="J239" s="4" t="s">
        <v>12</v>
      </c>
    </row>
    <row r="240" spans="1:10" x14ac:dyDescent="0.25">
      <c r="A240" s="2">
        <v>923.63300637507996</v>
      </c>
      <c r="B240" s="3">
        <v>0.55291095402331503</v>
      </c>
      <c r="C240" s="5">
        <v>1.28111245097005E-5</v>
      </c>
      <c r="D240" s="4">
        <v>5.7634686944240798E-4</v>
      </c>
      <c r="E240" s="3" t="s">
        <v>912</v>
      </c>
      <c r="F240" s="3" t="s">
        <v>913</v>
      </c>
      <c r="G240" s="3">
        <v>212073</v>
      </c>
      <c r="H240" s="7" t="str">
        <f>HYPERLINK("http://www.ensembl.org/Mus_musculus/Gene/Summary?db=core;g=ENSMUSG00000054150","ENSMUSG00000054150")</f>
        <v>ENSMUSG00000054150</v>
      </c>
      <c r="I240" s="7" t="str">
        <f>HYPERLINK("http://www.informatics.jax.org/marker/MGI:2442408","MGI:2442408")</f>
        <v>MGI:2442408</v>
      </c>
      <c r="J240" s="4" t="s">
        <v>12</v>
      </c>
    </row>
    <row r="241" spans="1:10" x14ac:dyDescent="0.25">
      <c r="A241" s="2">
        <v>971.49539526724595</v>
      </c>
      <c r="B241" s="3">
        <v>0.55123645273045496</v>
      </c>
      <c r="C241" s="3">
        <v>2.2762548475581499E-4</v>
      </c>
      <c r="D241" s="4">
        <v>5.3446843988489501E-3</v>
      </c>
      <c r="E241" s="3" t="s">
        <v>2976</v>
      </c>
      <c r="F241" s="3" t="s">
        <v>2977</v>
      </c>
      <c r="G241" s="3">
        <v>68026</v>
      </c>
      <c r="H241" s="7" t="str">
        <f>HYPERLINK("http://www.ensembl.org/Mus_musculus/Gene/Summary?db=core;g=ENSMUSG00000040204","ENSMUSG00000040204")</f>
        <v>ENSMUSG00000040204</v>
      </c>
      <c r="I241" s="7" t="str">
        <f>HYPERLINK("http://www.informatics.jax.org/marker/MGI:1915276","MGI:1915276")</f>
        <v>MGI:1915276</v>
      </c>
      <c r="J241" s="4" t="s">
        <v>12</v>
      </c>
    </row>
    <row r="242" spans="1:10" x14ac:dyDescent="0.25">
      <c r="A242" s="2">
        <v>165.47892050988301</v>
      </c>
      <c r="B242" s="3">
        <v>0.55093800192300602</v>
      </c>
      <c r="C242" s="3">
        <v>7.4177999777505E-4</v>
      </c>
      <c r="D242" s="4">
        <v>1.26790268008754E-2</v>
      </c>
      <c r="E242" s="3" t="s">
        <v>4895</v>
      </c>
      <c r="F242" s="3" t="s">
        <v>4896</v>
      </c>
      <c r="G242" s="3">
        <v>237211</v>
      </c>
      <c r="H242" s="7" t="str">
        <f>HYPERLINK("http://www.ensembl.org/Mus_musculus/Gene/Summary?db=core;g=ENSMUSG00000047757","ENSMUSG00000047757")</f>
        <v>ENSMUSG00000047757</v>
      </c>
      <c r="I242" s="7" t="str">
        <f>HYPERLINK("http://www.informatics.jax.org/marker/MGI:2448558","MGI:2448558")</f>
        <v>MGI:2448558</v>
      </c>
      <c r="J242" s="4" t="s">
        <v>12</v>
      </c>
    </row>
    <row r="243" spans="1:10" x14ac:dyDescent="0.25">
      <c r="A243" s="2">
        <v>191.896418075524</v>
      </c>
      <c r="B243" s="3">
        <v>0.54582287167834598</v>
      </c>
      <c r="C243" s="3">
        <v>5.02015265580032E-4</v>
      </c>
      <c r="D243" s="4">
        <v>9.5379432781299098E-3</v>
      </c>
      <c r="E243" s="3" t="s">
        <v>1084</v>
      </c>
      <c r="F243" s="3" t="s">
        <v>1085</v>
      </c>
      <c r="G243" s="3">
        <v>97761</v>
      </c>
      <c r="H243" s="7" t="str">
        <f>HYPERLINK("http://www.ensembl.org/Mus_musculus/Gene/Summary?db=core;g=ENSMUSG00000038351","ENSMUSG00000038351")</f>
        <v>ENSMUSG00000038351</v>
      </c>
      <c r="I243" s="7" t="str">
        <f>HYPERLINK("http://www.informatics.jax.org/marker/MGI:2144695","MGI:2144695")</f>
        <v>MGI:2144695</v>
      </c>
      <c r="J243" s="4" t="s">
        <v>12</v>
      </c>
    </row>
    <row r="244" spans="1:10" x14ac:dyDescent="0.25">
      <c r="A244" s="2">
        <v>208.41542417956401</v>
      </c>
      <c r="B244" s="3">
        <v>0.54511647805654795</v>
      </c>
      <c r="C244" s="3">
        <v>2.50679392223703E-3</v>
      </c>
      <c r="D244" s="4">
        <v>3.25189287697807E-2</v>
      </c>
      <c r="E244" s="3" t="s">
        <v>1118</v>
      </c>
      <c r="F244" s="3" t="s">
        <v>1119</v>
      </c>
      <c r="G244" s="3">
        <v>72194</v>
      </c>
      <c r="H244" s="7" t="str">
        <f>HYPERLINK("http://www.ensembl.org/Mus_musculus/Gene/Summary?db=core;g=ENSMUSG00000020883","ENSMUSG00000020883")</f>
        <v>ENSMUSG00000020883</v>
      </c>
      <c r="I244" s="7" t="str">
        <f>HYPERLINK("http://www.informatics.jax.org/marker/MGI:1919444","MGI:1919444")</f>
        <v>MGI:1919444</v>
      </c>
      <c r="J244" s="4" t="s">
        <v>12</v>
      </c>
    </row>
    <row r="245" spans="1:10" x14ac:dyDescent="0.25">
      <c r="A245" s="2">
        <v>578.01700443002005</v>
      </c>
      <c r="B245" s="3">
        <v>0.544458203817482</v>
      </c>
      <c r="C245" s="3">
        <v>3.0426386951807E-4</v>
      </c>
      <c r="D245" s="4">
        <v>6.6576959931317799E-3</v>
      </c>
      <c r="E245" s="3" t="s">
        <v>3338</v>
      </c>
      <c r="F245" s="3" t="s">
        <v>3339</v>
      </c>
      <c r="G245" s="3">
        <v>210544</v>
      </c>
      <c r="H245" s="7" t="str">
        <f>HYPERLINK("http://www.ensembl.org/Mus_musculus/Gene/Summary?db=core;g=ENSMUSG00000022364","ENSMUSG00000022364")</f>
        <v>ENSMUSG00000022364</v>
      </c>
      <c r="I245" s="7" t="str">
        <f>HYPERLINK("http://www.informatics.jax.org/marker/MGI:2684931","MGI:2684931")</f>
        <v>MGI:2684931</v>
      </c>
      <c r="J245" s="4" t="s">
        <v>12</v>
      </c>
    </row>
    <row r="246" spans="1:10" x14ac:dyDescent="0.25">
      <c r="A246" s="2">
        <v>227.117807015327</v>
      </c>
      <c r="B246" s="3">
        <v>0.54395661782717797</v>
      </c>
      <c r="C246" s="3">
        <v>2.28832869772782E-3</v>
      </c>
      <c r="D246" s="4">
        <v>3.02786268980526E-2</v>
      </c>
      <c r="E246" s="3" t="s">
        <v>1688</v>
      </c>
      <c r="F246" s="3" t="s">
        <v>1689</v>
      </c>
      <c r="G246" s="3">
        <v>70155</v>
      </c>
      <c r="H246" s="7" t="str">
        <f>HYPERLINK("http://www.ensembl.org/Mus_musculus/Gene/Summary?db=core;g=ENSMUSG00000026158","ENSMUSG00000026158")</f>
        <v>ENSMUSG00000026158</v>
      </c>
      <c r="I246" s="7" t="str">
        <f>HYPERLINK("http://www.informatics.jax.org/marker/MGI:1917405","MGI:1917405")</f>
        <v>MGI:1917405</v>
      </c>
      <c r="J246" s="4" t="s">
        <v>12</v>
      </c>
    </row>
    <row r="247" spans="1:10" x14ac:dyDescent="0.25">
      <c r="A247" s="2">
        <v>1166.3934772068201</v>
      </c>
      <c r="B247" s="3">
        <v>0.543841578930643</v>
      </c>
      <c r="C247" s="5">
        <v>5.0337744539603496E-7</v>
      </c>
      <c r="D247" s="6">
        <v>4.3217451361597E-5</v>
      </c>
      <c r="E247" s="3" t="s">
        <v>1620</v>
      </c>
      <c r="F247" s="3" t="s">
        <v>1621</v>
      </c>
      <c r="G247" s="3">
        <v>19891</v>
      </c>
      <c r="H247" s="7" t="str">
        <f>HYPERLINK("http://www.ensembl.org/Mus_musculus/Gene/Summary?db=core;g=ENSMUSG00000028884","ENSMUSG00000028884")</f>
        <v>ENSMUSG00000028884</v>
      </c>
      <c r="I247" s="7" t="str">
        <f>HYPERLINK("http://www.informatics.jax.org/marker/MGI:1339939","MGI:1339939")</f>
        <v>MGI:1339939</v>
      </c>
      <c r="J247" s="4" t="s">
        <v>12</v>
      </c>
    </row>
    <row r="248" spans="1:10" x14ac:dyDescent="0.25">
      <c r="A248" s="2">
        <v>330.24211449958</v>
      </c>
      <c r="B248" s="3">
        <v>0.54379406233101601</v>
      </c>
      <c r="C248" s="5">
        <v>1.7876307921216999E-6</v>
      </c>
      <c r="D248" s="4">
        <v>1.18267550111722E-4</v>
      </c>
      <c r="E248" s="3" t="s">
        <v>2539</v>
      </c>
      <c r="F248" s="3" t="s">
        <v>2540</v>
      </c>
      <c r="G248" s="3">
        <v>212377</v>
      </c>
      <c r="H248" s="7" t="str">
        <f>HYPERLINK("http://www.ensembl.org/Mus_musculus/Gene/Summary?db=core;g=ENSMUSG00000045751","ENSMUSG00000045751")</f>
        <v>ENSMUSG00000045751</v>
      </c>
      <c r="I248" s="7" t="str">
        <f>HYPERLINK("http://www.informatics.jax.org/marker/MGI:2684980","MGI:2684980")</f>
        <v>MGI:2684980</v>
      </c>
      <c r="J248" s="4" t="s">
        <v>12</v>
      </c>
    </row>
    <row r="249" spans="1:10" x14ac:dyDescent="0.25">
      <c r="A249" s="2">
        <v>186.574026328841</v>
      </c>
      <c r="B249" s="3">
        <v>0.54301977747876495</v>
      </c>
      <c r="C249" s="3">
        <v>9.0076643019483202E-4</v>
      </c>
      <c r="D249" s="4">
        <v>1.47038026711194E-2</v>
      </c>
      <c r="E249" s="3" t="s">
        <v>13713</v>
      </c>
      <c r="F249" s="3" t="s">
        <v>13714</v>
      </c>
      <c r="G249" s="3" t="s">
        <v>83</v>
      </c>
      <c r="H249" s="7" t="str">
        <f>HYPERLINK("http://www.ensembl.org/Mus_musculus/Gene/Summary?db=core;g=ENSMUSG00000112980","ENSMUSG00000112980")</f>
        <v>ENSMUSG00000112980</v>
      </c>
      <c r="I249" s="7" t="str">
        <f>HYPERLINK("http://www.informatics.jax.org/marker/MGI:2442237","MGI:2442237")</f>
        <v>MGI:2442237</v>
      </c>
      <c r="J249" s="4" t="s">
        <v>3187</v>
      </c>
    </row>
    <row r="250" spans="1:10" x14ac:dyDescent="0.25">
      <c r="A250" s="2">
        <v>993.89055618333998</v>
      </c>
      <c r="B250" s="3">
        <v>0.542861428820544</v>
      </c>
      <c r="C250" s="3">
        <v>1.7902028152822299E-4</v>
      </c>
      <c r="D250" s="4">
        <v>4.3486848949199196E-3</v>
      </c>
      <c r="E250" s="3" t="s">
        <v>676</v>
      </c>
      <c r="F250" s="3" t="s">
        <v>677</v>
      </c>
      <c r="G250" s="3">
        <v>234686</v>
      </c>
      <c r="H250" s="7" t="str">
        <f>HYPERLINK("http://www.ensembl.org/Mus_musculus/Gene/Summary?db=core;g=ENSMUSG00000014778","ENSMUSG00000014778")</f>
        <v>ENSMUSG00000014778</v>
      </c>
      <c r="I250" s="7" t="str">
        <f>HYPERLINK("http://www.informatics.jax.org/marker/MGI:2679008","MGI:2679008")</f>
        <v>MGI:2679008</v>
      </c>
      <c r="J250" s="4" t="s">
        <v>12</v>
      </c>
    </row>
    <row r="251" spans="1:10" x14ac:dyDescent="0.25">
      <c r="A251" s="2">
        <v>167.51900533806401</v>
      </c>
      <c r="B251" s="3">
        <v>0.53977741016520897</v>
      </c>
      <c r="C251" s="3">
        <v>2.8112689379732598E-3</v>
      </c>
      <c r="D251" s="4">
        <v>3.47789173680969E-2</v>
      </c>
      <c r="E251" s="3" t="s">
        <v>8983</v>
      </c>
      <c r="F251" s="3" t="s">
        <v>8984</v>
      </c>
      <c r="G251" s="3">
        <v>240084</v>
      </c>
      <c r="H251" s="7" t="str">
        <f>HYPERLINK("http://www.ensembl.org/Mus_musculus/Gene/Summary?db=core;g=ENSMUSG00000040312","ENSMUSG00000040312")</f>
        <v>ENSMUSG00000040312</v>
      </c>
      <c r="I251" s="7" t="str">
        <f>HYPERLINK("http://www.informatics.jax.org/marker/MGI:2385321","MGI:2385321")</f>
        <v>MGI:2385321</v>
      </c>
      <c r="J251" s="4" t="s">
        <v>12</v>
      </c>
    </row>
    <row r="252" spans="1:10" x14ac:dyDescent="0.25">
      <c r="A252" s="2">
        <v>596.53792164993195</v>
      </c>
      <c r="B252" s="3">
        <v>0.53835870809259401</v>
      </c>
      <c r="C252" s="3">
        <v>3.85915195497981E-4</v>
      </c>
      <c r="D252" s="4">
        <v>7.8772925658181399E-3</v>
      </c>
      <c r="E252" s="3" t="s">
        <v>4175</v>
      </c>
      <c r="F252" s="3" t="s">
        <v>4176</v>
      </c>
      <c r="G252" s="3">
        <v>233064</v>
      </c>
      <c r="H252" s="7" t="str">
        <f>HYPERLINK("http://www.ensembl.org/Mus_musculus/Gene/Summary?db=core;g=ENSMUSG00000037020","ENSMUSG00000037020")</f>
        <v>ENSMUSG00000037020</v>
      </c>
      <c r="I252" s="7" t="str">
        <f>HYPERLINK("http://www.informatics.jax.org/marker/MGI:1923696","MGI:1923696")</f>
        <v>MGI:1923696</v>
      </c>
      <c r="J252" s="4" t="s">
        <v>12</v>
      </c>
    </row>
    <row r="253" spans="1:10" x14ac:dyDescent="0.25">
      <c r="A253" s="2">
        <v>519.78172190152395</v>
      </c>
      <c r="B253" s="3">
        <v>0.538343173969974</v>
      </c>
      <c r="C253" s="5">
        <v>1.7073313653616501E-5</v>
      </c>
      <c r="D253" s="4">
        <v>7.1918935828548598E-4</v>
      </c>
      <c r="E253" s="3" t="s">
        <v>1264</v>
      </c>
      <c r="F253" s="3" t="s">
        <v>1265</v>
      </c>
      <c r="G253" s="3">
        <v>244668</v>
      </c>
      <c r="H253" s="7" t="str">
        <f>HYPERLINK("http://www.ensembl.org/Mus_musculus/Gene/Summary?db=core;g=ENSMUSG00000001995","ENSMUSG00000001995")</f>
        <v>ENSMUSG00000001995</v>
      </c>
      <c r="I253" s="7" t="str">
        <f>HYPERLINK("http://www.informatics.jax.org/marker/MGI:2676970","MGI:2676970")</f>
        <v>MGI:2676970</v>
      </c>
      <c r="J253" s="4" t="s">
        <v>12</v>
      </c>
    </row>
    <row r="254" spans="1:10" x14ac:dyDescent="0.25">
      <c r="A254" s="2">
        <v>790.40222045147596</v>
      </c>
      <c r="B254" s="3">
        <v>0.536919516979663</v>
      </c>
      <c r="C254" s="5">
        <v>2.72269011038973E-5</v>
      </c>
      <c r="D254" s="4">
        <v>1.0345302591741E-3</v>
      </c>
      <c r="E254" s="3" t="s">
        <v>3418</v>
      </c>
      <c r="F254" s="3" t="s">
        <v>3419</v>
      </c>
      <c r="G254" s="3">
        <v>114663</v>
      </c>
      <c r="H254" s="7" t="str">
        <f>HYPERLINK("http://www.ensembl.org/Mus_musculus/Gene/Summary?db=core;g=ENSMUSG00000024525","ENSMUSG00000024525")</f>
        <v>ENSMUSG00000024525</v>
      </c>
      <c r="I254" s="7" t="str">
        <f>HYPERLINK("http://www.informatics.jax.org/marker/MGI:2149728","MGI:2149728")</f>
        <v>MGI:2149728</v>
      </c>
      <c r="J254" s="4" t="s">
        <v>12</v>
      </c>
    </row>
    <row r="255" spans="1:10" x14ac:dyDescent="0.25">
      <c r="A255" s="2">
        <v>3760.0692817599302</v>
      </c>
      <c r="B255" s="3">
        <v>0.53686498336011301</v>
      </c>
      <c r="C255" s="5">
        <v>3.35052181015914E-7</v>
      </c>
      <c r="D255" s="6">
        <v>3.14027656657165E-5</v>
      </c>
      <c r="E255" s="3" t="s">
        <v>1929</v>
      </c>
      <c r="F255" s="3" t="s">
        <v>1930</v>
      </c>
      <c r="G255" s="3">
        <v>17218</v>
      </c>
      <c r="H255" s="7" t="str">
        <f>HYPERLINK("http://www.ensembl.org/Mus_musculus/Gene/Summary?db=core;g=ENSMUSG00000005410","ENSMUSG00000005410")</f>
        <v>ENSMUSG00000005410</v>
      </c>
      <c r="I255" s="7" t="str">
        <f>HYPERLINK("http://www.informatics.jax.org/marker/MGI:103197","MGI:103197")</f>
        <v>MGI:103197</v>
      </c>
      <c r="J255" s="4" t="s">
        <v>12</v>
      </c>
    </row>
    <row r="256" spans="1:10" x14ac:dyDescent="0.25">
      <c r="A256" s="2">
        <v>1428.92191704168</v>
      </c>
      <c r="B256" s="3">
        <v>0.53659785873424304</v>
      </c>
      <c r="C256" s="5">
        <v>1.0669220077171199E-6</v>
      </c>
      <c r="D256" s="6">
        <v>7.9757633916103003E-5</v>
      </c>
      <c r="E256" s="3" t="s">
        <v>1146</v>
      </c>
      <c r="F256" s="3" t="s">
        <v>1147</v>
      </c>
      <c r="G256" s="3">
        <v>229706</v>
      </c>
      <c r="H256" s="7" t="str">
        <f>HYPERLINK("http://www.ensembl.org/Mus_musculus/Gene/Summary?db=core;g=ENSMUSG00000027894","ENSMUSG00000027894")</f>
        <v>ENSMUSG00000027894</v>
      </c>
      <c r="I256" s="7" t="str">
        <f>HYPERLINK("http://www.informatics.jax.org/marker/MGI:2442535","MGI:2442535")</f>
        <v>MGI:2442535</v>
      </c>
      <c r="J256" s="4" t="s">
        <v>12</v>
      </c>
    </row>
    <row r="257" spans="1:10" x14ac:dyDescent="0.25">
      <c r="A257" s="2">
        <v>402.23768153662797</v>
      </c>
      <c r="B257" s="3">
        <v>0.53627892486080597</v>
      </c>
      <c r="C257" s="3">
        <v>7.1537463285809998E-4</v>
      </c>
      <c r="D257" s="4">
        <v>1.2359168196244301E-2</v>
      </c>
      <c r="E257" s="3" t="s">
        <v>3302</v>
      </c>
      <c r="F257" s="3" t="s">
        <v>3303</v>
      </c>
      <c r="G257" s="3">
        <v>67141</v>
      </c>
      <c r="H257" s="7" t="str">
        <f>HYPERLINK("http://www.ensembl.org/Mus_musculus/Gene/Summary?db=core;g=ENSMUSG00000019773","ENSMUSG00000019773")</f>
        <v>ENSMUSG00000019773</v>
      </c>
      <c r="I257" s="7" t="str">
        <f>HYPERLINK("http://www.informatics.jax.org/marker/MGI:1914391","MGI:1914391")</f>
        <v>MGI:1914391</v>
      </c>
      <c r="J257" s="4" t="s">
        <v>12</v>
      </c>
    </row>
    <row r="258" spans="1:10" x14ac:dyDescent="0.25">
      <c r="A258" s="2">
        <v>259.403147379811</v>
      </c>
      <c r="B258" s="3">
        <v>0.53626472219573795</v>
      </c>
      <c r="C258" s="3">
        <v>8.9745425207320595E-4</v>
      </c>
      <c r="D258" s="4">
        <v>1.46710290306211E-2</v>
      </c>
      <c r="E258" s="3" t="s">
        <v>16754</v>
      </c>
      <c r="F258" s="3" t="s">
        <v>16755</v>
      </c>
      <c r="G258" s="3">
        <v>217198</v>
      </c>
      <c r="H258" s="7" t="str">
        <f>HYPERLINK("http://www.ensembl.org/Mus_musculus/Gene/Summary?db=core;g=ENSMUSG00000035172","ENSMUSG00000035172")</f>
        <v>ENSMUSG00000035172</v>
      </c>
      <c r="I258" s="7" t="str">
        <f>HYPERLINK("http://www.informatics.jax.org/marker/MGI:2384950","MGI:2384950")</f>
        <v>MGI:2384950</v>
      </c>
      <c r="J258" s="4" t="s">
        <v>12</v>
      </c>
    </row>
    <row r="259" spans="1:10" x14ac:dyDescent="0.25">
      <c r="A259" s="2">
        <v>563.50813338356295</v>
      </c>
      <c r="B259" s="3">
        <v>0.53499673913149004</v>
      </c>
      <c r="C259" s="5">
        <v>1.45083788448821E-8</v>
      </c>
      <c r="D259" s="6">
        <v>2.4723596495210399E-6</v>
      </c>
      <c r="E259" s="3" t="s">
        <v>2852</v>
      </c>
      <c r="F259" s="3" t="s">
        <v>2853</v>
      </c>
      <c r="G259" s="3">
        <v>22390</v>
      </c>
      <c r="H259" s="7" t="str">
        <f>HYPERLINK("http://www.ensembl.org/Mus_musculus/Gene/Summary?db=core;g=ENSMUSG00000031016","ENSMUSG00000031016")</f>
        <v>ENSMUSG00000031016</v>
      </c>
      <c r="I259" s="7" t="str">
        <f>HYPERLINK("http://www.informatics.jax.org/marker/MGI:103075","MGI:103075")</f>
        <v>MGI:103075</v>
      </c>
      <c r="J259" s="4" t="s">
        <v>12</v>
      </c>
    </row>
    <row r="260" spans="1:10" x14ac:dyDescent="0.25">
      <c r="A260" s="2">
        <v>352.39595100157999</v>
      </c>
      <c r="B260" s="3">
        <v>0.53480146809320395</v>
      </c>
      <c r="C260" s="5">
        <v>3.1753948838023097E-5</v>
      </c>
      <c r="D260" s="4">
        <v>1.1483493973673501E-3</v>
      </c>
      <c r="E260" s="3" t="s">
        <v>2095</v>
      </c>
      <c r="F260" s="3" t="s">
        <v>2096</v>
      </c>
      <c r="G260" s="3">
        <v>102448</v>
      </c>
      <c r="H260" s="7" t="str">
        <f>HYPERLINK("http://www.ensembl.org/Mus_musculus/Gene/Summary?db=core;g=ENSMUSG00000035769","ENSMUSG00000035769")</f>
        <v>ENSMUSG00000035769</v>
      </c>
      <c r="I260" s="7" t="str">
        <f>HYPERLINK("http://www.informatics.jax.org/marker/MGI:2142985","MGI:2142985")</f>
        <v>MGI:2142985</v>
      </c>
      <c r="J260" s="4" t="s">
        <v>12</v>
      </c>
    </row>
    <row r="261" spans="1:10" x14ac:dyDescent="0.25">
      <c r="A261" s="2">
        <v>362.45610417337002</v>
      </c>
      <c r="B261" s="3">
        <v>0.53372311313099596</v>
      </c>
      <c r="C261" s="3">
        <v>3.5118619648102901E-4</v>
      </c>
      <c r="D261" s="4">
        <v>7.3385296560312197E-3</v>
      </c>
      <c r="E261" s="3" t="s">
        <v>2273</v>
      </c>
      <c r="F261" s="3" t="s">
        <v>2274</v>
      </c>
      <c r="G261" s="3">
        <v>246102</v>
      </c>
      <c r="H261" s="7" t="str">
        <f>HYPERLINK("http://www.ensembl.org/Mus_musculus/Gene/Summary?db=core;g=ENSMUSG00000023066","ENSMUSG00000023066")</f>
        <v>ENSMUSG00000023066</v>
      </c>
      <c r="I261" s="7" t="str">
        <f>HYPERLINK("http://www.informatics.jax.org/marker/MGI:2179288","MGI:2179288")</f>
        <v>MGI:2179288</v>
      </c>
      <c r="J261" s="4" t="s">
        <v>12</v>
      </c>
    </row>
    <row r="262" spans="1:10" x14ac:dyDescent="0.25">
      <c r="A262" s="2">
        <v>104.423584746011</v>
      </c>
      <c r="B262" s="3">
        <v>0.53331205483507504</v>
      </c>
      <c r="C262" s="3">
        <v>2.81019398317468E-3</v>
      </c>
      <c r="D262" s="4">
        <v>3.47789173680969E-2</v>
      </c>
      <c r="E262" s="3" t="s">
        <v>3550</v>
      </c>
      <c r="F262" s="3" t="s">
        <v>3551</v>
      </c>
      <c r="G262" s="3">
        <v>229615</v>
      </c>
      <c r="H262" s="7" t="str">
        <f>HYPERLINK("http://www.ensembl.org/Mus_musculus/Gene/Summary?db=core;g=ENSMUSG00000028101","ENSMUSG00000028101")</f>
        <v>ENSMUSG00000028101</v>
      </c>
      <c r="I262" s="7" t="str">
        <f>HYPERLINK("http://www.informatics.jax.org/marker/MGI:1913126","MGI:1913126")</f>
        <v>MGI:1913126</v>
      </c>
      <c r="J262" s="4" t="s">
        <v>12</v>
      </c>
    </row>
    <row r="263" spans="1:10" x14ac:dyDescent="0.25">
      <c r="A263" s="2">
        <v>1132.4070586191201</v>
      </c>
      <c r="B263" s="3">
        <v>0.53268428262629497</v>
      </c>
      <c r="C263" s="5">
        <v>6.1147922477632505E-5</v>
      </c>
      <c r="D263" s="4">
        <v>1.8841936550847501E-3</v>
      </c>
      <c r="E263" s="3" t="s">
        <v>1933</v>
      </c>
      <c r="F263" s="3" t="s">
        <v>1934</v>
      </c>
      <c r="G263" s="3">
        <v>18973</v>
      </c>
      <c r="H263" s="7" t="str">
        <f>HYPERLINK("http://www.ensembl.org/Mus_musculus/Gene/Summary?db=core;g=ENSMUSG00000007080","ENSMUSG00000007080")</f>
        <v>ENSMUSG00000007080</v>
      </c>
      <c r="I263" s="7" t="str">
        <f>HYPERLINK("http://www.informatics.jax.org/marker/MGI:1196391","MGI:1196391")</f>
        <v>MGI:1196391</v>
      </c>
      <c r="J263" s="4" t="s">
        <v>12</v>
      </c>
    </row>
    <row r="264" spans="1:10" x14ac:dyDescent="0.25">
      <c r="A264" s="2">
        <v>1195.2904679209701</v>
      </c>
      <c r="B264" s="3">
        <v>0.52781632682909896</v>
      </c>
      <c r="C264" s="5">
        <v>4.2491585557434299E-10</v>
      </c>
      <c r="D264" s="6">
        <v>1.4844033739081799E-7</v>
      </c>
      <c r="E264" s="3" t="s">
        <v>156</v>
      </c>
      <c r="F264" s="3" t="s">
        <v>157</v>
      </c>
      <c r="G264" s="3">
        <v>72543</v>
      </c>
      <c r="H264" s="7" t="str">
        <f>HYPERLINK("http://www.ensembl.org/Mus_musculus/Gene/Summary?db=core;g=ENSMUSG00000038740","ENSMUSG00000038740")</f>
        <v>ENSMUSG00000038740</v>
      </c>
      <c r="I264" s="7" t="str">
        <f>HYPERLINK("http://www.informatics.jax.org/marker/MGI:1919793","MGI:1919793")</f>
        <v>MGI:1919793</v>
      </c>
      <c r="J264" s="4" t="s">
        <v>12</v>
      </c>
    </row>
    <row r="265" spans="1:10" x14ac:dyDescent="0.25">
      <c r="A265" s="2">
        <v>157.43863015264699</v>
      </c>
      <c r="B265" s="3">
        <v>0.52684919656151197</v>
      </c>
      <c r="C265" s="3">
        <v>1.0321708866523299E-3</v>
      </c>
      <c r="D265" s="4">
        <v>1.6338343489546801E-2</v>
      </c>
      <c r="E265" s="3" t="s">
        <v>2151</v>
      </c>
      <c r="F265" s="3" t="s">
        <v>2152</v>
      </c>
      <c r="G265" s="3">
        <v>215707</v>
      </c>
      <c r="H265" s="7" t="str">
        <f>HYPERLINK("http://www.ensembl.org/Mus_musculus/Gene/Summary?db=core;g=ENSMUSG00000037979","ENSMUSG00000037979")</f>
        <v>ENSMUSG00000037979</v>
      </c>
      <c r="I265" s="7" t="str">
        <f>HYPERLINK("http://www.informatics.jax.org/marker/MGI:106485","MGI:106485")</f>
        <v>MGI:106485</v>
      </c>
      <c r="J265" s="4" t="s">
        <v>12</v>
      </c>
    </row>
    <row r="266" spans="1:10" x14ac:dyDescent="0.25">
      <c r="A266" s="2">
        <v>335.16534452398002</v>
      </c>
      <c r="B266" s="3">
        <v>0.52479428276970197</v>
      </c>
      <c r="C266" s="3">
        <v>4.7625411882497098E-4</v>
      </c>
      <c r="D266" s="4">
        <v>9.1877016713969896E-3</v>
      </c>
      <c r="E266" s="3" t="s">
        <v>604</v>
      </c>
      <c r="F266" s="3" t="s">
        <v>605</v>
      </c>
      <c r="G266" s="3">
        <v>16582</v>
      </c>
      <c r="H266" s="7" t="str">
        <f>HYPERLINK("http://www.ensembl.org/Mus_musculus/Gene/Summary?db=core;g=ENSMUSG00000031788","ENSMUSG00000031788")</f>
        <v>ENSMUSG00000031788</v>
      </c>
      <c r="I266" s="7" t="str">
        <f>HYPERLINK("http://www.informatics.jax.org/marker/MGI:109202","MGI:109202")</f>
        <v>MGI:109202</v>
      </c>
      <c r="J266" s="4" t="s">
        <v>12</v>
      </c>
    </row>
    <row r="267" spans="1:10" x14ac:dyDescent="0.25">
      <c r="A267" s="2">
        <v>2143.6951373627098</v>
      </c>
      <c r="B267" s="3">
        <v>0.52278475485466702</v>
      </c>
      <c r="C267" s="5">
        <v>1.24872808672216E-9</v>
      </c>
      <c r="D267" s="6">
        <v>4.0126985118183201E-7</v>
      </c>
      <c r="E267" s="3" t="s">
        <v>442</v>
      </c>
      <c r="F267" s="3" t="s">
        <v>443</v>
      </c>
      <c r="G267" s="3">
        <v>223753</v>
      </c>
      <c r="H267" s="7" t="str">
        <f>HYPERLINK("http://www.ensembl.org/Mus_musculus/Gene/Summary?db=core;g=ENSMUSG00000035891","ENSMUSG00000035891")</f>
        <v>ENSMUSG00000035891</v>
      </c>
      <c r="I267" s="7" t="str">
        <f>HYPERLINK("http://www.informatics.jax.org/marker/MGI:2386052","MGI:2386052")</f>
        <v>MGI:2386052</v>
      </c>
      <c r="J267" s="4" t="s">
        <v>12</v>
      </c>
    </row>
    <row r="268" spans="1:10" x14ac:dyDescent="0.25">
      <c r="A268" s="2">
        <v>278.10238499744702</v>
      </c>
      <c r="B268" s="3">
        <v>0.52178687096455201</v>
      </c>
      <c r="C268" s="5">
        <v>7.7877427958859404E-5</v>
      </c>
      <c r="D268" s="4">
        <v>2.2230645488662201E-3</v>
      </c>
      <c r="E268" s="3" t="s">
        <v>17026</v>
      </c>
      <c r="F268" s="3" t="s">
        <v>17027</v>
      </c>
      <c r="G268" s="3">
        <v>71972</v>
      </c>
      <c r="H268" s="7" t="str">
        <f>HYPERLINK("http://www.ensembl.org/Mus_musculus/Gene/Summary?db=core;g=ENSMUSG00000025195","ENSMUSG00000025195")</f>
        <v>ENSMUSG00000025195</v>
      </c>
      <c r="I268" s="7" t="str">
        <f>HYPERLINK("http://www.informatics.jax.org/marker/MGI:1917352","MGI:1917352")</f>
        <v>MGI:1917352</v>
      </c>
      <c r="J268" s="4" t="s">
        <v>12</v>
      </c>
    </row>
    <row r="269" spans="1:10" x14ac:dyDescent="0.25">
      <c r="A269" s="2">
        <v>1265.71536570332</v>
      </c>
      <c r="B269" s="3">
        <v>0.52022382951472401</v>
      </c>
      <c r="C269" s="5">
        <v>1.6134028776068102E-5</v>
      </c>
      <c r="D269" s="4">
        <v>6.9259321238335095E-4</v>
      </c>
      <c r="E269" s="3" t="s">
        <v>2776</v>
      </c>
      <c r="F269" s="3" t="s">
        <v>2777</v>
      </c>
      <c r="G269" s="3">
        <v>66929</v>
      </c>
      <c r="H269" s="7" t="str">
        <f>HYPERLINK("http://www.ensembl.org/Mus_musculus/Gene/Summary?db=core;g=ENSMUSG00000005470","ENSMUSG00000005470")</f>
        <v>ENSMUSG00000005470</v>
      </c>
      <c r="I269" s="7" t="str">
        <f>HYPERLINK("http://www.informatics.jax.org/marker/MGI:1914179","MGI:1914179")</f>
        <v>MGI:1914179</v>
      </c>
      <c r="J269" s="4" t="s">
        <v>12</v>
      </c>
    </row>
    <row r="270" spans="1:10" x14ac:dyDescent="0.25">
      <c r="A270" s="2">
        <v>528.78569418050199</v>
      </c>
      <c r="B270" s="3">
        <v>0.51991183943946795</v>
      </c>
      <c r="C270" s="5">
        <v>8.1386471148204296E-5</v>
      </c>
      <c r="D270" s="4">
        <v>2.2769991069747598E-3</v>
      </c>
      <c r="E270" s="3" t="s">
        <v>3175</v>
      </c>
      <c r="F270" s="3" t="s">
        <v>3176</v>
      </c>
      <c r="G270" s="3">
        <v>235380</v>
      </c>
      <c r="H270" s="7" t="str">
        <f>HYPERLINK("http://www.ensembl.org/Mus_musculus/Gene/Summary?db=core;g=ENSMUSG00000041268","ENSMUSG00000041268")</f>
        <v>ENSMUSG00000041268</v>
      </c>
      <c r="I270" s="7" t="str">
        <f>HYPERLINK("http://www.informatics.jax.org/marker/MGI:2444630","MGI:2444630")</f>
        <v>MGI:2444630</v>
      </c>
      <c r="J270" s="4" t="s">
        <v>12</v>
      </c>
    </row>
    <row r="271" spans="1:10" x14ac:dyDescent="0.25">
      <c r="A271" s="2">
        <v>1671.3465783888</v>
      </c>
      <c r="B271" s="3">
        <v>0.51978041972213296</v>
      </c>
      <c r="C271" s="5">
        <v>8.52590731306612E-5</v>
      </c>
      <c r="D271" s="4">
        <v>2.3618443238929698E-3</v>
      </c>
      <c r="E271" s="3" t="s">
        <v>2111</v>
      </c>
      <c r="F271" s="3" t="s">
        <v>2112</v>
      </c>
      <c r="G271" s="3">
        <v>17347</v>
      </c>
      <c r="H271" s="7" t="str">
        <f>HYPERLINK("http://www.ensembl.org/Mus_musculus/Gene/Summary?db=core;g=ENSMUSG00000020190","ENSMUSG00000020190")</f>
        <v>ENSMUSG00000020190</v>
      </c>
      <c r="I271" s="7" t="str">
        <f>HYPERLINK("http://www.informatics.jax.org/marker/MGI:894279","MGI:894279")</f>
        <v>MGI:894279</v>
      </c>
      <c r="J271" s="4" t="s">
        <v>12</v>
      </c>
    </row>
    <row r="272" spans="1:10" x14ac:dyDescent="0.25">
      <c r="A272" s="2">
        <v>644.69765008397201</v>
      </c>
      <c r="B272" s="3">
        <v>0.51977858694341506</v>
      </c>
      <c r="C272" s="5">
        <v>3.7646331570918204E-9</v>
      </c>
      <c r="D272" s="6">
        <v>8.1424671380407198E-7</v>
      </c>
      <c r="E272" s="3" t="s">
        <v>818</v>
      </c>
      <c r="F272" s="3" t="s">
        <v>819</v>
      </c>
      <c r="G272" s="3">
        <v>78658</v>
      </c>
      <c r="H272" s="7" t="str">
        <f>HYPERLINK("http://www.ensembl.org/Mus_musculus/Gene/Summary?db=core;g=ENSMUSG00000035024","ENSMUSG00000035024")</f>
        <v>ENSMUSG00000035024</v>
      </c>
      <c r="I272" s="7" t="str">
        <f>HYPERLINK("http://www.informatics.jax.org/marker/MGI:2142989","MGI:2142989")</f>
        <v>MGI:2142989</v>
      </c>
      <c r="J272" s="4" t="s">
        <v>12</v>
      </c>
    </row>
    <row r="273" spans="1:10" x14ac:dyDescent="0.25">
      <c r="A273" s="2">
        <v>1204.5475557193599</v>
      </c>
      <c r="B273" s="3">
        <v>0.51908726834450902</v>
      </c>
      <c r="C273" s="5">
        <v>5.9628178799687994E-8</v>
      </c>
      <c r="D273" s="6">
        <v>7.7084842179320808E-6</v>
      </c>
      <c r="E273" s="3" t="s">
        <v>470</v>
      </c>
      <c r="F273" s="3" t="s">
        <v>471</v>
      </c>
      <c r="G273" s="3">
        <v>17859</v>
      </c>
      <c r="H273" s="7" t="str">
        <f>HYPERLINK("http://www.ensembl.org/Mus_musculus/Gene/Summary?db=core;g=ENSMUSG00000025025","ENSMUSG00000025025")</f>
        <v>ENSMUSG00000025025</v>
      </c>
      <c r="I273" s="7" t="str">
        <f>HYPERLINK("http://www.informatics.jax.org/marker/MGI:97245","MGI:97245")</f>
        <v>MGI:97245</v>
      </c>
      <c r="J273" s="4" t="s">
        <v>12</v>
      </c>
    </row>
    <row r="274" spans="1:10" x14ac:dyDescent="0.25">
      <c r="A274" s="2">
        <v>1210.0055088708</v>
      </c>
      <c r="B274" s="3">
        <v>0.51677451965999899</v>
      </c>
      <c r="C274" s="3">
        <v>1.44720092894217E-3</v>
      </c>
      <c r="D274" s="4">
        <v>2.1501544052592501E-2</v>
      </c>
      <c r="E274" s="3" t="s">
        <v>35</v>
      </c>
      <c r="F274" s="3" t="s">
        <v>36</v>
      </c>
      <c r="G274" s="3">
        <v>80910</v>
      </c>
      <c r="H274" s="7" t="str">
        <f>HYPERLINK("http://www.ensembl.org/Mus_musculus/Gene/Summary?db=core;g=ENSMUSG00000063234","ENSMUSG00000063234")</f>
        <v>ENSMUSG00000063234</v>
      </c>
      <c r="I274" s="7" t="str">
        <f>HYPERLINK("http://www.informatics.jax.org/marker/MGI:1934129","MGI:1934129")</f>
        <v>MGI:1934129</v>
      </c>
      <c r="J274" s="4" t="s">
        <v>12</v>
      </c>
    </row>
    <row r="275" spans="1:10" x14ac:dyDescent="0.25">
      <c r="A275" s="2">
        <v>109.718564085476</v>
      </c>
      <c r="B275" s="3">
        <v>0.51507963975622895</v>
      </c>
      <c r="C275" s="3">
        <v>2.3749269453053699E-3</v>
      </c>
      <c r="D275" s="4">
        <v>3.1131472440384101E-2</v>
      </c>
      <c r="E275" s="3" t="s">
        <v>4465</v>
      </c>
      <c r="F275" s="3" t="s">
        <v>4466</v>
      </c>
      <c r="G275" s="3">
        <v>13972</v>
      </c>
      <c r="H275" s="7" t="str">
        <f>HYPERLINK("http://www.ensembl.org/Mus_musculus/Gene/Summary?db=core;g=ENSMUSG00000000884","ENSMUSG00000000884")</f>
        <v>ENSMUSG00000000884</v>
      </c>
      <c r="I275" s="7" t="str">
        <f>HYPERLINK("http://www.informatics.jax.org/marker/MGI:1338057","MGI:1338057")</f>
        <v>MGI:1338057</v>
      </c>
      <c r="J275" s="4" t="s">
        <v>12</v>
      </c>
    </row>
    <row r="276" spans="1:10" x14ac:dyDescent="0.25">
      <c r="A276" s="2">
        <v>784.26089098674299</v>
      </c>
      <c r="B276" s="3">
        <v>0.51468271731066895</v>
      </c>
      <c r="C276" s="5">
        <v>3.3395818832983303E-8</v>
      </c>
      <c r="D276" s="6">
        <v>4.7783922443678597E-6</v>
      </c>
      <c r="E276" s="3" t="s">
        <v>344</v>
      </c>
      <c r="F276" s="3" t="s">
        <v>345</v>
      </c>
      <c r="G276" s="3">
        <v>30841</v>
      </c>
      <c r="H276" s="7" t="str">
        <f>HYPERLINK("http://www.ensembl.org/Mus_musculus/Gene/Summary?db=core;g=ENSMUSG00000029475","ENSMUSG00000029475")</f>
        <v>ENSMUSG00000029475</v>
      </c>
      <c r="I276" s="7" t="str">
        <f>HYPERLINK("http://www.informatics.jax.org/marker/MGI:1354737","MGI:1354737")</f>
        <v>MGI:1354737</v>
      </c>
      <c r="J276" s="4" t="s">
        <v>12</v>
      </c>
    </row>
    <row r="277" spans="1:10" x14ac:dyDescent="0.25">
      <c r="A277" s="2">
        <v>146.790313276463</v>
      </c>
      <c r="B277" s="3">
        <v>0.51145495214437597</v>
      </c>
      <c r="C277" s="3">
        <v>1.51328956194038E-3</v>
      </c>
      <c r="D277" s="4">
        <v>2.20391992609906E-2</v>
      </c>
      <c r="E277" s="3" t="s">
        <v>14305</v>
      </c>
      <c r="F277" s="3" t="s">
        <v>14306</v>
      </c>
      <c r="G277" s="3">
        <v>209462</v>
      </c>
      <c r="H277" s="7" t="str">
        <f>HYPERLINK("http://www.ensembl.org/Mus_musculus/Gene/Summary?db=core;g=ENSMUSG00000038822","ENSMUSG00000038822")</f>
        <v>ENSMUSG00000038822</v>
      </c>
      <c r="I277" s="7" t="str">
        <f>HYPERLINK("http://www.informatics.jax.org/marker/MGI:2446110","MGI:2446110")</f>
        <v>MGI:2446110</v>
      </c>
      <c r="J277" s="4" t="s">
        <v>12</v>
      </c>
    </row>
    <row r="278" spans="1:10" x14ac:dyDescent="0.25">
      <c r="A278" s="2">
        <v>231.88118856237301</v>
      </c>
      <c r="B278" s="3">
        <v>0.51052403993969198</v>
      </c>
      <c r="C278" s="5">
        <v>1.8876098101018499E-5</v>
      </c>
      <c r="D278" s="4">
        <v>7.6920099761650399E-4</v>
      </c>
      <c r="E278" s="3" t="s">
        <v>4415</v>
      </c>
      <c r="F278" s="3" t="s">
        <v>4416</v>
      </c>
      <c r="G278" s="3">
        <v>57434</v>
      </c>
      <c r="H278" s="7" t="str">
        <f>HYPERLINK("http://www.ensembl.org/Mus_musculus/Gene/Summary?db=core;g=ENSMUSG00000028933","ENSMUSG00000028933")</f>
        <v>ENSMUSG00000028933</v>
      </c>
      <c r="I278" s="7" t="str">
        <f>HYPERLINK("http://www.informatics.jax.org/marker/MGI:1927345","MGI:1927345")</f>
        <v>MGI:1927345</v>
      </c>
      <c r="J278" s="4" t="s">
        <v>12</v>
      </c>
    </row>
    <row r="279" spans="1:10" x14ac:dyDescent="0.25">
      <c r="A279" s="2">
        <v>785.45659488092099</v>
      </c>
      <c r="B279" s="3">
        <v>0.50834392148601404</v>
      </c>
      <c r="C279" s="5">
        <v>3.6926171587368498E-5</v>
      </c>
      <c r="D279" s="4">
        <v>1.3019079995082599E-3</v>
      </c>
      <c r="E279" s="3" t="s">
        <v>1218</v>
      </c>
      <c r="F279" s="3" t="s">
        <v>1219</v>
      </c>
      <c r="G279" s="3">
        <v>69399</v>
      </c>
      <c r="H279" s="7" t="str">
        <f>HYPERLINK("http://www.ensembl.org/Mus_musculus/Gene/Summary?db=core;g=ENSMUSG00000032666","ENSMUSG00000032666")</f>
        <v>ENSMUSG00000032666</v>
      </c>
      <c r="I279" s="7" t="str">
        <f>HYPERLINK("http://www.informatics.jax.org/marker/MGI:1916649","MGI:1916649")</f>
        <v>MGI:1916649</v>
      </c>
      <c r="J279" s="4" t="s">
        <v>12</v>
      </c>
    </row>
    <row r="280" spans="1:10" x14ac:dyDescent="0.25">
      <c r="A280" s="2">
        <v>2508.8467091697698</v>
      </c>
      <c r="B280" s="3">
        <v>0.50787364205829</v>
      </c>
      <c r="C280" s="5">
        <v>4.3554113398212899E-10</v>
      </c>
      <c r="D280" s="6">
        <v>1.4844033739081799E-7</v>
      </c>
      <c r="E280" s="3" t="s">
        <v>698</v>
      </c>
      <c r="F280" s="3" t="s">
        <v>699</v>
      </c>
      <c r="G280" s="3">
        <v>235559</v>
      </c>
      <c r="H280" s="7" t="str">
        <f>HYPERLINK("http://www.ensembl.org/Mus_musculus/Gene/Summary?db=core;g=ENSMUSG00000032555","ENSMUSG00000032555")</f>
        <v>ENSMUSG00000032555</v>
      </c>
      <c r="I280" s="7" t="str">
        <f>HYPERLINK("http://www.informatics.jax.org/marker/MGI:1920018","MGI:1920018")</f>
        <v>MGI:1920018</v>
      </c>
      <c r="J280" s="4" t="s">
        <v>12</v>
      </c>
    </row>
    <row r="281" spans="1:10" x14ac:dyDescent="0.25">
      <c r="A281" s="2">
        <v>360.97870158663397</v>
      </c>
      <c r="B281" s="3">
        <v>0.50763762659843004</v>
      </c>
      <c r="C281" s="5">
        <v>4.7211215073268601E-5</v>
      </c>
      <c r="D281" s="4">
        <v>1.58785149166642E-3</v>
      </c>
      <c r="E281" s="3" t="s">
        <v>2187</v>
      </c>
      <c r="F281" s="3" t="s">
        <v>2188</v>
      </c>
      <c r="G281" s="3">
        <v>11781</v>
      </c>
      <c r="H281" s="7" t="str">
        <f>HYPERLINK("http://www.ensembl.org/Mus_musculus/Gene/Summary?db=core;g=ENSMUSG00000019518","ENSMUSG00000019518")</f>
        <v>ENSMUSG00000019518</v>
      </c>
      <c r="I281" s="7" t="str">
        <f>HYPERLINK("http://www.informatics.jax.org/marker/MGI:1337063","MGI:1337063")</f>
        <v>MGI:1337063</v>
      </c>
      <c r="J281" s="4" t="s">
        <v>12</v>
      </c>
    </row>
    <row r="282" spans="1:10" x14ac:dyDescent="0.25">
      <c r="A282" s="2">
        <v>281.083449388362</v>
      </c>
      <c r="B282" s="3">
        <v>0.50676632741556304</v>
      </c>
      <c r="C282" s="3">
        <v>1.5550159050994E-3</v>
      </c>
      <c r="D282" s="4">
        <v>2.2422133185452501E-2</v>
      </c>
      <c r="E282" s="3" t="s">
        <v>2137</v>
      </c>
      <c r="F282" s="3" t="s">
        <v>2138</v>
      </c>
      <c r="G282" s="3">
        <v>75735</v>
      </c>
      <c r="H282" s="7" t="str">
        <f>HYPERLINK("http://www.ensembl.org/Mus_musculus/Gene/Summary?db=core;g=ENSMUSG00000033610","ENSMUSG00000033610")</f>
        <v>ENSMUSG00000033610</v>
      </c>
      <c r="I282" s="7" t="str">
        <f>HYPERLINK("http://www.informatics.jax.org/marker/MGI:1922985","MGI:1922985")</f>
        <v>MGI:1922985</v>
      </c>
      <c r="J282" s="4" t="s">
        <v>12</v>
      </c>
    </row>
    <row r="283" spans="1:10" x14ac:dyDescent="0.25">
      <c r="A283" s="2">
        <v>617.584648400432</v>
      </c>
      <c r="B283" s="3">
        <v>0.50526523225578701</v>
      </c>
      <c r="C283" s="3">
        <v>4.5446264030098897E-3</v>
      </c>
      <c r="D283" s="4">
        <v>4.9432701310108497E-2</v>
      </c>
      <c r="E283" s="3" t="s">
        <v>6778</v>
      </c>
      <c r="F283" s="3" t="s">
        <v>6779</v>
      </c>
      <c r="G283" s="3">
        <v>68549</v>
      </c>
      <c r="H283" s="7" t="str">
        <f>HYPERLINK("http://www.ensembl.org/Mus_musculus/Gene/Summary?db=core;g=ENSMUSG00000026039","ENSMUSG00000026039")</f>
        <v>ENSMUSG00000026039</v>
      </c>
      <c r="I283" s="7" t="str">
        <f>HYPERLINK("http://www.informatics.jax.org/marker/MGI:1098767","MGI:1098767")</f>
        <v>MGI:1098767</v>
      </c>
      <c r="J283" s="4" t="s">
        <v>12</v>
      </c>
    </row>
    <row r="284" spans="1:10" x14ac:dyDescent="0.25">
      <c r="A284" s="2">
        <v>265.56140435242298</v>
      </c>
      <c r="B284" s="3">
        <v>0.50432891746654196</v>
      </c>
      <c r="C284" s="5">
        <v>3.95793113384271E-5</v>
      </c>
      <c r="D284" s="4">
        <v>1.3783535414592801E-3</v>
      </c>
      <c r="E284" s="3" t="s">
        <v>2690</v>
      </c>
      <c r="F284" s="3" t="s">
        <v>2691</v>
      </c>
      <c r="G284" s="3">
        <v>382406</v>
      </c>
      <c r="H284" s="7" t="str">
        <f>HYPERLINK("http://www.ensembl.org/Mus_musculus/Gene/Summary?db=core;g=ENSMUSG00000019952","ENSMUSG00000019952")</f>
        <v>ENSMUSG00000019952</v>
      </c>
      <c r="I284" s="7" t="str">
        <f>HYPERLINK("http://www.informatics.jax.org/marker/MGI:1918511","MGI:1918511")</f>
        <v>MGI:1918511</v>
      </c>
      <c r="J284" s="4" t="s">
        <v>12</v>
      </c>
    </row>
    <row r="285" spans="1:10" x14ac:dyDescent="0.25">
      <c r="A285" s="2">
        <v>266.39667487877699</v>
      </c>
      <c r="B285" s="3">
        <v>0.50412350524419902</v>
      </c>
      <c r="C285" s="3">
        <v>1.28587350476631E-3</v>
      </c>
      <c r="D285" s="4">
        <v>1.94646289476537E-2</v>
      </c>
      <c r="E285" s="3" t="s">
        <v>4427</v>
      </c>
      <c r="F285" s="3" t="s">
        <v>4428</v>
      </c>
      <c r="G285" s="3">
        <v>232539</v>
      </c>
      <c r="H285" s="7" t="str">
        <f>HYPERLINK("http://www.ensembl.org/Mus_musculus/Gene/Summary?db=core;g=ENSMUSG00000040102","ENSMUSG00000040102")</f>
        <v>ENSMUSG00000040102</v>
      </c>
      <c r="I285" s="7" t="str">
        <f>HYPERLINK("http://www.informatics.jax.org/marker/MGI:2444786","MGI:2444786")</f>
        <v>MGI:2444786</v>
      </c>
      <c r="J285" s="4" t="s">
        <v>12</v>
      </c>
    </row>
    <row r="286" spans="1:10" x14ac:dyDescent="0.25">
      <c r="A286" s="2">
        <v>370.08992594019099</v>
      </c>
      <c r="B286" s="3">
        <v>0.503297610363026</v>
      </c>
      <c r="C286" s="5">
        <v>1.6844937027299601E-5</v>
      </c>
      <c r="D286" s="4">
        <v>7.1492455375863804E-4</v>
      </c>
      <c r="E286" s="3" t="s">
        <v>2613</v>
      </c>
      <c r="F286" s="3" t="s">
        <v>2614</v>
      </c>
      <c r="G286" s="3">
        <v>12649</v>
      </c>
      <c r="H286" s="7" t="str">
        <f>HYPERLINK("http://www.ensembl.org/Mus_musculus/Gene/Summary?db=core;g=ENSMUSG00000032113","ENSMUSG00000032113")</f>
        <v>ENSMUSG00000032113</v>
      </c>
      <c r="I286" s="7" t="str">
        <f>HYPERLINK("http://www.informatics.jax.org/marker/MGI:1202065","MGI:1202065")</f>
        <v>MGI:1202065</v>
      </c>
      <c r="J286" s="4" t="s">
        <v>12</v>
      </c>
    </row>
    <row r="287" spans="1:10" x14ac:dyDescent="0.25">
      <c r="A287" s="2">
        <v>1098.07565128693</v>
      </c>
      <c r="B287" s="3">
        <v>0.50235699159931102</v>
      </c>
      <c r="C287" s="5">
        <v>6.4791782878270495E-5</v>
      </c>
      <c r="D287" s="4">
        <v>1.9536546435171801E-3</v>
      </c>
      <c r="E287" s="3" t="s">
        <v>1037</v>
      </c>
      <c r="F287" s="3" t="s">
        <v>1038</v>
      </c>
      <c r="G287" s="3">
        <v>15184</v>
      </c>
      <c r="H287" s="7" t="str">
        <f>HYPERLINK("http://www.ensembl.org/Mus_musculus/Gene/Summary?db=core;g=ENSMUSG00000008855","ENSMUSG00000008855")</f>
        <v>ENSMUSG00000008855</v>
      </c>
      <c r="I287" s="7" t="str">
        <f>HYPERLINK("http://www.informatics.jax.org/marker/MGI:1333784","MGI:1333784")</f>
        <v>MGI:1333784</v>
      </c>
      <c r="J287" s="4" t="s">
        <v>12</v>
      </c>
    </row>
    <row r="288" spans="1:10" x14ac:dyDescent="0.25">
      <c r="A288" s="2">
        <v>199.28419364765199</v>
      </c>
      <c r="B288" s="3">
        <v>0.50187492130428901</v>
      </c>
      <c r="C288" s="3">
        <v>3.0758833151729201E-3</v>
      </c>
      <c r="D288" s="4">
        <v>3.7158388448710902E-2</v>
      </c>
      <c r="E288" s="3" t="s">
        <v>7168</v>
      </c>
      <c r="F288" s="3" t="s">
        <v>7169</v>
      </c>
      <c r="G288" s="3">
        <v>216551</v>
      </c>
      <c r="H288" s="7" t="str">
        <f>HYPERLINK("http://www.ensembl.org/Mus_musculus/Gene/Summary?db=core;g=ENSMUSG00000042363","ENSMUSG00000042363")</f>
        <v>ENSMUSG00000042363</v>
      </c>
      <c r="I288" s="7" t="str">
        <f>HYPERLINK("http://www.informatics.jax.org/marker/MGI:1916114","MGI:1916114")</f>
        <v>MGI:1916114</v>
      </c>
      <c r="J288" s="4" t="s">
        <v>12</v>
      </c>
    </row>
    <row r="289" spans="1:10" x14ac:dyDescent="0.25">
      <c r="A289" s="2">
        <v>527.52721702123699</v>
      </c>
      <c r="B289" s="3">
        <v>0.50136893733642596</v>
      </c>
      <c r="C289" s="5">
        <v>5.1920145654815199E-5</v>
      </c>
      <c r="D289" s="4">
        <v>1.7002044225256001E-3</v>
      </c>
      <c r="E289" s="3" t="s">
        <v>2972</v>
      </c>
      <c r="F289" s="3" t="s">
        <v>2973</v>
      </c>
      <c r="G289" s="3">
        <v>30954</v>
      </c>
      <c r="H289" s="7" t="str">
        <f>HYPERLINK("http://www.ensembl.org/Mus_musculus/Gene/Summary?db=core;g=ENSMUSG00000064326","ENSMUSG00000064326")</f>
        <v>ENSMUSG00000064326</v>
      </c>
      <c r="I289" s="7" t="str">
        <f>HYPERLINK("http://www.informatics.jax.org/marker/MGI:1353606","MGI:1353606")</f>
        <v>MGI:1353606</v>
      </c>
      <c r="J289" s="4" t="s">
        <v>12</v>
      </c>
    </row>
    <row r="290" spans="1:10" x14ac:dyDescent="0.25">
      <c r="A290" s="2">
        <v>720.68786228251201</v>
      </c>
      <c r="B290" s="3">
        <v>0.50130913720089199</v>
      </c>
      <c r="C290" s="3">
        <v>1.9257968370803701E-3</v>
      </c>
      <c r="D290" s="4">
        <v>2.6543427728729099E-2</v>
      </c>
      <c r="E290" s="3" t="s">
        <v>494</v>
      </c>
      <c r="F290" s="3" t="s">
        <v>495</v>
      </c>
      <c r="G290" s="3">
        <v>97998</v>
      </c>
      <c r="H290" s="7" t="str">
        <f>HYPERLINK("http://www.ensembl.org/Mus_musculus/Gene/Summary?db=core;g=ENSMUSG00000022419","ENSMUSG00000022419")</f>
        <v>ENSMUSG00000022419</v>
      </c>
      <c r="I290" s="7" t="str">
        <f>HYPERLINK("http://www.informatics.jax.org/marker/MGI:2146322","MGI:2146322")</f>
        <v>MGI:2146322</v>
      </c>
      <c r="J290" s="4" t="s">
        <v>12</v>
      </c>
    </row>
    <row r="291" spans="1:10" x14ac:dyDescent="0.25">
      <c r="A291" s="2">
        <v>1195.8499812083901</v>
      </c>
      <c r="B291" s="3">
        <v>0.49816997866065599</v>
      </c>
      <c r="C291" s="3">
        <v>6.1158928338574396E-4</v>
      </c>
      <c r="D291" s="4">
        <v>1.11913568676474E-2</v>
      </c>
      <c r="E291" s="3" t="s">
        <v>3026</v>
      </c>
      <c r="F291" s="3" t="s">
        <v>3027</v>
      </c>
      <c r="G291" s="3">
        <v>666704</v>
      </c>
      <c r="H291" s="7" t="str">
        <f>HYPERLINK("http://www.ensembl.org/Mus_musculus/Gene/Summary?db=core;g=ENSMUSG00000079003","ENSMUSG00000079003")</f>
        <v>ENSMUSG00000079003</v>
      </c>
      <c r="I291" s="7" t="str">
        <f>HYPERLINK("http://www.informatics.jax.org/marker/MGI:2142433","MGI:2142433")</f>
        <v>MGI:2142433</v>
      </c>
      <c r="J291" s="4" t="s">
        <v>12</v>
      </c>
    </row>
    <row r="292" spans="1:10" x14ac:dyDescent="0.25">
      <c r="A292" s="2">
        <v>800.22001940647203</v>
      </c>
      <c r="B292" s="3">
        <v>0.49674991974850402</v>
      </c>
      <c r="C292" s="5">
        <v>2.3235154451939598E-6</v>
      </c>
      <c r="D292" s="4">
        <v>1.4437888514970401E-4</v>
      </c>
      <c r="E292" s="3" t="s">
        <v>1923</v>
      </c>
      <c r="F292" s="3" t="s">
        <v>1924</v>
      </c>
      <c r="G292" s="3">
        <v>18018</v>
      </c>
      <c r="H292" s="7" t="str">
        <f>HYPERLINK("http://www.ensembl.org/Mus_musculus/Gene/Summary?db=core;g=ENSMUSG00000033016","ENSMUSG00000033016")</f>
        <v>ENSMUSG00000033016</v>
      </c>
      <c r="I292" s="7" t="str">
        <f>HYPERLINK("http://www.informatics.jax.org/marker/MGI:102469","MGI:102469")</f>
        <v>MGI:102469</v>
      </c>
      <c r="J292" s="4" t="s">
        <v>12</v>
      </c>
    </row>
    <row r="293" spans="1:10" x14ac:dyDescent="0.25">
      <c r="A293" s="2">
        <v>880.66219640925306</v>
      </c>
      <c r="B293" s="3">
        <v>0.49651928418501901</v>
      </c>
      <c r="C293" s="5">
        <v>6.9410924283028903E-7</v>
      </c>
      <c r="D293" s="6">
        <v>5.57617618150876E-5</v>
      </c>
      <c r="E293" s="3" t="s">
        <v>2231</v>
      </c>
      <c r="F293" s="3" t="s">
        <v>2232</v>
      </c>
      <c r="G293" s="3">
        <v>60530</v>
      </c>
      <c r="H293" s="7" t="str">
        <f>HYPERLINK("http://www.ensembl.org/Mus_musculus/Gene/Summary?db=core;g=ENSMUSG00000035455","ENSMUSG00000035455")</f>
        <v>ENSMUSG00000035455</v>
      </c>
      <c r="I293" s="7" t="str">
        <f>HYPERLINK("http://www.informatics.jax.org/marker/MGI:1890648","MGI:1890648")</f>
        <v>MGI:1890648</v>
      </c>
      <c r="J293" s="4" t="s">
        <v>12</v>
      </c>
    </row>
    <row r="294" spans="1:10" x14ac:dyDescent="0.25">
      <c r="A294" s="2">
        <v>294.301253056831</v>
      </c>
      <c r="B294" s="3">
        <v>0.49614246372167697</v>
      </c>
      <c r="C294" s="3">
        <v>3.0619506198195699E-4</v>
      </c>
      <c r="D294" s="4">
        <v>6.6796810229435601E-3</v>
      </c>
      <c r="E294" s="3" t="s">
        <v>1474</v>
      </c>
      <c r="F294" s="3" t="s">
        <v>1475</v>
      </c>
      <c r="G294" s="3">
        <v>74239</v>
      </c>
      <c r="H294" s="7" t="str">
        <f>HYPERLINK("http://www.ensembl.org/Mus_musculus/Gene/Summary?db=core;g=ENSMUSG00000036555","ENSMUSG00000036555")</f>
        <v>ENSMUSG00000036555</v>
      </c>
      <c r="I294" s="7" t="str">
        <f>HYPERLINK("http://www.informatics.jax.org/marker/MGI:1921489","MGI:1921489")</f>
        <v>MGI:1921489</v>
      </c>
      <c r="J294" s="4" t="s">
        <v>12</v>
      </c>
    </row>
    <row r="295" spans="1:10" x14ac:dyDescent="0.25">
      <c r="A295" s="2">
        <v>122.55098380344199</v>
      </c>
      <c r="B295" s="3">
        <v>0.49534739410133</v>
      </c>
      <c r="C295" s="3">
        <v>3.2854803471426201E-3</v>
      </c>
      <c r="D295" s="4">
        <v>3.9154200117197897E-2</v>
      </c>
      <c r="E295" s="3" t="s">
        <v>11183</v>
      </c>
      <c r="F295" s="3" t="s">
        <v>11184</v>
      </c>
      <c r="G295" s="3">
        <v>67219</v>
      </c>
      <c r="H295" s="7" t="str">
        <f>HYPERLINK("http://www.ensembl.org/Mus_musculus/Gene/Summary?db=core;g=ENSMUSG00000066042","ENSMUSG00000066042")</f>
        <v>ENSMUSG00000066042</v>
      </c>
      <c r="I295" s="7" t="str">
        <f>HYPERLINK("http://www.informatics.jax.org/marker/MGI:1914469","MGI:1914469")</f>
        <v>MGI:1914469</v>
      </c>
      <c r="J295" s="4" t="s">
        <v>12</v>
      </c>
    </row>
    <row r="296" spans="1:10" x14ac:dyDescent="0.25">
      <c r="A296" s="2">
        <v>178.01301619579201</v>
      </c>
      <c r="B296" s="3">
        <v>0.49338353035676302</v>
      </c>
      <c r="C296" s="3">
        <v>2.5209721286098201E-3</v>
      </c>
      <c r="D296" s="4">
        <v>3.2627587491915598E-2</v>
      </c>
      <c r="E296" s="3" t="s">
        <v>3356</v>
      </c>
      <c r="F296" s="3" t="s">
        <v>3357</v>
      </c>
      <c r="G296" s="3">
        <v>239839</v>
      </c>
      <c r="H296" s="7" t="str">
        <f>HYPERLINK("http://www.ensembl.org/Mus_musculus/Gene/Summary?db=core;g=ENSMUSG00000022833","ENSMUSG00000022833")</f>
        <v>ENSMUSG00000022833</v>
      </c>
      <c r="I296" s="7" t="str">
        <f>HYPERLINK("http://www.informatics.jax.org/marker/MGI:2443448","MGI:2443448")</f>
        <v>MGI:2443448</v>
      </c>
      <c r="J296" s="4" t="s">
        <v>12</v>
      </c>
    </row>
    <row r="297" spans="1:10" x14ac:dyDescent="0.25">
      <c r="A297" s="2">
        <v>375.43503501584797</v>
      </c>
      <c r="B297" s="3">
        <v>0.49217246584381902</v>
      </c>
      <c r="C297" s="5">
        <v>1.33821279965963E-6</v>
      </c>
      <c r="D297" s="6">
        <v>9.4659618602339007E-5</v>
      </c>
      <c r="E297" s="3" t="s">
        <v>2950</v>
      </c>
      <c r="F297" s="3" t="s">
        <v>2951</v>
      </c>
      <c r="G297" s="3">
        <v>26885</v>
      </c>
      <c r="H297" s="7" t="str">
        <f>HYPERLINK("http://www.ensembl.org/Mus_musculus/Gene/Summary?db=core;g=ENSMUSG00000028282","ENSMUSG00000028282")</f>
        <v>ENSMUSG00000028282</v>
      </c>
      <c r="I297" s="7" t="str">
        <f>HYPERLINK("http://www.informatics.jax.org/marker/MGI:1349399","MGI:1349399")</f>
        <v>MGI:1349399</v>
      </c>
      <c r="J297" s="4" t="s">
        <v>12</v>
      </c>
    </row>
    <row r="298" spans="1:10" x14ac:dyDescent="0.25">
      <c r="A298" s="2">
        <v>594.87344983533205</v>
      </c>
      <c r="B298" s="3">
        <v>0.48961304808088302</v>
      </c>
      <c r="C298" s="3">
        <v>3.5325562098272498E-3</v>
      </c>
      <c r="D298" s="4">
        <v>4.1472504897627403E-2</v>
      </c>
      <c r="E298" s="3" t="s">
        <v>9187</v>
      </c>
      <c r="F298" s="3" t="s">
        <v>9188</v>
      </c>
      <c r="G298" s="3">
        <v>98952</v>
      </c>
      <c r="H298" s="7" t="str">
        <f>HYPERLINK("http://www.ensembl.org/Mus_musculus/Gene/Summary?db=core;g=ENSMUSG00000039157","ENSMUSG00000039157")</f>
        <v>ENSMUSG00000039157</v>
      </c>
      <c r="I298" s="7" t="str">
        <f>HYPERLINK("http://www.informatics.jax.org/marker/MGI:2138935","MGI:2138935")</f>
        <v>MGI:2138935</v>
      </c>
      <c r="J298" s="4" t="s">
        <v>12</v>
      </c>
    </row>
    <row r="299" spans="1:10" x14ac:dyDescent="0.25">
      <c r="A299" s="2">
        <v>261.97862253219802</v>
      </c>
      <c r="B299" s="3">
        <v>0.48957070084934101</v>
      </c>
      <c r="C299" s="3">
        <v>6.3192851475830296E-4</v>
      </c>
      <c r="D299" s="4">
        <v>1.1408186204633399E-2</v>
      </c>
      <c r="E299" s="3" t="s">
        <v>7332</v>
      </c>
      <c r="F299" s="3" t="s">
        <v>7333</v>
      </c>
      <c r="G299" s="3">
        <v>320100</v>
      </c>
      <c r="H299" s="7" t="str">
        <f>HYPERLINK("http://www.ensembl.org/Mus_musculus/Gene/Summary?db=core;g=ENSMUSG00000008318","ENSMUSG00000008318")</f>
        <v>ENSMUSG00000008318</v>
      </c>
      <c r="I299" s="7" t="str">
        <f>HYPERLINK("http://www.informatics.jax.org/marker/MGI:2443373","MGI:2443373")</f>
        <v>MGI:2443373</v>
      </c>
      <c r="J299" s="4" t="s">
        <v>12</v>
      </c>
    </row>
    <row r="300" spans="1:10" x14ac:dyDescent="0.25">
      <c r="A300" s="2">
        <v>2378.7262133833201</v>
      </c>
      <c r="B300" s="3">
        <v>0.489500117779675</v>
      </c>
      <c r="C300" s="5">
        <v>3.1317087950945499E-6</v>
      </c>
      <c r="D300" s="4">
        <v>1.7879354730166699E-4</v>
      </c>
      <c r="E300" s="3" t="s">
        <v>2353</v>
      </c>
      <c r="F300" s="3" t="s">
        <v>2354</v>
      </c>
      <c r="G300" s="3">
        <v>107823</v>
      </c>
      <c r="H300" s="7" t="str">
        <f>HYPERLINK("http://www.ensembl.org/Mus_musculus/Gene/Summary?db=core;g=ENSMUSG00000057406","ENSMUSG00000057406")</f>
        <v>ENSMUSG00000057406</v>
      </c>
      <c r="I300" s="7" t="str">
        <f>HYPERLINK("http://www.informatics.jax.org/marker/MGI:1276574","MGI:1276574")</f>
        <v>MGI:1276574</v>
      </c>
      <c r="J300" s="4" t="s">
        <v>12</v>
      </c>
    </row>
    <row r="301" spans="1:10" x14ac:dyDescent="0.25">
      <c r="A301" s="2">
        <v>375.38520865897999</v>
      </c>
      <c r="B301" s="3">
        <v>0.48934100765577798</v>
      </c>
      <c r="C301" s="3">
        <v>1.4687962155611801E-3</v>
      </c>
      <c r="D301" s="4">
        <v>2.1670345965688599E-2</v>
      </c>
      <c r="E301" s="3" t="s">
        <v>3098</v>
      </c>
      <c r="F301" s="3" t="s">
        <v>3099</v>
      </c>
      <c r="G301" s="3">
        <v>19362</v>
      </c>
      <c r="H301" s="7" t="str">
        <f>HYPERLINK("http://www.ensembl.org/Mus_musculus/Gene/Summary?db=core;g=ENSMUSG00000030346","ENSMUSG00000030346")</f>
        <v>ENSMUSG00000030346</v>
      </c>
      <c r="I301" s="7" t="str">
        <f>HYPERLINK("http://www.informatics.jax.org/marker/MGI:1098224","MGI:1098224")</f>
        <v>MGI:1098224</v>
      </c>
      <c r="J301" s="4" t="s">
        <v>12</v>
      </c>
    </row>
    <row r="302" spans="1:10" x14ac:dyDescent="0.25">
      <c r="A302" s="2">
        <v>844.26021746042397</v>
      </c>
      <c r="B302" s="3">
        <v>0.48609496508289901</v>
      </c>
      <c r="C302" s="5">
        <v>2.9098279967879099E-7</v>
      </c>
      <c r="D302" s="6">
        <v>2.7501542420061801E-5</v>
      </c>
      <c r="E302" s="3" t="s">
        <v>935</v>
      </c>
      <c r="F302" s="3" t="s">
        <v>936</v>
      </c>
      <c r="G302" s="3">
        <v>14087</v>
      </c>
      <c r="H302" s="7" t="str">
        <f>HYPERLINK("http://www.ensembl.org/Mus_musculus/Gene/Summary?db=core;g=ENSMUSG00000032815","ENSMUSG00000032815")</f>
        <v>ENSMUSG00000032815</v>
      </c>
      <c r="I302" s="7" t="str">
        <f>HYPERLINK("http://www.informatics.jax.org/marker/MGI:1341823","MGI:1341823")</f>
        <v>MGI:1341823</v>
      </c>
      <c r="J302" s="4" t="s">
        <v>12</v>
      </c>
    </row>
    <row r="303" spans="1:10" x14ac:dyDescent="0.25">
      <c r="A303" s="2">
        <v>168.91561387190899</v>
      </c>
      <c r="B303" s="3">
        <v>0.48430217215364502</v>
      </c>
      <c r="C303" s="3">
        <v>4.14951322880408E-4</v>
      </c>
      <c r="D303" s="4">
        <v>8.2747473908438805E-3</v>
      </c>
      <c r="E303" s="3" t="s">
        <v>3272</v>
      </c>
      <c r="F303" s="3" t="s">
        <v>3273</v>
      </c>
      <c r="G303" s="3">
        <v>70925</v>
      </c>
      <c r="H303" s="7" t="str">
        <f>HYPERLINK("http://www.ensembl.org/Mus_musculus/Gene/Summary?db=core;g=ENSMUSG00000038069","ENSMUSG00000038069")</f>
        <v>ENSMUSG00000038069</v>
      </c>
      <c r="I303" s="7" t="str">
        <f>HYPERLINK("http://www.informatics.jax.org/marker/MGI:1918175","MGI:1918175")</f>
        <v>MGI:1918175</v>
      </c>
      <c r="J303" s="4" t="s">
        <v>12</v>
      </c>
    </row>
    <row r="304" spans="1:10" x14ac:dyDescent="0.25">
      <c r="A304" s="2">
        <v>1436.8141900026701</v>
      </c>
      <c r="B304" s="3">
        <v>0.48241506790048699</v>
      </c>
      <c r="C304" s="5">
        <v>1.07066437862728E-5</v>
      </c>
      <c r="D304" s="4">
        <v>4.9351484698446696E-4</v>
      </c>
      <c r="E304" s="3" t="s">
        <v>5613</v>
      </c>
      <c r="F304" s="3" t="s">
        <v>5614</v>
      </c>
      <c r="G304" s="3">
        <v>666938</v>
      </c>
      <c r="H304" s="7" t="str">
        <f>HYPERLINK("http://www.ensembl.org/Mus_musculus/Gene/Summary?db=core;g=ENSMUSG00000092060","ENSMUSG00000092060")</f>
        <v>ENSMUSG00000092060</v>
      </c>
      <c r="I304" s="7" t="str">
        <f>HYPERLINK("http://www.informatics.jax.org/marker/MGI:3648414","MGI:3648414")</f>
        <v>MGI:3648414</v>
      </c>
      <c r="J304" s="4" t="s">
        <v>12</v>
      </c>
    </row>
    <row r="305" spans="1:10" x14ac:dyDescent="0.25">
      <c r="A305" s="2">
        <v>379.24282717899001</v>
      </c>
      <c r="B305" s="3">
        <v>0.48225229055159902</v>
      </c>
      <c r="C305" s="5">
        <v>2.2044303808031701E-5</v>
      </c>
      <c r="D305" s="4">
        <v>8.6387555724366598E-4</v>
      </c>
      <c r="E305" s="3" t="s">
        <v>1925</v>
      </c>
      <c r="F305" s="3" t="s">
        <v>1926</v>
      </c>
      <c r="G305" s="3">
        <v>230809</v>
      </c>
      <c r="H305" s="7" t="str">
        <f>HYPERLINK("http://www.ensembl.org/Mus_musculus/Gene/Summary?db=core;g=ENSMUSG00000050890","ENSMUSG00000050890")</f>
        <v>ENSMUSG00000050890</v>
      </c>
      <c r="I305" s="7" t="str">
        <f>HYPERLINK("http://www.informatics.jax.org/marker/MGI:2385213","MGI:2385213")</f>
        <v>MGI:2385213</v>
      </c>
      <c r="J305" s="4" t="s">
        <v>12</v>
      </c>
    </row>
    <row r="306" spans="1:10" x14ac:dyDescent="0.25">
      <c r="A306" s="2">
        <v>527.41507136909001</v>
      </c>
      <c r="B306" s="3">
        <v>0.48109657363036501</v>
      </c>
      <c r="C306" s="3">
        <v>3.7560000835108899E-4</v>
      </c>
      <c r="D306" s="4">
        <v>7.6946690235422596E-3</v>
      </c>
      <c r="E306" s="3" t="s">
        <v>3642</v>
      </c>
      <c r="F306" s="3" t="s">
        <v>3643</v>
      </c>
      <c r="G306" s="3">
        <v>14841</v>
      </c>
      <c r="H306" s="7" t="str">
        <f>HYPERLINK("http://www.ensembl.org/Mus_musculus/Gene/Summary?db=core;g=ENSMUSG00000050107","ENSMUSG00000050107")</f>
        <v>ENSMUSG00000050107</v>
      </c>
      <c r="I306" s="7" t="str">
        <f>HYPERLINK("http://www.informatics.jax.org/marker/MGI:1194498","MGI:1194498")</f>
        <v>MGI:1194498</v>
      </c>
      <c r="J306" s="4" t="s">
        <v>12</v>
      </c>
    </row>
    <row r="307" spans="1:10" x14ac:dyDescent="0.25">
      <c r="A307" s="2">
        <v>530.79079163224503</v>
      </c>
      <c r="B307" s="3">
        <v>0.47954901636562702</v>
      </c>
      <c r="C307" s="3">
        <v>2.9925761475140802E-3</v>
      </c>
      <c r="D307" s="4">
        <v>3.6384686871758297E-2</v>
      </c>
      <c r="E307" s="3" t="s">
        <v>774</v>
      </c>
      <c r="F307" s="3" t="s">
        <v>775</v>
      </c>
      <c r="G307" s="3">
        <v>75785</v>
      </c>
      <c r="H307" s="7" t="str">
        <f>HYPERLINK("http://www.ensembl.org/Mus_musculus/Gene/Summary?db=core;g=ENSMUSG00000062901","ENSMUSG00000062901")</f>
        <v>ENSMUSG00000062901</v>
      </c>
      <c r="I307" s="7" t="str">
        <f>HYPERLINK("http://www.informatics.jax.org/marker/MGI:1923035","MGI:1923035")</f>
        <v>MGI:1923035</v>
      </c>
      <c r="J307" s="4" t="s">
        <v>12</v>
      </c>
    </row>
    <row r="308" spans="1:10" x14ac:dyDescent="0.25">
      <c r="A308" s="2">
        <v>452.132258904504</v>
      </c>
      <c r="B308" s="3">
        <v>0.47945652166999497</v>
      </c>
      <c r="C308" s="5">
        <v>1.02132569108948E-7</v>
      </c>
      <c r="D308" s="6">
        <v>1.2351451664175599E-5</v>
      </c>
      <c r="E308" s="3" t="s">
        <v>642</v>
      </c>
      <c r="F308" s="3" t="s">
        <v>643</v>
      </c>
      <c r="G308" s="3">
        <v>228983</v>
      </c>
      <c r="H308" s="7" t="str">
        <f>HYPERLINK("http://www.ensembl.org/Mus_musculus/Gene/Summary?db=core;g=ENSMUSG00000039050","ENSMUSG00000039050")</f>
        <v>ENSMUSG00000039050</v>
      </c>
      <c r="I308" s="7" t="str">
        <f>HYPERLINK("http://www.informatics.jax.org/marker/MGI:2442832","MGI:2442832")</f>
        <v>MGI:2442832</v>
      </c>
      <c r="J308" s="4" t="s">
        <v>12</v>
      </c>
    </row>
    <row r="309" spans="1:10" x14ac:dyDescent="0.25">
      <c r="A309" s="2">
        <v>398.59543263282899</v>
      </c>
      <c r="B309" s="3">
        <v>0.47905765246203802</v>
      </c>
      <c r="C309" s="5">
        <v>4.4251336629346599E-6</v>
      </c>
      <c r="D309" s="4">
        <v>2.38131475153235E-4</v>
      </c>
      <c r="E309" s="3" t="s">
        <v>3171</v>
      </c>
      <c r="F309" s="3" t="s">
        <v>3172</v>
      </c>
      <c r="G309" s="3">
        <v>73338</v>
      </c>
      <c r="H309" s="7" t="str">
        <f>HYPERLINK("http://www.ensembl.org/Mus_musculus/Gene/Summary?db=core;g=ENSMUSG00000074825","ENSMUSG00000074825")</f>
        <v>ENSMUSG00000074825</v>
      </c>
      <c r="I309" s="7" t="str">
        <f>HYPERLINK("http://www.informatics.jax.org/marker/MGI:1920588","MGI:1920588")</f>
        <v>MGI:1920588</v>
      </c>
      <c r="J309" s="4" t="s">
        <v>12</v>
      </c>
    </row>
    <row r="310" spans="1:10" x14ac:dyDescent="0.25">
      <c r="A310" s="2">
        <v>159.727380112117</v>
      </c>
      <c r="B310" s="3">
        <v>0.478378905741765</v>
      </c>
      <c r="C310" s="3">
        <v>3.5364319587961198E-3</v>
      </c>
      <c r="D310" s="4">
        <v>4.1474713493826899E-2</v>
      </c>
      <c r="E310" s="3" t="s">
        <v>4111</v>
      </c>
      <c r="F310" s="3" t="s">
        <v>4112</v>
      </c>
      <c r="G310" s="3">
        <v>224836</v>
      </c>
      <c r="H310" s="7" t="str">
        <f>HYPERLINK("http://www.ensembl.org/Mus_musculus/Gene/Summary?db=core;g=ENSMUSG00000090115","ENSMUSG00000090115")</f>
        <v>ENSMUSG00000090115</v>
      </c>
      <c r="I310" s="7" t="str">
        <f>HYPERLINK("http://www.informatics.jax.org/marker/MGI:2685391","MGI:2685391")</f>
        <v>MGI:2685391</v>
      </c>
      <c r="J310" s="4" t="s">
        <v>12</v>
      </c>
    </row>
    <row r="311" spans="1:10" x14ac:dyDescent="0.25">
      <c r="A311" s="2">
        <v>877.116435341326</v>
      </c>
      <c r="B311" s="3">
        <v>0.47792161382764098</v>
      </c>
      <c r="C311" s="5">
        <v>5.3132604188905997E-5</v>
      </c>
      <c r="D311" s="4">
        <v>1.71227048513646E-3</v>
      </c>
      <c r="E311" s="3" t="s">
        <v>1618</v>
      </c>
      <c r="F311" s="3" t="s">
        <v>1619</v>
      </c>
      <c r="G311" s="3">
        <v>68964</v>
      </c>
      <c r="H311" s="7" t="str">
        <f>HYPERLINK("http://www.ensembl.org/Mus_musculus/Gene/Summary?db=core;g=ENSMUSG00000020898","ENSMUSG00000020898")</f>
        <v>ENSMUSG00000020898</v>
      </c>
      <c r="I311" s="7" t="str">
        <f>HYPERLINK("http://www.informatics.jax.org/marker/MGI:1916214","MGI:1916214")</f>
        <v>MGI:1916214</v>
      </c>
      <c r="J311" s="4" t="s">
        <v>12</v>
      </c>
    </row>
    <row r="312" spans="1:10" x14ac:dyDescent="0.25">
      <c r="A312" s="2">
        <v>369.228780340551</v>
      </c>
      <c r="B312" s="3">
        <v>0.4779187927461</v>
      </c>
      <c r="C312" s="5">
        <v>1.9380945995344001E-5</v>
      </c>
      <c r="D312" s="4">
        <v>7.8409172521451095E-4</v>
      </c>
      <c r="E312" s="3" t="s">
        <v>1648</v>
      </c>
      <c r="F312" s="3" t="s">
        <v>1649</v>
      </c>
      <c r="G312" s="3">
        <v>104732</v>
      </c>
      <c r="H312" s="7" t="str">
        <f>HYPERLINK("http://www.ensembl.org/Mus_musculus/Gene/Summary?db=core;g=ENSMUSG00000037466","ENSMUSG00000037466")</f>
        <v>ENSMUSG00000037466</v>
      </c>
      <c r="I312" s="7" t="str">
        <f>HYPERLINK("http://www.informatics.jax.org/marker/MGI:2144738","MGI:2144738")</f>
        <v>MGI:2144738</v>
      </c>
      <c r="J312" s="4" t="s">
        <v>12</v>
      </c>
    </row>
    <row r="313" spans="1:10" x14ac:dyDescent="0.25">
      <c r="A313" s="2">
        <v>609.63378029770001</v>
      </c>
      <c r="B313" s="3">
        <v>0.47519549612442702</v>
      </c>
      <c r="C313" s="5">
        <v>6.0166460792904897E-5</v>
      </c>
      <c r="D313" s="4">
        <v>1.8824295847210499E-3</v>
      </c>
      <c r="E313" s="3" t="s">
        <v>1616</v>
      </c>
      <c r="F313" s="3" t="s">
        <v>1617</v>
      </c>
      <c r="G313" s="3">
        <v>108671</v>
      </c>
      <c r="H313" s="7" t="str">
        <f>HYPERLINK("http://www.ensembl.org/Mus_musculus/Gene/Summary?db=core;g=ENSMUSG00000021811","ENSMUSG00000021811")</f>
        <v>ENSMUSG00000021811</v>
      </c>
      <c r="I313" s="7" t="str">
        <f>HYPERLINK("http://www.informatics.jax.org/marker/MGI:1915326","MGI:1915326")</f>
        <v>MGI:1915326</v>
      </c>
      <c r="J313" s="4" t="s">
        <v>12</v>
      </c>
    </row>
    <row r="314" spans="1:10" x14ac:dyDescent="0.25">
      <c r="A314" s="2">
        <v>633.95630240619403</v>
      </c>
      <c r="B314" s="3">
        <v>0.47437620283350002</v>
      </c>
      <c r="C314" s="3">
        <v>1.02575406717415E-3</v>
      </c>
      <c r="D314" s="4">
        <v>1.6294711855236801E-2</v>
      </c>
      <c r="E314" s="3" t="s">
        <v>796</v>
      </c>
      <c r="F314" s="3" t="s">
        <v>797</v>
      </c>
      <c r="G314" s="3">
        <v>21877</v>
      </c>
      <c r="H314" s="7" t="str">
        <f>HYPERLINK("http://www.ensembl.org/Mus_musculus/Gene/Summary?db=core;g=ENSMUSG00000025574","ENSMUSG00000025574")</f>
        <v>ENSMUSG00000025574</v>
      </c>
      <c r="I314" s="7" t="str">
        <f>HYPERLINK("http://www.informatics.jax.org/marker/MGI:98763","MGI:98763")</f>
        <v>MGI:98763</v>
      </c>
      <c r="J314" s="4" t="s">
        <v>12</v>
      </c>
    </row>
    <row r="315" spans="1:10" x14ac:dyDescent="0.25">
      <c r="A315" s="2">
        <v>123.20627497792501</v>
      </c>
      <c r="B315" s="3">
        <v>0.47280149145603101</v>
      </c>
      <c r="C315" s="3">
        <v>2.8718294910945099E-3</v>
      </c>
      <c r="D315" s="4">
        <v>3.5299963154469899E-2</v>
      </c>
      <c r="E315" s="3" t="s">
        <v>6673</v>
      </c>
      <c r="F315" s="3" t="s">
        <v>6674</v>
      </c>
      <c r="G315" s="3">
        <v>230577</v>
      </c>
      <c r="H315" s="7" t="str">
        <f>HYPERLINK("http://www.ensembl.org/Mus_musculus/Gene/Summary?db=core;g=ENSMUSG00000043572","ENSMUSG00000043572")</f>
        <v>ENSMUSG00000043572</v>
      </c>
      <c r="I315" s="7" t="str">
        <f>HYPERLINK("http://www.informatics.jax.org/marker/MGI:2386296","MGI:2386296")</f>
        <v>MGI:2386296</v>
      </c>
      <c r="J315" s="4" t="s">
        <v>12</v>
      </c>
    </row>
    <row r="316" spans="1:10" x14ac:dyDescent="0.25">
      <c r="A316" s="2">
        <v>584.46095722106895</v>
      </c>
      <c r="B316" s="3">
        <v>0.472665367457477</v>
      </c>
      <c r="C316" s="3">
        <v>1.6007353484256499E-3</v>
      </c>
      <c r="D316" s="4">
        <v>2.29636102853869E-2</v>
      </c>
      <c r="E316" s="3" t="s">
        <v>5649</v>
      </c>
      <c r="F316" s="3" t="s">
        <v>5650</v>
      </c>
      <c r="G316" s="3">
        <v>69718</v>
      </c>
      <c r="H316" s="7" t="str">
        <f>HYPERLINK("http://www.ensembl.org/Mus_musculus/Gene/Summary?db=core;g=ENSMUSG00000060733","ENSMUSG00000060733")</f>
        <v>ENSMUSG00000060733</v>
      </c>
      <c r="I316" s="7" t="str">
        <f>HYPERLINK("http://www.informatics.jax.org/marker/MGI:1916968","MGI:1916968")</f>
        <v>MGI:1916968</v>
      </c>
      <c r="J316" s="4" t="s">
        <v>12</v>
      </c>
    </row>
    <row r="317" spans="1:10" x14ac:dyDescent="0.25">
      <c r="A317" s="2">
        <v>743.57011866938296</v>
      </c>
      <c r="B317" s="3">
        <v>0.47113782537302101</v>
      </c>
      <c r="C317" s="5">
        <v>3.2220675404510201E-6</v>
      </c>
      <c r="D317" s="4">
        <v>1.8302320013864899E-4</v>
      </c>
      <c r="E317" s="3" t="s">
        <v>1839</v>
      </c>
      <c r="F317" s="3" t="s">
        <v>1840</v>
      </c>
      <c r="G317" s="3">
        <v>12566</v>
      </c>
      <c r="H317" s="7" t="str">
        <f>HYPERLINK("http://www.ensembl.org/Mus_musculus/Gene/Summary?db=core;g=ENSMUSG00000025358","ENSMUSG00000025358")</f>
        <v>ENSMUSG00000025358</v>
      </c>
      <c r="I317" s="7" t="str">
        <f>HYPERLINK("http://www.informatics.jax.org/marker/MGI:104772","MGI:104772")</f>
        <v>MGI:104772</v>
      </c>
      <c r="J317" s="4" t="s">
        <v>12</v>
      </c>
    </row>
    <row r="318" spans="1:10" x14ac:dyDescent="0.25">
      <c r="A318" s="2">
        <v>268.23863230977798</v>
      </c>
      <c r="B318" s="3">
        <v>0.470637534120882</v>
      </c>
      <c r="C318" s="3">
        <v>4.3727292983789602E-4</v>
      </c>
      <c r="D318" s="4">
        <v>8.6280853366435296E-3</v>
      </c>
      <c r="E318" s="3" t="s">
        <v>1070</v>
      </c>
      <c r="F318" s="3" t="s">
        <v>1071</v>
      </c>
      <c r="G318" s="3">
        <v>73086</v>
      </c>
      <c r="H318" s="7" t="str">
        <f>HYPERLINK("http://www.ensembl.org/Mus_musculus/Gene/Summary?db=core;g=ENSMUSG00000021180","ENSMUSG00000021180")</f>
        <v>ENSMUSG00000021180</v>
      </c>
      <c r="I318" s="7" t="str">
        <f>HYPERLINK("http://www.informatics.jax.org/marker/MGI:1920336","MGI:1920336")</f>
        <v>MGI:1920336</v>
      </c>
      <c r="J318" s="4" t="s">
        <v>12</v>
      </c>
    </row>
    <row r="319" spans="1:10" x14ac:dyDescent="0.25">
      <c r="A319" s="2">
        <v>306.258376150179</v>
      </c>
      <c r="B319" s="3">
        <v>0.47039534790522403</v>
      </c>
      <c r="C319" s="5">
        <v>8.7556114553962602E-5</v>
      </c>
      <c r="D319" s="4">
        <v>2.3959698792905501E-3</v>
      </c>
      <c r="E319" s="3" t="s">
        <v>10484</v>
      </c>
      <c r="F319" s="3" t="s">
        <v>10485</v>
      </c>
      <c r="G319" s="3">
        <v>18392</v>
      </c>
      <c r="H319" s="7" t="str">
        <f>HYPERLINK("http://www.ensembl.org/Mus_musculus/Gene/Summary?db=core;g=ENSMUSG00000028587","ENSMUSG00000028587")</f>
        <v>ENSMUSG00000028587</v>
      </c>
      <c r="I319" s="7" t="str">
        <f>HYPERLINK("http://www.informatics.jax.org/marker/MGI:1328337","MGI:1328337")</f>
        <v>MGI:1328337</v>
      </c>
      <c r="J319" s="4" t="s">
        <v>12</v>
      </c>
    </row>
    <row r="320" spans="1:10" x14ac:dyDescent="0.25">
      <c r="A320" s="2">
        <v>691.64570994836004</v>
      </c>
      <c r="B320" s="3">
        <v>0.46677473760376698</v>
      </c>
      <c r="C320" s="5">
        <v>1.8099413674586E-6</v>
      </c>
      <c r="D320" s="4">
        <v>1.19043336607057E-4</v>
      </c>
      <c r="E320" s="3" t="s">
        <v>1376</v>
      </c>
      <c r="F320" s="3" t="s">
        <v>1377</v>
      </c>
      <c r="G320" s="3">
        <v>53902</v>
      </c>
      <c r="H320" s="7" t="str">
        <f>HYPERLINK("http://www.ensembl.org/Mus_musculus/Gene/Summary?db=core;g=ENSMUSG00000059713","ENSMUSG00000059713")</f>
        <v>ENSMUSG00000059713</v>
      </c>
      <c r="I320" s="7" t="str">
        <f>HYPERLINK("http://www.informatics.jax.org/marker/MGI:1858220","MGI:1858220")</f>
        <v>MGI:1858220</v>
      </c>
      <c r="J320" s="4" t="s">
        <v>12</v>
      </c>
    </row>
    <row r="321" spans="1:10" x14ac:dyDescent="0.25">
      <c r="A321" s="2">
        <v>187.21837876114299</v>
      </c>
      <c r="B321" s="3">
        <v>0.46660723668466503</v>
      </c>
      <c r="C321" s="3">
        <v>3.6931813921534801E-3</v>
      </c>
      <c r="D321" s="4">
        <v>4.2818961936099603E-2</v>
      </c>
      <c r="E321" s="3" t="s">
        <v>7912</v>
      </c>
      <c r="F321" s="3" t="s">
        <v>7913</v>
      </c>
      <c r="G321" s="3">
        <v>18516</v>
      </c>
      <c r="H321" s="7" t="str">
        <f>HYPERLINK("http://www.ensembl.org/Mus_musculus/Gene/Summary?db=core;g=ENSMUSG00000038718","ENSMUSG00000038718")</f>
        <v>ENSMUSG00000038718</v>
      </c>
      <c r="I321" s="7" t="str">
        <f>HYPERLINK("http://www.informatics.jax.org/marker/MGI:97496","MGI:97496")</f>
        <v>MGI:97496</v>
      </c>
      <c r="J321" s="4" t="s">
        <v>12</v>
      </c>
    </row>
    <row r="322" spans="1:10" x14ac:dyDescent="0.25">
      <c r="A322" s="2">
        <v>1603.22605306164</v>
      </c>
      <c r="B322" s="3">
        <v>0.465808188276785</v>
      </c>
      <c r="C322" s="5">
        <v>6.6562575998436196E-7</v>
      </c>
      <c r="D322" s="6">
        <v>5.3858222464346198E-5</v>
      </c>
      <c r="E322" s="3" t="s">
        <v>1754</v>
      </c>
      <c r="F322" s="3" t="s">
        <v>1755</v>
      </c>
      <c r="G322" s="3">
        <v>16881</v>
      </c>
      <c r="H322" s="7" t="str">
        <f>HYPERLINK("http://www.ensembl.org/Mus_musculus/Gene/Summary?db=core;g=ENSMUSG00000056394","ENSMUSG00000056394")</f>
        <v>ENSMUSG00000056394</v>
      </c>
      <c r="I322" s="7" t="str">
        <f>HYPERLINK("http://www.informatics.jax.org/marker/MGI:101789","MGI:101789")</f>
        <v>MGI:101789</v>
      </c>
      <c r="J322" s="4" t="s">
        <v>12</v>
      </c>
    </row>
    <row r="323" spans="1:10" x14ac:dyDescent="0.25">
      <c r="A323" s="2">
        <v>305.32649636122801</v>
      </c>
      <c r="B323" s="3">
        <v>0.46557387525906602</v>
      </c>
      <c r="C323" s="3">
        <v>1.6374622058471201E-3</v>
      </c>
      <c r="D323" s="4">
        <v>2.3371240392338299E-2</v>
      </c>
      <c r="E323" s="3" t="s">
        <v>8821</v>
      </c>
      <c r="F323" s="3" t="s">
        <v>8822</v>
      </c>
      <c r="G323" s="3">
        <v>433586</v>
      </c>
      <c r="H323" s="7" t="str">
        <f>HYPERLINK("http://www.ensembl.org/Mus_musculus/Gene/Summary?db=core;g=ENSMUSG00000061143","ENSMUSG00000061143")</f>
        <v>ENSMUSG00000061143</v>
      </c>
      <c r="I323" s="7" t="str">
        <f>HYPERLINK("http://www.informatics.jax.org/marker/MGI:2389461","MGI:2389461")</f>
        <v>MGI:2389461</v>
      </c>
      <c r="J323" s="4" t="s">
        <v>12</v>
      </c>
    </row>
    <row r="324" spans="1:10" x14ac:dyDescent="0.25">
      <c r="A324" s="2">
        <v>1330.55106535084</v>
      </c>
      <c r="B324" s="3">
        <v>0.46435022280989602</v>
      </c>
      <c r="C324" s="5">
        <v>2.0005994919826299E-8</v>
      </c>
      <c r="D324" s="6">
        <v>3.1691186600462901E-6</v>
      </c>
      <c r="E324" s="3" t="s">
        <v>870</v>
      </c>
      <c r="F324" s="3" t="s">
        <v>871</v>
      </c>
      <c r="G324" s="3">
        <v>18971</v>
      </c>
      <c r="H324" s="7" t="str">
        <f>HYPERLINK("http://www.ensembl.org/Mus_musculus/Gene/Summary?db=core;g=ENSMUSG00000038644","ENSMUSG00000038644")</f>
        <v>ENSMUSG00000038644</v>
      </c>
      <c r="I324" s="7" t="str">
        <f>HYPERLINK("http://www.informatics.jax.org/marker/MGI:97741","MGI:97741")</f>
        <v>MGI:97741</v>
      </c>
      <c r="J324" s="4" t="s">
        <v>12</v>
      </c>
    </row>
    <row r="325" spans="1:10" x14ac:dyDescent="0.25">
      <c r="A325" s="2">
        <v>2939.3208574157902</v>
      </c>
      <c r="B325" s="3">
        <v>0.46409477466534899</v>
      </c>
      <c r="C325" s="5">
        <v>6.09403983440004E-5</v>
      </c>
      <c r="D325" s="4">
        <v>1.8829578576235501E-3</v>
      </c>
      <c r="E325" s="3" t="s">
        <v>2165</v>
      </c>
      <c r="F325" s="3" t="s">
        <v>2166</v>
      </c>
      <c r="G325" s="3">
        <v>320528</v>
      </c>
      <c r="H325" s="7" t="str">
        <f>HYPERLINK("http://www.ensembl.org/Mus_musculus/Gene/Summary?db=core;g=ENSMUSG00000035284","ENSMUSG00000035284")</f>
        <v>ENSMUSG00000035284</v>
      </c>
      <c r="I325" s="7" t="str">
        <f>HYPERLINK("http://www.informatics.jax.org/marker/MGI:2444207","MGI:2444207")</f>
        <v>MGI:2444207</v>
      </c>
      <c r="J325" s="4" t="s">
        <v>12</v>
      </c>
    </row>
    <row r="326" spans="1:10" x14ac:dyDescent="0.25">
      <c r="A326" s="2">
        <v>201.962980340775</v>
      </c>
      <c r="B326" s="3">
        <v>0.46400451752188598</v>
      </c>
      <c r="C326" s="3">
        <v>1.62057167972865E-3</v>
      </c>
      <c r="D326" s="4">
        <v>2.3189019951537101E-2</v>
      </c>
      <c r="E326" s="3" t="s">
        <v>4731</v>
      </c>
      <c r="F326" s="3" t="s">
        <v>4732</v>
      </c>
      <c r="G326" s="3">
        <v>233826</v>
      </c>
      <c r="H326" s="7" t="str">
        <f>HYPERLINK("http://www.ensembl.org/Mus_musculus/Gene/Summary?db=core;g=ENSMUSG00000044702","ENSMUSG00000044702")</f>
        <v>ENSMUSG00000044702</v>
      </c>
      <c r="I326" s="7" t="str">
        <f>HYPERLINK("http://www.informatics.jax.org/marker/MGI:3040695","MGI:3040695")</f>
        <v>MGI:3040695</v>
      </c>
      <c r="J326" s="4" t="s">
        <v>12</v>
      </c>
    </row>
    <row r="327" spans="1:10" x14ac:dyDescent="0.25">
      <c r="A327" s="2">
        <v>1492.25444088975</v>
      </c>
      <c r="B327" s="3">
        <v>0.46394662518874602</v>
      </c>
      <c r="C327" s="5">
        <v>2.9544006248254499E-6</v>
      </c>
      <c r="D327" s="4">
        <v>1.7127909189387501E-4</v>
      </c>
      <c r="E327" s="3" t="s">
        <v>2293</v>
      </c>
      <c r="F327" s="3" t="s">
        <v>2294</v>
      </c>
      <c r="G327" s="3">
        <v>142682</v>
      </c>
      <c r="H327" s="7" t="str">
        <f>HYPERLINK("http://www.ensembl.org/Mus_musculus/Gene/Summary?db=core;g=ENSMUSG00000061410","ENSMUSG00000061410")</f>
        <v>ENSMUSG00000061410</v>
      </c>
      <c r="I327" s="7" t="str">
        <f>HYPERLINK("http://www.informatics.jax.org/marker/MGI:2159407","MGI:2159407")</f>
        <v>MGI:2159407</v>
      </c>
      <c r="J327" s="4" t="s">
        <v>12</v>
      </c>
    </row>
    <row r="328" spans="1:10" x14ac:dyDescent="0.25">
      <c r="A328" s="2">
        <v>232.316783230434</v>
      </c>
      <c r="B328" s="3">
        <v>0.46246259565525299</v>
      </c>
      <c r="C328" s="3">
        <v>1.1025602720826299E-3</v>
      </c>
      <c r="D328" s="4">
        <v>1.7270884930520099E-2</v>
      </c>
      <c r="E328" s="3" t="s">
        <v>3588</v>
      </c>
      <c r="F328" s="3" t="s">
        <v>3589</v>
      </c>
      <c r="G328" s="3">
        <v>66578</v>
      </c>
      <c r="H328" s="7" t="str">
        <f>HYPERLINK("http://www.ensembl.org/Mus_musculus/Gene/Summary?db=core;g=ENSMUSG00000022978","ENSMUSG00000022978")</f>
        <v>ENSMUSG00000022978</v>
      </c>
      <c r="I328" s="7" t="str">
        <f>HYPERLINK("http://www.informatics.jax.org/marker/MGI:1913828","MGI:1913828")</f>
        <v>MGI:1913828</v>
      </c>
      <c r="J328" s="4" t="s">
        <v>12</v>
      </c>
    </row>
    <row r="329" spans="1:10" x14ac:dyDescent="0.25">
      <c r="A329" s="2">
        <v>746.63068520746901</v>
      </c>
      <c r="B329" s="3">
        <v>0.461513036918557</v>
      </c>
      <c r="C329" s="5">
        <v>1.11782628823929E-5</v>
      </c>
      <c r="D329" s="4">
        <v>5.1315070464601101E-4</v>
      </c>
      <c r="E329" s="3" t="s">
        <v>2193</v>
      </c>
      <c r="F329" s="3" t="s">
        <v>2194</v>
      </c>
      <c r="G329" s="3">
        <v>20492</v>
      </c>
      <c r="H329" s="7" t="str">
        <f>HYPERLINK("http://www.ensembl.org/Mus_musculus/Gene/Summary?db=core;g=ENSMUSG00000004642","ENSMUSG00000004642")</f>
        <v>ENSMUSG00000004642</v>
      </c>
      <c r="I329" s="7" t="str">
        <f>HYPERLINK("http://www.informatics.jax.org/marker/MGI:108402","MGI:108402")</f>
        <v>MGI:108402</v>
      </c>
      <c r="J329" s="4" t="s">
        <v>12</v>
      </c>
    </row>
    <row r="330" spans="1:10" x14ac:dyDescent="0.25">
      <c r="A330" s="2">
        <v>298.22887873089297</v>
      </c>
      <c r="B330" s="3">
        <v>0.45899445682116302</v>
      </c>
      <c r="C330" s="3">
        <v>6.7098896123251196E-4</v>
      </c>
      <c r="D330" s="4">
        <v>1.1791582573409501E-2</v>
      </c>
      <c r="E330" s="3" t="s">
        <v>2105</v>
      </c>
      <c r="F330" s="3" t="s">
        <v>2106</v>
      </c>
      <c r="G330" s="3">
        <v>66514</v>
      </c>
      <c r="H330" s="7" t="str">
        <f>HYPERLINK("http://www.ensembl.org/Mus_musculus/Gene/Summary?db=core;g=ENSMUSG00000024654","ENSMUSG00000024654")</f>
        <v>ENSMUSG00000024654</v>
      </c>
      <c r="I330" s="7" t="str">
        <f>HYPERLINK("http://www.informatics.jax.org/marker/MGI:1913764","MGI:1913764")</f>
        <v>MGI:1913764</v>
      </c>
      <c r="J330" s="4" t="s">
        <v>12</v>
      </c>
    </row>
    <row r="331" spans="1:10" x14ac:dyDescent="0.25">
      <c r="A331" s="2">
        <v>820.98357188095702</v>
      </c>
      <c r="B331" s="3">
        <v>0.45831874659810701</v>
      </c>
      <c r="C331" s="5">
        <v>5.20445967544884E-5</v>
      </c>
      <c r="D331" s="4">
        <v>1.7002044225256001E-3</v>
      </c>
      <c r="E331" s="3" t="s">
        <v>4667</v>
      </c>
      <c r="F331" s="3" t="s">
        <v>4668</v>
      </c>
      <c r="G331" s="3">
        <v>241576</v>
      </c>
      <c r="H331" s="7" t="str">
        <f>HYPERLINK("http://www.ensembl.org/Mus_musculus/Gene/Summary?db=core;g=ENSMUSG00000048058","ENSMUSG00000048058")</f>
        <v>ENSMUSG00000048058</v>
      </c>
      <c r="I331" s="7" t="str">
        <f>HYPERLINK("http://www.informatics.jax.org/marker/MGI:2138856","MGI:2138856")</f>
        <v>MGI:2138856</v>
      </c>
      <c r="J331" s="4" t="s">
        <v>12</v>
      </c>
    </row>
    <row r="332" spans="1:10" x14ac:dyDescent="0.25">
      <c r="A332" s="2">
        <v>1328.8410353229301</v>
      </c>
      <c r="B332" s="3">
        <v>0.45745254612875902</v>
      </c>
      <c r="C332" s="3">
        <v>1.82027435118325E-3</v>
      </c>
      <c r="D332" s="4">
        <v>2.53688049910261E-2</v>
      </c>
      <c r="E332" s="3" t="s">
        <v>3924</v>
      </c>
      <c r="F332" s="3" t="s">
        <v>3925</v>
      </c>
      <c r="G332" s="3">
        <v>19361</v>
      </c>
      <c r="H332" s="7" t="str">
        <f>HYPERLINK("http://www.ensembl.org/Mus_musculus/Gene/Summary?db=core;g=ENSMUSG00000027323","ENSMUSG00000027323")</f>
        <v>ENSMUSG00000027323</v>
      </c>
      <c r="I332" s="7" t="str">
        <f>HYPERLINK("http://www.informatics.jax.org/marker/MGI:97890","MGI:97890")</f>
        <v>MGI:97890</v>
      </c>
      <c r="J332" s="4" t="s">
        <v>12</v>
      </c>
    </row>
    <row r="333" spans="1:10" x14ac:dyDescent="0.25">
      <c r="A333" s="2">
        <v>336.54737400578898</v>
      </c>
      <c r="B333" s="3">
        <v>0.45725492282853197</v>
      </c>
      <c r="C333" s="5">
        <v>1.9780862685064501E-5</v>
      </c>
      <c r="D333" s="4">
        <v>7.8891972559900895E-4</v>
      </c>
      <c r="E333" s="3" t="s">
        <v>2772</v>
      </c>
      <c r="F333" s="3" t="s">
        <v>2773</v>
      </c>
      <c r="G333" s="3">
        <v>18861</v>
      </c>
      <c r="H333" s="7" t="str">
        <f>HYPERLINK("http://www.ensembl.org/Mus_musculus/Gene/Summary?db=core;g=ENSMUSG00000079109","ENSMUSG00000079109")</f>
        <v>ENSMUSG00000079109</v>
      </c>
      <c r="I333" s="7" t="str">
        <f>HYPERLINK("http://www.informatics.jax.org/marker/MGI:104288","MGI:104288")</f>
        <v>MGI:104288</v>
      </c>
      <c r="J333" s="4" t="s">
        <v>12</v>
      </c>
    </row>
    <row r="334" spans="1:10" x14ac:dyDescent="0.25">
      <c r="A334" s="2">
        <v>452.599692588425</v>
      </c>
      <c r="B334" s="3">
        <v>0.45704989674607099</v>
      </c>
      <c r="C334" s="5">
        <v>5.1926963399950003E-5</v>
      </c>
      <c r="D334" s="4">
        <v>1.7002044225256001E-3</v>
      </c>
      <c r="E334" s="3" t="s">
        <v>3978</v>
      </c>
      <c r="F334" s="3" t="s">
        <v>3979</v>
      </c>
      <c r="G334" s="3">
        <v>12892</v>
      </c>
      <c r="H334" s="7" t="str">
        <f>HYPERLINK("http://www.ensembl.org/Mus_musculus/Gene/Summary?db=core;g=ENSMUSG00000022742","ENSMUSG00000022742")</f>
        <v>ENSMUSG00000022742</v>
      </c>
      <c r="I334" s="7" t="str">
        <f>HYPERLINK("http://www.informatics.jax.org/marker/MGI:104841","MGI:104841")</f>
        <v>MGI:104841</v>
      </c>
      <c r="J334" s="4" t="s">
        <v>12</v>
      </c>
    </row>
    <row r="335" spans="1:10" x14ac:dyDescent="0.25">
      <c r="A335" s="2">
        <v>656.60658783832696</v>
      </c>
      <c r="B335" s="3">
        <v>0.45682318784697501</v>
      </c>
      <c r="C335" s="5">
        <v>1.3516784302308201E-6</v>
      </c>
      <c r="D335" s="6">
        <v>9.5014545655037696E-5</v>
      </c>
      <c r="E335" s="3" t="s">
        <v>1402</v>
      </c>
      <c r="F335" s="3" t="s">
        <v>1403</v>
      </c>
      <c r="G335" s="3">
        <v>26951</v>
      </c>
      <c r="H335" s="7" t="str">
        <f>HYPERLINK("http://www.ensembl.org/Mus_musculus/Gene/Summary?db=core;g=ENSMUSG00000032264","ENSMUSG00000032264")</f>
        <v>ENSMUSG00000032264</v>
      </c>
      <c r="I335" s="7" t="str">
        <f>HYPERLINK("http://www.informatics.jax.org/marker/MGI:1349478","MGI:1349478")</f>
        <v>MGI:1349478</v>
      </c>
      <c r="J335" s="4" t="s">
        <v>12</v>
      </c>
    </row>
    <row r="336" spans="1:10" x14ac:dyDescent="0.25">
      <c r="A336" s="2">
        <v>1287.4768552605799</v>
      </c>
      <c r="B336" s="3">
        <v>0.45387050249590699</v>
      </c>
      <c r="C336" s="3">
        <v>2.0031384860785301E-3</v>
      </c>
      <c r="D336" s="4">
        <v>2.73082406702124E-2</v>
      </c>
      <c r="E336" s="3" t="s">
        <v>810</v>
      </c>
      <c r="F336" s="3" t="s">
        <v>811</v>
      </c>
      <c r="G336" s="3">
        <v>17095</v>
      </c>
      <c r="H336" s="7" t="str">
        <f>HYPERLINK("http://www.ensembl.org/Mus_musculus/Gene/Summary?db=core;g=ENSMUSG00000034041","ENSMUSG00000034041")</f>
        <v>ENSMUSG00000034041</v>
      </c>
      <c r="I336" s="7" t="str">
        <f>HYPERLINK("http://www.informatics.jax.org/marker/MGI:96891","MGI:96891")</f>
        <v>MGI:96891</v>
      </c>
      <c r="J336" s="4" t="s">
        <v>12</v>
      </c>
    </row>
    <row r="337" spans="1:10" x14ac:dyDescent="0.25">
      <c r="A337" s="2">
        <v>1116.39166625293</v>
      </c>
      <c r="B337" s="3">
        <v>0.45232803985352898</v>
      </c>
      <c r="C337" s="5">
        <v>2.65056017256065E-5</v>
      </c>
      <c r="D337" s="4">
        <v>1.01397449866631E-3</v>
      </c>
      <c r="E337" s="3" t="s">
        <v>2461</v>
      </c>
      <c r="F337" s="3" t="s">
        <v>2462</v>
      </c>
      <c r="G337" s="3">
        <v>18968</v>
      </c>
      <c r="H337" s="7" t="str">
        <f>HYPERLINK("http://www.ensembl.org/Mus_musculus/Gene/Summary?db=core;g=ENSMUSG00000006678","ENSMUSG00000006678")</f>
        <v>ENSMUSG00000006678</v>
      </c>
      <c r="I337" s="7" t="str">
        <f>HYPERLINK("http://www.informatics.jax.org/marker/MGI:99660","MGI:99660")</f>
        <v>MGI:99660</v>
      </c>
      <c r="J337" s="4" t="s">
        <v>12</v>
      </c>
    </row>
    <row r="338" spans="1:10" x14ac:dyDescent="0.25">
      <c r="A338" s="2">
        <v>214.844855840599</v>
      </c>
      <c r="B338" s="3">
        <v>0.45154581910293601</v>
      </c>
      <c r="C338" s="3">
        <v>4.5574751938189098E-3</v>
      </c>
      <c r="D338" s="4">
        <v>4.9524563772832202E-2</v>
      </c>
      <c r="E338" s="3" t="s">
        <v>4063</v>
      </c>
      <c r="F338" s="3" t="s">
        <v>4064</v>
      </c>
      <c r="G338" s="3">
        <v>382010</v>
      </c>
      <c r="H338" s="7" t="str">
        <f>HYPERLINK("http://www.ensembl.org/Mus_musculus/Gene/Summary?db=core;g=ENSMUSG00000038215","ENSMUSG00000038215")</f>
        <v>ENSMUSG00000038215</v>
      </c>
      <c r="I338" s="7" t="str">
        <f>HYPERLINK("http://www.informatics.jax.org/marker/MGI:3525111","MGI:3525111")</f>
        <v>MGI:3525111</v>
      </c>
      <c r="J338" s="4" t="s">
        <v>12</v>
      </c>
    </row>
    <row r="339" spans="1:10" x14ac:dyDescent="0.25">
      <c r="A339" s="2">
        <v>278.15404279041201</v>
      </c>
      <c r="B339" s="3">
        <v>0.45087228563729598</v>
      </c>
      <c r="C339" s="3">
        <v>1.4720498193105799E-3</v>
      </c>
      <c r="D339" s="4">
        <v>2.1670345965688599E-2</v>
      </c>
      <c r="E339" s="3" t="s">
        <v>756</v>
      </c>
      <c r="F339" s="3" t="s">
        <v>757</v>
      </c>
      <c r="G339" s="3">
        <v>70750</v>
      </c>
      <c r="H339" s="7" t="str">
        <f>HYPERLINK("http://www.ensembl.org/Mus_musculus/Gene/Summary?db=core;g=ENSMUSG00000009905","ENSMUSG00000009905")</f>
        <v>ENSMUSG00000009905</v>
      </c>
      <c r="I339" s="7" t="str">
        <f>HYPERLINK("http://www.informatics.jax.org/marker/MGI:1918000","MGI:1918000")</f>
        <v>MGI:1918000</v>
      </c>
      <c r="J339" s="4" t="s">
        <v>12</v>
      </c>
    </row>
    <row r="340" spans="1:10" x14ac:dyDescent="0.25">
      <c r="A340" s="2">
        <v>285.58492959931499</v>
      </c>
      <c r="B340" s="3">
        <v>0.45022261547882297</v>
      </c>
      <c r="C340" s="3">
        <v>6.2725084690141303E-4</v>
      </c>
      <c r="D340" s="4">
        <v>1.1360209782769999E-2</v>
      </c>
      <c r="E340" s="3" t="s">
        <v>3514</v>
      </c>
      <c r="F340" s="3" t="s">
        <v>3515</v>
      </c>
      <c r="G340" s="3">
        <v>71591</v>
      </c>
      <c r="H340" s="7" t="str">
        <f>HYPERLINK("http://www.ensembl.org/Mus_musculus/Gene/Summary?db=core;g=ENSMUSG00000022526","ENSMUSG00000022526")</f>
        <v>ENSMUSG00000022526</v>
      </c>
      <c r="I340" s="7" t="str">
        <f>HYPERLINK("http://www.informatics.jax.org/marker/MGI:1918841","MGI:1918841")</f>
        <v>MGI:1918841</v>
      </c>
      <c r="J340" s="4" t="s">
        <v>12</v>
      </c>
    </row>
    <row r="341" spans="1:10" x14ac:dyDescent="0.25">
      <c r="A341" s="2">
        <v>385.59800058347702</v>
      </c>
      <c r="B341" s="3">
        <v>0.45003704660921301</v>
      </c>
      <c r="C341" s="3">
        <v>1.8039117204458199E-4</v>
      </c>
      <c r="D341" s="4">
        <v>4.3648316987304602E-3</v>
      </c>
      <c r="E341" s="3" t="s">
        <v>7742</v>
      </c>
      <c r="F341" s="3" t="s">
        <v>7743</v>
      </c>
      <c r="G341" s="3">
        <v>68861</v>
      </c>
      <c r="H341" s="7" t="str">
        <f>HYPERLINK("http://www.ensembl.org/Mus_musculus/Gene/Summary?db=core;g=ENSMUSG00000045414","ENSMUSG00000045414")</f>
        <v>ENSMUSG00000045414</v>
      </c>
      <c r="I341" s="7" t="str">
        <f>HYPERLINK("http://www.informatics.jax.org/marker/MGI:1916111","MGI:1916111")</f>
        <v>MGI:1916111</v>
      </c>
      <c r="J341" s="4" t="s">
        <v>12</v>
      </c>
    </row>
    <row r="342" spans="1:10" x14ac:dyDescent="0.25">
      <c r="A342" s="2">
        <v>193.21987305683899</v>
      </c>
      <c r="B342" s="3">
        <v>0.448846972205596</v>
      </c>
      <c r="C342" s="3">
        <v>1.4894999182818399E-3</v>
      </c>
      <c r="D342" s="4">
        <v>2.1838136962392798E-2</v>
      </c>
      <c r="E342" s="3" t="s">
        <v>3626</v>
      </c>
      <c r="F342" s="3" t="s">
        <v>3627</v>
      </c>
      <c r="G342" s="3" t="s">
        <v>83</v>
      </c>
      <c r="H342" s="7" t="str">
        <f>HYPERLINK("http://www.ensembl.org/Mus_musculus/Gene/Summary?db=core;g=ENSMUSG00000113786","ENSMUSG00000113786")</f>
        <v>ENSMUSG00000113786</v>
      </c>
      <c r="I342" s="7" t="str">
        <f>HYPERLINK("http://www.informatics.jax.org/marker/MGI:6121607","MGI:6121607")</f>
        <v>MGI:6121607</v>
      </c>
      <c r="J342" s="4" t="s">
        <v>12</v>
      </c>
    </row>
    <row r="343" spans="1:10" x14ac:dyDescent="0.25">
      <c r="A343" s="2">
        <v>457.79849296189002</v>
      </c>
      <c r="B343" s="3">
        <v>0.44884621108019901</v>
      </c>
      <c r="C343" s="5">
        <v>1.6780400214540099E-5</v>
      </c>
      <c r="D343" s="4">
        <v>7.14883186412623E-4</v>
      </c>
      <c r="E343" s="3" t="s">
        <v>1308</v>
      </c>
      <c r="F343" s="3" t="s">
        <v>1309</v>
      </c>
      <c r="G343" s="3">
        <v>54601</v>
      </c>
      <c r="H343" s="7" t="str">
        <f>HYPERLINK("http://www.ensembl.org/Mus_musculus/Gene/Summary?db=core;g=ENSMUSG00000042903","ENSMUSG00000042903")</f>
        <v>ENSMUSG00000042903</v>
      </c>
      <c r="I343" s="7" t="str">
        <f>HYPERLINK("http://www.informatics.jax.org/marker/MGI:1891915","MGI:1891915")</f>
        <v>MGI:1891915</v>
      </c>
      <c r="J343" s="4" t="s">
        <v>12</v>
      </c>
    </row>
    <row r="344" spans="1:10" x14ac:dyDescent="0.25">
      <c r="A344" s="2">
        <v>205.381244011739</v>
      </c>
      <c r="B344" s="3">
        <v>0.44871182411605198</v>
      </c>
      <c r="C344" s="3">
        <v>1.1104119407034799E-3</v>
      </c>
      <c r="D344" s="4">
        <v>1.7325751588080199E-2</v>
      </c>
      <c r="E344" s="3" t="s">
        <v>2315</v>
      </c>
      <c r="F344" s="3" t="s">
        <v>2316</v>
      </c>
      <c r="G344" s="3">
        <v>228839</v>
      </c>
      <c r="H344" s="7" t="str">
        <f>HYPERLINK("http://www.ensembl.org/Mus_musculus/Gene/Summary?db=core;g=ENSMUSG00000062175","ENSMUSG00000062175")</f>
        <v>ENSMUSG00000062175</v>
      </c>
      <c r="I344" s="7" t="str">
        <f>HYPERLINK("http://www.informatics.jax.org/marker/MGI:1915299","MGI:1915299")</f>
        <v>MGI:1915299</v>
      </c>
      <c r="J344" s="4" t="s">
        <v>12</v>
      </c>
    </row>
    <row r="345" spans="1:10" x14ac:dyDescent="0.25">
      <c r="A345" s="2">
        <v>615.71352379440498</v>
      </c>
      <c r="B345" s="3">
        <v>0.44844053187296601</v>
      </c>
      <c r="C345" s="5">
        <v>1.1472313835194599E-6</v>
      </c>
      <c r="D345" s="6">
        <v>8.3785138769113007E-5</v>
      </c>
      <c r="E345" s="3" t="s">
        <v>1005</v>
      </c>
      <c r="F345" s="3" t="s">
        <v>1006</v>
      </c>
      <c r="G345" s="3">
        <v>226525</v>
      </c>
      <c r="H345" s="7" t="str">
        <f>HYPERLINK("http://www.ensembl.org/Mus_musculus/Gene/Summary?db=core;g=ENSMUSG00000070565","ENSMUSG00000070565")</f>
        <v>ENSMUSG00000070565</v>
      </c>
      <c r="I345" s="7" t="str">
        <f>HYPERLINK("http://www.informatics.jax.org/marker/MGI:2443881","MGI:2443881")</f>
        <v>MGI:2443881</v>
      </c>
      <c r="J345" s="4" t="s">
        <v>12</v>
      </c>
    </row>
    <row r="346" spans="1:10" x14ac:dyDescent="0.25">
      <c r="A346" s="2">
        <v>294.103061596776</v>
      </c>
      <c r="B346" s="3">
        <v>0.44778892016424399</v>
      </c>
      <c r="C346" s="3">
        <v>2.6163894118553702E-4</v>
      </c>
      <c r="D346" s="4">
        <v>5.9447538818459397E-3</v>
      </c>
      <c r="E346" s="3" t="s">
        <v>1128</v>
      </c>
      <c r="F346" s="3" t="s">
        <v>1129</v>
      </c>
      <c r="G346" s="3">
        <v>320472</v>
      </c>
      <c r="H346" s="7" t="str">
        <f>HYPERLINK("http://www.ensembl.org/Mus_musculus/Gene/Summary?db=core;g=ENSMUSG00000046442","ENSMUSG00000046442")</f>
        <v>ENSMUSG00000046442</v>
      </c>
      <c r="I346" s="7" t="str">
        <f>HYPERLINK("http://www.informatics.jax.org/marker/MGI:2444096","MGI:2444096")</f>
        <v>MGI:2444096</v>
      </c>
      <c r="J346" s="4" t="s">
        <v>12</v>
      </c>
    </row>
    <row r="347" spans="1:10" x14ac:dyDescent="0.25">
      <c r="A347" s="2">
        <v>386.34004867649401</v>
      </c>
      <c r="B347" s="3">
        <v>0.44731426696477</v>
      </c>
      <c r="C347" s="3">
        <v>6.5179848420088401E-4</v>
      </c>
      <c r="D347" s="4">
        <v>1.1613723043524401E-2</v>
      </c>
      <c r="E347" s="3" t="s">
        <v>4689</v>
      </c>
      <c r="F347" s="3" t="s">
        <v>4690</v>
      </c>
      <c r="G347" s="3">
        <v>20460</v>
      </c>
      <c r="H347" s="7" t="str">
        <f>HYPERLINK("http://www.ensembl.org/Mus_musculus/Gene/Summary?db=core;g=ENSMUSG00000028718","ENSMUSG00000028718")</f>
        <v>ENSMUSG00000028718</v>
      </c>
      <c r="I347" s="7" t="str">
        <f>HYPERLINK("http://www.informatics.jax.org/marker/MGI:107477","MGI:107477")</f>
        <v>MGI:107477</v>
      </c>
      <c r="J347" s="4" t="s">
        <v>12</v>
      </c>
    </row>
    <row r="348" spans="1:10" x14ac:dyDescent="0.25">
      <c r="A348" s="2">
        <v>533.99606792970201</v>
      </c>
      <c r="B348" s="3">
        <v>0.44716760670685102</v>
      </c>
      <c r="C348" s="5">
        <v>9.9537975825037697E-6</v>
      </c>
      <c r="D348" s="4">
        <v>4.7293265213869002E-4</v>
      </c>
      <c r="E348" s="3" t="s">
        <v>140</v>
      </c>
      <c r="F348" s="3" t="s">
        <v>141</v>
      </c>
      <c r="G348" s="3">
        <v>78334</v>
      </c>
      <c r="H348" s="7" t="str">
        <f>HYPERLINK("http://www.ensembl.org/Mus_musculus/Gene/Summary?db=core;g=ENSMUSG00000038481","ENSMUSG00000038481")</f>
        <v>ENSMUSG00000038481</v>
      </c>
      <c r="I348" s="7" t="str">
        <f>HYPERLINK("http://www.informatics.jax.org/marker/MGI:1925584","MGI:1925584")</f>
        <v>MGI:1925584</v>
      </c>
      <c r="J348" s="4" t="s">
        <v>12</v>
      </c>
    </row>
    <row r="349" spans="1:10" x14ac:dyDescent="0.25">
      <c r="A349" s="2">
        <v>1195.9901239784001</v>
      </c>
      <c r="B349" s="3">
        <v>0.44716042196570399</v>
      </c>
      <c r="C349" s="5">
        <v>4.0197789596442803E-5</v>
      </c>
      <c r="D349" s="4">
        <v>1.3953843814543E-3</v>
      </c>
      <c r="E349" s="3" t="s">
        <v>1296</v>
      </c>
      <c r="F349" s="3" t="s">
        <v>1297</v>
      </c>
      <c r="G349" s="3">
        <v>16450</v>
      </c>
      <c r="H349" s="7" t="str">
        <f>HYPERLINK("http://www.ensembl.org/Mus_musculus/Gene/Summary?db=core;g=ENSMUSG00000002799","ENSMUSG00000002799")</f>
        <v>ENSMUSG00000002799</v>
      </c>
      <c r="I349" s="7" t="str">
        <f>HYPERLINK("http://www.informatics.jax.org/marker/MGI:1098270","MGI:1098270")</f>
        <v>MGI:1098270</v>
      </c>
      <c r="J349" s="4" t="s">
        <v>12</v>
      </c>
    </row>
    <row r="350" spans="1:10" x14ac:dyDescent="0.25">
      <c r="A350" s="2">
        <v>569.96258249366099</v>
      </c>
      <c r="B350" s="3">
        <v>0.446465283493306</v>
      </c>
      <c r="C350" s="5">
        <v>2.2405321786148401E-7</v>
      </c>
      <c r="D350" s="6">
        <v>2.2300234878655801E-5</v>
      </c>
      <c r="E350" s="3" t="s">
        <v>508</v>
      </c>
      <c r="F350" s="3" t="s">
        <v>509</v>
      </c>
      <c r="G350" s="3">
        <v>57314</v>
      </c>
      <c r="H350" s="7" t="str">
        <f>HYPERLINK("http://www.ensembl.org/Mus_musculus/Gene/Summary?db=core;g=ENSMUSG00000016253","ENSMUSG00000016253")</f>
        <v>ENSMUSG00000016253</v>
      </c>
      <c r="I350" s="7" t="str">
        <f>HYPERLINK("http://www.informatics.jax.org/marker/MGI:1926424","MGI:1926424")</f>
        <v>MGI:1926424</v>
      </c>
      <c r="J350" s="4" t="s">
        <v>12</v>
      </c>
    </row>
    <row r="351" spans="1:10" x14ac:dyDescent="0.25">
      <c r="A351" s="2">
        <v>329.71283310283098</v>
      </c>
      <c r="B351" s="3">
        <v>0.44621332755045001</v>
      </c>
      <c r="C351" s="3">
        <v>4.5331147838991899E-3</v>
      </c>
      <c r="D351" s="4">
        <v>4.9432701310108497E-2</v>
      </c>
      <c r="E351" s="3" t="s">
        <v>17042</v>
      </c>
      <c r="F351" s="3" t="s">
        <v>17043</v>
      </c>
      <c r="G351" s="3">
        <v>215748</v>
      </c>
      <c r="H351" s="7" t="str">
        <f>HYPERLINK("http://www.ensembl.org/Mus_musculus/Gene/Summary?db=core;g=ENSMUSG00000015202","ENSMUSG00000015202")</f>
        <v>ENSMUSG00000015202</v>
      </c>
      <c r="I351" s="7" t="str">
        <f>HYPERLINK("http://www.informatics.jax.org/marker/MGI:2674130","MGI:2674130")</f>
        <v>MGI:2674130</v>
      </c>
      <c r="J351" s="4" t="s">
        <v>12</v>
      </c>
    </row>
    <row r="352" spans="1:10" x14ac:dyDescent="0.25">
      <c r="A352" s="2">
        <v>916.95320738901501</v>
      </c>
      <c r="B352" s="3">
        <v>0.44383822211597901</v>
      </c>
      <c r="C352" s="5">
        <v>7.8590038175150105E-7</v>
      </c>
      <c r="D352" s="6">
        <v>6.1382094399716196E-5</v>
      </c>
      <c r="E352" s="3" t="s">
        <v>2241</v>
      </c>
      <c r="F352" s="3" t="s">
        <v>2242</v>
      </c>
      <c r="G352" s="3">
        <v>67886</v>
      </c>
      <c r="H352" s="7" t="str">
        <f>HYPERLINK("http://www.ensembl.org/Mus_musculus/Gene/Summary?db=core;g=ENSMUSG00000041570","ENSMUSG00000041570")</f>
        <v>ENSMUSG00000041570</v>
      </c>
      <c r="I352" s="7" t="str">
        <f>HYPERLINK("http://www.informatics.jax.org/marker/MGI:1922434","MGI:1922434")</f>
        <v>MGI:1922434</v>
      </c>
      <c r="J352" s="4" t="s">
        <v>12</v>
      </c>
    </row>
    <row r="353" spans="1:10" x14ac:dyDescent="0.25">
      <c r="A353" s="2">
        <v>250.06205551160599</v>
      </c>
      <c r="B353" s="3">
        <v>0.44283884862136902</v>
      </c>
      <c r="C353" s="3">
        <v>1.1573089649881099E-3</v>
      </c>
      <c r="D353" s="4">
        <v>1.78794696829962E-2</v>
      </c>
      <c r="E353" s="3" t="s">
        <v>2189</v>
      </c>
      <c r="F353" s="3" t="s">
        <v>2190</v>
      </c>
      <c r="G353" s="3">
        <v>213452</v>
      </c>
      <c r="H353" s="7" t="str">
        <f>HYPERLINK("http://www.ensembl.org/Mus_musculus/Gene/Summary?db=core;g=ENSMUSG00000042046","ENSMUSG00000042046")</f>
        <v>ENSMUSG00000042046</v>
      </c>
      <c r="I353" s="7" t="str">
        <f>HYPERLINK("http://www.informatics.jax.org/marker/MGI:1925064","MGI:1925064")</f>
        <v>MGI:1925064</v>
      </c>
      <c r="J353" s="4" t="s">
        <v>12</v>
      </c>
    </row>
    <row r="354" spans="1:10" x14ac:dyDescent="0.25">
      <c r="A354" s="2">
        <v>635.092985995719</v>
      </c>
      <c r="B354" s="3">
        <v>0.44236925363100499</v>
      </c>
      <c r="C354" s="5">
        <v>7.7361735972017006E-5</v>
      </c>
      <c r="D354" s="4">
        <v>2.2139629630465001E-3</v>
      </c>
      <c r="E354" s="3" t="s">
        <v>3048</v>
      </c>
      <c r="F354" s="3" t="s">
        <v>3049</v>
      </c>
      <c r="G354" s="3">
        <v>19090</v>
      </c>
      <c r="H354" s="7" t="str">
        <f>HYPERLINK("http://www.ensembl.org/Mus_musculus/Gene/Summary?db=core;g=ENSMUSG00000022672","ENSMUSG00000022672")</f>
        <v>ENSMUSG00000022672</v>
      </c>
      <c r="I354" s="7" t="str">
        <f>HYPERLINK("http://www.informatics.jax.org/marker/MGI:104779","MGI:104779")</f>
        <v>MGI:104779</v>
      </c>
      <c r="J354" s="4" t="s">
        <v>12</v>
      </c>
    </row>
    <row r="355" spans="1:10" x14ac:dyDescent="0.25">
      <c r="A355" s="2">
        <v>314.98778084360902</v>
      </c>
      <c r="B355" s="3">
        <v>0.44221380460125997</v>
      </c>
      <c r="C355" s="3">
        <v>1.53381900170566E-3</v>
      </c>
      <c r="D355" s="4">
        <v>2.2218595628562599E-2</v>
      </c>
      <c r="E355" s="3" t="s">
        <v>7214</v>
      </c>
      <c r="F355" s="3" t="s">
        <v>7215</v>
      </c>
      <c r="G355" s="3">
        <v>64707</v>
      </c>
      <c r="H355" s="7" t="str">
        <f>HYPERLINK("http://www.ensembl.org/Mus_musculus/Gene/Summary?db=core;g=ENSMUSG00000026646","ENSMUSG00000026646")</f>
        <v>ENSMUSG00000026646</v>
      </c>
      <c r="I355" s="7" t="str">
        <f>HYPERLINK("http://www.informatics.jax.org/marker/MGI:1890396","MGI:1890396")</f>
        <v>MGI:1890396</v>
      </c>
      <c r="J355" s="4" t="s">
        <v>12</v>
      </c>
    </row>
    <row r="356" spans="1:10" x14ac:dyDescent="0.25">
      <c r="A356" s="2">
        <v>242.31673936708299</v>
      </c>
      <c r="B356" s="3">
        <v>0.442160742330164</v>
      </c>
      <c r="C356" s="3">
        <v>1.28460365566865E-4</v>
      </c>
      <c r="D356" s="4">
        <v>3.27981141584927E-3</v>
      </c>
      <c r="E356" s="3" t="s">
        <v>5033</v>
      </c>
      <c r="F356" s="3" t="s">
        <v>5034</v>
      </c>
      <c r="G356" s="3">
        <v>50758</v>
      </c>
      <c r="H356" s="7" t="str">
        <f>HYPERLINK("http://www.ensembl.org/Mus_musculus/Gene/Summary?db=core;g=ENSMUSG00000023965","ENSMUSG00000023965")</f>
        <v>ENSMUSG00000023965</v>
      </c>
      <c r="I356" s="7" t="str">
        <f>HYPERLINK("http://www.informatics.jax.org/marker/MGI:1354704","MGI:1354704")</f>
        <v>MGI:1354704</v>
      </c>
      <c r="J356" s="4" t="s">
        <v>12</v>
      </c>
    </row>
    <row r="357" spans="1:10" x14ac:dyDescent="0.25">
      <c r="A357" s="2">
        <v>506.87179389662202</v>
      </c>
      <c r="B357" s="3">
        <v>0.44077581476556399</v>
      </c>
      <c r="C357" s="5">
        <v>7.6134361386887998E-5</v>
      </c>
      <c r="D357" s="4">
        <v>2.1843958227508401E-3</v>
      </c>
      <c r="E357" s="3" t="s">
        <v>2157</v>
      </c>
      <c r="F357" s="3" t="s">
        <v>2158</v>
      </c>
      <c r="G357" s="3">
        <v>214901</v>
      </c>
      <c r="H357" s="7" t="str">
        <f>HYPERLINK("http://www.ensembl.org/Mus_musculus/Gene/Summary?db=core;g=ENSMUSG00000019214","ENSMUSG00000019214")</f>
        <v>ENSMUSG00000019214</v>
      </c>
      <c r="I357" s="7" t="str">
        <f>HYPERLINK("http://www.informatics.jax.org/marker/MGI:2384887","MGI:2384887")</f>
        <v>MGI:2384887</v>
      </c>
      <c r="J357" s="4" t="s">
        <v>12</v>
      </c>
    </row>
    <row r="358" spans="1:10" x14ac:dyDescent="0.25">
      <c r="A358" s="2">
        <v>377.24645619544702</v>
      </c>
      <c r="B358" s="3">
        <v>0.440414607230106</v>
      </c>
      <c r="C358" s="5">
        <v>7.09666015751828E-5</v>
      </c>
      <c r="D358" s="4">
        <v>2.09491172681386E-3</v>
      </c>
      <c r="E358" s="3" t="s">
        <v>1334</v>
      </c>
      <c r="F358" s="3" t="s">
        <v>1335</v>
      </c>
      <c r="G358" s="3">
        <v>18974</v>
      </c>
      <c r="H358" s="7" t="str">
        <f>HYPERLINK("http://www.ensembl.org/Mus_musculus/Gene/Summary?db=core;g=ENSMUSG00000020974","ENSMUSG00000020974")</f>
        <v>ENSMUSG00000020974</v>
      </c>
      <c r="I358" s="7" t="str">
        <f>HYPERLINK("http://www.informatics.jax.org/marker/MGI:1197514","MGI:1197514")</f>
        <v>MGI:1197514</v>
      </c>
      <c r="J358" s="4" t="s">
        <v>12</v>
      </c>
    </row>
    <row r="359" spans="1:10" x14ac:dyDescent="0.25">
      <c r="A359" s="2">
        <v>440.210972925421</v>
      </c>
      <c r="B359" s="3">
        <v>0.44010965431374</v>
      </c>
      <c r="C359" s="5">
        <v>3.2350842377200201E-5</v>
      </c>
      <c r="D359" s="4">
        <v>1.16618565453965E-3</v>
      </c>
      <c r="E359" s="3" t="s">
        <v>570</v>
      </c>
      <c r="F359" s="3" t="s">
        <v>571</v>
      </c>
      <c r="G359" s="3">
        <v>14166</v>
      </c>
      <c r="H359" s="7" t="str">
        <f>HYPERLINK("http://www.ensembl.org/Mus_musculus/Gene/Summary?db=core;g=ENSMUSG00000042826","ENSMUSG00000042826")</f>
        <v>ENSMUSG00000042826</v>
      </c>
      <c r="I359" s="7" t="str">
        <f>HYPERLINK("http://www.informatics.jax.org/marker/MGI:109167","MGI:109167")</f>
        <v>MGI:109167</v>
      </c>
      <c r="J359" s="4" t="s">
        <v>12</v>
      </c>
    </row>
    <row r="360" spans="1:10" x14ac:dyDescent="0.25">
      <c r="A360" s="2">
        <v>987.29134491928801</v>
      </c>
      <c r="B360" s="3">
        <v>0.43693082891838397</v>
      </c>
      <c r="C360" s="3">
        <v>4.2084978152346899E-3</v>
      </c>
      <c r="D360" s="4">
        <v>4.6880149809943601E-2</v>
      </c>
      <c r="E360" s="3" t="s">
        <v>1476</v>
      </c>
      <c r="F360" s="3" t="s">
        <v>1477</v>
      </c>
      <c r="G360" s="3">
        <v>26360</v>
      </c>
      <c r="H360" s="7" t="str">
        <f>HYPERLINK("http://www.ensembl.org/Mus_musculus/Gene/Summary?db=core;g=ENSMUSG00000004105","ENSMUSG00000004105")</f>
        <v>ENSMUSG00000004105</v>
      </c>
      <c r="I360" s="7" t="str">
        <f>HYPERLINK("http://www.informatics.jax.org/marker/MGI:1347002","MGI:1347002")</f>
        <v>MGI:1347002</v>
      </c>
      <c r="J360" s="4" t="s">
        <v>12</v>
      </c>
    </row>
    <row r="361" spans="1:10" x14ac:dyDescent="0.25">
      <c r="A361" s="2">
        <v>238.172891318534</v>
      </c>
      <c r="B361" s="3">
        <v>0.436273102437161</v>
      </c>
      <c r="C361" s="3">
        <v>1.5147418003686099E-3</v>
      </c>
      <c r="D361" s="4">
        <v>2.20391992609906E-2</v>
      </c>
      <c r="E361" s="3" t="s">
        <v>979</v>
      </c>
      <c r="F361" s="3" t="s">
        <v>980</v>
      </c>
      <c r="G361" s="3">
        <v>216190</v>
      </c>
      <c r="H361" s="7" t="str">
        <f>HYPERLINK("http://www.ensembl.org/Mus_musculus/Gene/Summary?db=core;g=ENSMUSG00000020263","ENSMUSG00000020263")</f>
        <v>ENSMUSG00000020263</v>
      </c>
      <c r="I361" s="7" t="str">
        <f>HYPERLINK("http://www.informatics.jax.org/marker/MGI:2384914","MGI:2384914")</f>
        <v>MGI:2384914</v>
      </c>
      <c r="J361" s="4" t="s">
        <v>12</v>
      </c>
    </row>
    <row r="362" spans="1:10" x14ac:dyDescent="0.25">
      <c r="A362" s="2">
        <v>2837.98098730627</v>
      </c>
      <c r="B362" s="3">
        <v>0.43553261304402202</v>
      </c>
      <c r="C362" s="5">
        <v>1.71816305161017E-7</v>
      </c>
      <c r="D362" s="6">
        <v>1.8059981160242599E-5</v>
      </c>
      <c r="E362" s="3" t="s">
        <v>728</v>
      </c>
      <c r="F362" s="3" t="s">
        <v>729</v>
      </c>
      <c r="G362" s="3">
        <v>252972</v>
      </c>
      <c r="H362" s="7" t="str">
        <f>HYPERLINK("http://www.ensembl.org/Mus_musculus/Gene/Summary?db=core;g=ENSMUSG00000032741","ENSMUSG00000032741")</f>
        <v>ENSMUSG00000032741</v>
      </c>
      <c r="I362" s="7" t="str">
        <f>HYPERLINK("http://www.informatics.jax.org/marker/MGI:2182472","MGI:2182472")</f>
        <v>MGI:2182472</v>
      </c>
      <c r="J362" s="4" t="s">
        <v>12</v>
      </c>
    </row>
    <row r="363" spans="1:10" x14ac:dyDescent="0.25">
      <c r="A363" s="2">
        <v>549.10868997443697</v>
      </c>
      <c r="B363" s="3">
        <v>0.43542373129436401</v>
      </c>
      <c r="C363" s="3">
        <v>2.0465153845189901E-4</v>
      </c>
      <c r="D363" s="4">
        <v>4.8765166376451303E-3</v>
      </c>
      <c r="E363" s="3" t="s">
        <v>6659</v>
      </c>
      <c r="F363" s="3" t="s">
        <v>6660</v>
      </c>
      <c r="G363" s="3">
        <v>106068</v>
      </c>
      <c r="H363" s="7" t="str">
        <f>HYPERLINK("http://www.ensembl.org/Mus_musculus/Gene/Summary?db=core;g=ENSMUSG00000079020","ENSMUSG00000079020")</f>
        <v>ENSMUSG00000079020</v>
      </c>
      <c r="I363" s="7" t="str">
        <f>HYPERLINK("http://www.informatics.jax.org/marker/MGI:2146236","MGI:2146236")</f>
        <v>MGI:2146236</v>
      </c>
      <c r="J363" s="4" t="s">
        <v>12</v>
      </c>
    </row>
    <row r="364" spans="1:10" x14ac:dyDescent="0.25">
      <c r="A364" s="2">
        <v>222.12202633375</v>
      </c>
      <c r="B364" s="3">
        <v>0.43441803557539399</v>
      </c>
      <c r="C364" s="3">
        <v>1.7658423722533899E-3</v>
      </c>
      <c r="D364" s="4">
        <v>2.4763627382461101E-2</v>
      </c>
      <c r="E364" s="3" t="s">
        <v>6027</v>
      </c>
      <c r="F364" s="3" t="s">
        <v>6028</v>
      </c>
      <c r="G364" s="3">
        <v>245007</v>
      </c>
      <c r="H364" s="7" t="str">
        <f>HYPERLINK("http://www.ensembl.org/Mus_musculus/Gene/Summary?db=core;g=ENSMUSG00000040433","ENSMUSG00000040433")</f>
        <v>ENSMUSG00000040433</v>
      </c>
      <c r="I364" s="7" t="str">
        <f>HYPERLINK("http://www.informatics.jax.org/marker/MGI:2442866","MGI:2442866")</f>
        <v>MGI:2442866</v>
      </c>
      <c r="J364" s="4" t="s">
        <v>12</v>
      </c>
    </row>
    <row r="365" spans="1:10" x14ac:dyDescent="0.25">
      <c r="A365" s="2">
        <v>1732.1397204857201</v>
      </c>
      <c r="B365" s="3">
        <v>0.43440947174114197</v>
      </c>
      <c r="C365" s="5">
        <v>1.91959708716966E-8</v>
      </c>
      <c r="D365" s="6">
        <v>3.0842440627710198E-6</v>
      </c>
      <c r="E365" s="3" t="s">
        <v>124</v>
      </c>
      <c r="F365" s="3" t="s">
        <v>125</v>
      </c>
      <c r="G365" s="3">
        <v>215653</v>
      </c>
      <c r="H365" s="7" t="str">
        <f>HYPERLINK("http://www.ensembl.org/Mus_musculus/Gene/Summary?db=core;g=ENSMUSG00000027339","ENSMUSG00000027339")</f>
        <v>ENSMUSG00000027339</v>
      </c>
      <c r="I365" s="7" t="str">
        <f>HYPERLINK("http://www.informatics.jax.org/marker/MGI:2442060","MGI:2442060")</f>
        <v>MGI:2442060</v>
      </c>
      <c r="J365" s="4" t="s">
        <v>12</v>
      </c>
    </row>
    <row r="366" spans="1:10" x14ac:dyDescent="0.25">
      <c r="A366" s="2">
        <v>310.74767434227999</v>
      </c>
      <c r="B366" s="3">
        <v>0.43395643962469299</v>
      </c>
      <c r="C366" s="3">
        <v>9.5598364542654705E-4</v>
      </c>
      <c r="D366" s="4">
        <v>1.54482012357936E-2</v>
      </c>
      <c r="E366" s="3" t="s">
        <v>1706</v>
      </c>
      <c r="F366" s="3" t="s">
        <v>1707</v>
      </c>
      <c r="G366" s="3">
        <v>106393</v>
      </c>
      <c r="H366" s="7" t="str">
        <f>HYPERLINK("http://www.ensembl.org/Mus_musculus/Gene/Summary?db=core;g=ENSMUSG00000022519","ENSMUSG00000022519")</f>
        <v>ENSMUSG00000022519</v>
      </c>
      <c r="I366" s="7" t="str">
        <f>HYPERLINK("http://www.informatics.jax.org/marker/MGI:2146620","MGI:2146620")</f>
        <v>MGI:2146620</v>
      </c>
      <c r="J366" s="4" t="s">
        <v>12</v>
      </c>
    </row>
    <row r="367" spans="1:10" x14ac:dyDescent="0.25">
      <c r="A367" s="2">
        <v>325.22753581518498</v>
      </c>
      <c r="B367" s="3">
        <v>0.43290001465635097</v>
      </c>
      <c r="C367" s="3">
        <v>4.6753037768563702E-4</v>
      </c>
      <c r="D367" s="4">
        <v>9.0504546606374608E-3</v>
      </c>
      <c r="E367" s="3" t="s">
        <v>2886</v>
      </c>
      <c r="F367" s="3" t="s">
        <v>2887</v>
      </c>
      <c r="G367" s="3">
        <v>245622</v>
      </c>
      <c r="H367" s="7" t="str">
        <f>HYPERLINK("http://www.ensembl.org/Mus_musculus/Gene/Summary?db=core;g=ENSMUSG00000042595","ENSMUSG00000042595")</f>
        <v>ENSMUSG00000042595</v>
      </c>
      <c r="I367" s="7" t="str">
        <f>HYPERLINK("http://www.informatics.jax.org/marker/MGI:2384304","MGI:2384304")</f>
        <v>MGI:2384304</v>
      </c>
      <c r="J367" s="4" t="s">
        <v>12</v>
      </c>
    </row>
    <row r="368" spans="1:10" x14ac:dyDescent="0.25">
      <c r="A368" s="2">
        <v>641.05086049517502</v>
      </c>
      <c r="B368" s="3">
        <v>0.43263665053949302</v>
      </c>
      <c r="C368" s="3">
        <v>1.11241446038937E-3</v>
      </c>
      <c r="D368" s="4">
        <v>1.7325751588080199E-2</v>
      </c>
      <c r="E368" s="3" t="s">
        <v>2199</v>
      </c>
      <c r="F368" s="3" t="s">
        <v>2200</v>
      </c>
      <c r="G368" s="3">
        <v>74131</v>
      </c>
      <c r="H368" s="7" t="str">
        <f>HYPERLINK("http://www.ensembl.org/Mus_musculus/Gene/Summary?db=core;g=ENSMUSG00000031101","ENSMUSG00000031101")</f>
        <v>ENSMUSG00000031101</v>
      </c>
      <c r="I368" s="7" t="str">
        <f>HYPERLINK("http://www.informatics.jax.org/marker/MGI:1921381","MGI:1921381")</f>
        <v>MGI:1921381</v>
      </c>
      <c r="J368" s="4" t="s">
        <v>12</v>
      </c>
    </row>
    <row r="369" spans="1:10" x14ac:dyDescent="0.25">
      <c r="A369" s="2">
        <v>592.20362504430398</v>
      </c>
      <c r="B369" s="3">
        <v>0.43222011869760202</v>
      </c>
      <c r="C369" s="3">
        <v>3.4030540386369802E-4</v>
      </c>
      <c r="D369" s="4">
        <v>7.2079376219491703E-3</v>
      </c>
      <c r="E369" s="3" t="s">
        <v>3458</v>
      </c>
      <c r="F369" s="3" t="s">
        <v>3459</v>
      </c>
      <c r="G369" s="3">
        <v>66193</v>
      </c>
      <c r="H369" s="7" t="str">
        <f>HYPERLINK("http://www.ensembl.org/Mus_musculus/Gene/Summary?db=core;g=ENSMUSG00000028669","ENSMUSG00000028669")</f>
        <v>ENSMUSG00000028669</v>
      </c>
      <c r="I369" s="7" t="str">
        <f>HYPERLINK("http://www.informatics.jax.org/marker/MGI:1913443","MGI:1913443")</f>
        <v>MGI:1913443</v>
      </c>
      <c r="J369" s="4" t="s">
        <v>12</v>
      </c>
    </row>
    <row r="370" spans="1:10" x14ac:dyDescent="0.25">
      <c r="A370" s="2">
        <v>714.44323569970902</v>
      </c>
      <c r="B370" s="3">
        <v>0.43182759047863201</v>
      </c>
      <c r="C370" s="5">
        <v>3.55211305485445E-7</v>
      </c>
      <c r="D370" s="6">
        <v>3.2622683923868602E-5</v>
      </c>
      <c r="E370" s="3" t="s">
        <v>1883</v>
      </c>
      <c r="F370" s="3" t="s">
        <v>1884</v>
      </c>
      <c r="G370" s="3">
        <v>140579</v>
      </c>
      <c r="H370" s="7" t="str">
        <f>HYPERLINK("http://www.ensembl.org/Mus_musculus/Gene/Summary?db=core;g=ENSMUSG00000017670","ENSMUSG00000017670")</f>
        <v>ENSMUSG00000017670</v>
      </c>
      <c r="I370" s="7" t="str">
        <f>HYPERLINK("http://www.informatics.jax.org/marker/MGI:2153045","MGI:2153045")</f>
        <v>MGI:2153045</v>
      </c>
      <c r="J370" s="4" t="s">
        <v>12</v>
      </c>
    </row>
    <row r="371" spans="1:10" x14ac:dyDescent="0.25">
      <c r="A371" s="2">
        <v>967.15726042209405</v>
      </c>
      <c r="B371" s="3">
        <v>0.43146946241763501</v>
      </c>
      <c r="C371" s="3">
        <v>2.6172604601880402E-3</v>
      </c>
      <c r="D371" s="4">
        <v>3.3488428209027199E-2</v>
      </c>
      <c r="E371" s="3" t="s">
        <v>90</v>
      </c>
      <c r="F371" s="3" t="s">
        <v>91</v>
      </c>
      <c r="G371" s="3">
        <v>211228</v>
      </c>
      <c r="H371" s="7" t="str">
        <f>HYPERLINK("http://www.ensembl.org/Mus_musculus/Gene/Summary?db=core;g=ENSMUSG00000049988","ENSMUSG00000049988")</f>
        <v>ENSMUSG00000049988</v>
      </c>
      <c r="I371" s="7" t="str">
        <f>HYPERLINK("http://www.informatics.jax.org/marker/MGI:2445284","MGI:2445284")</f>
        <v>MGI:2445284</v>
      </c>
      <c r="J371" s="4" t="s">
        <v>12</v>
      </c>
    </row>
    <row r="372" spans="1:10" x14ac:dyDescent="0.25">
      <c r="A372" s="2">
        <v>717.99246048505404</v>
      </c>
      <c r="B372" s="3">
        <v>0.43096796714344499</v>
      </c>
      <c r="C372" s="3">
        <v>2.7628634788058101E-3</v>
      </c>
      <c r="D372" s="4">
        <v>3.4564989484014402E-2</v>
      </c>
      <c r="E372" s="3" t="s">
        <v>5385</v>
      </c>
      <c r="F372" s="3" t="s">
        <v>5386</v>
      </c>
      <c r="G372" s="3">
        <v>105670</v>
      </c>
      <c r="H372" s="7" t="str">
        <f>HYPERLINK("http://www.ensembl.org/Mus_musculus/Gene/Summary?db=core;g=ENSMUSG00000022106","ENSMUSG00000022106")</f>
        <v>ENSMUSG00000022106</v>
      </c>
      <c r="I372" s="7" t="str">
        <f>HYPERLINK("http://www.informatics.jax.org/marker/MGI:1917200","MGI:1917200")</f>
        <v>MGI:1917200</v>
      </c>
      <c r="J372" s="4" t="s">
        <v>12</v>
      </c>
    </row>
    <row r="373" spans="1:10" x14ac:dyDescent="0.25">
      <c r="A373" s="2">
        <v>675.08766231293703</v>
      </c>
      <c r="B373" s="3">
        <v>0.43096228271989501</v>
      </c>
      <c r="C373" s="3">
        <v>9.8258082073650202E-4</v>
      </c>
      <c r="D373" s="4">
        <v>1.57422884484664E-2</v>
      </c>
      <c r="E373" s="3" t="s">
        <v>2195</v>
      </c>
      <c r="F373" s="3" t="s">
        <v>2196</v>
      </c>
      <c r="G373" s="3">
        <v>19366</v>
      </c>
      <c r="H373" s="7" t="str">
        <f>HYPERLINK("http://www.ensembl.org/Mus_musculus/Gene/Summary?db=core;g=ENSMUSG00000028702","ENSMUSG00000028702")</f>
        <v>ENSMUSG00000028702</v>
      </c>
      <c r="I373" s="7" t="str">
        <f>HYPERLINK("http://www.informatics.jax.org/marker/MGI:894697","MGI:894697")</f>
        <v>MGI:894697</v>
      </c>
      <c r="J373" s="4" t="s">
        <v>12</v>
      </c>
    </row>
    <row r="374" spans="1:10" x14ac:dyDescent="0.25">
      <c r="A374" s="2">
        <v>466.93291958405501</v>
      </c>
      <c r="B374" s="3">
        <v>0.42920380912825701</v>
      </c>
      <c r="C374" s="3">
        <v>1.69314453803755E-3</v>
      </c>
      <c r="D374" s="4">
        <v>2.39833710570635E-2</v>
      </c>
      <c r="E374" s="3" t="s">
        <v>14581</v>
      </c>
      <c r="F374" s="3" t="s">
        <v>14582</v>
      </c>
      <c r="G374" s="3">
        <v>414801</v>
      </c>
      <c r="H374" s="7" t="str">
        <f>HYPERLINK("http://www.ensembl.org/Mus_musculus/Gene/Summary?db=core;g=ENSMUSG00000117975","ENSMUSG00000117975")</f>
        <v>ENSMUSG00000117975</v>
      </c>
      <c r="I374" s="7" t="str">
        <f>HYPERLINK("http://www.informatics.jax.org/marker/MGI:3042776","MGI:3042776")</f>
        <v>MGI:3042776</v>
      </c>
      <c r="J374" s="4" t="s">
        <v>12</v>
      </c>
    </row>
    <row r="375" spans="1:10" x14ac:dyDescent="0.25">
      <c r="A375" s="2">
        <v>262.21415917712</v>
      </c>
      <c r="B375" s="3">
        <v>0.42881488629671799</v>
      </c>
      <c r="C375" s="3">
        <v>2.2416576075093801E-4</v>
      </c>
      <c r="D375" s="4">
        <v>5.2744609020204903E-3</v>
      </c>
      <c r="E375" s="3" t="s">
        <v>6832</v>
      </c>
      <c r="F375" s="3" t="s">
        <v>6833</v>
      </c>
      <c r="G375" s="3">
        <v>101095</v>
      </c>
      <c r="H375" s="7" t="str">
        <f>HYPERLINK("http://www.ensembl.org/Mus_musculus/Gene/Summary?db=core;g=ENSMUSG00000025821","ENSMUSG00000025821")</f>
        <v>ENSMUSG00000025821</v>
      </c>
      <c r="I375" s="7" t="str">
        <f>HYPERLINK("http://www.informatics.jax.org/marker/MGI:2141413","MGI:2141413")</f>
        <v>MGI:2141413</v>
      </c>
      <c r="J375" s="4" t="s">
        <v>12</v>
      </c>
    </row>
    <row r="376" spans="1:10" x14ac:dyDescent="0.25">
      <c r="A376" s="2">
        <v>1820.59880698037</v>
      </c>
      <c r="B376" s="3">
        <v>0.428410189119452</v>
      </c>
      <c r="C376" s="5">
        <v>2.2007684640129801E-6</v>
      </c>
      <c r="D376" s="4">
        <v>1.38279569356168E-4</v>
      </c>
      <c r="E376" s="3" t="s">
        <v>2551</v>
      </c>
      <c r="F376" s="3" t="s">
        <v>2552</v>
      </c>
      <c r="G376" s="3">
        <v>14156</v>
      </c>
      <c r="H376" s="7" t="str">
        <f>HYPERLINK("http://www.ensembl.org/Mus_musculus/Gene/Summary?db=core;g=ENSMUSG00000024742","ENSMUSG00000024742")</f>
        <v>ENSMUSG00000024742</v>
      </c>
      <c r="I376" s="7" t="str">
        <f>HYPERLINK("http://www.informatics.jax.org/marker/MGI:102779","MGI:102779")</f>
        <v>MGI:102779</v>
      </c>
      <c r="J376" s="4" t="s">
        <v>12</v>
      </c>
    </row>
    <row r="377" spans="1:10" x14ac:dyDescent="0.25">
      <c r="A377" s="2">
        <v>466.07267386089501</v>
      </c>
      <c r="B377" s="3">
        <v>0.42797728463724599</v>
      </c>
      <c r="C377" s="5">
        <v>1.74064333058207E-5</v>
      </c>
      <c r="D377" s="4">
        <v>7.2778918094009402E-4</v>
      </c>
      <c r="E377" s="3" t="s">
        <v>3058</v>
      </c>
      <c r="F377" s="3" t="s">
        <v>3059</v>
      </c>
      <c r="G377" s="3">
        <v>329506</v>
      </c>
      <c r="H377" s="7" t="str">
        <f>HYPERLINK("http://www.ensembl.org/Mus_musculus/Gene/Summary?db=core;g=ENSMUSG00000033411","ENSMUSG00000033411")</f>
        <v>ENSMUSG00000033411</v>
      </c>
      <c r="I377" s="7" t="str">
        <f>HYPERLINK("http://www.informatics.jax.org/marker/MGI:1196405","MGI:1196405")</f>
        <v>MGI:1196405</v>
      </c>
      <c r="J377" s="4" t="s">
        <v>12</v>
      </c>
    </row>
    <row r="378" spans="1:10" x14ac:dyDescent="0.25">
      <c r="A378" s="2">
        <v>519.70038799534404</v>
      </c>
      <c r="B378" s="3">
        <v>0.42763984357596102</v>
      </c>
      <c r="C378" s="3">
        <v>1.8669915044720901E-3</v>
      </c>
      <c r="D378" s="4">
        <v>2.59235227787625E-2</v>
      </c>
      <c r="E378" s="3" t="s">
        <v>4205</v>
      </c>
      <c r="F378" s="3" t="s">
        <v>4206</v>
      </c>
      <c r="G378" s="3">
        <v>12545</v>
      </c>
      <c r="H378" s="7" t="str">
        <f>HYPERLINK("http://www.ensembl.org/Mus_musculus/Gene/Summary?db=core;g=ENSMUSG00000029283","ENSMUSG00000029283")</f>
        <v>ENSMUSG00000029283</v>
      </c>
      <c r="I378" s="7" t="str">
        <f>HYPERLINK("http://www.informatics.jax.org/marker/MGI:1309511","MGI:1309511")</f>
        <v>MGI:1309511</v>
      </c>
      <c r="J378" s="4" t="s">
        <v>12</v>
      </c>
    </row>
    <row r="379" spans="1:10" x14ac:dyDescent="0.25">
      <c r="A379" s="2">
        <v>652.90098897280802</v>
      </c>
      <c r="B379" s="3">
        <v>0.42704687312470102</v>
      </c>
      <c r="C379" s="3">
        <v>3.0690632805704298E-4</v>
      </c>
      <c r="D379" s="4">
        <v>6.6796810229435601E-3</v>
      </c>
      <c r="E379" s="3" t="s">
        <v>3656</v>
      </c>
      <c r="F379" s="3" t="s">
        <v>3657</v>
      </c>
      <c r="G379" s="3">
        <v>72155</v>
      </c>
      <c r="H379" s="7" t="str">
        <f>HYPERLINK("http://www.ensembl.org/Mus_musculus/Gene/Summary?db=core;g=ENSMUSG00000031756","ENSMUSG00000031756")</f>
        <v>ENSMUSG00000031756</v>
      </c>
      <c r="I379" s="7" t="str">
        <f>HYPERLINK("http://www.informatics.jax.org/marker/MGI:1919405","MGI:1919405")</f>
        <v>MGI:1919405</v>
      </c>
      <c r="J379" s="4" t="s">
        <v>12</v>
      </c>
    </row>
    <row r="380" spans="1:10" x14ac:dyDescent="0.25">
      <c r="A380" s="2">
        <v>471.304287516957</v>
      </c>
      <c r="B380" s="3">
        <v>0.42635831725290901</v>
      </c>
      <c r="C380" s="5">
        <v>4.4771458957959998E-7</v>
      </c>
      <c r="D380" s="6">
        <v>3.9034465031021401E-5</v>
      </c>
      <c r="E380" s="3" t="s">
        <v>1208</v>
      </c>
      <c r="F380" s="3" t="s">
        <v>1209</v>
      </c>
      <c r="G380" s="3">
        <v>100502698</v>
      </c>
      <c r="H380" s="7" t="str">
        <f>HYPERLINK("http://www.ensembl.org/Mus_musculus/Gene/Summary?db=core;g=ENSMUSG00000035629","ENSMUSG00000035629")</f>
        <v>ENSMUSG00000035629</v>
      </c>
      <c r="I380" s="7" t="str">
        <f>HYPERLINK("http://www.informatics.jax.org/marker/MGI:1915160","MGI:1915160")</f>
        <v>MGI:1915160</v>
      </c>
      <c r="J380" s="4" t="s">
        <v>12</v>
      </c>
    </row>
    <row r="381" spans="1:10" x14ac:dyDescent="0.25">
      <c r="A381" s="2">
        <v>612.02662771134203</v>
      </c>
      <c r="B381" s="3">
        <v>0.423829288515847</v>
      </c>
      <c r="C381" s="3">
        <v>1.6398294455151499E-3</v>
      </c>
      <c r="D381" s="4">
        <v>2.33753634647768E-2</v>
      </c>
      <c r="E381" s="3" t="s">
        <v>2675</v>
      </c>
      <c r="F381" s="3" t="s">
        <v>2676</v>
      </c>
      <c r="G381" s="3">
        <v>333789</v>
      </c>
      <c r="H381" s="7" t="str">
        <f>HYPERLINK("http://www.ensembl.org/Mus_musculus/Gene/Summary?db=core;g=ENSMUSG00000037795","ENSMUSG00000037795")</f>
        <v>ENSMUSG00000037795</v>
      </c>
      <c r="I381" s="7" t="str">
        <f>HYPERLINK("http://www.informatics.jax.org/marker/MGI:2684414","MGI:2684414")</f>
        <v>MGI:2684414</v>
      </c>
      <c r="J381" s="4" t="s">
        <v>12</v>
      </c>
    </row>
    <row r="382" spans="1:10" x14ac:dyDescent="0.25">
      <c r="A382" s="2">
        <v>2502.7902623129098</v>
      </c>
      <c r="B382" s="3">
        <v>0.423671292501894</v>
      </c>
      <c r="C382" s="3">
        <v>1.47176794068906E-3</v>
      </c>
      <c r="D382" s="4">
        <v>2.1670345965688599E-2</v>
      </c>
      <c r="E382" s="3" t="s">
        <v>4883</v>
      </c>
      <c r="F382" s="3" t="s">
        <v>4884</v>
      </c>
      <c r="G382" s="3">
        <v>240087</v>
      </c>
      <c r="H382" s="7" t="str">
        <f>HYPERLINK("http://www.ensembl.org/Mus_musculus/Gene/Summary?db=core;g=ENSMUSG00000061607","ENSMUSG00000061607")</f>
        <v>ENSMUSG00000061607</v>
      </c>
      <c r="I382" s="7" t="str">
        <f>HYPERLINK("http://www.informatics.jax.org/marker/MGI:3525201","MGI:3525201")</f>
        <v>MGI:3525201</v>
      </c>
      <c r="J382" s="4" t="s">
        <v>12</v>
      </c>
    </row>
    <row r="383" spans="1:10" x14ac:dyDescent="0.25">
      <c r="A383" s="2">
        <v>476.27541308897702</v>
      </c>
      <c r="B383" s="3">
        <v>0.422338502554296</v>
      </c>
      <c r="C383" s="3">
        <v>3.4419853669321698E-4</v>
      </c>
      <c r="D383" s="4">
        <v>7.24943996664534E-3</v>
      </c>
      <c r="E383" s="3" t="s">
        <v>2978</v>
      </c>
      <c r="F383" s="3" t="s">
        <v>2979</v>
      </c>
      <c r="G383" s="3">
        <v>381306</v>
      </c>
      <c r="H383" s="7" t="str">
        <f>HYPERLINK("http://www.ensembl.org/Mus_musculus/Gene/Summary?db=core;g=ENSMUSG00000041406","ENSMUSG00000041406")</f>
        <v>ENSMUSG00000041406</v>
      </c>
      <c r="I383" s="7" t="str">
        <f>HYPERLINK("http://www.informatics.jax.org/marker/MGI:3590554","MGI:3590554")</f>
        <v>MGI:3590554</v>
      </c>
      <c r="J383" s="4" t="s">
        <v>12</v>
      </c>
    </row>
    <row r="384" spans="1:10" x14ac:dyDescent="0.25">
      <c r="A384" s="2">
        <v>1048.79141465159</v>
      </c>
      <c r="B384" s="3">
        <v>0.42074548636577003</v>
      </c>
      <c r="C384" s="5">
        <v>1.1682069192944499E-6</v>
      </c>
      <c r="D384" s="6">
        <v>8.4766601427772094E-5</v>
      </c>
      <c r="E384" s="3" t="s">
        <v>1772</v>
      </c>
      <c r="F384" s="3" t="s">
        <v>1773</v>
      </c>
      <c r="G384" s="3">
        <v>112405</v>
      </c>
      <c r="H384" s="7" t="str">
        <f>HYPERLINK("http://www.ensembl.org/Mus_musculus/Gene/Summary?db=core;g=ENSMUSG00000031987","ENSMUSG00000031987")</f>
        <v>ENSMUSG00000031987</v>
      </c>
      <c r="I384" s="7" t="str">
        <f>HYPERLINK("http://www.informatics.jax.org/marker/MGI:1932286","MGI:1932286")</f>
        <v>MGI:1932286</v>
      </c>
      <c r="J384" s="4" t="s">
        <v>12</v>
      </c>
    </row>
    <row r="385" spans="1:10" x14ac:dyDescent="0.25">
      <c r="A385" s="2">
        <v>1301.82952071916</v>
      </c>
      <c r="B385" s="3">
        <v>0.42039978210204398</v>
      </c>
      <c r="C385" s="5">
        <v>2.26390883832972E-5</v>
      </c>
      <c r="D385" s="4">
        <v>8.8410356613522205E-4</v>
      </c>
      <c r="E385" s="3" t="s">
        <v>11145</v>
      </c>
      <c r="F385" s="3" t="s">
        <v>11146</v>
      </c>
      <c r="G385" s="3">
        <v>97487</v>
      </c>
      <c r="H385" s="7" t="str">
        <f>HYPERLINK("http://www.ensembl.org/Mus_musculus/Gene/Summary?db=core;g=ENSMUSG00000096188","ENSMUSG00000096188")</f>
        <v>ENSMUSG00000096188</v>
      </c>
      <c r="I385" s="7" t="str">
        <f>HYPERLINK("http://www.informatics.jax.org/marker/MGI:2142888","MGI:2142888")</f>
        <v>MGI:2142888</v>
      </c>
      <c r="J385" s="4" t="s">
        <v>12</v>
      </c>
    </row>
    <row r="386" spans="1:10" x14ac:dyDescent="0.25">
      <c r="A386" s="2">
        <v>375.56722403797397</v>
      </c>
      <c r="B386" s="3">
        <v>0.41991486725612398</v>
      </c>
      <c r="C386" s="5">
        <v>6.5944512766472299E-5</v>
      </c>
      <c r="D386" s="4">
        <v>1.9778078268920399E-3</v>
      </c>
      <c r="E386" s="3" t="s">
        <v>3165</v>
      </c>
      <c r="F386" s="3" t="s">
        <v>3166</v>
      </c>
      <c r="G386" s="3">
        <v>69885</v>
      </c>
      <c r="H386" s="7" t="str">
        <f>HYPERLINK("http://www.ensembl.org/Mus_musculus/Gene/Summary?db=core;g=ENSMUSG00000078521","ENSMUSG00000078521")</f>
        <v>ENSMUSG00000078521</v>
      </c>
      <c r="I386" s="7" t="str">
        <f>HYPERLINK("http://www.informatics.jax.org/marker/MGI:1917135","MGI:1917135")</f>
        <v>MGI:1917135</v>
      </c>
      <c r="J386" s="4" t="s">
        <v>12</v>
      </c>
    </row>
    <row r="387" spans="1:10" x14ac:dyDescent="0.25">
      <c r="A387" s="2">
        <v>422.17495977664902</v>
      </c>
      <c r="B387" s="3">
        <v>0.41914584837888402</v>
      </c>
      <c r="C387" s="5">
        <v>4.12385712635833E-5</v>
      </c>
      <c r="D387" s="4">
        <v>1.41837985015756E-3</v>
      </c>
      <c r="E387" s="3" t="s">
        <v>1524</v>
      </c>
      <c r="F387" s="3" t="s">
        <v>1525</v>
      </c>
      <c r="G387" s="3">
        <v>15893</v>
      </c>
      <c r="H387" s="7" t="str">
        <f>HYPERLINK("http://www.ensembl.org/Mus_musculus/Gene/Summary?db=core;g=ENSMUSG00000062995","ENSMUSG00000062995")</f>
        <v>ENSMUSG00000062995</v>
      </c>
      <c r="I387" s="7" t="str">
        <f>HYPERLINK("http://www.informatics.jax.org/marker/MGI:96391","MGI:96391")</f>
        <v>MGI:96391</v>
      </c>
      <c r="J387" s="4" t="s">
        <v>12</v>
      </c>
    </row>
    <row r="388" spans="1:10" x14ac:dyDescent="0.25">
      <c r="A388" s="2">
        <v>575.51090926896495</v>
      </c>
      <c r="B388" s="3">
        <v>0.41893169155885901</v>
      </c>
      <c r="C388" s="3">
        <v>1.20353271553181E-3</v>
      </c>
      <c r="D388" s="4">
        <v>1.8466756414169599E-2</v>
      </c>
      <c r="E388" s="3" t="s">
        <v>3864</v>
      </c>
      <c r="F388" s="3" t="s">
        <v>3865</v>
      </c>
      <c r="G388" s="3">
        <v>97031</v>
      </c>
      <c r="H388" s="7" t="str">
        <f>HYPERLINK("http://www.ensembl.org/Mus_musculus/Gene/Summary?db=core;g=ENSMUSG00000048707","ENSMUSG00000048707")</f>
        <v>ENSMUSG00000048707</v>
      </c>
      <c r="I388" s="7" t="str">
        <f>HYPERLINK("http://www.informatics.jax.org/marker/MGI:2139535","MGI:2139535")</f>
        <v>MGI:2139535</v>
      </c>
      <c r="J388" s="4" t="s">
        <v>12</v>
      </c>
    </row>
    <row r="389" spans="1:10" x14ac:dyDescent="0.25">
      <c r="A389" s="2">
        <v>175.825004750067</v>
      </c>
      <c r="B389" s="3">
        <v>0.41875939580392602</v>
      </c>
      <c r="C389" s="3">
        <v>2.47700264036451E-3</v>
      </c>
      <c r="D389" s="4">
        <v>3.2206761498473603E-2</v>
      </c>
      <c r="E389" s="3" t="s">
        <v>5263</v>
      </c>
      <c r="F389" s="3" t="s">
        <v>5264</v>
      </c>
      <c r="G389" s="3">
        <v>70561</v>
      </c>
      <c r="H389" s="7" t="str">
        <f>HYPERLINK("http://www.ensembl.org/Mus_musculus/Gene/Summary?db=core;g=ENSMUSG00000021830","ENSMUSG00000021830")</f>
        <v>ENSMUSG00000021830</v>
      </c>
      <c r="I389" s="7" t="str">
        <f>HYPERLINK("http://www.informatics.jax.org/marker/MGI:1917811","MGI:1917811")</f>
        <v>MGI:1917811</v>
      </c>
      <c r="J389" s="4" t="s">
        <v>12</v>
      </c>
    </row>
    <row r="390" spans="1:10" x14ac:dyDescent="0.25">
      <c r="A390" s="2">
        <v>1048.52499929908</v>
      </c>
      <c r="B390" s="3">
        <v>0.41776545417639999</v>
      </c>
      <c r="C390" s="5">
        <v>6.1983585746975499E-6</v>
      </c>
      <c r="D390" s="4">
        <v>3.2274508745195999E-4</v>
      </c>
      <c r="E390" s="3" t="s">
        <v>7478</v>
      </c>
      <c r="F390" s="3" t="s">
        <v>7479</v>
      </c>
      <c r="G390" s="3">
        <v>56484</v>
      </c>
      <c r="H390" s="7" t="str">
        <f>HYPERLINK("http://www.ensembl.org/Mus_musculus/Gene/Summary?db=core;g=ENSMUSG00000048756","ENSMUSG00000048756")</f>
        <v>ENSMUSG00000048756</v>
      </c>
      <c r="I390" s="7" t="str">
        <f>HYPERLINK("http://www.informatics.jax.org/marker/MGI:1890081","MGI:1890081")</f>
        <v>MGI:1890081</v>
      </c>
      <c r="J390" s="4" t="s">
        <v>12</v>
      </c>
    </row>
    <row r="391" spans="1:10" x14ac:dyDescent="0.25">
      <c r="A391" s="2">
        <v>403.05936065782402</v>
      </c>
      <c r="B391" s="3">
        <v>0.414504281558295</v>
      </c>
      <c r="C391" s="5">
        <v>1.90720868627854E-5</v>
      </c>
      <c r="D391" s="4">
        <v>7.7438180846840104E-4</v>
      </c>
      <c r="E391" s="3" t="s">
        <v>2133</v>
      </c>
      <c r="F391" s="3" t="s">
        <v>2134</v>
      </c>
      <c r="G391" s="3">
        <v>109065</v>
      </c>
      <c r="H391" s="7" t="str">
        <f>HYPERLINK("http://www.ensembl.org/Mus_musculus/Gene/Summary?db=core;g=ENSMUSG00000020973","ENSMUSG00000020973")</f>
        <v>ENSMUSG00000020973</v>
      </c>
      <c r="I391" s="7" t="str">
        <f>HYPERLINK("http://www.informatics.jax.org/marker/MGI:1923566","MGI:1923566")</f>
        <v>MGI:1923566</v>
      </c>
      <c r="J391" s="4" t="s">
        <v>12</v>
      </c>
    </row>
    <row r="392" spans="1:10" x14ac:dyDescent="0.25">
      <c r="A392" s="2">
        <v>488.14135504442299</v>
      </c>
      <c r="B392" s="3">
        <v>0.41421935617357097</v>
      </c>
      <c r="C392" s="5">
        <v>7.4328995027794098E-5</v>
      </c>
      <c r="D392" s="4">
        <v>2.1559036846381901E-3</v>
      </c>
      <c r="E392" s="3" t="s">
        <v>1492</v>
      </c>
      <c r="F392" s="3" t="s">
        <v>1493</v>
      </c>
      <c r="G392" s="3">
        <v>108099</v>
      </c>
      <c r="H392" s="7" t="str">
        <f>HYPERLINK("http://www.ensembl.org/Mus_musculus/Gene/Summary?db=core;g=ENSMUSG00000028944","ENSMUSG00000028944")</f>
        <v>ENSMUSG00000028944</v>
      </c>
      <c r="I392" s="7" t="str">
        <f>HYPERLINK("http://www.informatics.jax.org/marker/MGI:1336153","MGI:1336153")</f>
        <v>MGI:1336153</v>
      </c>
      <c r="J392" s="4" t="s">
        <v>12</v>
      </c>
    </row>
    <row r="393" spans="1:10" x14ac:dyDescent="0.25">
      <c r="A393" s="2">
        <v>729.02988554995898</v>
      </c>
      <c r="B393" s="3">
        <v>0.41326383249224902</v>
      </c>
      <c r="C393" s="3">
        <v>7.1368239008733005E-4</v>
      </c>
      <c r="D393" s="4">
        <v>1.23489012943265E-2</v>
      </c>
      <c r="E393" s="3" t="s">
        <v>2802</v>
      </c>
      <c r="F393" s="3" t="s">
        <v>2803</v>
      </c>
      <c r="G393" s="3">
        <v>237860</v>
      </c>
      <c r="H393" s="7" t="str">
        <f>HYPERLINK("http://www.ensembl.org/Mus_musculus/Gene/Summary?db=core;g=ENSMUSG00000037926","ENSMUSG00000037926")</f>
        <v>ENSMUSG00000037926</v>
      </c>
      <c r="I393" s="7" t="str">
        <f>HYPERLINK("http://www.informatics.jax.org/marker/MGI:2679255","MGI:2679255")</f>
        <v>MGI:2679255</v>
      </c>
      <c r="J393" s="4" t="s">
        <v>12</v>
      </c>
    </row>
    <row r="394" spans="1:10" x14ac:dyDescent="0.25">
      <c r="A394" s="2">
        <v>674.85864819985602</v>
      </c>
      <c r="B394" s="3">
        <v>0.41219007965861798</v>
      </c>
      <c r="C394" s="5">
        <v>4.0494673013946299E-6</v>
      </c>
      <c r="D394" s="4">
        <v>2.21089120091191E-4</v>
      </c>
      <c r="E394" s="3" t="s">
        <v>886</v>
      </c>
      <c r="F394" s="3" t="s">
        <v>887</v>
      </c>
      <c r="G394" s="3">
        <v>52588</v>
      </c>
      <c r="H394" s="7" t="str">
        <f>HYPERLINK("http://www.ensembl.org/Mus_musculus/Gene/Summary?db=core;g=ENSMUSG00000037824","ENSMUSG00000037824")</f>
        <v>ENSMUSG00000037824</v>
      </c>
      <c r="I394" s="7" t="str">
        <f>HYPERLINK("http://www.informatics.jax.org/marker/MGI:1196325","MGI:1196325")</f>
        <v>MGI:1196325</v>
      </c>
      <c r="J394" s="4" t="s">
        <v>12</v>
      </c>
    </row>
    <row r="395" spans="1:10" x14ac:dyDescent="0.25">
      <c r="A395" s="2">
        <v>782.48083293292098</v>
      </c>
      <c r="B395" s="3">
        <v>0.41089297690009302</v>
      </c>
      <c r="C395" s="5">
        <v>1.89591276618971E-6</v>
      </c>
      <c r="D395" s="4">
        <v>1.20470795939749E-4</v>
      </c>
      <c r="E395" s="3" t="s">
        <v>1398</v>
      </c>
      <c r="F395" s="3" t="s">
        <v>1399</v>
      </c>
      <c r="G395" s="3">
        <v>277854</v>
      </c>
      <c r="H395" s="7" t="str">
        <f>HYPERLINK("http://www.ensembl.org/Mus_musculus/Gene/Summary?db=core;g=ENSMUSG00000037426","ENSMUSG00000037426")</f>
        <v>ENSMUSG00000037426</v>
      </c>
      <c r="I395" s="7" t="str">
        <f>HYPERLINK("http://www.informatics.jax.org/marker/MGI:2141101","MGI:2141101")</f>
        <v>MGI:2141101</v>
      </c>
      <c r="J395" s="4" t="s">
        <v>12</v>
      </c>
    </row>
    <row r="396" spans="1:10" x14ac:dyDescent="0.25">
      <c r="A396" s="2">
        <v>242.624392954651</v>
      </c>
      <c r="B396" s="3">
        <v>0.41017244096100702</v>
      </c>
      <c r="C396" s="3">
        <v>2.1406310711775201E-3</v>
      </c>
      <c r="D396" s="4">
        <v>2.8870192541959602E-2</v>
      </c>
      <c r="E396" s="3" t="s">
        <v>4137</v>
      </c>
      <c r="F396" s="3" t="s">
        <v>4138</v>
      </c>
      <c r="G396" s="3">
        <v>67196</v>
      </c>
      <c r="H396" s="7" t="str">
        <f>HYPERLINK("http://www.ensembl.org/Mus_musculus/Gene/Summary?db=core;g=ENSMUSG00000026429","ENSMUSG00000026429")</f>
        <v>ENSMUSG00000026429</v>
      </c>
      <c r="I396" s="7" t="str">
        <f>HYPERLINK("http://www.informatics.jax.org/marker/MGI:1914446","MGI:1914446")</f>
        <v>MGI:1914446</v>
      </c>
      <c r="J396" s="4" t="s">
        <v>12</v>
      </c>
    </row>
    <row r="397" spans="1:10" x14ac:dyDescent="0.25">
      <c r="A397" s="2">
        <v>5380.6681498073203</v>
      </c>
      <c r="B397" s="3">
        <v>0.40937487798948602</v>
      </c>
      <c r="C397" s="5">
        <v>5.8982121502134301E-5</v>
      </c>
      <c r="D397" s="4">
        <v>1.86340427116434E-3</v>
      </c>
      <c r="E397" s="3" t="s">
        <v>2846</v>
      </c>
      <c r="F397" s="3" t="s">
        <v>2847</v>
      </c>
      <c r="G397" s="3">
        <v>17219</v>
      </c>
      <c r="H397" s="7" t="str">
        <f>HYPERLINK("http://www.ensembl.org/Mus_musculus/Gene/Summary?db=core;g=ENSMUSG00000026355","ENSMUSG00000026355")</f>
        <v>ENSMUSG00000026355</v>
      </c>
      <c r="I397" s="7" t="str">
        <f>HYPERLINK("http://www.informatics.jax.org/marker/MGI:1298227","MGI:1298227")</f>
        <v>MGI:1298227</v>
      </c>
      <c r="J397" s="4" t="s">
        <v>12</v>
      </c>
    </row>
    <row r="398" spans="1:10" x14ac:dyDescent="0.25">
      <c r="A398" s="2">
        <v>700.92452862829396</v>
      </c>
      <c r="B398" s="3">
        <v>0.40883350553981601</v>
      </c>
      <c r="C398" s="3">
        <v>2.6367609987920599E-4</v>
      </c>
      <c r="D398" s="4">
        <v>5.9726014224549401E-3</v>
      </c>
      <c r="E398" s="3" t="s">
        <v>2736</v>
      </c>
      <c r="F398" s="3" t="s">
        <v>2737</v>
      </c>
      <c r="G398" s="3">
        <v>235584</v>
      </c>
      <c r="H398" s="7" t="str">
        <f>HYPERLINK("http://www.ensembl.org/Mus_musculus/Gene/Summary?db=core;g=ENSMUSG00000053716","ENSMUSG00000053716")</f>
        <v>ENSMUSG00000053716</v>
      </c>
      <c r="I398" s="7" t="str">
        <f>HYPERLINK("http://www.informatics.jax.org/marker/MGI:2387100","MGI:2387100")</f>
        <v>MGI:2387100</v>
      </c>
      <c r="J398" s="4" t="s">
        <v>12</v>
      </c>
    </row>
    <row r="399" spans="1:10" x14ac:dyDescent="0.25">
      <c r="A399" s="2">
        <v>784.39874596991297</v>
      </c>
      <c r="B399" s="3">
        <v>0.40860386875261301</v>
      </c>
      <c r="C399" s="5">
        <v>9.90174046518317E-5</v>
      </c>
      <c r="D399" s="4">
        <v>2.6389780808510699E-3</v>
      </c>
      <c r="E399" s="3" t="s">
        <v>2091</v>
      </c>
      <c r="F399" s="3" t="s">
        <v>2092</v>
      </c>
      <c r="G399" s="3">
        <v>67078</v>
      </c>
      <c r="H399" s="7" t="str">
        <f>HYPERLINK("http://www.ensembl.org/Mus_musculus/Gene/Summary?db=core;g=ENSMUSG00000043445","ENSMUSG00000043445")</f>
        <v>ENSMUSG00000043445</v>
      </c>
      <c r="I399" s="7" t="str">
        <f>HYPERLINK("http://www.informatics.jax.org/marker/MGI:1914328","MGI:1914328")</f>
        <v>MGI:1914328</v>
      </c>
      <c r="J399" s="4" t="s">
        <v>12</v>
      </c>
    </row>
    <row r="400" spans="1:10" x14ac:dyDescent="0.25">
      <c r="A400" s="2">
        <v>916.79093217610205</v>
      </c>
      <c r="B400" s="3">
        <v>0.40858958846122101</v>
      </c>
      <c r="C400" s="3">
        <v>1.09352184435492E-4</v>
      </c>
      <c r="D400" s="4">
        <v>2.86634429379035E-3</v>
      </c>
      <c r="E400" s="3" t="s">
        <v>1935</v>
      </c>
      <c r="F400" s="3" t="s">
        <v>1936</v>
      </c>
      <c r="G400" s="3">
        <v>16001</v>
      </c>
      <c r="H400" s="7" t="str">
        <f>HYPERLINK("http://www.ensembl.org/Mus_musculus/Gene/Summary?db=core;g=ENSMUSG00000005533","ENSMUSG00000005533")</f>
        <v>ENSMUSG00000005533</v>
      </c>
      <c r="I400" s="7" t="str">
        <f>HYPERLINK("http://www.informatics.jax.org/marker/MGI:96433","MGI:96433")</f>
        <v>MGI:96433</v>
      </c>
      <c r="J400" s="4" t="s">
        <v>12</v>
      </c>
    </row>
    <row r="401" spans="1:10" x14ac:dyDescent="0.25">
      <c r="A401" s="2">
        <v>829.61855690346101</v>
      </c>
      <c r="B401" s="3">
        <v>0.40722391381932899</v>
      </c>
      <c r="C401" s="5">
        <v>9.9657720776090893E-6</v>
      </c>
      <c r="D401" s="4">
        <v>4.7293265213869002E-4</v>
      </c>
      <c r="E401" s="3" t="s">
        <v>942</v>
      </c>
      <c r="F401" s="3" t="s">
        <v>943</v>
      </c>
      <c r="G401" s="3">
        <v>268469</v>
      </c>
      <c r="H401" s="7" t="str">
        <f>HYPERLINK("http://www.ensembl.org/Mus_musculus/Gene/Summary?db=core;g=ENSMUSG00000075595","ENSMUSG00000075595")</f>
        <v>ENSMUSG00000075595</v>
      </c>
      <c r="I401" s="7" t="str">
        <f>HYPERLINK("http://www.informatics.jax.org/marker/MGI:2442221","MGI:2442221")</f>
        <v>MGI:2442221</v>
      </c>
      <c r="J401" s="4" t="s">
        <v>12</v>
      </c>
    </row>
    <row r="402" spans="1:10" x14ac:dyDescent="0.25">
      <c r="A402" s="2">
        <v>2979.3592127126199</v>
      </c>
      <c r="B402" s="3">
        <v>0.40720558763836501</v>
      </c>
      <c r="C402" s="5">
        <v>5.6489585330767598E-8</v>
      </c>
      <c r="D402" s="6">
        <v>7.4745690142958102E-6</v>
      </c>
      <c r="E402" s="3" t="s">
        <v>17018</v>
      </c>
      <c r="F402" s="3" t="s">
        <v>17019</v>
      </c>
      <c r="G402" s="3">
        <v>12193</v>
      </c>
      <c r="H402" s="7" t="str">
        <f>HYPERLINK("http://www.ensembl.org/Mus_musculus/Gene/Summary?db=core;g=ENSMUSG00000045817","ENSMUSG00000045817")</f>
        <v>ENSMUSG00000045817</v>
      </c>
      <c r="I402" s="7" t="str">
        <f>HYPERLINK("http://www.informatics.jax.org/marker/MGI:107945","MGI:107945")</f>
        <v>MGI:107945</v>
      </c>
      <c r="J402" s="4" t="s">
        <v>12</v>
      </c>
    </row>
    <row r="403" spans="1:10" x14ac:dyDescent="0.25">
      <c r="A403" s="2">
        <v>750.14904940643805</v>
      </c>
      <c r="B403" s="3">
        <v>0.40681885156145697</v>
      </c>
      <c r="C403" s="3">
        <v>8.7283873219647903E-4</v>
      </c>
      <c r="D403" s="4">
        <v>1.43730852430656E-2</v>
      </c>
      <c r="E403" s="3" t="s">
        <v>6603</v>
      </c>
      <c r="F403" s="3" t="s">
        <v>6604</v>
      </c>
      <c r="G403" s="3">
        <v>76454</v>
      </c>
      <c r="H403" s="7" t="str">
        <f>HYPERLINK("http://www.ensembl.org/Mus_musculus/Gene/Summary?db=core;g=ENSMUSG00000052934","ENSMUSG00000052934")</f>
        <v>ENSMUSG00000052934</v>
      </c>
      <c r="I403" s="7" t="str">
        <f>HYPERLINK("http://www.informatics.jax.org/marker/MGI:1354708","MGI:1354708")</f>
        <v>MGI:1354708</v>
      </c>
      <c r="J403" s="4" t="s">
        <v>12</v>
      </c>
    </row>
    <row r="404" spans="1:10" x14ac:dyDescent="0.25">
      <c r="A404" s="2">
        <v>1188.8842202712899</v>
      </c>
      <c r="B404" s="3">
        <v>0.40657650730170902</v>
      </c>
      <c r="C404" s="5">
        <v>8.9062690234611094E-5</v>
      </c>
      <c r="D404" s="4">
        <v>2.4195364180402698E-3</v>
      </c>
      <c r="E404" s="3" t="s">
        <v>2788</v>
      </c>
      <c r="F404" s="3" t="s">
        <v>2789</v>
      </c>
      <c r="G404" s="3">
        <v>20481</v>
      </c>
      <c r="H404" s="7" t="str">
        <f>HYPERLINK("http://www.ensembl.org/Mus_musculus/Gene/Summary?db=core;g=ENSMUSG00000029050","ENSMUSG00000029050")</f>
        <v>ENSMUSG00000029050</v>
      </c>
      <c r="I404" s="7" t="str">
        <f>HYPERLINK("http://www.informatics.jax.org/marker/MGI:98310","MGI:98310")</f>
        <v>MGI:98310</v>
      </c>
      <c r="J404" s="4" t="s">
        <v>12</v>
      </c>
    </row>
    <row r="405" spans="1:10" x14ac:dyDescent="0.25">
      <c r="A405" s="2">
        <v>387.18190328378103</v>
      </c>
      <c r="B405" s="3">
        <v>0.40593947774704697</v>
      </c>
      <c r="C405" s="3">
        <v>1.30383539977473E-3</v>
      </c>
      <c r="D405" s="4">
        <v>1.9709995619981699E-2</v>
      </c>
      <c r="E405" s="3" t="s">
        <v>4669</v>
      </c>
      <c r="F405" s="3" t="s">
        <v>4670</v>
      </c>
      <c r="G405" s="3">
        <v>75216</v>
      </c>
      <c r="H405" s="7" t="str">
        <f>HYPERLINK("http://www.ensembl.org/Mus_musculus/Gene/Summary?db=core;g=ENSMUSG00000061533","ENSMUSG00000061533")</f>
        <v>ENSMUSG00000061533</v>
      </c>
      <c r="I405" s="7" t="str">
        <f>HYPERLINK("http://www.informatics.jax.org/marker/MGI:1922466","MGI:1922466")</f>
        <v>MGI:1922466</v>
      </c>
      <c r="J405" s="4" t="s">
        <v>12</v>
      </c>
    </row>
    <row r="406" spans="1:10" x14ac:dyDescent="0.25">
      <c r="A406" s="2">
        <v>351.02701643970801</v>
      </c>
      <c r="B406" s="3">
        <v>0.40480623420806899</v>
      </c>
      <c r="C406" s="3">
        <v>2.9927764360898599E-3</v>
      </c>
      <c r="D406" s="4">
        <v>3.6384686871758297E-2</v>
      </c>
      <c r="E406" s="3" t="s">
        <v>6697</v>
      </c>
      <c r="F406" s="3" t="s">
        <v>6698</v>
      </c>
      <c r="G406" s="3">
        <v>94219</v>
      </c>
      <c r="H406" s="7" t="str">
        <f>HYPERLINK("http://www.ensembl.org/Mus_musculus/Gene/Summary?db=core;g=ENSMUSG00000064105","ENSMUSG00000064105")</f>
        <v>ENSMUSG00000064105</v>
      </c>
      <c r="I406" s="7" t="str">
        <f>HYPERLINK("http://www.informatics.jax.org/marker/MGI:2151054","MGI:2151054")</f>
        <v>MGI:2151054</v>
      </c>
      <c r="J406" s="4" t="s">
        <v>12</v>
      </c>
    </row>
    <row r="407" spans="1:10" x14ac:dyDescent="0.25">
      <c r="A407" s="2">
        <v>1320.02233267714</v>
      </c>
      <c r="B407" s="3">
        <v>0.40416961097069698</v>
      </c>
      <c r="C407" s="3">
        <v>6.8864484137100702E-4</v>
      </c>
      <c r="D407" s="4">
        <v>1.2008044233953E-2</v>
      </c>
      <c r="E407" s="3" t="s">
        <v>2607</v>
      </c>
      <c r="F407" s="3" t="s">
        <v>2608</v>
      </c>
      <c r="G407" s="3">
        <v>110074</v>
      </c>
      <c r="H407" s="7" t="str">
        <f>HYPERLINK("http://www.ensembl.org/Mus_musculus/Gene/Summary?db=core;g=ENSMUSG00000027203","ENSMUSG00000027203")</f>
        <v>ENSMUSG00000027203</v>
      </c>
      <c r="I407" s="7" t="str">
        <f>HYPERLINK("http://www.informatics.jax.org/marker/MGI:1346051","MGI:1346051")</f>
        <v>MGI:1346051</v>
      </c>
      <c r="J407" s="4" t="s">
        <v>12</v>
      </c>
    </row>
    <row r="408" spans="1:10" x14ac:dyDescent="0.25">
      <c r="A408" s="2">
        <v>2880.52130694166</v>
      </c>
      <c r="B408" s="3">
        <v>0.40343267901157098</v>
      </c>
      <c r="C408" s="3">
        <v>3.4620951067052901E-3</v>
      </c>
      <c r="D408" s="4">
        <v>4.0815706147918698E-2</v>
      </c>
      <c r="E408" s="3" t="s">
        <v>162</v>
      </c>
      <c r="F408" s="3" t="s">
        <v>163</v>
      </c>
      <c r="G408" s="3">
        <v>240168</v>
      </c>
      <c r="H408" s="7" t="str">
        <f>HYPERLINK("http://www.ensembl.org/Mus_musculus/Gene/Summary?db=core;g=ENSMUSG00000071042","ENSMUSG00000071042")</f>
        <v>ENSMUSG00000071042</v>
      </c>
      <c r="I408" s="7" t="str">
        <f>HYPERLINK("http://www.informatics.jax.org/marker/MGI:3028579","MGI:3028579")</f>
        <v>MGI:3028579</v>
      </c>
      <c r="J408" s="4" t="s">
        <v>12</v>
      </c>
    </row>
    <row r="409" spans="1:10" x14ac:dyDescent="0.25">
      <c r="A409" s="2">
        <v>502.98129112050299</v>
      </c>
      <c r="B409" s="3">
        <v>0.40172692783695002</v>
      </c>
      <c r="C409" s="3">
        <v>3.1824124467086601E-4</v>
      </c>
      <c r="D409" s="4">
        <v>6.8831909207946801E-3</v>
      </c>
      <c r="E409" s="3" t="s">
        <v>684</v>
      </c>
      <c r="F409" s="3" t="s">
        <v>685</v>
      </c>
      <c r="G409" s="3">
        <v>218215</v>
      </c>
      <c r="H409" s="7" t="str">
        <f>HYPERLINK("http://www.ensembl.org/Mus_musculus/Gene/Summary?db=core;g=ENSMUSG00000038068","ENSMUSG00000038068")</f>
        <v>ENSMUSG00000038068</v>
      </c>
      <c r="I409" s="7" t="str">
        <f>HYPERLINK("http://www.informatics.jax.org/marker/MGI:2384986","MGI:2384986")</f>
        <v>MGI:2384986</v>
      </c>
      <c r="J409" s="4" t="s">
        <v>12</v>
      </c>
    </row>
    <row r="410" spans="1:10" x14ac:dyDescent="0.25">
      <c r="A410" s="2">
        <v>715.515591021722</v>
      </c>
      <c r="B410" s="3">
        <v>0.40072463258296998</v>
      </c>
      <c r="C410" s="3">
        <v>2.1716295639708199E-4</v>
      </c>
      <c r="D410" s="4">
        <v>5.1204020347966001E-3</v>
      </c>
      <c r="E410" s="3" t="s">
        <v>11275</v>
      </c>
      <c r="F410" s="3" t="s">
        <v>11276</v>
      </c>
      <c r="G410" s="3">
        <v>12611</v>
      </c>
      <c r="H410" s="7" t="str">
        <f>HYPERLINK("http://www.ensembl.org/Mus_musculus/Gene/Summary?db=core;g=ENSMUSG00000056216","ENSMUSG00000056216")</f>
        <v>ENSMUSG00000056216</v>
      </c>
      <c r="I410" s="7" t="str">
        <f>HYPERLINK("http://www.informatics.jax.org/marker/MGI:104982","MGI:104982")</f>
        <v>MGI:104982</v>
      </c>
      <c r="J410" s="4" t="s">
        <v>12</v>
      </c>
    </row>
    <row r="411" spans="1:10" x14ac:dyDescent="0.25">
      <c r="A411" s="2">
        <v>620.66449425932399</v>
      </c>
      <c r="B411" s="3">
        <v>0.39971152072111499</v>
      </c>
      <c r="C411" s="3">
        <v>1.84415160451897E-4</v>
      </c>
      <c r="D411" s="4">
        <v>4.4473640105470698E-3</v>
      </c>
      <c r="E411" s="3" t="s">
        <v>1951</v>
      </c>
      <c r="F411" s="3" t="s">
        <v>1952</v>
      </c>
      <c r="G411" s="3">
        <v>73340</v>
      </c>
      <c r="H411" s="7" t="str">
        <f>HYPERLINK("http://www.ensembl.org/Mus_musculus/Gene/Summary?db=core;g=ENSMUSG00000022421","ENSMUSG00000022421")</f>
        <v>ENSMUSG00000022421</v>
      </c>
      <c r="I411" s="7" t="str">
        <f>HYPERLINK("http://www.informatics.jax.org/marker/MGI:1920590","MGI:1920590")</f>
        <v>MGI:1920590</v>
      </c>
      <c r="J411" s="4" t="s">
        <v>12</v>
      </c>
    </row>
    <row r="412" spans="1:10" x14ac:dyDescent="0.25">
      <c r="A412" s="2">
        <v>831.79525811869303</v>
      </c>
      <c r="B412" s="3">
        <v>0.399562432692742</v>
      </c>
      <c r="C412" s="5">
        <v>3.9962958342710502E-8</v>
      </c>
      <c r="D412" s="6">
        <v>5.5552135761446198E-6</v>
      </c>
      <c r="E412" s="3" t="s">
        <v>740</v>
      </c>
      <c r="F412" s="3" t="s">
        <v>741</v>
      </c>
      <c r="G412" s="3">
        <v>210992</v>
      </c>
      <c r="H412" s="7" t="str">
        <f>HYPERLINK("http://www.ensembl.org/Mus_musculus/Gene/Summary?db=core;g=ENSMUSG00000021608","ENSMUSG00000021608")</f>
        <v>ENSMUSG00000021608</v>
      </c>
      <c r="I412" s="7" t="str">
        <f>HYPERLINK("http://www.informatics.jax.org/marker/MGI:2384812","MGI:2384812")</f>
        <v>MGI:2384812</v>
      </c>
      <c r="J412" s="4" t="s">
        <v>12</v>
      </c>
    </row>
    <row r="413" spans="1:10" x14ac:dyDescent="0.25">
      <c r="A413" s="2">
        <v>1217.5313242772299</v>
      </c>
      <c r="B413" s="3">
        <v>0.39782213743316902</v>
      </c>
      <c r="C413" s="5">
        <v>2.01077385071808E-7</v>
      </c>
      <c r="D413" s="6">
        <v>2.0559248635478401E-5</v>
      </c>
      <c r="E413" s="3" t="s">
        <v>1114</v>
      </c>
      <c r="F413" s="3" t="s">
        <v>1115</v>
      </c>
      <c r="G413" s="3">
        <v>20466</v>
      </c>
      <c r="H413" s="7" t="str">
        <f>HYPERLINK("http://www.ensembl.org/Mus_musculus/Gene/Summary?db=core;g=ENSMUSG00000042557","ENSMUSG00000042557")</f>
        <v>ENSMUSG00000042557</v>
      </c>
      <c r="I413" s="7" t="str">
        <f>HYPERLINK("http://www.informatics.jax.org/marker/MGI:107157","MGI:107157")</f>
        <v>MGI:107157</v>
      </c>
      <c r="J413" s="4" t="s">
        <v>12</v>
      </c>
    </row>
    <row r="414" spans="1:10" x14ac:dyDescent="0.25">
      <c r="A414" s="2">
        <v>268.352651420982</v>
      </c>
      <c r="B414" s="3">
        <v>0.39529167258744602</v>
      </c>
      <c r="C414" s="3">
        <v>2.20127574609292E-3</v>
      </c>
      <c r="D414" s="4">
        <v>2.9333825019321198E-2</v>
      </c>
      <c r="E414" s="3" t="s">
        <v>3326</v>
      </c>
      <c r="F414" s="3" t="s">
        <v>3327</v>
      </c>
      <c r="G414" s="3">
        <v>67087</v>
      </c>
      <c r="H414" s="7" t="str">
        <f>HYPERLINK("http://www.ensembl.org/Mus_musculus/Gene/Summary?db=core;g=ENSMUSG00000028988","ENSMUSG00000028988")</f>
        <v>ENSMUSG00000028988</v>
      </c>
      <c r="I414" s="7" t="str">
        <f>HYPERLINK("http://www.informatics.jax.org/marker/MGI:1915756","MGI:1915756")</f>
        <v>MGI:1915756</v>
      </c>
      <c r="J414" s="4" t="s">
        <v>12</v>
      </c>
    </row>
    <row r="415" spans="1:10" x14ac:dyDescent="0.25">
      <c r="A415" s="2">
        <v>984.66476850727202</v>
      </c>
      <c r="B415" s="3">
        <v>0.39489838349883899</v>
      </c>
      <c r="C415" s="5">
        <v>8.5874084112899695E-5</v>
      </c>
      <c r="D415" s="4">
        <v>2.3730364226481199E-3</v>
      </c>
      <c r="E415" s="3" t="s">
        <v>3106</v>
      </c>
      <c r="F415" s="3" t="s">
        <v>3107</v>
      </c>
      <c r="G415" s="3">
        <v>13361</v>
      </c>
      <c r="H415" s="7" t="str">
        <f>HYPERLINK("http://www.ensembl.org/Mus_musculus/Gene/Summary?db=core;g=ENSMUSG00000021707","ENSMUSG00000021707")</f>
        <v>ENSMUSG00000021707</v>
      </c>
      <c r="I415" s="7" t="str">
        <f>HYPERLINK("http://www.informatics.jax.org/marker/MGI:94890","MGI:94890")</f>
        <v>MGI:94890</v>
      </c>
      <c r="J415" s="4" t="s">
        <v>12</v>
      </c>
    </row>
    <row r="416" spans="1:10" x14ac:dyDescent="0.25">
      <c r="A416" s="2">
        <v>1402.8211656783701</v>
      </c>
      <c r="B416" s="3">
        <v>0.39420113440107701</v>
      </c>
      <c r="C416" s="5">
        <v>6.4393834012364194E-5</v>
      </c>
      <c r="D416" s="4">
        <v>1.94687486864801E-3</v>
      </c>
      <c r="E416" s="3" t="s">
        <v>460</v>
      </c>
      <c r="F416" s="3" t="s">
        <v>461</v>
      </c>
      <c r="G416" s="3">
        <v>140481</v>
      </c>
      <c r="H416" s="7" t="str">
        <f>HYPERLINK("http://www.ensembl.org/Mus_musculus/Gene/Summary?db=core;g=ENSMUSG00000038886","ENSMUSG00000038886")</f>
        <v>ENSMUSG00000038886</v>
      </c>
      <c r="I416" s="7" t="str">
        <f>HYPERLINK("http://www.informatics.jax.org/marker/MGI:2150656","MGI:2150656")</f>
        <v>MGI:2150656</v>
      </c>
      <c r="J416" s="4" t="s">
        <v>12</v>
      </c>
    </row>
    <row r="417" spans="1:10" x14ac:dyDescent="0.25">
      <c r="A417" s="2">
        <v>316.63066494655101</v>
      </c>
      <c r="B417" s="3">
        <v>0.39387491497628302</v>
      </c>
      <c r="C417" s="3">
        <v>1.11106063320057E-3</v>
      </c>
      <c r="D417" s="4">
        <v>1.7325751588080199E-2</v>
      </c>
      <c r="E417" s="3" t="s">
        <v>4479</v>
      </c>
      <c r="F417" s="3" t="s">
        <v>4480</v>
      </c>
      <c r="G417" s="3">
        <v>18764</v>
      </c>
      <c r="H417" s="7" t="str">
        <f>HYPERLINK("http://www.ensembl.org/Mus_musculus/Gene/Summary?db=core;g=ENSMUSG00000034462","ENSMUSG00000034462")</f>
        <v>ENSMUSG00000034462</v>
      </c>
      <c r="I417" s="7" t="str">
        <f>HYPERLINK("http://www.informatics.jax.org/marker/MGI:1099818","MGI:1099818")</f>
        <v>MGI:1099818</v>
      </c>
      <c r="J417" s="4" t="s">
        <v>12</v>
      </c>
    </row>
    <row r="418" spans="1:10" x14ac:dyDescent="0.25">
      <c r="A418" s="2">
        <v>1004.7900813506</v>
      </c>
      <c r="B418" s="3">
        <v>0.39229820418399503</v>
      </c>
      <c r="C418" s="3">
        <v>9.2156728200060503E-4</v>
      </c>
      <c r="D418" s="4">
        <v>1.4956518355931901E-2</v>
      </c>
      <c r="E418" s="3" t="s">
        <v>4897</v>
      </c>
      <c r="F418" s="3" t="s">
        <v>4898</v>
      </c>
      <c r="G418" s="3">
        <v>14056</v>
      </c>
      <c r="H418" s="7" t="str">
        <f>HYPERLINK("http://www.ensembl.org/Mus_musculus/Gene/Summary?db=core;g=ENSMUSG00000029687","ENSMUSG00000029687")</f>
        <v>ENSMUSG00000029687</v>
      </c>
      <c r="I418" s="7" t="str">
        <f>HYPERLINK("http://www.informatics.jax.org/marker/MGI:107940","MGI:107940")</f>
        <v>MGI:107940</v>
      </c>
      <c r="J418" s="4" t="s">
        <v>12</v>
      </c>
    </row>
    <row r="419" spans="1:10" x14ac:dyDescent="0.25">
      <c r="A419" s="2">
        <v>1475.6307904858299</v>
      </c>
      <c r="B419" s="3">
        <v>0.39189462754197602</v>
      </c>
      <c r="C419" s="3">
        <v>1.32881828020189E-3</v>
      </c>
      <c r="D419" s="4">
        <v>2.0006986877417199E-2</v>
      </c>
      <c r="E419" s="3" t="s">
        <v>8225</v>
      </c>
      <c r="F419" s="3" t="s">
        <v>8226</v>
      </c>
      <c r="G419" s="3">
        <v>18029</v>
      </c>
      <c r="H419" s="7" t="str">
        <f>HYPERLINK("http://www.ensembl.org/Mus_musculus/Gene/Summary?db=core;g=ENSMUSG00000055053","ENSMUSG00000055053")</f>
        <v>ENSMUSG00000055053</v>
      </c>
      <c r="I419" s="7" t="str">
        <f>HYPERLINK("http://www.informatics.jax.org/marker/MGI:109591","MGI:109591")</f>
        <v>MGI:109591</v>
      </c>
      <c r="J419" s="4" t="s">
        <v>12</v>
      </c>
    </row>
    <row r="420" spans="1:10" x14ac:dyDescent="0.25">
      <c r="A420" s="2">
        <v>3124.2357803845598</v>
      </c>
      <c r="B420" s="3">
        <v>0.390613203519518</v>
      </c>
      <c r="C420" s="5">
        <v>1.32112783074469E-9</v>
      </c>
      <c r="D420" s="6">
        <v>4.0947558438915601E-7</v>
      </c>
      <c r="E420" s="3" t="s">
        <v>1156</v>
      </c>
      <c r="F420" s="3" t="s">
        <v>1157</v>
      </c>
      <c r="G420" s="3">
        <v>68275</v>
      </c>
      <c r="H420" s="7" t="str">
        <f>HYPERLINK("http://www.ensembl.org/Mus_musculus/Gene/Summary?db=core;g=ENSMUSG00000000751","ENSMUSG00000000751")</f>
        <v>ENSMUSG00000000751</v>
      </c>
      <c r="I420" s="7" t="str">
        <f>HYPERLINK("http://www.informatics.jax.org/marker/MGI:1915525","MGI:1915525")</f>
        <v>MGI:1915525</v>
      </c>
      <c r="J420" s="4" t="s">
        <v>12</v>
      </c>
    </row>
    <row r="421" spans="1:10" x14ac:dyDescent="0.25">
      <c r="A421" s="2">
        <v>462.59689946485503</v>
      </c>
      <c r="B421" s="3">
        <v>0.39055435636299302</v>
      </c>
      <c r="C421" s="3">
        <v>1.47534161248631E-3</v>
      </c>
      <c r="D421" s="4">
        <v>2.1690414530239899E-2</v>
      </c>
      <c r="E421" s="3" t="s">
        <v>1568</v>
      </c>
      <c r="F421" s="3" t="s">
        <v>1569</v>
      </c>
      <c r="G421" s="3">
        <v>56199</v>
      </c>
      <c r="H421" s="7" t="str">
        <f>HYPERLINK("http://www.ensembl.org/Mus_musculus/Gene/Summary?db=core;g=ENSMUSG00000031974","ENSMUSG00000031974")</f>
        <v>ENSMUSG00000031974</v>
      </c>
      <c r="I421" s="7" t="str">
        <f>HYPERLINK("http://www.informatics.jax.org/marker/MGI:1860508","MGI:1860508")</f>
        <v>MGI:1860508</v>
      </c>
      <c r="J421" s="4" t="s">
        <v>12</v>
      </c>
    </row>
    <row r="422" spans="1:10" x14ac:dyDescent="0.25">
      <c r="A422" s="2">
        <v>539.16161631956504</v>
      </c>
      <c r="B422" s="3">
        <v>0.38944226827387901</v>
      </c>
      <c r="C422" s="3">
        <v>1.68900947758749E-3</v>
      </c>
      <c r="D422" s="4">
        <v>2.39549679627068E-2</v>
      </c>
      <c r="E422" s="3" t="s">
        <v>4583</v>
      </c>
      <c r="F422" s="3" t="s">
        <v>4584</v>
      </c>
      <c r="G422" s="3">
        <v>19075</v>
      </c>
      <c r="H422" s="7" t="str">
        <f>HYPERLINK("http://www.ensembl.org/Mus_musculus/Gene/Summary?db=core;g=ENSMUSG00000025395","ENSMUSG00000025395")</f>
        <v>ENSMUSG00000025395</v>
      </c>
      <c r="I422" s="7" t="str">
        <f>HYPERLINK("http://www.informatics.jax.org/marker/MGI:97757","MGI:97757")</f>
        <v>MGI:97757</v>
      </c>
      <c r="J422" s="4" t="s">
        <v>12</v>
      </c>
    </row>
    <row r="423" spans="1:10" x14ac:dyDescent="0.25">
      <c r="A423" s="2">
        <v>242.13325310615599</v>
      </c>
      <c r="B423" s="3">
        <v>0.38823477014561603</v>
      </c>
      <c r="C423" s="3">
        <v>8.5874060922249904E-4</v>
      </c>
      <c r="D423" s="4">
        <v>1.42242350985647E-2</v>
      </c>
      <c r="E423" s="3" t="s">
        <v>1578</v>
      </c>
      <c r="F423" s="3" t="s">
        <v>1579</v>
      </c>
      <c r="G423" s="3">
        <v>11992</v>
      </c>
      <c r="H423" s="7" t="str">
        <f>HYPERLINK("http://www.ensembl.org/Mus_musculus/Gene/Summary?db=core;g=ENSMUSG00000021460","ENSMUSG00000021460")</f>
        <v>ENSMUSG00000021460</v>
      </c>
      <c r="I423" s="7" t="str">
        <f>HYPERLINK("http://www.informatics.jax.org/marker/MGI:1338011","MGI:1338011")</f>
        <v>MGI:1338011</v>
      </c>
      <c r="J423" s="4" t="s">
        <v>12</v>
      </c>
    </row>
    <row r="424" spans="1:10" x14ac:dyDescent="0.25">
      <c r="A424" s="2">
        <v>514.11709273142606</v>
      </c>
      <c r="B424" s="3">
        <v>0.38750756517012103</v>
      </c>
      <c r="C424" s="3">
        <v>4.6166608411626698E-3</v>
      </c>
      <c r="D424" s="4">
        <v>4.9926523538996702E-2</v>
      </c>
      <c r="E424" s="3" t="s">
        <v>2227</v>
      </c>
      <c r="F424" s="3" t="s">
        <v>2228</v>
      </c>
      <c r="G424" s="3">
        <v>67849</v>
      </c>
      <c r="H424" s="7" t="str">
        <f>HYPERLINK("http://www.ensembl.org/Mus_musculus/Gene/Summary?db=core;g=ENSMUSG00000024791","ENSMUSG00000024791")</f>
        <v>ENSMUSG00000024791</v>
      </c>
      <c r="I424" s="7" t="str">
        <f>HYPERLINK("http://www.informatics.jax.org/marker/MGI:1915099","MGI:1915099")</f>
        <v>MGI:1915099</v>
      </c>
      <c r="J424" s="4" t="s">
        <v>12</v>
      </c>
    </row>
    <row r="425" spans="1:10" x14ac:dyDescent="0.25">
      <c r="A425" s="2">
        <v>810.63883882487505</v>
      </c>
      <c r="B425" s="3">
        <v>0.38692959915582698</v>
      </c>
      <c r="C425" s="3">
        <v>4.8138845519163701E-4</v>
      </c>
      <c r="D425" s="4">
        <v>9.2708492389389306E-3</v>
      </c>
      <c r="E425" s="3" t="s">
        <v>754</v>
      </c>
      <c r="F425" s="3" t="s">
        <v>755</v>
      </c>
      <c r="G425" s="3">
        <v>330814</v>
      </c>
      <c r="H425" s="7" t="str">
        <f>HYPERLINK("http://www.ensembl.org/Mus_musculus/Gene/Summary?db=core;g=ENSMUSG00000013033","ENSMUSG00000013033")</f>
        <v>ENSMUSG00000013033</v>
      </c>
      <c r="I425" s="7" t="str">
        <f>HYPERLINK("http://www.informatics.jax.org/marker/MGI:1929461","MGI:1929461")</f>
        <v>MGI:1929461</v>
      </c>
      <c r="J425" s="4" t="s">
        <v>12</v>
      </c>
    </row>
    <row r="426" spans="1:10" x14ac:dyDescent="0.25">
      <c r="A426" s="2">
        <v>3113.5890079608998</v>
      </c>
      <c r="B426" s="3">
        <v>0.38565475803175298</v>
      </c>
      <c r="C426" s="3">
        <v>4.50534900585276E-4</v>
      </c>
      <c r="D426" s="4">
        <v>8.8278153778442395E-3</v>
      </c>
      <c r="E426" s="3" t="s">
        <v>2547</v>
      </c>
      <c r="F426" s="3" t="s">
        <v>2548</v>
      </c>
      <c r="G426" s="3">
        <v>17865</v>
      </c>
      <c r="H426" s="7" t="str">
        <f>HYPERLINK("http://www.ensembl.org/Mus_musculus/Gene/Summary?db=core;g=ENSMUSG00000017861","ENSMUSG00000017861")</f>
        <v>ENSMUSG00000017861</v>
      </c>
      <c r="I426" s="7" t="str">
        <f>HYPERLINK("http://www.informatics.jax.org/marker/MGI:101785","MGI:101785")</f>
        <v>MGI:101785</v>
      </c>
      <c r="J426" s="4" t="s">
        <v>12</v>
      </c>
    </row>
    <row r="427" spans="1:10" x14ac:dyDescent="0.25">
      <c r="A427" s="2">
        <v>1111.8469399437599</v>
      </c>
      <c r="B427" s="3">
        <v>0.38530490842954901</v>
      </c>
      <c r="C427" s="5">
        <v>4.4594768743023701E-7</v>
      </c>
      <c r="D427" s="6">
        <v>3.9034465031021401E-5</v>
      </c>
      <c r="E427" s="3" t="s">
        <v>1092</v>
      </c>
      <c r="F427" s="3" t="s">
        <v>1093</v>
      </c>
      <c r="G427" s="3">
        <v>217946</v>
      </c>
      <c r="H427" s="7" t="str">
        <f>HYPERLINK("http://www.ensembl.org/Mus_musculus/Gene/Summary?db=core;g=ENSMUSG00000021175","ENSMUSG00000021175")</f>
        <v>ENSMUSG00000021175</v>
      </c>
      <c r="I427" s="7" t="str">
        <f>HYPERLINK("http://www.informatics.jax.org/marker/MGI:2384982","MGI:2384982")</f>
        <v>MGI:2384982</v>
      </c>
      <c r="J427" s="4" t="s">
        <v>12</v>
      </c>
    </row>
    <row r="428" spans="1:10" x14ac:dyDescent="0.25">
      <c r="A428" s="2">
        <v>758.75127558705503</v>
      </c>
      <c r="B428" s="3">
        <v>0.38407894107954599</v>
      </c>
      <c r="C428" s="5">
        <v>8.5905848193476804E-6</v>
      </c>
      <c r="D428" s="4">
        <v>4.2191400638953399E-4</v>
      </c>
      <c r="E428" s="3" t="s">
        <v>236</v>
      </c>
      <c r="F428" s="3" t="s">
        <v>237</v>
      </c>
      <c r="G428" s="3">
        <v>241062</v>
      </c>
      <c r="H428" s="7" t="str">
        <f>HYPERLINK("http://www.ensembl.org/Mus_musculus/Gene/Summary?db=core;g=ENSMUSG00000073678","ENSMUSG00000073678")</f>
        <v>ENSMUSG00000073678</v>
      </c>
      <c r="I428" s="7" t="str">
        <f>HYPERLINK("http://www.informatics.jax.org/marker/MGI:2443342","MGI:2443342")</f>
        <v>MGI:2443342</v>
      </c>
      <c r="J428" s="4" t="s">
        <v>12</v>
      </c>
    </row>
    <row r="429" spans="1:10" x14ac:dyDescent="0.25">
      <c r="A429" s="2">
        <v>237.09138276500599</v>
      </c>
      <c r="B429" s="3">
        <v>0.38349069724574902</v>
      </c>
      <c r="C429" s="3">
        <v>1.5341647747623801E-3</v>
      </c>
      <c r="D429" s="4">
        <v>2.2218595628562599E-2</v>
      </c>
      <c r="E429" s="3" t="s">
        <v>5725</v>
      </c>
      <c r="F429" s="3" t="s">
        <v>5726</v>
      </c>
      <c r="G429" s="3">
        <v>217340</v>
      </c>
      <c r="H429" s="7" t="str">
        <f>HYPERLINK("http://www.ensembl.org/Mus_musculus/Gene/Summary?db=core;g=ENSMUSG00000052949","ENSMUSG00000052949")</f>
        <v>ENSMUSG00000052949</v>
      </c>
      <c r="I429" s="7" t="str">
        <f>HYPERLINK("http://www.informatics.jax.org/marker/MGI:2442484","MGI:2442484")</f>
        <v>MGI:2442484</v>
      </c>
      <c r="J429" s="4" t="s">
        <v>12</v>
      </c>
    </row>
    <row r="430" spans="1:10" x14ac:dyDescent="0.25">
      <c r="A430" s="2">
        <v>799.05929655712805</v>
      </c>
      <c r="B430" s="3">
        <v>0.38298667227090499</v>
      </c>
      <c r="C430" s="3">
        <v>2.9942857582270697E-4</v>
      </c>
      <c r="D430" s="4">
        <v>6.5883465659481904E-3</v>
      </c>
      <c r="E430" s="3" t="s">
        <v>3314</v>
      </c>
      <c r="F430" s="3" t="s">
        <v>3315</v>
      </c>
      <c r="G430" s="3">
        <v>12908</v>
      </c>
      <c r="H430" s="7" t="str">
        <f>HYPERLINK("http://www.ensembl.org/Mus_musculus/Gene/Summary?db=core;g=ENSMUSG00000026853","ENSMUSG00000026853")</f>
        <v>ENSMUSG00000026853</v>
      </c>
      <c r="I430" s="7" t="str">
        <f>HYPERLINK("http://www.informatics.jax.org/marker/MGI:109501","MGI:109501")</f>
        <v>MGI:109501</v>
      </c>
      <c r="J430" s="4" t="s">
        <v>12</v>
      </c>
    </row>
    <row r="431" spans="1:10" x14ac:dyDescent="0.25">
      <c r="A431" s="2">
        <v>2336.3605482791299</v>
      </c>
      <c r="B431" s="3">
        <v>0.38268024634858999</v>
      </c>
      <c r="C431" s="3">
        <v>2.0702658629574702E-3</v>
      </c>
      <c r="D431" s="4">
        <v>2.8087189578628099E-2</v>
      </c>
      <c r="E431" s="3" t="s">
        <v>3146</v>
      </c>
      <c r="F431" s="3" t="s">
        <v>3147</v>
      </c>
      <c r="G431" s="3">
        <v>16906</v>
      </c>
      <c r="H431" s="7" t="str">
        <f>HYPERLINK("http://www.ensembl.org/Mus_musculus/Gene/Summary?db=core;g=ENSMUSG00000024590","ENSMUSG00000024590")</f>
        <v>ENSMUSG00000024590</v>
      </c>
      <c r="I431" s="7" t="str">
        <f>HYPERLINK("http://www.informatics.jax.org/marker/MGI:96795","MGI:96795")</f>
        <v>MGI:96795</v>
      </c>
      <c r="J431" s="4" t="s">
        <v>12</v>
      </c>
    </row>
    <row r="432" spans="1:10" x14ac:dyDescent="0.25">
      <c r="A432" s="2">
        <v>297.66779141944102</v>
      </c>
      <c r="B432" s="3">
        <v>0.38230012778119599</v>
      </c>
      <c r="C432" s="3">
        <v>3.11190301205067E-3</v>
      </c>
      <c r="D432" s="4">
        <v>3.74727764202719E-2</v>
      </c>
      <c r="E432" s="3" t="s">
        <v>5187</v>
      </c>
      <c r="F432" s="3" t="s">
        <v>5188</v>
      </c>
      <c r="G432" s="3">
        <v>235344</v>
      </c>
      <c r="H432" s="7" t="str">
        <f>HYPERLINK("http://www.ensembl.org/Mus_musculus/Gene/Summary?db=core;g=ENSMUSG00000037112","ENSMUSG00000037112")</f>
        <v>ENSMUSG00000037112</v>
      </c>
      <c r="I432" s="7" t="str">
        <f>HYPERLINK("http://www.informatics.jax.org/marker/MGI:2445031","MGI:2445031")</f>
        <v>MGI:2445031</v>
      </c>
      <c r="J432" s="4" t="s">
        <v>12</v>
      </c>
    </row>
    <row r="433" spans="1:10" x14ac:dyDescent="0.25">
      <c r="A433" s="2">
        <v>872.21713199434305</v>
      </c>
      <c r="B433" s="3">
        <v>0.38204582958290101</v>
      </c>
      <c r="C433" s="5">
        <v>1.7418740739361801E-6</v>
      </c>
      <c r="D433" s="4">
        <v>1.16612248271192E-4</v>
      </c>
      <c r="E433" s="3" t="s">
        <v>1242</v>
      </c>
      <c r="F433" s="3" t="s">
        <v>1243</v>
      </c>
      <c r="G433" s="3">
        <v>66622</v>
      </c>
      <c r="H433" s="7" t="str">
        <f>HYPERLINK("http://www.ensembl.org/Mus_musculus/Gene/Summary?db=core;g=ENSMUSG00000041712","ENSMUSG00000041712")</f>
        <v>ENSMUSG00000041712</v>
      </c>
      <c r="I433" s="7" t="str">
        <f>HYPERLINK("http://www.informatics.jax.org/marker/MGI:1913872","MGI:1913872")</f>
        <v>MGI:1913872</v>
      </c>
      <c r="J433" s="4" t="s">
        <v>12</v>
      </c>
    </row>
    <row r="434" spans="1:10" x14ac:dyDescent="0.25">
      <c r="A434" s="2">
        <v>311.57577870383</v>
      </c>
      <c r="B434" s="3">
        <v>0.38157941317238597</v>
      </c>
      <c r="C434" s="3">
        <v>9.1518126254690896E-4</v>
      </c>
      <c r="D434" s="4">
        <v>1.4895866367387999E-2</v>
      </c>
      <c r="E434" s="3" t="s">
        <v>9119</v>
      </c>
      <c r="F434" s="3" t="s">
        <v>9120</v>
      </c>
      <c r="G434" s="3">
        <v>78833</v>
      </c>
      <c r="H434" s="7" t="str">
        <f>HYPERLINK("http://www.ensembl.org/Mus_musculus/Gene/Summary?db=core;g=ENSMUSG00000031669","ENSMUSG00000031669")</f>
        <v>ENSMUSG00000031669</v>
      </c>
      <c r="I434" s="7" t="str">
        <f>HYPERLINK("http://www.informatics.jax.org/marker/MGI:1926083","MGI:1926083")</f>
        <v>MGI:1926083</v>
      </c>
      <c r="J434" s="4" t="s">
        <v>12</v>
      </c>
    </row>
    <row r="435" spans="1:10" x14ac:dyDescent="0.25">
      <c r="A435" s="2">
        <v>714.21622126293698</v>
      </c>
      <c r="B435" s="3">
        <v>0.381147615365794</v>
      </c>
      <c r="C435" s="3">
        <v>1.0328587375360301E-3</v>
      </c>
      <c r="D435" s="4">
        <v>1.6338343489546801E-2</v>
      </c>
      <c r="E435" s="3" t="s">
        <v>6545</v>
      </c>
      <c r="F435" s="3" t="s">
        <v>6546</v>
      </c>
      <c r="G435" s="3">
        <v>26417</v>
      </c>
      <c r="H435" s="7" t="str">
        <f>HYPERLINK("http://www.ensembl.org/Mus_musculus/Gene/Summary?db=core;g=ENSMUSG00000063065","ENSMUSG00000063065")</f>
        <v>ENSMUSG00000063065</v>
      </c>
      <c r="I435" s="7" t="str">
        <f>HYPERLINK("http://www.informatics.jax.org/marker/MGI:1346859","MGI:1346859")</f>
        <v>MGI:1346859</v>
      </c>
      <c r="J435" s="4" t="s">
        <v>12</v>
      </c>
    </row>
    <row r="436" spans="1:10" x14ac:dyDescent="0.25">
      <c r="A436" s="2">
        <v>1029.4078928532799</v>
      </c>
      <c r="B436" s="3">
        <v>0.38100346805900498</v>
      </c>
      <c r="C436" s="3">
        <v>1.30032085619465E-4</v>
      </c>
      <c r="D436" s="4">
        <v>3.30875761756136E-3</v>
      </c>
      <c r="E436" s="3" t="s">
        <v>2876</v>
      </c>
      <c r="F436" s="3" t="s">
        <v>2877</v>
      </c>
      <c r="G436" s="3">
        <v>16974</v>
      </c>
      <c r="H436" s="7" t="str">
        <f>HYPERLINK("http://www.ensembl.org/Mus_musculus/Gene/Summary?db=core;g=ENSMUSG00000030201","ENSMUSG00000030201")</f>
        <v>ENSMUSG00000030201</v>
      </c>
      <c r="I436" s="7" t="str">
        <f>HYPERLINK("http://www.informatics.jax.org/marker/MGI:1298218","MGI:1298218")</f>
        <v>MGI:1298218</v>
      </c>
      <c r="J436" s="4" t="s">
        <v>12</v>
      </c>
    </row>
    <row r="437" spans="1:10" x14ac:dyDescent="0.25">
      <c r="A437" s="2">
        <v>901.15062658884005</v>
      </c>
      <c r="B437" s="3">
        <v>0.37830695504006701</v>
      </c>
      <c r="C437" s="3">
        <v>5.8813589395421897E-4</v>
      </c>
      <c r="D437" s="4">
        <v>1.08616821006619E-2</v>
      </c>
      <c r="E437" s="3" t="s">
        <v>2357</v>
      </c>
      <c r="F437" s="3" t="s">
        <v>2358</v>
      </c>
      <c r="G437" s="3">
        <v>68816</v>
      </c>
      <c r="H437" s="7" t="str">
        <f>HYPERLINK("http://www.ensembl.org/Mus_musculus/Gene/Summary?db=core;g=ENSMUSG00000024007","ENSMUSG00000024007")</f>
        <v>ENSMUSG00000024007</v>
      </c>
      <c r="I437" s="7" t="str">
        <f>HYPERLINK("http://www.informatics.jax.org/marker/MGI:1916066","MGI:1916066")</f>
        <v>MGI:1916066</v>
      </c>
      <c r="J437" s="4" t="s">
        <v>12</v>
      </c>
    </row>
    <row r="438" spans="1:10" x14ac:dyDescent="0.25">
      <c r="A438" s="2">
        <v>1310.55557195201</v>
      </c>
      <c r="B438" s="3">
        <v>0.37811206831160099</v>
      </c>
      <c r="C438" s="5">
        <v>2.2855716477154201E-6</v>
      </c>
      <c r="D438" s="4">
        <v>1.4281013512141801E-4</v>
      </c>
      <c r="E438" s="3" t="s">
        <v>350</v>
      </c>
      <c r="F438" s="3" t="s">
        <v>351</v>
      </c>
      <c r="G438" s="3">
        <v>18709</v>
      </c>
      <c r="H438" s="7" t="str">
        <f>HYPERLINK("http://www.ensembl.org/Mus_musculus/Gene/Summary?db=core;g=ENSMUSG00000031834","ENSMUSG00000031834")</f>
        <v>ENSMUSG00000031834</v>
      </c>
      <c r="I438" s="7" t="str">
        <f>HYPERLINK("http://www.informatics.jax.org/marker/MGI:1098772","MGI:1098772")</f>
        <v>MGI:1098772</v>
      </c>
      <c r="J438" s="4" t="s">
        <v>12</v>
      </c>
    </row>
    <row r="439" spans="1:10" x14ac:dyDescent="0.25">
      <c r="A439" s="2">
        <v>2144.74382700672</v>
      </c>
      <c r="B439" s="3">
        <v>0.37796237559926898</v>
      </c>
      <c r="C439" s="5">
        <v>7.15270358783873E-6</v>
      </c>
      <c r="D439" s="4">
        <v>3.6237142906496498E-4</v>
      </c>
      <c r="E439" s="3" t="s">
        <v>216</v>
      </c>
      <c r="F439" s="3" t="s">
        <v>217</v>
      </c>
      <c r="G439" s="3">
        <v>215114</v>
      </c>
      <c r="H439" s="7" t="str">
        <f>HYPERLINK("http://www.ensembl.org/Mus_musculus/Gene/Summary?db=core;g=ENSMUSG00000039959","ENSMUSG00000039959")</f>
        <v>ENSMUSG00000039959</v>
      </c>
      <c r="I439" s="7" t="str">
        <f>HYPERLINK("http://www.informatics.jax.org/marker/MGI:1099804","MGI:1099804")</f>
        <v>MGI:1099804</v>
      </c>
      <c r="J439" s="4" t="s">
        <v>12</v>
      </c>
    </row>
    <row r="440" spans="1:10" x14ac:dyDescent="0.25">
      <c r="A440" s="2">
        <v>539.555802770799</v>
      </c>
      <c r="B440" s="3">
        <v>0.377171335458442</v>
      </c>
      <c r="C440" s="3">
        <v>2.0390724974762999E-4</v>
      </c>
      <c r="D440" s="4">
        <v>4.8690973204067803E-3</v>
      </c>
      <c r="E440" s="3" t="s">
        <v>2373</v>
      </c>
      <c r="F440" s="3" t="s">
        <v>2374</v>
      </c>
      <c r="G440" s="3">
        <v>213498</v>
      </c>
      <c r="H440" s="7" t="str">
        <f>HYPERLINK("http://www.ensembl.org/Mus_musculus/Gene/Summary?db=core;g=ENSMUSG00000041977","ENSMUSG00000041977")</f>
        <v>ENSMUSG00000041977</v>
      </c>
      <c r="I440" s="7" t="str">
        <f>HYPERLINK("http://www.informatics.jax.org/marker/MGI:2441869","MGI:2441869")</f>
        <v>MGI:2441869</v>
      </c>
      <c r="J440" s="4" t="s">
        <v>12</v>
      </c>
    </row>
    <row r="441" spans="1:10" x14ac:dyDescent="0.25">
      <c r="A441" s="2">
        <v>524.584709299932</v>
      </c>
      <c r="B441" s="3">
        <v>0.37334294824595499</v>
      </c>
      <c r="C441" s="3">
        <v>1.8046116652526599E-4</v>
      </c>
      <c r="D441" s="4">
        <v>4.3648316987304602E-3</v>
      </c>
      <c r="E441" s="3" t="s">
        <v>3388</v>
      </c>
      <c r="F441" s="3" t="s">
        <v>3389</v>
      </c>
      <c r="G441" s="3">
        <v>19714</v>
      </c>
      <c r="H441" s="7" t="str">
        <f>HYPERLINK("http://www.ensembl.org/Mus_musculus/Gene/Summary?db=core;g=ENSMUSG00000019841","ENSMUSG00000019841")</f>
        <v>ENSMUSG00000019841</v>
      </c>
      <c r="I441" s="7" t="str">
        <f>HYPERLINK("http://www.informatics.jax.org/marker/MGI:1337131","MGI:1337131")</f>
        <v>MGI:1337131</v>
      </c>
      <c r="J441" s="4" t="s">
        <v>12</v>
      </c>
    </row>
    <row r="442" spans="1:10" x14ac:dyDescent="0.25">
      <c r="A442" s="2">
        <v>726.63335946173504</v>
      </c>
      <c r="B442" s="3">
        <v>0.37270973537708002</v>
      </c>
      <c r="C442" s="5">
        <v>8.4645887278630004E-5</v>
      </c>
      <c r="D442" s="4">
        <v>2.3506476400561799E-3</v>
      </c>
      <c r="E442" s="3" t="s">
        <v>3116</v>
      </c>
      <c r="F442" s="3" t="s">
        <v>3117</v>
      </c>
      <c r="G442" s="3">
        <v>22594</v>
      </c>
      <c r="H442" s="7" t="str">
        <f>HYPERLINK("http://www.ensembl.org/Mus_musculus/Gene/Summary?db=core;g=ENSMUSG00000051768","ENSMUSG00000051768")</f>
        <v>ENSMUSG00000051768</v>
      </c>
      <c r="I442" s="7" t="str">
        <f>HYPERLINK("http://www.informatics.jax.org/marker/MGI:99137","MGI:99137")</f>
        <v>MGI:99137</v>
      </c>
      <c r="J442" s="4" t="s">
        <v>12</v>
      </c>
    </row>
    <row r="443" spans="1:10" x14ac:dyDescent="0.25">
      <c r="A443" s="2">
        <v>226.826978911596</v>
      </c>
      <c r="B443" s="3">
        <v>0.37248225555521602</v>
      </c>
      <c r="C443" s="3">
        <v>1.2370691858837499E-3</v>
      </c>
      <c r="D443" s="4">
        <v>1.8903963496786101E-2</v>
      </c>
      <c r="E443" s="3" t="s">
        <v>8761</v>
      </c>
      <c r="F443" s="3" t="s">
        <v>8762</v>
      </c>
      <c r="G443" s="3">
        <v>191578</v>
      </c>
      <c r="H443" s="7" t="str">
        <f>HYPERLINK("http://www.ensembl.org/Mus_musculus/Gene/Summary?db=core;g=ENSMUSG00000035266","ENSMUSG00000035266")</f>
        <v>ENSMUSG00000035266</v>
      </c>
      <c r="I443" s="7" t="str">
        <f>HYPERLINK("http://www.informatics.jax.org/marker/MGI:2176740","MGI:2176740")</f>
        <v>MGI:2176740</v>
      </c>
      <c r="J443" s="4" t="s">
        <v>12</v>
      </c>
    </row>
    <row r="444" spans="1:10" x14ac:dyDescent="0.25">
      <c r="A444" s="2">
        <v>639.72155859313602</v>
      </c>
      <c r="B444" s="3">
        <v>0.37090340098795099</v>
      </c>
      <c r="C444" s="3">
        <v>3.57945107989374E-3</v>
      </c>
      <c r="D444" s="4">
        <v>4.1935506557880101E-2</v>
      </c>
      <c r="E444" s="3" t="s">
        <v>334</v>
      </c>
      <c r="F444" s="3" t="s">
        <v>335</v>
      </c>
      <c r="G444" s="3">
        <v>67991</v>
      </c>
      <c r="H444" s="7" t="str">
        <f>HYPERLINK("http://www.ensembl.org/Mus_musculus/Gene/Summary?db=core;g=ENSMUSG00000026932","ENSMUSG00000026932")</f>
        <v>ENSMUSG00000026932</v>
      </c>
      <c r="I444" s="7" t="str">
        <f>HYPERLINK("http://www.informatics.jax.org/marker/MGI:1915241","MGI:1915241")</f>
        <v>MGI:1915241</v>
      </c>
      <c r="J444" s="4" t="s">
        <v>12</v>
      </c>
    </row>
    <row r="445" spans="1:10" x14ac:dyDescent="0.25">
      <c r="A445" s="2">
        <v>347.12983136438402</v>
      </c>
      <c r="B445" s="3">
        <v>0.37009158858371899</v>
      </c>
      <c r="C445" s="3">
        <v>1.3802857253577101E-3</v>
      </c>
      <c r="D445" s="4">
        <v>2.0643714831247498E-2</v>
      </c>
      <c r="E445" s="3" t="s">
        <v>8437</v>
      </c>
      <c r="F445" s="3" t="s">
        <v>8438</v>
      </c>
      <c r="G445" s="3">
        <v>215445</v>
      </c>
      <c r="H445" s="7" t="str">
        <f>HYPERLINK("http://www.ensembl.org/Mus_musculus/Gene/Summary?db=core;g=ENSMUSG00000037098","ENSMUSG00000037098")</f>
        <v>ENSMUSG00000037098</v>
      </c>
      <c r="I445" s="7" t="str">
        <f>HYPERLINK("http://www.informatics.jax.org/marker/MGI:2444431","MGI:2444431")</f>
        <v>MGI:2444431</v>
      </c>
      <c r="J445" s="4" t="s">
        <v>12</v>
      </c>
    </row>
    <row r="446" spans="1:10" x14ac:dyDescent="0.25">
      <c r="A446" s="2">
        <v>319.94638714488002</v>
      </c>
      <c r="B446" s="3">
        <v>0.36952542166225499</v>
      </c>
      <c r="C446" s="3">
        <v>1.31052582190581E-3</v>
      </c>
      <c r="D446" s="4">
        <v>1.9784542173120302E-2</v>
      </c>
      <c r="E446" s="3" t="s">
        <v>2405</v>
      </c>
      <c r="F446" s="3" t="s">
        <v>2406</v>
      </c>
      <c r="G446" s="3">
        <v>215201</v>
      </c>
      <c r="H446" s="7" t="str">
        <f>HYPERLINK("http://www.ensembl.org/Mus_musculus/Gene/Summary?db=core;g=ENSMUSG00000067369","ENSMUSG00000067369")</f>
        <v>ENSMUSG00000067369</v>
      </c>
      <c r="I446" s="7" t="str">
        <f>HYPERLINK("http://www.informatics.jax.org/marker/MGI:2442530","MGI:2442530")</f>
        <v>MGI:2442530</v>
      </c>
      <c r="J446" s="4" t="s">
        <v>12</v>
      </c>
    </row>
    <row r="447" spans="1:10" x14ac:dyDescent="0.25">
      <c r="A447" s="2">
        <v>733.25064166117795</v>
      </c>
      <c r="B447" s="3">
        <v>0.36866950268925403</v>
      </c>
      <c r="C447" s="5">
        <v>1.0291649172484499E-5</v>
      </c>
      <c r="D447" s="4">
        <v>4.84310369217294E-4</v>
      </c>
      <c r="E447" s="3" t="s">
        <v>6319</v>
      </c>
      <c r="F447" s="3" t="s">
        <v>6320</v>
      </c>
      <c r="G447" s="3">
        <v>230376</v>
      </c>
      <c r="H447" s="7" t="str">
        <f>HYPERLINK("http://www.ensembl.org/Mus_musculus/Gene/Summary?db=core;g=ENSMUSG00000038047","ENSMUSG00000038047")</f>
        <v>ENSMUSG00000038047</v>
      </c>
      <c r="I447" s="7" t="str">
        <f>HYPERLINK("http://www.informatics.jax.org/marker/MGI:1923389","MGI:1923389")</f>
        <v>MGI:1923389</v>
      </c>
      <c r="J447" s="4" t="s">
        <v>12</v>
      </c>
    </row>
    <row r="448" spans="1:10" x14ac:dyDescent="0.25">
      <c r="A448" s="2">
        <v>743.39309409146597</v>
      </c>
      <c r="B448" s="3">
        <v>0.367750751503441</v>
      </c>
      <c r="C448" s="3">
        <v>3.3867534853063799E-3</v>
      </c>
      <c r="D448" s="4">
        <v>4.0095596262358799E-2</v>
      </c>
      <c r="E448" s="3" t="s">
        <v>9439</v>
      </c>
      <c r="F448" s="3" t="s">
        <v>9440</v>
      </c>
      <c r="G448" s="3">
        <v>56452</v>
      </c>
      <c r="H448" s="7" t="str">
        <f>HYPERLINK("http://www.ensembl.org/Mus_musculus/Gene/Summary?db=core;g=ENSMUSG00000031697","ENSMUSG00000031697")</f>
        <v>ENSMUSG00000031697</v>
      </c>
      <c r="I448" s="7" t="str">
        <f>HYPERLINK("http://www.informatics.jax.org/marker/MGI:1929285","MGI:1929285")</f>
        <v>MGI:1929285</v>
      </c>
      <c r="J448" s="4" t="s">
        <v>12</v>
      </c>
    </row>
    <row r="449" spans="1:10" x14ac:dyDescent="0.25">
      <c r="A449" s="2">
        <v>1331.7385390913</v>
      </c>
      <c r="B449" s="3">
        <v>0.36726907736578202</v>
      </c>
      <c r="C449" s="3">
        <v>8.2944780136039197E-4</v>
      </c>
      <c r="D449" s="4">
        <v>1.3840948697181501E-2</v>
      </c>
      <c r="E449" s="3" t="s">
        <v>180</v>
      </c>
      <c r="F449" s="3" t="s">
        <v>181</v>
      </c>
      <c r="G449" s="3">
        <v>70719</v>
      </c>
      <c r="H449" s="7" t="str">
        <f>HYPERLINK("http://www.ensembl.org/Mus_musculus/Gene/Summary?db=core;g=ENSMUSG00000035697","ENSMUSG00000035697")</f>
        <v>ENSMUSG00000035697</v>
      </c>
      <c r="I449" s="7" t="str">
        <f>HYPERLINK("http://www.informatics.jax.org/marker/MGI:1917969","MGI:1917969")</f>
        <v>MGI:1917969</v>
      </c>
      <c r="J449" s="4" t="s">
        <v>12</v>
      </c>
    </row>
    <row r="450" spans="1:10" x14ac:dyDescent="0.25">
      <c r="A450" s="2">
        <v>892.35101658631504</v>
      </c>
      <c r="B450" s="3">
        <v>0.36713635153749002</v>
      </c>
      <c r="C450" s="3">
        <v>2.8016025828999399E-3</v>
      </c>
      <c r="D450" s="4">
        <v>3.4778834712887001E-2</v>
      </c>
      <c r="E450" s="3" t="s">
        <v>2419</v>
      </c>
      <c r="F450" s="3" t="s">
        <v>2420</v>
      </c>
      <c r="G450" s="3">
        <v>231871</v>
      </c>
      <c r="H450" s="7" t="str">
        <f>HYPERLINK("http://www.ensembl.org/Mus_musculus/Gene/Summary?db=core;g=ENSMUSG00000039206","ENSMUSG00000039206")</f>
        <v>ENSMUSG00000039206</v>
      </c>
      <c r="I450" s="7" t="str">
        <f>HYPERLINK("http://www.informatics.jax.org/marker/MGI:2442032","MGI:2442032")</f>
        <v>MGI:2442032</v>
      </c>
      <c r="J450" s="4" t="s">
        <v>12</v>
      </c>
    </row>
    <row r="451" spans="1:10" x14ac:dyDescent="0.25">
      <c r="A451" s="2">
        <v>252.47834457206201</v>
      </c>
      <c r="B451" s="3">
        <v>0.36641337447931299</v>
      </c>
      <c r="C451" s="3">
        <v>1.8023663760339001E-3</v>
      </c>
      <c r="D451" s="4">
        <v>2.5181633082302202E-2</v>
      </c>
      <c r="E451" s="3" t="s">
        <v>3136</v>
      </c>
      <c r="F451" s="3" t="s">
        <v>3137</v>
      </c>
      <c r="G451" s="3">
        <v>67379</v>
      </c>
      <c r="H451" s="7" t="str">
        <f>HYPERLINK("http://www.ensembl.org/Mus_musculus/Gene/Summary?db=core;g=ENSMUSG00000054499","ENSMUSG00000054499")</f>
        <v>ENSMUSG00000054499</v>
      </c>
      <c r="I451" s="7" t="str">
        <f>HYPERLINK("http://www.informatics.jax.org/marker/MGI:1914629","MGI:1914629")</f>
        <v>MGI:1914629</v>
      </c>
      <c r="J451" s="4" t="s">
        <v>12</v>
      </c>
    </row>
    <row r="452" spans="1:10" x14ac:dyDescent="0.25">
      <c r="A452" s="2">
        <v>251.46085184965401</v>
      </c>
      <c r="B452" s="3">
        <v>0.36501851243564998</v>
      </c>
      <c r="C452" s="3">
        <v>1.9985429266229102E-3</v>
      </c>
      <c r="D452" s="4">
        <v>2.72786556986989E-2</v>
      </c>
      <c r="E452" s="3" t="s">
        <v>5931</v>
      </c>
      <c r="F452" s="3" t="s">
        <v>5932</v>
      </c>
      <c r="G452" s="3">
        <v>101185</v>
      </c>
      <c r="H452" s="7" t="str">
        <f>HYPERLINK("http://www.ensembl.org/Mus_musculus/Gene/Summary?db=core;g=ENSMUSG00000029676","ENSMUSG00000029676")</f>
        <v>ENSMUSG00000029676</v>
      </c>
      <c r="I452" s="7" t="str">
        <f>HYPERLINK("http://www.informatics.jax.org/marker/MGI:2141503","MGI:2141503")</f>
        <v>MGI:2141503</v>
      </c>
      <c r="J452" s="4" t="s">
        <v>12</v>
      </c>
    </row>
    <row r="453" spans="1:10" x14ac:dyDescent="0.25">
      <c r="A453" s="2">
        <v>1705.5757199854099</v>
      </c>
      <c r="B453" s="3">
        <v>0.36419611916908901</v>
      </c>
      <c r="C453" s="5">
        <v>1.5256157885356401E-6</v>
      </c>
      <c r="D453" s="4">
        <v>1.03365064901568E-4</v>
      </c>
      <c r="E453" s="3" t="s">
        <v>1544</v>
      </c>
      <c r="F453" s="3" t="s">
        <v>1545</v>
      </c>
      <c r="G453" s="3">
        <v>68729</v>
      </c>
      <c r="H453" s="7" t="str">
        <f>HYPERLINK("http://www.ensembl.org/Mus_musculus/Gene/Summary?db=core;g=ENSMUSG00000018548","ENSMUSG00000018548")</f>
        <v>ENSMUSG00000018548</v>
      </c>
      <c r="I453" s="7" t="str">
        <f>HYPERLINK("http://www.informatics.jax.org/marker/MGI:2153072","MGI:2153072")</f>
        <v>MGI:2153072</v>
      </c>
      <c r="J453" s="4" t="s">
        <v>12</v>
      </c>
    </row>
    <row r="454" spans="1:10" x14ac:dyDescent="0.25">
      <c r="A454" s="2">
        <v>1067.2495953493899</v>
      </c>
      <c r="B454" s="3">
        <v>0.36305968890926599</v>
      </c>
      <c r="C454" s="3">
        <v>4.0474329643429702E-3</v>
      </c>
      <c r="D454" s="4">
        <v>4.5612703957881098E-2</v>
      </c>
      <c r="E454" s="3" t="s">
        <v>4651</v>
      </c>
      <c r="F454" s="3" t="s">
        <v>4652</v>
      </c>
      <c r="G454" s="3">
        <v>215821</v>
      </c>
      <c r="H454" s="7" t="str">
        <f>HYPERLINK("http://www.ensembl.org/Mus_musculus/Gene/Summary?db=core;g=ENSMUSG00000019852","ENSMUSG00000019852")</f>
        <v>ENSMUSG00000019852</v>
      </c>
      <c r="I454" s="7" t="str">
        <f>HYPERLINK("http://www.informatics.jax.org/marker/MGI:106387","MGI:106387")</f>
        <v>MGI:106387</v>
      </c>
      <c r="J454" s="4" t="s">
        <v>12</v>
      </c>
    </row>
    <row r="455" spans="1:10" x14ac:dyDescent="0.25">
      <c r="A455" s="2">
        <v>385.53239410724098</v>
      </c>
      <c r="B455" s="3">
        <v>0.36185841471544999</v>
      </c>
      <c r="C455" s="3">
        <v>2.1204786857817099E-3</v>
      </c>
      <c r="D455" s="4">
        <v>2.8733763589140801E-2</v>
      </c>
      <c r="E455" s="3" t="s">
        <v>7282</v>
      </c>
      <c r="F455" s="3" t="s">
        <v>7283</v>
      </c>
      <c r="G455" s="3">
        <v>246221</v>
      </c>
      <c r="H455" s="7" t="str">
        <f>HYPERLINK("http://www.ensembl.org/Mus_musculus/Gene/Summary?db=core;g=ENSMUSG00000071711","ENSMUSG00000071711")</f>
        <v>ENSMUSG00000071711</v>
      </c>
      <c r="I455" s="7" t="str">
        <f>HYPERLINK("http://www.informatics.jax.org/marker/MGI:2179733","MGI:2179733")</f>
        <v>MGI:2179733</v>
      </c>
      <c r="J455" s="4" t="s">
        <v>12</v>
      </c>
    </row>
    <row r="456" spans="1:10" x14ac:dyDescent="0.25">
      <c r="A456" s="2">
        <v>2647.9929723396399</v>
      </c>
      <c r="B456" s="3">
        <v>0.35992861918691899</v>
      </c>
      <c r="C456" s="5">
        <v>1.9103699526149901E-8</v>
      </c>
      <c r="D456" s="6">
        <v>3.0842440627710198E-6</v>
      </c>
      <c r="E456" s="3" t="s">
        <v>292</v>
      </c>
      <c r="F456" s="3" t="s">
        <v>293</v>
      </c>
      <c r="G456" s="3">
        <v>16973</v>
      </c>
      <c r="H456" s="7" t="str">
        <f>HYPERLINK("http://www.ensembl.org/Mus_musculus/Gene/Summary?db=core;g=ENSMUSG00000024913","ENSMUSG00000024913")</f>
        <v>ENSMUSG00000024913</v>
      </c>
      <c r="I456" s="7" t="str">
        <f>HYPERLINK("http://www.informatics.jax.org/marker/MGI:1278315","MGI:1278315")</f>
        <v>MGI:1278315</v>
      </c>
      <c r="J456" s="4" t="s">
        <v>12</v>
      </c>
    </row>
    <row r="457" spans="1:10" x14ac:dyDescent="0.25">
      <c r="A457" s="2">
        <v>797.89568304089698</v>
      </c>
      <c r="B457" s="3">
        <v>0.35937297739669999</v>
      </c>
      <c r="C457" s="5">
        <v>1.06408153891259E-5</v>
      </c>
      <c r="D457" s="4">
        <v>4.9286565716420195E-4</v>
      </c>
      <c r="E457" s="3" t="s">
        <v>370</v>
      </c>
      <c r="F457" s="3" t="s">
        <v>371</v>
      </c>
      <c r="G457" s="3">
        <v>18803</v>
      </c>
      <c r="H457" s="7" t="str">
        <f>HYPERLINK("http://www.ensembl.org/Mus_musculus/Gene/Summary?db=core;g=ENSMUSG00000016933","ENSMUSG00000016933")</f>
        <v>ENSMUSG00000016933</v>
      </c>
      <c r="I457" s="7" t="str">
        <f>HYPERLINK("http://www.informatics.jax.org/marker/MGI:97615","MGI:97615")</f>
        <v>MGI:97615</v>
      </c>
      <c r="J457" s="4" t="s">
        <v>12</v>
      </c>
    </row>
    <row r="458" spans="1:10" x14ac:dyDescent="0.25">
      <c r="A458" s="2">
        <v>1042.84446191957</v>
      </c>
      <c r="B458" s="3">
        <v>0.35835437488477001</v>
      </c>
      <c r="C458" s="5">
        <v>4.0817928239654104E-6</v>
      </c>
      <c r="D458" s="4">
        <v>2.2177741010212101E-4</v>
      </c>
      <c r="E458" s="3" t="s">
        <v>2609</v>
      </c>
      <c r="F458" s="3" t="s">
        <v>2610</v>
      </c>
      <c r="G458" s="3">
        <v>70652</v>
      </c>
      <c r="H458" s="7" t="str">
        <f>HYPERLINK("http://www.ensembl.org/Mus_musculus/Gene/Summary?db=core;g=ENSMUSG00000027956","ENSMUSG00000027956")</f>
        <v>ENSMUSG00000027956</v>
      </c>
      <c r="I458" s="7" t="str">
        <f>HYPERLINK("http://www.informatics.jax.org/marker/MGI:1917902","MGI:1917902")</f>
        <v>MGI:1917902</v>
      </c>
      <c r="J458" s="4" t="s">
        <v>12</v>
      </c>
    </row>
    <row r="459" spans="1:10" x14ac:dyDescent="0.25">
      <c r="A459" s="2">
        <v>311.65782897459098</v>
      </c>
      <c r="B459" s="3">
        <v>0.356861303575991</v>
      </c>
      <c r="C459" s="3">
        <v>3.37982154041479E-3</v>
      </c>
      <c r="D459" s="4">
        <v>4.0055693219225703E-2</v>
      </c>
      <c r="E459" s="3" t="s">
        <v>3652</v>
      </c>
      <c r="F459" s="3" t="s">
        <v>3653</v>
      </c>
      <c r="G459" s="3">
        <v>16337</v>
      </c>
      <c r="H459" s="7" t="str">
        <f>HYPERLINK("http://www.ensembl.org/Mus_musculus/Gene/Summary?db=core;g=ENSMUSG00000005534","ENSMUSG00000005534")</f>
        <v>ENSMUSG00000005534</v>
      </c>
      <c r="I459" s="7" t="str">
        <f>HYPERLINK("http://www.informatics.jax.org/marker/MGI:96575","MGI:96575")</f>
        <v>MGI:96575</v>
      </c>
      <c r="J459" s="4" t="s">
        <v>12</v>
      </c>
    </row>
    <row r="460" spans="1:10" x14ac:dyDescent="0.25">
      <c r="A460" s="2">
        <v>1419.6706341444699</v>
      </c>
      <c r="B460" s="3">
        <v>0.35665317422502102</v>
      </c>
      <c r="C460" s="5">
        <v>4.76963682438461E-5</v>
      </c>
      <c r="D460" s="4">
        <v>1.59333006839808E-3</v>
      </c>
      <c r="E460" s="3" t="s">
        <v>3808</v>
      </c>
      <c r="F460" s="3" t="s">
        <v>3809</v>
      </c>
      <c r="G460" s="3">
        <v>14420</v>
      </c>
      <c r="H460" s="7" t="str">
        <f>HYPERLINK("http://www.ensembl.org/Mus_musculus/Gene/Summary?db=core;g=ENSMUSG00000021003","ENSMUSG00000021003")</f>
        <v>ENSMUSG00000021003</v>
      </c>
      <c r="I460" s="7" t="str">
        <f>HYPERLINK("http://www.informatics.jax.org/marker/MGI:95636","MGI:95636")</f>
        <v>MGI:95636</v>
      </c>
      <c r="J460" s="4" t="s">
        <v>12</v>
      </c>
    </row>
    <row r="461" spans="1:10" x14ac:dyDescent="0.25">
      <c r="A461" s="2">
        <v>1031.4725639855301</v>
      </c>
      <c r="B461" s="3">
        <v>0.35566906147240002</v>
      </c>
      <c r="C461" s="3">
        <v>1.0296499407110001E-3</v>
      </c>
      <c r="D461" s="4">
        <v>1.63335301596285E-2</v>
      </c>
      <c r="E461" s="3" t="s">
        <v>452</v>
      </c>
      <c r="F461" s="3" t="s">
        <v>453</v>
      </c>
      <c r="G461" s="3">
        <v>11732</v>
      </c>
      <c r="H461" s="7" t="str">
        <f>HYPERLINK("http://www.ensembl.org/Mus_musculus/Gene/Summary?db=core;g=ENSMUSG00000022265","ENSMUSG00000022265")</f>
        <v>ENSMUSG00000022265</v>
      </c>
      <c r="I461" s="7" t="str">
        <f>HYPERLINK("http://www.informatics.jax.org/marker/MGI:3045421","MGI:3045421")</f>
        <v>MGI:3045421</v>
      </c>
      <c r="J461" s="4" t="s">
        <v>12</v>
      </c>
    </row>
    <row r="462" spans="1:10" x14ac:dyDescent="0.25">
      <c r="A462" s="2">
        <v>1188.39204051709</v>
      </c>
      <c r="B462" s="3">
        <v>0.35553966920924301</v>
      </c>
      <c r="C462" s="3">
        <v>8.4512197084042498E-4</v>
      </c>
      <c r="D462" s="4">
        <v>1.4019302073808601E-2</v>
      </c>
      <c r="E462" s="3" t="s">
        <v>3292</v>
      </c>
      <c r="F462" s="3" t="s">
        <v>3293</v>
      </c>
      <c r="G462" s="3">
        <v>18541</v>
      </c>
      <c r="H462" s="7" t="str">
        <f>HYPERLINK("http://www.ensembl.org/Mus_musculus/Gene/Summary?db=core;g=ENSMUSG00000001151","ENSMUSG00000001151")</f>
        <v>ENSMUSG00000001151</v>
      </c>
      <c r="I462" s="7" t="str">
        <f>HYPERLINK("http://www.informatics.jax.org/marker/MGI:102722","MGI:102722")</f>
        <v>MGI:102722</v>
      </c>
      <c r="J462" s="4" t="s">
        <v>12</v>
      </c>
    </row>
    <row r="463" spans="1:10" x14ac:dyDescent="0.25">
      <c r="A463" s="2">
        <v>406.49490462002098</v>
      </c>
      <c r="B463" s="3">
        <v>0.35549806952401503</v>
      </c>
      <c r="C463" s="3">
        <v>2.6336704082781399E-3</v>
      </c>
      <c r="D463" s="4">
        <v>3.3621896801253402E-2</v>
      </c>
      <c r="E463" s="3" t="s">
        <v>8465</v>
      </c>
      <c r="F463" s="3" t="s">
        <v>8466</v>
      </c>
      <c r="G463" s="3">
        <v>14628</v>
      </c>
      <c r="H463" s="7" t="str">
        <f>HYPERLINK("http://www.ensembl.org/Mus_musculus/Gene/Summary?db=core;g=ENSMUSG00000038280","ENSMUSG00000038280")</f>
        <v>ENSMUSG00000038280</v>
      </c>
      <c r="I463" s="7" t="str">
        <f>HYPERLINK("http://www.informatics.jax.org/marker/MGI:2655574","MGI:2655574")</f>
        <v>MGI:2655574</v>
      </c>
      <c r="J463" s="4" t="s">
        <v>12</v>
      </c>
    </row>
    <row r="464" spans="1:10" x14ac:dyDescent="0.25">
      <c r="A464" s="2">
        <v>394.89679814481798</v>
      </c>
      <c r="B464" s="3">
        <v>0.35416578833488099</v>
      </c>
      <c r="C464" s="3">
        <v>1.75164188082942E-3</v>
      </c>
      <c r="D464" s="4">
        <v>2.4643904299042601E-2</v>
      </c>
      <c r="E464" s="3" t="s">
        <v>5827</v>
      </c>
      <c r="F464" s="3" t="s">
        <v>5828</v>
      </c>
      <c r="G464" s="3">
        <v>210982</v>
      </c>
      <c r="H464" s="7" t="str">
        <f>HYPERLINK("http://www.ensembl.org/Mus_musculus/Gene/Summary?db=core;g=ENSMUSG00000036568","ENSMUSG00000036568")</f>
        <v>ENSMUSG00000036568</v>
      </c>
      <c r="I464" s="7" t="str">
        <f>HYPERLINK("http://www.informatics.jax.org/marker/MGI:2673855","MGI:2673855")</f>
        <v>MGI:2673855</v>
      </c>
      <c r="J464" s="4" t="s">
        <v>12</v>
      </c>
    </row>
    <row r="465" spans="1:10" x14ac:dyDescent="0.25">
      <c r="A465" s="2">
        <v>989.61513717347498</v>
      </c>
      <c r="B465" s="3">
        <v>0.35375322527682401</v>
      </c>
      <c r="C465" s="5">
        <v>9.2360514229614202E-6</v>
      </c>
      <c r="D465" s="4">
        <v>4.47749441181237E-4</v>
      </c>
      <c r="E465" s="3" t="s">
        <v>1744</v>
      </c>
      <c r="F465" s="3" t="s">
        <v>1745</v>
      </c>
      <c r="G465" s="3">
        <v>21423</v>
      </c>
      <c r="H465" s="7" t="str">
        <f>HYPERLINK("http://www.ensembl.org/Mus_musculus/Gene/Summary?db=core;g=ENSMUSG00000020167","ENSMUSG00000020167")</f>
        <v>ENSMUSG00000020167</v>
      </c>
      <c r="I465" s="7" t="str">
        <f>HYPERLINK("http://www.informatics.jax.org/marker/MGI:98510","MGI:98510")</f>
        <v>MGI:98510</v>
      </c>
      <c r="J465" s="4" t="s">
        <v>12</v>
      </c>
    </row>
    <row r="466" spans="1:10" x14ac:dyDescent="0.25">
      <c r="A466" s="2">
        <v>1369.16357521551</v>
      </c>
      <c r="B466" s="3">
        <v>0.35362754586142803</v>
      </c>
      <c r="C466" s="3">
        <v>1.1144681965674701E-4</v>
      </c>
      <c r="D466" s="4">
        <v>2.90821898069475E-3</v>
      </c>
      <c r="E466" s="3" t="s">
        <v>2365</v>
      </c>
      <c r="F466" s="3" t="s">
        <v>2366</v>
      </c>
      <c r="G466" s="3">
        <v>269254</v>
      </c>
      <c r="H466" s="7" t="str">
        <f>HYPERLINK("http://www.ensembl.org/Mus_musculus/Gene/Summary?db=core;g=ENSMUSG00000043535","ENSMUSG00000043535")</f>
        <v>ENSMUSG00000043535</v>
      </c>
      <c r="I466" s="7" t="str">
        <f>HYPERLINK("http://www.informatics.jax.org/marker/MGI:2443480","MGI:2443480")</f>
        <v>MGI:2443480</v>
      </c>
      <c r="J466" s="4" t="s">
        <v>12</v>
      </c>
    </row>
    <row r="467" spans="1:10" x14ac:dyDescent="0.25">
      <c r="A467" s="2">
        <v>577.70565386987903</v>
      </c>
      <c r="B467" s="3">
        <v>0.35226626953356799</v>
      </c>
      <c r="C467" s="5">
        <v>6.1782417639367194E-5</v>
      </c>
      <c r="D467" s="4">
        <v>1.89854330926219E-3</v>
      </c>
      <c r="E467" s="3" t="s">
        <v>2848</v>
      </c>
      <c r="F467" s="3" t="s">
        <v>2849</v>
      </c>
      <c r="G467" s="3">
        <v>74237</v>
      </c>
      <c r="H467" s="7" t="str">
        <f>HYPERLINK("http://www.ensembl.org/Mus_musculus/Gene/Summary?db=core;g=ENSMUSG00000025474","ENSMUSG00000025474")</f>
        <v>ENSMUSG00000025474</v>
      </c>
      <c r="I467" s="7" t="str">
        <f>HYPERLINK("http://www.informatics.jax.org/marker/MGI:1921487","MGI:1921487")</f>
        <v>MGI:1921487</v>
      </c>
      <c r="J467" s="4" t="s">
        <v>12</v>
      </c>
    </row>
    <row r="468" spans="1:10" x14ac:dyDescent="0.25">
      <c r="A468" s="2">
        <v>921.52286998903003</v>
      </c>
      <c r="B468" s="3">
        <v>0.35120000222437803</v>
      </c>
      <c r="C468" s="3">
        <v>5.7293287600331205E-4</v>
      </c>
      <c r="D468" s="4">
        <v>1.0598315882251999E-2</v>
      </c>
      <c r="E468" s="3" t="s">
        <v>4139</v>
      </c>
      <c r="F468" s="3" t="s">
        <v>4140</v>
      </c>
      <c r="G468" s="3">
        <v>229473</v>
      </c>
      <c r="H468" s="7" t="str">
        <f>HYPERLINK("http://www.ensembl.org/Mus_musculus/Gene/Summary?db=core;g=ENSMUSG00000033767","ENSMUSG00000033767")</f>
        <v>ENSMUSG00000033767</v>
      </c>
      <c r="I468" s="7" t="str">
        <f>HYPERLINK("http://www.informatics.jax.org/marker/MGI:2443399","MGI:2443399")</f>
        <v>MGI:2443399</v>
      </c>
      <c r="J468" s="4" t="s">
        <v>12</v>
      </c>
    </row>
    <row r="469" spans="1:10" x14ac:dyDescent="0.25">
      <c r="A469" s="2">
        <v>566.76189996077403</v>
      </c>
      <c r="B469" s="3">
        <v>0.350737305191065</v>
      </c>
      <c r="C469" s="3">
        <v>5.7188821103097297E-4</v>
      </c>
      <c r="D469" s="4">
        <v>1.05964196202065E-2</v>
      </c>
      <c r="E469" s="3" t="s">
        <v>954</v>
      </c>
      <c r="F469" s="3" t="s">
        <v>955</v>
      </c>
      <c r="G469" s="3">
        <v>105445</v>
      </c>
      <c r="H469" s="7" t="str">
        <f>HYPERLINK("http://www.ensembl.org/Mus_musculus/Gene/Summary?db=core;g=ENSMUSG00000025558","ENSMUSG00000025558")</f>
        <v>ENSMUSG00000025558</v>
      </c>
      <c r="I469" s="7" t="str">
        <f>HYPERLINK("http://www.informatics.jax.org/marker/MGI:106321","MGI:106321")</f>
        <v>MGI:106321</v>
      </c>
      <c r="J469" s="4" t="s">
        <v>12</v>
      </c>
    </row>
    <row r="470" spans="1:10" x14ac:dyDescent="0.25">
      <c r="A470" s="2">
        <v>2552.2668223835099</v>
      </c>
      <c r="B470" s="3">
        <v>0.34824431234286901</v>
      </c>
      <c r="C470" s="3">
        <v>6.5611843468622204E-4</v>
      </c>
      <c r="D470" s="4">
        <v>1.1657763088334799E-2</v>
      </c>
      <c r="E470" s="3" t="s">
        <v>17028</v>
      </c>
      <c r="F470" s="3" t="s">
        <v>17029</v>
      </c>
      <c r="G470" s="3">
        <v>107373</v>
      </c>
      <c r="H470" s="7" t="str">
        <f>HYPERLINK("http://www.ensembl.org/Mus_musculus/Gene/Summary?db=core;g=ENSMUSG00000024691","ENSMUSG00000024691")</f>
        <v>ENSMUSG00000024691</v>
      </c>
      <c r="I470" s="7" t="str">
        <f>HYPERLINK("http://www.informatics.jax.org/marker/MGI:1915508","MGI:1915508")</f>
        <v>MGI:1915508</v>
      </c>
      <c r="J470" s="4" t="s">
        <v>12</v>
      </c>
    </row>
    <row r="471" spans="1:10" x14ac:dyDescent="0.25">
      <c r="A471" s="2">
        <v>699.27095459301199</v>
      </c>
      <c r="B471" s="3">
        <v>0.34670902192943098</v>
      </c>
      <c r="C471" s="3">
        <v>3.3273122501420303E-4</v>
      </c>
      <c r="D471" s="4">
        <v>7.07415517530196E-3</v>
      </c>
      <c r="E471" s="3" t="s">
        <v>1368</v>
      </c>
      <c r="F471" s="3" t="s">
        <v>1369</v>
      </c>
      <c r="G471" s="3">
        <v>50935</v>
      </c>
      <c r="H471" s="7" t="str">
        <f>HYPERLINK("http://www.ensembl.org/Mus_musculus/Gene/Summary?db=core;g=ENSMUSG00000026811","ENSMUSG00000026811")</f>
        <v>ENSMUSG00000026811</v>
      </c>
      <c r="I471" s="7" t="str">
        <f>HYPERLINK("http://www.informatics.jax.org/marker/MGI:1355316","MGI:1355316")</f>
        <v>MGI:1355316</v>
      </c>
      <c r="J471" s="4" t="s">
        <v>12</v>
      </c>
    </row>
    <row r="472" spans="1:10" x14ac:dyDescent="0.25">
      <c r="A472" s="2">
        <v>840.282419755879</v>
      </c>
      <c r="B472" s="3">
        <v>0.34589256110788902</v>
      </c>
      <c r="C472" s="5">
        <v>6.0247480224693501E-5</v>
      </c>
      <c r="D472" s="4">
        <v>1.8824295847210499E-3</v>
      </c>
      <c r="E472" s="3" t="s">
        <v>654</v>
      </c>
      <c r="F472" s="3" t="s">
        <v>655</v>
      </c>
      <c r="G472" s="3">
        <v>26385</v>
      </c>
      <c r="H472" s="7" t="str">
        <f>HYPERLINK("http://www.ensembl.org/Mus_musculus/Gene/Summary?db=core;g=ENSMUSG00000074886","ENSMUSG00000074886")</f>
        <v>ENSMUSG00000074886</v>
      </c>
      <c r="I472" s="7" t="str">
        <f>HYPERLINK("http://www.informatics.jax.org/marker/MGI:1347078","MGI:1347078")</f>
        <v>MGI:1347078</v>
      </c>
      <c r="J472" s="4" t="s">
        <v>12</v>
      </c>
    </row>
    <row r="473" spans="1:10" x14ac:dyDescent="0.25">
      <c r="A473" s="2">
        <v>3215.9850345014102</v>
      </c>
      <c r="B473" s="3">
        <v>0.344855635649778</v>
      </c>
      <c r="C473" s="3">
        <v>4.6214675939593001E-4</v>
      </c>
      <c r="D473" s="4">
        <v>8.9835126430872301E-3</v>
      </c>
      <c r="E473" s="3" t="s">
        <v>1634</v>
      </c>
      <c r="F473" s="3" t="s">
        <v>1635</v>
      </c>
      <c r="G473" s="3">
        <v>18007</v>
      </c>
      <c r="H473" s="7" t="str">
        <f>HYPERLINK("http://www.ensembl.org/Mus_musculus/Gene/Summary?db=core;g=ENSMUSG00000032340","ENSMUSG00000032340")</f>
        <v>ENSMUSG00000032340</v>
      </c>
      <c r="I473" s="7" t="str">
        <f>HYPERLINK("http://www.informatics.jax.org/marker/MGI:1097159","MGI:1097159")</f>
        <v>MGI:1097159</v>
      </c>
      <c r="J473" s="4" t="s">
        <v>12</v>
      </c>
    </row>
    <row r="474" spans="1:10" x14ac:dyDescent="0.25">
      <c r="A474" s="2">
        <v>781.98965829464601</v>
      </c>
      <c r="B474" s="3">
        <v>0.34412654227573602</v>
      </c>
      <c r="C474" s="5">
        <v>5.1207811950534998E-5</v>
      </c>
      <c r="D474" s="4">
        <v>1.68895677714858E-3</v>
      </c>
      <c r="E474" s="3" t="s">
        <v>1710</v>
      </c>
      <c r="F474" s="3" t="s">
        <v>1711</v>
      </c>
      <c r="G474" s="3">
        <v>68968</v>
      </c>
      <c r="H474" s="7" t="str">
        <f>HYPERLINK("http://www.ensembl.org/Mus_musculus/Gene/Summary?db=core;g=ENSMUSG00000027284","ENSMUSG00000027284")</f>
        <v>ENSMUSG00000027284</v>
      </c>
      <c r="I474" s="7" t="str">
        <f>HYPERLINK("http://www.informatics.jax.org/marker/MGI:1916218","MGI:1916218")</f>
        <v>MGI:1916218</v>
      </c>
      <c r="J474" s="4" t="s">
        <v>12</v>
      </c>
    </row>
    <row r="475" spans="1:10" x14ac:dyDescent="0.25">
      <c r="A475" s="2">
        <v>398.051841197302</v>
      </c>
      <c r="B475" s="3">
        <v>0.34411374903680098</v>
      </c>
      <c r="C475" s="3">
        <v>1.0856825804988299E-3</v>
      </c>
      <c r="D475" s="4">
        <v>1.7101781488613899E-2</v>
      </c>
      <c r="E475" s="3" t="s">
        <v>1132</v>
      </c>
      <c r="F475" s="3" t="s">
        <v>1133</v>
      </c>
      <c r="G475" s="3">
        <v>117599</v>
      </c>
      <c r="H475" s="7" t="str">
        <f>HYPERLINK("http://www.ensembl.org/Mus_musculus/Gene/Summary?db=core;g=ENSMUSG00000020228","ENSMUSG00000020228")</f>
        <v>ENSMUSG00000020228</v>
      </c>
      <c r="I475" s="7" t="str">
        <f>HYPERLINK("http://www.informatics.jax.org/marker/MGI:2152895","MGI:2152895")</f>
        <v>MGI:2152895</v>
      </c>
      <c r="J475" s="4" t="s">
        <v>12</v>
      </c>
    </row>
    <row r="476" spans="1:10" x14ac:dyDescent="0.25">
      <c r="A476" s="2">
        <v>4276.1805478427405</v>
      </c>
      <c r="B476" s="3">
        <v>0.34386327351144502</v>
      </c>
      <c r="C476" s="3">
        <v>9.7132335740558197E-4</v>
      </c>
      <c r="D476" s="4">
        <v>1.5606391143915099E-2</v>
      </c>
      <c r="E476" s="3" t="s">
        <v>3952</v>
      </c>
      <c r="F476" s="3" t="s">
        <v>3953</v>
      </c>
      <c r="G476" s="3">
        <v>20133</v>
      </c>
      <c r="H476" s="7" t="str">
        <f>HYPERLINK("http://www.ensembl.org/Mus_musculus/Gene/Summary?db=core;g=ENSMUSG00000030978","ENSMUSG00000030978")</f>
        <v>ENSMUSG00000030978</v>
      </c>
      <c r="I476" s="7" t="str">
        <f>HYPERLINK("http://www.informatics.jax.org/marker/MGI:98180","MGI:98180")</f>
        <v>MGI:98180</v>
      </c>
      <c r="J476" s="4" t="s">
        <v>12</v>
      </c>
    </row>
    <row r="477" spans="1:10" x14ac:dyDescent="0.25">
      <c r="A477" s="2">
        <v>912.40180169881705</v>
      </c>
      <c r="B477" s="3">
        <v>0.34288993723229599</v>
      </c>
      <c r="C477" s="3">
        <v>1.3341597103243399E-4</v>
      </c>
      <c r="D477" s="4">
        <v>3.3871996076789701E-3</v>
      </c>
      <c r="E477" s="3" t="s">
        <v>3526</v>
      </c>
      <c r="F477" s="3" t="s">
        <v>3527</v>
      </c>
      <c r="G477" s="3">
        <v>76478</v>
      </c>
      <c r="H477" s="7" t="str">
        <f>HYPERLINK("http://www.ensembl.org/Mus_musculus/Gene/Summary?db=core;g=ENSMUSG00000035439","ENSMUSG00000035439")</f>
        <v>ENSMUSG00000035439</v>
      </c>
      <c r="I477" s="7" t="str">
        <f>HYPERLINK("http://www.informatics.jax.org/marker/MGI:1923728","MGI:1923728")</f>
        <v>MGI:1923728</v>
      </c>
      <c r="J477" s="4" t="s">
        <v>12</v>
      </c>
    </row>
    <row r="478" spans="1:10" x14ac:dyDescent="0.25">
      <c r="A478" s="2">
        <v>1492.03366792869</v>
      </c>
      <c r="B478" s="3">
        <v>0.34232517387963801</v>
      </c>
      <c r="C478" s="5">
        <v>6.2609811078425501E-5</v>
      </c>
      <c r="D478" s="4">
        <v>1.9135123510843799E-3</v>
      </c>
      <c r="E478" s="3" t="s">
        <v>1039</v>
      </c>
      <c r="F478" s="3" t="s">
        <v>1040</v>
      </c>
      <c r="G478" s="3">
        <v>19718</v>
      </c>
      <c r="H478" s="7" t="str">
        <f>HYPERLINK("http://www.ensembl.org/Mus_musculus/Gene/Summary?db=core;g=ENSMUSG00000023104","ENSMUSG00000023104")</f>
        <v>ENSMUSG00000023104</v>
      </c>
      <c r="I478" s="7" t="str">
        <f>HYPERLINK("http://www.informatics.jax.org/marker/MGI:1341868","MGI:1341868")</f>
        <v>MGI:1341868</v>
      </c>
      <c r="J478" s="4" t="s">
        <v>12</v>
      </c>
    </row>
    <row r="479" spans="1:10" x14ac:dyDescent="0.25">
      <c r="A479" s="2">
        <v>1335.2485377912001</v>
      </c>
      <c r="B479" s="3">
        <v>0.341870321179023</v>
      </c>
      <c r="C479" s="3">
        <v>2.3401163973646799E-3</v>
      </c>
      <c r="D479" s="4">
        <v>3.0791721777609901E-2</v>
      </c>
      <c r="E479" s="3" t="s">
        <v>1292</v>
      </c>
      <c r="F479" s="3" t="s">
        <v>1293</v>
      </c>
      <c r="G479" s="3">
        <v>11305</v>
      </c>
      <c r="H479" s="7" t="str">
        <f>HYPERLINK("http://www.ensembl.org/Mus_musculus/Gene/Summary?db=core;g=ENSMUSG00000026944","ENSMUSG00000026944")</f>
        <v>ENSMUSG00000026944</v>
      </c>
      <c r="I479" s="7" t="str">
        <f>HYPERLINK("http://www.informatics.jax.org/marker/MGI:99606","MGI:99606")</f>
        <v>MGI:99606</v>
      </c>
      <c r="J479" s="4" t="s">
        <v>12</v>
      </c>
    </row>
    <row r="480" spans="1:10" x14ac:dyDescent="0.25">
      <c r="A480" s="2">
        <v>298.76092233376602</v>
      </c>
      <c r="B480" s="3">
        <v>0.34149762020653401</v>
      </c>
      <c r="C480" s="3">
        <v>6.1676727801254999E-4</v>
      </c>
      <c r="D480" s="4">
        <v>1.1261009051635001E-2</v>
      </c>
      <c r="E480" s="3" t="s">
        <v>3008</v>
      </c>
      <c r="F480" s="3" t="s">
        <v>3009</v>
      </c>
      <c r="G480" s="3">
        <v>66531</v>
      </c>
      <c r="H480" s="7" t="str">
        <f>HYPERLINK("http://www.ensembl.org/Mus_musculus/Gene/Summary?db=core;g=ENSMUSG00000014633","ENSMUSG00000014633")</f>
        <v>ENSMUSG00000014633</v>
      </c>
      <c r="I480" s="7" t="str">
        <f>HYPERLINK("http://www.informatics.jax.org/marker/MGI:1913781","MGI:1913781")</f>
        <v>MGI:1913781</v>
      </c>
      <c r="J480" s="4" t="s">
        <v>12</v>
      </c>
    </row>
    <row r="481" spans="1:10" x14ac:dyDescent="0.25">
      <c r="A481" s="2">
        <v>320.34488648208702</v>
      </c>
      <c r="B481" s="3">
        <v>0.34103472248681799</v>
      </c>
      <c r="C481" s="3">
        <v>1.1010895686463899E-3</v>
      </c>
      <c r="D481" s="4">
        <v>1.7270884930520099E-2</v>
      </c>
      <c r="E481" s="3" t="s">
        <v>4499</v>
      </c>
      <c r="F481" s="3" t="s">
        <v>4500</v>
      </c>
      <c r="G481" s="3">
        <v>68366</v>
      </c>
      <c r="H481" s="7" t="str">
        <f>HYPERLINK("http://www.ensembl.org/Mus_musculus/Gene/Summary?db=core;g=ENSMUSG00000019295","ENSMUSG00000019295")</f>
        <v>ENSMUSG00000019295</v>
      </c>
      <c r="I481" s="7" t="str">
        <f>HYPERLINK("http://www.informatics.jax.org/marker/MGI:1915616","MGI:1915616")</f>
        <v>MGI:1915616</v>
      </c>
      <c r="J481" s="4" t="s">
        <v>12</v>
      </c>
    </row>
    <row r="482" spans="1:10" x14ac:dyDescent="0.25">
      <c r="A482" s="2">
        <v>1479.3627894086001</v>
      </c>
      <c r="B482" s="3">
        <v>0.34099429393748598</v>
      </c>
      <c r="C482" s="5">
        <v>2.9036269704716501E-5</v>
      </c>
      <c r="D482" s="4">
        <v>1.07072434547195E-3</v>
      </c>
      <c r="E482" s="3" t="s">
        <v>1392</v>
      </c>
      <c r="F482" s="3" t="s">
        <v>1393</v>
      </c>
      <c r="G482" s="3">
        <v>67382</v>
      </c>
      <c r="H482" s="7" t="str">
        <f>HYPERLINK("http://www.ensembl.org/Mus_musculus/Gene/Summary?db=core;g=ENSMUSG00000026918","ENSMUSG00000026918")</f>
        <v>ENSMUSG00000026918</v>
      </c>
      <c r="I482" s="7" t="str">
        <f>HYPERLINK("http://www.informatics.jax.org/marker/MGI:1914632","MGI:1914632")</f>
        <v>MGI:1914632</v>
      </c>
      <c r="J482" s="4" t="s">
        <v>12</v>
      </c>
    </row>
    <row r="483" spans="1:10" x14ac:dyDescent="0.25">
      <c r="A483" s="2">
        <v>434.85749706880102</v>
      </c>
      <c r="B483" s="3">
        <v>0.34037894085079901</v>
      </c>
      <c r="C483" s="3">
        <v>3.6617749557299001E-4</v>
      </c>
      <c r="D483" s="4">
        <v>7.5566941150631501E-3</v>
      </c>
      <c r="E483" s="3" t="s">
        <v>2663</v>
      </c>
      <c r="F483" s="3" t="s">
        <v>2664</v>
      </c>
      <c r="G483" s="3">
        <v>71743</v>
      </c>
      <c r="H483" s="7" t="str">
        <f>HYPERLINK("http://www.ensembl.org/Mus_musculus/Gene/Summary?db=core;g=ENSMUSG00000001755","ENSMUSG00000001755")</f>
        <v>ENSMUSG00000001755</v>
      </c>
      <c r="I483" s="7" t="str">
        <f>HYPERLINK("http://www.informatics.jax.org/marker/MGI:1918993","MGI:1918993")</f>
        <v>MGI:1918993</v>
      </c>
      <c r="J483" s="4" t="s">
        <v>12</v>
      </c>
    </row>
    <row r="484" spans="1:10" x14ac:dyDescent="0.25">
      <c r="A484" s="2">
        <v>2860.9353829716101</v>
      </c>
      <c r="B484" s="3">
        <v>0.33707167642550701</v>
      </c>
      <c r="C484" s="3">
        <v>2.66280828813443E-3</v>
      </c>
      <c r="D484" s="4">
        <v>3.3765862914809E-2</v>
      </c>
      <c r="E484" s="3" t="s">
        <v>5835</v>
      </c>
      <c r="F484" s="3" t="s">
        <v>5836</v>
      </c>
      <c r="G484" s="3">
        <v>15201</v>
      </c>
      <c r="H484" s="7" t="str">
        <f>HYPERLINK("http://www.ensembl.org/Mus_musculus/Gene/Summary?db=core;g=ENSMUSG00000025001","ENSMUSG00000025001")</f>
        <v>ENSMUSG00000025001</v>
      </c>
      <c r="I484" s="7" t="str">
        <f>HYPERLINK("http://www.informatics.jax.org/marker/MGI:106209","MGI:106209")</f>
        <v>MGI:106209</v>
      </c>
      <c r="J484" s="4" t="s">
        <v>12</v>
      </c>
    </row>
    <row r="485" spans="1:10" x14ac:dyDescent="0.25">
      <c r="A485" s="2">
        <v>859.52089712895304</v>
      </c>
      <c r="B485" s="3">
        <v>0.336781132175761</v>
      </c>
      <c r="C485" s="3">
        <v>4.3018918167268003E-3</v>
      </c>
      <c r="D485" s="4">
        <v>4.75746089112353E-2</v>
      </c>
      <c r="E485" s="3" t="s">
        <v>1766</v>
      </c>
      <c r="F485" s="3" t="s">
        <v>1767</v>
      </c>
      <c r="G485" s="3">
        <v>17978</v>
      </c>
      <c r="H485" s="7" t="str">
        <f>HYPERLINK("http://www.ensembl.org/Mus_musculus/Gene/Summary?db=core;g=ENSMUSG00000005886","ENSMUSG00000005886")</f>
        <v>ENSMUSG00000005886</v>
      </c>
      <c r="I485" s="7" t="str">
        <f>HYPERLINK("http://www.informatics.jax.org/marker/MGI:1276533","MGI:1276533")</f>
        <v>MGI:1276533</v>
      </c>
      <c r="J485" s="4" t="s">
        <v>12</v>
      </c>
    </row>
    <row r="486" spans="1:10" x14ac:dyDescent="0.25">
      <c r="A486" s="2">
        <v>1840.15341863551</v>
      </c>
      <c r="B486" s="3">
        <v>0.33575131733847602</v>
      </c>
      <c r="C486" s="3">
        <v>4.1568693908234401E-3</v>
      </c>
      <c r="D486" s="4">
        <v>4.6612472620728998E-2</v>
      </c>
      <c r="E486" s="3" t="s">
        <v>16856</v>
      </c>
      <c r="F486" s="3" t="s">
        <v>16857</v>
      </c>
      <c r="G486" s="3">
        <v>171166</v>
      </c>
      <c r="H486" s="7" t="str">
        <f>HYPERLINK("http://www.ensembl.org/Mus_musculus/Gene/Summary?db=core;g=ENSMUSG00000036853","ENSMUSG00000036853")</f>
        <v>ENSMUSG00000036853</v>
      </c>
      <c r="I486" s="7" t="str">
        <f>HYPERLINK("http://www.informatics.jax.org/marker/MGI:1890500","MGI:1890500")</f>
        <v>MGI:1890500</v>
      </c>
      <c r="J486" s="4" t="s">
        <v>12</v>
      </c>
    </row>
    <row r="487" spans="1:10" x14ac:dyDescent="0.25">
      <c r="A487" s="2">
        <v>1004.9913593472201</v>
      </c>
      <c r="B487" s="3">
        <v>0.33522695942483999</v>
      </c>
      <c r="C487" s="5">
        <v>2.7659489895734799E-5</v>
      </c>
      <c r="D487" s="4">
        <v>1.0474285618091901E-3</v>
      </c>
      <c r="E487" s="3" t="s">
        <v>2840</v>
      </c>
      <c r="F487" s="3" t="s">
        <v>2841</v>
      </c>
      <c r="G487" s="3">
        <v>50497</v>
      </c>
      <c r="H487" s="7" t="str">
        <f>HYPERLINK("http://www.ensembl.org/Mus_musculus/Gene/Summary?db=core;g=ENSMUSG00000109865","ENSMUSG00000109865")</f>
        <v>ENSMUSG00000109865</v>
      </c>
      <c r="I487" s="7" t="str">
        <f>HYPERLINK("http://www.informatics.jax.org/marker/MGI:1354164","MGI:1354164")</f>
        <v>MGI:1354164</v>
      </c>
      <c r="J487" s="4" t="s">
        <v>12</v>
      </c>
    </row>
    <row r="488" spans="1:10" x14ac:dyDescent="0.25">
      <c r="A488" s="2">
        <v>1362.4977638211201</v>
      </c>
      <c r="B488" s="3">
        <v>0.33515981665136502</v>
      </c>
      <c r="C488" s="5">
        <v>3.5222562967116503E-5</v>
      </c>
      <c r="D488" s="4">
        <v>1.25363343573152E-3</v>
      </c>
      <c r="E488" s="3" t="s">
        <v>7838</v>
      </c>
      <c r="F488" s="3" t="s">
        <v>7839</v>
      </c>
      <c r="G488" s="3">
        <v>68801</v>
      </c>
      <c r="H488" s="7" t="str">
        <f>HYPERLINK("http://www.ensembl.org/Mus_musculus/Gene/Summary?db=core;g=ENSMUSG00000032349","ENSMUSG00000032349")</f>
        <v>ENSMUSG00000032349</v>
      </c>
      <c r="I488" s="7" t="str">
        <f>HYPERLINK("http://www.informatics.jax.org/marker/MGI:1916051","MGI:1916051")</f>
        <v>MGI:1916051</v>
      </c>
      <c r="J488" s="4" t="s">
        <v>12</v>
      </c>
    </row>
    <row r="489" spans="1:10" x14ac:dyDescent="0.25">
      <c r="A489" s="2">
        <v>675.52575306594099</v>
      </c>
      <c r="B489" s="3">
        <v>0.33419756584819899</v>
      </c>
      <c r="C489" s="3">
        <v>1.27855341795509E-3</v>
      </c>
      <c r="D489" s="4">
        <v>1.9379906053559201E-2</v>
      </c>
      <c r="E489" s="3" t="s">
        <v>2888</v>
      </c>
      <c r="F489" s="3" t="s">
        <v>2889</v>
      </c>
      <c r="G489" s="3">
        <v>16653</v>
      </c>
      <c r="H489" s="7" t="str">
        <f>HYPERLINK("http://www.ensembl.org/Mus_musculus/Gene/Summary?db=core;g=ENSMUSG00000030265","ENSMUSG00000030265")</f>
        <v>ENSMUSG00000030265</v>
      </c>
      <c r="I489" s="7" t="str">
        <f>HYPERLINK("http://www.informatics.jax.org/marker/MGI:96680","MGI:96680")</f>
        <v>MGI:96680</v>
      </c>
      <c r="J489" s="4" t="s">
        <v>12</v>
      </c>
    </row>
    <row r="490" spans="1:10" x14ac:dyDescent="0.25">
      <c r="A490" s="2">
        <v>482.44517572289402</v>
      </c>
      <c r="B490" s="3">
        <v>0.33352120233791099</v>
      </c>
      <c r="C490" s="3">
        <v>2.6629608255922099E-3</v>
      </c>
      <c r="D490" s="4">
        <v>3.3765862914809E-2</v>
      </c>
      <c r="E490" s="3" t="s">
        <v>1961</v>
      </c>
      <c r="F490" s="3" t="s">
        <v>1962</v>
      </c>
      <c r="G490" s="3">
        <v>71947</v>
      </c>
      <c r="H490" s="7" t="str">
        <f>HYPERLINK("http://www.ensembl.org/Mus_musculus/Gene/Summary?db=core;g=ENSMUSG00000020747","ENSMUSG00000020747")</f>
        <v>ENSMUSG00000020747</v>
      </c>
      <c r="I490" s="7" t="str">
        <f>HYPERLINK("http://www.informatics.jax.org/marker/MGI:1919197","MGI:1919197")</f>
        <v>MGI:1919197</v>
      </c>
      <c r="J490" s="4" t="s">
        <v>12</v>
      </c>
    </row>
    <row r="491" spans="1:10" x14ac:dyDescent="0.25">
      <c r="A491" s="2">
        <v>1452.7841104143299</v>
      </c>
      <c r="B491" s="3">
        <v>0.33320952930433501</v>
      </c>
      <c r="C491" s="3">
        <v>4.47578379453437E-4</v>
      </c>
      <c r="D491" s="4">
        <v>8.7851902857117095E-3</v>
      </c>
      <c r="E491" s="3" t="s">
        <v>3490</v>
      </c>
      <c r="F491" s="3" t="s">
        <v>3491</v>
      </c>
      <c r="G491" s="3">
        <v>70021</v>
      </c>
      <c r="H491" s="7" t="str">
        <f>HYPERLINK("http://www.ensembl.org/Mus_musculus/Gene/Summary?db=core;g=ENSMUSG00000071547","ENSMUSG00000071547")</f>
        <v>ENSMUSG00000071547</v>
      </c>
      <c r="I491" s="7" t="str">
        <f>HYPERLINK("http://www.informatics.jax.org/marker/MGI:1917271","MGI:1917271")</f>
        <v>MGI:1917271</v>
      </c>
      <c r="J491" s="4" t="s">
        <v>12</v>
      </c>
    </row>
    <row r="492" spans="1:10" x14ac:dyDescent="0.25">
      <c r="A492" s="2">
        <v>750.74041134597996</v>
      </c>
      <c r="B492" s="3">
        <v>0.331815611449506</v>
      </c>
      <c r="C492" s="3">
        <v>1.1148847757024901E-3</v>
      </c>
      <c r="D492" s="4">
        <v>1.7325751588080199E-2</v>
      </c>
      <c r="E492" s="3" t="s">
        <v>2243</v>
      </c>
      <c r="F492" s="3" t="s">
        <v>2244</v>
      </c>
      <c r="G492" s="3">
        <v>106326</v>
      </c>
      <c r="H492" s="7" t="str">
        <f>HYPERLINK("http://www.ensembl.org/Mus_musculus/Gene/Summary?db=core;g=ENSMUSG00000022807","ENSMUSG00000022807")</f>
        <v>ENSMUSG00000022807</v>
      </c>
      <c r="I492" s="7" t="str">
        <f>HYPERLINK("http://www.informatics.jax.org/marker/MGI:2146553","MGI:2146553")</f>
        <v>MGI:2146553</v>
      </c>
      <c r="J492" s="4" t="s">
        <v>12</v>
      </c>
    </row>
    <row r="493" spans="1:10" x14ac:dyDescent="0.25">
      <c r="A493" s="2">
        <v>1252.9809718809099</v>
      </c>
      <c r="B493" s="3">
        <v>0.33143093979452898</v>
      </c>
      <c r="C493" s="3">
        <v>3.3344612719890601E-3</v>
      </c>
      <c r="D493" s="4">
        <v>3.96015690877096E-2</v>
      </c>
      <c r="E493" s="3" t="s">
        <v>4641</v>
      </c>
      <c r="F493" s="3" t="s">
        <v>4642</v>
      </c>
      <c r="G493" s="3">
        <v>67241</v>
      </c>
      <c r="H493" s="7" t="str">
        <f>HYPERLINK("http://www.ensembl.org/Mus_musculus/Gene/Summary?db=core;g=ENSMUSG00000020608","ENSMUSG00000020608")</f>
        <v>ENSMUSG00000020608</v>
      </c>
      <c r="I493" s="7" t="str">
        <f>HYPERLINK("http://www.informatics.jax.org/marker/MGI:1914491","MGI:1914491")</f>
        <v>MGI:1914491</v>
      </c>
      <c r="J493" s="4" t="s">
        <v>12</v>
      </c>
    </row>
    <row r="494" spans="1:10" x14ac:dyDescent="0.25">
      <c r="A494" s="2">
        <v>1565.8534900695499</v>
      </c>
      <c r="B494" s="3">
        <v>0.330810561475399</v>
      </c>
      <c r="C494" s="3">
        <v>3.4956443038273901E-4</v>
      </c>
      <c r="D494" s="4">
        <v>7.3213242989099998E-3</v>
      </c>
      <c r="E494" s="3" t="s">
        <v>3038</v>
      </c>
      <c r="F494" s="3" t="s">
        <v>3039</v>
      </c>
      <c r="G494" s="3">
        <v>238505</v>
      </c>
      <c r="H494" s="7" t="str">
        <f>HYPERLINK("http://www.ensembl.org/Mus_musculus/Gene/Summary?db=core;g=ENSMUSG00000021311","ENSMUSG00000021311")</f>
        <v>ENSMUSG00000021311</v>
      </c>
      <c r="I494" s="7" t="str">
        <f>HYPERLINK("http://www.informatics.jax.org/marker/MGI:894292","MGI:894292")</f>
        <v>MGI:894292</v>
      </c>
      <c r="J494" s="4" t="s">
        <v>12</v>
      </c>
    </row>
    <row r="495" spans="1:10" x14ac:dyDescent="0.25">
      <c r="A495" s="2">
        <v>547.56229233657996</v>
      </c>
      <c r="B495" s="3">
        <v>0.33032289018929401</v>
      </c>
      <c r="C495" s="3">
        <v>2.6696074757566399E-3</v>
      </c>
      <c r="D495" s="4">
        <v>3.3812021711525801E-2</v>
      </c>
      <c r="E495" s="3" t="s">
        <v>7456</v>
      </c>
      <c r="F495" s="3" t="s">
        <v>7457</v>
      </c>
      <c r="G495" s="3">
        <v>14020</v>
      </c>
      <c r="H495" s="7" t="str">
        <f>HYPERLINK("http://www.ensembl.org/Mus_musculus/Gene/Summary?db=core;g=ENSMUSG00000011831","ENSMUSG00000011831")</f>
        <v>ENSMUSG00000011831</v>
      </c>
      <c r="I495" s="7" t="str">
        <f>HYPERLINK("http://www.informatics.jax.org/marker/MGI:104736","MGI:104736")</f>
        <v>MGI:104736</v>
      </c>
      <c r="J495" s="4" t="s">
        <v>12</v>
      </c>
    </row>
    <row r="496" spans="1:10" x14ac:dyDescent="0.25">
      <c r="A496" s="2">
        <v>693.49377709401597</v>
      </c>
      <c r="B496" s="3">
        <v>0.32975526340611699</v>
      </c>
      <c r="C496" s="5">
        <v>5.3057317113230203E-5</v>
      </c>
      <c r="D496" s="4">
        <v>1.71227048513646E-3</v>
      </c>
      <c r="E496" s="3" t="s">
        <v>3206</v>
      </c>
      <c r="F496" s="3" t="s">
        <v>3207</v>
      </c>
      <c r="G496" s="3">
        <v>244879</v>
      </c>
      <c r="H496" s="7" t="str">
        <f>HYPERLINK("http://www.ensembl.org/Mus_musculus/Gene/Summary?db=core;g=ENSMUSG00000033054","ENSMUSG00000033054")</f>
        <v>ENSMUSG00000033054</v>
      </c>
      <c r="I496" s="7" t="str">
        <f>HYPERLINK("http://www.informatics.jax.org/marker/MGI:107605","MGI:107605")</f>
        <v>MGI:107605</v>
      </c>
      <c r="J496" s="4" t="s">
        <v>12</v>
      </c>
    </row>
    <row r="497" spans="1:10" x14ac:dyDescent="0.25">
      <c r="A497" s="2">
        <v>798.09253789647903</v>
      </c>
      <c r="B497" s="3">
        <v>0.32927214483103201</v>
      </c>
      <c r="C497" s="3">
        <v>1.3929331756349299E-4</v>
      </c>
      <c r="D497" s="4">
        <v>3.4931161227647598E-3</v>
      </c>
      <c r="E497" s="3" t="s">
        <v>5413</v>
      </c>
      <c r="F497" s="3" t="s">
        <v>5414</v>
      </c>
      <c r="G497" s="3">
        <v>14423</v>
      </c>
      <c r="H497" s="7" t="str">
        <f>HYPERLINK("http://www.ensembl.org/Mus_musculus/Gene/Summary?db=core;g=ENSMUSG00000000420","ENSMUSG00000000420")</f>
        <v>ENSMUSG00000000420</v>
      </c>
      <c r="I497" s="7" t="str">
        <f>HYPERLINK("http://www.informatics.jax.org/marker/MGI:894693","MGI:894693")</f>
        <v>MGI:894693</v>
      </c>
      <c r="J497" s="4" t="s">
        <v>12</v>
      </c>
    </row>
    <row r="498" spans="1:10" x14ac:dyDescent="0.25">
      <c r="A498" s="2">
        <v>845.97664020010996</v>
      </c>
      <c r="B498" s="3">
        <v>0.32817577962992001</v>
      </c>
      <c r="C498" s="3">
        <v>4.1337986073914599E-4</v>
      </c>
      <c r="D498" s="4">
        <v>8.2580520314976397E-3</v>
      </c>
      <c r="E498" s="3" t="s">
        <v>2948</v>
      </c>
      <c r="F498" s="3" t="s">
        <v>2949</v>
      </c>
      <c r="G498" s="3">
        <v>330064</v>
      </c>
      <c r="H498" s="7" t="str">
        <f>HYPERLINK("http://www.ensembl.org/Mus_musculus/Gene/Summary?db=core;g=ENSMUSG00000006641","ENSMUSG00000006641")</f>
        <v>ENSMUSG00000006641</v>
      </c>
      <c r="I498" s="7" t="str">
        <f>HYPERLINK("http://www.informatics.jax.org/marker/MGI:2660847","MGI:2660847")</f>
        <v>MGI:2660847</v>
      </c>
      <c r="J498" s="4" t="s">
        <v>12</v>
      </c>
    </row>
    <row r="499" spans="1:10" x14ac:dyDescent="0.25">
      <c r="A499" s="2">
        <v>671.21791090844704</v>
      </c>
      <c r="B499" s="3">
        <v>0.32747494918316</v>
      </c>
      <c r="C499" s="3">
        <v>1.1426757360384299E-4</v>
      </c>
      <c r="D499" s="4">
        <v>2.9749245377834002E-3</v>
      </c>
      <c r="E499" s="3" t="s">
        <v>4433</v>
      </c>
      <c r="F499" s="3" t="s">
        <v>4434</v>
      </c>
      <c r="G499" s="3">
        <v>21343</v>
      </c>
      <c r="H499" s="7" t="str">
        <f>HYPERLINK("http://www.ensembl.org/Mus_musculus/Gene/Summary?db=core;g=ENSMUSG00000036980","ENSMUSG00000036980")</f>
        <v>ENSMUSG00000036980</v>
      </c>
      <c r="I499" s="7" t="str">
        <f>HYPERLINK("http://www.informatics.jax.org/marker/MGI:109129","MGI:109129")</f>
        <v>MGI:109129</v>
      </c>
      <c r="J499" s="4" t="s">
        <v>12</v>
      </c>
    </row>
    <row r="500" spans="1:10" x14ac:dyDescent="0.25">
      <c r="A500" s="2">
        <v>609.16132692744202</v>
      </c>
      <c r="B500" s="3">
        <v>0.326443437894604</v>
      </c>
      <c r="C500" s="5">
        <v>9.5467200831934198E-5</v>
      </c>
      <c r="D500" s="4">
        <v>2.5564752565637198E-3</v>
      </c>
      <c r="E500" s="3" t="s">
        <v>1774</v>
      </c>
      <c r="F500" s="3" t="s">
        <v>1775</v>
      </c>
      <c r="G500" s="3">
        <v>225326</v>
      </c>
      <c r="H500" s="7" t="str">
        <f>HYPERLINK("http://www.ensembl.org/Mus_musculus/Gene/Summary?db=core;g=ENSMUSG00000033628","ENSMUSG00000033628")</f>
        <v>ENSMUSG00000033628</v>
      </c>
      <c r="I500" s="7" t="str">
        <f>HYPERLINK("http://www.informatics.jax.org/marker/MGI:2445019","MGI:2445019")</f>
        <v>MGI:2445019</v>
      </c>
      <c r="J500" s="4" t="s">
        <v>12</v>
      </c>
    </row>
    <row r="501" spans="1:10" x14ac:dyDescent="0.25">
      <c r="A501" s="2">
        <v>421.32137996165699</v>
      </c>
      <c r="B501" s="3">
        <v>0.32257542033402398</v>
      </c>
      <c r="C501" s="3">
        <v>1.4249606274729001E-3</v>
      </c>
      <c r="D501" s="4">
        <v>2.1227194936672401E-2</v>
      </c>
      <c r="E501" s="3" t="s">
        <v>1206</v>
      </c>
      <c r="F501" s="3" t="s">
        <v>1207</v>
      </c>
      <c r="G501" s="3">
        <v>71389</v>
      </c>
      <c r="H501" s="7" t="str">
        <f>HYPERLINK("http://www.ensembl.org/Mus_musculus/Gene/Summary?db=core;g=ENSMUSG00000057133","ENSMUSG00000057133")</f>
        <v>ENSMUSG00000057133</v>
      </c>
      <c r="I501" s="7" t="str">
        <f>HYPERLINK("http://www.informatics.jax.org/marker/MGI:1918639","MGI:1918639")</f>
        <v>MGI:1918639</v>
      </c>
      <c r="J501" s="4" t="s">
        <v>12</v>
      </c>
    </row>
    <row r="502" spans="1:10" x14ac:dyDescent="0.25">
      <c r="A502" s="2">
        <v>1711.7222522647201</v>
      </c>
      <c r="B502" s="3">
        <v>0.322333125262521</v>
      </c>
      <c r="C502" s="5">
        <v>1.4111972452916801E-5</v>
      </c>
      <c r="D502" s="4">
        <v>6.1998966475763798E-4</v>
      </c>
      <c r="E502" s="3" t="s">
        <v>296</v>
      </c>
      <c r="F502" s="3" t="s">
        <v>297</v>
      </c>
      <c r="G502" s="3">
        <v>14673</v>
      </c>
      <c r="H502" s="7" t="str">
        <f>HYPERLINK("http://www.ensembl.org/Mus_musculus/Gene/Summary?db=core;g=ENSMUSG00000000149","ENSMUSG00000000149")</f>
        <v>ENSMUSG00000000149</v>
      </c>
      <c r="I502" s="7" t="str">
        <f>HYPERLINK("http://www.informatics.jax.org/marker/MGI:95767","MGI:95767")</f>
        <v>MGI:95767</v>
      </c>
      <c r="J502" s="4" t="s">
        <v>12</v>
      </c>
    </row>
    <row r="503" spans="1:10" x14ac:dyDescent="0.25">
      <c r="A503" s="2">
        <v>2043.5115000434</v>
      </c>
      <c r="B503" s="3">
        <v>0.32163454551216403</v>
      </c>
      <c r="C503" s="3">
        <v>8.8960915661492998E-4</v>
      </c>
      <c r="D503" s="4">
        <v>1.45639507779449E-2</v>
      </c>
      <c r="E503" s="3" t="s">
        <v>1300</v>
      </c>
      <c r="F503" s="3" t="s">
        <v>1301</v>
      </c>
      <c r="G503" s="3">
        <v>19687</v>
      </c>
      <c r="H503" s="7" t="str">
        <f>HYPERLINK("http://www.ensembl.org/Mus_musculus/Gene/Summary?db=core;g=ENSMUSG00000029191","ENSMUSG00000029191")</f>
        <v>ENSMUSG00000029191</v>
      </c>
      <c r="I503" s="7" t="str">
        <f>HYPERLINK("http://www.informatics.jax.org/marker/MGI:97891","MGI:97891")</f>
        <v>MGI:97891</v>
      </c>
      <c r="J503" s="4" t="s">
        <v>12</v>
      </c>
    </row>
    <row r="504" spans="1:10" x14ac:dyDescent="0.25">
      <c r="A504" s="2">
        <v>467.20419597015098</v>
      </c>
      <c r="B504" s="3">
        <v>0.32124759347640403</v>
      </c>
      <c r="C504" s="3">
        <v>2.3172010402899399E-3</v>
      </c>
      <c r="D504" s="4">
        <v>3.0588685563545701E-2</v>
      </c>
      <c r="E504" s="3" t="s">
        <v>3094</v>
      </c>
      <c r="F504" s="3" t="s">
        <v>3095</v>
      </c>
      <c r="G504" s="3">
        <v>12366</v>
      </c>
      <c r="H504" s="7" t="str">
        <f>HYPERLINK("http://www.ensembl.org/Mus_musculus/Gene/Summary?db=core;g=ENSMUSG00000029863","ENSMUSG00000029863")</f>
        <v>ENSMUSG00000029863</v>
      </c>
      <c r="I504" s="7" t="str">
        <f>HYPERLINK("http://www.informatics.jax.org/marker/MGI:97295","MGI:97295")</f>
        <v>MGI:97295</v>
      </c>
      <c r="J504" s="4" t="s">
        <v>12</v>
      </c>
    </row>
    <row r="505" spans="1:10" x14ac:dyDescent="0.25">
      <c r="A505" s="2">
        <v>597.28715052132998</v>
      </c>
      <c r="B505" s="3">
        <v>0.32033878718201703</v>
      </c>
      <c r="C505" s="3">
        <v>8.1230327133482104E-4</v>
      </c>
      <c r="D505" s="4">
        <v>1.3629056963941601E-2</v>
      </c>
      <c r="E505" s="3" t="s">
        <v>16137</v>
      </c>
      <c r="F505" s="3" t="s">
        <v>16138</v>
      </c>
      <c r="G505" s="3">
        <v>26569</v>
      </c>
      <c r="H505" s="7" t="str">
        <f>HYPERLINK("http://www.ensembl.org/Mus_musculus/Gene/Summary?db=core;g=ENSMUSG00000059316","ENSMUSG00000059316")</f>
        <v>ENSMUSG00000059316</v>
      </c>
      <c r="I505" s="7" t="str">
        <f>HYPERLINK("http://www.informatics.jax.org/marker/MGI:1347347","MGI:1347347")</f>
        <v>MGI:1347347</v>
      </c>
      <c r="J505" s="4" t="s">
        <v>12</v>
      </c>
    </row>
    <row r="506" spans="1:10" x14ac:dyDescent="0.25">
      <c r="A506" s="2">
        <v>1413.92698199856</v>
      </c>
      <c r="B506" s="3">
        <v>0.31965157663167698</v>
      </c>
      <c r="C506" s="3">
        <v>2.6486649592008301E-3</v>
      </c>
      <c r="D506" s="4">
        <v>3.3660491295064099E-2</v>
      </c>
      <c r="E506" s="3" t="s">
        <v>3072</v>
      </c>
      <c r="F506" s="3" t="s">
        <v>3073</v>
      </c>
      <c r="G506" s="3">
        <v>23854</v>
      </c>
      <c r="H506" s="7" t="str">
        <f>HYPERLINK("http://www.ensembl.org/Mus_musculus/Gene/Summary?db=core;g=ENSMUSG00000001482","ENSMUSG00000001482")</f>
        <v>ENSMUSG00000001482</v>
      </c>
      <c r="I506" s="7" t="str">
        <f>HYPERLINK("http://www.informatics.jax.org/marker/MGI:1346331","MGI:1346331")</f>
        <v>MGI:1346331</v>
      </c>
      <c r="J506" s="4" t="s">
        <v>12</v>
      </c>
    </row>
    <row r="507" spans="1:10" x14ac:dyDescent="0.25">
      <c r="A507" s="2">
        <v>705.74440382038301</v>
      </c>
      <c r="B507" s="3">
        <v>0.31930177657968201</v>
      </c>
      <c r="C507" s="3">
        <v>2.0057621976873099E-4</v>
      </c>
      <c r="D507" s="4">
        <v>4.7997462632742996E-3</v>
      </c>
      <c r="E507" s="3" t="s">
        <v>2027</v>
      </c>
      <c r="F507" s="3" t="s">
        <v>2028</v>
      </c>
      <c r="G507" s="3">
        <v>59016</v>
      </c>
      <c r="H507" s="7" t="str">
        <f>HYPERLINK("http://www.ensembl.org/Mus_musculus/Gene/Summary?db=core;g=ENSMUSG00000036442","ENSMUSG00000036442")</f>
        <v>ENSMUSG00000036442</v>
      </c>
      <c r="I507" s="7" t="str">
        <f>HYPERLINK("http://www.informatics.jax.org/marker/MGI:1930964","MGI:1930964")</f>
        <v>MGI:1930964</v>
      </c>
      <c r="J507" s="4" t="s">
        <v>12</v>
      </c>
    </row>
    <row r="508" spans="1:10" x14ac:dyDescent="0.25">
      <c r="A508" s="2">
        <v>1062.81400998035</v>
      </c>
      <c r="B508" s="3">
        <v>0.31877000714958798</v>
      </c>
      <c r="C508" s="5">
        <v>1.29214359461945E-7</v>
      </c>
      <c r="D508" s="6">
        <v>1.49822051635928E-5</v>
      </c>
      <c r="E508" s="3" t="s">
        <v>7462</v>
      </c>
      <c r="F508" s="3" t="s">
        <v>7463</v>
      </c>
      <c r="G508" s="3">
        <v>103733</v>
      </c>
      <c r="H508" s="7" t="str">
        <f>HYPERLINK("http://www.ensembl.org/Mus_musculus/Gene/Summary?db=core;g=ENSMUSG00000035198","ENSMUSG00000035198")</f>
        <v>ENSMUSG00000035198</v>
      </c>
      <c r="I508" s="7" t="str">
        <f>HYPERLINK("http://www.informatics.jax.org/marker/MGI:101834","MGI:101834")</f>
        <v>MGI:101834</v>
      </c>
      <c r="J508" s="4" t="s">
        <v>12</v>
      </c>
    </row>
    <row r="509" spans="1:10" x14ac:dyDescent="0.25">
      <c r="A509" s="2">
        <v>447.395826542669</v>
      </c>
      <c r="B509" s="3">
        <v>0.31861310705340301</v>
      </c>
      <c r="C509" s="3">
        <v>8.1311436141236096E-4</v>
      </c>
      <c r="D509" s="4">
        <v>1.3629056963941601E-2</v>
      </c>
      <c r="E509" s="3" t="s">
        <v>2696</v>
      </c>
      <c r="F509" s="3" t="s">
        <v>2697</v>
      </c>
      <c r="G509" s="3">
        <v>66664</v>
      </c>
      <c r="H509" s="7" t="str">
        <f>HYPERLINK("http://www.ensembl.org/Mus_musculus/Gene/Summary?db=core;g=ENSMUSG00000022856","ENSMUSG00000022856")</f>
        <v>ENSMUSG00000022856</v>
      </c>
      <c r="I509" s="7" t="str">
        <f>HYPERLINK("http://www.informatics.jax.org/marker/MGI:1913914","MGI:1913914")</f>
        <v>MGI:1913914</v>
      </c>
      <c r="J509" s="4" t="s">
        <v>12</v>
      </c>
    </row>
    <row r="510" spans="1:10" x14ac:dyDescent="0.25">
      <c r="A510" s="2">
        <v>998.63260172391904</v>
      </c>
      <c r="B510" s="3">
        <v>0.31811359177802401</v>
      </c>
      <c r="C510" s="3">
        <v>2.1894863856344402E-3</v>
      </c>
      <c r="D510" s="4">
        <v>2.9331073722848999E-2</v>
      </c>
      <c r="E510" s="3" t="s">
        <v>3628</v>
      </c>
      <c r="F510" s="3" t="s">
        <v>3629</v>
      </c>
      <c r="G510" s="3">
        <v>14229</v>
      </c>
      <c r="H510" s="7" t="str">
        <f>HYPERLINK("http://www.ensembl.org/Mus_musculus/Gene/Summary?db=core;g=ENSMUSG00000024222","ENSMUSG00000024222")</f>
        <v>ENSMUSG00000024222</v>
      </c>
      <c r="I510" s="7" t="str">
        <f>HYPERLINK("http://www.informatics.jax.org/marker/MGI:104670","MGI:104670")</f>
        <v>MGI:104670</v>
      </c>
      <c r="J510" s="4" t="s">
        <v>12</v>
      </c>
    </row>
    <row r="511" spans="1:10" x14ac:dyDescent="0.25">
      <c r="A511" s="2">
        <v>3266.2407018276299</v>
      </c>
      <c r="B511" s="3">
        <v>0.316117853260663</v>
      </c>
      <c r="C511" s="5">
        <v>1.2613311024108199E-5</v>
      </c>
      <c r="D511" s="4">
        <v>5.6972654252266904E-4</v>
      </c>
      <c r="E511" s="3" t="s">
        <v>716</v>
      </c>
      <c r="F511" s="3" t="s">
        <v>717</v>
      </c>
      <c r="G511" s="3">
        <v>13688</v>
      </c>
      <c r="H511" s="7" t="str">
        <f>HYPERLINK("http://www.ensembl.org/Mus_musculus/Gene/Summary?db=core;g=ENSMUSG00000020091","ENSMUSG00000020091")</f>
        <v>ENSMUSG00000020091</v>
      </c>
      <c r="I511" s="7" t="str">
        <f>HYPERLINK("http://www.informatics.jax.org/marker/MGI:109198","MGI:109198")</f>
        <v>MGI:109198</v>
      </c>
      <c r="J511" s="4" t="s">
        <v>12</v>
      </c>
    </row>
    <row r="512" spans="1:10" x14ac:dyDescent="0.25">
      <c r="A512" s="2">
        <v>2724.0846691068</v>
      </c>
      <c r="B512" s="3">
        <v>0.31538522250537498</v>
      </c>
      <c r="C512" s="3">
        <v>1.09120168555599E-3</v>
      </c>
      <c r="D512" s="4">
        <v>1.71407058064919E-2</v>
      </c>
      <c r="E512" s="3" t="s">
        <v>572</v>
      </c>
      <c r="F512" s="3" t="s">
        <v>573</v>
      </c>
      <c r="G512" s="3">
        <v>23880</v>
      </c>
      <c r="H512" s="7" t="str">
        <f>HYPERLINK("http://www.ensembl.org/Mus_musculus/Gene/Summary?db=core;g=ENSMUSG00000022148","ENSMUSG00000022148")</f>
        <v>ENSMUSG00000022148</v>
      </c>
      <c r="I512" s="7" t="str">
        <f>HYPERLINK("http://www.informatics.jax.org/marker/MGI:1346327","MGI:1346327")</f>
        <v>MGI:1346327</v>
      </c>
      <c r="J512" s="4" t="s">
        <v>12</v>
      </c>
    </row>
    <row r="513" spans="1:10" x14ac:dyDescent="0.25">
      <c r="A513" s="2">
        <v>2414.8417693134502</v>
      </c>
      <c r="B513" s="3">
        <v>0.31531865009045201</v>
      </c>
      <c r="C513" s="3">
        <v>3.8309257702054999E-3</v>
      </c>
      <c r="D513" s="4">
        <v>4.3831558634284E-2</v>
      </c>
      <c r="E513" s="3" t="s">
        <v>1366</v>
      </c>
      <c r="F513" s="3" t="s">
        <v>1367</v>
      </c>
      <c r="G513" s="3">
        <v>241274</v>
      </c>
      <c r="H513" s="7" t="str">
        <f>HYPERLINK("http://www.ensembl.org/Mus_musculus/Gene/Summary?db=core;g=ENSMUSG00000036833","ENSMUSG00000036833")</f>
        <v>ENSMUSG00000036833</v>
      </c>
      <c r="I513" s="7" t="str">
        <f>HYPERLINK("http://www.informatics.jax.org/marker/MGI:2385325","MGI:2385325")</f>
        <v>MGI:2385325</v>
      </c>
      <c r="J513" s="4" t="s">
        <v>12</v>
      </c>
    </row>
    <row r="514" spans="1:10" x14ac:dyDescent="0.25">
      <c r="A514" s="2">
        <v>2193.65224950116</v>
      </c>
      <c r="B514" s="3">
        <v>0.31504713034522502</v>
      </c>
      <c r="C514" s="3">
        <v>1.54963092884288E-3</v>
      </c>
      <c r="D514" s="4">
        <v>2.2401926808092401E-2</v>
      </c>
      <c r="E514" s="3" t="s">
        <v>6445</v>
      </c>
      <c r="F514" s="3" t="s">
        <v>6446</v>
      </c>
      <c r="G514" s="3">
        <v>230484</v>
      </c>
      <c r="H514" s="7" t="str">
        <f>HYPERLINK("http://www.ensembl.org/Mus_musculus/Gene/Summary?db=core;g=ENSMUSG00000028560","ENSMUSG00000028560")</f>
        <v>ENSMUSG00000028560</v>
      </c>
      <c r="I514" s="7" t="str">
        <f>HYPERLINK("http://www.informatics.jax.org/marker/MGI:2385198","MGI:2385198")</f>
        <v>MGI:2385198</v>
      </c>
      <c r="J514" s="4" t="s">
        <v>12</v>
      </c>
    </row>
    <row r="515" spans="1:10" x14ac:dyDescent="0.25">
      <c r="A515" s="2">
        <v>2498.4148934836398</v>
      </c>
      <c r="B515" s="3">
        <v>0.31006425469647603</v>
      </c>
      <c r="C515" s="3">
        <v>3.4136768148228101E-4</v>
      </c>
      <c r="D515" s="4">
        <v>7.2168464541940199E-3</v>
      </c>
      <c r="E515" s="3" t="s">
        <v>680</v>
      </c>
      <c r="F515" s="3" t="s">
        <v>681</v>
      </c>
      <c r="G515" s="3">
        <v>106572</v>
      </c>
      <c r="H515" s="7" t="str">
        <f>HYPERLINK("http://www.ensembl.org/Mus_musculus/Gene/Summary?db=core;g=ENSMUSG00000056515","ENSMUSG00000056515")</f>
        <v>ENSMUSG00000056515</v>
      </c>
      <c r="I515" s="7" t="str">
        <f>HYPERLINK("http://www.informatics.jax.org/marker/MGI:1914603","MGI:1914603")</f>
        <v>MGI:1914603</v>
      </c>
      <c r="J515" s="4" t="s">
        <v>12</v>
      </c>
    </row>
    <row r="516" spans="1:10" x14ac:dyDescent="0.25">
      <c r="A516" s="2">
        <v>1245.2734517638701</v>
      </c>
      <c r="B516" s="3">
        <v>0.30935952056065202</v>
      </c>
      <c r="C516" s="5">
        <v>1.11664047212136E-6</v>
      </c>
      <c r="D516" s="6">
        <v>8.2084022156528696E-5</v>
      </c>
      <c r="E516" s="3" t="s">
        <v>1534</v>
      </c>
      <c r="F516" s="3" t="s">
        <v>1535</v>
      </c>
      <c r="G516" s="3">
        <v>13138</v>
      </c>
      <c r="H516" s="7" t="str">
        <f>HYPERLINK("http://www.ensembl.org/Mus_musculus/Gene/Summary?db=core;g=ENSMUSG00000039952","ENSMUSG00000039952")</f>
        <v>ENSMUSG00000039952</v>
      </c>
      <c r="I516" s="7" t="str">
        <f>HYPERLINK("http://www.informatics.jax.org/marker/MGI:101864","MGI:101864")</f>
        <v>MGI:101864</v>
      </c>
      <c r="J516" s="4" t="s">
        <v>12</v>
      </c>
    </row>
    <row r="517" spans="1:10" x14ac:dyDescent="0.25">
      <c r="A517" s="2">
        <v>690.28323564110099</v>
      </c>
      <c r="B517" s="3">
        <v>0.30875718308344402</v>
      </c>
      <c r="C517" s="3">
        <v>2.2846051552301602E-3</v>
      </c>
      <c r="D517" s="4">
        <v>3.02786268980526E-2</v>
      </c>
      <c r="E517" s="3" t="s">
        <v>4633</v>
      </c>
      <c r="F517" s="3" t="s">
        <v>4634</v>
      </c>
      <c r="G517" s="3">
        <v>56218</v>
      </c>
      <c r="H517" s="7" t="str">
        <f>HYPERLINK("http://www.ensembl.org/Mus_musculus/Gene/Summary?db=core;g=ENSMUSG00000020453","ENSMUSG00000020453")</f>
        <v>ENSMUSG00000020453</v>
      </c>
      <c r="I517" s="7" t="str">
        <f>HYPERLINK("http://www.informatics.jax.org/marker/MGI:1891832","MGI:1891832")</f>
        <v>MGI:1891832</v>
      </c>
      <c r="J517" s="4" t="s">
        <v>12</v>
      </c>
    </row>
    <row r="518" spans="1:10" x14ac:dyDescent="0.25">
      <c r="A518" s="2">
        <v>558.84384653445295</v>
      </c>
      <c r="B518" s="3">
        <v>0.30872421939976102</v>
      </c>
      <c r="C518" s="3">
        <v>8.1700106220300504E-4</v>
      </c>
      <c r="D518" s="4">
        <v>1.3673825813388701E-2</v>
      </c>
      <c r="E518" s="3" t="s">
        <v>2279</v>
      </c>
      <c r="F518" s="3" t="s">
        <v>2280</v>
      </c>
      <c r="G518" s="3">
        <v>71900</v>
      </c>
      <c r="H518" s="7" t="str">
        <f>HYPERLINK("http://www.ensembl.org/Mus_musculus/Gene/Summary?db=core;g=ENSMUSG00000029571","ENSMUSG00000029571")</f>
        <v>ENSMUSG00000029571</v>
      </c>
      <c r="I518" s="7" t="str">
        <f>HYPERLINK("http://www.informatics.jax.org/marker/MGI:1919150","MGI:1919150")</f>
        <v>MGI:1919150</v>
      </c>
      <c r="J518" s="4" t="s">
        <v>12</v>
      </c>
    </row>
    <row r="519" spans="1:10" x14ac:dyDescent="0.25">
      <c r="A519" s="2">
        <v>562.02993018480004</v>
      </c>
      <c r="B519" s="3">
        <v>0.308242034838691</v>
      </c>
      <c r="C519" s="3">
        <v>1.8636019956788999E-3</v>
      </c>
      <c r="D519" s="4">
        <v>2.5908444555501401E-2</v>
      </c>
      <c r="E519" s="3" t="s">
        <v>8339</v>
      </c>
      <c r="F519" s="3" t="s">
        <v>8340</v>
      </c>
      <c r="G519" s="3">
        <v>66934</v>
      </c>
      <c r="H519" s="7" t="str">
        <f>HYPERLINK("http://www.ensembl.org/Mus_musculus/Gene/Summary?db=core;g=ENSMUSG00000027635","ENSMUSG00000027635")</f>
        <v>ENSMUSG00000027635</v>
      </c>
      <c r="I519" s="7" t="str">
        <f>HYPERLINK("http://www.informatics.jax.org/marker/MGI:1914184","MGI:1914184")</f>
        <v>MGI:1914184</v>
      </c>
      <c r="J519" s="4" t="s">
        <v>12</v>
      </c>
    </row>
    <row r="520" spans="1:10" x14ac:dyDescent="0.25">
      <c r="A520" s="2">
        <v>1812.9835976822201</v>
      </c>
      <c r="B520" s="3">
        <v>0.30789145836265602</v>
      </c>
      <c r="C520" s="5">
        <v>8.0104343794050293E-5</v>
      </c>
      <c r="D520" s="4">
        <v>2.2636521473660401E-3</v>
      </c>
      <c r="E520" s="3" t="s">
        <v>5599</v>
      </c>
      <c r="F520" s="3" t="s">
        <v>5600</v>
      </c>
      <c r="G520" s="3">
        <v>239667</v>
      </c>
      <c r="H520" s="7" t="str">
        <f>HYPERLINK("http://www.ensembl.org/Mus_musculus/Gene/Summary?db=core;g=ENSMUSG00000023026","ENSMUSG00000023026")</f>
        <v>ENSMUSG00000023026</v>
      </c>
      <c r="I520" s="7" t="str">
        <f>HYPERLINK("http://www.informatics.jax.org/marker/MGI:2145977","MGI:2145977")</f>
        <v>MGI:2145977</v>
      </c>
      <c r="J520" s="4" t="s">
        <v>12</v>
      </c>
    </row>
    <row r="521" spans="1:10" x14ac:dyDescent="0.25">
      <c r="A521" s="2">
        <v>1031.5189432908701</v>
      </c>
      <c r="B521" s="3">
        <v>0.30733104178423898</v>
      </c>
      <c r="C521" s="3">
        <v>3.6447760006090599E-3</v>
      </c>
      <c r="D521" s="4">
        <v>4.2567804443250402E-2</v>
      </c>
      <c r="E521" s="3" t="s">
        <v>498</v>
      </c>
      <c r="F521" s="3" t="s">
        <v>499</v>
      </c>
      <c r="G521" s="3">
        <v>70604</v>
      </c>
      <c r="H521" s="7" t="str">
        <f>HYPERLINK("http://www.ensembl.org/Mus_musculus/Gene/Summary?db=core;g=ENSMUSG00000074212","ENSMUSG00000074212")</f>
        <v>ENSMUSG00000074212</v>
      </c>
      <c r="I521" s="7" t="str">
        <f>HYPERLINK("http://www.informatics.jax.org/marker/MGI:1917854","MGI:1917854")</f>
        <v>MGI:1917854</v>
      </c>
      <c r="J521" s="4" t="s">
        <v>12</v>
      </c>
    </row>
    <row r="522" spans="1:10" x14ac:dyDescent="0.25">
      <c r="A522" s="2">
        <v>611.605852523615</v>
      </c>
      <c r="B522" s="3">
        <v>0.30489370287442202</v>
      </c>
      <c r="C522" s="3">
        <v>9.9497518831704094E-4</v>
      </c>
      <c r="D522" s="4">
        <v>1.5895576623582E-2</v>
      </c>
      <c r="E522" s="3" t="s">
        <v>14772</v>
      </c>
      <c r="F522" s="3" t="s">
        <v>14773</v>
      </c>
      <c r="G522" s="3">
        <v>17997</v>
      </c>
      <c r="H522" s="7" t="str">
        <f>HYPERLINK("http://www.ensembl.org/Mus_musculus/Gene/Summary?db=core;g=ENSMUSG00000019988","ENSMUSG00000019988")</f>
        <v>ENSMUSG00000019988</v>
      </c>
      <c r="I522" s="7" t="str">
        <f>HYPERLINK("http://www.informatics.jax.org/marker/MGI:97293","MGI:97293")</f>
        <v>MGI:97293</v>
      </c>
      <c r="J522" s="4" t="s">
        <v>12</v>
      </c>
    </row>
    <row r="523" spans="1:10" x14ac:dyDescent="0.25">
      <c r="A523" s="2">
        <v>3586.9282263007799</v>
      </c>
      <c r="B523" s="3">
        <v>0.30488399423359402</v>
      </c>
      <c r="C523" s="3">
        <v>5.6232629276823601E-4</v>
      </c>
      <c r="D523" s="4">
        <v>1.04709996933185E-2</v>
      </c>
      <c r="E523" s="3" t="s">
        <v>4891</v>
      </c>
      <c r="F523" s="3" t="s">
        <v>4892</v>
      </c>
      <c r="G523" s="3">
        <v>67177</v>
      </c>
      <c r="H523" s="7" t="str">
        <f>HYPERLINK("http://www.ensembl.org/Mus_musculus/Gene/Summary?db=core;g=ENSMUSG00000006585","ENSMUSG00000006585")</f>
        <v>ENSMUSG00000006585</v>
      </c>
      <c r="I523" s="7" t="str">
        <f>HYPERLINK("http://www.informatics.jax.org/marker/MGI:1914427","MGI:1914427")</f>
        <v>MGI:1914427</v>
      </c>
      <c r="J523" s="4" t="s">
        <v>12</v>
      </c>
    </row>
    <row r="524" spans="1:10" x14ac:dyDescent="0.25">
      <c r="A524" s="2">
        <v>1774.2870867644101</v>
      </c>
      <c r="B524" s="3">
        <v>0.30163539858080601</v>
      </c>
      <c r="C524" s="3">
        <v>3.57359423108866E-4</v>
      </c>
      <c r="D524" s="4">
        <v>7.4292447905830198E-3</v>
      </c>
      <c r="E524" s="3" t="s">
        <v>4607</v>
      </c>
      <c r="F524" s="3" t="s">
        <v>4608</v>
      </c>
      <c r="G524" s="3">
        <v>66953</v>
      </c>
      <c r="H524" s="7" t="str">
        <f>HYPERLINK("http://www.ensembl.org/Mus_musculus/Gene/Summary?db=core;g=ENSMUSG00000055612","ENSMUSG00000055612")</f>
        <v>ENSMUSG00000055612</v>
      </c>
      <c r="I524" s="7" t="str">
        <f>HYPERLINK("http://www.informatics.jax.org/marker/MGI:1914203","MGI:1914203")</f>
        <v>MGI:1914203</v>
      </c>
      <c r="J524" s="4" t="s">
        <v>12</v>
      </c>
    </row>
    <row r="525" spans="1:10" x14ac:dyDescent="0.25">
      <c r="A525" s="2">
        <v>638.38248669223105</v>
      </c>
      <c r="B525" s="3">
        <v>0.30140786426143401</v>
      </c>
      <c r="C525" s="3">
        <v>1.88854511932726E-3</v>
      </c>
      <c r="D525" s="4">
        <v>2.6095384311823198E-2</v>
      </c>
      <c r="E525" s="3" t="s">
        <v>1332</v>
      </c>
      <c r="F525" s="3" t="s">
        <v>1333</v>
      </c>
      <c r="G525" s="3">
        <v>320484</v>
      </c>
      <c r="H525" s="7" t="str">
        <f>HYPERLINK("http://www.ensembl.org/Mus_musculus/Gene/Summary?db=core;g=ENSMUSG00000052142","ENSMUSG00000052142")</f>
        <v>ENSMUSG00000052142</v>
      </c>
      <c r="I525" s="7" t="str">
        <f>HYPERLINK("http://www.informatics.jax.org/marker/MGI:2444128","MGI:2444128")</f>
        <v>MGI:2444128</v>
      </c>
      <c r="J525" s="4" t="s">
        <v>12</v>
      </c>
    </row>
    <row r="526" spans="1:10" x14ac:dyDescent="0.25">
      <c r="A526" s="2">
        <v>1748.03684247007</v>
      </c>
      <c r="B526" s="3">
        <v>0.29985370523932198</v>
      </c>
      <c r="C526" s="3">
        <v>3.0173640071838501E-3</v>
      </c>
      <c r="D526" s="4">
        <v>3.6569281237927603E-2</v>
      </c>
      <c r="E526" s="3" t="s">
        <v>2399</v>
      </c>
      <c r="F526" s="3" t="s">
        <v>2400</v>
      </c>
      <c r="G526" s="3">
        <v>230815</v>
      </c>
      <c r="H526" s="7" t="str">
        <f>HYPERLINK("http://www.ensembl.org/Mus_musculus/Gene/Summary?db=core;g=ENSMUSG00000037306","ENSMUSG00000037306")</f>
        <v>ENSMUSG00000037306</v>
      </c>
      <c r="I526" s="7" t="str">
        <f>HYPERLINK("http://www.informatics.jax.org/marker/MGI:2446214","MGI:2446214")</f>
        <v>MGI:2446214</v>
      </c>
      <c r="J526" s="4" t="s">
        <v>12</v>
      </c>
    </row>
    <row r="527" spans="1:10" x14ac:dyDescent="0.25">
      <c r="A527" s="2">
        <v>1345.2965183408201</v>
      </c>
      <c r="B527" s="3">
        <v>0.29912304010573898</v>
      </c>
      <c r="C527" s="3">
        <v>3.69448891926626E-3</v>
      </c>
      <c r="D527" s="4">
        <v>4.2818961936099603E-2</v>
      </c>
      <c r="E527" s="3" t="s">
        <v>2742</v>
      </c>
      <c r="F527" s="3" t="s">
        <v>2743</v>
      </c>
      <c r="G527" s="3">
        <v>102442</v>
      </c>
      <c r="H527" s="7" t="str">
        <f>HYPERLINK("http://www.ensembl.org/Mus_musculus/Gene/Summary?db=core;g=ENSMUSG00000053641","ENSMUSG00000053641")</f>
        <v>ENSMUSG00000053641</v>
      </c>
      <c r="I527" s="7" t="str">
        <f>HYPERLINK("http://www.informatics.jax.org/marker/MGI:2142979","MGI:2142979")</f>
        <v>MGI:2142979</v>
      </c>
      <c r="J527" s="4" t="s">
        <v>12</v>
      </c>
    </row>
    <row r="528" spans="1:10" x14ac:dyDescent="0.25">
      <c r="A528" s="2">
        <v>619.97538210413597</v>
      </c>
      <c r="B528" s="3">
        <v>0.29885898737384697</v>
      </c>
      <c r="C528" s="3">
        <v>6.9088131479568601E-4</v>
      </c>
      <c r="D528" s="4">
        <v>1.2028393417193599E-2</v>
      </c>
      <c r="E528" s="3" t="s">
        <v>7572</v>
      </c>
      <c r="F528" s="3" t="s">
        <v>7573</v>
      </c>
      <c r="G528" s="3">
        <v>231801</v>
      </c>
      <c r="H528" s="7" t="str">
        <f>HYPERLINK("http://www.ensembl.org/Mus_musculus/Gene/Summary?db=core;g=ENSMUSG00000029722","ENSMUSG00000029722")</f>
        <v>ENSMUSG00000029722</v>
      </c>
      <c r="I528" s="7" t="str">
        <f>HYPERLINK("http://www.informatics.jax.org/marker/MGI:2443267","MGI:2443267")</f>
        <v>MGI:2443267</v>
      </c>
      <c r="J528" s="4" t="s">
        <v>12</v>
      </c>
    </row>
    <row r="529" spans="1:10" x14ac:dyDescent="0.25">
      <c r="A529" s="2">
        <v>688.58313578033699</v>
      </c>
      <c r="B529" s="3">
        <v>0.29830641671636798</v>
      </c>
      <c r="C529" s="5">
        <v>8.7182797395092399E-5</v>
      </c>
      <c r="D529" s="4">
        <v>2.3915729812258699E-3</v>
      </c>
      <c r="E529" s="3" t="s">
        <v>7496</v>
      </c>
      <c r="F529" s="3" t="s">
        <v>7497</v>
      </c>
      <c r="G529" s="3">
        <v>268930</v>
      </c>
      <c r="H529" s="7" t="str">
        <f>HYPERLINK("http://www.ensembl.org/Mus_musculus/Gene/Summary?db=core;g=ENSMUSG00000023908","ENSMUSG00000023908")</f>
        <v>ENSMUSG00000023908</v>
      </c>
      <c r="I529" s="7" t="str">
        <f>HYPERLINK("http://www.informatics.jax.org/marker/MGI:2137630","MGI:2137630")</f>
        <v>MGI:2137630</v>
      </c>
      <c r="J529" s="4" t="s">
        <v>12</v>
      </c>
    </row>
    <row r="530" spans="1:10" x14ac:dyDescent="0.25">
      <c r="A530" s="2">
        <v>665.56637727050997</v>
      </c>
      <c r="B530" s="3">
        <v>0.29669856878830397</v>
      </c>
      <c r="C530" s="3">
        <v>4.1956992114601096E-3</v>
      </c>
      <c r="D530" s="4">
        <v>4.68610020171717E-2</v>
      </c>
      <c r="E530" s="3" t="s">
        <v>4169</v>
      </c>
      <c r="F530" s="3" t="s">
        <v>4170</v>
      </c>
      <c r="G530" s="3">
        <v>21813</v>
      </c>
      <c r="H530" s="7" t="str">
        <f>HYPERLINK("http://www.ensembl.org/Mus_musculus/Gene/Summary?db=core;g=ENSMUSG00000032440","ENSMUSG00000032440")</f>
        <v>ENSMUSG00000032440</v>
      </c>
      <c r="I530" s="7" t="str">
        <f>HYPERLINK("http://www.informatics.jax.org/marker/MGI:98729","MGI:98729")</f>
        <v>MGI:98729</v>
      </c>
      <c r="J530" s="4" t="s">
        <v>12</v>
      </c>
    </row>
    <row r="531" spans="1:10" x14ac:dyDescent="0.25">
      <c r="A531" s="2">
        <v>1159.15448739369</v>
      </c>
      <c r="B531" s="3">
        <v>0.29351801440528003</v>
      </c>
      <c r="C531" s="3">
        <v>2.3888002722357901E-4</v>
      </c>
      <c r="D531" s="4">
        <v>5.5740325024555802E-3</v>
      </c>
      <c r="E531" s="3" t="s">
        <v>3772</v>
      </c>
      <c r="F531" s="3" t="s">
        <v>3773</v>
      </c>
      <c r="G531" s="3">
        <v>72151</v>
      </c>
      <c r="H531" s="7" t="str">
        <f>HYPERLINK("http://www.ensembl.org/Mus_musculus/Gene/Summary?db=core;g=ENSMUSG00000029363","ENSMUSG00000029363")</f>
        <v>ENSMUSG00000029363</v>
      </c>
      <c r="I531" s="7" t="str">
        <f>HYPERLINK("http://www.informatics.jax.org/marker/MGI:1919401","MGI:1919401")</f>
        <v>MGI:1919401</v>
      </c>
      <c r="J531" s="4" t="s">
        <v>12</v>
      </c>
    </row>
    <row r="532" spans="1:10" x14ac:dyDescent="0.25">
      <c r="A532" s="2">
        <v>801.80284259979805</v>
      </c>
      <c r="B532" s="3">
        <v>0.29175002765505698</v>
      </c>
      <c r="C532" s="3">
        <v>1.8466426539748201E-4</v>
      </c>
      <c r="D532" s="4">
        <v>4.4473640105470698E-3</v>
      </c>
      <c r="E532" s="3" t="s">
        <v>3296</v>
      </c>
      <c r="F532" s="3" t="s">
        <v>3297</v>
      </c>
      <c r="G532" s="3">
        <v>319651</v>
      </c>
      <c r="H532" s="7" t="str">
        <f>HYPERLINK("http://www.ensembl.org/Mus_musculus/Gene/Summary?db=core;g=ENSMUSG00000033364","ENSMUSG00000033364")</f>
        <v>ENSMUSG00000033364</v>
      </c>
      <c r="I532" s="7" t="str">
        <f>HYPERLINK("http://www.informatics.jax.org/marker/MGI:2442483","MGI:2442483")</f>
        <v>MGI:2442483</v>
      </c>
      <c r="J532" s="4" t="s">
        <v>12</v>
      </c>
    </row>
    <row r="533" spans="1:10" x14ac:dyDescent="0.25">
      <c r="A533" s="2">
        <v>863.948273025459</v>
      </c>
      <c r="B533" s="3">
        <v>0.29031614721680898</v>
      </c>
      <c r="C533" s="3">
        <v>4.4176596199534002E-3</v>
      </c>
      <c r="D533" s="4">
        <v>4.8345263550594902E-2</v>
      </c>
      <c r="E533" s="3" t="s">
        <v>9899</v>
      </c>
      <c r="F533" s="3" t="s">
        <v>9900</v>
      </c>
      <c r="G533" s="3">
        <v>242474</v>
      </c>
      <c r="H533" s="7" t="str">
        <f>HYPERLINK("http://www.ensembl.org/Mus_musculus/Gene/Summary?db=core;g=ENSMUSG00000055296","ENSMUSG00000055296")</f>
        <v>ENSMUSG00000055296</v>
      </c>
      <c r="I533" s="7" t="str">
        <f>HYPERLINK("http://www.informatics.jax.org/marker/MGI:2445107","MGI:2445107")</f>
        <v>MGI:2445107</v>
      </c>
      <c r="J533" s="4" t="s">
        <v>12</v>
      </c>
    </row>
    <row r="534" spans="1:10" x14ac:dyDescent="0.25">
      <c r="A534" s="2">
        <v>651.07989010353697</v>
      </c>
      <c r="B534" s="3">
        <v>0.28964320286710499</v>
      </c>
      <c r="C534" s="3">
        <v>1.7167323972811701E-3</v>
      </c>
      <c r="D534" s="4">
        <v>2.4256393558067E-2</v>
      </c>
      <c r="E534" s="3" t="s">
        <v>1052</v>
      </c>
      <c r="F534" s="3" t="s">
        <v>1053</v>
      </c>
      <c r="G534" s="3">
        <v>108645</v>
      </c>
      <c r="H534" s="7" t="str">
        <f>HYPERLINK("http://www.ensembl.org/Mus_musculus/Gene/Summary?db=core;g=ENSMUSG00000042032","ENSMUSG00000042032")</f>
        <v>ENSMUSG00000042032</v>
      </c>
      <c r="I534" s="7" t="str">
        <f>HYPERLINK("http://www.informatics.jax.org/marker/MGI:1913667","MGI:1913667")</f>
        <v>MGI:1913667</v>
      </c>
      <c r="J534" s="4" t="s">
        <v>12</v>
      </c>
    </row>
    <row r="535" spans="1:10" x14ac:dyDescent="0.25">
      <c r="A535" s="2">
        <v>1013.40099894124</v>
      </c>
      <c r="B535" s="3">
        <v>0.28718894544872697</v>
      </c>
      <c r="C535" s="3">
        <v>5.9984298654711099E-4</v>
      </c>
      <c r="D535" s="4">
        <v>1.10235850812016E-2</v>
      </c>
      <c r="E535" s="3" t="s">
        <v>12963</v>
      </c>
      <c r="F535" s="3" t="s">
        <v>12964</v>
      </c>
      <c r="G535" s="3">
        <v>226090</v>
      </c>
      <c r="H535" s="7" t="str">
        <f>HYPERLINK("http://www.ensembl.org/Mus_musculus/Gene/Summary?db=core;g=ENSMUSG00000046324","ENSMUSG00000046324")</f>
        <v>ENSMUSG00000046324</v>
      </c>
      <c r="I535" s="7" t="str">
        <f>HYPERLINK("http://www.informatics.jax.org/marker/MGI:106250","MGI:106250")</f>
        <v>MGI:106250</v>
      </c>
      <c r="J535" s="4" t="s">
        <v>12</v>
      </c>
    </row>
    <row r="536" spans="1:10" x14ac:dyDescent="0.25">
      <c r="A536" s="2">
        <v>476.00586306715797</v>
      </c>
      <c r="B536" s="3">
        <v>0.28607490138872499</v>
      </c>
      <c r="C536" s="3">
        <v>3.7316978781883098E-3</v>
      </c>
      <c r="D536" s="4">
        <v>4.3059341908457498E-2</v>
      </c>
      <c r="E536" s="3" t="s">
        <v>5089</v>
      </c>
      <c r="F536" s="3" t="s">
        <v>5090</v>
      </c>
      <c r="G536" s="3">
        <v>16886</v>
      </c>
      <c r="H536" s="7" t="str">
        <f>HYPERLINK("http://www.ensembl.org/Mus_musculus/Gene/Summary?db=core;g=ENSMUSG00000020451","ENSMUSG00000020451")</f>
        <v>ENSMUSG00000020451</v>
      </c>
      <c r="I536" s="7" t="str">
        <f>HYPERLINK("http://www.informatics.jax.org/marker/MGI:1197517","MGI:1197517")</f>
        <v>MGI:1197517</v>
      </c>
      <c r="J536" s="4" t="s">
        <v>12</v>
      </c>
    </row>
    <row r="537" spans="1:10" x14ac:dyDescent="0.25">
      <c r="A537" s="2">
        <v>2273.7722363207199</v>
      </c>
      <c r="B537" s="3">
        <v>0.283204394397927</v>
      </c>
      <c r="C537" s="3">
        <v>1.9776218788175202E-3</v>
      </c>
      <c r="D537" s="4">
        <v>2.7073180854224999E-2</v>
      </c>
      <c r="E537" s="3" t="s">
        <v>4995</v>
      </c>
      <c r="F537" s="3" t="s">
        <v>4996</v>
      </c>
      <c r="G537" s="3">
        <v>54563</v>
      </c>
      <c r="H537" s="7" t="str">
        <f>HYPERLINK("http://www.ensembl.org/Mus_musculus/Gene/Summary?db=core;g=ENSMUSG00000030091","ENSMUSG00000030091")</f>
        <v>ENSMUSG00000030091</v>
      </c>
      <c r="I537" s="7" t="str">
        <f>HYPERLINK("http://www.informatics.jax.org/marker/MGI:1859555","MGI:1859555")</f>
        <v>MGI:1859555</v>
      </c>
      <c r="J537" s="4" t="s">
        <v>12</v>
      </c>
    </row>
    <row r="538" spans="1:10" x14ac:dyDescent="0.25">
      <c r="A538" s="2">
        <v>1099.61896627139</v>
      </c>
      <c r="B538" s="3">
        <v>0.28270055198323801</v>
      </c>
      <c r="C538" s="3">
        <v>8.0158091683682096E-4</v>
      </c>
      <c r="D538" s="4">
        <v>1.34960787000954E-2</v>
      </c>
      <c r="E538" s="3" t="s">
        <v>4557</v>
      </c>
      <c r="F538" s="3" t="s">
        <v>4558</v>
      </c>
      <c r="G538" s="3">
        <v>270627</v>
      </c>
      <c r="H538" s="7" t="str">
        <f>HYPERLINK("http://www.ensembl.org/Mus_musculus/Gene/Summary?db=core;g=ENSMUSG00000031314","ENSMUSG00000031314")</f>
        <v>ENSMUSG00000031314</v>
      </c>
      <c r="I538" s="7" t="str">
        <f>HYPERLINK("http://www.informatics.jax.org/marker/MGI:1336878","MGI:1336878")</f>
        <v>MGI:1336878</v>
      </c>
      <c r="J538" s="4" t="s">
        <v>12</v>
      </c>
    </row>
    <row r="539" spans="1:10" x14ac:dyDescent="0.25">
      <c r="A539" s="2">
        <v>1798.8088619919399</v>
      </c>
      <c r="B539" s="3">
        <v>0.28255525081199201</v>
      </c>
      <c r="C539" s="3">
        <v>3.0615116851002199E-3</v>
      </c>
      <c r="D539" s="4">
        <v>3.7024539701421597E-2</v>
      </c>
      <c r="E539" s="3" t="s">
        <v>4901</v>
      </c>
      <c r="F539" s="3" t="s">
        <v>4902</v>
      </c>
      <c r="G539" s="3">
        <v>108148</v>
      </c>
      <c r="H539" s="7" t="str">
        <f>HYPERLINK("http://www.ensembl.org/Mus_musculus/Gene/Summary?db=core;g=ENSMUSG00000089704","ENSMUSG00000089704")</f>
        <v>ENSMUSG00000089704</v>
      </c>
      <c r="I539" s="7" t="str">
        <f>HYPERLINK("http://www.informatics.jax.org/marker/MGI:894694","MGI:894694")</f>
        <v>MGI:894694</v>
      </c>
      <c r="J539" s="4" t="s">
        <v>12</v>
      </c>
    </row>
    <row r="540" spans="1:10" x14ac:dyDescent="0.25">
      <c r="A540" s="2">
        <v>3068.7427307110202</v>
      </c>
      <c r="B540" s="3">
        <v>0.28209806414544603</v>
      </c>
      <c r="C540" s="3">
        <v>1.5140755960141501E-3</v>
      </c>
      <c r="D540" s="4">
        <v>2.20391992609906E-2</v>
      </c>
      <c r="E540" s="3" t="s">
        <v>2960</v>
      </c>
      <c r="F540" s="3" t="s">
        <v>2961</v>
      </c>
      <c r="G540" s="3">
        <v>21917</v>
      </c>
      <c r="H540" s="7" t="str">
        <f>HYPERLINK("http://www.ensembl.org/Mus_musculus/Gene/Summary?db=core;g=ENSMUSG00000019961","ENSMUSG00000019961")</f>
        <v>ENSMUSG00000019961</v>
      </c>
      <c r="I540" s="7" t="str">
        <f>HYPERLINK("http://www.informatics.jax.org/marker/MGI:106920","MGI:106920")</f>
        <v>MGI:106920</v>
      </c>
      <c r="J540" s="4" t="s">
        <v>12</v>
      </c>
    </row>
    <row r="541" spans="1:10" x14ac:dyDescent="0.25">
      <c r="A541" s="2">
        <v>1787.7480427431401</v>
      </c>
      <c r="B541" s="3">
        <v>0.281538557883174</v>
      </c>
      <c r="C541" s="3">
        <v>1.9106509012932001E-3</v>
      </c>
      <c r="D541" s="4">
        <v>2.63669824378461E-2</v>
      </c>
      <c r="E541" s="3" t="s">
        <v>4707</v>
      </c>
      <c r="F541" s="3" t="s">
        <v>4708</v>
      </c>
      <c r="G541" s="3" t="s">
        <v>83</v>
      </c>
      <c r="H541" s="7" t="str">
        <f>HYPERLINK("http://www.ensembl.org/Mus_musculus/Gene/Summary?db=core;g=ENSMUSG00000092329","ENSMUSG00000092329")</f>
        <v>ENSMUSG00000092329</v>
      </c>
      <c r="I541" s="7" t="str">
        <f>HYPERLINK("http://www.informatics.jax.org/marker/MGI:5141853","MGI:5141853")</f>
        <v>MGI:5141853</v>
      </c>
      <c r="J541" s="4" t="s">
        <v>12</v>
      </c>
    </row>
    <row r="542" spans="1:10" x14ac:dyDescent="0.25">
      <c r="A542" s="2">
        <v>756.08989135210197</v>
      </c>
      <c r="B542" s="3">
        <v>0.279262062534261</v>
      </c>
      <c r="C542" s="3">
        <v>2.9019163242703901E-3</v>
      </c>
      <c r="D542" s="4">
        <v>3.5591987894295601E-2</v>
      </c>
      <c r="E542" s="3" t="s">
        <v>2495</v>
      </c>
      <c r="F542" s="3" t="s">
        <v>2496</v>
      </c>
      <c r="G542" s="3">
        <v>329015</v>
      </c>
      <c r="H542" s="7" t="str">
        <f>HYPERLINK("http://www.ensembl.org/Mus_musculus/Gene/Summary?db=core;g=ENSMUSG00000024773","ENSMUSG00000024773")</f>
        <v>ENSMUSG00000024773</v>
      </c>
      <c r="I542" s="7" t="str">
        <f>HYPERLINK("http://www.informatics.jax.org/marker/MGI:1916291","MGI:1916291")</f>
        <v>MGI:1916291</v>
      </c>
      <c r="J542" s="4" t="s">
        <v>12</v>
      </c>
    </row>
    <row r="543" spans="1:10" x14ac:dyDescent="0.25">
      <c r="A543" s="2">
        <v>1588.12800646858</v>
      </c>
      <c r="B543" s="3">
        <v>0.278994972833917</v>
      </c>
      <c r="C543" s="3">
        <v>1.19832163164747E-3</v>
      </c>
      <c r="D543" s="4">
        <v>1.8437104502242299E-2</v>
      </c>
      <c r="E543" s="3" t="s">
        <v>3294</v>
      </c>
      <c r="F543" s="3" t="s">
        <v>3295</v>
      </c>
      <c r="G543" s="3">
        <v>13006</v>
      </c>
      <c r="H543" s="7" t="str">
        <f>HYPERLINK("http://www.ensembl.org/Mus_musculus/Gene/Summary?db=core;g=ENSMUSG00000024974","ENSMUSG00000024974")</f>
        <v>ENSMUSG00000024974</v>
      </c>
      <c r="I543" s="7" t="str">
        <f>HYPERLINK("http://www.informatics.jax.org/marker/MGI:1339795","MGI:1339795")</f>
        <v>MGI:1339795</v>
      </c>
      <c r="J543" s="4" t="s">
        <v>12</v>
      </c>
    </row>
    <row r="544" spans="1:10" x14ac:dyDescent="0.25">
      <c r="A544" s="2">
        <v>2455.8103151115802</v>
      </c>
      <c r="B544" s="3">
        <v>0.27816734401082999</v>
      </c>
      <c r="C544" s="3">
        <v>3.2240645197047002E-4</v>
      </c>
      <c r="D544" s="4">
        <v>6.9332798571928702E-3</v>
      </c>
      <c r="E544" s="3" t="s">
        <v>4893</v>
      </c>
      <c r="F544" s="3" t="s">
        <v>4894</v>
      </c>
      <c r="G544" s="3">
        <v>51869</v>
      </c>
      <c r="H544" s="7" t="str">
        <f>HYPERLINK("http://www.ensembl.org/Mus_musculus/Gene/Summary?db=core;g=ENSMUSG00000036202","ENSMUSG00000036202")</f>
        <v>ENSMUSG00000036202</v>
      </c>
      <c r="I544" s="7" t="str">
        <f>HYPERLINK("http://www.informatics.jax.org/marker/MGI:1098622","MGI:1098622")</f>
        <v>MGI:1098622</v>
      </c>
      <c r="J544" s="4" t="s">
        <v>12</v>
      </c>
    </row>
    <row r="545" spans="1:10" x14ac:dyDescent="0.25">
      <c r="A545" s="2">
        <v>1166.03701144553</v>
      </c>
      <c r="B545" s="3">
        <v>0.27618984845393302</v>
      </c>
      <c r="C545" s="3">
        <v>3.6190363998236299E-3</v>
      </c>
      <c r="D545" s="4">
        <v>4.2355153370256401E-2</v>
      </c>
      <c r="E545" s="3" t="s">
        <v>6193</v>
      </c>
      <c r="F545" s="3" t="s">
        <v>6194</v>
      </c>
      <c r="G545" s="3">
        <v>69257</v>
      </c>
      <c r="H545" s="7" t="str">
        <f>HYPERLINK("http://www.ensembl.org/Mus_musculus/Gene/Summary?db=core;g=ENSMUSG00000037174","ENSMUSG00000037174")</f>
        <v>ENSMUSG00000037174</v>
      </c>
      <c r="I545" s="7" t="str">
        <f>HYPERLINK("http://www.informatics.jax.org/marker/MGI:1916507","MGI:1916507")</f>
        <v>MGI:1916507</v>
      </c>
      <c r="J545" s="4" t="s">
        <v>12</v>
      </c>
    </row>
    <row r="546" spans="1:10" x14ac:dyDescent="0.25">
      <c r="A546" s="2">
        <v>749.54300438883104</v>
      </c>
      <c r="B546" s="3">
        <v>0.27361443180839101</v>
      </c>
      <c r="C546" s="3">
        <v>2.1331496280705201E-3</v>
      </c>
      <c r="D546" s="4">
        <v>2.8870192541959602E-2</v>
      </c>
      <c r="E546" s="3" t="s">
        <v>2625</v>
      </c>
      <c r="F546" s="3" t="s">
        <v>2626</v>
      </c>
      <c r="G546" s="3">
        <v>329165</v>
      </c>
      <c r="H546" s="7" t="str">
        <f>HYPERLINK("http://www.ensembl.org/Mus_musculus/Gene/Summary?db=core;g=ENSMUSG00000026782","ENSMUSG00000026782")</f>
        <v>ENSMUSG00000026782</v>
      </c>
      <c r="I546" s="7" t="str">
        <f>HYPERLINK("http://www.informatics.jax.org/marker/MGI:106913","MGI:106913")</f>
        <v>MGI:106913</v>
      </c>
      <c r="J546" s="4" t="s">
        <v>12</v>
      </c>
    </row>
    <row r="547" spans="1:10" x14ac:dyDescent="0.25">
      <c r="A547" s="2">
        <v>713.98164264594698</v>
      </c>
      <c r="B547" s="3">
        <v>0.272249931752644</v>
      </c>
      <c r="C547" s="3">
        <v>9.9896145423130191E-4</v>
      </c>
      <c r="D547" s="4">
        <v>1.5936623369843202E-2</v>
      </c>
      <c r="E547" s="3" t="s">
        <v>1588</v>
      </c>
      <c r="F547" s="3" t="s">
        <v>1589</v>
      </c>
      <c r="G547" s="3">
        <v>116871</v>
      </c>
      <c r="H547" s="7" t="str">
        <f>HYPERLINK("http://www.ensembl.org/Mus_musculus/Gene/Summary?db=core;g=ENSMUSG00000055817","ENSMUSG00000055817")</f>
        <v>ENSMUSG00000055817</v>
      </c>
      <c r="I547" s="7" t="str">
        <f>HYPERLINK("http://www.informatics.jax.org/marker/MGI:2151172","MGI:2151172")</f>
        <v>MGI:2151172</v>
      </c>
      <c r="J547" s="4" t="s">
        <v>12</v>
      </c>
    </row>
    <row r="548" spans="1:10" x14ac:dyDescent="0.25">
      <c r="A548" s="2">
        <v>1257.3368537470701</v>
      </c>
      <c r="B548" s="3">
        <v>0.27105582723565402</v>
      </c>
      <c r="C548" s="3">
        <v>6.6815170647251695E-4</v>
      </c>
      <c r="D548" s="4">
        <v>1.1791582573409501E-2</v>
      </c>
      <c r="E548" s="3" t="s">
        <v>674</v>
      </c>
      <c r="F548" s="3" t="s">
        <v>675</v>
      </c>
      <c r="G548" s="3">
        <v>109299</v>
      </c>
      <c r="H548" s="7" t="str">
        <f>HYPERLINK("http://www.ensembl.org/Mus_musculus/Gene/Summary?db=core;g=ENSMUSG00000087679","ENSMUSG00000087679")</f>
        <v>ENSMUSG00000087679</v>
      </c>
      <c r="I548" s="7" t="str">
        <f>HYPERLINK("http://www.informatics.jax.org/marker/MGI:1924939","MGI:1924939")</f>
        <v>MGI:1924939</v>
      </c>
      <c r="J548" s="4" t="s">
        <v>12</v>
      </c>
    </row>
    <row r="549" spans="1:10" x14ac:dyDescent="0.25">
      <c r="A549" s="2">
        <v>403.204087270819</v>
      </c>
      <c r="B549" s="3">
        <v>0.27034304144764099</v>
      </c>
      <c r="C549" s="3">
        <v>2.6305053239208602E-3</v>
      </c>
      <c r="D549" s="4">
        <v>3.3619651566065903E-2</v>
      </c>
      <c r="E549" s="3" t="s">
        <v>4315</v>
      </c>
      <c r="F549" s="3" t="s">
        <v>4316</v>
      </c>
      <c r="G549" s="3">
        <v>19889</v>
      </c>
      <c r="H549" s="7" t="str">
        <f>HYPERLINK("http://www.ensembl.org/Mus_musculus/Gene/Summary?db=core;g=ENSMUSG00000060090","ENSMUSG00000060090")</f>
        <v>ENSMUSG00000060090</v>
      </c>
      <c r="I549" s="7" t="str">
        <f>HYPERLINK("http://www.informatics.jax.org/marker/MGI:1277953","MGI:1277953")</f>
        <v>MGI:1277953</v>
      </c>
      <c r="J549" s="4" t="s">
        <v>12</v>
      </c>
    </row>
    <row r="550" spans="1:10" x14ac:dyDescent="0.25">
      <c r="A550" s="2">
        <v>1053.0011716491999</v>
      </c>
      <c r="B550" s="3">
        <v>0.26782125560189501</v>
      </c>
      <c r="C550" s="3">
        <v>9.8018639166329194E-4</v>
      </c>
      <c r="D550" s="4">
        <v>1.57263285977704E-2</v>
      </c>
      <c r="E550" s="3" t="s">
        <v>4953</v>
      </c>
      <c r="F550" s="3" t="s">
        <v>4954</v>
      </c>
      <c r="G550" s="3">
        <v>21915</v>
      </c>
      <c r="H550" s="7" t="str">
        <f>HYPERLINK("http://www.ensembl.org/Mus_musculus/Gene/Summary?db=core;g=ENSMUSG00000026281","ENSMUSG00000026281")</f>
        <v>ENSMUSG00000026281</v>
      </c>
      <c r="I550" s="7" t="str">
        <f>HYPERLINK("http://www.informatics.jax.org/marker/MGI:108396","MGI:108396")</f>
        <v>MGI:108396</v>
      </c>
      <c r="J550" s="4" t="s">
        <v>12</v>
      </c>
    </row>
    <row r="551" spans="1:10" x14ac:dyDescent="0.25">
      <c r="A551" s="2">
        <v>1244.0065514727801</v>
      </c>
      <c r="B551" s="3">
        <v>0.266422468377084</v>
      </c>
      <c r="C551" s="3">
        <v>7.7882834717511598E-4</v>
      </c>
      <c r="D551" s="4">
        <v>1.31919915974074E-2</v>
      </c>
      <c r="E551" s="3" t="s">
        <v>17030</v>
      </c>
      <c r="F551" s="3" t="s">
        <v>17031</v>
      </c>
      <c r="G551" s="3">
        <v>270066</v>
      </c>
      <c r="H551" s="7" t="str">
        <f>HYPERLINK("http://www.ensembl.org/Mus_musculus/Gene/Summary?db=core;g=ENSMUSG00000019731","ENSMUSG00000019731")</f>
        <v>ENSMUSG00000019731</v>
      </c>
      <c r="I551" s="7" t="str">
        <f>HYPERLINK("http://www.informatics.jax.org/marker/MGI:2142403","MGI:2142403")</f>
        <v>MGI:2142403</v>
      </c>
      <c r="J551" s="4" t="s">
        <v>12</v>
      </c>
    </row>
    <row r="552" spans="1:10" x14ac:dyDescent="0.25">
      <c r="A552" s="2">
        <v>823.96966712604001</v>
      </c>
      <c r="B552" s="3">
        <v>0.26431840088838499</v>
      </c>
      <c r="C552" s="3">
        <v>4.3233829357502496E-3</v>
      </c>
      <c r="D552" s="4">
        <v>4.7718437564654603E-2</v>
      </c>
      <c r="E552" s="3" t="s">
        <v>2808</v>
      </c>
      <c r="F552" s="3" t="s">
        <v>2809</v>
      </c>
      <c r="G552" s="3">
        <v>233210</v>
      </c>
      <c r="H552" s="7" t="str">
        <f>HYPERLINK("http://www.ensembl.org/Mus_musculus/Gene/Summary?db=core;g=ENSMUSG00000046574","ENSMUSG00000046574")</f>
        <v>ENSMUSG00000046574</v>
      </c>
      <c r="I552" s="7" t="str">
        <f>HYPERLINK("http://www.informatics.jax.org/marker/MGI:2679002","MGI:2679002")</f>
        <v>MGI:2679002</v>
      </c>
      <c r="J552" s="4" t="s">
        <v>12</v>
      </c>
    </row>
    <row r="553" spans="1:10" x14ac:dyDescent="0.25">
      <c r="A553" s="2">
        <v>572.66370204198495</v>
      </c>
      <c r="B553" s="3">
        <v>0.26315982215063199</v>
      </c>
      <c r="C553" s="3">
        <v>4.2809710493293303E-3</v>
      </c>
      <c r="D553" s="4">
        <v>4.7449569795030899E-2</v>
      </c>
      <c r="E553" s="3" t="s">
        <v>4215</v>
      </c>
      <c r="F553" s="3" t="s">
        <v>4216</v>
      </c>
      <c r="G553" s="3">
        <v>207806</v>
      </c>
      <c r="H553" s="7" t="str">
        <f>HYPERLINK("http://www.ensembl.org/Mus_musculus/Gene/Summary?db=core;g=ENSMUSG00000068284","ENSMUSG00000068284")</f>
        <v>ENSMUSG00000068284</v>
      </c>
      <c r="I553" s="7" t="str">
        <f>HYPERLINK("http://www.informatics.jax.org/marker/MGI:2685454","MGI:2685454")</f>
        <v>MGI:2685454</v>
      </c>
      <c r="J553" s="4" t="s">
        <v>12</v>
      </c>
    </row>
    <row r="554" spans="1:10" x14ac:dyDescent="0.25">
      <c r="A554" s="2">
        <v>719.418547640974</v>
      </c>
      <c r="B554" s="3">
        <v>0.262219551946834</v>
      </c>
      <c r="C554" s="3">
        <v>2.0143126386701401E-3</v>
      </c>
      <c r="D554" s="4">
        <v>2.7427329597001299E-2</v>
      </c>
      <c r="E554" s="3" t="s">
        <v>5075</v>
      </c>
      <c r="F554" s="3" t="s">
        <v>5076</v>
      </c>
      <c r="G554" s="3">
        <v>101358</v>
      </c>
      <c r="H554" s="7" t="str">
        <f>HYPERLINK("http://www.ensembl.org/Mus_musculus/Gene/Summary?db=core;g=ENSMUSG00000030019","ENSMUSG00000030019")</f>
        <v>ENSMUSG00000030019</v>
      </c>
      <c r="I554" s="7" t="str">
        <f>HYPERLINK("http://www.informatics.jax.org/marker/MGI:2141676","MGI:2141676")</f>
        <v>MGI:2141676</v>
      </c>
      <c r="J554" s="4" t="s">
        <v>12</v>
      </c>
    </row>
    <row r="555" spans="1:10" x14ac:dyDescent="0.25">
      <c r="A555" s="2">
        <v>981.88583700263905</v>
      </c>
      <c r="B555" s="3">
        <v>0.259940494685371</v>
      </c>
      <c r="C555" s="3">
        <v>3.1208404304713202E-3</v>
      </c>
      <c r="D555" s="4">
        <v>3.7540205691455601E-2</v>
      </c>
      <c r="E555" s="3" t="s">
        <v>3342</v>
      </c>
      <c r="F555" s="3" t="s">
        <v>3343</v>
      </c>
      <c r="G555" s="3">
        <v>108735</v>
      </c>
      <c r="H555" s="7" t="str">
        <f>HYPERLINK("http://www.ensembl.org/Mus_musculus/Gene/Summary?db=core;g=ENSMUSG00000040848","ENSMUSG00000040848")</f>
        <v>ENSMUSG00000040848</v>
      </c>
      <c r="I555" s="7" t="str">
        <f>HYPERLINK("http://www.informatics.jax.org/marker/MGI:1917362","MGI:1917362")</f>
        <v>MGI:1917362</v>
      </c>
      <c r="J555" s="4" t="s">
        <v>12</v>
      </c>
    </row>
    <row r="556" spans="1:10" x14ac:dyDescent="0.25">
      <c r="A556" s="2">
        <v>1073.3043717221001</v>
      </c>
      <c r="B556" s="3">
        <v>0.259476464843299</v>
      </c>
      <c r="C556" s="3">
        <v>4.0277746673227799E-4</v>
      </c>
      <c r="D556" s="4">
        <v>8.0749343464134298E-3</v>
      </c>
      <c r="E556" s="3" t="s">
        <v>1418</v>
      </c>
      <c r="F556" s="3" t="s">
        <v>1419</v>
      </c>
      <c r="G556" s="3">
        <v>12445</v>
      </c>
      <c r="H556" s="7" t="str">
        <f>HYPERLINK("http://www.ensembl.org/Mus_musculus/Gene/Summary?db=core;g=ENSMUSG00000034165","ENSMUSG00000034165")</f>
        <v>ENSMUSG00000034165</v>
      </c>
      <c r="I556" s="7" t="str">
        <f>HYPERLINK("http://www.informatics.jax.org/marker/MGI:88315","MGI:88315")</f>
        <v>MGI:88315</v>
      </c>
      <c r="J556" s="4" t="s">
        <v>12</v>
      </c>
    </row>
    <row r="557" spans="1:10" x14ac:dyDescent="0.25">
      <c r="A557" s="2">
        <v>1553.38090730832</v>
      </c>
      <c r="B557" s="3">
        <v>0.25828729613012902</v>
      </c>
      <c r="C557" s="3">
        <v>1.4595690059716001E-4</v>
      </c>
      <c r="D557" s="4">
        <v>3.6398608891713099E-3</v>
      </c>
      <c r="E557" s="3" t="s">
        <v>3258</v>
      </c>
      <c r="F557" s="3" t="s">
        <v>3259</v>
      </c>
      <c r="G557" s="3">
        <v>380959</v>
      </c>
      <c r="H557" s="7" t="str">
        <f>HYPERLINK("http://www.ensembl.org/Mus_musculus/Gene/Summary?db=core;g=ENSMUSG00000075470","ENSMUSG00000075470")</f>
        <v>ENSMUSG00000075470</v>
      </c>
      <c r="I557" s="7" t="str">
        <f>HYPERLINK("http://www.informatics.jax.org/marker/MGI:2146159","MGI:2146159")</f>
        <v>MGI:2146159</v>
      </c>
      <c r="J557" s="4" t="s">
        <v>12</v>
      </c>
    </row>
    <row r="558" spans="1:10" x14ac:dyDescent="0.25">
      <c r="A558" s="2">
        <v>1344.1983973111401</v>
      </c>
      <c r="B558" s="3">
        <v>0.25454536958025797</v>
      </c>
      <c r="C558" s="3">
        <v>4.3412964124133098E-4</v>
      </c>
      <c r="D558" s="4">
        <v>8.5811178823220497E-3</v>
      </c>
      <c r="E558" s="3" t="s">
        <v>937</v>
      </c>
      <c r="F558" s="3" t="s">
        <v>938</v>
      </c>
      <c r="G558" s="3" t="s">
        <v>83</v>
      </c>
      <c r="H558" s="7" t="str">
        <f>HYPERLINK("http://www.ensembl.org/Mus_musculus/Gene/Summary?db=core;g=ENSMUSG00000085438","ENSMUSG00000085438")</f>
        <v>ENSMUSG00000085438</v>
      </c>
      <c r="I558" s="7" t="str">
        <f>HYPERLINK("http://www.informatics.jax.org/marker/MGI:1913852","MGI:1913852")</f>
        <v>MGI:1913852</v>
      </c>
      <c r="J558" s="4" t="s">
        <v>939</v>
      </c>
    </row>
    <row r="559" spans="1:10" x14ac:dyDescent="0.25">
      <c r="A559" s="2">
        <v>1619.40380836646</v>
      </c>
      <c r="B559" s="3">
        <v>0.25434951075145101</v>
      </c>
      <c r="C559" s="3">
        <v>2.9899394497198699E-3</v>
      </c>
      <c r="D559" s="4">
        <v>3.6384686871758297E-2</v>
      </c>
      <c r="E559" s="3" t="s">
        <v>4004</v>
      </c>
      <c r="F559" s="3" t="s">
        <v>4005</v>
      </c>
      <c r="G559" s="3">
        <v>445007</v>
      </c>
      <c r="H559" s="7" t="str">
        <f>HYPERLINK("http://www.ensembl.org/Mus_musculus/Gene/Summary?db=core;g=ENSMUSG00000020739","ENSMUSG00000020739")</f>
        <v>ENSMUSG00000020739</v>
      </c>
      <c r="I559" s="7" t="str">
        <f>HYPERLINK("http://www.informatics.jax.org/marker/MGI:3046173","MGI:3046173")</f>
        <v>MGI:3046173</v>
      </c>
      <c r="J559" s="4" t="s">
        <v>12</v>
      </c>
    </row>
    <row r="560" spans="1:10" x14ac:dyDescent="0.25">
      <c r="A560" s="2">
        <v>3001.6131749031501</v>
      </c>
      <c r="B560" s="3">
        <v>0.25301595239122798</v>
      </c>
      <c r="C560" s="5">
        <v>6.3639327004333705E-5</v>
      </c>
      <c r="D560" s="4">
        <v>1.93186087558164E-3</v>
      </c>
      <c r="E560" s="3" t="s">
        <v>1336</v>
      </c>
      <c r="F560" s="3" t="s">
        <v>1337</v>
      </c>
      <c r="G560" s="3">
        <v>99138</v>
      </c>
      <c r="H560" s="7" t="str">
        <f>HYPERLINK("http://www.ensembl.org/Mus_musculus/Gene/Summary?db=core;g=ENSMUSG00000027367","ENSMUSG00000027367")</f>
        <v>ENSMUSG00000027367</v>
      </c>
      <c r="I560" s="7" t="str">
        <f>HYPERLINK("http://www.informatics.jax.org/marker/MGI:2139090","MGI:2139090")</f>
        <v>MGI:2139090</v>
      </c>
      <c r="J560" s="4" t="s">
        <v>12</v>
      </c>
    </row>
    <row r="561" spans="1:10" x14ac:dyDescent="0.25">
      <c r="A561" s="2">
        <v>926.18111251667801</v>
      </c>
      <c r="B561" s="3">
        <v>0.25223114564327098</v>
      </c>
      <c r="C561" s="3">
        <v>4.2565987911517096E-3</v>
      </c>
      <c r="D561" s="4">
        <v>4.7259591909262898E-2</v>
      </c>
      <c r="E561" s="3" t="s">
        <v>6533</v>
      </c>
      <c r="F561" s="3" t="s">
        <v>6534</v>
      </c>
      <c r="G561" s="3">
        <v>223921</v>
      </c>
      <c r="H561" s="7" t="str">
        <f>HYPERLINK("http://www.ensembl.org/Mus_musculus/Gene/Summary?db=core;g=ENSMUSG00000036678","ENSMUSG00000036678")</f>
        <v>ENSMUSG00000036678</v>
      </c>
      <c r="I561" s="7" t="str">
        <f>HYPERLINK("http://www.informatics.jax.org/marker/MGI:2443767","MGI:2443767")</f>
        <v>MGI:2443767</v>
      </c>
      <c r="J561" s="4" t="s">
        <v>12</v>
      </c>
    </row>
    <row r="562" spans="1:10" x14ac:dyDescent="0.25">
      <c r="A562" s="2">
        <v>1262.1887667040701</v>
      </c>
      <c r="B562" s="3">
        <v>0.25213683077237398</v>
      </c>
      <c r="C562" s="3">
        <v>1.7529228629175799E-3</v>
      </c>
      <c r="D562" s="4">
        <v>2.4643904299042601E-2</v>
      </c>
      <c r="E562" s="3" t="s">
        <v>1644</v>
      </c>
      <c r="F562" s="3" t="s">
        <v>1645</v>
      </c>
      <c r="G562" s="3">
        <v>227292</v>
      </c>
      <c r="H562" s="7" t="str">
        <f>HYPERLINK("http://www.ensembl.org/Mus_musculus/Gene/Summary?db=core;g=ENSMUSG00000026176","ENSMUSG00000026176")</f>
        <v>ENSMUSG00000026176</v>
      </c>
      <c r="I562" s="7" t="str">
        <f>HYPERLINK("http://www.informatics.jax.org/marker/MGI:2654470","MGI:2654470")</f>
        <v>MGI:2654470</v>
      </c>
      <c r="J562" s="4" t="s">
        <v>12</v>
      </c>
    </row>
    <row r="563" spans="1:10" x14ac:dyDescent="0.25">
      <c r="A563" s="2">
        <v>662.31116077495301</v>
      </c>
      <c r="B563" s="3">
        <v>0.24948069288235</v>
      </c>
      <c r="C563" s="3">
        <v>1.46087590320512E-3</v>
      </c>
      <c r="D563" s="4">
        <v>2.1647524747493999E-2</v>
      </c>
      <c r="E563" s="3" t="s">
        <v>3948</v>
      </c>
      <c r="F563" s="3" t="s">
        <v>3949</v>
      </c>
      <c r="G563" s="3">
        <v>11907</v>
      </c>
      <c r="H563" s="7" t="str">
        <f>HYPERLINK("http://www.ensembl.org/Mus_musculus/Gene/Summary?db=core;g=ENSMUSG00000030850","ENSMUSG00000030850")</f>
        <v>ENSMUSG00000030850</v>
      </c>
      <c r="I563" s="7" t="str">
        <f>HYPERLINK("http://www.informatics.jax.org/marker/MGI:1333870","MGI:1333870")</f>
        <v>MGI:1333870</v>
      </c>
      <c r="J563" s="4" t="s">
        <v>12</v>
      </c>
    </row>
    <row r="564" spans="1:10" x14ac:dyDescent="0.25">
      <c r="A564" s="2">
        <v>726.49549213098203</v>
      </c>
      <c r="B564" s="3">
        <v>0.2490078677974</v>
      </c>
      <c r="C564" s="3">
        <v>3.8872301288786601E-3</v>
      </c>
      <c r="D564" s="4">
        <v>4.4340443468051001E-2</v>
      </c>
      <c r="E564" s="3" t="s">
        <v>1552</v>
      </c>
      <c r="F564" s="3" t="s">
        <v>1553</v>
      </c>
      <c r="G564" s="3">
        <v>107568</v>
      </c>
      <c r="H564" s="7" t="str">
        <f>HYPERLINK("http://www.ensembl.org/Mus_musculus/Gene/Summary?db=core;g=ENSMUSG00000041058","ENSMUSG00000041058")</f>
        <v>ENSMUSG00000041058</v>
      </c>
      <c r="I564" s="7" t="str">
        <f>HYPERLINK("http://www.informatics.jax.org/marker/MGI:1861728","MGI:1861728")</f>
        <v>MGI:1861728</v>
      </c>
      <c r="J564" s="4" t="s">
        <v>12</v>
      </c>
    </row>
    <row r="565" spans="1:10" x14ac:dyDescent="0.25">
      <c r="A565" s="2">
        <v>1513.78237681719</v>
      </c>
      <c r="B565" s="3">
        <v>0.245986798451024</v>
      </c>
      <c r="C565" s="5">
        <v>2.7897481138243499E-6</v>
      </c>
      <c r="D565" s="4">
        <v>1.66012153630595E-4</v>
      </c>
      <c r="E565" s="3" t="s">
        <v>1013</v>
      </c>
      <c r="F565" s="3" t="s">
        <v>1014</v>
      </c>
      <c r="G565" s="3">
        <v>11350</v>
      </c>
      <c r="H565" s="7" t="str">
        <f>HYPERLINK("http://www.ensembl.org/Mus_musculus/Gene/Summary?db=core;g=ENSMUSG00000026842","ENSMUSG00000026842")</f>
        <v>ENSMUSG00000026842</v>
      </c>
      <c r="I565" s="7" t="str">
        <f>HYPERLINK("http://www.informatics.jax.org/marker/MGI:87859","MGI:87859")</f>
        <v>MGI:87859</v>
      </c>
      <c r="J565" s="4" t="s">
        <v>12</v>
      </c>
    </row>
    <row r="566" spans="1:10" x14ac:dyDescent="0.25">
      <c r="A566" s="2">
        <v>3120.4699770400698</v>
      </c>
      <c r="B566" s="3">
        <v>0.24524885681490899</v>
      </c>
      <c r="C566" s="3">
        <v>2.7072476825648999E-3</v>
      </c>
      <c r="D566" s="4">
        <v>3.40586294024691E-2</v>
      </c>
      <c r="E566" s="3" t="s">
        <v>1628</v>
      </c>
      <c r="F566" s="3" t="s">
        <v>1629</v>
      </c>
      <c r="G566" s="3">
        <v>14218</v>
      </c>
      <c r="H566" s="7" t="str">
        <f>HYPERLINK("http://www.ensembl.org/Mus_musculus/Gene/Summary?db=core;g=ENSMUSG00000053617","ENSMUSG00000053617")</f>
        <v>ENSMUSG00000053617</v>
      </c>
      <c r="I566" s="7" t="str">
        <f>HYPERLINK("http://www.informatics.jax.org/marker/MGI:1298393","MGI:1298393")</f>
        <v>MGI:1298393</v>
      </c>
      <c r="J566" s="4" t="s">
        <v>12</v>
      </c>
    </row>
    <row r="567" spans="1:10" x14ac:dyDescent="0.25">
      <c r="A567" s="2">
        <v>1326.9214522738</v>
      </c>
      <c r="B567" s="3">
        <v>0.244444088842137</v>
      </c>
      <c r="C567" s="3">
        <v>2.0701402510899299E-3</v>
      </c>
      <c r="D567" s="4">
        <v>2.8087189578628099E-2</v>
      </c>
      <c r="E567" s="3" t="s">
        <v>1897</v>
      </c>
      <c r="F567" s="3" t="s">
        <v>1898</v>
      </c>
      <c r="G567" s="3">
        <v>20182</v>
      </c>
      <c r="H567" s="7" t="str">
        <f>HYPERLINK("http://www.ensembl.org/Mus_musculus/Gene/Summary?db=core;g=ENSMUSG00000039656","ENSMUSG00000039656")</f>
        <v>ENSMUSG00000039656</v>
      </c>
      <c r="I567" s="7" t="str">
        <f>HYPERLINK("http://www.informatics.jax.org/marker/MGI:98215","MGI:98215")</f>
        <v>MGI:98215</v>
      </c>
      <c r="J567" s="4" t="s">
        <v>12</v>
      </c>
    </row>
    <row r="568" spans="1:10" x14ac:dyDescent="0.25">
      <c r="A568" s="2">
        <v>1137.2212091874701</v>
      </c>
      <c r="B568" s="3">
        <v>0.24251096843091899</v>
      </c>
      <c r="C568" s="3">
        <v>1.7423869048588799E-3</v>
      </c>
      <c r="D568" s="4">
        <v>2.4557174835774201E-2</v>
      </c>
      <c r="E568" s="3" t="s">
        <v>2057</v>
      </c>
      <c r="F568" s="3" t="s">
        <v>2058</v>
      </c>
      <c r="G568" s="3">
        <v>18747</v>
      </c>
      <c r="H568" s="7" t="str">
        <f>HYPERLINK("http://www.ensembl.org/Mus_musculus/Gene/Summary?db=core;g=ENSMUSG00000005469","ENSMUSG00000005469")</f>
        <v>ENSMUSG00000005469</v>
      </c>
      <c r="I568" s="7" t="str">
        <f>HYPERLINK("http://www.informatics.jax.org/marker/MGI:97592","MGI:97592")</f>
        <v>MGI:97592</v>
      </c>
      <c r="J568" s="4" t="s">
        <v>12</v>
      </c>
    </row>
    <row r="569" spans="1:10" x14ac:dyDescent="0.25">
      <c r="A569" s="2">
        <v>1208.1131357806901</v>
      </c>
      <c r="B569" s="3">
        <v>0.24221942506965799</v>
      </c>
      <c r="C569" s="3">
        <v>4.59446350596224E-3</v>
      </c>
      <c r="D569" s="4">
        <v>4.98318786237072E-2</v>
      </c>
      <c r="E569" s="3" t="s">
        <v>1989</v>
      </c>
      <c r="F569" s="3" t="s">
        <v>1990</v>
      </c>
      <c r="G569" s="3">
        <v>101739</v>
      </c>
      <c r="H569" s="7" t="str">
        <f>HYPERLINK("http://www.ensembl.org/Mus_musculus/Gene/Summary?db=core;g=ENSMUSG00000028484","ENSMUSG00000028484")</f>
        <v>ENSMUSG00000028484</v>
      </c>
      <c r="I569" s="7" t="str">
        <f>HYPERLINK("http://www.informatics.jax.org/marker/MGI:2142116","MGI:2142116")</f>
        <v>MGI:2142116</v>
      </c>
      <c r="J569" s="4" t="s">
        <v>12</v>
      </c>
    </row>
    <row r="570" spans="1:10" x14ac:dyDescent="0.25">
      <c r="A570" s="2">
        <v>1366.7335370139999</v>
      </c>
      <c r="B570" s="3">
        <v>0.242120450709844</v>
      </c>
      <c r="C570" s="3">
        <v>2.1933667039222698E-3</v>
      </c>
      <c r="D570" s="4">
        <v>2.9331073722848999E-2</v>
      </c>
      <c r="E570" s="3" t="s">
        <v>4917</v>
      </c>
      <c r="F570" s="3" t="s">
        <v>4918</v>
      </c>
      <c r="G570" s="3">
        <v>27373</v>
      </c>
      <c r="H570" s="7" t="str">
        <f>HYPERLINK("http://www.ensembl.org/Mus_musculus/Gene/Summary?db=core;g=ENSMUSG00000022433","ENSMUSG00000022433")</f>
        <v>ENSMUSG00000022433</v>
      </c>
      <c r="I570" s="7" t="str">
        <f>HYPERLINK("http://www.informatics.jax.org/marker/MGI:1351660","MGI:1351660")</f>
        <v>MGI:1351660</v>
      </c>
      <c r="J570" s="4" t="s">
        <v>12</v>
      </c>
    </row>
    <row r="571" spans="1:10" x14ac:dyDescent="0.25">
      <c r="A571" s="2">
        <v>1514.8244143500899</v>
      </c>
      <c r="B571" s="3">
        <v>0.239887464480211</v>
      </c>
      <c r="C571" s="3">
        <v>3.5642401586333499E-4</v>
      </c>
      <c r="D571" s="4">
        <v>7.4235201970646904E-3</v>
      </c>
      <c r="E571" s="3" t="s">
        <v>2529</v>
      </c>
      <c r="F571" s="3" t="s">
        <v>2530</v>
      </c>
      <c r="G571" s="3">
        <v>18117</v>
      </c>
      <c r="H571" s="7" t="str">
        <f>HYPERLINK("http://www.ensembl.org/Mus_musculus/Gene/Summary?db=core;g=ENSMUSG00000031819","ENSMUSG00000031819")</f>
        <v>ENSMUSG00000031819</v>
      </c>
      <c r="I571" s="7" t="str">
        <f>HYPERLINK("http://www.informatics.jax.org/marker/MGI:1343095","MGI:1343095")</f>
        <v>MGI:1343095</v>
      </c>
      <c r="J571" s="4" t="s">
        <v>12</v>
      </c>
    </row>
    <row r="572" spans="1:10" x14ac:dyDescent="0.25">
      <c r="A572" s="2">
        <v>1443.9958772114701</v>
      </c>
      <c r="B572" s="3">
        <v>0.23907080717713</v>
      </c>
      <c r="C572" s="3">
        <v>5.3519766619060697E-4</v>
      </c>
      <c r="D572" s="4">
        <v>1.0049028633799299E-2</v>
      </c>
      <c r="E572" s="3" t="s">
        <v>2706</v>
      </c>
      <c r="F572" s="3" t="s">
        <v>2707</v>
      </c>
      <c r="G572" s="3">
        <v>21974</v>
      </c>
      <c r="H572" s="7" t="str">
        <f>HYPERLINK("http://www.ensembl.org/Mus_musculus/Gene/Summary?db=core;g=ENSMUSG00000017485","ENSMUSG00000017485")</f>
        <v>ENSMUSG00000017485</v>
      </c>
      <c r="I572" s="7" t="str">
        <f>HYPERLINK("http://www.informatics.jax.org/marker/MGI:98791","MGI:98791")</f>
        <v>MGI:98791</v>
      </c>
      <c r="J572" s="4" t="s">
        <v>12</v>
      </c>
    </row>
    <row r="573" spans="1:10" x14ac:dyDescent="0.25">
      <c r="A573" s="2">
        <v>1005.29558204518</v>
      </c>
      <c r="B573" s="3">
        <v>0.238425148167102</v>
      </c>
      <c r="C573" s="3">
        <v>3.1441864309200598E-3</v>
      </c>
      <c r="D573" s="4">
        <v>3.7780624774100303E-2</v>
      </c>
      <c r="E573" s="3" t="s">
        <v>2493</v>
      </c>
      <c r="F573" s="3" t="s">
        <v>2494</v>
      </c>
      <c r="G573" s="3">
        <v>330662</v>
      </c>
      <c r="H573" s="7" t="str">
        <f>HYPERLINK("http://www.ensembl.org/Mus_musculus/Gene/Summary?db=core;g=ENSMUSG00000058325","ENSMUSG00000058325")</f>
        <v>ENSMUSG00000058325</v>
      </c>
      <c r="I573" s="7" t="str">
        <f>HYPERLINK("http://www.informatics.jax.org/marker/MGI:2429765","MGI:2429765")</f>
        <v>MGI:2429765</v>
      </c>
      <c r="J573" s="4" t="s">
        <v>12</v>
      </c>
    </row>
    <row r="574" spans="1:10" x14ac:dyDescent="0.25">
      <c r="A574" s="2">
        <v>1040.56845814177</v>
      </c>
      <c r="B574" s="3">
        <v>0.237667065637994</v>
      </c>
      <c r="C574" s="3">
        <v>2.2427677586282502E-3</v>
      </c>
      <c r="D574" s="4">
        <v>2.9816086266302499E-2</v>
      </c>
      <c r="E574" s="3" t="s">
        <v>2898</v>
      </c>
      <c r="F574" s="3" t="s">
        <v>2899</v>
      </c>
      <c r="G574" s="3">
        <v>17692</v>
      </c>
      <c r="H574" s="7" t="str">
        <f>HYPERLINK("http://www.ensembl.org/Mus_musculus/Gene/Summary?db=core;g=ENSMUSG00000031358","ENSMUSG00000031358")</f>
        <v>ENSMUSG00000031358</v>
      </c>
      <c r="I574" s="7" t="str">
        <f>HYPERLINK("http://www.informatics.jax.org/marker/MGI:1341851","MGI:1341851")</f>
        <v>MGI:1341851</v>
      </c>
      <c r="J574" s="4" t="s">
        <v>12</v>
      </c>
    </row>
    <row r="575" spans="1:10" x14ac:dyDescent="0.25">
      <c r="A575" s="2">
        <v>1100.73726517707</v>
      </c>
      <c r="B575" s="3">
        <v>0.232268126175008</v>
      </c>
      <c r="C575" s="3">
        <v>1.7626022146953399E-3</v>
      </c>
      <c r="D575" s="4">
        <v>2.4749047576377699E-2</v>
      </c>
      <c r="E575" s="3" t="s">
        <v>10926</v>
      </c>
      <c r="F575" s="3" t="s">
        <v>10927</v>
      </c>
      <c r="G575" s="3">
        <v>107368</v>
      </c>
      <c r="H575" s="7" t="str">
        <f>HYPERLINK("http://www.ensembl.org/Mus_musculus/Gene/Summary?db=core;g=ENSMUSG00000074746","ENSMUSG00000074746")</f>
        <v>ENSMUSG00000074746</v>
      </c>
      <c r="I575" s="7" t="str">
        <f>HYPERLINK("http://www.informatics.jax.org/marker/MGI:2677270","MGI:2677270")</f>
        <v>MGI:2677270</v>
      </c>
      <c r="J575" s="4" t="s">
        <v>12</v>
      </c>
    </row>
    <row r="576" spans="1:10" x14ac:dyDescent="0.25">
      <c r="A576" s="2">
        <v>2054.5673341492002</v>
      </c>
      <c r="B576" s="3">
        <v>0.23186872710065401</v>
      </c>
      <c r="C576" s="3">
        <v>8.62370002395604E-4</v>
      </c>
      <c r="D576" s="4">
        <v>1.4263346201387301E-2</v>
      </c>
      <c r="E576" s="3" t="s">
        <v>3316</v>
      </c>
      <c r="F576" s="3" t="s">
        <v>3317</v>
      </c>
      <c r="G576" s="3">
        <v>109168</v>
      </c>
      <c r="H576" s="7" t="str">
        <f>HYPERLINK("http://www.ensembl.org/Mus_musculus/Gene/Summary?db=core;g=ENSMUSG00000024759","ENSMUSG00000024759")</f>
        <v>ENSMUSG00000024759</v>
      </c>
      <c r="I576" s="7" t="str">
        <f>HYPERLINK("http://www.informatics.jax.org/marker/MGI:1924270","MGI:1924270")</f>
        <v>MGI:1924270</v>
      </c>
      <c r="J576" s="4" t="s">
        <v>12</v>
      </c>
    </row>
    <row r="577" spans="1:10" x14ac:dyDescent="0.25">
      <c r="A577" s="2">
        <v>2592.2818213146602</v>
      </c>
      <c r="B577" s="3">
        <v>0.231163899773454</v>
      </c>
      <c r="C577" s="3">
        <v>3.0518053997697402E-3</v>
      </c>
      <c r="D577" s="4">
        <v>3.69468841024869E-2</v>
      </c>
      <c r="E577" s="3" t="s">
        <v>17034</v>
      </c>
      <c r="F577" s="3" t="s">
        <v>17035</v>
      </c>
      <c r="G577" s="3">
        <v>18010</v>
      </c>
      <c r="H577" s="7" t="str">
        <f>HYPERLINK("http://www.ensembl.org/Mus_musculus/Gene/Summary?db=core;g=ENSMUSG00000007038","ENSMUSG00000007038")</f>
        <v>ENSMUSG00000007038</v>
      </c>
      <c r="I577" s="7" t="str">
        <f>HYPERLINK("http://www.informatics.jax.org/marker/MGI:97305","MGI:97305")</f>
        <v>MGI:97305</v>
      </c>
      <c r="J577" s="4" t="s">
        <v>12</v>
      </c>
    </row>
    <row r="578" spans="1:10" x14ac:dyDescent="0.25">
      <c r="A578" s="2">
        <v>1203.13778977212</v>
      </c>
      <c r="B578" s="3">
        <v>0.230223289658469</v>
      </c>
      <c r="C578" s="3">
        <v>2.3661059547395199E-3</v>
      </c>
      <c r="D578" s="4">
        <v>3.1088310365602001E-2</v>
      </c>
      <c r="E578" s="3" t="s">
        <v>4153</v>
      </c>
      <c r="F578" s="3" t="s">
        <v>4154</v>
      </c>
      <c r="G578" s="3">
        <v>18108</v>
      </c>
      <c r="H578" s="7" t="str">
        <f>HYPERLINK("http://www.ensembl.org/Mus_musculus/Gene/Summary?db=core;g=ENSMUSG00000026643","ENSMUSG00000026643")</f>
        <v>ENSMUSG00000026643</v>
      </c>
      <c r="I578" s="7" t="str">
        <f>HYPERLINK("http://www.informatics.jax.org/marker/MGI:1202298","MGI:1202298")</f>
        <v>MGI:1202298</v>
      </c>
      <c r="J578" s="4" t="s">
        <v>12</v>
      </c>
    </row>
    <row r="579" spans="1:10" x14ac:dyDescent="0.25">
      <c r="A579" s="2">
        <v>4157.6171492486001</v>
      </c>
      <c r="B579" s="3">
        <v>0.22878108124153099</v>
      </c>
      <c r="C579" s="3">
        <v>2.44091108748087E-4</v>
      </c>
      <c r="D579" s="4">
        <v>5.63715133488651E-3</v>
      </c>
      <c r="E579" s="3" t="s">
        <v>5521</v>
      </c>
      <c r="F579" s="3" t="s">
        <v>5522</v>
      </c>
      <c r="G579" s="3">
        <v>19646</v>
      </c>
      <c r="H579" s="7" t="str">
        <f>HYPERLINK("http://www.ensembl.org/Mus_musculus/Gene/Summary?db=core;g=ENSMUSG00000057236","ENSMUSG00000057236")</f>
        <v>ENSMUSG00000057236</v>
      </c>
      <c r="I579" s="7" t="str">
        <f>HYPERLINK("http://www.informatics.jax.org/marker/MGI:1194912","MGI:1194912")</f>
        <v>MGI:1194912</v>
      </c>
      <c r="J579" s="4" t="s">
        <v>12</v>
      </c>
    </row>
    <row r="580" spans="1:10" x14ac:dyDescent="0.25">
      <c r="A580" s="2">
        <v>3051.99217837285</v>
      </c>
      <c r="B580" s="3">
        <v>0.22801961369870999</v>
      </c>
      <c r="C580" s="3">
        <v>1.7313852754053999E-4</v>
      </c>
      <c r="D580" s="4">
        <v>4.22405427168862E-3</v>
      </c>
      <c r="E580" s="3" t="s">
        <v>4341</v>
      </c>
      <c r="F580" s="3" t="s">
        <v>4342</v>
      </c>
      <c r="G580" s="3">
        <v>108156</v>
      </c>
      <c r="H580" s="7" t="str">
        <f>HYPERLINK("http://www.ensembl.org/Mus_musculus/Gene/Summary?db=core;g=ENSMUSG00000021048","ENSMUSG00000021048")</f>
        <v>ENSMUSG00000021048</v>
      </c>
      <c r="I580" s="7" t="str">
        <f>HYPERLINK("http://www.informatics.jax.org/marker/MGI:1342005","MGI:1342005")</f>
        <v>MGI:1342005</v>
      </c>
      <c r="J580" s="4" t="s">
        <v>12</v>
      </c>
    </row>
    <row r="581" spans="1:10" x14ac:dyDescent="0.25">
      <c r="A581" s="2">
        <v>1308.54737006355</v>
      </c>
      <c r="B581" s="3">
        <v>0.227643113192355</v>
      </c>
      <c r="C581" s="3">
        <v>2.7862207498041201E-3</v>
      </c>
      <c r="D581" s="4">
        <v>3.4664407934786499E-2</v>
      </c>
      <c r="E581" s="3" t="s">
        <v>3330</v>
      </c>
      <c r="F581" s="3" t="s">
        <v>3331</v>
      </c>
      <c r="G581" s="3">
        <v>66596</v>
      </c>
      <c r="H581" s="7" t="str">
        <f>HYPERLINK("http://www.ensembl.org/Mus_musculus/Gene/Summary?db=core;g=ENSMUSG00000016503","ENSMUSG00000016503")</f>
        <v>ENSMUSG00000016503</v>
      </c>
      <c r="I581" s="7" t="str">
        <f>HYPERLINK("http://www.informatics.jax.org/marker/MGI:1913846","MGI:1913846")</f>
        <v>MGI:1913846</v>
      </c>
      <c r="J581" s="4" t="s">
        <v>12</v>
      </c>
    </row>
    <row r="582" spans="1:10" x14ac:dyDescent="0.25">
      <c r="A582" s="2">
        <v>2247.5265933396199</v>
      </c>
      <c r="B582" s="3">
        <v>0.22759794287439</v>
      </c>
      <c r="C582" s="3">
        <v>9.6139742641160699E-4</v>
      </c>
      <c r="D582" s="4">
        <v>1.54911702791567E-2</v>
      </c>
      <c r="E582" s="3" t="s">
        <v>3830</v>
      </c>
      <c r="F582" s="3" t="s">
        <v>3831</v>
      </c>
      <c r="G582" s="3">
        <v>226151</v>
      </c>
      <c r="H582" s="7" t="str">
        <f>HYPERLINK("http://www.ensembl.org/Mus_musculus/Gene/Summary?db=core;g=ENSMUSG00000036097","ENSMUSG00000036097")</f>
        <v>ENSMUSG00000036097</v>
      </c>
      <c r="I582" s="7" t="str">
        <f>HYPERLINK("http://www.informatics.jax.org/marker/MGI:1924968","MGI:1924968")</f>
        <v>MGI:1924968</v>
      </c>
      <c r="J582" s="4" t="s">
        <v>12</v>
      </c>
    </row>
    <row r="583" spans="1:10" x14ac:dyDescent="0.25">
      <c r="A583" s="2">
        <v>1132.9860766402601</v>
      </c>
      <c r="B583" s="3">
        <v>0.22598376478753701</v>
      </c>
      <c r="C583" s="3">
        <v>2.4598933730046401E-3</v>
      </c>
      <c r="D583" s="4">
        <v>3.2058424989783597E-2</v>
      </c>
      <c r="E583" s="3" t="s">
        <v>4677</v>
      </c>
      <c r="F583" s="3" t="s">
        <v>4678</v>
      </c>
      <c r="G583" s="3">
        <v>18975</v>
      </c>
      <c r="H583" s="7" t="str">
        <f>HYPERLINK("http://www.ensembl.org/Mus_musculus/Gene/Summary?db=core;g=ENSMUSG00000039176","ENSMUSG00000039176")</f>
        <v>ENSMUSG00000039176</v>
      </c>
      <c r="I583" s="7" t="str">
        <f>HYPERLINK("http://www.informatics.jax.org/marker/MGI:1196389","MGI:1196389")</f>
        <v>MGI:1196389</v>
      </c>
      <c r="J583" s="4" t="s">
        <v>12</v>
      </c>
    </row>
    <row r="584" spans="1:10" x14ac:dyDescent="0.25">
      <c r="A584" s="2">
        <v>1442.1328176648899</v>
      </c>
      <c r="B584" s="3">
        <v>0.22354192689188601</v>
      </c>
      <c r="C584" s="3">
        <v>1.01940510399219E-3</v>
      </c>
      <c r="D584" s="4">
        <v>1.62167598367754E-2</v>
      </c>
      <c r="E584" s="3" t="s">
        <v>1370</v>
      </c>
      <c r="F584" s="3" t="s">
        <v>1371</v>
      </c>
      <c r="G584" s="3">
        <v>18749</v>
      </c>
      <c r="H584" s="7" t="str">
        <f>HYPERLINK("http://www.ensembl.org/Mus_musculus/Gene/Summary?db=core;g=ENSMUSG00000005034","ENSMUSG00000005034")</f>
        <v>ENSMUSG00000005034</v>
      </c>
      <c r="I584" s="7" t="str">
        <f>HYPERLINK("http://www.informatics.jax.org/marker/MGI:97594","MGI:97594")</f>
        <v>MGI:97594</v>
      </c>
      <c r="J584" s="4" t="s">
        <v>12</v>
      </c>
    </row>
    <row r="585" spans="1:10" x14ac:dyDescent="0.25">
      <c r="A585" s="2">
        <v>3253.15393531263</v>
      </c>
      <c r="B585" s="3">
        <v>0.221508192121456</v>
      </c>
      <c r="C585" s="3">
        <v>4.7621064036572401E-4</v>
      </c>
      <c r="D585" s="4">
        <v>9.1877016713969896E-3</v>
      </c>
      <c r="E585" s="3" t="s">
        <v>2605</v>
      </c>
      <c r="F585" s="3" t="s">
        <v>2606</v>
      </c>
      <c r="G585" s="3">
        <v>99371</v>
      </c>
      <c r="H585" s="7" t="str">
        <f>HYPERLINK("http://www.ensembl.org/Mus_musculus/Gene/Summary?db=core;g=ENSMUSG00000074582","ENSMUSG00000074582")</f>
        <v>ENSMUSG00000074582</v>
      </c>
      <c r="I585" s="7" t="str">
        <f>HYPERLINK("http://www.informatics.jax.org/marker/MGI:2139354","MGI:2139354")</f>
        <v>MGI:2139354</v>
      </c>
      <c r="J585" s="4" t="s">
        <v>12</v>
      </c>
    </row>
    <row r="586" spans="1:10" x14ac:dyDescent="0.25">
      <c r="A586" s="2">
        <v>2070.67895962581</v>
      </c>
      <c r="B586" s="3">
        <v>0.22005607711622799</v>
      </c>
      <c r="C586" s="3">
        <v>1.9930461175448702E-3</v>
      </c>
      <c r="D586" s="4">
        <v>2.72366824836296E-2</v>
      </c>
      <c r="E586" s="3" t="s">
        <v>2716</v>
      </c>
      <c r="F586" s="3" t="s">
        <v>2717</v>
      </c>
      <c r="G586" s="3">
        <v>65246</v>
      </c>
      <c r="H586" s="7" t="str">
        <f>HYPERLINK("http://www.ensembl.org/Mus_musculus/Gene/Summary?db=core;g=ENSMUSG00000022100","ENSMUSG00000022100")</f>
        <v>ENSMUSG00000022100</v>
      </c>
      <c r="I586" s="7" t="str">
        <f>HYPERLINK("http://www.informatics.jax.org/marker/MGI:1929705","MGI:1929705")</f>
        <v>MGI:1929705</v>
      </c>
      <c r="J586" s="4" t="s">
        <v>12</v>
      </c>
    </row>
    <row r="587" spans="1:10" x14ac:dyDescent="0.25">
      <c r="A587" s="2">
        <v>2680.8293437545399</v>
      </c>
      <c r="B587" s="3">
        <v>0.21823565791563801</v>
      </c>
      <c r="C587" s="3">
        <v>4.40156893306655E-3</v>
      </c>
      <c r="D587" s="4">
        <v>4.8344185341991697E-2</v>
      </c>
      <c r="E587" s="3" t="s">
        <v>3362</v>
      </c>
      <c r="F587" s="3" t="s">
        <v>3363</v>
      </c>
      <c r="G587" s="3">
        <v>76900</v>
      </c>
      <c r="H587" s="7" t="str">
        <f>HYPERLINK("http://www.ensembl.org/Mus_musculus/Gene/Summary?db=core;g=ENSMUSG00000070003","ENSMUSG00000070003")</f>
        <v>ENSMUSG00000070003</v>
      </c>
      <c r="I587" s="7" t="str">
        <f>HYPERLINK("http://www.informatics.jax.org/marker/MGI:1924150","MGI:1924150")</f>
        <v>MGI:1924150</v>
      </c>
      <c r="J587" s="4" t="s">
        <v>12</v>
      </c>
    </row>
    <row r="588" spans="1:10" x14ac:dyDescent="0.25">
      <c r="A588" s="2">
        <v>3534.8332291711699</v>
      </c>
      <c r="B588" s="3">
        <v>0.21568430958436199</v>
      </c>
      <c r="C588" s="5">
        <v>6.0812879996757701E-5</v>
      </c>
      <c r="D588" s="4">
        <v>1.8829578576235501E-3</v>
      </c>
      <c r="E588" s="3" t="s">
        <v>776</v>
      </c>
      <c r="F588" s="3" t="s">
        <v>777</v>
      </c>
      <c r="G588" s="3">
        <v>117198</v>
      </c>
      <c r="H588" s="7" t="str">
        <f>HYPERLINK("http://www.ensembl.org/Mus_musculus/Gene/Summary?db=core;g=ENSMUSG00000023150","ENSMUSG00000023150")</f>
        <v>ENSMUSG00000023150</v>
      </c>
      <c r="I588" s="7" t="str">
        <f>HYPERLINK("http://www.informatics.jax.org/marker/MGI:2152389","MGI:2152389")</f>
        <v>MGI:2152389</v>
      </c>
      <c r="J588" s="4" t="s">
        <v>12</v>
      </c>
    </row>
    <row r="589" spans="1:10" x14ac:dyDescent="0.25">
      <c r="A589" s="2">
        <v>3353.74853330817</v>
      </c>
      <c r="B589" s="3">
        <v>0.208896159081706</v>
      </c>
      <c r="C589" s="3">
        <v>8.7018049263365102E-4</v>
      </c>
      <c r="D589" s="4">
        <v>1.43503225815992E-2</v>
      </c>
      <c r="E589" s="3" t="s">
        <v>5163</v>
      </c>
      <c r="F589" s="3" t="s">
        <v>5164</v>
      </c>
      <c r="G589" s="3">
        <v>19087</v>
      </c>
      <c r="H589" s="7" t="str">
        <f>HYPERLINK("http://www.ensembl.org/Mus_musculus/Gene/Summary?db=core;g=ENSMUSG00000032601","ENSMUSG00000032601")</f>
        <v>ENSMUSG00000032601</v>
      </c>
      <c r="I589" s="7" t="str">
        <f>HYPERLINK("http://www.informatics.jax.org/marker/MGI:108025","MGI:108025")</f>
        <v>MGI:108025</v>
      </c>
      <c r="J589" s="4" t="s">
        <v>12</v>
      </c>
    </row>
    <row r="590" spans="1:10" x14ac:dyDescent="0.25">
      <c r="A590" s="2">
        <v>837.93105700766296</v>
      </c>
      <c r="B590" s="3">
        <v>0.19836405995436801</v>
      </c>
      <c r="C590" s="3">
        <v>3.5284516637104002E-3</v>
      </c>
      <c r="D590" s="4">
        <v>4.1467602781348901E-2</v>
      </c>
      <c r="E590" s="3" t="s">
        <v>2679</v>
      </c>
      <c r="F590" s="3" t="s">
        <v>2680</v>
      </c>
      <c r="G590" s="3">
        <v>56292</v>
      </c>
      <c r="H590" s="7" t="str">
        <f>HYPERLINK("http://www.ensembl.org/Mus_musculus/Gene/Summary?db=core;g=ENSMUSG00000031388","ENSMUSG00000031388")</f>
        <v>ENSMUSG00000031388</v>
      </c>
      <c r="I590" s="7" t="str">
        <f>HYPERLINK("http://www.informatics.jax.org/marker/MGI:1915255","MGI:1915255")</f>
        <v>MGI:1915255</v>
      </c>
      <c r="J590" s="4" t="s">
        <v>12</v>
      </c>
    </row>
    <row r="591" spans="1:10" x14ac:dyDescent="0.25">
      <c r="A591" s="2">
        <v>6800.9542670874498</v>
      </c>
      <c r="B591" s="3">
        <v>0.19600471644935599</v>
      </c>
      <c r="C591" s="3">
        <v>1.0894742758221501E-3</v>
      </c>
      <c r="D591" s="4">
        <v>1.7137506545694799E-2</v>
      </c>
      <c r="E591" s="3" t="s">
        <v>1829</v>
      </c>
      <c r="F591" s="3" t="s">
        <v>1830</v>
      </c>
      <c r="G591" s="3">
        <v>11545</v>
      </c>
      <c r="H591" s="7" t="str">
        <f>HYPERLINK("http://www.ensembl.org/Mus_musculus/Gene/Summary?db=core;g=ENSMUSG00000026496","ENSMUSG00000026496")</f>
        <v>ENSMUSG00000026496</v>
      </c>
      <c r="I591" s="7" t="str">
        <f>HYPERLINK("http://www.informatics.jax.org/marker/MGI:1340806","MGI:1340806")</f>
        <v>MGI:1340806</v>
      </c>
      <c r="J591" s="4" t="s">
        <v>12</v>
      </c>
    </row>
    <row r="592" spans="1:10" x14ac:dyDescent="0.25">
      <c r="A592" s="2">
        <v>2863.1176010668501</v>
      </c>
      <c r="B592" s="3">
        <v>0.19474314435128501</v>
      </c>
      <c r="C592" s="3">
        <v>4.1727131559332001E-3</v>
      </c>
      <c r="D592" s="4">
        <v>4.6743530741813401E-2</v>
      </c>
      <c r="E592" s="3" t="s">
        <v>5421</v>
      </c>
      <c r="F592" s="3" t="s">
        <v>5422</v>
      </c>
      <c r="G592" s="3">
        <v>68817</v>
      </c>
      <c r="H592" s="7" t="str">
        <f>HYPERLINK("http://www.ensembl.org/Mus_musculus/Gene/Summary?db=core;g=ENSMUSG00000078515","ENSMUSG00000078515")</f>
        <v>ENSMUSG00000078515</v>
      </c>
      <c r="I592" s="7" t="str">
        <f>HYPERLINK("http://www.informatics.jax.org/marker/MGI:1917244","MGI:1917244")</f>
        <v>MGI:1917244</v>
      </c>
      <c r="J592" s="4" t="s">
        <v>12</v>
      </c>
    </row>
    <row r="593" spans="1:10" x14ac:dyDescent="0.25">
      <c r="A593" s="2">
        <v>2978.4562485502302</v>
      </c>
      <c r="B593" s="3">
        <v>0.188000135961256</v>
      </c>
      <c r="C593" s="3">
        <v>1.88864966922949E-3</v>
      </c>
      <c r="D593" s="4">
        <v>2.6095384311823198E-2</v>
      </c>
      <c r="E593" s="3" t="s">
        <v>900</v>
      </c>
      <c r="F593" s="3" t="s">
        <v>901</v>
      </c>
      <c r="G593" s="3">
        <v>56758</v>
      </c>
      <c r="H593" s="7" t="str">
        <f>HYPERLINK("http://www.ensembl.org/Mus_musculus/Gene/Summary?db=core;g=ENSMUSG00000027763","ENSMUSG00000027763")</f>
        <v>ENSMUSG00000027763</v>
      </c>
      <c r="I593" s="7" t="str">
        <f>HYPERLINK("http://www.informatics.jax.org/marker/MGI:1928482","MGI:1928482")</f>
        <v>MGI:1928482</v>
      </c>
      <c r="J593" s="4" t="s">
        <v>12</v>
      </c>
    </row>
    <row r="594" spans="1:10" x14ac:dyDescent="0.25">
      <c r="A594" s="2">
        <v>3243.2143230705301</v>
      </c>
      <c r="B594" s="3">
        <v>0.18395583416045599</v>
      </c>
      <c r="C594" s="3">
        <v>3.4688207077088499E-3</v>
      </c>
      <c r="D594" s="4">
        <v>4.08521743451324E-2</v>
      </c>
      <c r="E594" s="3" t="s">
        <v>4047</v>
      </c>
      <c r="F594" s="3" t="s">
        <v>4048</v>
      </c>
      <c r="G594" s="3">
        <v>232989</v>
      </c>
      <c r="H594" s="7" t="str">
        <f>HYPERLINK("http://www.ensembl.org/Mus_musculus/Gene/Summary?db=core;g=ENSMUSG00000040725","ENSMUSG00000040725")</f>
        <v>ENSMUSG00000040725</v>
      </c>
      <c r="I594" s="7" t="str">
        <f>HYPERLINK("http://www.informatics.jax.org/marker/MGI:2443517","MGI:2443517")</f>
        <v>MGI:2443517</v>
      </c>
      <c r="J594" s="4" t="s">
        <v>12</v>
      </c>
    </row>
    <row r="595" spans="1:10" x14ac:dyDescent="0.25">
      <c r="A595" s="2">
        <v>2083.1514658454298</v>
      </c>
      <c r="B595" s="3">
        <v>0.18092537972289</v>
      </c>
      <c r="C595" s="3">
        <v>3.0049024755438398E-3</v>
      </c>
      <c r="D595" s="4">
        <v>3.6457538449235799E-2</v>
      </c>
      <c r="E595" s="3" t="s">
        <v>5621</v>
      </c>
      <c r="F595" s="3" t="s">
        <v>5622</v>
      </c>
      <c r="G595" s="3">
        <v>105239</v>
      </c>
      <c r="H595" s="7" t="str">
        <f>HYPERLINK("http://www.ensembl.org/Mus_musculus/Gene/Summary?db=core;g=ENSMUSG00000034928","ENSMUSG00000034928")</f>
        <v>ENSMUSG00000034928</v>
      </c>
      <c r="I595" s="7" t="str">
        <f>HYPERLINK("http://www.informatics.jax.org/marker/MGI:2145310","MGI:2145310")</f>
        <v>MGI:2145310</v>
      </c>
      <c r="J595" s="4" t="s">
        <v>12</v>
      </c>
    </row>
    <row r="596" spans="1:10" x14ac:dyDescent="0.25">
      <c r="A596" s="2">
        <v>5692.4840141150698</v>
      </c>
      <c r="B596" s="3">
        <v>0.170234345165347</v>
      </c>
      <c r="C596" s="3">
        <v>3.2443621690511301E-3</v>
      </c>
      <c r="D596" s="4">
        <v>3.8777195871751297E-2</v>
      </c>
      <c r="E596" s="3" t="s">
        <v>3124</v>
      </c>
      <c r="F596" s="3" t="s">
        <v>3125</v>
      </c>
      <c r="G596" s="3">
        <v>109154</v>
      </c>
      <c r="H596" s="7" t="str">
        <f>HYPERLINK("http://www.ensembl.org/Mus_musculus/Gene/Summary?db=core;g=ENSMUSG00000048578","ENSMUSG00000048578")</f>
        <v>ENSMUSG00000048578</v>
      </c>
      <c r="I596" s="7" t="str">
        <f>HYPERLINK("http://www.informatics.jax.org/marker/MGI:1924015","MGI:1924015")</f>
        <v>MGI:1924015</v>
      </c>
      <c r="J596" s="4" t="s">
        <v>12</v>
      </c>
    </row>
    <row r="597" spans="1:10" x14ac:dyDescent="0.25">
      <c r="A597" s="2">
        <v>3196.6942553696799</v>
      </c>
      <c r="B597" s="3">
        <v>0.15700730460795201</v>
      </c>
      <c r="C597" s="3">
        <v>1.5349736643898899E-3</v>
      </c>
      <c r="D597" s="4">
        <v>2.2218595628562599E-2</v>
      </c>
      <c r="E597" s="3" t="s">
        <v>5275</v>
      </c>
      <c r="F597" s="3" t="s">
        <v>5276</v>
      </c>
      <c r="G597" s="3">
        <v>14421</v>
      </c>
      <c r="H597" s="7" t="str">
        <f>HYPERLINK("http://www.ensembl.org/Mus_musculus/Gene/Summary?db=core;g=ENSMUSG00000006731","ENSMUSG00000006731")</f>
        <v>ENSMUSG00000006731</v>
      </c>
      <c r="I597" s="7" t="str">
        <f>HYPERLINK("http://www.informatics.jax.org/marker/MGI:1342057","MGI:1342057")</f>
        <v>MGI:1342057</v>
      </c>
      <c r="J597" s="4" t="s">
        <v>12</v>
      </c>
    </row>
    <row r="598" spans="1:10" x14ac:dyDescent="0.25">
      <c r="A598" s="2">
        <v>2502.7455049130599</v>
      </c>
      <c r="B598" s="3">
        <v>0.142723079724452</v>
      </c>
      <c r="C598" s="3">
        <v>3.91373091984939E-3</v>
      </c>
      <c r="D598" s="4">
        <v>4.44623552076224E-2</v>
      </c>
      <c r="E598" s="3" t="s">
        <v>17040</v>
      </c>
      <c r="F598" s="3" t="s">
        <v>17041</v>
      </c>
      <c r="G598" s="3">
        <v>226432</v>
      </c>
      <c r="H598" s="7" t="str">
        <f>HYPERLINK("http://www.ensembl.org/Mus_musculus/Gene/Summary?db=core;g=ENSMUSG00000041879","ENSMUSG00000041879")</f>
        <v>ENSMUSG00000041879</v>
      </c>
      <c r="I598" s="7" t="str">
        <f>HYPERLINK("http://www.informatics.jax.org/marker/MGI:1918944","MGI:1918944")</f>
        <v>MGI:1918944</v>
      </c>
      <c r="J598" s="4" t="s">
        <v>12</v>
      </c>
    </row>
    <row r="599" spans="1:10" x14ac:dyDescent="0.25">
      <c r="A599" s="2">
        <v>3580.81114885744</v>
      </c>
      <c r="B599" s="3">
        <v>-0.12361464543101799</v>
      </c>
      <c r="C599" s="3">
        <v>1.9356055965029299E-3</v>
      </c>
      <c r="D599" s="4">
        <v>2.6613393818910099E-2</v>
      </c>
      <c r="E599" s="3" t="s">
        <v>1780</v>
      </c>
      <c r="F599" s="3" t="s">
        <v>1781</v>
      </c>
      <c r="G599" s="3">
        <v>18472</v>
      </c>
      <c r="H599" s="7" t="str">
        <f>HYPERLINK("http://www.ensembl.org/Mus_musculus/Gene/Summary?db=core;g=ENSMUSG00000020745","ENSMUSG00000020745")</f>
        <v>ENSMUSG00000020745</v>
      </c>
      <c r="I599" s="7" t="str">
        <f>HYPERLINK("http://www.informatics.jax.org/marker/MGI:109520","MGI:109520")</f>
        <v>MGI:109520</v>
      </c>
      <c r="J599" s="4" t="s">
        <v>12</v>
      </c>
    </row>
    <row r="600" spans="1:10" x14ac:dyDescent="0.25">
      <c r="A600" s="2">
        <v>5406.75716144337</v>
      </c>
      <c r="B600" s="3">
        <v>-0.12668828648590599</v>
      </c>
      <c r="C600" s="3">
        <v>1.3660186379750999E-3</v>
      </c>
      <c r="D600" s="4">
        <v>2.0459248457447499E-2</v>
      </c>
      <c r="E600" s="3" t="s">
        <v>918</v>
      </c>
      <c r="F600" s="3" t="s">
        <v>919</v>
      </c>
      <c r="G600" s="3">
        <v>14688</v>
      </c>
      <c r="H600" s="7" t="str">
        <f>HYPERLINK("http://www.ensembl.org/Mus_musculus/Gene/Summary?db=core;g=ENSMUSG00000029064","ENSMUSG00000029064")</f>
        <v>ENSMUSG00000029064</v>
      </c>
      <c r="I600" s="7" t="str">
        <f>HYPERLINK("http://www.informatics.jax.org/marker/MGI:95781","MGI:95781")</f>
        <v>MGI:95781</v>
      </c>
      <c r="J600" s="4" t="s">
        <v>12</v>
      </c>
    </row>
    <row r="601" spans="1:10" x14ac:dyDescent="0.25">
      <c r="A601" s="2">
        <v>2394.1866671951002</v>
      </c>
      <c r="B601" s="3">
        <v>-0.14840310530700501</v>
      </c>
      <c r="C601" s="3">
        <v>4.3542855752784701E-3</v>
      </c>
      <c r="D601" s="4">
        <v>4.7918444095065502E-2</v>
      </c>
      <c r="E601" s="3" t="s">
        <v>2021</v>
      </c>
      <c r="F601" s="3" t="s">
        <v>2022</v>
      </c>
      <c r="G601" s="3">
        <v>18176</v>
      </c>
      <c r="H601" s="7" t="str">
        <f>HYPERLINK("http://www.ensembl.org/Mus_musculus/Gene/Summary?db=core;g=ENSMUSG00000027852","ENSMUSG00000027852")</f>
        <v>ENSMUSG00000027852</v>
      </c>
      <c r="I601" s="7" t="str">
        <f>HYPERLINK("http://www.informatics.jax.org/marker/MGI:97376","MGI:97376")</f>
        <v>MGI:97376</v>
      </c>
      <c r="J601" s="4" t="s">
        <v>12</v>
      </c>
    </row>
    <row r="602" spans="1:10" x14ac:dyDescent="0.25">
      <c r="A602" s="2">
        <v>10390.112227449899</v>
      </c>
      <c r="B602" s="3">
        <v>-0.15607005563896301</v>
      </c>
      <c r="C602" s="3">
        <v>2.43047078662127E-3</v>
      </c>
      <c r="D602" s="4">
        <v>3.1748553933948202E-2</v>
      </c>
      <c r="E602" s="3" t="s">
        <v>2217</v>
      </c>
      <c r="F602" s="3" t="s">
        <v>2218</v>
      </c>
      <c r="G602" s="3">
        <v>13207</v>
      </c>
      <c r="H602" s="7" t="str">
        <f>HYPERLINK("http://www.ensembl.org/Mus_musculus/Gene/Summary?db=core;g=ENSMUSG00000020719","ENSMUSG00000020719")</f>
        <v>ENSMUSG00000020719</v>
      </c>
      <c r="I602" s="7" t="str">
        <f>HYPERLINK("http://www.informatics.jax.org/marker/MGI:105037","MGI:105037")</f>
        <v>MGI:105037</v>
      </c>
      <c r="J602" s="4" t="s">
        <v>12</v>
      </c>
    </row>
    <row r="603" spans="1:10" x14ac:dyDescent="0.25">
      <c r="A603" s="2">
        <v>10570.9854484362</v>
      </c>
      <c r="B603" s="3">
        <v>-0.16614517019410999</v>
      </c>
      <c r="C603" s="3">
        <v>4.0302192719703003E-3</v>
      </c>
      <c r="D603" s="4">
        <v>4.5509915815110401E-2</v>
      </c>
      <c r="E603" s="3" t="s">
        <v>2635</v>
      </c>
      <c r="F603" s="3" t="s">
        <v>2636</v>
      </c>
      <c r="G603" s="3">
        <v>66713</v>
      </c>
      <c r="H603" s="7" t="str">
        <f>HYPERLINK("http://www.ensembl.org/Mus_musculus/Gene/Summary?db=core;g=ENSMUSG00000020152","ENSMUSG00000020152")</f>
        <v>ENSMUSG00000020152</v>
      </c>
      <c r="I603" s="7" t="str">
        <f>HYPERLINK("http://www.informatics.jax.org/marker/MGI:1913963","MGI:1913963")</f>
        <v>MGI:1913963</v>
      </c>
      <c r="J603" s="4" t="s">
        <v>12</v>
      </c>
    </row>
    <row r="604" spans="1:10" x14ac:dyDescent="0.25">
      <c r="A604" s="2">
        <v>3276.9541962752</v>
      </c>
      <c r="B604" s="3">
        <v>-0.166235122560148</v>
      </c>
      <c r="C604" s="3">
        <v>3.9520876544598699E-3</v>
      </c>
      <c r="D604" s="4">
        <v>4.4807590574304598E-2</v>
      </c>
      <c r="E604" s="3" t="s">
        <v>2083</v>
      </c>
      <c r="F604" s="3" t="s">
        <v>2084</v>
      </c>
      <c r="G604" s="3">
        <v>71770</v>
      </c>
      <c r="H604" s="7" t="str">
        <f>HYPERLINK("http://www.ensembl.org/Mus_musculus/Gene/Summary?db=core;g=ENSMUSG00000035152","ENSMUSG00000035152")</f>
        <v>ENSMUSG00000035152</v>
      </c>
      <c r="I604" s="7" t="str">
        <f>HYPERLINK("http://www.informatics.jax.org/marker/MGI:1919020","MGI:1919020")</f>
        <v>MGI:1919020</v>
      </c>
      <c r="J604" s="4" t="s">
        <v>12</v>
      </c>
    </row>
    <row r="605" spans="1:10" x14ac:dyDescent="0.25">
      <c r="A605" s="2">
        <v>2713.55460520105</v>
      </c>
      <c r="B605" s="3">
        <v>-0.17222685928864601</v>
      </c>
      <c r="C605" s="3">
        <v>1.17307248781443E-3</v>
      </c>
      <c r="D605" s="4">
        <v>1.8098143032165899E-2</v>
      </c>
      <c r="E605" s="3" t="s">
        <v>2722</v>
      </c>
      <c r="F605" s="3" t="s">
        <v>2723</v>
      </c>
      <c r="G605" s="3">
        <v>216705</v>
      </c>
      <c r="H605" s="7" t="str">
        <f>HYPERLINK("http://www.ensembl.org/Mus_musculus/Gene/Summary?db=core;g=ENSMUSG00000006169","ENSMUSG00000006169")</f>
        <v>ENSMUSG00000006169</v>
      </c>
      <c r="I605" s="7" t="str">
        <f>HYPERLINK("http://www.informatics.jax.org/marker/MGI:2144243","MGI:2144243")</f>
        <v>MGI:2144243</v>
      </c>
      <c r="J605" s="4" t="s">
        <v>12</v>
      </c>
    </row>
    <row r="606" spans="1:10" x14ac:dyDescent="0.25">
      <c r="A606" s="2">
        <v>4065.7183232074399</v>
      </c>
      <c r="B606" s="3">
        <v>-0.17392035215541499</v>
      </c>
      <c r="C606" s="3">
        <v>1.9423529236939699E-4</v>
      </c>
      <c r="D606" s="4">
        <v>4.6579196871612003E-3</v>
      </c>
      <c r="E606" s="3" t="s">
        <v>1833</v>
      </c>
      <c r="F606" s="3" t="s">
        <v>1834</v>
      </c>
      <c r="G606" s="3">
        <v>22631</v>
      </c>
      <c r="H606" s="7" t="str">
        <f>HYPERLINK("http://www.ensembl.org/Mus_musculus/Gene/Summary?db=core;g=ENSMUSG00000022285","ENSMUSG00000022285")</f>
        <v>ENSMUSG00000022285</v>
      </c>
      <c r="I606" s="7" t="str">
        <f>HYPERLINK("http://www.informatics.jax.org/marker/MGI:109484","MGI:109484")</f>
        <v>MGI:109484</v>
      </c>
      <c r="J606" s="4" t="s">
        <v>12</v>
      </c>
    </row>
    <row r="607" spans="1:10" x14ac:dyDescent="0.25">
      <c r="A607" s="2">
        <v>18493.514092038498</v>
      </c>
      <c r="B607" s="3">
        <v>-0.178174684106336</v>
      </c>
      <c r="C607" s="3">
        <v>4.3105167722681101E-3</v>
      </c>
      <c r="D607" s="4">
        <v>4.7623165164734201E-2</v>
      </c>
      <c r="E607" s="3" t="s">
        <v>1979</v>
      </c>
      <c r="F607" s="3" t="s">
        <v>1980</v>
      </c>
      <c r="G607" s="3">
        <v>13681</v>
      </c>
      <c r="H607" s="7" t="str">
        <f>HYPERLINK("http://www.ensembl.org/Mus_musculus/Gene/Summary?db=core;g=ENSMUSG00000059796","ENSMUSG00000059796")</f>
        <v>ENSMUSG00000059796</v>
      </c>
      <c r="I607" s="7" t="str">
        <f>HYPERLINK("http://www.informatics.jax.org/marker/MGI:95303","MGI:95303")</f>
        <v>MGI:95303</v>
      </c>
      <c r="J607" s="4" t="s">
        <v>12</v>
      </c>
    </row>
    <row r="608" spans="1:10" x14ac:dyDescent="0.25">
      <c r="A608" s="2">
        <v>3647.99077602335</v>
      </c>
      <c r="B608" s="3">
        <v>-0.18059989651698899</v>
      </c>
      <c r="C608" s="3">
        <v>6.7617918824961095E-4</v>
      </c>
      <c r="D608" s="4">
        <v>1.18457746577E-2</v>
      </c>
      <c r="E608" s="3" t="s">
        <v>4179</v>
      </c>
      <c r="F608" s="3" t="s">
        <v>4180</v>
      </c>
      <c r="G608" s="3">
        <v>213827</v>
      </c>
      <c r="H608" s="7" t="str">
        <f>HYPERLINK("http://www.ensembl.org/Mus_musculus/Gene/Summary?db=core;g=ENSMUSG00000032096","ENSMUSG00000032096")</f>
        <v>ENSMUSG00000032096</v>
      </c>
      <c r="I608" s="7" t="str">
        <f>HYPERLINK("http://www.informatics.jax.org/marker/MGI:2387591","MGI:2387591")</f>
        <v>MGI:2387591</v>
      </c>
      <c r="J608" s="4" t="s">
        <v>12</v>
      </c>
    </row>
    <row r="609" spans="1:10" x14ac:dyDescent="0.25">
      <c r="A609" s="2">
        <v>1720.5645396167799</v>
      </c>
      <c r="B609" s="3">
        <v>-0.18071987733046499</v>
      </c>
      <c r="C609" s="3">
        <v>1.41882330167378E-3</v>
      </c>
      <c r="D609" s="4">
        <v>2.1163800628547801E-2</v>
      </c>
      <c r="E609" s="3" t="s">
        <v>3942</v>
      </c>
      <c r="F609" s="3" t="s">
        <v>3943</v>
      </c>
      <c r="G609" s="3">
        <v>101214</v>
      </c>
      <c r="H609" s="7" t="str">
        <f>HYPERLINK("http://www.ensembl.org/Mus_musculus/Gene/Summary?db=core;g=ENSMUSG00000029817","ENSMUSG00000029817")</f>
        <v>ENSMUSG00000029817</v>
      </c>
      <c r="I609" s="7" t="str">
        <f>HYPERLINK("http://www.informatics.jax.org/marker/MGI:1933972","MGI:1933972")</f>
        <v>MGI:1933972</v>
      </c>
      <c r="J609" s="4" t="s">
        <v>12</v>
      </c>
    </row>
    <row r="610" spans="1:10" x14ac:dyDescent="0.25">
      <c r="A610" s="2">
        <v>3260.0687700879898</v>
      </c>
      <c r="B610" s="3">
        <v>-0.18179117369244299</v>
      </c>
      <c r="C610" s="3">
        <v>2.30722069353338E-3</v>
      </c>
      <c r="D610" s="4">
        <v>3.0492727544265401E-2</v>
      </c>
      <c r="E610" s="3" t="s">
        <v>1064</v>
      </c>
      <c r="F610" s="3" t="s">
        <v>1065</v>
      </c>
      <c r="G610" s="3">
        <v>69237</v>
      </c>
      <c r="H610" s="7" t="str">
        <f>HYPERLINK("http://www.ensembl.org/Mus_musculus/Gene/Summary?db=core;g=ENSMUSG00000021149","ENSMUSG00000021149")</f>
        <v>ENSMUSG00000021149</v>
      </c>
      <c r="I610" s="7" t="str">
        <f>HYPERLINK("http://www.informatics.jax.org/marker/MGI:1916487","MGI:1916487")</f>
        <v>MGI:1916487</v>
      </c>
      <c r="J610" s="4" t="s">
        <v>12</v>
      </c>
    </row>
    <row r="611" spans="1:10" x14ac:dyDescent="0.25">
      <c r="A611" s="2">
        <v>2497.7766864649798</v>
      </c>
      <c r="B611" s="3">
        <v>-0.182342195757873</v>
      </c>
      <c r="C611" s="3">
        <v>2.74668793921941E-3</v>
      </c>
      <c r="D611" s="4">
        <v>3.4400890036081003E-2</v>
      </c>
      <c r="E611" s="3" t="s">
        <v>640</v>
      </c>
      <c r="F611" s="3" t="s">
        <v>641</v>
      </c>
      <c r="G611" s="3">
        <v>99683</v>
      </c>
      <c r="H611" s="7" t="str">
        <f>HYPERLINK("http://www.ensembl.org/Mus_musculus/Gene/Summary?db=core;g=ENSMUSG00000001052","ENSMUSG00000001052")</f>
        <v>ENSMUSG00000001052</v>
      </c>
      <c r="I611" s="7" t="str">
        <f>HYPERLINK("http://www.informatics.jax.org/marker/MGI:2139764","MGI:2139764")</f>
        <v>MGI:2139764</v>
      </c>
      <c r="J611" s="4" t="s">
        <v>12</v>
      </c>
    </row>
    <row r="612" spans="1:10" x14ac:dyDescent="0.25">
      <c r="A612" s="2">
        <v>2423.5103992211598</v>
      </c>
      <c r="B612" s="3">
        <v>-0.18238965936802301</v>
      </c>
      <c r="C612" s="3">
        <v>2.6438282613949797E-4</v>
      </c>
      <c r="D612" s="4">
        <v>5.9726014224549401E-3</v>
      </c>
      <c r="E612" s="3" t="s">
        <v>2351</v>
      </c>
      <c r="F612" s="3" t="s">
        <v>2352</v>
      </c>
      <c r="G612" s="3">
        <v>53861</v>
      </c>
      <c r="H612" s="7" t="str">
        <f>HYPERLINK("http://www.ensembl.org/Mus_musculus/Gene/Summary?db=core;g=ENSMUSG00000028180","ENSMUSG00000028180")</f>
        <v>ENSMUSG00000028180</v>
      </c>
      <c r="I612" s="7" t="str">
        <f>HYPERLINK("http://www.informatics.jax.org/marker/MGI:1858211","MGI:1858211")</f>
        <v>MGI:1858211</v>
      </c>
      <c r="J612" s="4" t="s">
        <v>12</v>
      </c>
    </row>
    <row r="613" spans="1:10" x14ac:dyDescent="0.25">
      <c r="A613" s="2">
        <v>2867.92005617012</v>
      </c>
      <c r="B613" s="3">
        <v>-0.185024793107916</v>
      </c>
      <c r="C613" s="3">
        <v>2.68644492376136E-3</v>
      </c>
      <c r="D613" s="4">
        <v>3.3912071419468198E-2</v>
      </c>
      <c r="E613" s="3" t="s">
        <v>7820</v>
      </c>
      <c r="F613" s="3" t="s">
        <v>7821</v>
      </c>
      <c r="G613" s="3" t="s">
        <v>83</v>
      </c>
      <c r="H613" s="7" t="str">
        <f>HYPERLINK("http://www.ensembl.org/Mus_musculus/Gene/Summary?db=core;g=ENSMUSG00000092595","ENSMUSG00000092595")</f>
        <v>ENSMUSG00000092595</v>
      </c>
      <c r="I613" s="7" t="str">
        <f>HYPERLINK("http://www.informatics.jax.org/marker/MGI:5141892","MGI:5141892")</f>
        <v>MGI:5141892</v>
      </c>
      <c r="J613" s="4" t="s">
        <v>331</v>
      </c>
    </row>
    <row r="614" spans="1:10" x14ac:dyDescent="0.25">
      <c r="A614" s="2">
        <v>806.31906375718199</v>
      </c>
      <c r="B614" s="3">
        <v>-0.18511369397890401</v>
      </c>
      <c r="C614" s="3">
        <v>3.5173038236404998E-3</v>
      </c>
      <c r="D614" s="4">
        <v>4.1379828561176502E-2</v>
      </c>
      <c r="E614" s="3" t="s">
        <v>6587</v>
      </c>
      <c r="F614" s="3" t="s">
        <v>6588</v>
      </c>
      <c r="G614" s="3">
        <v>107035</v>
      </c>
      <c r="H614" s="7" t="str">
        <f>HYPERLINK("http://www.ensembl.org/Mus_musculus/Gene/Summary?db=core;g=ENSMUSG00000042211","ENSMUSG00000042211")</f>
        <v>ENSMUSG00000042211</v>
      </c>
      <c r="I614" s="7" t="str">
        <f>HYPERLINK("http://www.informatics.jax.org/marker/MGI:2444639","MGI:2444639")</f>
        <v>MGI:2444639</v>
      </c>
      <c r="J614" s="4" t="s">
        <v>12</v>
      </c>
    </row>
    <row r="615" spans="1:10" x14ac:dyDescent="0.25">
      <c r="A615" s="2">
        <v>2706.2240267734701</v>
      </c>
      <c r="B615" s="3">
        <v>-0.18630463006152001</v>
      </c>
      <c r="C615" s="3">
        <v>2.6895676808185E-3</v>
      </c>
      <c r="D615" s="4">
        <v>3.3912071419468198E-2</v>
      </c>
      <c r="E615" s="3" t="s">
        <v>2780</v>
      </c>
      <c r="F615" s="3" t="s">
        <v>2781</v>
      </c>
      <c r="G615" s="3">
        <v>54189</v>
      </c>
      <c r="H615" s="7" t="str">
        <f>HYPERLINK("http://www.ensembl.org/Mus_musculus/Gene/Summary?db=core;g=ENSMUSG00000020817","ENSMUSG00000020817")</f>
        <v>ENSMUSG00000020817</v>
      </c>
      <c r="I615" s="7" t="str">
        <f>HYPERLINK("http://www.informatics.jax.org/marker/MGI:1860236","MGI:1860236")</f>
        <v>MGI:1860236</v>
      </c>
      <c r="J615" s="4" t="s">
        <v>12</v>
      </c>
    </row>
    <row r="616" spans="1:10" x14ac:dyDescent="0.25">
      <c r="A616" s="2">
        <v>1617.56814381818</v>
      </c>
      <c r="B616" s="3">
        <v>-0.18722669198139399</v>
      </c>
      <c r="C616" s="3">
        <v>2.3968409268043502E-3</v>
      </c>
      <c r="D616" s="4">
        <v>3.13456626788007E-2</v>
      </c>
      <c r="E616" s="3" t="s">
        <v>1604</v>
      </c>
      <c r="F616" s="3" t="s">
        <v>1605</v>
      </c>
      <c r="G616" s="3">
        <v>19248</v>
      </c>
      <c r="H616" s="7" t="str">
        <f>HYPERLINK("http://www.ensembl.org/Mus_musculus/Gene/Summary?db=core;g=ENSMUSG00000028771","ENSMUSG00000028771")</f>
        <v>ENSMUSG00000028771</v>
      </c>
      <c r="I616" s="7" t="str">
        <f>HYPERLINK("http://www.informatics.jax.org/marker/MGI:104673","MGI:104673")</f>
        <v>MGI:104673</v>
      </c>
      <c r="J616" s="4" t="s">
        <v>12</v>
      </c>
    </row>
    <row r="617" spans="1:10" x14ac:dyDescent="0.25">
      <c r="A617" s="2">
        <v>1289.05391605369</v>
      </c>
      <c r="B617" s="3">
        <v>-0.188684508758758</v>
      </c>
      <c r="C617" s="3">
        <v>1.04299337579201E-3</v>
      </c>
      <c r="D617" s="4">
        <v>1.6475486653838099E-2</v>
      </c>
      <c r="E617" s="3" t="s">
        <v>17032</v>
      </c>
      <c r="F617" s="3" t="s">
        <v>17033</v>
      </c>
      <c r="G617" s="3">
        <v>76332</v>
      </c>
      <c r="H617" s="7" t="str">
        <f>HYPERLINK("http://www.ensembl.org/Mus_musculus/Gene/Summary?db=core;g=ENSMUSG00000031979","ENSMUSG00000031979")</f>
        <v>ENSMUSG00000031979</v>
      </c>
      <c r="I617" s="7" t="str">
        <f>HYPERLINK("http://www.informatics.jax.org/marker/MGI:1923582","MGI:1923582")</f>
        <v>MGI:1923582</v>
      </c>
      <c r="J617" s="4" t="s">
        <v>12</v>
      </c>
    </row>
    <row r="618" spans="1:10" x14ac:dyDescent="0.25">
      <c r="A618" s="2">
        <v>2638.28097632556</v>
      </c>
      <c r="B618" s="3">
        <v>-0.19082276953632599</v>
      </c>
      <c r="C618" s="3">
        <v>1.4359874047431601E-3</v>
      </c>
      <c r="D618" s="4">
        <v>2.1363161826913099E-2</v>
      </c>
      <c r="E618" s="3" t="s">
        <v>1995</v>
      </c>
      <c r="F618" s="3" t="s">
        <v>1996</v>
      </c>
      <c r="G618" s="3">
        <v>73826</v>
      </c>
      <c r="H618" s="7" t="str">
        <f>HYPERLINK("http://www.ensembl.org/Mus_musculus/Gene/Summary?db=core;g=ENSMUSG00000041815","ENSMUSG00000041815")</f>
        <v>ENSMUSG00000041815</v>
      </c>
      <c r="I618" s="7" t="str">
        <f>HYPERLINK("http://www.informatics.jax.org/marker/MGI:1921076","MGI:1921076")</f>
        <v>MGI:1921076</v>
      </c>
      <c r="J618" s="4" t="s">
        <v>12</v>
      </c>
    </row>
    <row r="619" spans="1:10" x14ac:dyDescent="0.25">
      <c r="A619" s="2">
        <v>1728.39964266162</v>
      </c>
      <c r="B619" s="3">
        <v>-0.19314440429420199</v>
      </c>
      <c r="C619" s="3">
        <v>3.2966009313538701E-3</v>
      </c>
      <c r="D619" s="4">
        <v>3.9234783783001999E-2</v>
      </c>
      <c r="E619" s="3" t="s">
        <v>2079</v>
      </c>
      <c r="F619" s="3" t="s">
        <v>2080</v>
      </c>
      <c r="G619" s="3">
        <v>14701</v>
      </c>
      <c r="H619" s="7" t="str">
        <f>HYPERLINK("http://www.ensembl.org/Mus_musculus/Gene/Summary?db=core;g=ENSMUSG00000036402","ENSMUSG00000036402")</f>
        <v>ENSMUSG00000036402</v>
      </c>
      <c r="I619" s="7" t="str">
        <f>HYPERLINK("http://www.informatics.jax.org/marker/MGI:1336171","MGI:1336171")</f>
        <v>MGI:1336171</v>
      </c>
      <c r="J619" s="4" t="s">
        <v>12</v>
      </c>
    </row>
    <row r="620" spans="1:10" x14ac:dyDescent="0.25">
      <c r="A620" s="2">
        <v>2199.7799179799699</v>
      </c>
      <c r="B620" s="3">
        <v>-0.19420262242414699</v>
      </c>
      <c r="C620" s="3">
        <v>1.8143732420099199E-3</v>
      </c>
      <c r="D620" s="4">
        <v>2.5317935301346899E-2</v>
      </c>
      <c r="E620" s="3" t="s">
        <v>4041</v>
      </c>
      <c r="F620" s="3" t="s">
        <v>4042</v>
      </c>
      <c r="G620" s="3">
        <v>14359</v>
      </c>
      <c r="H620" s="7" t="str">
        <f>HYPERLINK("http://www.ensembl.org/Mus_musculus/Gene/Summary?db=core;g=ENSMUSG00000027680","ENSMUSG00000027680")</f>
        <v>ENSMUSG00000027680</v>
      </c>
      <c r="I620" s="7" t="str">
        <f>HYPERLINK("http://www.informatics.jax.org/marker/MGI:104860","MGI:104860")</f>
        <v>MGI:104860</v>
      </c>
      <c r="J620" s="4" t="s">
        <v>12</v>
      </c>
    </row>
    <row r="621" spans="1:10" x14ac:dyDescent="0.25">
      <c r="A621" s="2">
        <v>31913.297590578899</v>
      </c>
      <c r="B621" s="3">
        <v>-0.19561261801948401</v>
      </c>
      <c r="C621" s="3">
        <v>4.47003631735754E-4</v>
      </c>
      <c r="D621" s="4">
        <v>8.7851902857117095E-3</v>
      </c>
      <c r="E621" s="3" t="s">
        <v>526</v>
      </c>
      <c r="F621" s="3" t="s">
        <v>527</v>
      </c>
      <c r="G621" s="3">
        <v>13690</v>
      </c>
      <c r="H621" s="7" t="str">
        <f>HYPERLINK("http://www.ensembl.org/Mus_musculus/Gene/Summary?db=core;g=ENSMUSG00000005610","ENSMUSG00000005610")</f>
        <v>ENSMUSG00000005610</v>
      </c>
      <c r="I621" s="7" t="str">
        <f>HYPERLINK("http://www.informatics.jax.org/marker/MGI:109207","MGI:109207")</f>
        <v>MGI:109207</v>
      </c>
      <c r="J621" s="4" t="s">
        <v>12</v>
      </c>
    </row>
    <row r="622" spans="1:10" x14ac:dyDescent="0.25">
      <c r="A622" s="2">
        <v>2215.2439836634699</v>
      </c>
      <c r="B622" s="3">
        <v>-0.19678727299162399</v>
      </c>
      <c r="C622" s="3">
        <v>2.1430807637069101E-3</v>
      </c>
      <c r="D622" s="4">
        <v>2.8870192541959602E-2</v>
      </c>
      <c r="E622" s="3" t="s">
        <v>1891</v>
      </c>
      <c r="F622" s="3" t="s">
        <v>1892</v>
      </c>
      <c r="G622" s="3">
        <v>11774</v>
      </c>
      <c r="H622" s="7" t="str">
        <f>HYPERLINK("http://www.ensembl.org/Mus_musculus/Gene/Summary?db=core;g=ENSMUSG00000021686","ENSMUSG00000021686")</f>
        <v>ENSMUSG00000021686</v>
      </c>
      <c r="I622" s="7" t="str">
        <f>HYPERLINK("http://www.informatics.jax.org/marker/MGI:1333879","MGI:1333879")</f>
        <v>MGI:1333879</v>
      </c>
      <c r="J622" s="4" t="s">
        <v>12</v>
      </c>
    </row>
    <row r="623" spans="1:10" x14ac:dyDescent="0.25">
      <c r="A623" s="2">
        <v>3054.1130984882602</v>
      </c>
      <c r="B623" s="3">
        <v>-0.198549312544298</v>
      </c>
      <c r="C623" s="3">
        <v>2.8634006089961698E-3</v>
      </c>
      <c r="D623" s="4">
        <v>3.5234865043085199E-2</v>
      </c>
      <c r="E623" s="3" t="s">
        <v>6675</v>
      </c>
      <c r="F623" s="3" t="s">
        <v>6676</v>
      </c>
      <c r="G623" s="3">
        <v>14977</v>
      </c>
      <c r="H623" s="7" t="str">
        <f>HYPERLINK("http://www.ensembl.org/Mus_musculus/Gene/Summary?db=core;g=ENSMUSG00000024327","ENSMUSG00000024327")</f>
        <v>ENSMUSG00000024327</v>
      </c>
      <c r="I623" s="7" t="str">
        <f>HYPERLINK("http://www.informatics.jax.org/marker/MGI:95909","MGI:95909")</f>
        <v>MGI:95909</v>
      </c>
      <c r="J623" s="4" t="s">
        <v>12</v>
      </c>
    </row>
    <row r="624" spans="1:10" x14ac:dyDescent="0.25">
      <c r="A624" s="2">
        <v>2922.47026007574</v>
      </c>
      <c r="B624" s="3">
        <v>-0.20195626508619</v>
      </c>
      <c r="C624" s="3">
        <v>4.3469394368819596E-3</v>
      </c>
      <c r="D624" s="4">
        <v>4.7884454306181601E-2</v>
      </c>
      <c r="E624" s="3" t="s">
        <v>3024</v>
      </c>
      <c r="F624" s="3" t="s">
        <v>3025</v>
      </c>
      <c r="G624" s="3">
        <v>13684</v>
      </c>
      <c r="H624" s="7" t="str">
        <f>HYPERLINK("http://www.ensembl.org/Mus_musculus/Gene/Summary?db=core;g=ENSMUSG00000028156","ENSMUSG00000028156")</f>
        <v>ENSMUSG00000028156</v>
      </c>
      <c r="I624" s="7" t="str">
        <f>HYPERLINK("http://www.informatics.jax.org/marker/MGI:95305","MGI:95305")</f>
        <v>MGI:95305</v>
      </c>
      <c r="J624" s="4" t="s">
        <v>12</v>
      </c>
    </row>
    <row r="625" spans="1:10" x14ac:dyDescent="0.25">
      <c r="A625" s="2">
        <v>3496.8988273741202</v>
      </c>
      <c r="B625" s="3">
        <v>-0.20328765206208399</v>
      </c>
      <c r="C625" s="5">
        <v>6.2981231206641098E-5</v>
      </c>
      <c r="D625" s="4">
        <v>1.91964744547721E-3</v>
      </c>
      <c r="E625" s="3" t="s">
        <v>2185</v>
      </c>
      <c r="F625" s="3" t="s">
        <v>2186</v>
      </c>
      <c r="G625" s="3">
        <v>234366</v>
      </c>
      <c r="H625" s="7" t="str">
        <f>HYPERLINK("http://www.ensembl.org/Mus_musculus/Gene/Summary?db=core;g=ENSMUSG00000036180","ENSMUSG00000036180")</f>
        <v>ENSMUSG00000036180</v>
      </c>
      <c r="I625" s="7" t="str">
        <f>HYPERLINK("http://www.informatics.jax.org/marker/MGI:2384585","MGI:2384585")</f>
        <v>MGI:2384585</v>
      </c>
      <c r="J625" s="4" t="s">
        <v>12</v>
      </c>
    </row>
    <row r="626" spans="1:10" x14ac:dyDescent="0.25">
      <c r="A626" s="2">
        <v>2370.6741548933801</v>
      </c>
      <c r="B626" s="3">
        <v>-0.20359535227098399</v>
      </c>
      <c r="C626" s="3">
        <v>3.7843809085157899E-3</v>
      </c>
      <c r="D626" s="4">
        <v>4.3431563344976699E-2</v>
      </c>
      <c r="E626" s="3" t="s">
        <v>1420</v>
      </c>
      <c r="F626" s="3" t="s">
        <v>1421</v>
      </c>
      <c r="G626" s="3">
        <v>26562</v>
      </c>
      <c r="H626" s="7" t="str">
        <f>HYPERLINK("http://www.ensembl.org/Mus_musculus/Gene/Summary?db=core;g=ENSMUSG00000028833","ENSMUSG00000028833")</f>
        <v>ENSMUSG00000028833</v>
      </c>
      <c r="I626" s="7" t="str">
        <f>HYPERLINK("http://www.informatics.jax.org/marker/MGI:1347351","MGI:1347351")</f>
        <v>MGI:1347351</v>
      </c>
      <c r="J626" s="4" t="s">
        <v>12</v>
      </c>
    </row>
    <row r="627" spans="1:10" x14ac:dyDescent="0.25">
      <c r="A627" s="2">
        <v>1522.0433711524799</v>
      </c>
      <c r="B627" s="3">
        <v>-0.20384970559863499</v>
      </c>
      <c r="C627" s="3">
        <v>3.6546636910610498E-3</v>
      </c>
      <c r="D627" s="4">
        <v>4.2606475556226202E-2</v>
      </c>
      <c r="E627" s="3" t="s">
        <v>17036</v>
      </c>
      <c r="F627" s="3" t="s">
        <v>17037</v>
      </c>
      <c r="G627" s="3">
        <v>67877</v>
      </c>
      <c r="H627" s="7" t="str">
        <f>HYPERLINK("http://www.ensembl.org/Mus_musculus/Gene/Summary?db=core;g=ENSMUSG00000002728","ENSMUSG00000002728")</f>
        <v>ENSMUSG00000002728</v>
      </c>
      <c r="I627" s="7" t="str">
        <f>HYPERLINK("http://www.informatics.jax.org/marker/MGI:1915127","MGI:1915127")</f>
        <v>MGI:1915127</v>
      </c>
      <c r="J627" s="4" t="s">
        <v>12</v>
      </c>
    </row>
    <row r="628" spans="1:10" x14ac:dyDescent="0.25">
      <c r="A628" s="2">
        <v>3997.4033196073501</v>
      </c>
      <c r="B628" s="3">
        <v>-0.20517424740333801</v>
      </c>
      <c r="C628" s="3">
        <v>3.1802773864965301E-3</v>
      </c>
      <c r="D628" s="4">
        <v>3.8092204223563797E-2</v>
      </c>
      <c r="E628" s="3" t="s">
        <v>4145</v>
      </c>
      <c r="F628" s="3" t="s">
        <v>4146</v>
      </c>
      <c r="G628" s="3">
        <v>12181</v>
      </c>
      <c r="H628" s="7" t="str">
        <f>HYPERLINK("http://www.ensembl.org/Mus_musculus/Gene/Summary?db=core;g=ENSMUSG00000022557","ENSMUSG00000022557")</f>
        <v>ENSMUSG00000022557</v>
      </c>
      <c r="I628" s="7" t="str">
        <f>HYPERLINK("http://www.informatics.jax.org/marker/MGI:1334460","MGI:1334460")</f>
        <v>MGI:1334460</v>
      </c>
      <c r="J628" s="4" t="s">
        <v>12</v>
      </c>
    </row>
    <row r="629" spans="1:10" x14ac:dyDescent="0.25">
      <c r="A629" s="2">
        <v>3625.1456502190499</v>
      </c>
      <c r="B629" s="3">
        <v>-0.205687718199592</v>
      </c>
      <c r="C629" s="3">
        <v>2.7743127759636299E-3</v>
      </c>
      <c r="D629" s="4">
        <v>3.4592789125568603E-2</v>
      </c>
      <c r="E629" s="3" t="s">
        <v>3594</v>
      </c>
      <c r="F629" s="3" t="s">
        <v>3595</v>
      </c>
      <c r="G629" s="3">
        <v>17463</v>
      </c>
      <c r="H629" s="7" t="str">
        <f>HYPERLINK("http://www.ensembl.org/Mus_musculus/Gene/Summary?db=core;g=ENSMUSG00000039067","ENSMUSG00000039067")</f>
        <v>ENSMUSG00000039067</v>
      </c>
      <c r="I629" s="7" t="str">
        <f>HYPERLINK("http://www.informatics.jax.org/marker/MGI:1351511","MGI:1351511")</f>
        <v>MGI:1351511</v>
      </c>
      <c r="J629" s="4" t="s">
        <v>12</v>
      </c>
    </row>
    <row r="630" spans="1:10" x14ac:dyDescent="0.25">
      <c r="A630" s="2">
        <v>3484.2779358100502</v>
      </c>
      <c r="B630" s="3">
        <v>-0.20604809881253799</v>
      </c>
      <c r="C630" s="3">
        <v>3.7742037364534302E-3</v>
      </c>
      <c r="D630" s="4">
        <v>4.33779198116317E-2</v>
      </c>
      <c r="E630" s="3" t="s">
        <v>500</v>
      </c>
      <c r="F630" s="3" t="s">
        <v>501</v>
      </c>
      <c r="G630" s="3">
        <v>54338</v>
      </c>
      <c r="H630" s="7" t="str">
        <f>HYPERLINK("http://www.ensembl.org/Mus_musculus/Gene/Summary?db=core;g=ENSMUSG00000027340","ENSMUSG00000027340")</f>
        <v>ENSMUSG00000027340</v>
      </c>
      <c r="I630" s="7" t="str">
        <f>HYPERLINK("http://www.informatics.jax.org/marker/MGI:1859682","MGI:1859682")</f>
        <v>MGI:1859682</v>
      </c>
      <c r="J630" s="4" t="s">
        <v>12</v>
      </c>
    </row>
    <row r="631" spans="1:10" x14ac:dyDescent="0.25">
      <c r="A631" s="2">
        <v>2008.0897308257099</v>
      </c>
      <c r="B631" s="3">
        <v>-0.206504576515743</v>
      </c>
      <c r="C631" s="3">
        <v>1.2608406803001099E-3</v>
      </c>
      <c r="D631" s="4">
        <v>1.9196379309254202E-2</v>
      </c>
      <c r="E631" s="3" t="s">
        <v>37</v>
      </c>
      <c r="F631" s="3" t="s">
        <v>38</v>
      </c>
      <c r="G631" s="3">
        <v>67014</v>
      </c>
      <c r="H631" s="7" t="str">
        <f>HYPERLINK("http://www.ensembl.org/Mus_musculus/Gene/Summary?db=core;g=ENSMUSG00000022724","ENSMUSG00000022724")</f>
        <v>ENSMUSG00000022724</v>
      </c>
      <c r="I631" s="7" t="str">
        <f>HYPERLINK("http://www.informatics.jax.org/marker/MGI:1914264","MGI:1914264")</f>
        <v>MGI:1914264</v>
      </c>
      <c r="J631" s="4" t="s">
        <v>12</v>
      </c>
    </row>
    <row r="632" spans="1:10" x14ac:dyDescent="0.25">
      <c r="A632" s="2">
        <v>1556.0339547814201</v>
      </c>
      <c r="B632" s="3">
        <v>-0.207909142226331</v>
      </c>
      <c r="C632" s="3">
        <v>4.5946170652426798E-3</v>
      </c>
      <c r="D632" s="4">
        <v>4.98318786237072E-2</v>
      </c>
      <c r="E632" s="3" t="s">
        <v>2301</v>
      </c>
      <c r="F632" s="3" t="s">
        <v>2302</v>
      </c>
      <c r="G632" s="3">
        <v>230857</v>
      </c>
      <c r="H632" s="7" t="str">
        <f>HYPERLINK("http://www.ensembl.org/Mus_musculus/Gene/Summary?db=core;g=ENSMUSG00000057530","ENSMUSG00000057530")</f>
        <v>ENSMUSG00000057530</v>
      </c>
      <c r="I632" s="7" t="str">
        <f>HYPERLINK("http://www.informatics.jax.org/marker/MGI:1101357","MGI:1101357")</f>
        <v>MGI:1101357</v>
      </c>
      <c r="J632" s="4" t="s">
        <v>12</v>
      </c>
    </row>
    <row r="633" spans="1:10" x14ac:dyDescent="0.25">
      <c r="A633" s="2">
        <v>739.13499437485405</v>
      </c>
      <c r="B633" s="3">
        <v>-0.20853533749926501</v>
      </c>
      <c r="C633" s="3">
        <v>3.7528553846376401E-3</v>
      </c>
      <c r="D633" s="4">
        <v>4.3246275113749497E-2</v>
      </c>
      <c r="E633" s="3" t="s">
        <v>6485</v>
      </c>
      <c r="F633" s="3" t="s">
        <v>6486</v>
      </c>
      <c r="G633" s="3">
        <v>70616</v>
      </c>
      <c r="H633" s="7" t="str">
        <f>HYPERLINK("http://www.ensembl.org/Mus_musculus/Gene/Summary?db=core;g=ENSMUSG00000011306","ENSMUSG00000011306")</f>
        <v>ENSMUSG00000011306</v>
      </c>
      <c r="I633" s="7" t="str">
        <f>HYPERLINK("http://www.informatics.jax.org/marker/MGI:1917866","MGI:1917866")</f>
        <v>MGI:1917866</v>
      </c>
      <c r="J633" s="4" t="s">
        <v>12</v>
      </c>
    </row>
    <row r="634" spans="1:10" x14ac:dyDescent="0.25">
      <c r="A634" s="2">
        <v>1098.5459015361</v>
      </c>
      <c r="B634" s="3">
        <v>-0.209016575747943</v>
      </c>
      <c r="C634" s="3">
        <v>3.1684871733482201E-3</v>
      </c>
      <c r="D634" s="4">
        <v>3.79914448173213E-2</v>
      </c>
      <c r="E634" s="3" t="s">
        <v>10162</v>
      </c>
      <c r="F634" s="3" t="s">
        <v>10163</v>
      </c>
      <c r="G634" s="3">
        <v>74414</v>
      </c>
      <c r="H634" s="7" t="str">
        <f>HYPERLINK("http://www.ensembl.org/Mus_musculus/Gene/Summary?db=core;g=ENSMUSG00000028099","ENSMUSG00000028099")</f>
        <v>ENSMUSG00000028099</v>
      </c>
      <c r="I634" s="7" t="str">
        <f>HYPERLINK("http://www.informatics.jax.org/marker/MGI:1921664","MGI:1921664")</f>
        <v>MGI:1921664</v>
      </c>
      <c r="J634" s="4" t="s">
        <v>12</v>
      </c>
    </row>
    <row r="635" spans="1:10" x14ac:dyDescent="0.25">
      <c r="A635" s="2">
        <v>2198.0872859813599</v>
      </c>
      <c r="B635" s="3">
        <v>-0.21066963513766301</v>
      </c>
      <c r="C635" s="3">
        <v>3.7671297766525302E-3</v>
      </c>
      <c r="D635" s="4">
        <v>4.3366334286602901E-2</v>
      </c>
      <c r="E635" s="3" t="s">
        <v>278</v>
      </c>
      <c r="F635" s="3" t="s">
        <v>279</v>
      </c>
      <c r="G635" s="3">
        <v>233977</v>
      </c>
      <c r="H635" s="7" t="str">
        <f>HYPERLINK("http://www.ensembl.org/Mus_musculus/Gene/Summary?db=core;g=ENSMUSG00000037519","ENSMUSG00000037519")</f>
        <v>ENSMUSG00000037519</v>
      </c>
      <c r="I635" s="7" t="str">
        <f>HYPERLINK("http://www.informatics.jax.org/marker/MGI:1924750","MGI:1924750")</f>
        <v>MGI:1924750</v>
      </c>
      <c r="J635" s="4" t="s">
        <v>12</v>
      </c>
    </row>
    <row r="636" spans="1:10" x14ac:dyDescent="0.25">
      <c r="A636" s="2">
        <v>2350.8140505531001</v>
      </c>
      <c r="B636" s="3">
        <v>-0.21129284196710599</v>
      </c>
      <c r="C636" s="3">
        <v>3.41826621477447E-3</v>
      </c>
      <c r="D636" s="4">
        <v>4.0413854881058801E-2</v>
      </c>
      <c r="E636" s="3" t="s">
        <v>150</v>
      </c>
      <c r="F636" s="3" t="s">
        <v>151</v>
      </c>
      <c r="G636" s="3">
        <v>319622</v>
      </c>
      <c r="H636" s="7" t="str">
        <f>HYPERLINK("http://www.ensembl.org/Mus_musculus/Gene/Summary?db=core;g=ENSMUSG00000095115","ENSMUSG00000095115")</f>
        <v>ENSMUSG00000095115</v>
      </c>
      <c r="I636" s="7" t="str">
        <f>HYPERLINK("http://www.informatics.jax.org/marker/MGI:2442416","MGI:2442416")</f>
        <v>MGI:2442416</v>
      </c>
      <c r="J636" s="4" t="s">
        <v>12</v>
      </c>
    </row>
    <row r="637" spans="1:10" x14ac:dyDescent="0.25">
      <c r="A637" s="2">
        <v>2285.47879329647</v>
      </c>
      <c r="B637" s="3">
        <v>-0.212521915849787</v>
      </c>
      <c r="C637" s="3">
        <v>3.1674529106218399E-3</v>
      </c>
      <c r="D637" s="4">
        <v>3.79914448173213E-2</v>
      </c>
      <c r="E637" s="3" t="s">
        <v>5249</v>
      </c>
      <c r="F637" s="3" t="s">
        <v>5250</v>
      </c>
      <c r="G637" s="3">
        <v>235072</v>
      </c>
      <c r="H637" s="7" t="str">
        <f>HYPERLINK("http://www.ensembl.org/Mus_musculus/Gene/Summary?db=core;g=ENSMUSG00000001833","ENSMUSG00000001833")</f>
        <v>ENSMUSG00000001833</v>
      </c>
      <c r="I637" s="7" t="str">
        <f>HYPERLINK("http://www.informatics.jax.org/marker/MGI:1335094","MGI:1335094")</f>
        <v>MGI:1335094</v>
      </c>
      <c r="J637" s="4" t="s">
        <v>12</v>
      </c>
    </row>
    <row r="638" spans="1:10" x14ac:dyDescent="0.25">
      <c r="A638" s="2">
        <v>4464.9215316669097</v>
      </c>
      <c r="B638" s="3">
        <v>-0.21256152157371799</v>
      </c>
      <c r="C638" s="3">
        <v>4.4147901104079398E-3</v>
      </c>
      <c r="D638" s="4">
        <v>4.8345263550594902E-2</v>
      </c>
      <c r="E638" s="3" t="s">
        <v>734</v>
      </c>
      <c r="F638" s="3" t="s">
        <v>735</v>
      </c>
      <c r="G638" s="3">
        <v>16418</v>
      </c>
      <c r="H638" s="7" t="str">
        <f>HYPERLINK("http://www.ensembl.org/Mus_musculus/Gene/Summary?db=core;g=ENSMUSG00000027613","ENSMUSG00000027613")</f>
        <v>ENSMUSG00000027613</v>
      </c>
      <c r="I638" s="7" t="str">
        <f>HYPERLINK("http://www.informatics.jax.org/marker/MGI:1196288","MGI:1196288")</f>
        <v>MGI:1196288</v>
      </c>
      <c r="J638" s="4" t="s">
        <v>12</v>
      </c>
    </row>
    <row r="639" spans="1:10" x14ac:dyDescent="0.25">
      <c r="A639" s="2">
        <v>11495.6003546217</v>
      </c>
      <c r="B639" s="3">
        <v>-0.212616226876192</v>
      </c>
      <c r="C639" s="3">
        <v>3.94793018287705E-3</v>
      </c>
      <c r="D639" s="4">
        <v>4.4805621359049599E-2</v>
      </c>
      <c r="E639" s="3" t="s">
        <v>486</v>
      </c>
      <c r="F639" s="3" t="s">
        <v>487</v>
      </c>
      <c r="G639" s="3">
        <v>29875</v>
      </c>
      <c r="H639" s="7" t="str">
        <f>HYPERLINK("http://www.ensembl.org/Mus_musculus/Gene/Summary?db=core;g=ENSMUSG00000030536","ENSMUSG00000030536")</f>
        <v>ENSMUSG00000030536</v>
      </c>
      <c r="I639" s="7" t="str">
        <f>HYPERLINK("http://www.informatics.jax.org/marker/MGI:1352757","MGI:1352757")</f>
        <v>MGI:1352757</v>
      </c>
      <c r="J639" s="4" t="s">
        <v>12</v>
      </c>
    </row>
    <row r="640" spans="1:10" x14ac:dyDescent="0.25">
      <c r="A640" s="2">
        <v>2208.0693914253602</v>
      </c>
      <c r="B640" s="3">
        <v>-0.21422070025450801</v>
      </c>
      <c r="C640" s="3">
        <v>2.5252773049745398E-3</v>
      </c>
      <c r="D640" s="4">
        <v>3.2645740056377798E-2</v>
      </c>
      <c r="E640" s="3" t="s">
        <v>9447</v>
      </c>
      <c r="F640" s="3" t="s">
        <v>9448</v>
      </c>
      <c r="G640" s="3">
        <v>228994</v>
      </c>
      <c r="H640" s="7" t="str">
        <f>HYPERLINK("http://www.ensembl.org/Mus_musculus/Gene/Summary?db=core;g=ENSMUSG00000038848","ENSMUSG00000038848")</f>
        <v>ENSMUSG00000038848</v>
      </c>
      <c r="I640" s="7" t="str">
        <f>HYPERLINK("http://www.informatics.jax.org/marker/MGI:1917431","MGI:1917431")</f>
        <v>MGI:1917431</v>
      </c>
      <c r="J640" s="4" t="s">
        <v>12</v>
      </c>
    </row>
    <row r="641" spans="1:10" x14ac:dyDescent="0.25">
      <c r="A641" s="2">
        <v>2673.8207584010302</v>
      </c>
      <c r="B641" s="3">
        <v>-0.21488505397453</v>
      </c>
      <c r="C641" s="5">
        <v>4.7890376339529E-6</v>
      </c>
      <c r="D641" s="4">
        <v>2.5527159369226701E-4</v>
      </c>
      <c r="E641" s="3" t="s">
        <v>244</v>
      </c>
      <c r="F641" s="3" t="s">
        <v>245</v>
      </c>
      <c r="G641" s="3">
        <v>71978</v>
      </c>
      <c r="H641" s="7" t="str">
        <f>HYPERLINK("http://www.ensembl.org/Mus_musculus/Gene/Summary?db=core;g=ENSMUSG00000022052","ENSMUSG00000022052")</f>
        <v>ENSMUSG00000022052</v>
      </c>
      <c r="I641" s="7" t="str">
        <f>HYPERLINK("http://www.informatics.jax.org/marker/MGI:1919228","MGI:1919228")</f>
        <v>MGI:1919228</v>
      </c>
      <c r="J641" s="4" t="s">
        <v>12</v>
      </c>
    </row>
    <row r="642" spans="1:10" x14ac:dyDescent="0.25">
      <c r="A642" s="2">
        <v>2056.8878467713398</v>
      </c>
      <c r="B642" s="3">
        <v>-0.215782592790938</v>
      </c>
      <c r="C642" s="3">
        <v>3.9827063754563298E-4</v>
      </c>
      <c r="D642" s="4">
        <v>8.0220523707001494E-3</v>
      </c>
      <c r="E642" s="3" t="s">
        <v>3248</v>
      </c>
      <c r="F642" s="3" t="s">
        <v>3249</v>
      </c>
      <c r="G642" s="3">
        <v>66997</v>
      </c>
      <c r="H642" s="7" t="str">
        <f>HYPERLINK("http://www.ensembl.org/Mus_musculus/Gene/Summary?db=core;g=ENSMUSG00000020720","ENSMUSG00000020720")</f>
        <v>ENSMUSG00000020720</v>
      </c>
      <c r="I642" s="7" t="str">
        <f>HYPERLINK("http://www.informatics.jax.org/marker/MGI:1914247","MGI:1914247")</f>
        <v>MGI:1914247</v>
      </c>
      <c r="J642" s="4" t="s">
        <v>12</v>
      </c>
    </row>
    <row r="643" spans="1:10" x14ac:dyDescent="0.25">
      <c r="A643" s="2">
        <v>5553.43840483637</v>
      </c>
      <c r="B643" s="3">
        <v>-0.21698607126045599</v>
      </c>
      <c r="C643" s="3">
        <v>1.2850157857373999E-4</v>
      </c>
      <c r="D643" s="4">
        <v>3.27981141584927E-3</v>
      </c>
      <c r="E643" s="3" t="s">
        <v>3840</v>
      </c>
      <c r="F643" s="3" t="s">
        <v>3841</v>
      </c>
      <c r="G643" s="3">
        <v>85305</v>
      </c>
      <c r="H643" s="7" t="str">
        <f>HYPERLINK("http://www.ensembl.org/Mus_musculus/Gene/Summary?db=core;g=ENSMUSG00000031948","ENSMUSG00000031948")</f>
        <v>ENSMUSG00000031948</v>
      </c>
      <c r="I643" s="7" t="str">
        <f>HYPERLINK("http://www.informatics.jax.org/marker/MGI:1934754","MGI:1934754")</f>
        <v>MGI:1934754</v>
      </c>
      <c r="J643" s="4" t="s">
        <v>12</v>
      </c>
    </row>
    <row r="644" spans="1:10" x14ac:dyDescent="0.25">
      <c r="A644" s="2">
        <v>11259.5521053022</v>
      </c>
      <c r="B644" s="3">
        <v>-0.21733718190301499</v>
      </c>
      <c r="C644" s="3">
        <v>7.6570353526126203E-4</v>
      </c>
      <c r="D644" s="4">
        <v>1.29892423244094E-2</v>
      </c>
      <c r="E644" s="3" t="s">
        <v>2499</v>
      </c>
      <c r="F644" s="3" t="s">
        <v>2500</v>
      </c>
      <c r="G644" s="3">
        <v>73158</v>
      </c>
      <c r="H644" s="7" t="str">
        <f>HYPERLINK("http://www.ensembl.org/Mus_musculus/Gene/Summary?db=core;g=ENSMUSG00000037331","ENSMUSG00000037331")</f>
        <v>ENSMUSG00000037331</v>
      </c>
      <c r="I644" s="7" t="str">
        <f>HYPERLINK("http://www.informatics.jax.org/marker/MGI:1890165","MGI:1890165")</f>
        <v>MGI:1890165</v>
      </c>
      <c r="J644" s="4" t="s">
        <v>12</v>
      </c>
    </row>
    <row r="645" spans="1:10" x14ac:dyDescent="0.25">
      <c r="A645" s="2">
        <v>1350.2281368804099</v>
      </c>
      <c r="B645" s="3">
        <v>-0.217489281205901</v>
      </c>
      <c r="C645" s="3">
        <v>5.9079573517322197E-4</v>
      </c>
      <c r="D645" s="4">
        <v>1.08802273754353E-2</v>
      </c>
      <c r="E645" s="3" t="s">
        <v>9855</v>
      </c>
      <c r="F645" s="3" t="s">
        <v>9856</v>
      </c>
      <c r="G645" s="3">
        <v>67755</v>
      </c>
      <c r="H645" s="7" t="str">
        <f>HYPERLINK("http://www.ensembl.org/Mus_musculus/Gene/Summary?db=core;g=ENSMUSG00000030204","ENSMUSG00000030204")</f>
        <v>ENSMUSG00000030204</v>
      </c>
      <c r="I645" s="7" t="str">
        <f>HYPERLINK("http://www.informatics.jax.org/marker/MGI:1915005","MGI:1915005")</f>
        <v>MGI:1915005</v>
      </c>
      <c r="J645" s="4" t="s">
        <v>12</v>
      </c>
    </row>
    <row r="646" spans="1:10" x14ac:dyDescent="0.25">
      <c r="A646" s="2">
        <v>6151.1457814743899</v>
      </c>
      <c r="B646" s="3">
        <v>-0.217635146851858</v>
      </c>
      <c r="C646" s="3">
        <v>9.6853675148070697E-4</v>
      </c>
      <c r="D646" s="4">
        <v>1.5583881035627301E-2</v>
      </c>
      <c r="E646" s="3" t="s">
        <v>3040</v>
      </c>
      <c r="F646" s="3" t="s">
        <v>3041</v>
      </c>
      <c r="G646" s="3">
        <v>14897</v>
      </c>
      <c r="H646" s="7" t="str">
        <f>HYPERLINK("http://www.ensembl.org/Mus_musculus/Gene/Summary?db=core;g=ENSMUSG00000026219","ENSMUSG00000026219")</f>
        <v>ENSMUSG00000026219</v>
      </c>
      <c r="I646" s="7" t="str">
        <f>HYPERLINK("http://www.informatics.jax.org/marker/MGI:1309481","MGI:1309481")</f>
        <v>MGI:1309481</v>
      </c>
      <c r="J646" s="4" t="s">
        <v>12</v>
      </c>
    </row>
    <row r="647" spans="1:10" x14ac:dyDescent="0.25">
      <c r="A647" s="2">
        <v>1701.23830401904</v>
      </c>
      <c r="B647" s="3">
        <v>-0.21797721608355999</v>
      </c>
      <c r="C647" s="3">
        <v>1.0952326428602599E-4</v>
      </c>
      <c r="D647" s="4">
        <v>2.86634429379035E-3</v>
      </c>
      <c r="E647" s="3" t="s">
        <v>2161</v>
      </c>
      <c r="F647" s="3" t="s">
        <v>2162</v>
      </c>
      <c r="G647" s="3">
        <v>71955</v>
      </c>
      <c r="H647" s="7" t="str">
        <f>HYPERLINK("http://www.ensembl.org/Mus_musculus/Gene/Summary?db=core;g=ENSMUSG00000031729","ENSMUSG00000031729")</f>
        <v>ENSMUSG00000031729</v>
      </c>
      <c r="I647" s="7" t="str">
        <f>HYPERLINK("http://www.informatics.jax.org/marker/MGI:1919205","MGI:1919205")</f>
        <v>MGI:1919205</v>
      </c>
      <c r="J647" s="4" t="s">
        <v>12</v>
      </c>
    </row>
    <row r="648" spans="1:10" x14ac:dyDescent="0.25">
      <c r="A648" s="2">
        <v>9351.3910210264494</v>
      </c>
      <c r="B648" s="3">
        <v>-0.21956771757809301</v>
      </c>
      <c r="C648" s="5">
        <v>1.16913745315933E-5</v>
      </c>
      <c r="D648" s="4">
        <v>5.3452394047491601E-4</v>
      </c>
      <c r="E648" s="3" t="s">
        <v>43</v>
      </c>
      <c r="F648" s="3" t="s">
        <v>44</v>
      </c>
      <c r="G648" s="3">
        <v>17698</v>
      </c>
      <c r="H648" s="7" t="str">
        <f>HYPERLINK("http://www.ensembl.org/Mus_musculus/Gene/Summary?db=core;g=ENSMUSG00000031207","ENSMUSG00000031207")</f>
        <v>ENSMUSG00000031207</v>
      </c>
      <c r="I648" s="7" t="str">
        <f>HYPERLINK("http://www.informatics.jax.org/marker/MGI:97167","MGI:97167")</f>
        <v>MGI:97167</v>
      </c>
      <c r="J648" s="4" t="s">
        <v>12</v>
      </c>
    </row>
    <row r="649" spans="1:10" x14ac:dyDescent="0.25">
      <c r="A649" s="2">
        <v>2882.6779363024202</v>
      </c>
      <c r="B649" s="3">
        <v>-0.22315458057170301</v>
      </c>
      <c r="C649" s="5">
        <v>7.5574793304651101E-5</v>
      </c>
      <c r="D649" s="4">
        <v>2.1794607699933601E-3</v>
      </c>
      <c r="E649" s="3" t="s">
        <v>1546</v>
      </c>
      <c r="F649" s="3" t="s">
        <v>1547</v>
      </c>
      <c r="G649" s="3">
        <v>70599</v>
      </c>
      <c r="H649" s="7" t="str">
        <f>HYPERLINK("http://www.ensembl.org/Mus_musculus/Gene/Summary?db=core;g=ENSMUSG00000027007","ENSMUSG00000027007")</f>
        <v>ENSMUSG00000027007</v>
      </c>
      <c r="I649" s="7" t="str">
        <f>HYPERLINK("http://www.informatics.jax.org/marker/MGI:1917849","MGI:1917849")</f>
        <v>MGI:1917849</v>
      </c>
      <c r="J649" s="4" t="s">
        <v>12</v>
      </c>
    </row>
    <row r="650" spans="1:10" x14ac:dyDescent="0.25">
      <c r="A650" s="2">
        <v>2040.4614803418899</v>
      </c>
      <c r="B650" s="3">
        <v>-0.22388448006252901</v>
      </c>
      <c r="C650" s="3">
        <v>2.13869267257953E-3</v>
      </c>
      <c r="D650" s="4">
        <v>2.8870192541959602E-2</v>
      </c>
      <c r="E650" s="3" t="s">
        <v>6806</v>
      </c>
      <c r="F650" s="3" t="s">
        <v>6807</v>
      </c>
      <c r="G650" s="3">
        <v>99480</v>
      </c>
      <c r="H650" s="7" t="str">
        <f>HYPERLINK("http://www.ensembl.org/Mus_musculus/Gene/Summary?db=core;g=ENSMUSG00000039756","ENSMUSG00000039756")</f>
        <v>ENSMUSG00000039756</v>
      </c>
      <c r="I650" s="7" t="str">
        <f>HYPERLINK("http://www.informatics.jax.org/marker/MGI:1923173","MGI:1923173")</f>
        <v>MGI:1923173</v>
      </c>
      <c r="J650" s="4" t="s">
        <v>12</v>
      </c>
    </row>
    <row r="651" spans="1:10" x14ac:dyDescent="0.25">
      <c r="A651" s="2">
        <v>2172.1774360566001</v>
      </c>
      <c r="B651" s="3">
        <v>-0.224226497887142</v>
      </c>
      <c r="C651" s="3">
        <v>6.5864725004934196E-4</v>
      </c>
      <c r="D651" s="4">
        <v>1.1684235995749101E-2</v>
      </c>
      <c r="E651" s="3" t="s">
        <v>4251</v>
      </c>
      <c r="F651" s="3" t="s">
        <v>4252</v>
      </c>
      <c r="G651" s="3">
        <v>110829</v>
      </c>
      <c r="H651" s="7" t="str">
        <f>HYPERLINK("http://www.ensembl.org/Mus_musculus/Gene/Summary?db=core;g=ENSMUSG00000019920","ENSMUSG00000019920")</f>
        <v>ENSMUSG00000019920</v>
      </c>
      <c r="I651" s="7" t="str">
        <f>HYPERLINK("http://www.informatics.jax.org/marker/MGI:1195263","MGI:1195263")</f>
        <v>MGI:1195263</v>
      </c>
      <c r="J651" s="4" t="s">
        <v>12</v>
      </c>
    </row>
    <row r="652" spans="1:10" x14ac:dyDescent="0.25">
      <c r="A652" s="2">
        <v>808.481124661021</v>
      </c>
      <c r="B652" s="3">
        <v>-0.224509588597856</v>
      </c>
      <c r="C652" s="3">
        <v>1.96385200004769E-3</v>
      </c>
      <c r="D652" s="4">
        <v>2.69359066396785E-2</v>
      </c>
      <c r="E652" s="3" t="s">
        <v>4617</v>
      </c>
      <c r="F652" s="3" t="s">
        <v>4618</v>
      </c>
      <c r="G652" s="3">
        <v>76983</v>
      </c>
      <c r="H652" s="7" t="str">
        <f>HYPERLINK("http://www.ensembl.org/Mus_musculus/Gene/Summary?db=core;g=ENSMUSG00000020952","ENSMUSG00000020952")</f>
        <v>ENSMUSG00000020952</v>
      </c>
      <c r="I652" s="7" t="str">
        <f>HYPERLINK("http://www.informatics.jax.org/marker/MGI:1924233","MGI:1924233")</f>
        <v>MGI:1924233</v>
      </c>
      <c r="J652" s="4" t="s">
        <v>12</v>
      </c>
    </row>
    <row r="653" spans="1:10" x14ac:dyDescent="0.25">
      <c r="A653" s="2">
        <v>7979.1465683972301</v>
      </c>
      <c r="B653" s="3">
        <v>-0.22462152323069201</v>
      </c>
      <c r="C653" s="3">
        <v>4.4274682915684798E-3</v>
      </c>
      <c r="D653" s="4">
        <v>4.8392357507551699E-2</v>
      </c>
      <c r="E653" s="3" t="s">
        <v>3612</v>
      </c>
      <c r="F653" s="3" t="s">
        <v>3613</v>
      </c>
      <c r="G653" s="3">
        <v>56200</v>
      </c>
      <c r="H653" s="7" t="str">
        <f>HYPERLINK("http://www.ensembl.org/Mus_musculus/Gene/Summary?db=core;g=ENSMUSG00000020075","ENSMUSG00000020075")</f>
        <v>ENSMUSG00000020075</v>
      </c>
      <c r="I653" s="7" t="str">
        <f>HYPERLINK("http://www.informatics.jax.org/marker/MGI:1860494","MGI:1860494")</f>
        <v>MGI:1860494</v>
      </c>
      <c r="J653" s="4" t="s">
        <v>12</v>
      </c>
    </row>
    <row r="654" spans="1:10" x14ac:dyDescent="0.25">
      <c r="A654" s="2">
        <v>2170.7088900632398</v>
      </c>
      <c r="B654" s="3">
        <v>-0.22558700191737399</v>
      </c>
      <c r="C654" s="3">
        <v>4.16513707362589E-4</v>
      </c>
      <c r="D654" s="4">
        <v>8.2912029499239495E-3</v>
      </c>
      <c r="E654" s="3" t="s">
        <v>3132</v>
      </c>
      <c r="F654" s="3" t="s">
        <v>3133</v>
      </c>
      <c r="G654" s="3">
        <v>27224</v>
      </c>
      <c r="H654" s="7" t="str">
        <f>HYPERLINK("http://www.ensembl.org/Mus_musculus/Gene/Summary?db=core;g=ENSMUSG00000028668","ENSMUSG00000028668")</f>
        <v>ENSMUSG00000028668</v>
      </c>
      <c r="I654" s="7" t="str">
        <f>HYPERLINK("http://www.informatics.jax.org/marker/MGI:1351315","MGI:1351315")</f>
        <v>MGI:1351315</v>
      </c>
      <c r="J654" s="4" t="s">
        <v>12</v>
      </c>
    </row>
    <row r="655" spans="1:10" x14ac:dyDescent="0.25">
      <c r="A655" s="2">
        <v>681.84033745030001</v>
      </c>
      <c r="B655" s="3">
        <v>-0.226054137762489</v>
      </c>
      <c r="C655" s="3">
        <v>3.0801459280781602E-3</v>
      </c>
      <c r="D655" s="4">
        <v>3.7169958426067698E-2</v>
      </c>
      <c r="E655" s="3" t="s">
        <v>6792</v>
      </c>
      <c r="F655" s="3" t="s">
        <v>6793</v>
      </c>
      <c r="G655" s="3">
        <v>26556</v>
      </c>
      <c r="H655" s="7" t="str">
        <f>HYPERLINK("http://www.ensembl.org/Mus_musculus/Gene/Summary?db=core;g=ENSMUSG00000007617","ENSMUSG00000007617")</f>
        <v>ENSMUSG00000007617</v>
      </c>
      <c r="I655" s="7" t="str">
        <f>HYPERLINK("http://www.informatics.jax.org/marker/MGI:1347345","MGI:1347345")</f>
        <v>MGI:1347345</v>
      </c>
      <c r="J655" s="4" t="s">
        <v>12</v>
      </c>
    </row>
    <row r="656" spans="1:10" x14ac:dyDescent="0.25">
      <c r="A656" s="2">
        <v>2032.8145225184601</v>
      </c>
      <c r="B656" s="3">
        <v>-0.22638879838126599</v>
      </c>
      <c r="C656" s="5">
        <v>7.2199705391089796E-5</v>
      </c>
      <c r="D656" s="4">
        <v>2.12018299356028E-3</v>
      </c>
      <c r="E656" s="3" t="s">
        <v>490</v>
      </c>
      <c r="F656" s="3" t="s">
        <v>491</v>
      </c>
      <c r="G656" s="3">
        <v>15463</v>
      </c>
      <c r="H656" s="7" t="str">
        <f>HYPERLINK("http://www.ensembl.org/Mus_musculus/Gene/Summary?db=core;g=ENSMUSG00000026159","ENSMUSG00000026159")</f>
        <v>ENSMUSG00000026159</v>
      </c>
      <c r="I656" s="7" t="str">
        <f>HYPERLINK("http://www.informatics.jax.org/marker/MGI:1333754","MGI:1333754")</f>
        <v>MGI:1333754</v>
      </c>
      <c r="J656" s="4" t="s">
        <v>12</v>
      </c>
    </row>
    <row r="657" spans="1:10" x14ac:dyDescent="0.25">
      <c r="A657" s="2">
        <v>5974.8786076386996</v>
      </c>
      <c r="B657" s="3">
        <v>-0.22650540613293499</v>
      </c>
      <c r="C657" s="5">
        <v>7.8449327809775005E-5</v>
      </c>
      <c r="D657" s="4">
        <v>2.2337204807001002E-3</v>
      </c>
      <c r="E657" s="3" t="s">
        <v>848</v>
      </c>
      <c r="F657" s="3" t="s">
        <v>849</v>
      </c>
      <c r="G657" s="3">
        <v>66105</v>
      </c>
      <c r="H657" s="7" t="str">
        <f>HYPERLINK("http://www.ensembl.org/Mus_musculus/Gene/Summary?db=core;g=ENSMUSG00000078578","ENSMUSG00000078578")</f>
        <v>ENSMUSG00000078578</v>
      </c>
      <c r="I657" s="7" t="str">
        <f>HYPERLINK("http://www.informatics.jax.org/marker/MGI:1913355","MGI:1913355")</f>
        <v>MGI:1913355</v>
      </c>
      <c r="J657" s="4" t="s">
        <v>12</v>
      </c>
    </row>
    <row r="658" spans="1:10" x14ac:dyDescent="0.25">
      <c r="A658" s="2">
        <v>1012.90189270349</v>
      </c>
      <c r="B658" s="3">
        <v>-0.230022993796451</v>
      </c>
      <c r="C658" s="3">
        <v>8.4116201137870398E-4</v>
      </c>
      <c r="D658" s="4">
        <v>1.39948951804383E-2</v>
      </c>
      <c r="E658" s="3" t="s">
        <v>6665</v>
      </c>
      <c r="F658" s="3" t="s">
        <v>6666</v>
      </c>
      <c r="G658" s="3">
        <v>66165</v>
      </c>
      <c r="H658" s="7" t="str">
        <f>HYPERLINK("http://www.ensembl.org/Mus_musculus/Gene/Summary?db=core;g=ENSMUSG00000030983","ENSMUSG00000030983")</f>
        <v>ENSMUSG00000030983</v>
      </c>
      <c r="I658" s="7" t="str">
        <f>HYPERLINK("http://www.informatics.jax.org/marker/MGI:1913415","MGI:1913415")</f>
        <v>MGI:1913415</v>
      </c>
      <c r="J658" s="4" t="s">
        <v>12</v>
      </c>
    </row>
    <row r="659" spans="1:10" x14ac:dyDescent="0.25">
      <c r="A659" s="2">
        <v>1251.0613056940001</v>
      </c>
      <c r="B659" s="3">
        <v>-0.230346576800883</v>
      </c>
      <c r="C659" s="3">
        <v>2.5797656818849399E-3</v>
      </c>
      <c r="D659" s="4">
        <v>3.3197511011624603E-2</v>
      </c>
      <c r="E659" s="3" t="s">
        <v>5295</v>
      </c>
      <c r="F659" s="3" t="s">
        <v>5296</v>
      </c>
      <c r="G659" s="3">
        <v>57753</v>
      </c>
      <c r="H659" s="7" t="str">
        <f>HYPERLINK("http://www.ensembl.org/Mus_musculus/Gene/Summary?db=core;g=ENSMUSG00000024999","ENSMUSG00000024999")</f>
        <v>ENSMUSG00000024999</v>
      </c>
      <c r="I659" s="7" t="str">
        <f>HYPERLINK("http://www.informatics.jax.org/marker/MGI:1932610","MGI:1932610")</f>
        <v>MGI:1932610</v>
      </c>
      <c r="J659" s="4" t="s">
        <v>12</v>
      </c>
    </row>
    <row r="660" spans="1:10" x14ac:dyDescent="0.25">
      <c r="A660" s="2">
        <v>962.53379263071997</v>
      </c>
      <c r="B660" s="3">
        <v>-0.23116097730997201</v>
      </c>
      <c r="C660" s="3">
        <v>3.6442955762632E-3</v>
      </c>
      <c r="D660" s="4">
        <v>4.2567804443250402E-2</v>
      </c>
      <c r="E660" s="3" t="s">
        <v>5427</v>
      </c>
      <c r="F660" s="3" t="s">
        <v>5428</v>
      </c>
      <c r="G660" s="3">
        <v>70661</v>
      </c>
      <c r="H660" s="7" t="str">
        <f>HYPERLINK("http://www.ensembl.org/Mus_musculus/Gene/Summary?db=core;g=ENSMUSG00000034135","ENSMUSG00000034135")</f>
        <v>ENSMUSG00000034135</v>
      </c>
      <c r="I660" s="7" t="str">
        <f>HYPERLINK("http://www.informatics.jax.org/marker/MGI:2446296","MGI:2446296")</f>
        <v>MGI:2446296</v>
      </c>
      <c r="J660" s="4" t="s">
        <v>12</v>
      </c>
    </row>
    <row r="661" spans="1:10" x14ac:dyDescent="0.25">
      <c r="A661" s="2">
        <v>5779.7544856045697</v>
      </c>
      <c r="B661" s="3">
        <v>-0.231744856996035</v>
      </c>
      <c r="C661" s="3">
        <v>4.1147531189641498E-3</v>
      </c>
      <c r="D661" s="4">
        <v>4.6232395933056697E-2</v>
      </c>
      <c r="E661" s="3" t="s">
        <v>1796</v>
      </c>
      <c r="F661" s="3" t="s">
        <v>1797</v>
      </c>
      <c r="G661" s="3">
        <v>110213</v>
      </c>
      <c r="H661" s="7" t="str">
        <f>HYPERLINK("http://www.ensembl.org/Mus_musculus/Gene/Summary?db=core;g=ENSMUSG00000023010","ENSMUSG00000023010")</f>
        <v>ENSMUSG00000023010</v>
      </c>
      <c r="I661" s="7" t="str">
        <f>HYPERLINK("http://www.informatics.jax.org/marker/MGI:99682","MGI:99682")</f>
        <v>MGI:99682</v>
      </c>
      <c r="J661" s="4" t="s">
        <v>12</v>
      </c>
    </row>
    <row r="662" spans="1:10" x14ac:dyDescent="0.25">
      <c r="A662" s="2">
        <v>2752.3653788870101</v>
      </c>
      <c r="B662" s="3">
        <v>-0.23232961969512</v>
      </c>
      <c r="C662" s="3">
        <v>2.08940834274545E-4</v>
      </c>
      <c r="D662" s="4">
        <v>4.9634798038241798E-3</v>
      </c>
      <c r="E662" s="3" t="s">
        <v>2065</v>
      </c>
      <c r="F662" s="3" t="s">
        <v>2066</v>
      </c>
      <c r="G662" s="3">
        <v>218975</v>
      </c>
      <c r="H662" s="7" t="str">
        <f>HYPERLINK("http://www.ensembl.org/Mus_musculus/Gene/Summary?db=core;g=ENSMUSG00000021840","ENSMUSG00000021840")</f>
        <v>ENSMUSG00000021840</v>
      </c>
      <c r="I662" s="7" t="str">
        <f>HYPERLINK("http://www.informatics.jax.org/marker/MGI:2444022","MGI:2444022")</f>
        <v>MGI:2444022</v>
      </c>
      <c r="J662" s="4" t="s">
        <v>12</v>
      </c>
    </row>
    <row r="663" spans="1:10" x14ac:dyDescent="0.25">
      <c r="A663" s="2">
        <v>1631.16701005345</v>
      </c>
      <c r="B663" s="3">
        <v>-0.23503291784681199</v>
      </c>
      <c r="C663" s="3">
        <v>2.9358428958442301E-3</v>
      </c>
      <c r="D663" s="4">
        <v>3.59297334598042E-2</v>
      </c>
      <c r="E663" s="3" t="s">
        <v>4597</v>
      </c>
      <c r="F663" s="3" t="s">
        <v>4598</v>
      </c>
      <c r="G663" s="3">
        <v>98053</v>
      </c>
      <c r="H663" s="7" t="str">
        <f>HYPERLINK("http://www.ensembl.org/Mus_musculus/Gene/Summary?db=core;g=ENSMUSG00000002658","ENSMUSG00000002658")</f>
        <v>ENSMUSG00000002658</v>
      </c>
      <c r="I663" s="7" t="str">
        <f>HYPERLINK("http://www.informatics.jax.org/marker/MGI:1923848","MGI:1923848")</f>
        <v>MGI:1923848</v>
      </c>
      <c r="J663" s="4" t="s">
        <v>12</v>
      </c>
    </row>
    <row r="664" spans="1:10" x14ac:dyDescent="0.25">
      <c r="A664" s="2">
        <v>984.87762407914602</v>
      </c>
      <c r="B664" s="3">
        <v>-0.23566670719829</v>
      </c>
      <c r="C664" s="3">
        <v>2.8139783768976801E-3</v>
      </c>
      <c r="D664" s="4">
        <v>3.47789173680969E-2</v>
      </c>
      <c r="E664" s="3" t="s">
        <v>3450</v>
      </c>
      <c r="F664" s="3" t="s">
        <v>3451</v>
      </c>
      <c r="G664" s="3">
        <v>228410</v>
      </c>
      <c r="H664" s="7" t="str">
        <f>HYPERLINK("http://www.ensembl.org/Mus_musculus/Gene/Summary?db=core;g=ENSMUSG00000027176","ENSMUSG00000027176")</f>
        <v>ENSMUSG00000027176</v>
      </c>
      <c r="I664" s="7" t="str">
        <f>HYPERLINK("http://www.informatics.jax.org/marker/MGI:1351825","MGI:1351825")</f>
        <v>MGI:1351825</v>
      </c>
      <c r="J664" s="4" t="s">
        <v>12</v>
      </c>
    </row>
    <row r="665" spans="1:10" x14ac:dyDescent="0.25">
      <c r="A665" s="2">
        <v>1543.51658891901</v>
      </c>
      <c r="B665" s="3">
        <v>-0.23614279669472699</v>
      </c>
      <c r="C665" s="3">
        <v>3.80190016261125E-3</v>
      </c>
      <c r="D665" s="4">
        <v>4.3588145901007902E-2</v>
      </c>
      <c r="E665" s="3" t="s">
        <v>2597</v>
      </c>
      <c r="F665" s="3" t="s">
        <v>2598</v>
      </c>
      <c r="G665" s="3">
        <v>227656</v>
      </c>
      <c r="H665" s="7" t="str">
        <f>HYPERLINK("http://www.ensembl.org/Mus_musculus/Gene/Summary?db=core;g=ENSMUSG00000052406","ENSMUSG00000052406")</f>
        <v>ENSMUSG00000052406</v>
      </c>
      <c r="I665" s="7" t="str">
        <f>HYPERLINK("http://www.informatics.jax.org/marker/MGI:2684957","MGI:2684957")</f>
        <v>MGI:2684957</v>
      </c>
      <c r="J665" s="4" t="s">
        <v>12</v>
      </c>
    </row>
    <row r="666" spans="1:10" x14ac:dyDescent="0.25">
      <c r="A666" s="2">
        <v>898.54239559264397</v>
      </c>
      <c r="B666" s="3">
        <v>-0.23675915416705601</v>
      </c>
      <c r="C666" s="3">
        <v>2.2280313484233901E-3</v>
      </c>
      <c r="D666" s="4">
        <v>2.96552290836898E-2</v>
      </c>
      <c r="E666" s="3" t="s">
        <v>2411</v>
      </c>
      <c r="F666" s="3" t="s">
        <v>2412</v>
      </c>
      <c r="G666" s="3">
        <v>52575</v>
      </c>
      <c r="H666" s="7" t="str">
        <f>HYPERLINK("http://www.ensembl.org/Mus_musculus/Gene/Summary?db=core;g=ENSMUSG00000044763","ENSMUSG00000044763")</f>
        <v>ENSMUSG00000044763</v>
      </c>
      <c r="I666" s="7" t="str">
        <f>HYPERLINK("http://www.informatics.jax.org/marker/MGI:1196261","MGI:1196261")</f>
        <v>MGI:1196261</v>
      </c>
      <c r="J666" s="4" t="s">
        <v>12</v>
      </c>
    </row>
    <row r="667" spans="1:10" x14ac:dyDescent="0.25">
      <c r="A667" s="2">
        <v>936.13445125110297</v>
      </c>
      <c r="B667" s="3">
        <v>-0.24084929935296601</v>
      </c>
      <c r="C667" s="3">
        <v>4.2390994573774203E-3</v>
      </c>
      <c r="D667" s="4">
        <v>4.71146147045228E-2</v>
      </c>
      <c r="E667" s="3" t="s">
        <v>3108</v>
      </c>
      <c r="F667" s="3" t="s">
        <v>3109</v>
      </c>
      <c r="G667" s="3">
        <v>76688</v>
      </c>
      <c r="H667" s="7" t="str">
        <f>HYPERLINK("http://www.ensembl.org/Mus_musculus/Gene/Summary?db=core;g=ENSMUSG00000038671","ENSMUSG00000038671")</f>
        <v>ENSMUSG00000038671</v>
      </c>
      <c r="I667" s="7" t="str">
        <f>HYPERLINK("http://www.informatics.jax.org/marker/MGI:1923938","MGI:1923938")</f>
        <v>MGI:1923938</v>
      </c>
      <c r="J667" s="4" t="s">
        <v>12</v>
      </c>
    </row>
    <row r="668" spans="1:10" x14ac:dyDescent="0.25">
      <c r="A668" s="2">
        <v>625.96001595016696</v>
      </c>
      <c r="B668" s="3">
        <v>-0.24165126660091801</v>
      </c>
      <c r="C668" s="3">
        <v>3.8068655332051402E-3</v>
      </c>
      <c r="D668" s="4">
        <v>4.3600627955151003E-2</v>
      </c>
      <c r="E668" s="3" t="s">
        <v>2623</v>
      </c>
      <c r="F668" s="3" t="s">
        <v>2624</v>
      </c>
      <c r="G668" s="3">
        <v>108067</v>
      </c>
      <c r="H668" s="7" t="str">
        <f>HYPERLINK("http://www.ensembl.org/Mus_musculus/Gene/Summary?db=core;g=ENSMUSG00000028683","ENSMUSG00000028683")</f>
        <v>ENSMUSG00000028683</v>
      </c>
      <c r="I668" s="7" t="str">
        <f>HYPERLINK("http://www.informatics.jax.org/marker/MGI:1313286","MGI:1313286")</f>
        <v>MGI:1313286</v>
      </c>
      <c r="J668" s="4" t="s">
        <v>12</v>
      </c>
    </row>
    <row r="669" spans="1:10" x14ac:dyDescent="0.25">
      <c r="A669" s="2">
        <v>2450.3418013825799</v>
      </c>
      <c r="B669" s="3">
        <v>-0.24201121156309999</v>
      </c>
      <c r="C669" s="3">
        <v>8.0965122144239501E-4</v>
      </c>
      <c r="D669" s="4">
        <v>1.36115803999441E-2</v>
      </c>
      <c r="E669" s="3" t="s">
        <v>4683</v>
      </c>
      <c r="F669" s="3" t="s">
        <v>4684</v>
      </c>
      <c r="G669" s="3">
        <v>27377</v>
      </c>
      <c r="H669" s="7" t="str">
        <f>HYPERLINK("http://www.ensembl.org/Mus_musculus/Gene/Summary?db=core;g=ENSMUSG00000026775","ENSMUSG00000026775")</f>
        <v>ENSMUSG00000026775</v>
      </c>
      <c r="I669" s="7" t="str">
        <f>HYPERLINK("http://www.informatics.jax.org/marker/MGI:1351651","MGI:1351651")</f>
        <v>MGI:1351651</v>
      </c>
      <c r="J669" s="4" t="s">
        <v>12</v>
      </c>
    </row>
    <row r="670" spans="1:10" x14ac:dyDescent="0.25">
      <c r="A670" s="2">
        <v>1201.6918981177801</v>
      </c>
      <c r="B670" s="3">
        <v>-0.24218569039551999</v>
      </c>
      <c r="C670" s="3">
        <v>2.3734604124380598E-3</v>
      </c>
      <c r="D670" s="4">
        <v>3.1131472440384101E-2</v>
      </c>
      <c r="E670" s="3" t="s">
        <v>4407</v>
      </c>
      <c r="F670" s="3" t="s">
        <v>4408</v>
      </c>
      <c r="G670" s="3">
        <v>13486</v>
      </c>
      <c r="H670" s="7" t="str">
        <f>HYPERLINK("http://www.ensembl.org/Mus_musculus/Gene/Summary?db=core;g=ENSMUSG00000029265","ENSMUSG00000029265")</f>
        <v>ENSMUSG00000029265</v>
      </c>
      <c r="I670" s="7" t="str">
        <f>HYPERLINK("http://www.informatics.jax.org/marker/MGI:1100515","MGI:1100515")</f>
        <v>MGI:1100515</v>
      </c>
      <c r="J670" s="4" t="s">
        <v>12</v>
      </c>
    </row>
    <row r="671" spans="1:10" x14ac:dyDescent="0.25">
      <c r="A671" s="2">
        <v>6969.8537582649897</v>
      </c>
      <c r="B671" s="3">
        <v>-0.24333079277171901</v>
      </c>
      <c r="C671" s="3">
        <v>2.6445767834823198E-4</v>
      </c>
      <c r="D671" s="4">
        <v>5.9726014224549401E-3</v>
      </c>
      <c r="E671" s="3" t="s">
        <v>2329</v>
      </c>
      <c r="F671" s="3" t="s">
        <v>2330</v>
      </c>
      <c r="G671" s="3">
        <v>14852</v>
      </c>
      <c r="H671" s="7" t="str">
        <f>HYPERLINK("http://www.ensembl.org/Mus_musculus/Gene/Summary?db=core;g=ENSMUSG00000062203","ENSMUSG00000062203")</f>
        <v>ENSMUSG00000062203</v>
      </c>
      <c r="I671" s="7" t="str">
        <f>HYPERLINK("http://www.informatics.jax.org/marker/MGI:1316728","MGI:1316728")</f>
        <v>MGI:1316728</v>
      </c>
      <c r="J671" s="4" t="s">
        <v>12</v>
      </c>
    </row>
    <row r="672" spans="1:10" x14ac:dyDescent="0.25">
      <c r="A672" s="2">
        <v>1203.23714234248</v>
      </c>
      <c r="B672" s="3">
        <v>-0.243768227931947</v>
      </c>
      <c r="C672" s="3">
        <v>2.3012723878122399E-4</v>
      </c>
      <c r="D672" s="4">
        <v>5.3921688636925603E-3</v>
      </c>
      <c r="E672" s="3" t="s">
        <v>2523</v>
      </c>
      <c r="F672" s="3" t="s">
        <v>2524</v>
      </c>
      <c r="G672" s="3">
        <v>217011</v>
      </c>
      <c r="H672" s="7" t="str">
        <f>HYPERLINK("http://www.ensembl.org/Mus_musculus/Gene/Summary?db=core;g=ENSMUSG00000020692","ENSMUSG00000020692")</f>
        <v>ENSMUSG00000020692</v>
      </c>
      <c r="I672" s="7" t="str">
        <f>HYPERLINK("http://www.informatics.jax.org/marker/MGI:2429770","MGI:2429770")</f>
        <v>MGI:2429770</v>
      </c>
      <c r="J672" s="4" t="s">
        <v>12</v>
      </c>
    </row>
    <row r="673" spans="1:10" x14ac:dyDescent="0.25">
      <c r="A673" s="2">
        <v>1305.98515145292</v>
      </c>
      <c r="B673" s="3">
        <v>-0.24458859179640699</v>
      </c>
      <c r="C673" s="3">
        <v>7.2144501973126201E-4</v>
      </c>
      <c r="D673" s="4">
        <v>1.2425868509827701E-2</v>
      </c>
      <c r="E673" s="3" t="s">
        <v>234</v>
      </c>
      <c r="F673" s="3" t="s">
        <v>235</v>
      </c>
      <c r="G673" s="3">
        <v>232314</v>
      </c>
      <c r="H673" s="7" t="str">
        <f>HYPERLINK("http://www.ensembl.org/Mus_musculus/Gene/Summary?db=core;g=ENSMUSG00000052144","ENSMUSG00000052144")</f>
        <v>ENSMUSG00000052144</v>
      </c>
      <c r="I673" s="7" t="str">
        <f>HYPERLINK("http://www.informatics.jax.org/marker/MGI:3027896","MGI:3027896")</f>
        <v>MGI:3027896</v>
      </c>
      <c r="J673" s="4" t="s">
        <v>12</v>
      </c>
    </row>
    <row r="674" spans="1:10" x14ac:dyDescent="0.25">
      <c r="A674" s="2">
        <v>6228.4548915492596</v>
      </c>
      <c r="B674" s="3">
        <v>-0.24519832096349101</v>
      </c>
      <c r="C674" s="3">
        <v>3.6821422943858001E-4</v>
      </c>
      <c r="D674" s="4">
        <v>7.5709423007234104E-3</v>
      </c>
      <c r="E674" s="3" t="s">
        <v>3224</v>
      </c>
      <c r="F674" s="3" t="s">
        <v>3225</v>
      </c>
      <c r="G674" s="3">
        <v>67154</v>
      </c>
      <c r="H674" s="7" t="str">
        <f>HYPERLINK("http://www.ensembl.org/Mus_musculus/Gene/Summary?db=core;g=ENSMUSG00000022255","ENSMUSG00000022255")</f>
        <v>ENSMUSG00000022255</v>
      </c>
      <c r="I674" s="7" t="str">
        <f>HYPERLINK("http://www.informatics.jax.org/marker/MGI:1914404","MGI:1914404")</f>
        <v>MGI:1914404</v>
      </c>
      <c r="J674" s="4" t="s">
        <v>12</v>
      </c>
    </row>
    <row r="675" spans="1:10" x14ac:dyDescent="0.25">
      <c r="A675" s="2">
        <v>1581.2537786589301</v>
      </c>
      <c r="B675" s="3">
        <v>-0.24633273303599099</v>
      </c>
      <c r="C675" s="3">
        <v>5.0200722313956201E-4</v>
      </c>
      <c r="D675" s="4">
        <v>9.5379432781299098E-3</v>
      </c>
      <c r="E675" s="3" t="s">
        <v>120</v>
      </c>
      <c r="F675" s="3" t="s">
        <v>121</v>
      </c>
      <c r="G675" s="3">
        <v>108058</v>
      </c>
      <c r="H675" s="7" t="str">
        <f>HYPERLINK("http://www.ensembl.org/Mus_musculus/Gene/Summary?db=core;g=ENSMUSG00000053819","ENSMUSG00000053819")</f>
        <v>ENSMUSG00000053819</v>
      </c>
      <c r="I675" s="7" t="str">
        <f>HYPERLINK("http://www.informatics.jax.org/marker/MGI:1341265","MGI:1341265")</f>
        <v>MGI:1341265</v>
      </c>
      <c r="J675" s="4" t="s">
        <v>12</v>
      </c>
    </row>
    <row r="676" spans="1:10" x14ac:dyDescent="0.25">
      <c r="A676" s="2">
        <v>4005.4949995074298</v>
      </c>
      <c r="B676" s="3">
        <v>-0.24674726772661801</v>
      </c>
      <c r="C676" s="5">
        <v>6.9000252990731502E-6</v>
      </c>
      <c r="D676" s="4">
        <v>3.5410962182819302E-4</v>
      </c>
      <c r="E676" s="3" t="s">
        <v>1642</v>
      </c>
      <c r="F676" s="3" t="s">
        <v>1643</v>
      </c>
      <c r="G676" s="3">
        <v>11736</v>
      </c>
      <c r="H676" s="7" t="str">
        <f>HYPERLINK("http://www.ensembl.org/Mus_musculus/Gene/Summary?db=core;g=ENSMUSG00000020790","ENSMUSG00000020790")</f>
        <v>ENSMUSG00000020790</v>
      </c>
      <c r="I676" s="7" t="str">
        <f>HYPERLINK("http://www.informatics.jax.org/marker/MGI:1337008","MGI:1337008")</f>
        <v>MGI:1337008</v>
      </c>
      <c r="J676" s="4" t="s">
        <v>12</v>
      </c>
    </row>
    <row r="677" spans="1:10" x14ac:dyDescent="0.25">
      <c r="A677" s="2">
        <v>1034.07073724559</v>
      </c>
      <c r="B677" s="3">
        <v>-0.24683867255505301</v>
      </c>
      <c r="C677" s="3">
        <v>8.8650633541551103E-4</v>
      </c>
      <c r="D677" s="4">
        <v>1.45555281086398E-2</v>
      </c>
      <c r="E677" s="3" t="s">
        <v>2319</v>
      </c>
      <c r="F677" s="3" t="s">
        <v>2320</v>
      </c>
      <c r="G677" s="3">
        <v>330171</v>
      </c>
      <c r="H677" s="7" t="str">
        <f>HYPERLINK("http://www.ensembl.org/Mus_musculus/Gene/Summary?db=core;g=ENSMUSG00000001098","ENSMUSG00000001098")</f>
        <v>ENSMUSG00000001098</v>
      </c>
      <c r="I677" s="7" t="str">
        <f>HYPERLINK("http://www.informatics.jax.org/marker/MGI:2141207","MGI:2141207")</f>
        <v>MGI:2141207</v>
      </c>
      <c r="J677" s="4" t="s">
        <v>12</v>
      </c>
    </row>
    <row r="678" spans="1:10" x14ac:dyDescent="0.25">
      <c r="A678" s="2">
        <v>996.87485518475899</v>
      </c>
      <c r="B678" s="3">
        <v>-0.24785601515593</v>
      </c>
      <c r="C678" s="3">
        <v>4.0904031415580399E-3</v>
      </c>
      <c r="D678" s="4">
        <v>4.6004764133103199E-2</v>
      </c>
      <c r="E678" s="3" t="s">
        <v>3932</v>
      </c>
      <c r="F678" s="3" t="s">
        <v>3933</v>
      </c>
      <c r="G678" s="3">
        <v>67010</v>
      </c>
      <c r="H678" s="7" t="str">
        <f>HYPERLINK("http://www.ensembl.org/Mus_musculus/Gene/Summary?db=core;g=ENSMUSG00000042396","ENSMUSG00000042396")</f>
        <v>ENSMUSG00000042396</v>
      </c>
      <c r="I678" s="7" t="str">
        <f>HYPERLINK("http://www.informatics.jax.org/marker/MGI:1914260","MGI:1914260")</f>
        <v>MGI:1914260</v>
      </c>
      <c r="J678" s="4" t="s">
        <v>12</v>
      </c>
    </row>
    <row r="679" spans="1:10" x14ac:dyDescent="0.25">
      <c r="A679" s="2">
        <v>5824.6531037263203</v>
      </c>
      <c r="B679" s="3">
        <v>-0.25030548240524703</v>
      </c>
      <c r="C679" s="5">
        <v>5.5918257718309999E-5</v>
      </c>
      <c r="D679" s="4">
        <v>1.7816222225434299E-3</v>
      </c>
      <c r="E679" s="3" t="s">
        <v>2535</v>
      </c>
      <c r="F679" s="3" t="s">
        <v>2536</v>
      </c>
      <c r="G679" s="3">
        <v>67134</v>
      </c>
      <c r="H679" s="7" t="str">
        <f>HYPERLINK("http://www.ensembl.org/Mus_musculus/Gene/Summary?db=core;g=ENSMUSG00000027405","ENSMUSG00000027405")</f>
        <v>ENSMUSG00000027405</v>
      </c>
      <c r="I679" s="7" t="str">
        <f>HYPERLINK("http://www.informatics.jax.org/marker/MGI:1914384","MGI:1914384")</f>
        <v>MGI:1914384</v>
      </c>
      <c r="J679" s="4" t="s">
        <v>12</v>
      </c>
    </row>
    <row r="680" spans="1:10" x14ac:dyDescent="0.25">
      <c r="A680" s="2">
        <v>4303.81845932136</v>
      </c>
      <c r="B680" s="3">
        <v>-0.25054427863884199</v>
      </c>
      <c r="C680" s="3">
        <v>7.1049458512191695E-4</v>
      </c>
      <c r="D680" s="4">
        <v>1.2312685052182099E-2</v>
      </c>
      <c r="E680" s="3" t="s">
        <v>4423</v>
      </c>
      <c r="F680" s="3" t="s">
        <v>4424</v>
      </c>
      <c r="G680" s="3">
        <v>72515</v>
      </c>
      <c r="H680" s="7" t="str">
        <f>HYPERLINK("http://www.ensembl.org/Mus_musculus/Gene/Summary?db=core;g=ENSMUSG00000041057","ENSMUSG00000041057")</f>
        <v>ENSMUSG00000041057</v>
      </c>
      <c r="I680" s="7" t="str">
        <f>HYPERLINK("http://www.informatics.jax.org/marker/MGI:1919765","MGI:1919765")</f>
        <v>MGI:1919765</v>
      </c>
      <c r="J680" s="4" t="s">
        <v>12</v>
      </c>
    </row>
    <row r="681" spans="1:10" x14ac:dyDescent="0.25">
      <c r="A681" s="2">
        <v>2779.3618751438798</v>
      </c>
      <c r="B681" s="3">
        <v>-0.251257809918144</v>
      </c>
      <c r="C681" s="3">
        <v>2.38877555257868E-3</v>
      </c>
      <c r="D681" s="4">
        <v>3.12765525493044E-2</v>
      </c>
      <c r="E681" s="3" t="s">
        <v>2890</v>
      </c>
      <c r="F681" s="3" t="s">
        <v>2891</v>
      </c>
      <c r="G681" s="3">
        <v>12343</v>
      </c>
      <c r="H681" s="7" t="str">
        <f>HYPERLINK("http://www.ensembl.org/Mus_musculus/Gene/Summary?db=core;g=ENSMUSG00000015733","ENSMUSG00000015733")</f>
        <v>ENSMUSG00000015733</v>
      </c>
      <c r="I681" s="7" t="str">
        <f>HYPERLINK("http://www.informatics.jax.org/marker/MGI:106222","MGI:106222")</f>
        <v>MGI:106222</v>
      </c>
      <c r="J681" s="4" t="s">
        <v>12</v>
      </c>
    </row>
    <row r="682" spans="1:10" x14ac:dyDescent="0.25">
      <c r="A682" s="2">
        <v>1879.5231913382499</v>
      </c>
      <c r="B682" s="3">
        <v>-0.253057081975607</v>
      </c>
      <c r="C682" s="3">
        <v>6.0444806969587401E-4</v>
      </c>
      <c r="D682" s="4">
        <v>1.10900937028866E-2</v>
      </c>
      <c r="E682" s="3" t="s">
        <v>2513</v>
      </c>
      <c r="F682" s="3" t="s">
        <v>2514</v>
      </c>
      <c r="G682" s="3">
        <v>224647</v>
      </c>
      <c r="H682" s="7" t="str">
        <f>HYPERLINK("http://www.ensembl.org/Mus_musculus/Gene/Summary?db=core;g=ENSMUSG00000056692","ENSMUSG00000056692")</f>
        <v>ENSMUSG00000056692</v>
      </c>
      <c r="I682" s="7" t="str">
        <f>HYPERLINK("http://www.informatics.jax.org/marker/MGI:106281","MGI:106281")</f>
        <v>MGI:106281</v>
      </c>
      <c r="J682" s="4" t="s">
        <v>12</v>
      </c>
    </row>
    <row r="683" spans="1:10" x14ac:dyDescent="0.25">
      <c r="A683" s="2">
        <v>2148.4827761781298</v>
      </c>
      <c r="B683" s="3">
        <v>-0.25338216302278399</v>
      </c>
      <c r="C683" s="3">
        <v>8.89263638765051E-4</v>
      </c>
      <c r="D683" s="4">
        <v>1.45639507779449E-2</v>
      </c>
      <c r="E683" s="3" t="s">
        <v>8183</v>
      </c>
      <c r="F683" s="3" t="s">
        <v>8184</v>
      </c>
      <c r="G683" s="3">
        <v>19246</v>
      </c>
      <c r="H683" s="7" t="str">
        <f>HYPERLINK("http://www.ensembl.org/Mus_musculus/Gene/Summary?db=core;g=ENSMUSG00000027540","ENSMUSG00000027540")</f>
        <v>ENSMUSG00000027540</v>
      </c>
      <c r="I683" s="7" t="str">
        <f>HYPERLINK("http://www.informatics.jax.org/marker/MGI:97805","MGI:97805")</f>
        <v>MGI:97805</v>
      </c>
      <c r="J683" s="4" t="s">
        <v>12</v>
      </c>
    </row>
    <row r="684" spans="1:10" x14ac:dyDescent="0.25">
      <c r="A684" s="2">
        <v>1644.28642441737</v>
      </c>
      <c r="B684" s="3">
        <v>-0.25350657259106302</v>
      </c>
      <c r="C684" s="3">
        <v>4.39588664455361E-3</v>
      </c>
      <c r="D684" s="4">
        <v>4.8328970763728697E-2</v>
      </c>
      <c r="E684" s="3" t="s">
        <v>610</v>
      </c>
      <c r="F684" s="3" t="s">
        <v>611</v>
      </c>
      <c r="G684" s="3">
        <v>17936</v>
      </c>
      <c r="H684" s="7" t="str">
        <f>HYPERLINK("http://www.ensembl.org/Mus_musculus/Gene/Summary?db=core;g=ENSMUSG00000002881","ENSMUSG00000002881")</f>
        <v>ENSMUSG00000002881</v>
      </c>
      <c r="I684" s="7" t="str">
        <f>HYPERLINK("http://www.informatics.jax.org/marker/MGI:107564","MGI:107564")</f>
        <v>MGI:107564</v>
      </c>
      <c r="J684" s="4" t="s">
        <v>12</v>
      </c>
    </row>
    <row r="685" spans="1:10" x14ac:dyDescent="0.25">
      <c r="A685" s="2">
        <v>1805.74956088927</v>
      </c>
      <c r="B685" s="3">
        <v>-0.25355810959003899</v>
      </c>
      <c r="C685" s="3">
        <v>3.6747878391070297E-4</v>
      </c>
      <c r="D685" s="4">
        <v>7.5696591257210198E-3</v>
      </c>
      <c r="E685" s="3" t="s">
        <v>274</v>
      </c>
      <c r="F685" s="3" t="s">
        <v>275</v>
      </c>
      <c r="G685" s="3">
        <v>54711</v>
      </c>
      <c r="H685" s="7" t="str">
        <f>HYPERLINK("http://www.ensembl.org/Mus_musculus/Gene/Summary?db=core;g=ENSMUSG00000051413","ENSMUSG00000051413")</f>
        <v>ENSMUSG00000051413</v>
      </c>
      <c r="I685" s="7" t="str">
        <f>HYPERLINK("http://www.informatics.jax.org/marker/MGI:1933165","MGI:1933165")</f>
        <v>MGI:1933165</v>
      </c>
      <c r="J685" s="4" t="s">
        <v>12</v>
      </c>
    </row>
    <row r="686" spans="1:10" x14ac:dyDescent="0.25">
      <c r="A686" s="2">
        <v>1559.6448379425899</v>
      </c>
      <c r="B686" s="3">
        <v>-0.25378767445232803</v>
      </c>
      <c r="C686" s="3">
        <v>7.2376985608845704E-4</v>
      </c>
      <c r="D686" s="4">
        <v>1.24468494975946E-2</v>
      </c>
      <c r="E686" s="3" t="s">
        <v>2355</v>
      </c>
      <c r="F686" s="3" t="s">
        <v>2356</v>
      </c>
      <c r="G686" s="3">
        <v>72170</v>
      </c>
      <c r="H686" s="7" t="str">
        <f>HYPERLINK("http://www.ensembl.org/Mus_musculus/Gene/Summary?db=core;g=ENSMUSG00000034203","ENSMUSG00000034203")</f>
        <v>ENSMUSG00000034203</v>
      </c>
      <c r="I686" s="7" t="str">
        <f>HYPERLINK("http://www.informatics.jax.org/marker/MGI:1919420","MGI:1919420")</f>
        <v>MGI:1919420</v>
      </c>
      <c r="J686" s="4" t="s">
        <v>12</v>
      </c>
    </row>
    <row r="687" spans="1:10" x14ac:dyDescent="0.25">
      <c r="A687" s="2">
        <v>9145.58775814826</v>
      </c>
      <c r="B687" s="3">
        <v>-0.255839160646257</v>
      </c>
      <c r="C687" s="3">
        <v>1.7607953319091199E-4</v>
      </c>
      <c r="D687" s="4">
        <v>4.2865075969657704E-3</v>
      </c>
      <c r="E687" s="3" t="s">
        <v>8875</v>
      </c>
      <c r="F687" s="3" t="s">
        <v>8876</v>
      </c>
      <c r="G687" s="3">
        <v>11966</v>
      </c>
      <c r="H687" s="7" t="str">
        <f>HYPERLINK("http://www.ensembl.org/Mus_musculus/Gene/Summary?db=core;g=ENSMUSG00000006273","ENSMUSG00000006273")</f>
        <v>ENSMUSG00000006273</v>
      </c>
      <c r="I687" s="7" t="str">
        <f>HYPERLINK("http://www.informatics.jax.org/marker/MGI:109618","MGI:109618")</f>
        <v>MGI:109618</v>
      </c>
      <c r="J687" s="4" t="s">
        <v>12</v>
      </c>
    </row>
    <row r="688" spans="1:10" x14ac:dyDescent="0.25">
      <c r="A688" s="2">
        <v>1547.2858292231399</v>
      </c>
      <c r="B688" s="3">
        <v>-0.25703219596404903</v>
      </c>
      <c r="C688" s="3">
        <v>9.4986037143473699E-4</v>
      </c>
      <c r="D688" s="4">
        <v>1.5371337550397801E-2</v>
      </c>
      <c r="E688" s="3" t="s">
        <v>5451</v>
      </c>
      <c r="F688" s="3" t="s">
        <v>5452</v>
      </c>
      <c r="G688" s="3">
        <v>268741</v>
      </c>
      <c r="H688" s="7" t="str">
        <f>HYPERLINK("http://www.ensembl.org/Mus_musculus/Gene/Summary?db=core;g=ENSMUSG00000016831","ENSMUSG00000016831")</f>
        <v>ENSMUSG00000016831</v>
      </c>
      <c r="I688" s="7" t="str">
        <f>HYPERLINK("http://www.informatics.jax.org/marker/MGI:1915389","MGI:1915389")</f>
        <v>MGI:1915389</v>
      </c>
      <c r="J688" s="4" t="s">
        <v>12</v>
      </c>
    </row>
    <row r="689" spans="1:10" x14ac:dyDescent="0.25">
      <c r="A689" s="2">
        <v>2302.5384880070901</v>
      </c>
      <c r="B689" s="3">
        <v>-0.257499727116698</v>
      </c>
      <c r="C689" s="3">
        <v>1.46577701156911E-3</v>
      </c>
      <c r="D689" s="4">
        <v>2.1663067081626599E-2</v>
      </c>
      <c r="E689" s="3" t="s">
        <v>2579</v>
      </c>
      <c r="F689" s="3" t="s">
        <v>2580</v>
      </c>
      <c r="G689" s="3">
        <v>20773</v>
      </c>
      <c r="H689" s="7" t="str">
        <f>HYPERLINK("http://www.ensembl.org/Mus_musculus/Gene/Summary?db=core;g=ENSMUSG00000021036","ENSMUSG00000021036")</f>
        <v>ENSMUSG00000021036</v>
      </c>
      <c r="I689" s="7" t="str">
        <f>HYPERLINK("http://www.informatics.jax.org/marker/MGI:108074","MGI:108074")</f>
        <v>MGI:108074</v>
      </c>
      <c r="J689" s="4" t="s">
        <v>12</v>
      </c>
    </row>
    <row r="690" spans="1:10" x14ac:dyDescent="0.25">
      <c r="A690" s="2">
        <v>4603.0979820460898</v>
      </c>
      <c r="B690" s="3">
        <v>-0.259231688309985</v>
      </c>
      <c r="C690" s="3">
        <v>1.52412660232683E-4</v>
      </c>
      <c r="D690" s="4">
        <v>3.7840732663068201E-3</v>
      </c>
      <c r="E690" s="3" t="s">
        <v>834</v>
      </c>
      <c r="F690" s="3" t="s">
        <v>835</v>
      </c>
      <c r="G690" s="3">
        <v>56348</v>
      </c>
      <c r="H690" s="7" t="str">
        <f>HYPERLINK("http://www.ensembl.org/Mus_musculus/Gene/Summary?db=core;g=ENSMUSG00000027195","ENSMUSG00000027195")</f>
        <v>ENSMUSG00000027195</v>
      </c>
      <c r="I690" s="7" t="str">
        <f>HYPERLINK("http://www.informatics.jax.org/marker/MGI:1926967","MGI:1926967")</f>
        <v>MGI:1926967</v>
      </c>
      <c r="J690" s="4" t="s">
        <v>12</v>
      </c>
    </row>
    <row r="691" spans="1:10" x14ac:dyDescent="0.25">
      <c r="A691" s="2">
        <v>902.73111980262104</v>
      </c>
      <c r="B691" s="3">
        <v>-0.26217129883900298</v>
      </c>
      <c r="C691" s="3">
        <v>2.6807243437563201E-3</v>
      </c>
      <c r="D691" s="4">
        <v>3.3912071419468198E-2</v>
      </c>
      <c r="E691" s="3" t="s">
        <v>4623</v>
      </c>
      <c r="F691" s="3" t="s">
        <v>4624</v>
      </c>
      <c r="G691" s="3">
        <v>214290</v>
      </c>
      <c r="H691" s="7" t="str">
        <f>HYPERLINK("http://www.ensembl.org/Mus_musculus/Gene/Summary?db=core;g=ENSMUSG00000035248","ENSMUSG00000035248")</f>
        <v>ENSMUSG00000035248</v>
      </c>
      <c r="I691" s="7" t="str">
        <f>HYPERLINK("http://www.informatics.jax.org/marker/MGI:2387179","MGI:2387179")</f>
        <v>MGI:2387179</v>
      </c>
      <c r="J691" s="4" t="s">
        <v>12</v>
      </c>
    </row>
    <row r="692" spans="1:10" x14ac:dyDescent="0.25">
      <c r="A692" s="2">
        <v>2344.4929367612899</v>
      </c>
      <c r="B692" s="3">
        <v>-0.262536174067655</v>
      </c>
      <c r="C692" s="3">
        <v>4.1825865398698401E-3</v>
      </c>
      <c r="D692" s="4">
        <v>4.68075132476777E-2</v>
      </c>
      <c r="E692" s="3" t="s">
        <v>3914</v>
      </c>
      <c r="F692" s="3" t="s">
        <v>3915</v>
      </c>
      <c r="G692" s="3">
        <v>14248</v>
      </c>
      <c r="H692" s="7" t="str">
        <f>HYPERLINK("http://www.ensembl.org/Mus_musculus/Gene/Summary?db=core;g=ENSMUSG00000002812","ENSMUSG00000002812")</f>
        <v>ENSMUSG00000002812</v>
      </c>
      <c r="I692" s="7" t="str">
        <f>HYPERLINK("http://www.informatics.jax.org/marker/MGI:1342286","MGI:1342286")</f>
        <v>MGI:1342286</v>
      </c>
      <c r="J692" s="4" t="s">
        <v>12</v>
      </c>
    </row>
    <row r="693" spans="1:10" x14ac:dyDescent="0.25">
      <c r="A693" s="2">
        <v>929.480039753558</v>
      </c>
      <c r="B693" s="3">
        <v>-0.26390237065299099</v>
      </c>
      <c r="C693" s="3">
        <v>3.4208224279157098E-3</v>
      </c>
      <c r="D693" s="4">
        <v>4.0413854881058801E-2</v>
      </c>
      <c r="E693" s="3" t="s">
        <v>3066</v>
      </c>
      <c r="F693" s="3" t="s">
        <v>3067</v>
      </c>
      <c r="G693" s="3">
        <v>67239</v>
      </c>
      <c r="H693" s="7" t="str">
        <f>HYPERLINK("http://www.ensembl.org/Mus_musculus/Gene/Summary?db=core;g=ENSMUSG00000038510","ENSMUSG00000038510")</f>
        <v>ENSMUSG00000038510</v>
      </c>
      <c r="I693" s="7" t="str">
        <f>HYPERLINK("http://www.informatics.jax.org/marker/MGI:1914489","MGI:1914489")</f>
        <v>MGI:1914489</v>
      </c>
      <c r="J693" s="4" t="s">
        <v>12</v>
      </c>
    </row>
    <row r="694" spans="1:10" x14ac:dyDescent="0.25">
      <c r="A694" s="2">
        <v>1376.7441173556999</v>
      </c>
      <c r="B694" s="3">
        <v>-0.26461968584156598</v>
      </c>
      <c r="C694" s="3">
        <v>1.6997891657989601E-4</v>
      </c>
      <c r="D694" s="4">
        <v>4.1559845103784502E-3</v>
      </c>
      <c r="E694" s="3" t="s">
        <v>3902</v>
      </c>
      <c r="F694" s="3" t="s">
        <v>3903</v>
      </c>
      <c r="G694" s="3">
        <v>224092</v>
      </c>
      <c r="H694" s="7" t="str">
        <f>HYPERLINK("http://www.ensembl.org/Mus_musculus/Gene/Summary?db=core;g=ENSMUSG00000022538","ENSMUSG00000022538")</f>
        <v>ENSMUSG00000022538</v>
      </c>
      <c r="I694" s="7" t="str">
        <f>HYPERLINK("http://www.informatics.jax.org/marker/MGI:107236","MGI:107236")</f>
        <v>MGI:107236</v>
      </c>
      <c r="J694" s="4" t="s">
        <v>12</v>
      </c>
    </row>
    <row r="695" spans="1:10" x14ac:dyDescent="0.25">
      <c r="A695" s="2">
        <v>1266.7317989866201</v>
      </c>
      <c r="B695" s="3">
        <v>-0.264684036299209</v>
      </c>
      <c r="C695" s="3">
        <v>4.06468479408203E-3</v>
      </c>
      <c r="D695" s="4">
        <v>4.5761271150190803E-2</v>
      </c>
      <c r="E695" s="3" t="s">
        <v>41</v>
      </c>
      <c r="F695" s="3" t="s">
        <v>42</v>
      </c>
      <c r="G695" s="3">
        <v>217344</v>
      </c>
      <c r="H695" s="7" t="str">
        <f>HYPERLINK("http://www.ensembl.org/Mus_musculus/Gene/Summary?db=core;g=ENSMUSG00000020806","ENSMUSG00000020806")</f>
        <v>ENSMUSG00000020806</v>
      </c>
      <c r="I695" s="7" t="str">
        <f>HYPERLINK("http://www.informatics.jax.org/marker/MGI:2442473","MGI:2442473")</f>
        <v>MGI:2442473</v>
      </c>
      <c r="J695" s="4" t="s">
        <v>12</v>
      </c>
    </row>
    <row r="696" spans="1:10" x14ac:dyDescent="0.25">
      <c r="A696" s="2">
        <v>881.11400888933497</v>
      </c>
      <c r="B696" s="3">
        <v>-0.26713569730965703</v>
      </c>
      <c r="C696" s="3">
        <v>1.1321912985564201E-3</v>
      </c>
      <c r="D696" s="4">
        <v>1.7539608174743999E-2</v>
      </c>
      <c r="E696" s="3" t="s">
        <v>3786</v>
      </c>
      <c r="F696" s="3" t="s">
        <v>3787</v>
      </c>
      <c r="G696" s="3">
        <v>73736</v>
      </c>
      <c r="H696" s="7" t="str">
        <f>HYPERLINK("http://www.ensembl.org/Mus_musculus/Gene/Summary?db=core;g=ENSMUSG00000021243","ENSMUSG00000021243")</f>
        <v>ENSMUSG00000021243</v>
      </c>
      <c r="I696" s="7" t="str">
        <f>HYPERLINK("http://www.informatics.jax.org/marker/MGI:1920986","MGI:1920986")</f>
        <v>MGI:1920986</v>
      </c>
      <c r="J696" s="4" t="s">
        <v>12</v>
      </c>
    </row>
    <row r="697" spans="1:10" x14ac:dyDescent="0.25">
      <c r="A697" s="2">
        <v>712.35023025514795</v>
      </c>
      <c r="B697" s="3">
        <v>-0.269409386570587</v>
      </c>
      <c r="C697" s="3">
        <v>3.70386365388332E-4</v>
      </c>
      <c r="D697" s="4">
        <v>7.6017070283258704E-3</v>
      </c>
      <c r="E697" s="3" t="s">
        <v>4099</v>
      </c>
      <c r="F697" s="3" t="s">
        <v>4100</v>
      </c>
      <c r="G697" s="3">
        <v>23950</v>
      </c>
      <c r="H697" s="7" t="str">
        <f>HYPERLINK("http://www.ensembl.org/Mus_musculus/Gene/Summary?db=core;g=ENSMUSG00000029131","ENSMUSG00000029131")</f>
        <v>ENSMUSG00000029131</v>
      </c>
      <c r="I697" s="7" t="str">
        <f>HYPERLINK("http://www.informatics.jax.org/marker/MGI:1344381","MGI:1344381")</f>
        <v>MGI:1344381</v>
      </c>
      <c r="J697" s="4" t="s">
        <v>12</v>
      </c>
    </row>
    <row r="698" spans="1:10" x14ac:dyDescent="0.25">
      <c r="A698" s="2">
        <v>2103.92704358827</v>
      </c>
      <c r="B698" s="3">
        <v>-0.26946779507936303</v>
      </c>
      <c r="C698" s="3">
        <v>4.6247477730483702E-4</v>
      </c>
      <c r="D698" s="4">
        <v>8.9835126430872301E-3</v>
      </c>
      <c r="E698" s="3" t="s">
        <v>184</v>
      </c>
      <c r="F698" s="3" t="s">
        <v>185</v>
      </c>
      <c r="G698" s="3">
        <v>17355</v>
      </c>
      <c r="H698" s="7" t="str">
        <f>HYPERLINK("http://www.ensembl.org/Mus_musculus/Gene/Summary?db=core;g=ENSMUSG00000029313","ENSMUSG00000029313")</f>
        <v>ENSMUSG00000029313</v>
      </c>
      <c r="I698" s="7" t="str">
        <f>HYPERLINK("http://www.informatics.jax.org/marker/MGI:1100819","MGI:1100819")</f>
        <v>MGI:1100819</v>
      </c>
      <c r="J698" s="4" t="s">
        <v>12</v>
      </c>
    </row>
    <row r="699" spans="1:10" x14ac:dyDescent="0.25">
      <c r="A699" s="2">
        <v>2167.26189264703</v>
      </c>
      <c r="B699" s="3">
        <v>-0.26952184952820102</v>
      </c>
      <c r="C699" s="3">
        <v>1.28602901608387E-4</v>
      </c>
      <c r="D699" s="4">
        <v>3.27981141584927E-3</v>
      </c>
      <c r="E699" s="3" t="s">
        <v>792</v>
      </c>
      <c r="F699" s="3" t="s">
        <v>793</v>
      </c>
      <c r="G699" s="3">
        <v>78889</v>
      </c>
      <c r="H699" s="7" t="str">
        <f>HYPERLINK("http://www.ensembl.org/Mus_musculus/Gene/Summary?db=core;g=ENSMUSG00000017677","ENSMUSG00000017677")</f>
        <v>ENSMUSG00000017677</v>
      </c>
      <c r="I699" s="7" t="str">
        <f>HYPERLINK("http://www.informatics.jax.org/marker/MGI:1926139","MGI:1926139")</f>
        <v>MGI:1926139</v>
      </c>
      <c r="J699" s="4" t="s">
        <v>12</v>
      </c>
    </row>
    <row r="700" spans="1:10" x14ac:dyDescent="0.25">
      <c r="A700" s="2">
        <v>3127.4829509903702</v>
      </c>
      <c r="B700" s="3">
        <v>-0.27045765947008299</v>
      </c>
      <c r="C700" s="3">
        <v>3.9041136300100401E-3</v>
      </c>
      <c r="D700" s="4">
        <v>4.4423834080303398E-2</v>
      </c>
      <c r="E700" s="3" t="s">
        <v>5463</v>
      </c>
      <c r="F700" s="3" t="s">
        <v>5464</v>
      </c>
      <c r="G700" s="3">
        <v>212999</v>
      </c>
      <c r="H700" s="7" t="str">
        <f>HYPERLINK("http://www.ensembl.org/Mus_musculus/Gene/Summary?db=core;g=ENSMUSG00000031691","ENSMUSG00000031691")</f>
        <v>ENSMUSG00000031691</v>
      </c>
      <c r="I700" s="7" t="str">
        <f>HYPERLINK("http://www.informatics.jax.org/marker/MGI:2384849","MGI:2384849")</f>
        <v>MGI:2384849</v>
      </c>
      <c r="J700" s="4" t="s">
        <v>12</v>
      </c>
    </row>
    <row r="701" spans="1:10" x14ac:dyDescent="0.25">
      <c r="A701" s="2">
        <v>1630.57391197789</v>
      </c>
      <c r="B701" s="3">
        <v>-0.27126711766742301</v>
      </c>
      <c r="C701" s="3">
        <v>1.7974600772782401E-3</v>
      </c>
      <c r="D701" s="4">
        <v>2.51443202601347E-2</v>
      </c>
      <c r="E701" s="3" t="s">
        <v>3120</v>
      </c>
      <c r="F701" s="3" t="s">
        <v>3121</v>
      </c>
      <c r="G701" s="3">
        <v>78655</v>
      </c>
      <c r="H701" s="7" t="str">
        <f>HYPERLINK("http://www.ensembl.org/Mus_musculus/Gene/Summary?db=core;g=ENSMUSG00000027236","ENSMUSG00000027236")</f>
        <v>ENSMUSG00000027236</v>
      </c>
      <c r="I701" s="7" t="str">
        <f>HYPERLINK("http://www.informatics.jax.org/marker/MGI:1925905","MGI:1925905")</f>
        <v>MGI:1925905</v>
      </c>
      <c r="J701" s="4" t="s">
        <v>12</v>
      </c>
    </row>
    <row r="702" spans="1:10" x14ac:dyDescent="0.25">
      <c r="A702" s="2">
        <v>1911.48947136791</v>
      </c>
      <c r="B702" s="3">
        <v>-0.27248892155570997</v>
      </c>
      <c r="C702" s="3">
        <v>4.6071324417321603E-3</v>
      </c>
      <c r="D702" s="4">
        <v>4.9871432696979398E-2</v>
      </c>
      <c r="E702" s="3" t="s">
        <v>1003</v>
      </c>
      <c r="F702" s="3" t="s">
        <v>1004</v>
      </c>
      <c r="G702" s="3">
        <v>19664</v>
      </c>
      <c r="H702" s="7" t="str">
        <f>HYPERLINK("http://www.ensembl.org/Mus_musculus/Gene/Summary?db=core;g=ENSMUSG00000039191","ENSMUSG00000039191")</f>
        <v>ENSMUSG00000039191</v>
      </c>
      <c r="I702" s="7" t="str">
        <f>HYPERLINK("http://www.informatics.jax.org/marker/MGI:96522","MGI:96522")</f>
        <v>MGI:96522</v>
      </c>
      <c r="J702" s="4" t="s">
        <v>12</v>
      </c>
    </row>
    <row r="703" spans="1:10" x14ac:dyDescent="0.25">
      <c r="A703" s="2">
        <v>998.866224574993</v>
      </c>
      <c r="B703" s="3">
        <v>-0.27253835352666</v>
      </c>
      <c r="C703" s="3">
        <v>1.0131977040115101E-3</v>
      </c>
      <c r="D703" s="4">
        <v>1.61408421770785E-2</v>
      </c>
      <c r="E703" s="3" t="s">
        <v>1560</v>
      </c>
      <c r="F703" s="3" t="s">
        <v>1561</v>
      </c>
      <c r="G703" s="3">
        <v>27393</v>
      </c>
      <c r="H703" s="7" t="str">
        <f>HYPERLINK("http://www.ensembl.org/Mus_musculus/Gene/Summary?db=core;g=ENSMUSG00000022889","ENSMUSG00000022889")</f>
        <v>ENSMUSG00000022889</v>
      </c>
      <c r="I703" s="7" t="str">
        <f>HYPERLINK("http://www.informatics.jax.org/marker/MGI:1351620","MGI:1351620")</f>
        <v>MGI:1351620</v>
      </c>
      <c r="J703" s="4" t="s">
        <v>12</v>
      </c>
    </row>
    <row r="704" spans="1:10" x14ac:dyDescent="0.25">
      <c r="A704" s="2">
        <v>4140.9950763914803</v>
      </c>
      <c r="B704" s="3">
        <v>-0.27309913836402999</v>
      </c>
      <c r="C704" s="5">
        <v>8.9101296996896304E-6</v>
      </c>
      <c r="D704" s="4">
        <v>4.3381917200177198E-4</v>
      </c>
      <c r="E704" s="3" t="s">
        <v>75</v>
      </c>
      <c r="F704" s="3" t="s">
        <v>76</v>
      </c>
      <c r="G704" s="3">
        <v>319765</v>
      </c>
      <c r="H704" s="7" t="str">
        <f>HYPERLINK("http://www.ensembl.org/Mus_musculus/Gene/Summary?db=core;g=ENSMUSG00000033581","ENSMUSG00000033581")</f>
        <v>ENSMUSG00000033581</v>
      </c>
      <c r="I704" s="7" t="str">
        <f>HYPERLINK("http://www.informatics.jax.org/marker/MGI:1890358","MGI:1890358")</f>
        <v>MGI:1890358</v>
      </c>
      <c r="J704" s="4" t="s">
        <v>12</v>
      </c>
    </row>
    <row r="705" spans="1:10" x14ac:dyDescent="0.25">
      <c r="A705" s="2">
        <v>2379.7093112501302</v>
      </c>
      <c r="B705" s="3">
        <v>-0.27356990263373498</v>
      </c>
      <c r="C705" s="3">
        <v>6.4929117372632703E-4</v>
      </c>
      <c r="D705" s="4">
        <v>1.1613723043524401E-2</v>
      </c>
      <c r="E705" s="3" t="s">
        <v>2862</v>
      </c>
      <c r="F705" s="3" t="s">
        <v>2863</v>
      </c>
      <c r="G705" s="3">
        <v>56041</v>
      </c>
      <c r="H705" s="7" t="str">
        <f>HYPERLINK("http://www.ensembl.org/Mus_musculus/Gene/Summary?db=core;g=ENSMUSG00000029407","ENSMUSG00000029407")</f>
        <v>ENSMUSG00000029407</v>
      </c>
      <c r="I705" s="7" t="str">
        <f>HYPERLINK("http://www.informatics.jax.org/marker/MGI:1929095","MGI:1929095")</f>
        <v>MGI:1929095</v>
      </c>
      <c r="J705" s="4" t="s">
        <v>12</v>
      </c>
    </row>
    <row r="706" spans="1:10" x14ac:dyDescent="0.25">
      <c r="A706" s="2">
        <v>1358.13485384809</v>
      </c>
      <c r="B706" s="3">
        <v>-0.27426324291263299</v>
      </c>
      <c r="C706" s="3">
        <v>3.2697044425177898E-3</v>
      </c>
      <c r="D706" s="4">
        <v>3.9038604952226698E-2</v>
      </c>
      <c r="E706" s="3" t="s">
        <v>7476</v>
      </c>
      <c r="F706" s="3" t="s">
        <v>7477</v>
      </c>
      <c r="G706" s="3">
        <v>66164</v>
      </c>
      <c r="H706" s="7" t="str">
        <f>HYPERLINK("http://www.ensembl.org/Mus_musculus/Gene/Summary?db=core;g=ENSMUSG00000031917","ENSMUSG00000031917")</f>
        <v>ENSMUSG00000031917</v>
      </c>
      <c r="I706" s="7" t="str">
        <f>HYPERLINK("http://www.informatics.jax.org/marker/MGI:1913414","MGI:1913414")</f>
        <v>MGI:1913414</v>
      </c>
      <c r="J706" s="4" t="s">
        <v>12</v>
      </c>
    </row>
    <row r="707" spans="1:10" x14ac:dyDescent="0.25">
      <c r="A707" s="2">
        <v>1284.8786091264201</v>
      </c>
      <c r="B707" s="3">
        <v>-0.27461484574678602</v>
      </c>
      <c r="C707" s="3">
        <v>3.9682618601679497E-3</v>
      </c>
      <c r="D707" s="4">
        <v>4.49456607666757E-2</v>
      </c>
      <c r="E707" s="3" t="s">
        <v>12053</v>
      </c>
      <c r="F707" s="3" t="s">
        <v>12054</v>
      </c>
      <c r="G707" s="3">
        <v>233575</v>
      </c>
      <c r="H707" s="7" t="str">
        <f>HYPERLINK("http://www.ensembl.org/Mus_musculus/Gene/Summary?db=core;g=ENSMUSG00000030990","ENSMUSG00000030990")</f>
        <v>ENSMUSG00000030990</v>
      </c>
      <c r="I707" s="7" t="str">
        <f>HYPERLINK("http://www.informatics.jax.org/marker/MGI:2385286","MGI:2385286")</f>
        <v>MGI:2385286</v>
      </c>
      <c r="J707" s="4" t="s">
        <v>12</v>
      </c>
    </row>
    <row r="708" spans="1:10" x14ac:dyDescent="0.25">
      <c r="A708" s="2">
        <v>1846.82502469462</v>
      </c>
      <c r="B708" s="3">
        <v>-0.27602713993511002</v>
      </c>
      <c r="C708" s="3">
        <v>4.6029225359553103E-4</v>
      </c>
      <c r="D708" s="4">
        <v>8.9835126430872301E-3</v>
      </c>
      <c r="E708" s="3" t="s">
        <v>1442</v>
      </c>
      <c r="F708" s="3" t="s">
        <v>1443</v>
      </c>
      <c r="G708" s="3">
        <v>11308</v>
      </c>
      <c r="H708" s="7" t="str">
        <f>HYPERLINK("http://www.ensembl.org/Mus_musculus/Gene/Summary?db=core;g=ENSMUSG00000058835","ENSMUSG00000058835")</f>
        <v>ENSMUSG00000058835</v>
      </c>
      <c r="I708" s="7" t="str">
        <f>HYPERLINK("http://www.informatics.jax.org/marker/MGI:104913","MGI:104913")</f>
        <v>MGI:104913</v>
      </c>
      <c r="J708" s="4" t="s">
        <v>12</v>
      </c>
    </row>
    <row r="709" spans="1:10" x14ac:dyDescent="0.25">
      <c r="A709" s="2">
        <v>379.63214555191797</v>
      </c>
      <c r="B709" s="3">
        <v>-0.27676662534181901</v>
      </c>
      <c r="C709" s="3">
        <v>2.6396621799954102E-3</v>
      </c>
      <c r="D709" s="4">
        <v>3.3660182016336103E-2</v>
      </c>
      <c r="E709" s="3" t="s">
        <v>13033</v>
      </c>
      <c r="F709" s="3" t="s">
        <v>13034</v>
      </c>
      <c r="G709" s="3">
        <v>78890</v>
      </c>
      <c r="H709" s="7" t="str">
        <f>HYPERLINK("http://www.ensembl.org/Mus_musculus/Gene/Summary?db=core;g=ENSMUSG00000029097","ENSMUSG00000029097")</f>
        <v>ENSMUSG00000029097</v>
      </c>
      <c r="I709" s="7" t="str">
        <f>HYPERLINK("http://www.informatics.jax.org/marker/MGI:1926140","MGI:1926140")</f>
        <v>MGI:1926140</v>
      </c>
      <c r="J709" s="4" t="s">
        <v>12</v>
      </c>
    </row>
    <row r="710" spans="1:10" x14ac:dyDescent="0.25">
      <c r="A710" s="2">
        <v>974.51377282906105</v>
      </c>
      <c r="B710" s="3">
        <v>-0.27914894901961601</v>
      </c>
      <c r="C710" s="3">
        <v>2.7443883399845899E-3</v>
      </c>
      <c r="D710" s="4">
        <v>3.4400890036081003E-2</v>
      </c>
      <c r="E710" s="3" t="s">
        <v>1584</v>
      </c>
      <c r="F710" s="3" t="s">
        <v>1585</v>
      </c>
      <c r="G710" s="3">
        <v>83431</v>
      </c>
      <c r="H710" s="7" t="str">
        <f>HYPERLINK("http://www.ensembl.org/Mus_musculus/Gene/Summary?db=core;g=ENSMUSG00000018736","ENSMUSG00000018736")</f>
        <v>ENSMUSG00000018736</v>
      </c>
      <c r="I710" s="7" t="str">
        <f>HYPERLINK("http://www.informatics.jax.org/marker/MGI:1932915","MGI:1932915")</f>
        <v>MGI:1932915</v>
      </c>
      <c r="J710" s="4" t="s">
        <v>12</v>
      </c>
    </row>
    <row r="711" spans="1:10" x14ac:dyDescent="0.25">
      <c r="A711" s="2">
        <v>2184.31787183595</v>
      </c>
      <c r="B711" s="3">
        <v>-0.27959026927266001</v>
      </c>
      <c r="C711" s="3">
        <v>2.5206472931385599E-3</v>
      </c>
      <c r="D711" s="4">
        <v>3.2627587491915598E-2</v>
      </c>
      <c r="E711" s="3" t="s">
        <v>360</v>
      </c>
      <c r="F711" s="3" t="s">
        <v>361</v>
      </c>
      <c r="G711" s="3">
        <v>12608</v>
      </c>
      <c r="H711" s="7" t="str">
        <f>HYPERLINK("http://www.ensembl.org/Mus_musculus/Gene/Summary?db=core;g=ENSMUSG00000056501","ENSMUSG00000056501")</f>
        <v>ENSMUSG00000056501</v>
      </c>
      <c r="I711" s="7" t="str">
        <f>HYPERLINK("http://www.informatics.jax.org/marker/MGI:88373","MGI:88373")</f>
        <v>MGI:88373</v>
      </c>
      <c r="J711" s="4" t="s">
        <v>12</v>
      </c>
    </row>
    <row r="712" spans="1:10" x14ac:dyDescent="0.25">
      <c r="A712" s="2">
        <v>2868.41741834201</v>
      </c>
      <c r="B712" s="3">
        <v>-0.28050294446663498</v>
      </c>
      <c r="C712" s="3">
        <v>1.11530578374411E-3</v>
      </c>
      <c r="D712" s="4">
        <v>1.7325751588080199E-2</v>
      </c>
      <c r="E712" s="3" t="s">
        <v>528</v>
      </c>
      <c r="F712" s="3" t="s">
        <v>529</v>
      </c>
      <c r="G712" s="3">
        <v>68184</v>
      </c>
      <c r="H712" s="7" t="str">
        <f>HYPERLINK("http://www.ensembl.org/Mus_musculus/Gene/Summary?db=core;g=ENSMUSG00000023106","ENSMUSG00000023106")</f>
        <v>ENSMUSG00000023106</v>
      </c>
      <c r="I712" s="7" t="str">
        <f>HYPERLINK("http://www.informatics.jax.org/marker/MGI:1915434","MGI:1915434")</f>
        <v>MGI:1915434</v>
      </c>
      <c r="J712" s="4" t="s">
        <v>12</v>
      </c>
    </row>
    <row r="713" spans="1:10" x14ac:dyDescent="0.25">
      <c r="A713" s="2">
        <v>3840.9872876617201</v>
      </c>
      <c r="B713" s="3">
        <v>-0.28131473591489398</v>
      </c>
      <c r="C713" s="5">
        <v>2.13913804640889E-5</v>
      </c>
      <c r="D713" s="4">
        <v>8.4417142484072803E-4</v>
      </c>
      <c r="E713" s="3" t="s">
        <v>3173</v>
      </c>
      <c r="F713" s="3" t="s">
        <v>3174</v>
      </c>
      <c r="G713" s="3">
        <v>51886</v>
      </c>
      <c r="H713" s="7" t="str">
        <f>HYPERLINK("http://www.ensembl.org/Mus_musculus/Gene/Summary?db=core;g=ENSMUSG00000028034","ENSMUSG00000028034")</f>
        <v>ENSMUSG00000028034</v>
      </c>
      <c r="I713" s="7" t="str">
        <f>HYPERLINK("http://www.informatics.jax.org/marker/MGI:1196294","MGI:1196294")</f>
        <v>MGI:1196294</v>
      </c>
      <c r="J713" s="4" t="s">
        <v>12</v>
      </c>
    </row>
    <row r="714" spans="1:10" x14ac:dyDescent="0.25">
      <c r="A714" s="2">
        <v>1371.72989518132</v>
      </c>
      <c r="B714" s="3">
        <v>-0.28256768716640501</v>
      </c>
      <c r="C714" s="3">
        <v>3.9490859171237199E-4</v>
      </c>
      <c r="D714" s="4">
        <v>7.9883757751601503E-3</v>
      </c>
      <c r="E714" s="3" t="s">
        <v>448</v>
      </c>
      <c r="F714" s="3" t="s">
        <v>449</v>
      </c>
      <c r="G714" s="3">
        <v>67921</v>
      </c>
      <c r="H714" s="7" t="str">
        <f>HYPERLINK("http://www.ensembl.org/Mus_musculus/Gene/Summary?db=core;g=ENSMUSG00000034343","ENSMUSG00000034343")</f>
        <v>ENSMUSG00000034343</v>
      </c>
      <c r="I714" s="7" t="str">
        <f>HYPERLINK("http://www.informatics.jax.org/marker/MGI:1915171","MGI:1915171")</f>
        <v>MGI:1915171</v>
      </c>
      <c r="J714" s="4" t="s">
        <v>12</v>
      </c>
    </row>
    <row r="715" spans="1:10" x14ac:dyDescent="0.25">
      <c r="A715" s="2">
        <v>689.20007816412601</v>
      </c>
      <c r="B715" s="3">
        <v>-0.28275555636581101</v>
      </c>
      <c r="C715" s="3">
        <v>2.2592391776761699E-3</v>
      </c>
      <c r="D715" s="4">
        <v>2.9999602162129799E-2</v>
      </c>
      <c r="E715" s="3" t="s">
        <v>1905</v>
      </c>
      <c r="F715" s="3" t="s">
        <v>1906</v>
      </c>
      <c r="G715" s="3">
        <v>68533</v>
      </c>
      <c r="H715" s="7" t="str">
        <f>HYPERLINK("http://www.ensembl.org/Mus_musculus/Gene/Summary?db=core;g=ENSMUSG00000031843","ENSMUSG00000031843")</f>
        <v>ENSMUSG00000031843</v>
      </c>
      <c r="I715" s="7" t="str">
        <f>HYPERLINK("http://www.informatics.jax.org/marker/MGI:1915783","MGI:1915783")</f>
        <v>MGI:1915783</v>
      </c>
      <c r="J715" s="4" t="s">
        <v>12</v>
      </c>
    </row>
    <row r="716" spans="1:10" x14ac:dyDescent="0.25">
      <c r="A716" s="2">
        <v>8014.3179052676296</v>
      </c>
      <c r="B716" s="3">
        <v>-0.28337237683835398</v>
      </c>
      <c r="C716" s="3">
        <v>2.6457849092574801E-3</v>
      </c>
      <c r="D716" s="4">
        <v>3.3660491295064099E-2</v>
      </c>
      <c r="E716" s="3" t="s">
        <v>3104</v>
      </c>
      <c r="F716" s="3" t="s">
        <v>3105</v>
      </c>
      <c r="G716" s="3">
        <v>81910</v>
      </c>
      <c r="H716" s="7" t="str">
        <f>HYPERLINK("http://www.ensembl.org/Mus_musculus/Gene/Summary?db=core;g=ENSMUSG00000027422","ENSMUSG00000027422")</f>
        <v>ENSMUSG00000027422</v>
      </c>
      <c r="I716" s="7" t="str">
        <f>HYPERLINK("http://www.informatics.jax.org/marker/MGI:1932395","MGI:1932395")</f>
        <v>MGI:1932395</v>
      </c>
      <c r="J716" s="4" t="s">
        <v>12</v>
      </c>
    </row>
    <row r="717" spans="1:10" x14ac:dyDescent="0.25">
      <c r="A717" s="2">
        <v>4802.2594112709203</v>
      </c>
      <c r="B717" s="3">
        <v>-0.28385487688658201</v>
      </c>
      <c r="C717" s="3">
        <v>6.3447330295435603E-4</v>
      </c>
      <c r="D717" s="4">
        <v>1.14357712152687E-2</v>
      </c>
      <c r="E717" s="3" t="s">
        <v>1196</v>
      </c>
      <c r="F717" s="3" t="s">
        <v>1197</v>
      </c>
      <c r="G717" s="3">
        <v>18024</v>
      </c>
      <c r="H717" s="7" t="str">
        <f>HYPERLINK("http://www.ensembl.org/Mus_musculus/Gene/Summary?db=core;g=ENSMUSG00000015839","ENSMUSG00000015839")</f>
        <v>ENSMUSG00000015839</v>
      </c>
      <c r="I717" s="7" t="str">
        <f>HYPERLINK("http://www.informatics.jax.org/marker/MGI:108420","MGI:108420")</f>
        <v>MGI:108420</v>
      </c>
      <c r="J717" s="4" t="s">
        <v>12</v>
      </c>
    </row>
    <row r="718" spans="1:10" x14ac:dyDescent="0.25">
      <c r="A718" s="2">
        <v>751.41513406682702</v>
      </c>
      <c r="B718" s="3">
        <v>-0.28389880199582701</v>
      </c>
      <c r="C718" s="3">
        <v>2.8502576575424902E-3</v>
      </c>
      <c r="D718" s="4">
        <v>3.5111552983987299E-2</v>
      </c>
      <c r="E718" s="3" t="s">
        <v>1790</v>
      </c>
      <c r="F718" s="3" t="s">
        <v>1791</v>
      </c>
      <c r="G718" s="3">
        <v>21769</v>
      </c>
      <c r="H718" s="7" t="str">
        <f>HYPERLINK("http://www.ensembl.org/Mus_musculus/Gene/Summary?db=core;g=ENSMUSG00000044477","ENSMUSG00000044477")</f>
        <v>ENSMUSG00000044477</v>
      </c>
      <c r="I718" s="7" t="str">
        <f>HYPERLINK("http://www.informatics.jax.org/marker/MGI:1096572","MGI:1096572")</f>
        <v>MGI:1096572</v>
      </c>
      <c r="J718" s="4" t="s">
        <v>12</v>
      </c>
    </row>
    <row r="719" spans="1:10" x14ac:dyDescent="0.25">
      <c r="A719" s="2">
        <v>998.23847062090704</v>
      </c>
      <c r="B719" s="3">
        <v>-0.283928502088862</v>
      </c>
      <c r="C719" s="3">
        <v>3.5986795664706797E-4</v>
      </c>
      <c r="D719" s="4">
        <v>7.4595870325744797E-3</v>
      </c>
      <c r="E719" s="3" t="s">
        <v>6790</v>
      </c>
      <c r="F719" s="3" t="s">
        <v>6791</v>
      </c>
      <c r="G719" s="3">
        <v>77591</v>
      </c>
      <c r="H719" s="7" t="str">
        <f>HYPERLINK("http://www.ensembl.org/Mus_musculus/Gene/Summary?db=core;g=ENSMUSG00000053289","ENSMUSG00000053289")</f>
        <v>ENSMUSG00000053289</v>
      </c>
      <c r="I719" s="7" t="str">
        <f>HYPERLINK("http://www.informatics.jax.org/marker/MGI:1924841","MGI:1924841")</f>
        <v>MGI:1924841</v>
      </c>
      <c r="J719" s="4" t="s">
        <v>12</v>
      </c>
    </row>
    <row r="720" spans="1:10" x14ac:dyDescent="0.25">
      <c r="A720" s="2">
        <v>5558.8636997720796</v>
      </c>
      <c r="B720" s="3">
        <v>-0.28473644469201098</v>
      </c>
      <c r="C720" s="3">
        <v>1.55252638629274E-3</v>
      </c>
      <c r="D720" s="4">
        <v>2.2414973384639901E-2</v>
      </c>
      <c r="E720" s="3" t="s">
        <v>3226</v>
      </c>
      <c r="F720" s="3" t="s">
        <v>3227</v>
      </c>
      <c r="G720" s="3">
        <v>28146</v>
      </c>
      <c r="H720" s="7" t="str">
        <f>HYPERLINK("http://www.ensembl.org/Mus_musculus/Gene/Summary?db=core;g=ENSMUSG00000027808","ENSMUSG00000027808")</f>
        <v>ENSMUSG00000027808</v>
      </c>
      <c r="I720" s="7" t="str">
        <f>HYPERLINK("http://www.informatics.jax.org/marker/MGI:92638","MGI:92638")</f>
        <v>MGI:92638</v>
      </c>
      <c r="J720" s="4" t="s">
        <v>12</v>
      </c>
    </row>
    <row r="721" spans="1:10" x14ac:dyDescent="0.25">
      <c r="A721" s="2">
        <v>2835.4203763148998</v>
      </c>
      <c r="B721" s="3">
        <v>-0.28570412367749298</v>
      </c>
      <c r="C721" s="3">
        <v>3.69538119690135E-3</v>
      </c>
      <c r="D721" s="4">
        <v>4.2818961936099603E-2</v>
      </c>
      <c r="E721" s="3" t="s">
        <v>7574</v>
      </c>
      <c r="F721" s="3" t="s">
        <v>7575</v>
      </c>
      <c r="G721" s="3">
        <v>11843</v>
      </c>
      <c r="H721" s="7" t="str">
        <f>HYPERLINK("http://www.ensembl.org/Mus_musculus/Gene/Summary?db=core;g=ENSMUSG00000021877","ENSMUSG00000021877")</f>
        <v>ENSMUSG00000021877</v>
      </c>
      <c r="I721" s="7" t="str">
        <f>HYPERLINK("http://www.informatics.jax.org/marker/MGI:99433","MGI:99433")</f>
        <v>MGI:99433</v>
      </c>
      <c r="J721" s="4" t="s">
        <v>12</v>
      </c>
    </row>
    <row r="722" spans="1:10" x14ac:dyDescent="0.25">
      <c r="A722" s="2">
        <v>818.82435542977998</v>
      </c>
      <c r="B722" s="3">
        <v>-0.286864135894143</v>
      </c>
      <c r="C722" s="3">
        <v>1.56084613418638E-3</v>
      </c>
      <c r="D722" s="4">
        <v>2.2477383445831198E-2</v>
      </c>
      <c r="E722" s="3" t="s">
        <v>3424</v>
      </c>
      <c r="F722" s="3" t="s">
        <v>3425</v>
      </c>
      <c r="G722" s="3">
        <v>225028</v>
      </c>
      <c r="H722" s="7" t="str">
        <f>HYPERLINK("http://www.ensembl.org/Mus_musculus/Gene/Summary?db=core;g=ENSMUSG00000024242","ENSMUSG00000024242")</f>
        <v>ENSMUSG00000024242</v>
      </c>
      <c r="I722" s="7" t="str">
        <f>HYPERLINK("http://www.informatics.jax.org/marker/MGI:2154405","MGI:2154405")</f>
        <v>MGI:2154405</v>
      </c>
      <c r="J722" s="4" t="s">
        <v>12</v>
      </c>
    </row>
    <row r="723" spans="1:10" x14ac:dyDescent="0.25">
      <c r="A723" s="2">
        <v>5463.7980075278401</v>
      </c>
      <c r="B723" s="3">
        <v>-0.293753899331609</v>
      </c>
      <c r="C723" s="3">
        <v>5.7180494371805702E-4</v>
      </c>
      <c r="D723" s="4">
        <v>1.05964196202065E-2</v>
      </c>
      <c r="E723" s="3" t="s">
        <v>31</v>
      </c>
      <c r="F723" s="3" t="s">
        <v>32</v>
      </c>
      <c r="G723" s="3">
        <v>20656</v>
      </c>
      <c r="H723" s="7" t="str">
        <f>HYPERLINK("http://www.ensembl.org/Mus_musculus/Gene/Summary?db=core;g=ENSMUSG00000006818","ENSMUSG00000006818")</f>
        <v>ENSMUSG00000006818</v>
      </c>
      <c r="I723" s="7" t="str">
        <f>HYPERLINK("http://www.informatics.jax.org/marker/MGI:98352","MGI:98352")</f>
        <v>MGI:98352</v>
      </c>
      <c r="J723" s="4" t="s">
        <v>12</v>
      </c>
    </row>
    <row r="724" spans="1:10" x14ac:dyDescent="0.25">
      <c r="A724" s="2">
        <v>1583.33974571513</v>
      </c>
      <c r="B724" s="3">
        <v>-0.29405111406351397</v>
      </c>
      <c r="C724" s="3">
        <v>2.4673891810910001E-4</v>
      </c>
      <c r="D724" s="4">
        <v>5.6749951165092896E-3</v>
      </c>
      <c r="E724" s="3" t="s">
        <v>1558</v>
      </c>
      <c r="F724" s="3" t="s">
        <v>1559</v>
      </c>
      <c r="G724" s="3">
        <v>24055</v>
      </c>
      <c r="H724" s="7" t="str">
        <f>HYPERLINK("http://www.ensembl.org/Mus_musculus/Gene/Summary?db=core;g=ENSMUSG00000054520","ENSMUSG00000054520")</f>
        <v>ENSMUSG00000054520</v>
      </c>
      <c r="I724" s="7" t="str">
        <f>HYPERLINK("http://www.informatics.jax.org/marker/MGI:1346349","MGI:1346349")</f>
        <v>MGI:1346349</v>
      </c>
      <c r="J724" s="4" t="s">
        <v>12</v>
      </c>
    </row>
    <row r="725" spans="1:10" x14ac:dyDescent="0.25">
      <c r="A725" s="2">
        <v>1382.2580210881699</v>
      </c>
      <c r="B725" s="3">
        <v>-0.29557910264024601</v>
      </c>
      <c r="C725" s="5">
        <v>4.2808070750646304E-6</v>
      </c>
      <c r="D725" s="4">
        <v>2.3147229410217299E-4</v>
      </c>
      <c r="E725" s="3" t="s">
        <v>1126</v>
      </c>
      <c r="F725" s="3" t="s">
        <v>1127</v>
      </c>
      <c r="G725" s="3">
        <v>216344</v>
      </c>
      <c r="H725" s="7" t="str">
        <f>HYPERLINK("http://www.ensembl.org/Mus_musculus/Gene/Summary?db=core;g=ENSMUSG00000020132","ENSMUSG00000020132")</f>
        <v>ENSMUSG00000020132</v>
      </c>
      <c r="I725" s="7" t="str">
        <f>HYPERLINK("http://www.informatics.jax.org/marker/MGI:894308","MGI:894308")</f>
        <v>MGI:894308</v>
      </c>
      <c r="J725" s="4" t="s">
        <v>12</v>
      </c>
    </row>
    <row r="726" spans="1:10" x14ac:dyDescent="0.25">
      <c r="A726" s="2">
        <v>779.68797174107101</v>
      </c>
      <c r="B726" s="3">
        <v>-0.29580827205190102</v>
      </c>
      <c r="C726" s="3">
        <v>2.6940613707874201E-3</v>
      </c>
      <c r="D726" s="4">
        <v>3.39306923149452E-2</v>
      </c>
      <c r="E726" s="3" t="s">
        <v>13801</v>
      </c>
      <c r="F726" s="3" t="s">
        <v>13802</v>
      </c>
      <c r="G726" s="3">
        <v>13011</v>
      </c>
      <c r="H726" s="7" t="str">
        <f>HYPERLINK("http://www.ensembl.org/Mus_musculus/Gene/Summary?db=core;g=ENSMUSG00000068129","ENSMUSG00000068129")</f>
        <v>ENSMUSG00000068129</v>
      </c>
      <c r="I726" s="7" t="str">
        <f>HYPERLINK("http://www.informatics.jax.org/marker/MGI:1298217","MGI:1298217")</f>
        <v>MGI:1298217</v>
      </c>
      <c r="J726" s="4" t="s">
        <v>12</v>
      </c>
    </row>
    <row r="727" spans="1:10" x14ac:dyDescent="0.25">
      <c r="A727" s="2">
        <v>390.28998504879502</v>
      </c>
      <c r="B727" s="3">
        <v>-0.29603147581630901</v>
      </c>
      <c r="C727" s="3">
        <v>2.5423509731250099E-3</v>
      </c>
      <c r="D727" s="4">
        <v>3.2828727204060798E-2</v>
      </c>
      <c r="E727" s="3" t="s">
        <v>10460</v>
      </c>
      <c r="F727" s="3" t="s">
        <v>10461</v>
      </c>
      <c r="G727" s="3">
        <v>12457</v>
      </c>
      <c r="H727" s="7" t="str">
        <f>HYPERLINK("http://www.ensembl.org/Mus_musculus/Gene/Summary?db=core;g=ENSMUSG00000023087","ENSMUSG00000023087")</f>
        <v>ENSMUSG00000023087</v>
      </c>
      <c r="I727" s="7" t="str">
        <f>HYPERLINK("http://www.informatics.jax.org/marker/MGI:109382","MGI:109382")</f>
        <v>MGI:109382</v>
      </c>
      <c r="J727" s="4" t="s">
        <v>12</v>
      </c>
    </row>
    <row r="728" spans="1:10" x14ac:dyDescent="0.25">
      <c r="A728" s="2">
        <v>2151.3080953918802</v>
      </c>
      <c r="B728" s="3">
        <v>-0.29678035024449201</v>
      </c>
      <c r="C728" s="3">
        <v>5.3967454790881399E-4</v>
      </c>
      <c r="D728" s="4">
        <v>1.0099367122013999E-2</v>
      </c>
      <c r="E728" s="3" t="s">
        <v>5529</v>
      </c>
      <c r="F728" s="3" t="s">
        <v>5530</v>
      </c>
      <c r="G728" s="3">
        <v>13169</v>
      </c>
      <c r="H728" s="7" t="str">
        <f>HYPERLINK("http://www.ensembl.org/Mus_musculus/Gene/Summary?db=core;g=ENSMUSG00000020476","ENSMUSG00000020476")</f>
        <v>ENSMUSG00000020476</v>
      </c>
      <c r="I728" s="7" t="str">
        <f>HYPERLINK("http://www.informatics.jax.org/marker/MGI:700006","MGI:700006")</f>
        <v>MGI:700006</v>
      </c>
      <c r="J728" s="4" t="s">
        <v>12</v>
      </c>
    </row>
    <row r="729" spans="1:10" x14ac:dyDescent="0.25">
      <c r="A729" s="2">
        <v>1009.09954663835</v>
      </c>
      <c r="B729" s="3">
        <v>-0.29787706839320799</v>
      </c>
      <c r="C729" s="3">
        <v>6.7253379292044795E-4</v>
      </c>
      <c r="D729" s="4">
        <v>1.18002926193078E-2</v>
      </c>
      <c r="E729" s="3" t="s">
        <v>4963</v>
      </c>
      <c r="F729" s="3" t="s">
        <v>4964</v>
      </c>
      <c r="G729" s="3">
        <v>74167</v>
      </c>
      <c r="H729" s="7" t="str">
        <f>HYPERLINK("http://www.ensembl.org/Mus_musculus/Gene/Summary?db=core;g=ENSMUSG00000029310","ENSMUSG00000029310")</f>
        <v>ENSMUSG00000029310</v>
      </c>
      <c r="I729" s="7" t="str">
        <f>HYPERLINK("http://www.informatics.jax.org/marker/MGI:1921417","MGI:1921417")</f>
        <v>MGI:1921417</v>
      </c>
      <c r="J729" s="4" t="s">
        <v>12</v>
      </c>
    </row>
    <row r="730" spans="1:10" x14ac:dyDescent="0.25">
      <c r="A730" s="2">
        <v>2357.1030398901298</v>
      </c>
      <c r="B730" s="3">
        <v>-0.29811626464475699</v>
      </c>
      <c r="C730" s="3">
        <v>1.5655116495351301E-4</v>
      </c>
      <c r="D730" s="4">
        <v>3.8560716493587E-3</v>
      </c>
      <c r="E730" s="3" t="s">
        <v>2097</v>
      </c>
      <c r="F730" s="3" t="s">
        <v>2098</v>
      </c>
      <c r="G730" s="3">
        <v>13427</v>
      </c>
      <c r="H730" s="7" t="str">
        <f>HYPERLINK("http://www.ensembl.org/Mus_musculus/Gene/Summary?db=core;g=ENSMUSG00000027012","ENSMUSG00000027012")</f>
        <v>ENSMUSG00000027012</v>
      </c>
      <c r="I730" s="7" t="str">
        <f>HYPERLINK("http://www.informatics.jax.org/marker/MGI:107750","MGI:107750")</f>
        <v>MGI:107750</v>
      </c>
      <c r="J730" s="4" t="s">
        <v>12</v>
      </c>
    </row>
    <row r="731" spans="1:10" x14ac:dyDescent="0.25">
      <c r="A731" s="2">
        <v>3829.1660043348402</v>
      </c>
      <c r="B731" s="3">
        <v>-0.299511673154847</v>
      </c>
      <c r="C731" s="3">
        <v>1.41826751145734E-3</v>
      </c>
      <c r="D731" s="4">
        <v>2.1163800628547801E-2</v>
      </c>
      <c r="E731" s="3" t="s">
        <v>2005</v>
      </c>
      <c r="F731" s="3" t="s">
        <v>2006</v>
      </c>
      <c r="G731" s="3">
        <v>75608</v>
      </c>
      <c r="H731" s="7" t="str">
        <f>HYPERLINK("http://www.ensembl.org/Mus_musculus/Gene/Summary?db=core;g=ENSMUSG00000038467","ENSMUSG00000038467")</f>
        <v>ENSMUSG00000038467</v>
      </c>
      <c r="I731" s="7" t="str">
        <f>HYPERLINK("http://www.informatics.jax.org/marker/MGI:1922858","MGI:1922858")</f>
        <v>MGI:1922858</v>
      </c>
      <c r="J731" s="4" t="s">
        <v>12</v>
      </c>
    </row>
    <row r="732" spans="1:10" x14ac:dyDescent="0.25">
      <c r="A732" s="2">
        <v>3022.6625183003198</v>
      </c>
      <c r="B732" s="3">
        <v>-0.29968246260978898</v>
      </c>
      <c r="C732" s="5">
        <v>3.4577032205466299E-5</v>
      </c>
      <c r="D732" s="4">
        <v>1.23849643699006E-3</v>
      </c>
      <c r="E732" s="3" t="s">
        <v>252</v>
      </c>
      <c r="F732" s="3" t="s">
        <v>253</v>
      </c>
      <c r="G732" s="3">
        <v>74427</v>
      </c>
      <c r="H732" s="7" t="str">
        <f>HYPERLINK("http://www.ensembl.org/Mus_musculus/Gene/Summary?db=core;g=ENSMUSG00000021890","ENSMUSG00000021890")</f>
        <v>ENSMUSG00000021890</v>
      </c>
      <c r="I732" s="7" t="str">
        <f>HYPERLINK("http://www.informatics.jax.org/marker/MGI:1921677","MGI:1921677")</f>
        <v>MGI:1921677</v>
      </c>
      <c r="J732" s="4" t="s">
        <v>12</v>
      </c>
    </row>
    <row r="733" spans="1:10" x14ac:dyDescent="0.25">
      <c r="A733" s="2">
        <v>920.01382317931996</v>
      </c>
      <c r="B733" s="3">
        <v>-0.30013951026724101</v>
      </c>
      <c r="C733" s="5">
        <v>8.0372687975593794E-5</v>
      </c>
      <c r="D733" s="4">
        <v>2.2655429114323399E-3</v>
      </c>
      <c r="E733" s="3" t="s">
        <v>636</v>
      </c>
      <c r="F733" s="3" t="s">
        <v>637</v>
      </c>
      <c r="G733" s="3">
        <v>56480</v>
      </c>
      <c r="H733" s="7" t="str">
        <f>HYPERLINK("http://www.ensembl.org/Mus_musculus/Gene/Summary?db=core;g=ENSMUSG00000020115","ENSMUSG00000020115")</f>
        <v>ENSMUSG00000020115</v>
      </c>
      <c r="I733" s="7" t="str">
        <f>HYPERLINK("http://www.informatics.jax.org/marker/MGI:1929658","MGI:1929658")</f>
        <v>MGI:1929658</v>
      </c>
      <c r="J733" s="4" t="s">
        <v>12</v>
      </c>
    </row>
    <row r="734" spans="1:10" x14ac:dyDescent="0.25">
      <c r="A734" s="2">
        <v>1064.3393074712901</v>
      </c>
      <c r="B734" s="3">
        <v>-0.30059478712944698</v>
      </c>
      <c r="C734" s="3">
        <v>4.56462093564947E-4</v>
      </c>
      <c r="D734" s="4">
        <v>8.9283985501303603E-3</v>
      </c>
      <c r="E734" s="3" t="s">
        <v>3006</v>
      </c>
      <c r="F734" s="3" t="s">
        <v>3007</v>
      </c>
      <c r="G734" s="3">
        <v>69181</v>
      </c>
      <c r="H734" s="7" t="str">
        <f>HYPERLINK("http://www.ensembl.org/Mus_musculus/Gene/Summary?db=core;g=ENSMUSG00000028630","ENSMUSG00000028630")</f>
        <v>ENSMUSG00000028630</v>
      </c>
      <c r="I734" s="7" t="str">
        <f>HYPERLINK("http://www.informatics.jax.org/marker/MGI:1330301","MGI:1330301")</f>
        <v>MGI:1330301</v>
      </c>
      <c r="J734" s="4" t="s">
        <v>12</v>
      </c>
    </row>
    <row r="735" spans="1:10" x14ac:dyDescent="0.25">
      <c r="A735" s="2">
        <v>332.16205088200098</v>
      </c>
      <c r="B735" s="3">
        <v>-0.30264693454705499</v>
      </c>
      <c r="C735" s="3">
        <v>4.4188611122976404E-3</v>
      </c>
      <c r="D735" s="4">
        <v>4.8345263550594902E-2</v>
      </c>
      <c r="E735" s="3" t="s">
        <v>6309</v>
      </c>
      <c r="F735" s="3" t="s">
        <v>6310</v>
      </c>
      <c r="G735" s="3">
        <v>66869</v>
      </c>
      <c r="H735" s="7" t="str">
        <f>HYPERLINK("http://www.ensembl.org/Mus_musculus/Gene/Summary?db=core;g=ENSMUSG00000054648","ENSMUSG00000054648")</f>
        <v>ENSMUSG00000054648</v>
      </c>
      <c r="I735" s="7" t="str">
        <f>HYPERLINK("http://www.informatics.jax.org/marker/MGI:1914119","MGI:1914119")</f>
        <v>MGI:1914119</v>
      </c>
      <c r="J735" s="4" t="s">
        <v>12</v>
      </c>
    </row>
    <row r="736" spans="1:10" x14ac:dyDescent="0.25">
      <c r="A736" s="2">
        <v>1542.9035992417801</v>
      </c>
      <c r="B736" s="3">
        <v>-0.30339561097027201</v>
      </c>
      <c r="C736" s="3">
        <v>4.2821475364058304E-3</v>
      </c>
      <c r="D736" s="4">
        <v>4.7449569795030899E-2</v>
      </c>
      <c r="E736" s="3" t="s">
        <v>2485</v>
      </c>
      <c r="F736" s="3" t="s">
        <v>2486</v>
      </c>
      <c r="G736" s="3">
        <v>213053</v>
      </c>
      <c r="H736" s="7" t="str">
        <f>HYPERLINK("http://www.ensembl.org/Mus_musculus/Gene/Summary?db=core;g=ENSMUSG00000022094","ENSMUSG00000022094")</f>
        <v>ENSMUSG00000022094</v>
      </c>
      <c r="I736" s="7" t="str">
        <f>HYPERLINK("http://www.informatics.jax.org/marker/MGI:2384851","MGI:2384851")</f>
        <v>MGI:2384851</v>
      </c>
      <c r="J736" s="4" t="s">
        <v>12</v>
      </c>
    </row>
    <row r="737" spans="1:10" x14ac:dyDescent="0.25">
      <c r="A737" s="2">
        <v>3375.0529675415301</v>
      </c>
      <c r="B737" s="3">
        <v>-0.30368851521128798</v>
      </c>
      <c r="C737" s="5">
        <v>1.86516761129358E-6</v>
      </c>
      <c r="D737" s="4">
        <v>1.19622908429238E-4</v>
      </c>
      <c r="E737" s="3" t="s">
        <v>484</v>
      </c>
      <c r="F737" s="3" t="s">
        <v>485</v>
      </c>
      <c r="G737" s="3">
        <v>19325</v>
      </c>
      <c r="H737" s="7" t="str">
        <f>HYPERLINK("http://www.ensembl.org/Mus_musculus/Gene/Summary?db=core;g=ENSMUSG00000020671","ENSMUSG00000020671")</f>
        <v>ENSMUSG00000020671</v>
      </c>
      <c r="I737" s="7" t="str">
        <f>HYPERLINK("http://www.informatics.jax.org/marker/MGI:105066","MGI:105066")</f>
        <v>MGI:105066</v>
      </c>
      <c r="J737" s="4" t="s">
        <v>12</v>
      </c>
    </row>
    <row r="738" spans="1:10" x14ac:dyDescent="0.25">
      <c r="A738" s="2">
        <v>548.43797504832503</v>
      </c>
      <c r="B738" s="3">
        <v>-0.30425396159804302</v>
      </c>
      <c r="C738" s="3">
        <v>2.45392017714007E-3</v>
      </c>
      <c r="D738" s="4">
        <v>3.2017680083868197E-2</v>
      </c>
      <c r="E738" s="3" t="s">
        <v>2756</v>
      </c>
      <c r="F738" s="3" t="s">
        <v>2757</v>
      </c>
      <c r="G738" s="3">
        <v>320119</v>
      </c>
      <c r="H738" s="7" t="str">
        <f>HYPERLINK("http://www.ensembl.org/Mus_musculus/Gene/Summary?db=core;g=ENSMUSG00000089872","ENSMUSG00000089872")</f>
        <v>ENSMUSG00000089872</v>
      </c>
      <c r="I738" s="7" t="str">
        <f>HYPERLINK("http://www.informatics.jax.org/marker/MGI:2443419","MGI:2443419")</f>
        <v>MGI:2443419</v>
      </c>
      <c r="J738" s="4" t="s">
        <v>12</v>
      </c>
    </row>
    <row r="739" spans="1:10" x14ac:dyDescent="0.25">
      <c r="A739" s="2">
        <v>9351.8212524721603</v>
      </c>
      <c r="B739" s="3">
        <v>-0.30557049862448299</v>
      </c>
      <c r="C739" s="5">
        <v>7.3332595560151104E-5</v>
      </c>
      <c r="D739" s="4">
        <v>2.1422284465448501E-3</v>
      </c>
      <c r="E739" s="3" t="s">
        <v>2321</v>
      </c>
      <c r="F739" s="3" t="s">
        <v>2322</v>
      </c>
      <c r="G739" s="3">
        <v>12462</v>
      </c>
      <c r="H739" s="7" t="str">
        <f>HYPERLINK("http://www.ensembl.org/Mus_musculus/Gene/Summary?db=core;g=ENSMUSG00000001416","ENSMUSG00000001416")</f>
        <v>ENSMUSG00000001416</v>
      </c>
      <c r="I739" s="7" t="str">
        <f>HYPERLINK("http://www.informatics.jax.org/marker/MGI:104708","MGI:104708")</f>
        <v>MGI:104708</v>
      </c>
      <c r="J739" s="4" t="s">
        <v>12</v>
      </c>
    </row>
    <row r="740" spans="1:10" x14ac:dyDescent="0.25">
      <c r="A740" s="2">
        <v>9085.6428922137893</v>
      </c>
      <c r="B740" s="3">
        <v>-0.30585497782156101</v>
      </c>
      <c r="C740" s="5">
        <v>1.02833509539553E-6</v>
      </c>
      <c r="D740" s="6">
        <v>7.8146519039956299E-5</v>
      </c>
      <c r="E740" s="3" t="s">
        <v>190</v>
      </c>
      <c r="F740" s="3" t="s">
        <v>191</v>
      </c>
      <c r="G740" s="3">
        <v>17210</v>
      </c>
      <c r="H740" s="7" t="str">
        <f>HYPERLINK("http://www.ensembl.org/Mus_musculus/Gene/Summary?db=core;g=ENSMUSG00000038612","ENSMUSG00000038612")</f>
        <v>ENSMUSG00000038612</v>
      </c>
      <c r="I740" s="7" t="str">
        <f>HYPERLINK("http://www.informatics.jax.org/marker/MGI:101769","MGI:101769")</f>
        <v>MGI:101769</v>
      </c>
      <c r="J740" s="4" t="s">
        <v>12</v>
      </c>
    </row>
    <row r="741" spans="1:10" x14ac:dyDescent="0.25">
      <c r="A741" s="2">
        <v>14035.4759159156</v>
      </c>
      <c r="B741" s="3">
        <v>-0.30657277129300498</v>
      </c>
      <c r="C741" s="3">
        <v>4.4187194161949602E-3</v>
      </c>
      <c r="D741" s="4">
        <v>4.8345263550594902E-2</v>
      </c>
      <c r="E741" s="3" t="s">
        <v>198</v>
      </c>
      <c r="F741" s="3" t="s">
        <v>199</v>
      </c>
      <c r="G741" s="3">
        <v>17164</v>
      </c>
      <c r="H741" s="7" t="str">
        <f>HYPERLINK("http://www.ensembl.org/Mus_musculus/Gene/Summary?db=core;g=ENSMUSG00000016528","ENSMUSG00000016528")</f>
        <v>ENSMUSG00000016528</v>
      </c>
      <c r="I741" s="7" t="str">
        <f>HYPERLINK("http://www.informatics.jax.org/marker/MGI:109298","MGI:109298")</f>
        <v>MGI:109298</v>
      </c>
      <c r="J741" s="4" t="s">
        <v>12</v>
      </c>
    </row>
    <row r="742" spans="1:10" x14ac:dyDescent="0.25">
      <c r="A742" s="2">
        <v>529.73092726301695</v>
      </c>
      <c r="B742" s="3">
        <v>-0.30691782925880301</v>
      </c>
      <c r="C742" s="5">
        <v>8.7059941989123797E-5</v>
      </c>
      <c r="D742" s="4">
        <v>2.3915729812258699E-3</v>
      </c>
      <c r="E742" s="3" t="s">
        <v>3070</v>
      </c>
      <c r="F742" s="3" t="s">
        <v>3071</v>
      </c>
      <c r="G742" s="3">
        <v>22642</v>
      </c>
      <c r="H742" s="7" t="str">
        <f>HYPERLINK("http://www.ensembl.org/Mus_musculus/Gene/Summary?db=core;g=ENSMUSG00000006215","ENSMUSG00000006215")</f>
        <v>ENSMUSG00000006215</v>
      </c>
      <c r="I742" s="7" t="str">
        <f>HYPERLINK("http://www.informatics.jax.org/marker/MGI:107410","MGI:107410")</f>
        <v>MGI:107410</v>
      </c>
      <c r="J742" s="4" t="s">
        <v>12</v>
      </c>
    </row>
    <row r="743" spans="1:10" x14ac:dyDescent="0.25">
      <c r="A743" s="2">
        <v>873.54422025899498</v>
      </c>
      <c r="B743" s="3">
        <v>-0.30917053136044098</v>
      </c>
      <c r="C743" s="3">
        <v>1.88261693294187E-3</v>
      </c>
      <c r="D743" s="4">
        <v>2.60760993162528E-2</v>
      </c>
      <c r="E743" s="3" t="s">
        <v>3888</v>
      </c>
      <c r="F743" s="3" t="s">
        <v>3889</v>
      </c>
      <c r="G743" s="3">
        <v>67073</v>
      </c>
      <c r="H743" s="7" t="str">
        <f>HYPERLINK("http://www.ensembl.org/Mus_musculus/Gene/Summary?db=core;g=ENSMUSG00000029186","ENSMUSG00000029186")</f>
        <v>ENSMUSG00000029186</v>
      </c>
      <c r="I743" s="7" t="str">
        <f>HYPERLINK("http://www.informatics.jax.org/marker/MGI:1914323","MGI:1914323")</f>
        <v>MGI:1914323</v>
      </c>
      <c r="J743" s="4" t="s">
        <v>12</v>
      </c>
    </row>
    <row r="744" spans="1:10" x14ac:dyDescent="0.25">
      <c r="A744" s="2">
        <v>4937.3334913051303</v>
      </c>
      <c r="B744" s="3">
        <v>-0.30989752197675302</v>
      </c>
      <c r="C744" s="3">
        <v>1.8569730521543399E-3</v>
      </c>
      <c r="D744" s="4">
        <v>2.58482375217573E-2</v>
      </c>
      <c r="E744" s="3" t="s">
        <v>1182</v>
      </c>
      <c r="F744" s="3" t="s">
        <v>1183</v>
      </c>
      <c r="G744" s="3">
        <v>15251</v>
      </c>
      <c r="H744" s="7" t="str">
        <f>HYPERLINK("http://www.ensembl.org/Mus_musculus/Gene/Summary?db=core;g=ENSMUSG00000021109","ENSMUSG00000021109")</f>
        <v>ENSMUSG00000021109</v>
      </c>
      <c r="I744" s="7" t="str">
        <f>HYPERLINK("http://www.informatics.jax.org/marker/MGI:106918","MGI:106918")</f>
        <v>MGI:106918</v>
      </c>
      <c r="J744" s="4" t="s">
        <v>12</v>
      </c>
    </row>
    <row r="745" spans="1:10" x14ac:dyDescent="0.25">
      <c r="A745" s="2">
        <v>1014.40417089159</v>
      </c>
      <c r="B745" s="3">
        <v>-0.31084868781159303</v>
      </c>
      <c r="C745" s="3">
        <v>1.2613251808961401E-3</v>
      </c>
      <c r="D745" s="4">
        <v>1.9196379309254202E-2</v>
      </c>
      <c r="E745" s="3" t="s">
        <v>772</v>
      </c>
      <c r="F745" s="3" t="s">
        <v>773</v>
      </c>
      <c r="G745" s="3">
        <v>21753</v>
      </c>
      <c r="H745" s="7" t="str">
        <f>HYPERLINK("http://www.ensembl.org/Mus_musculus/Gene/Summary?db=core;g=ENSMUSG00000029552","ENSMUSG00000029552")</f>
        <v>ENSMUSG00000029552</v>
      </c>
      <c r="I745" s="7" t="str">
        <f>HYPERLINK("http://www.informatics.jax.org/marker/MGI:105081","MGI:105081")</f>
        <v>MGI:105081</v>
      </c>
      <c r="J745" s="4" t="s">
        <v>12</v>
      </c>
    </row>
    <row r="746" spans="1:10" x14ac:dyDescent="0.25">
      <c r="A746" s="2">
        <v>994.26722771500704</v>
      </c>
      <c r="B746" s="3">
        <v>-0.31084956508462203</v>
      </c>
      <c r="C746" s="3">
        <v>2.51260311770072E-4</v>
      </c>
      <c r="D746" s="4">
        <v>5.7437494440609801E-3</v>
      </c>
      <c r="E746" s="3" t="s">
        <v>174</v>
      </c>
      <c r="F746" s="3" t="s">
        <v>175</v>
      </c>
      <c r="G746" s="3">
        <v>66306</v>
      </c>
      <c r="H746" s="7" t="str">
        <f>HYPERLINK("http://www.ensembl.org/Mus_musculus/Gene/Summary?db=core;g=ENSMUSG00000034300","ENSMUSG00000034300")</f>
        <v>ENSMUSG00000034300</v>
      </c>
      <c r="I746" s="7" t="str">
        <f>HYPERLINK("http://www.informatics.jax.org/marker/MGI:1913556","MGI:1913556")</f>
        <v>MGI:1913556</v>
      </c>
      <c r="J746" s="4" t="s">
        <v>12</v>
      </c>
    </row>
    <row r="747" spans="1:10" x14ac:dyDescent="0.25">
      <c r="A747" s="2">
        <v>2547.26365334712</v>
      </c>
      <c r="B747" s="3">
        <v>-0.31383587088445303</v>
      </c>
      <c r="C747" s="3">
        <v>2.7790808966154201E-3</v>
      </c>
      <c r="D747" s="4">
        <v>3.4613868044555497E-2</v>
      </c>
      <c r="E747" s="3" t="s">
        <v>2011</v>
      </c>
      <c r="F747" s="3" t="s">
        <v>2012</v>
      </c>
      <c r="G747" s="3">
        <v>66054</v>
      </c>
      <c r="H747" s="7" t="str">
        <f>HYPERLINK("http://www.ensembl.org/Mus_musculus/Gene/Summary?db=core;g=ENSMUSG00000024644","ENSMUSG00000024644")</f>
        <v>ENSMUSG00000024644</v>
      </c>
      <c r="I747" s="7" t="str">
        <f>HYPERLINK("http://www.informatics.jax.org/marker/MGI:1913304","MGI:1913304")</f>
        <v>MGI:1913304</v>
      </c>
      <c r="J747" s="4" t="s">
        <v>12</v>
      </c>
    </row>
    <row r="748" spans="1:10" x14ac:dyDescent="0.25">
      <c r="A748" s="2">
        <v>1024.9337592320201</v>
      </c>
      <c r="B748" s="3">
        <v>-0.31600411962673802</v>
      </c>
      <c r="C748" s="5">
        <v>1.3379890627695401E-6</v>
      </c>
      <c r="D748" s="6">
        <v>9.4659618602339007E-5</v>
      </c>
      <c r="E748" s="3" t="s">
        <v>5367</v>
      </c>
      <c r="F748" s="3" t="s">
        <v>5368</v>
      </c>
      <c r="G748" s="3">
        <v>15502</v>
      </c>
      <c r="H748" s="7" t="str">
        <f>HYPERLINK("http://www.ensembl.org/Mus_musculus/Gene/Summary?db=core;g=ENSMUSG00000028410","ENSMUSG00000028410")</f>
        <v>ENSMUSG00000028410</v>
      </c>
      <c r="I748" s="7" t="str">
        <f>HYPERLINK("http://www.informatics.jax.org/marker/MGI:1270129","MGI:1270129")</f>
        <v>MGI:1270129</v>
      </c>
      <c r="J748" s="4" t="s">
        <v>12</v>
      </c>
    </row>
    <row r="749" spans="1:10" x14ac:dyDescent="0.25">
      <c r="A749" s="2">
        <v>962.03615442056298</v>
      </c>
      <c r="B749" s="3">
        <v>-0.316424175408832</v>
      </c>
      <c r="C749" s="3">
        <v>2.8190772423471698E-3</v>
      </c>
      <c r="D749" s="4">
        <v>3.4803690169789903E-2</v>
      </c>
      <c r="E749" s="3" t="s">
        <v>3938</v>
      </c>
      <c r="F749" s="3" t="s">
        <v>3939</v>
      </c>
      <c r="G749" s="3">
        <v>11810</v>
      </c>
      <c r="H749" s="7" t="str">
        <f>HYPERLINK("http://www.ensembl.org/Mus_musculus/Gene/Summary?db=core;g=ENSMUSG00000040613","ENSMUSG00000040613")</f>
        <v>ENSMUSG00000040613</v>
      </c>
      <c r="I749" s="7" t="str">
        <f>HYPERLINK("http://www.informatics.jax.org/marker/MGI:103298","MGI:103298")</f>
        <v>MGI:103298</v>
      </c>
      <c r="J749" s="4" t="s">
        <v>12</v>
      </c>
    </row>
    <row r="750" spans="1:10" x14ac:dyDescent="0.25">
      <c r="A750" s="2">
        <v>2003.6298149818799</v>
      </c>
      <c r="B750" s="3">
        <v>-0.31795156181450701</v>
      </c>
      <c r="C750" s="3">
        <v>1.7090135018467301E-3</v>
      </c>
      <c r="D750" s="4">
        <v>2.4177704220465699E-2</v>
      </c>
      <c r="E750" s="3" t="s">
        <v>10102</v>
      </c>
      <c r="F750" s="3" t="s">
        <v>10103</v>
      </c>
      <c r="G750" s="3">
        <v>170743</v>
      </c>
      <c r="H750" s="7" t="str">
        <f>HYPERLINK("http://www.ensembl.org/Mus_musculus/Gene/Summary?db=core;g=ENSMUSG00000044583","ENSMUSG00000044583")</f>
        <v>ENSMUSG00000044583</v>
      </c>
      <c r="I750" s="7" t="str">
        <f>HYPERLINK("http://www.informatics.jax.org/marker/MGI:2176882","MGI:2176882")</f>
        <v>MGI:2176882</v>
      </c>
      <c r="J750" s="4" t="s">
        <v>12</v>
      </c>
    </row>
    <row r="751" spans="1:10" x14ac:dyDescent="0.25">
      <c r="A751" s="2">
        <v>1230.59547229277</v>
      </c>
      <c r="B751" s="3">
        <v>-0.31850427325992098</v>
      </c>
      <c r="C751" s="3">
        <v>2.5552648069381502E-3</v>
      </c>
      <c r="D751" s="4">
        <v>3.2957641380313402E-2</v>
      </c>
      <c r="E751" s="3" t="s">
        <v>308</v>
      </c>
      <c r="F751" s="3" t="s">
        <v>309</v>
      </c>
      <c r="G751" s="3">
        <v>319520</v>
      </c>
      <c r="H751" s="7" t="str">
        <f>HYPERLINK("http://www.ensembl.org/Mus_musculus/Gene/Summary?db=core;g=ENSMUSG00000031530","ENSMUSG00000031530")</f>
        <v>ENSMUSG00000031530</v>
      </c>
      <c r="I751" s="7" t="str">
        <f>HYPERLINK("http://www.informatics.jax.org/marker/MGI:2442191","MGI:2442191")</f>
        <v>MGI:2442191</v>
      </c>
      <c r="J751" s="4" t="s">
        <v>12</v>
      </c>
    </row>
    <row r="752" spans="1:10" x14ac:dyDescent="0.25">
      <c r="A752" s="2">
        <v>2206.9289650462101</v>
      </c>
      <c r="B752" s="3">
        <v>-0.31884679841338598</v>
      </c>
      <c r="C752" s="5">
        <v>8.4505715679080606E-5</v>
      </c>
      <c r="D752" s="4">
        <v>2.3506476400561799E-3</v>
      </c>
      <c r="E752" s="3" t="s">
        <v>2385</v>
      </c>
      <c r="F752" s="3" t="s">
        <v>2386</v>
      </c>
      <c r="G752" s="3">
        <v>67895</v>
      </c>
      <c r="H752" s="7" t="str">
        <f>HYPERLINK("http://www.ensembl.org/Mus_musculus/Gene/Summary?db=core;g=ENSMUSG00000020089","ENSMUSG00000020089")</f>
        <v>ENSMUSG00000020089</v>
      </c>
      <c r="I752" s="7" t="str">
        <f>HYPERLINK("http://www.informatics.jax.org/marker/MGI:97831","MGI:97831")</f>
        <v>MGI:97831</v>
      </c>
      <c r="J752" s="4" t="s">
        <v>12</v>
      </c>
    </row>
    <row r="753" spans="1:10" x14ac:dyDescent="0.25">
      <c r="A753" s="2">
        <v>1158.0354387019499</v>
      </c>
      <c r="B753" s="3">
        <v>-0.318866516300437</v>
      </c>
      <c r="C753" s="5">
        <v>2.12004963969597E-7</v>
      </c>
      <c r="D753" s="6">
        <v>2.1289462765768399E-5</v>
      </c>
      <c r="E753" s="3" t="s">
        <v>1021</v>
      </c>
      <c r="F753" s="3" t="s">
        <v>1022</v>
      </c>
      <c r="G753" s="3">
        <v>170760</v>
      </c>
      <c r="H753" s="7" t="str">
        <f>HYPERLINK("http://www.ensembl.org/Mus_musculus/Gene/Summary?db=core;g=ENSMUSG00000026499","ENSMUSG00000026499")</f>
        <v>ENSMUSG00000026499</v>
      </c>
      <c r="I753" s="7" t="str">
        <f>HYPERLINK("http://www.informatics.jax.org/marker/MGI:2181074","MGI:2181074")</f>
        <v>MGI:2181074</v>
      </c>
      <c r="J753" s="4" t="s">
        <v>12</v>
      </c>
    </row>
    <row r="754" spans="1:10" x14ac:dyDescent="0.25">
      <c r="A754" s="2">
        <v>961.25600460850706</v>
      </c>
      <c r="B754" s="3">
        <v>-0.319181177791244</v>
      </c>
      <c r="C754" s="5">
        <v>2.99123513335565E-5</v>
      </c>
      <c r="D754" s="4">
        <v>1.0922864137938599E-3</v>
      </c>
      <c r="E754" s="3" t="s">
        <v>1776</v>
      </c>
      <c r="F754" s="3" t="s">
        <v>1777</v>
      </c>
      <c r="G754" s="3">
        <v>98258</v>
      </c>
      <c r="H754" s="7" t="str">
        <f>HYPERLINK("http://www.ensembl.org/Mus_musculus/Gene/Summary?db=core;g=ENSMUSG00000058407","ENSMUSG00000058407")</f>
        <v>ENSMUSG00000058407</v>
      </c>
      <c r="I754" s="7" t="str">
        <f>HYPERLINK("http://www.informatics.jax.org/marker/MGI:2138153","MGI:2138153")</f>
        <v>MGI:2138153</v>
      </c>
      <c r="J754" s="4" t="s">
        <v>12</v>
      </c>
    </row>
    <row r="755" spans="1:10" x14ac:dyDescent="0.25">
      <c r="A755" s="2">
        <v>2375.04961886825</v>
      </c>
      <c r="B755" s="3">
        <v>-0.32011666578337</v>
      </c>
      <c r="C755" s="3">
        <v>1.4552992875406299E-3</v>
      </c>
      <c r="D755" s="4">
        <v>2.1593339164867401E-2</v>
      </c>
      <c r="E755" s="3" t="s">
        <v>6079</v>
      </c>
      <c r="F755" s="3" t="s">
        <v>6080</v>
      </c>
      <c r="G755" s="3">
        <v>78830</v>
      </c>
      <c r="H755" s="7" t="str">
        <f>HYPERLINK("http://www.ensembl.org/Mus_musculus/Gene/Summary?db=core;g=ENSMUSG00000027010","ENSMUSG00000027010")</f>
        <v>ENSMUSG00000027010</v>
      </c>
      <c r="I755" s="7" t="str">
        <f>HYPERLINK("http://www.informatics.jax.org/marker/MGI:1926080","MGI:1926080")</f>
        <v>MGI:1926080</v>
      </c>
      <c r="J755" s="4" t="s">
        <v>12</v>
      </c>
    </row>
    <row r="756" spans="1:10" x14ac:dyDescent="0.25">
      <c r="A756" s="2">
        <v>551.08072002236497</v>
      </c>
      <c r="B756" s="3">
        <v>-0.32016204962788403</v>
      </c>
      <c r="C756" s="3">
        <v>1.14318514591999E-3</v>
      </c>
      <c r="D756" s="4">
        <v>1.7685561672850299E-2</v>
      </c>
      <c r="E756" s="3" t="s">
        <v>6421</v>
      </c>
      <c r="F756" s="3" t="s">
        <v>6422</v>
      </c>
      <c r="G756" s="3">
        <v>67213</v>
      </c>
      <c r="H756" s="7" t="str">
        <f>HYPERLINK("http://www.ensembl.org/Mus_musculus/Gene/Summary?db=core;g=ENSMUSG00000032434","ENSMUSG00000032434")</f>
        <v>ENSMUSG00000032434</v>
      </c>
      <c r="I756" s="7" t="str">
        <f>HYPERLINK("http://www.informatics.jax.org/marker/MGI:2447165","MGI:2447165")</f>
        <v>MGI:2447165</v>
      </c>
      <c r="J756" s="4" t="s">
        <v>12</v>
      </c>
    </row>
    <row r="757" spans="1:10" x14ac:dyDescent="0.25">
      <c r="A757" s="2">
        <v>2226.5156501581901</v>
      </c>
      <c r="B757" s="3">
        <v>-0.32357145776313201</v>
      </c>
      <c r="C757" s="3">
        <v>6.2059320832470396E-4</v>
      </c>
      <c r="D757" s="4">
        <v>1.13124988882138E-2</v>
      </c>
      <c r="E757" s="3" t="s">
        <v>3036</v>
      </c>
      <c r="F757" s="3" t="s">
        <v>3037</v>
      </c>
      <c r="G757" s="3">
        <v>226517</v>
      </c>
      <c r="H757" s="7" t="str">
        <f>HYPERLINK("http://www.ensembl.org/Mus_musculus/Gene/Summary?db=core;g=ENSMUSG00000042772","ENSMUSG00000042772")</f>
        <v>ENSMUSG00000042772</v>
      </c>
      <c r="I757" s="7" t="str">
        <f>HYPERLINK("http://www.informatics.jax.org/marker/MGI:2682334","MGI:2682334")</f>
        <v>MGI:2682334</v>
      </c>
      <c r="J757" s="4" t="s">
        <v>12</v>
      </c>
    </row>
    <row r="758" spans="1:10" x14ac:dyDescent="0.25">
      <c r="A758" s="2">
        <v>2046.32667989008</v>
      </c>
      <c r="B758" s="3">
        <v>-0.32371307351701401</v>
      </c>
      <c r="C758" s="3">
        <v>1.2673105510959601E-3</v>
      </c>
      <c r="D758" s="4">
        <v>1.9261407794832801E-2</v>
      </c>
      <c r="E758" s="3" t="s">
        <v>1294</v>
      </c>
      <c r="F758" s="3" t="s">
        <v>1295</v>
      </c>
      <c r="G758" s="3">
        <v>53312</v>
      </c>
      <c r="H758" s="7" t="str">
        <f>HYPERLINK("http://www.ensembl.org/Mus_musculus/Gene/Summary?db=core;g=ENSMUSG00000028954","ENSMUSG00000028954")</f>
        <v>ENSMUSG00000028954</v>
      </c>
      <c r="I758" s="7" t="str">
        <f>HYPERLINK("http://www.informatics.jax.org/marker/MGI:1889001","MGI:1889001")</f>
        <v>MGI:1889001</v>
      </c>
      <c r="J758" s="4" t="s">
        <v>12</v>
      </c>
    </row>
    <row r="759" spans="1:10" x14ac:dyDescent="0.25">
      <c r="A759" s="2">
        <v>2205.2681990677602</v>
      </c>
      <c r="B759" s="3">
        <v>-0.32417246566691399</v>
      </c>
      <c r="C759" s="3">
        <v>7.3147691993270803E-4</v>
      </c>
      <c r="D759" s="4">
        <v>1.2556676090201399E-2</v>
      </c>
      <c r="E759" s="3" t="s">
        <v>3468</v>
      </c>
      <c r="F759" s="3" t="s">
        <v>3469</v>
      </c>
      <c r="G759" s="3">
        <v>70296</v>
      </c>
      <c r="H759" s="7" t="str">
        <f>HYPERLINK("http://www.ensembl.org/Mus_musculus/Gene/Summary?db=core;g=ENSMUSG00000039678","ENSMUSG00000039678")</f>
        <v>ENSMUSG00000039678</v>
      </c>
      <c r="I759" s="7" t="str">
        <f>HYPERLINK("http://www.informatics.jax.org/marker/MGI:2385326","MGI:2385326")</f>
        <v>MGI:2385326</v>
      </c>
      <c r="J759" s="4" t="s">
        <v>12</v>
      </c>
    </row>
    <row r="760" spans="1:10" x14ac:dyDescent="0.25">
      <c r="A760" s="2">
        <v>3369.96194577711</v>
      </c>
      <c r="B760" s="3">
        <v>-0.325261805507574</v>
      </c>
      <c r="C760" s="5">
        <v>2.7766364414275101E-5</v>
      </c>
      <c r="D760" s="4">
        <v>1.0477309583449099E-3</v>
      </c>
      <c r="E760" s="3" t="s">
        <v>1408</v>
      </c>
      <c r="F760" s="3" t="s">
        <v>1409</v>
      </c>
      <c r="G760" s="3">
        <v>69077</v>
      </c>
      <c r="H760" s="7" t="str">
        <f>HYPERLINK("http://www.ensembl.org/Mus_musculus/Gene/Summary?db=core;g=ENSMUSG00000017428","ENSMUSG00000017428")</f>
        <v>ENSMUSG00000017428</v>
      </c>
      <c r="I760" s="7" t="str">
        <f>HYPERLINK("http://www.informatics.jax.org/marker/MGI:1916327","MGI:1916327")</f>
        <v>MGI:1916327</v>
      </c>
      <c r="J760" s="4" t="s">
        <v>12</v>
      </c>
    </row>
    <row r="761" spans="1:10" x14ac:dyDescent="0.25">
      <c r="A761" s="2">
        <v>4902.1412352768602</v>
      </c>
      <c r="B761" s="3">
        <v>-0.326730809742099</v>
      </c>
      <c r="C761" s="3">
        <v>8.6407691523580899E-4</v>
      </c>
      <c r="D761" s="4">
        <v>1.42705918732117E-2</v>
      </c>
      <c r="E761" s="3" t="s">
        <v>327</v>
      </c>
      <c r="F761" s="3" t="s">
        <v>328</v>
      </c>
      <c r="G761" s="3">
        <v>217069</v>
      </c>
      <c r="H761" s="7" t="str">
        <f>HYPERLINK("http://www.ensembl.org/Mus_musculus/Gene/Summary?db=core;g=ENSMUSG00000000275","ENSMUSG00000000275")</f>
        <v>ENSMUSG00000000275</v>
      </c>
      <c r="I761" s="7" t="str">
        <f>HYPERLINK("http://www.informatics.jax.org/marker/MGI:102749","MGI:102749")</f>
        <v>MGI:102749</v>
      </c>
      <c r="J761" s="4" t="s">
        <v>12</v>
      </c>
    </row>
    <row r="762" spans="1:10" x14ac:dyDescent="0.25">
      <c r="A762" s="2">
        <v>4269.4635380968703</v>
      </c>
      <c r="B762" s="3">
        <v>-0.32757312263469102</v>
      </c>
      <c r="C762" s="3">
        <v>4.5431689680908403E-3</v>
      </c>
      <c r="D762" s="4">
        <v>4.9432701310108497E-2</v>
      </c>
      <c r="E762" s="3" t="s">
        <v>4649</v>
      </c>
      <c r="F762" s="3" t="s">
        <v>4650</v>
      </c>
      <c r="G762" s="3">
        <v>17069</v>
      </c>
      <c r="H762" s="7" t="str">
        <f>HYPERLINK("http://www.ensembl.org/Mus_musculus/Gene/Summary?db=core;g=ENSMUSG00000022587","ENSMUSG00000022587")</f>
        <v>ENSMUSG00000022587</v>
      </c>
      <c r="I762" s="7" t="str">
        <f>HYPERLINK("http://www.informatics.jax.org/marker/MGI:106651","MGI:106651")</f>
        <v>MGI:106651</v>
      </c>
      <c r="J762" s="4" t="s">
        <v>12</v>
      </c>
    </row>
    <row r="763" spans="1:10" x14ac:dyDescent="0.25">
      <c r="A763" s="2">
        <v>491.74476696386301</v>
      </c>
      <c r="B763" s="3">
        <v>-0.32785650995145199</v>
      </c>
      <c r="C763" s="3">
        <v>2.7376357213191698E-4</v>
      </c>
      <c r="D763" s="4">
        <v>6.1335037764296196E-3</v>
      </c>
      <c r="E763" s="3" t="s">
        <v>832</v>
      </c>
      <c r="F763" s="3" t="s">
        <v>833</v>
      </c>
      <c r="G763" s="3">
        <v>101023</v>
      </c>
      <c r="H763" s="7" t="str">
        <f>HYPERLINK("http://www.ensembl.org/Mus_musculus/Gene/Summary?db=core;g=ENSMUSG00000043059","ENSMUSG00000043059")</f>
        <v>ENSMUSG00000043059</v>
      </c>
      <c r="I763" s="7" t="str">
        <f>HYPERLINK("http://www.informatics.jax.org/marker/MGI:2141255","MGI:2141255")</f>
        <v>MGI:2141255</v>
      </c>
      <c r="J763" s="4" t="s">
        <v>12</v>
      </c>
    </row>
    <row r="764" spans="1:10" x14ac:dyDescent="0.25">
      <c r="A764" s="2">
        <v>1437.7522772791699</v>
      </c>
      <c r="B764" s="3">
        <v>-0.32850804989780502</v>
      </c>
      <c r="C764" s="3">
        <v>6.4185670860272099E-4</v>
      </c>
      <c r="D764" s="4">
        <v>1.15318888205348E-2</v>
      </c>
      <c r="E764" s="3" t="s">
        <v>3372</v>
      </c>
      <c r="F764" s="3" t="s">
        <v>3373</v>
      </c>
      <c r="G764" s="3">
        <v>24056</v>
      </c>
      <c r="H764" s="7" t="str">
        <f>HYPERLINK("http://www.ensembl.org/Mus_musculus/Gene/Summary?db=core;g=ENSMUSG00000021892","ENSMUSG00000021892")</f>
        <v>ENSMUSG00000021892</v>
      </c>
      <c r="I764" s="7" t="str">
        <f>HYPERLINK("http://www.informatics.jax.org/marker/MGI:1344391","MGI:1344391")</f>
        <v>MGI:1344391</v>
      </c>
      <c r="J764" s="4" t="s">
        <v>12</v>
      </c>
    </row>
    <row r="765" spans="1:10" x14ac:dyDescent="0.25">
      <c r="A765" s="2">
        <v>1757.1780357942901</v>
      </c>
      <c r="B765" s="3">
        <v>-0.33097237009458502</v>
      </c>
      <c r="C765" s="5">
        <v>3.83344759081297E-6</v>
      </c>
      <c r="D765" s="4">
        <v>2.11969026950435E-4</v>
      </c>
      <c r="E765" s="3" t="s">
        <v>2037</v>
      </c>
      <c r="F765" s="3" t="s">
        <v>2038</v>
      </c>
      <c r="G765" s="3">
        <v>223499</v>
      </c>
      <c r="H765" s="7" t="str">
        <f>HYPERLINK("http://www.ensembl.org/Mus_musculus/Gene/Summary?db=core;g=ENSMUSG00000022300","ENSMUSG00000022300")</f>
        <v>ENSMUSG00000022300</v>
      </c>
      <c r="I765" s="7" t="str">
        <f>HYPERLINK("http://www.informatics.jax.org/marker/MGI:2684929","MGI:2684929")</f>
        <v>MGI:2684929</v>
      </c>
      <c r="J765" s="4" t="s">
        <v>12</v>
      </c>
    </row>
    <row r="766" spans="1:10" x14ac:dyDescent="0.25">
      <c r="A766" s="2">
        <v>1207.30290112436</v>
      </c>
      <c r="B766" s="3">
        <v>-0.33322250651178298</v>
      </c>
      <c r="C766" s="3">
        <v>3.8565323184361501E-4</v>
      </c>
      <c r="D766" s="4">
        <v>7.8772925658181399E-3</v>
      </c>
      <c r="E766" s="3" t="s">
        <v>5553</v>
      </c>
      <c r="F766" s="3" t="s">
        <v>5554</v>
      </c>
      <c r="G766" s="3">
        <v>54394</v>
      </c>
      <c r="H766" s="7" t="str">
        <f>HYPERLINK("http://www.ensembl.org/Mus_musculus/Gene/Summary?db=core;g=ENSMUSG00000017561","ENSMUSG00000017561")</f>
        <v>ENSMUSG00000017561</v>
      </c>
      <c r="I766" s="7" t="str">
        <f>HYPERLINK("http://www.informatics.jax.org/marker/MGI:1860086","MGI:1860086")</f>
        <v>MGI:1860086</v>
      </c>
      <c r="J766" s="4" t="s">
        <v>12</v>
      </c>
    </row>
    <row r="767" spans="1:10" x14ac:dyDescent="0.25">
      <c r="A767" s="2">
        <v>1370.7339879500701</v>
      </c>
      <c r="B767" s="3">
        <v>-0.33661094342359799</v>
      </c>
      <c r="C767" s="3">
        <v>4.9095818834093204E-4</v>
      </c>
      <c r="D767" s="4">
        <v>9.4068257994385993E-3</v>
      </c>
      <c r="E767" s="3" t="s">
        <v>4625</v>
      </c>
      <c r="F767" s="3" t="s">
        <v>4626</v>
      </c>
      <c r="G767" s="3">
        <v>21937</v>
      </c>
      <c r="H767" s="7" t="str">
        <f>HYPERLINK("http://www.ensembl.org/Mus_musculus/Gene/Summary?db=core;g=ENSMUSG00000030341","ENSMUSG00000030341")</f>
        <v>ENSMUSG00000030341</v>
      </c>
      <c r="I767" s="7" t="str">
        <f>HYPERLINK("http://www.informatics.jax.org/marker/MGI:1314884","MGI:1314884")</f>
        <v>MGI:1314884</v>
      </c>
      <c r="J767" s="4" t="s">
        <v>12</v>
      </c>
    </row>
    <row r="768" spans="1:10" x14ac:dyDescent="0.25">
      <c r="A768" s="2">
        <v>4977.7637611166901</v>
      </c>
      <c r="B768" s="3">
        <v>-0.337069225701571</v>
      </c>
      <c r="C768" s="5">
        <v>1.3098411157094799E-5</v>
      </c>
      <c r="D768" s="4">
        <v>5.86923626628867E-4</v>
      </c>
      <c r="E768" s="3" t="s">
        <v>1106</v>
      </c>
      <c r="F768" s="3" t="s">
        <v>1107</v>
      </c>
      <c r="G768" s="3">
        <v>56445</v>
      </c>
      <c r="H768" s="7" t="str">
        <f>HYPERLINK("http://www.ensembl.org/Mus_musculus/Gene/Summary?db=core;g=ENSMUSG00000031701","ENSMUSG00000031701")</f>
        <v>ENSMUSG00000031701</v>
      </c>
      <c r="I768" s="7" t="str">
        <f>HYPERLINK("http://www.informatics.jax.org/marker/MGI:1931882","MGI:1931882")</f>
        <v>MGI:1931882</v>
      </c>
      <c r="J768" s="4" t="s">
        <v>12</v>
      </c>
    </row>
    <row r="769" spans="1:10" x14ac:dyDescent="0.25">
      <c r="A769" s="2">
        <v>5140.3805778419401</v>
      </c>
      <c r="B769" s="3">
        <v>-0.33740773668007901</v>
      </c>
      <c r="C769" s="3">
        <v>2.5889818738118499E-3</v>
      </c>
      <c r="D769" s="4">
        <v>3.3202142685019198E-2</v>
      </c>
      <c r="E769" s="3" t="s">
        <v>960</v>
      </c>
      <c r="F769" s="3" t="s">
        <v>961</v>
      </c>
      <c r="G769" s="3">
        <v>215449</v>
      </c>
      <c r="H769" s="7" t="str">
        <f>HYPERLINK("http://www.ensembl.org/Mus_musculus/Gene/Summary?db=core;g=ENSMUSG00000052681","ENSMUSG00000052681")</f>
        <v>ENSMUSG00000052681</v>
      </c>
      <c r="I769" s="7" t="str">
        <f>HYPERLINK("http://www.informatics.jax.org/marker/MGI:894315","MGI:894315")</f>
        <v>MGI:894315</v>
      </c>
      <c r="J769" s="4" t="s">
        <v>12</v>
      </c>
    </row>
    <row r="770" spans="1:10" x14ac:dyDescent="0.25">
      <c r="A770" s="2">
        <v>259.65551563378398</v>
      </c>
      <c r="B770" s="3">
        <v>-0.33860603043358001</v>
      </c>
      <c r="C770" s="3">
        <v>1.6355022207185899E-3</v>
      </c>
      <c r="D770" s="4">
        <v>2.3371240392338299E-2</v>
      </c>
      <c r="E770" s="3" t="s">
        <v>8619</v>
      </c>
      <c r="F770" s="3" t="s">
        <v>8620</v>
      </c>
      <c r="G770" s="3">
        <v>21339</v>
      </c>
      <c r="H770" s="7" t="str">
        <f>HYPERLINK("http://www.ensembl.org/Mus_musculus/Gene/Summary?db=core;g=ENSMUSG00000072258","ENSMUSG00000072258")</f>
        <v>ENSMUSG00000072258</v>
      </c>
      <c r="I770" s="7" t="str">
        <f>HYPERLINK("http://www.informatics.jax.org/marker/MGI:109578","MGI:109578")</f>
        <v>MGI:109578</v>
      </c>
      <c r="J770" s="4" t="s">
        <v>12</v>
      </c>
    </row>
    <row r="771" spans="1:10" x14ac:dyDescent="0.25">
      <c r="A771" s="2">
        <v>1828.7539699787901</v>
      </c>
      <c r="B771" s="3">
        <v>-0.34051023880150899</v>
      </c>
      <c r="C771" s="5">
        <v>1.8266606543027902E-5</v>
      </c>
      <c r="D771" s="4">
        <v>7.4707099559794595E-4</v>
      </c>
      <c r="E771" s="3" t="s">
        <v>1031</v>
      </c>
      <c r="F771" s="3" t="s">
        <v>1032</v>
      </c>
      <c r="G771" s="3">
        <v>80898</v>
      </c>
      <c r="H771" s="7" t="str">
        <f>HYPERLINK("http://www.ensembl.org/Mus_musculus/Gene/Summary?db=core;g=ENSMUSG00000021583","ENSMUSG00000021583")</f>
        <v>ENSMUSG00000021583</v>
      </c>
      <c r="I771" s="7" t="str">
        <f>HYPERLINK("http://www.informatics.jax.org/marker/MGI:1933403","MGI:1933403")</f>
        <v>MGI:1933403</v>
      </c>
      <c r="J771" s="4" t="s">
        <v>12</v>
      </c>
    </row>
    <row r="772" spans="1:10" x14ac:dyDescent="0.25">
      <c r="A772" s="2">
        <v>2998.2512374128701</v>
      </c>
      <c r="B772" s="3">
        <v>-0.34090628945297302</v>
      </c>
      <c r="C772" s="5">
        <v>6.0434024782961698E-5</v>
      </c>
      <c r="D772" s="4">
        <v>1.8824295847210499E-3</v>
      </c>
      <c r="E772" s="3" t="s">
        <v>67</v>
      </c>
      <c r="F772" s="3" t="s">
        <v>68</v>
      </c>
      <c r="G772" s="3">
        <v>67579</v>
      </c>
      <c r="H772" s="7" t="str">
        <f>HYPERLINK("http://www.ensembl.org/Mus_musculus/Gene/Summary?db=core;g=ENSMUSG00000020300","ENSMUSG00000020300")</f>
        <v>ENSMUSG00000020300</v>
      </c>
      <c r="I772" s="7" t="str">
        <f>HYPERLINK("http://www.informatics.jax.org/marker/MGI:1914829","MGI:1914829")</f>
        <v>MGI:1914829</v>
      </c>
      <c r="J772" s="4" t="s">
        <v>12</v>
      </c>
    </row>
    <row r="773" spans="1:10" x14ac:dyDescent="0.25">
      <c r="A773" s="2">
        <v>2239.7898907648</v>
      </c>
      <c r="B773" s="3">
        <v>-0.34114186460829099</v>
      </c>
      <c r="C773" s="5">
        <v>6.0318496276895102E-5</v>
      </c>
      <c r="D773" s="4">
        <v>1.8824295847210499E-3</v>
      </c>
      <c r="E773" s="3" t="s">
        <v>1638</v>
      </c>
      <c r="F773" s="3" t="s">
        <v>1639</v>
      </c>
      <c r="G773" s="3" t="s">
        <v>83</v>
      </c>
      <c r="H773" s="7" t="str">
        <f>HYPERLINK("http://www.ensembl.org/Mus_musculus/Gene/Summary?db=core;g=ENSMUSG00000098374","ENSMUSG00000098374")</f>
        <v>ENSMUSG00000098374</v>
      </c>
      <c r="I773" s="7" t="str">
        <f>HYPERLINK("http://www.informatics.jax.org/marker/MGI:5547779","MGI:5547779")</f>
        <v>MGI:5547779</v>
      </c>
      <c r="J773" s="4" t="s">
        <v>12</v>
      </c>
    </row>
    <row r="774" spans="1:10" x14ac:dyDescent="0.25">
      <c r="A774" s="2">
        <v>863.50765790601099</v>
      </c>
      <c r="B774" s="3">
        <v>-0.34120844499812802</v>
      </c>
      <c r="C774" s="3">
        <v>2.79635890932948E-4</v>
      </c>
      <c r="D774" s="4">
        <v>6.2278512184611202E-3</v>
      </c>
      <c r="E774" s="3" t="s">
        <v>2125</v>
      </c>
      <c r="F774" s="3" t="s">
        <v>2126</v>
      </c>
      <c r="G774" s="3">
        <v>75909</v>
      </c>
      <c r="H774" s="7" t="str">
        <f>HYPERLINK("http://www.ensembl.org/Mus_musculus/Gene/Summary?db=core;g=ENSMUSG00000018171","ENSMUSG00000018171")</f>
        <v>ENSMUSG00000018171</v>
      </c>
      <c r="I774" s="7" t="str">
        <f>HYPERLINK("http://www.informatics.jax.org/marker/MGI:1923159","MGI:1923159")</f>
        <v>MGI:1923159</v>
      </c>
      <c r="J774" s="4" t="s">
        <v>12</v>
      </c>
    </row>
    <row r="775" spans="1:10" x14ac:dyDescent="0.25">
      <c r="A775" s="2">
        <v>605.67599938359797</v>
      </c>
      <c r="B775" s="3">
        <v>-0.34259314633756199</v>
      </c>
      <c r="C775" s="3">
        <v>1.47817715271103E-3</v>
      </c>
      <c r="D775" s="4">
        <v>2.1703731640392899E-2</v>
      </c>
      <c r="E775" s="3" t="s">
        <v>2760</v>
      </c>
      <c r="F775" s="3" t="s">
        <v>2761</v>
      </c>
      <c r="G775" s="3">
        <v>109815</v>
      </c>
      <c r="H775" s="7" t="str">
        <f>HYPERLINK("http://www.ensembl.org/Mus_musculus/Gene/Summary?db=core;g=ENSMUSG00000075701","ENSMUSG00000075701")</f>
        <v>ENSMUSG00000075701</v>
      </c>
      <c r="I775" s="7" t="str">
        <f>HYPERLINK("http://www.informatics.jax.org/marker/MGI:95994","MGI:95994")</f>
        <v>MGI:95994</v>
      </c>
      <c r="J775" s="4" t="s">
        <v>12</v>
      </c>
    </row>
    <row r="776" spans="1:10" x14ac:dyDescent="0.25">
      <c r="A776" s="2">
        <v>5356.12330466616</v>
      </c>
      <c r="B776" s="3">
        <v>-0.34273752630755699</v>
      </c>
      <c r="C776" s="3">
        <v>1.9311527186082001E-3</v>
      </c>
      <c r="D776" s="4">
        <v>2.6584669065099702E-2</v>
      </c>
      <c r="E776" s="3" t="s">
        <v>2047</v>
      </c>
      <c r="F776" s="3" t="s">
        <v>2048</v>
      </c>
      <c r="G776" s="3">
        <v>27060</v>
      </c>
      <c r="H776" s="7" t="str">
        <f>HYPERLINK("http://www.ensembl.org/Mus_musculus/Gene/Summary?db=core;g=ENSMUSG00000001750","ENSMUSG00000001750")</f>
        <v>ENSMUSG00000001750</v>
      </c>
      <c r="I776" s="7" t="str">
        <f>HYPERLINK("http://www.informatics.jax.org/marker/MGI:1350931","MGI:1350931")</f>
        <v>MGI:1350931</v>
      </c>
      <c r="J776" s="4" t="s">
        <v>12</v>
      </c>
    </row>
    <row r="777" spans="1:10" x14ac:dyDescent="0.25">
      <c r="A777" s="2">
        <v>2271.19427940279</v>
      </c>
      <c r="B777" s="3">
        <v>-0.34402294745681999</v>
      </c>
      <c r="C777" s="5">
        <v>4.33477158437564E-5</v>
      </c>
      <c r="D777" s="4">
        <v>1.4818594531754701E-3</v>
      </c>
      <c r="E777" s="3" t="s">
        <v>940</v>
      </c>
      <c r="F777" s="3" t="s">
        <v>941</v>
      </c>
      <c r="G777" s="3">
        <v>74157</v>
      </c>
      <c r="H777" s="7" t="str">
        <f>HYPERLINK("http://www.ensembl.org/Mus_musculus/Gene/Summary?db=core;g=ENSMUSG00000024019","ENSMUSG00000024019")</f>
        <v>ENSMUSG00000024019</v>
      </c>
      <c r="I777" s="7" t="str">
        <f>HYPERLINK("http://www.informatics.jax.org/marker/MGI:1921407","MGI:1921407")</f>
        <v>MGI:1921407</v>
      </c>
      <c r="J777" s="4" t="s">
        <v>12</v>
      </c>
    </row>
    <row r="778" spans="1:10" x14ac:dyDescent="0.25">
      <c r="A778" s="2">
        <v>3608.87890514732</v>
      </c>
      <c r="B778" s="3">
        <v>-0.34436916439635601</v>
      </c>
      <c r="C778" s="5">
        <v>6.5105588509399899E-8</v>
      </c>
      <c r="D778" s="6">
        <v>8.3209381132411502E-6</v>
      </c>
      <c r="E778" s="3" t="s">
        <v>73</v>
      </c>
      <c r="F778" s="3" t="s">
        <v>74</v>
      </c>
      <c r="G778" s="3">
        <v>78781</v>
      </c>
      <c r="H778" s="7" t="str">
        <f>HYPERLINK("http://www.ensembl.org/Mus_musculus/Gene/Summary?db=core;g=ENSMUSG00000029826","ENSMUSG00000029826")</f>
        <v>ENSMUSG00000029826</v>
      </c>
      <c r="I778" s="7" t="str">
        <f>HYPERLINK("http://www.informatics.jax.org/marker/MGI:1926031","MGI:1926031")</f>
        <v>MGI:1926031</v>
      </c>
      <c r="J778" s="4" t="s">
        <v>12</v>
      </c>
    </row>
    <row r="779" spans="1:10" x14ac:dyDescent="0.25">
      <c r="A779" s="2">
        <v>5138.7250576240804</v>
      </c>
      <c r="B779" s="3">
        <v>-0.34513037634152299</v>
      </c>
      <c r="C779" s="5">
        <v>5.4224284083173696E-7</v>
      </c>
      <c r="D779" s="6">
        <v>4.5511979334586203E-5</v>
      </c>
      <c r="E779" s="3" t="s">
        <v>110</v>
      </c>
      <c r="F779" s="3" t="s">
        <v>111</v>
      </c>
      <c r="G779" s="3">
        <v>17250</v>
      </c>
      <c r="H779" s="7" t="str">
        <f>HYPERLINK("http://www.ensembl.org/Mus_musculus/Gene/Summary?db=core;g=ENSMUSG00000023088","ENSMUSG00000023088")</f>
        <v>ENSMUSG00000023088</v>
      </c>
      <c r="I779" s="7" t="str">
        <f>HYPERLINK("http://www.informatics.jax.org/marker/MGI:102676","MGI:102676")</f>
        <v>MGI:102676</v>
      </c>
      <c r="J779" s="4" t="s">
        <v>12</v>
      </c>
    </row>
    <row r="780" spans="1:10" x14ac:dyDescent="0.25">
      <c r="A780" s="2">
        <v>878.41760998613404</v>
      </c>
      <c r="B780" s="3">
        <v>-0.34567195566717301</v>
      </c>
      <c r="C780" s="3">
        <v>5.9107485786351896E-4</v>
      </c>
      <c r="D780" s="4">
        <v>1.08802273754353E-2</v>
      </c>
      <c r="E780" s="3" t="s">
        <v>1594</v>
      </c>
      <c r="F780" s="3" t="s">
        <v>1595</v>
      </c>
      <c r="G780" s="3">
        <v>53619</v>
      </c>
      <c r="H780" s="7" t="str">
        <f>HYPERLINK("http://www.ensembl.org/Mus_musculus/Gene/Summary?db=core;g=ENSMUSG00000067787","ENSMUSG00000067787")</f>
        <v>ENSMUSG00000067787</v>
      </c>
      <c r="I780" s="7" t="str">
        <f>HYPERLINK("http://www.informatics.jax.org/marker/MGI:1858907","MGI:1858907")</f>
        <v>MGI:1858907</v>
      </c>
      <c r="J780" s="4" t="s">
        <v>12</v>
      </c>
    </row>
    <row r="781" spans="1:10" x14ac:dyDescent="0.25">
      <c r="A781" s="2">
        <v>3577.74903492762</v>
      </c>
      <c r="B781" s="3">
        <v>-0.347315369787767</v>
      </c>
      <c r="C781" s="3">
        <v>4.0142109133401299E-3</v>
      </c>
      <c r="D781" s="4">
        <v>4.5374703660639698E-2</v>
      </c>
      <c r="E781" s="3" t="s">
        <v>1851</v>
      </c>
      <c r="F781" s="3" t="s">
        <v>1852</v>
      </c>
      <c r="G781" s="3">
        <v>16648</v>
      </c>
      <c r="H781" s="7" t="str">
        <f>HYPERLINK("http://www.ensembl.org/Mus_musculus/Gene/Summary?db=core;g=ENSMUSG00000021929","ENSMUSG00000021929")</f>
        <v>ENSMUSG00000021929</v>
      </c>
      <c r="I781" s="7" t="str">
        <f>HYPERLINK("http://www.informatics.jax.org/marker/MGI:1100863","MGI:1100863")</f>
        <v>MGI:1100863</v>
      </c>
      <c r="J781" s="4" t="s">
        <v>12</v>
      </c>
    </row>
    <row r="782" spans="1:10" x14ac:dyDescent="0.25">
      <c r="A782" s="2">
        <v>5390.4230885685802</v>
      </c>
      <c r="B782" s="3">
        <v>-0.34761087237498101</v>
      </c>
      <c r="C782" s="3">
        <v>5.0492722882152603E-4</v>
      </c>
      <c r="D782" s="4">
        <v>9.5765877614767403E-3</v>
      </c>
      <c r="E782" s="3" t="s">
        <v>608</v>
      </c>
      <c r="F782" s="3" t="s">
        <v>609</v>
      </c>
      <c r="G782" s="3">
        <v>15982</v>
      </c>
      <c r="H782" s="7" t="str">
        <f>HYPERLINK("http://www.ensembl.org/Mus_musculus/Gene/Summary?db=core;g=ENSMUSG00000001627","ENSMUSG00000001627")</f>
        <v>ENSMUSG00000001627</v>
      </c>
      <c r="I782" s="7" t="str">
        <f>HYPERLINK("http://www.informatics.jax.org/marker/MGI:1316717","MGI:1316717")</f>
        <v>MGI:1316717</v>
      </c>
      <c r="J782" s="4" t="s">
        <v>12</v>
      </c>
    </row>
    <row r="783" spans="1:10" x14ac:dyDescent="0.25">
      <c r="A783" s="2">
        <v>4700.0232678673301</v>
      </c>
      <c r="B783" s="3">
        <v>-0.34773672903377401</v>
      </c>
      <c r="C783" s="5">
        <v>1.63700584505E-7</v>
      </c>
      <c r="D783" s="6">
        <v>1.76425223770611E-5</v>
      </c>
      <c r="E783" s="3" t="s">
        <v>23</v>
      </c>
      <c r="F783" s="3" t="s">
        <v>24</v>
      </c>
      <c r="G783" s="3">
        <v>320207</v>
      </c>
      <c r="H783" s="7" t="str">
        <f>HYPERLINK("http://www.ensembl.org/Mus_musculus/Gene/Summary?db=core;g=ENSMUSG00000020901","ENSMUSG00000020901")</f>
        <v>ENSMUSG00000020901</v>
      </c>
      <c r="I783" s="7" t="str">
        <f>HYPERLINK("http://www.informatics.jax.org/marker/MGI:2443588","MGI:2443588")</f>
        <v>MGI:2443588</v>
      </c>
      <c r="J783" s="4" t="s">
        <v>12</v>
      </c>
    </row>
    <row r="784" spans="1:10" x14ac:dyDescent="0.25">
      <c r="A784" s="2">
        <v>3590.2106259730299</v>
      </c>
      <c r="B784" s="3">
        <v>-0.348158650899695</v>
      </c>
      <c r="C784" s="5">
        <v>1.85825537878229E-10</v>
      </c>
      <c r="D784" s="6">
        <v>7.4642136589872995E-8</v>
      </c>
      <c r="E784" s="3" t="s">
        <v>846</v>
      </c>
      <c r="F784" s="3" t="s">
        <v>847</v>
      </c>
      <c r="G784" s="3">
        <v>17187</v>
      </c>
      <c r="H784" s="7" t="str">
        <f>HYPERLINK("http://www.ensembl.org/Mus_musculus/Gene/Summary?db=core;g=ENSMUSG00000059436","ENSMUSG00000059436")</f>
        <v>ENSMUSG00000059436</v>
      </c>
      <c r="I784" s="7" t="str">
        <f>HYPERLINK("http://www.informatics.jax.org/marker/MGI:96921","MGI:96921")</f>
        <v>MGI:96921</v>
      </c>
      <c r="J784" s="4" t="s">
        <v>12</v>
      </c>
    </row>
    <row r="785" spans="1:10" x14ac:dyDescent="0.25">
      <c r="A785" s="2">
        <v>633.26026201163404</v>
      </c>
      <c r="B785" s="3">
        <v>-0.34954677625008002</v>
      </c>
      <c r="C785" s="3">
        <v>2.10742840367072E-4</v>
      </c>
      <c r="D785" s="4">
        <v>4.98994679075464E-3</v>
      </c>
      <c r="E785" s="3" t="s">
        <v>3686</v>
      </c>
      <c r="F785" s="3" t="s">
        <v>3687</v>
      </c>
      <c r="G785" s="3">
        <v>14854</v>
      </c>
      <c r="H785" s="7" t="str">
        <f>HYPERLINK("http://www.ensembl.org/Mus_musculus/Gene/Summary?db=core;g=ENSMUSG00000027610","ENSMUSG00000027610")</f>
        <v>ENSMUSG00000027610</v>
      </c>
      <c r="I785" s="7" t="str">
        <f>HYPERLINK("http://www.informatics.jax.org/marker/MGI:95852","MGI:95852")</f>
        <v>MGI:95852</v>
      </c>
      <c r="J785" s="4" t="s">
        <v>12</v>
      </c>
    </row>
    <row r="786" spans="1:10" x14ac:dyDescent="0.25">
      <c r="A786" s="2">
        <v>681.03276914275796</v>
      </c>
      <c r="B786" s="3">
        <v>-0.35056129295692201</v>
      </c>
      <c r="C786" s="3">
        <v>3.1082482121700202E-4</v>
      </c>
      <c r="D786" s="4">
        <v>6.7357355765464803E-3</v>
      </c>
      <c r="E786" s="3" t="s">
        <v>1794</v>
      </c>
      <c r="F786" s="3" t="s">
        <v>1795</v>
      </c>
      <c r="G786" s="3">
        <v>226122</v>
      </c>
      <c r="H786" s="7" t="str">
        <f>HYPERLINK("http://www.ensembl.org/Mus_musculus/Gene/Summary?db=core;g=ENSMUSG00000025171","ENSMUSG00000025171")</f>
        <v>ENSMUSG00000025171</v>
      </c>
      <c r="I786" s="7" t="str">
        <f>HYPERLINK("http://www.informatics.jax.org/marker/MGI:2385092","MGI:2385092")</f>
        <v>MGI:2385092</v>
      </c>
      <c r="J786" s="4" t="s">
        <v>12</v>
      </c>
    </row>
    <row r="787" spans="1:10" x14ac:dyDescent="0.25">
      <c r="A787" s="2">
        <v>2124.5501504906301</v>
      </c>
      <c r="B787" s="3">
        <v>-0.35183051865104598</v>
      </c>
      <c r="C787" s="3">
        <v>1.38170752756962E-4</v>
      </c>
      <c r="D787" s="4">
        <v>3.4905151150214902E-3</v>
      </c>
      <c r="E787" s="3" t="s">
        <v>906</v>
      </c>
      <c r="F787" s="3" t="s">
        <v>907</v>
      </c>
      <c r="G787" s="3">
        <v>60406</v>
      </c>
      <c r="H787" s="7" t="str">
        <f>HYPERLINK("http://www.ensembl.org/Mus_musculus/Gene/Summary?db=core;g=ENSMUSG00000031609","ENSMUSG00000031609")</f>
        <v>ENSMUSG00000031609</v>
      </c>
      <c r="I787" s="7" t="str">
        <f>HYPERLINK("http://www.informatics.jax.org/marker/MGI:1929129","MGI:1929129")</f>
        <v>MGI:1929129</v>
      </c>
      <c r="J787" s="4" t="s">
        <v>12</v>
      </c>
    </row>
    <row r="788" spans="1:10" x14ac:dyDescent="0.25">
      <c r="A788" s="2">
        <v>628.05131077688304</v>
      </c>
      <c r="B788" s="3">
        <v>-0.35210264239767403</v>
      </c>
      <c r="C788" s="3">
        <v>3.5169089398068997E-4</v>
      </c>
      <c r="D788" s="4">
        <v>7.3385296560312197E-3</v>
      </c>
      <c r="E788" s="3" t="s">
        <v>6655</v>
      </c>
      <c r="F788" s="3" t="s">
        <v>6656</v>
      </c>
      <c r="G788" s="3">
        <v>12572</v>
      </c>
      <c r="H788" s="7" t="str">
        <f>HYPERLINK("http://www.ensembl.org/Mus_musculus/Gene/Summary?db=core;g=ENSMUSG00000069089","ENSMUSG00000069089")</f>
        <v>ENSMUSG00000069089</v>
      </c>
      <c r="I788" s="7" t="str">
        <f>HYPERLINK("http://www.informatics.jax.org/marker/MGI:102956","MGI:102956")</f>
        <v>MGI:102956</v>
      </c>
      <c r="J788" s="4" t="s">
        <v>12</v>
      </c>
    </row>
    <row r="789" spans="1:10" x14ac:dyDescent="0.25">
      <c r="A789" s="2">
        <v>3193.3931560527299</v>
      </c>
      <c r="B789" s="3">
        <v>-0.35321347207947901</v>
      </c>
      <c r="C789" s="3">
        <v>1.5290150710386E-3</v>
      </c>
      <c r="D789" s="4">
        <v>2.2218129850092E-2</v>
      </c>
      <c r="E789" s="3" t="s">
        <v>10046</v>
      </c>
      <c r="F789" s="3" t="s">
        <v>10047</v>
      </c>
      <c r="G789" s="3">
        <v>98878</v>
      </c>
      <c r="H789" s="7" t="str">
        <f>HYPERLINK("http://www.ensembl.org/Mus_musculus/Gene/Summary?db=core;g=ENSMUSG00000027293","ENSMUSG00000027293")</f>
        <v>ENSMUSG00000027293</v>
      </c>
      <c r="I789" s="7" t="str">
        <f>HYPERLINK("http://www.informatics.jax.org/marker/MGI:1919619","MGI:1919619")</f>
        <v>MGI:1919619</v>
      </c>
      <c r="J789" s="4" t="s">
        <v>12</v>
      </c>
    </row>
    <row r="790" spans="1:10" x14ac:dyDescent="0.25">
      <c r="A790" s="2">
        <v>732.05148585062602</v>
      </c>
      <c r="B790" s="3">
        <v>-0.35326542745501299</v>
      </c>
      <c r="C790" s="3">
        <v>6.5260718089334396E-4</v>
      </c>
      <c r="D790" s="4">
        <v>1.1613723043524401E-2</v>
      </c>
      <c r="E790" s="3" t="s">
        <v>3230</v>
      </c>
      <c r="F790" s="3" t="s">
        <v>3231</v>
      </c>
      <c r="G790" s="3">
        <v>67179</v>
      </c>
      <c r="H790" s="7" t="str">
        <f>HYPERLINK("http://www.ensembl.org/Mus_musculus/Gene/Summary?db=core;g=ENSMUSG00000022035","ENSMUSG00000022035")</f>
        <v>ENSMUSG00000022035</v>
      </c>
      <c r="I790" s="7" t="str">
        <f>HYPERLINK("http://www.informatics.jax.org/marker/MGI:1914429","MGI:1914429")</f>
        <v>MGI:1914429</v>
      </c>
      <c r="J790" s="4" t="s">
        <v>12</v>
      </c>
    </row>
    <row r="791" spans="1:10" x14ac:dyDescent="0.25">
      <c r="A791" s="2">
        <v>641.28711613123801</v>
      </c>
      <c r="B791" s="3">
        <v>-0.35339225902257199</v>
      </c>
      <c r="C791" s="3">
        <v>3.3531334679581201E-3</v>
      </c>
      <c r="D791" s="4">
        <v>3.9781320795490502E-2</v>
      </c>
      <c r="E791" s="3" t="s">
        <v>1728</v>
      </c>
      <c r="F791" s="3" t="s">
        <v>1729</v>
      </c>
      <c r="G791" s="3">
        <v>12524</v>
      </c>
      <c r="H791" s="7" t="str">
        <f>HYPERLINK("http://www.ensembl.org/Mus_musculus/Gene/Summary?db=core;g=ENSMUSG00000022901","ENSMUSG00000022901")</f>
        <v>ENSMUSG00000022901</v>
      </c>
      <c r="I791" s="7" t="str">
        <f>HYPERLINK("http://www.informatics.jax.org/marker/MGI:101773","MGI:101773")</f>
        <v>MGI:101773</v>
      </c>
      <c r="J791" s="4" t="s">
        <v>12</v>
      </c>
    </row>
    <row r="792" spans="1:10" x14ac:dyDescent="0.25">
      <c r="A792" s="2">
        <v>1060.2946025599399</v>
      </c>
      <c r="B792" s="3">
        <v>-0.355442585724703</v>
      </c>
      <c r="C792" s="3">
        <v>3.6736572733214999E-3</v>
      </c>
      <c r="D792" s="4">
        <v>4.2771866825100299E-2</v>
      </c>
      <c r="E792" s="3" t="s">
        <v>5395</v>
      </c>
      <c r="F792" s="3" t="s">
        <v>5396</v>
      </c>
      <c r="G792" s="3">
        <v>269682</v>
      </c>
      <c r="H792" s="7" t="str">
        <f>HYPERLINK("http://www.ensembl.org/Mus_musculus/Gene/Summary?db=core;g=ENSMUSG00000029502","ENSMUSG00000029502")</f>
        <v>ENSMUSG00000029502</v>
      </c>
      <c r="I792" s="7" t="str">
        <f>HYPERLINK("http://www.informatics.jax.org/marker/MGI:96958","MGI:96958")</f>
        <v>MGI:96958</v>
      </c>
      <c r="J792" s="4" t="s">
        <v>12</v>
      </c>
    </row>
    <row r="793" spans="1:10" x14ac:dyDescent="0.25">
      <c r="A793" s="2">
        <v>1095.76548543235</v>
      </c>
      <c r="B793" s="3">
        <v>-0.356176011285328</v>
      </c>
      <c r="C793" s="5">
        <v>2.4408550857182301E-5</v>
      </c>
      <c r="D793" s="4">
        <v>9.4014716263948305E-4</v>
      </c>
      <c r="E793" s="3" t="s">
        <v>762</v>
      </c>
      <c r="F793" s="3" t="s">
        <v>763</v>
      </c>
      <c r="G793" s="3">
        <v>21376</v>
      </c>
      <c r="H793" s="7" t="str">
        <f>HYPERLINK("http://www.ensembl.org/Mus_musculus/Gene/Summary?db=core;g=ENSMUSG00000011114","ENSMUSG00000011114")</f>
        <v>ENSMUSG00000011114</v>
      </c>
      <c r="I793" s="7" t="str">
        <f>HYPERLINK("http://www.informatics.jax.org/marker/MGI:1100877","MGI:1100877")</f>
        <v>MGI:1100877</v>
      </c>
      <c r="J793" s="4" t="s">
        <v>12</v>
      </c>
    </row>
    <row r="794" spans="1:10" x14ac:dyDescent="0.25">
      <c r="A794" s="2">
        <v>763.16075684904001</v>
      </c>
      <c r="B794" s="3">
        <v>-0.35621843128622799</v>
      </c>
      <c r="C794" s="3">
        <v>3.9806124386750899E-3</v>
      </c>
      <c r="D794" s="4">
        <v>4.5040189233177798E-2</v>
      </c>
      <c r="E794" s="3" t="s">
        <v>414</v>
      </c>
      <c r="F794" s="3" t="s">
        <v>415</v>
      </c>
      <c r="G794" s="3">
        <v>97287</v>
      </c>
      <c r="H794" s="7" t="str">
        <f>HYPERLINK("http://www.ensembl.org/Mus_musculus/Gene/Summary?db=core;g=ENSMUSG00000030269","ENSMUSG00000030269")</f>
        <v>ENSMUSG00000030269</v>
      </c>
      <c r="I794" s="7" t="str">
        <f>HYPERLINK("http://www.informatics.jax.org/marker/MGI:1916075","MGI:1916075")</f>
        <v>MGI:1916075</v>
      </c>
      <c r="J794" s="4" t="s">
        <v>12</v>
      </c>
    </row>
    <row r="795" spans="1:10" x14ac:dyDescent="0.25">
      <c r="A795" s="2">
        <v>1793.2442030263901</v>
      </c>
      <c r="B795" s="3">
        <v>-0.357411730406483</v>
      </c>
      <c r="C795" s="3">
        <v>2.7213972099967201E-3</v>
      </c>
      <c r="D795" s="4">
        <v>3.4160216987536997E-2</v>
      </c>
      <c r="E795" s="3" t="s">
        <v>2135</v>
      </c>
      <c r="F795" s="3" t="s">
        <v>2136</v>
      </c>
      <c r="G795" s="3">
        <v>17060</v>
      </c>
      <c r="H795" s="7" t="str">
        <f>HYPERLINK("http://www.ensembl.org/Mus_musculus/Gene/Summary?db=core;g=ENSMUSG00000061132","ENSMUSG00000061132")</f>
        <v>ENSMUSG00000061132</v>
      </c>
      <c r="I795" s="7" t="str">
        <f>HYPERLINK("http://www.informatics.jax.org/marker/MGI:96878","MGI:96878")</f>
        <v>MGI:96878</v>
      </c>
      <c r="J795" s="4" t="s">
        <v>12</v>
      </c>
    </row>
    <row r="796" spans="1:10" x14ac:dyDescent="0.25">
      <c r="A796" s="2">
        <v>824.58147350462298</v>
      </c>
      <c r="B796" s="3">
        <v>-0.35794743593895101</v>
      </c>
      <c r="C796" s="3">
        <v>4.8913674614227702E-4</v>
      </c>
      <c r="D796" s="4">
        <v>9.3879197676829205E-3</v>
      </c>
      <c r="E796" s="3" t="s">
        <v>3898</v>
      </c>
      <c r="F796" s="3" t="s">
        <v>3899</v>
      </c>
      <c r="G796" s="3">
        <v>59045</v>
      </c>
      <c r="H796" s="7" t="str">
        <f>HYPERLINK("http://www.ensembl.org/Mus_musculus/Gene/Summary?db=core;g=ENSMUSG00000018167","ENSMUSG00000018167")</f>
        <v>ENSMUSG00000018167</v>
      </c>
      <c r="I796" s="7" t="str">
        <f>HYPERLINK("http://www.informatics.jax.org/marker/MGI:1929618","MGI:1929618")</f>
        <v>MGI:1929618</v>
      </c>
      <c r="J796" s="4" t="s">
        <v>12</v>
      </c>
    </row>
    <row r="797" spans="1:10" x14ac:dyDescent="0.25">
      <c r="A797" s="2">
        <v>1760.3859109411301</v>
      </c>
      <c r="B797" s="3">
        <v>-0.35857670086462701</v>
      </c>
      <c r="C797" s="5">
        <v>1.4698271841693399E-6</v>
      </c>
      <c r="D797" s="4">
        <v>1.0079967280702799E-4</v>
      </c>
      <c r="E797" s="3" t="s">
        <v>544</v>
      </c>
      <c r="F797" s="3" t="s">
        <v>545</v>
      </c>
      <c r="G797" s="3">
        <v>12122</v>
      </c>
      <c r="H797" s="7" t="str">
        <f>HYPERLINK("http://www.ensembl.org/Mus_musculus/Gene/Summary?db=core;g=ENSMUSG00000004446","ENSMUSG00000004446")</f>
        <v>ENSMUSG00000004446</v>
      </c>
      <c r="I797" s="7" t="str">
        <f>HYPERLINK("http://www.informatics.jax.org/marker/MGI:108093","MGI:108093")</f>
        <v>MGI:108093</v>
      </c>
      <c r="J797" s="4" t="s">
        <v>12</v>
      </c>
    </row>
    <row r="798" spans="1:10" x14ac:dyDescent="0.25">
      <c r="A798" s="2">
        <v>350.44539404398199</v>
      </c>
      <c r="B798" s="3">
        <v>-0.360702517291217</v>
      </c>
      <c r="C798" s="3">
        <v>2.7695068158740499E-3</v>
      </c>
      <c r="D798" s="4">
        <v>3.4592789125568603E-2</v>
      </c>
      <c r="E798" s="3" t="s">
        <v>5183</v>
      </c>
      <c r="F798" s="3" t="s">
        <v>5184</v>
      </c>
      <c r="G798" s="3">
        <v>72886</v>
      </c>
      <c r="H798" s="7" t="str">
        <f>HYPERLINK("http://www.ensembl.org/Mus_musculus/Gene/Summary?db=core;g=ENSMUSG00000003208","ENSMUSG00000003208")</f>
        <v>ENSMUSG00000003208</v>
      </c>
      <c r="I798" s="7" t="str">
        <f>HYPERLINK("http://www.informatics.jax.org/marker/MGI:1920136","MGI:1920136")</f>
        <v>MGI:1920136</v>
      </c>
      <c r="J798" s="4" t="s">
        <v>12</v>
      </c>
    </row>
    <row r="799" spans="1:10" x14ac:dyDescent="0.25">
      <c r="A799" s="2">
        <v>783.84929841152302</v>
      </c>
      <c r="B799" s="3">
        <v>-0.36215362870270001</v>
      </c>
      <c r="C799" s="5">
        <v>4.7295300943207102E-5</v>
      </c>
      <c r="D799" s="4">
        <v>1.58785149166642E-3</v>
      </c>
      <c r="E799" s="3" t="s">
        <v>1536</v>
      </c>
      <c r="F799" s="3" t="s">
        <v>1537</v>
      </c>
      <c r="G799" s="3">
        <v>230734</v>
      </c>
      <c r="H799" s="7" t="str">
        <f>HYPERLINK("http://www.ensembl.org/Mus_musculus/Gene/Summary?db=core;g=ENSMUSG00000028889","ENSMUSG00000028889")</f>
        <v>ENSMUSG00000028889</v>
      </c>
      <c r="I799" s="7" t="str">
        <f>HYPERLINK("http://www.informatics.jax.org/marker/MGI:2387201","MGI:2387201")</f>
        <v>MGI:2387201</v>
      </c>
      <c r="J799" s="4" t="s">
        <v>12</v>
      </c>
    </row>
    <row r="800" spans="1:10" x14ac:dyDescent="0.25">
      <c r="A800" s="2">
        <v>1278.31045889911</v>
      </c>
      <c r="B800" s="3">
        <v>-0.362957083292133</v>
      </c>
      <c r="C800" s="3">
        <v>2.0222717290228798E-3</v>
      </c>
      <c r="D800" s="4">
        <v>2.7502406452624299E-2</v>
      </c>
      <c r="E800" s="3" t="s">
        <v>6730</v>
      </c>
      <c r="F800" s="3" t="s">
        <v>6731</v>
      </c>
      <c r="G800" s="3">
        <v>74123</v>
      </c>
      <c r="H800" s="7" t="str">
        <f>HYPERLINK("http://www.ensembl.org/Mus_musculus/Gene/Summary?db=core;g=ENSMUSG00000023991","ENSMUSG00000023991")</f>
        <v>ENSMUSG00000023991</v>
      </c>
      <c r="I800" s="7" t="str">
        <f>HYPERLINK("http://www.informatics.jax.org/marker/MGI:1921373","MGI:1921373")</f>
        <v>MGI:1921373</v>
      </c>
      <c r="J800" s="4" t="s">
        <v>12</v>
      </c>
    </row>
    <row r="801" spans="1:10" x14ac:dyDescent="0.25">
      <c r="A801" s="2">
        <v>1303.41011350945</v>
      </c>
      <c r="B801" s="3">
        <v>-0.36546721245946401</v>
      </c>
      <c r="C801" s="5">
        <v>7.4374555849525997E-5</v>
      </c>
      <c r="D801" s="4">
        <v>2.1559036846381901E-3</v>
      </c>
      <c r="E801" s="3" t="s">
        <v>268</v>
      </c>
      <c r="F801" s="3" t="s">
        <v>269</v>
      </c>
      <c r="G801" s="3">
        <v>229675</v>
      </c>
      <c r="H801" s="7" t="str">
        <f>HYPERLINK("http://www.ensembl.org/Mus_musculus/Gene/Summary?db=core;g=ENSMUSG00000044098","ENSMUSG00000044098")</f>
        <v>ENSMUSG00000044098</v>
      </c>
      <c r="I801" s="7" t="str">
        <f>HYPERLINK("http://www.informatics.jax.org/marker/MGI:2444993","MGI:2444993")</f>
        <v>MGI:2444993</v>
      </c>
      <c r="J801" s="4" t="s">
        <v>12</v>
      </c>
    </row>
    <row r="802" spans="1:10" x14ac:dyDescent="0.25">
      <c r="A802" s="2">
        <v>572.19540765819602</v>
      </c>
      <c r="B802" s="3">
        <v>-0.36793184741463802</v>
      </c>
      <c r="C802" s="3">
        <v>2.0918373139616501E-4</v>
      </c>
      <c r="D802" s="4">
        <v>4.9634798038241798E-3</v>
      </c>
      <c r="E802" s="3" t="s">
        <v>148</v>
      </c>
      <c r="F802" s="3" t="s">
        <v>149</v>
      </c>
      <c r="G802" s="3">
        <v>73205</v>
      </c>
      <c r="H802" s="7" t="str">
        <f>HYPERLINK("http://www.ensembl.org/Mus_musculus/Gene/Summary?db=core;g=ENSMUSG00000028300","ENSMUSG00000028300")</f>
        <v>ENSMUSG00000028300</v>
      </c>
      <c r="I802" s="7" t="str">
        <f>HYPERLINK("http://www.informatics.jax.org/marker/MGI:1920455","MGI:1920455")</f>
        <v>MGI:1920455</v>
      </c>
      <c r="J802" s="4" t="s">
        <v>12</v>
      </c>
    </row>
    <row r="803" spans="1:10" x14ac:dyDescent="0.25">
      <c r="A803" s="2">
        <v>1043.4965290678199</v>
      </c>
      <c r="B803" s="3">
        <v>-0.36925273233367101</v>
      </c>
      <c r="C803" s="3">
        <v>1.7385073046386099E-3</v>
      </c>
      <c r="D803" s="4">
        <v>2.45332392161485E-2</v>
      </c>
      <c r="E803" s="3" t="s">
        <v>6283</v>
      </c>
      <c r="F803" s="3" t="s">
        <v>6284</v>
      </c>
      <c r="G803" s="3">
        <v>245944</v>
      </c>
      <c r="H803" s="7" t="str">
        <f>HYPERLINK("http://www.ensembl.org/Mus_musculus/Gene/Summary?db=core;g=ENSMUSG00000020128","ENSMUSG00000020128")</f>
        <v>ENSMUSG00000020128</v>
      </c>
      <c r="I803" s="7" t="str">
        <f>HYPERLINK("http://www.informatics.jax.org/marker/MGI:2178798","MGI:2178798")</f>
        <v>MGI:2178798</v>
      </c>
      <c r="J803" s="4" t="s">
        <v>12</v>
      </c>
    </row>
    <row r="804" spans="1:10" x14ac:dyDescent="0.25">
      <c r="A804" s="2">
        <v>1973.5776160189901</v>
      </c>
      <c r="B804" s="3">
        <v>-0.37154176833863101</v>
      </c>
      <c r="C804" s="5">
        <v>5.3053639649780302E-5</v>
      </c>
      <c r="D804" s="4">
        <v>1.71227048513646E-3</v>
      </c>
      <c r="E804" s="3" t="s">
        <v>656</v>
      </c>
      <c r="F804" s="3" t="s">
        <v>657</v>
      </c>
      <c r="G804" s="3">
        <v>27416</v>
      </c>
      <c r="H804" s="7" t="str">
        <f>HYPERLINK("http://www.ensembl.org/Mus_musculus/Gene/Summary?db=core;g=ENSMUSG00000022822","ENSMUSG00000022822")</f>
        <v>ENSMUSG00000022822</v>
      </c>
      <c r="I804" s="7" t="str">
        <f>HYPERLINK("http://www.informatics.jax.org/marker/MGI:1351644","MGI:1351644")</f>
        <v>MGI:1351644</v>
      </c>
      <c r="J804" s="4" t="s">
        <v>12</v>
      </c>
    </row>
    <row r="805" spans="1:10" x14ac:dyDescent="0.25">
      <c r="A805" s="2">
        <v>530.18336267393795</v>
      </c>
      <c r="B805" s="3">
        <v>-0.37390406044040397</v>
      </c>
      <c r="C805" s="3">
        <v>3.6967379781233001E-3</v>
      </c>
      <c r="D805" s="4">
        <v>4.2818961936099603E-2</v>
      </c>
      <c r="E805" s="3" t="s">
        <v>17038</v>
      </c>
      <c r="F805" s="3" t="s">
        <v>17039</v>
      </c>
      <c r="G805" s="3">
        <v>67451</v>
      </c>
      <c r="H805" s="7" t="str">
        <f>HYPERLINK("http://www.ensembl.org/Mus_musculus/Gene/Summary?db=core;g=ENSMUSG00000041957","ENSMUSG00000041957")</f>
        <v>ENSMUSG00000041957</v>
      </c>
      <c r="I805" s="7" t="str">
        <f>HYPERLINK("http://www.informatics.jax.org/marker/MGI:1914701","MGI:1914701")</f>
        <v>MGI:1914701</v>
      </c>
      <c r="J805" s="4" t="s">
        <v>12</v>
      </c>
    </row>
    <row r="806" spans="1:10" x14ac:dyDescent="0.25">
      <c r="A806" s="2">
        <v>1245.1569603994701</v>
      </c>
      <c r="B806" s="3">
        <v>-0.37462043460307398</v>
      </c>
      <c r="C806" s="5">
        <v>3.26275970001557E-6</v>
      </c>
      <c r="D806" s="4">
        <v>1.8440330827173499E-4</v>
      </c>
      <c r="E806" s="3" t="s">
        <v>652</v>
      </c>
      <c r="F806" s="3" t="s">
        <v>653</v>
      </c>
      <c r="G806" s="3">
        <v>77987</v>
      </c>
      <c r="H806" s="7" t="str">
        <f>HYPERLINK("http://www.ensembl.org/Mus_musculus/Gene/Summary?db=core;g=ENSMUSG00000038774","ENSMUSG00000038774")</f>
        <v>ENSMUSG00000038774</v>
      </c>
      <c r="I806" s="7" t="str">
        <f>HYPERLINK("http://www.informatics.jax.org/marker/MGI:1925237","MGI:1925237")</f>
        <v>MGI:1925237</v>
      </c>
      <c r="J806" s="4" t="s">
        <v>12</v>
      </c>
    </row>
    <row r="807" spans="1:10" x14ac:dyDescent="0.25">
      <c r="A807" s="2">
        <v>3745.24659511755</v>
      </c>
      <c r="B807" s="3">
        <v>-0.37913010751902099</v>
      </c>
      <c r="C807" s="3">
        <v>3.21493707424543E-4</v>
      </c>
      <c r="D807" s="4">
        <v>6.9332798571928702E-3</v>
      </c>
      <c r="E807" s="3" t="s">
        <v>312</v>
      </c>
      <c r="F807" s="3" t="s">
        <v>313</v>
      </c>
      <c r="G807" s="3">
        <v>15163</v>
      </c>
      <c r="H807" s="7" t="str">
        <f>HYPERLINK("http://www.ensembl.org/Mus_musculus/Gene/Summary?db=core;g=ENSMUSG00000022831","ENSMUSG00000022831")</f>
        <v>ENSMUSG00000022831</v>
      </c>
      <c r="I807" s="7" t="str">
        <f>HYPERLINK("http://www.informatics.jax.org/marker/MGI:104568","MGI:104568")</f>
        <v>MGI:104568</v>
      </c>
      <c r="J807" s="4" t="s">
        <v>12</v>
      </c>
    </row>
    <row r="808" spans="1:10" x14ac:dyDescent="0.25">
      <c r="A808" s="2">
        <v>581.79234943613596</v>
      </c>
      <c r="B808" s="3">
        <v>-0.38084731124173998</v>
      </c>
      <c r="C808" s="5">
        <v>5.2570403922553702E-5</v>
      </c>
      <c r="D808" s="4">
        <v>1.7088420026501799E-3</v>
      </c>
      <c r="E808" s="3" t="s">
        <v>2259</v>
      </c>
      <c r="F808" s="3" t="s">
        <v>2260</v>
      </c>
      <c r="G808" s="3">
        <v>74120</v>
      </c>
      <c r="H808" s="7" t="str">
        <f>HYPERLINK("http://www.ensembl.org/Mus_musculus/Gene/Summary?db=core;g=ENSMUSG00000022529","ENSMUSG00000022529")</f>
        <v>ENSMUSG00000022529</v>
      </c>
      <c r="I808" s="7" t="str">
        <f>HYPERLINK("http://www.informatics.jax.org/marker/MGI:1921370","MGI:1921370")</f>
        <v>MGI:1921370</v>
      </c>
      <c r="J808" s="4" t="s">
        <v>12</v>
      </c>
    </row>
    <row r="809" spans="1:10" x14ac:dyDescent="0.25">
      <c r="A809" s="2">
        <v>218.35993854360001</v>
      </c>
      <c r="B809" s="3">
        <v>-0.38134013432723302</v>
      </c>
      <c r="C809" s="3">
        <v>4.2393518343537898E-3</v>
      </c>
      <c r="D809" s="4">
        <v>4.71146147045228E-2</v>
      </c>
      <c r="E809" s="3" t="s">
        <v>1194</v>
      </c>
      <c r="F809" s="3" t="s">
        <v>1195</v>
      </c>
      <c r="G809" s="3">
        <v>230801</v>
      </c>
      <c r="H809" s="7" t="str">
        <f>HYPERLINK("http://www.ensembl.org/Mus_musculus/Gene/Summary?db=core;g=ENSMUSG00000043257","ENSMUSG00000043257")</f>
        <v>ENSMUSG00000043257</v>
      </c>
      <c r="I809" s="7" t="str">
        <f>HYPERLINK("http://www.informatics.jax.org/marker/MGI:2442480","MGI:2442480")</f>
        <v>MGI:2442480</v>
      </c>
      <c r="J809" s="4" t="s">
        <v>12</v>
      </c>
    </row>
    <row r="810" spans="1:10" x14ac:dyDescent="0.25">
      <c r="A810" s="2">
        <v>380.854011983205</v>
      </c>
      <c r="B810" s="3">
        <v>-0.381735256577729</v>
      </c>
      <c r="C810" s="3">
        <v>7.4842456102202097E-4</v>
      </c>
      <c r="D810" s="4">
        <v>1.27538349057798E-2</v>
      </c>
      <c r="E810" s="3" t="s">
        <v>6477</v>
      </c>
      <c r="F810" s="3" t="s">
        <v>6478</v>
      </c>
      <c r="G810" s="3">
        <v>71801</v>
      </c>
      <c r="H810" s="7" t="str">
        <f>HYPERLINK("http://www.ensembl.org/Mus_musculus/Gene/Summary?db=core;g=ENSMUSG00000049969","ENSMUSG00000049969")</f>
        <v>ENSMUSG00000049969</v>
      </c>
      <c r="I810" s="7" t="str">
        <f>HYPERLINK("http://www.informatics.jax.org/marker/MGI:1919051","MGI:1919051")</f>
        <v>MGI:1919051</v>
      </c>
      <c r="J810" s="4" t="s">
        <v>12</v>
      </c>
    </row>
    <row r="811" spans="1:10" x14ac:dyDescent="0.25">
      <c r="A811" s="2">
        <v>462.32187354730502</v>
      </c>
      <c r="B811" s="3">
        <v>-0.38588342833345501</v>
      </c>
      <c r="C811" s="5">
        <v>9.4395980538889606E-5</v>
      </c>
      <c r="D811" s="4">
        <v>2.5398841940691202E-3</v>
      </c>
      <c r="E811" s="3" t="s">
        <v>338</v>
      </c>
      <c r="F811" s="3" t="s">
        <v>339</v>
      </c>
      <c r="G811" s="3">
        <v>18442</v>
      </c>
      <c r="H811" s="7" t="str">
        <f>HYPERLINK("http://www.ensembl.org/Mus_musculus/Gene/Summary?db=core;g=ENSMUSG00000032860","ENSMUSG00000032860")</f>
        <v>ENSMUSG00000032860</v>
      </c>
      <c r="I811" s="7" t="str">
        <f>HYPERLINK("http://www.informatics.jax.org/marker/MGI:105107","MGI:105107")</f>
        <v>MGI:105107</v>
      </c>
      <c r="J811" s="4" t="s">
        <v>12</v>
      </c>
    </row>
    <row r="812" spans="1:10" x14ac:dyDescent="0.25">
      <c r="A812" s="2">
        <v>1867.01333235008</v>
      </c>
      <c r="B812" s="3">
        <v>-0.38634368079992498</v>
      </c>
      <c r="C812" s="5">
        <v>3.1281138873246101E-5</v>
      </c>
      <c r="D812" s="4">
        <v>1.13489989970129E-3</v>
      </c>
      <c r="E812" s="3" t="s">
        <v>904</v>
      </c>
      <c r="F812" s="3" t="s">
        <v>905</v>
      </c>
      <c r="G812" s="3">
        <v>108673</v>
      </c>
      <c r="H812" s="7" t="str">
        <f>HYPERLINK("http://www.ensembl.org/Mus_musculus/Gene/Summary?db=core;g=ENSMUSG00000024732","ENSMUSG00000024732")</f>
        <v>ENSMUSG00000024732</v>
      </c>
      <c r="I812" s="7" t="str">
        <f>HYPERLINK("http://www.informatics.jax.org/marker/MGI:1277220","MGI:1277220")</f>
        <v>MGI:1277220</v>
      </c>
      <c r="J812" s="4" t="s">
        <v>12</v>
      </c>
    </row>
    <row r="813" spans="1:10" x14ac:dyDescent="0.25">
      <c r="A813" s="2">
        <v>2383.2400023416799</v>
      </c>
      <c r="B813" s="3">
        <v>-0.39042477252987301</v>
      </c>
      <c r="C813" s="5">
        <v>5.9211295254452102E-9</v>
      </c>
      <c r="D813" s="6">
        <v>1.2108171595033099E-6</v>
      </c>
      <c r="E813" s="3" t="s">
        <v>682</v>
      </c>
      <c r="F813" s="3" t="s">
        <v>683</v>
      </c>
      <c r="G813" s="3">
        <v>231713</v>
      </c>
      <c r="H813" s="7" t="str">
        <f>HYPERLINK("http://www.ensembl.org/Mus_musculus/Gene/Summary?db=core;g=ENSMUSG00000042719","ENSMUSG00000042719")</f>
        <v>ENSMUSG00000042719</v>
      </c>
      <c r="I813" s="7" t="str">
        <f>HYPERLINK("http://www.informatics.jax.org/marker/MGI:2442563","MGI:2442563")</f>
        <v>MGI:2442563</v>
      </c>
      <c r="J813" s="4" t="s">
        <v>12</v>
      </c>
    </row>
    <row r="814" spans="1:10" x14ac:dyDescent="0.25">
      <c r="A814" s="2">
        <v>2281.5524103274602</v>
      </c>
      <c r="B814" s="3">
        <v>-0.39059228710190902</v>
      </c>
      <c r="C814" s="3">
        <v>1.08190394898789E-4</v>
      </c>
      <c r="D814" s="4">
        <v>2.8608594233163198E-3</v>
      </c>
      <c r="E814" s="3" t="s">
        <v>824</v>
      </c>
      <c r="F814" s="3" t="s">
        <v>825</v>
      </c>
      <c r="G814" s="3">
        <v>30940</v>
      </c>
      <c r="H814" s="7" t="str">
        <f>HYPERLINK("http://www.ensembl.org/Mus_musculus/Gene/Summary?db=core;g=ENSMUSG00000022867","ENSMUSG00000022867")</f>
        <v>ENSMUSG00000022867</v>
      </c>
      <c r="I814" s="7" t="str">
        <f>HYPERLINK("http://www.informatics.jax.org/marker/MGI:1353655","MGI:1353655")</f>
        <v>MGI:1353655</v>
      </c>
      <c r="J814" s="4" t="s">
        <v>12</v>
      </c>
    </row>
    <row r="815" spans="1:10" x14ac:dyDescent="0.25">
      <c r="A815" s="2">
        <v>1692.97607869953</v>
      </c>
      <c r="B815" s="3">
        <v>-0.39066234496699198</v>
      </c>
      <c r="C815" s="3">
        <v>2.1364695821786899E-4</v>
      </c>
      <c r="D815" s="4">
        <v>5.0480826451184298E-3</v>
      </c>
      <c r="E815" s="3" t="s">
        <v>462</v>
      </c>
      <c r="F815" s="3" t="s">
        <v>463</v>
      </c>
      <c r="G815" s="3">
        <v>20848</v>
      </c>
      <c r="H815" s="7" t="str">
        <f>HYPERLINK("http://www.ensembl.org/Mus_musculus/Gene/Summary?db=core;g=ENSMUSG00000004040","ENSMUSG00000004040")</f>
        <v>ENSMUSG00000004040</v>
      </c>
      <c r="I815" s="7" t="str">
        <f>HYPERLINK("http://www.informatics.jax.org/marker/MGI:103038","MGI:103038")</f>
        <v>MGI:103038</v>
      </c>
      <c r="J815" s="4" t="s">
        <v>12</v>
      </c>
    </row>
    <row r="816" spans="1:10" x14ac:dyDescent="0.25">
      <c r="A816" s="2">
        <v>868.70942584039005</v>
      </c>
      <c r="B816" s="3">
        <v>-0.39091694981428199</v>
      </c>
      <c r="C816" s="3">
        <v>3.6556636357925002E-3</v>
      </c>
      <c r="D816" s="4">
        <v>4.2606475556226202E-2</v>
      </c>
      <c r="E816" s="3" t="s">
        <v>2842</v>
      </c>
      <c r="F816" s="3" t="s">
        <v>2843</v>
      </c>
      <c r="G816" s="3">
        <v>56360</v>
      </c>
      <c r="H816" s="7" t="str">
        <f>HYPERLINK("http://www.ensembl.org/Mus_musculus/Gene/Summary?db=core;g=ENSMUSG00000025287","ENSMUSG00000025287")</f>
        <v>ENSMUSG00000025287</v>
      </c>
      <c r="I816" s="7" t="str">
        <f>HYPERLINK("http://www.informatics.jax.org/marker/MGI:1928939","MGI:1928939")</f>
        <v>MGI:1928939</v>
      </c>
      <c r="J816" s="4" t="s">
        <v>12</v>
      </c>
    </row>
    <row r="817" spans="1:10" x14ac:dyDescent="0.25">
      <c r="A817" s="2">
        <v>2099.1535841712998</v>
      </c>
      <c r="B817" s="3">
        <v>-0.39315674626096497</v>
      </c>
      <c r="C817" s="3">
        <v>2.6645525354386502E-4</v>
      </c>
      <c r="D817" s="4">
        <v>6.0009320568804002E-3</v>
      </c>
      <c r="E817" s="3" t="s">
        <v>1496</v>
      </c>
      <c r="F817" s="3" t="s">
        <v>1497</v>
      </c>
      <c r="G817" s="3">
        <v>17874</v>
      </c>
      <c r="H817" s="7" t="str">
        <f>HYPERLINK("http://www.ensembl.org/Mus_musculus/Gene/Summary?db=core;g=ENSMUSG00000032508","ENSMUSG00000032508")</f>
        <v>ENSMUSG00000032508</v>
      </c>
      <c r="I817" s="7" t="str">
        <f>HYPERLINK("http://www.informatics.jax.org/marker/MGI:108005","MGI:108005")</f>
        <v>MGI:108005</v>
      </c>
      <c r="J817" s="4" t="s">
        <v>12</v>
      </c>
    </row>
    <row r="818" spans="1:10" x14ac:dyDescent="0.25">
      <c r="A818" s="2">
        <v>1440.42754332761</v>
      </c>
      <c r="B818" s="3">
        <v>-0.39473868047280603</v>
      </c>
      <c r="C818" s="5">
        <v>5.7852303440199401E-5</v>
      </c>
      <c r="D818" s="4">
        <v>1.8328587515265399E-3</v>
      </c>
      <c r="E818" s="3" t="s">
        <v>1574</v>
      </c>
      <c r="F818" s="3" t="s">
        <v>1575</v>
      </c>
      <c r="G818" s="3">
        <v>26395</v>
      </c>
      <c r="H818" s="7" t="str">
        <f>HYPERLINK("http://www.ensembl.org/Mus_musculus/Gene/Summary?db=core;g=ENSMUSG00000004936","ENSMUSG00000004936")</f>
        <v>ENSMUSG00000004936</v>
      </c>
      <c r="I818" s="7" t="str">
        <f>HYPERLINK("http://www.informatics.jax.org/marker/MGI:1346866","MGI:1346866")</f>
        <v>MGI:1346866</v>
      </c>
      <c r="J818" s="4" t="s">
        <v>12</v>
      </c>
    </row>
    <row r="819" spans="1:10" x14ac:dyDescent="0.25">
      <c r="A819" s="2">
        <v>1593.6986255429299</v>
      </c>
      <c r="B819" s="3">
        <v>-0.39781477526785902</v>
      </c>
      <c r="C819" s="5">
        <v>2.7030704458421801E-6</v>
      </c>
      <c r="D819" s="4">
        <v>1.6257450964912799E-4</v>
      </c>
      <c r="E819" s="3" t="s">
        <v>706</v>
      </c>
      <c r="F819" s="3" t="s">
        <v>707</v>
      </c>
      <c r="G819" s="3">
        <v>18451</v>
      </c>
      <c r="H819" s="7" t="str">
        <f>HYPERLINK("http://www.ensembl.org/Mus_musculus/Gene/Summary?db=core;g=ENSMUSG00000019916","ENSMUSG00000019916")</f>
        <v>ENSMUSG00000019916</v>
      </c>
      <c r="I819" s="7" t="str">
        <f>HYPERLINK("http://www.informatics.jax.org/marker/MGI:97463","MGI:97463")</f>
        <v>MGI:97463</v>
      </c>
      <c r="J819" s="4" t="s">
        <v>12</v>
      </c>
    </row>
    <row r="820" spans="1:10" x14ac:dyDescent="0.25">
      <c r="A820" s="2">
        <v>1709.6631330853099</v>
      </c>
      <c r="B820" s="3">
        <v>-0.39844333947842703</v>
      </c>
      <c r="C820" s="5">
        <v>3.5676981618527999E-7</v>
      </c>
      <c r="D820" s="6">
        <v>3.2622683923868602E-5</v>
      </c>
      <c r="E820" s="3" t="s">
        <v>518</v>
      </c>
      <c r="F820" s="3" t="s">
        <v>519</v>
      </c>
      <c r="G820" s="3">
        <v>64010</v>
      </c>
      <c r="H820" s="7" t="str">
        <f>HYPERLINK("http://www.ensembl.org/Mus_musculus/Gene/Summary?db=core;g=ENSMUSG00000021067","ENSMUSG00000021067")</f>
        <v>ENSMUSG00000021067</v>
      </c>
      <c r="I820" s="7" t="str">
        <f>HYPERLINK("http://www.informatics.jax.org/marker/MGI:1927144","MGI:1927144")</f>
        <v>MGI:1927144</v>
      </c>
      <c r="J820" s="4" t="s">
        <v>12</v>
      </c>
    </row>
    <row r="821" spans="1:10" x14ac:dyDescent="0.25">
      <c r="A821" s="2">
        <v>2995.3178601914201</v>
      </c>
      <c r="B821" s="3">
        <v>-0.39902170422709998</v>
      </c>
      <c r="C821" s="3">
        <v>2.9790137422713399E-3</v>
      </c>
      <c r="D821" s="4">
        <v>3.6378900715880298E-2</v>
      </c>
      <c r="E821" s="3" t="s">
        <v>1068</v>
      </c>
      <c r="F821" s="3" t="s">
        <v>1069</v>
      </c>
      <c r="G821" s="3">
        <v>26373</v>
      </c>
      <c r="H821" s="7" t="str">
        <f>HYPERLINK("http://www.ensembl.org/Mus_musculus/Gene/Summary?db=core;g=ENSMUSG00000036636","ENSMUSG00000036636")</f>
        <v>ENSMUSG00000036636</v>
      </c>
      <c r="I821" s="7" t="str">
        <f>HYPERLINK("http://www.informatics.jax.org/marker/MGI:1347048","MGI:1347048")</f>
        <v>MGI:1347048</v>
      </c>
      <c r="J821" s="4" t="s">
        <v>12</v>
      </c>
    </row>
    <row r="822" spans="1:10" x14ac:dyDescent="0.25">
      <c r="A822" s="2">
        <v>1096.6486084488299</v>
      </c>
      <c r="B822" s="3">
        <v>-0.40066126444747502</v>
      </c>
      <c r="C822" s="5">
        <v>4.9109275525184704E-6</v>
      </c>
      <c r="D822" s="4">
        <v>2.6053397256214699E-4</v>
      </c>
      <c r="E822" s="3" t="s">
        <v>59</v>
      </c>
      <c r="F822" s="3" t="s">
        <v>60</v>
      </c>
      <c r="G822" s="3">
        <v>21353</v>
      </c>
      <c r="H822" s="7" t="str">
        <f>HYPERLINK("http://www.ensembl.org/Mus_musculus/Gene/Summary?db=core;g=ENSMUSG00000064289","ENSMUSG00000064289")</f>
        <v>ENSMUSG00000064289</v>
      </c>
      <c r="I822" s="7" t="str">
        <f>HYPERLINK("http://www.informatics.jax.org/marker/MGI:107676","MGI:107676")</f>
        <v>MGI:107676</v>
      </c>
      <c r="J822" s="4" t="s">
        <v>12</v>
      </c>
    </row>
    <row r="823" spans="1:10" x14ac:dyDescent="0.25">
      <c r="A823" s="2">
        <v>1654.9860662318599</v>
      </c>
      <c r="B823" s="3">
        <v>-0.402580733551477</v>
      </c>
      <c r="C823" s="5">
        <v>8.7955041617076004E-5</v>
      </c>
      <c r="D823" s="4">
        <v>2.4010445462797399E-3</v>
      </c>
      <c r="E823" s="3" t="s">
        <v>1170</v>
      </c>
      <c r="F823" s="3" t="s">
        <v>1171</v>
      </c>
      <c r="G823" s="3">
        <v>71409</v>
      </c>
      <c r="H823" s="7" t="str">
        <f>HYPERLINK("http://www.ensembl.org/Mus_musculus/Gene/Summary?db=core;g=ENSMUSG00000036053","ENSMUSG00000036053")</f>
        <v>ENSMUSG00000036053</v>
      </c>
      <c r="I823" s="7" t="str">
        <f>HYPERLINK("http://www.informatics.jax.org/marker/MGI:1918659","MGI:1918659")</f>
        <v>MGI:1918659</v>
      </c>
      <c r="J823" s="4" t="s">
        <v>12</v>
      </c>
    </row>
    <row r="824" spans="1:10" x14ac:dyDescent="0.25">
      <c r="A824" s="2">
        <v>624.43597383480505</v>
      </c>
      <c r="B824" s="3">
        <v>-0.40309672144822101</v>
      </c>
      <c r="C824" s="3">
        <v>3.9322306590613401E-4</v>
      </c>
      <c r="D824" s="4">
        <v>7.9705725147396593E-3</v>
      </c>
      <c r="E824" s="3" t="s">
        <v>3884</v>
      </c>
      <c r="F824" s="3" t="s">
        <v>3885</v>
      </c>
      <c r="G824" s="3">
        <v>192157</v>
      </c>
      <c r="H824" s="7" t="str">
        <f>HYPERLINK("http://www.ensembl.org/Mus_musculus/Gene/Summary?db=core;g=ENSMUSG00000038485","ENSMUSG00000038485")</f>
        <v>ENSMUSG00000038485</v>
      </c>
      <c r="I824" s="7" t="str">
        <f>HYPERLINK("http://www.informatics.jax.org/marker/MGI:2651588","MGI:2651588")</f>
        <v>MGI:2651588</v>
      </c>
      <c r="J824" s="4" t="s">
        <v>12</v>
      </c>
    </row>
    <row r="825" spans="1:10" x14ac:dyDescent="0.25">
      <c r="A825" s="2">
        <v>3227.2327664333202</v>
      </c>
      <c r="B825" s="3">
        <v>-0.40661000787413198</v>
      </c>
      <c r="C825" s="5">
        <v>2.9192441780055899E-6</v>
      </c>
      <c r="D825" s="4">
        <v>1.70474606941111E-4</v>
      </c>
      <c r="E825" s="3" t="s">
        <v>1124</v>
      </c>
      <c r="F825" s="3" t="s">
        <v>1125</v>
      </c>
      <c r="G825" s="3">
        <v>19264</v>
      </c>
      <c r="H825" s="7" t="str">
        <f>HYPERLINK("http://www.ensembl.org/Mus_musculus/Gene/Summary?db=core;g=ENSMUSG00000026395","ENSMUSG00000026395")</f>
        <v>ENSMUSG00000026395</v>
      </c>
      <c r="I825" s="7" t="str">
        <f>HYPERLINK("http://www.informatics.jax.org/marker/MGI:97810","MGI:97810")</f>
        <v>MGI:97810</v>
      </c>
      <c r="J825" s="4" t="s">
        <v>12</v>
      </c>
    </row>
    <row r="826" spans="1:10" x14ac:dyDescent="0.25">
      <c r="A826" s="2">
        <v>903.00856424344295</v>
      </c>
      <c r="B826" s="3">
        <v>-0.40661907356445498</v>
      </c>
      <c r="C826" s="3">
        <v>6.3008254735877703E-4</v>
      </c>
      <c r="D826" s="4">
        <v>1.13931485693636E-2</v>
      </c>
      <c r="E826" s="3" t="s">
        <v>1360</v>
      </c>
      <c r="F826" s="3" t="s">
        <v>1361</v>
      </c>
      <c r="G826" s="3">
        <v>19267</v>
      </c>
      <c r="H826" s="7" t="str">
        <f>HYPERLINK("http://www.ensembl.org/Mus_musculus/Gene/Summary?db=core;g=ENSMUSG00000041836","ENSMUSG00000041836")</f>
        <v>ENSMUSG00000041836</v>
      </c>
      <c r="I826" s="7" t="str">
        <f>HYPERLINK("http://www.informatics.jax.org/marker/MGI:97813","MGI:97813")</f>
        <v>MGI:97813</v>
      </c>
      <c r="J826" s="4" t="s">
        <v>12</v>
      </c>
    </row>
    <row r="827" spans="1:10" x14ac:dyDescent="0.25">
      <c r="A827" s="2">
        <v>330.800868969639</v>
      </c>
      <c r="B827" s="3">
        <v>-0.40680210753232598</v>
      </c>
      <c r="C827" s="3">
        <v>2.7156643987642699E-3</v>
      </c>
      <c r="D827" s="4">
        <v>3.4126343567487998E-2</v>
      </c>
      <c r="E827" s="3" t="s">
        <v>14595</v>
      </c>
      <c r="F827" s="3" t="s">
        <v>14596</v>
      </c>
      <c r="G827" s="3">
        <v>26377</v>
      </c>
      <c r="H827" s="7" t="str">
        <f>HYPERLINK("http://www.ensembl.org/Mus_musculus/Gene/Summary?db=core;g=ENSMUSG00000028159","ENSMUSG00000028159")</f>
        <v>ENSMUSG00000028159</v>
      </c>
      <c r="I827" s="7" t="str">
        <f>HYPERLINK("http://www.informatics.jax.org/marker/MGI:1347063","MGI:1347063")</f>
        <v>MGI:1347063</v>
      </c>
      <c r="J827" s="4" t="s">
        <v>12</v>
      </c>
    </row>
    <row r="828" spans="1:10" x14ac:dyDescent="0.25">
      <c r="A828" s="2">
        <v>6207.4103318736697</v>
      </c>
      <c r="B828" s="3">
        <v>-0.40856052633088102</v>
      </c>
      <c r="C828" s="3">
        <v>4.4170849993134699E-4</v>
      </c>
      <c r="D828" s="4">
        <v>8.7003423795584192E-3</v>
      </c>
      <c r="E828" s="3" t="s">
        <v>678</v>
      </c>
      <c r="F828" s="3" t="s">
        <v>679</v>
      </c>
      <c r="G828" s="3">
        <v>68585</v>
      </c>
      <c r="H828" s="7" t="str">
        <f>HYPERLINK("http://www.ensembl.org/Mus_musculus/Gene/Summary?db=core;g=ENSMUSG00000020458","ENSMUSG00000020458")</f>
        <v>ENSMUSG00000020458</v>
      </c>
      <c r="I828" s="7" t="str">
        <f>HYPERLINK("http://www.informatics.jax.org/marker/MGI:1915835","MGI:1915835")</f>
        <v>MGI:1915835</v>
      </c>
      <c r="J828" s="4" t="s">
        <v>12</v>
      </c>
    </row>
    <row r="829" spans="1:10" x14ac:dyDescent="0.25">
      <c r="A829" s="2">
        <v>989.68700930578302</v>
      </c>
      <c r="B829" s="3">
        <v>-0.40945503532064997</v>
      </c>
      <c r="C829" s="5">
        <v>7.2152196580014998E-5</v>
      </c>
      <c r="D829" s="4">
        <v>2.12018299356028E-3</v>
      </c>
      <c r="E829" s="3" t="s">
        <v>1913</v>
      </c>
      <c r="F829" s="3" t="s">
        <v>1914</v>
      </c>
      <c r="G829" s="3">
        <v>107684</v>
      </c>
      <c r="H829" s="7" t="str">
        <f>HYPERLINK("http://www.ensembl.org/Mus_musculus/Gene/Summary?db=core;g=ENSMUSG00000028337","ENSMUSG00000028337")</f>
        <v>ENSMUSG00000028337</v>
      </c>
      <c r="I829" s="7" t="str">
        <f>HYPERLINK("http://www.informatics.jax.org/marker/MGI:1345966","MGI:1345966")</f>
        <v>MGI:1345966</v>
      </c>
      <c r="J829" s="4" t="s">
        <v>12</v>
      </c>
    </row>
    <row r="830" spans="1:10" x14ac:dyDescent="0.25">
      <c r="A830" s="2">
        <v>1923.7849428238201</v>
      </c>
      <c r="B830" s="3">
        <v>-0.40956134731260402</v>
      </c>
      <c r="C830" s="3">
        <v>3.9063903178998896E-3</v>
      </c>
      <c r="D830" s="4">
        <v>4.4423834080303398E-2</v>
      </c>
      <c r="E830" s="3" t="s">
        <v>516</v>
      </c>
      <c r="F830" s="3" t="s">
        <v>517</v>
      </c>
      <c r="G830" s="3">
        <v>16656</v>
      </c>
      <c r="H830" s="7" t="str">
        <f>HYPERLINK("http://www.ensembl.org/Mus_musculus/Gene/Summary?db=core;g=ENSMUSG00000028634","ENSMUSG00000028634")</f>
        <v>ENSMUSG00000028634</v>
      </c>
      <c r="I830" s="7" t="str">
        <f>HYPERLINK("http://www.informatics.jax.org/marker/MGI:106589","MGI:106589")</f>
        <v>MGI:106589</v>
      </c>
      <c r="J830" s="4" t="s">
        <v>12</v>
      </c>
    </row>
    <row r="831" spans="1:10" x14ac:dyDescent="0.25">
      <c r="A831" s="2">
        <v>1067.8964840512999</v>
      </c>
      <c r="B831" s="3">
        <v>-0.41077601309184197</v>
      </c>
      <c r="C831" s="5">
        <v>6.49099519627111E-6</v>
      </c>
      <c r="D831" s="4">
        <v>3.3488175675440901E-4</v>
      </c>
      <c r="E831" s="3" t="s">
        <v>4187</v>
      </c>
      <c r="F831" s="3" t="s">
        <v>4188</v>
      </c>
      <c r="G831" s="3">
        <v>228836</v>
      </c>
      <c r="H831" s="7" t="str">
        <f>HYPERLINK("http://www.ensembl.org/Mus_musculus/Gene/Summary?db=core;g=ENSMUSG00000061689","ENSMUSG00000061689")</f>
        <v>ENSMUSG00000061689</v>
      </c>
      <c r="I831" s="7" t="str">
        <f>HYPERLINK("http://www.informatics.jax.org/marker/MGI:2138865","MGI:2138865")</f>
        <v>MGI:2138865</v>
      </c>
      <c r="J831" s="4" t="s">
        <v>12</v>
      </c>
    </row>
    <row r="832" spans="1:10" x14ac:dyDescent="0.25">
      <c r="A832" s="2">
        <v>2006.74548903761</v>
      </c>
      <c r="B832" s="3">
        <v>-0.41154224842279002</v>
      </c>
      <c r="C832" s="5">
        <v>4.2249023252108902E-8</v>
      </c>
      <c r="D832" s="6">
        <v>5.7948142014203504E-6</v>
      </c>
      <c r="E832" s="3" t="s">
        <v>1134</v>
      </c>
      <c r="F832" s="3" t="s">
        <v>1135</v>
      </c>
      <c r="G832" s="3">
        <v>226849</v>
      </c>
      <c r="H832" s="7" t="str">
        <f>HYPERLINK("http://www.ensembl.org/Mus_musculus/Gene/Summary?db=core;g=ENSMUSG00000026626","ENSMUSG00000026626")</f>
        <v>ENSMUSG00000026626</v>
      </c>
      <c r="I832" s="7" t="str">
        <f>HYPERLINK("http://www.informatics.jax.org/marker/MGI:2388479","MGI:2388479")</f>
        <v>MGI:2388479</v>
      </c>
      <c r="J832" s="4" t="s">
        <v>12</v>
      </c>
    </row>
    <row r="833" spans="1:10" x14ac:dyDescent="0.25">
      <c r="A833" s="2">
        <v>1315.8302846352001</v>
      </c>
      <c r="B833" s="3">
        <v>-0.41167160311927298</v>
      </c>
      <c r="C833" s="3">
        <v>3.2201038532963101E-4</v>
      </c>
      <c r="D833" s="4">
        <v>6.9332798571928702E-3</v>
      </c>
      <c r="E833" s="3" t="s">
        <v>1484</v>
      </c>
      <c r="F833" s="3" t="s">
        <v>1485</v>
      </c>
      <c r="G833" s="3">
        <v>54683</v>
      </c>
      <c r="H833" s="7" t="str">
        <f>HYPERLINK("http://www.ensembl.org/Mus_musculus/Gene/Summary?db=core;g=ENSMUSG00000024953","ENSMUSG00000024953")</f>
        <v>ENSMUSG00000024953</v>
      </c>
      <c r="I833" s="7" t="str">
        <f>HYPERLINK("http://www.informatics.jax.org/marker/MGI:1859821","MGI:1859821")</f>
        <v>MGI:1859821</v>
      </c>
      <c r="J833" s="4" t="s">
        <v>12</v>
      </c>
    </row>
    <row r="834" spans="1:10" x14ac:dyDescent="0.25">
      <c r="A834" s="2">
        <v>1155.80319655466</v>
      </c>
      <c r="B834" s="3">
        <v>-0.41578059787365901</v>
      </c>
      <c r="C834" s="3">
        <v>1.2780497264512701E-4</v>
      </c>
      <c r="D834" s="4">
        <v>3.27981141584927E-3</v>
      </c>
      <c r="E834" s="3" t="s">
        <v>3422</v>
      </c>
      <c r="F834" s="3" t="s">
        <v>3423</v>
      </c>
      <c r="G834" s="3">
        <v>106205</v>
      </c>
      <c r="H834" s="7" t="str">
        <f>HYPERLINK("http://www.ensembl.org/Mus_musculus/Gene/Summary?db=core;g=ENSMUSG00000037965","ENSMUSG00000037965")</f>
        <v>ENSMUSG00000037965</v>
      </c>
      <c r="I834" s="7" t="str">
        <f>HYPERLINK("http://www.informatics.jax.org/marker/MGI:2445044","MGI:2445044")</f>
        <v>MGI:2445044</v>
      </c>
      <c r="J834" s="4" t="s">
        <v>12</v>
      </c>
    </row>
    <row r="835" spans="1:10" x14ac:dyDescent="0.25">
      <c r="A835" s="2">
        <v>601.898278746492</v>
      </c>
      <c r="B835" s="3">
        <v>-0.41613268797667702</v>
      </c>
      <c r="C835" s="3">
        <v>2.9081003539201198E-4</v>
      </c>
      <c r="D835" s="4">
        <v>6.45116463127014E-3</v>
      </c>
      <c r="E835" s="3" t="s">
        <v>14816</v>
      </c>
      <c r="F835" s="3" t="s">
        <v>14817</v>
      </c>
      <c r="G835" s="3">
        <v>83704</v>
      </c>
      <c r="H835" s="7" t="str">
        <f>HYPERLINK("http://www.ensembl.org/Mus_musculus/Gene/Summary?db=core;g=ENSMUSG00000037344","ENSMUSG00000037344")</f>
        <v>ENSMUSG00000037344</v>
      </c>
      <c r="I835" s="7" t="str">
        <f>HYPERLINK("http://www.informatics.jax.org/marker/MGI:1933532","MGI:1933532")</f>
        <v>MGI:1933532</v>
      </c>
      <c r="J835" s="4" t="s">
        <v>12</v>
      </c>
    </row>
    <row r="836" spans="1:10" x14ac:dyDescent="0.25">
      <c r="A836" s="2">
        <v>709.134338062815</v>
      </c>
      <c r="B836" s="3">
        <v>-0.41780624021844298</v>
      </c>
      <c r="C836" s="5">
        <v>1.32856191352976E-5</v>
      </c>
      <c r="D836" s="4">
        <v>5.9060615974186397E-4</v>
      </c>
      <c r="E836" s="3" t="s">
        <v>1210</v>
      </c>
      <c r="F836" s="3" t="s">
        <v>1211</v>
      </c>
      <c r="G836" s="3">
        <v>27215</v>
      </c>
      <c r="H836" s="7" t="str">
        <f>HYPERLINK("http://www.ensembl.org/Mus_musculus/Gene/Summary?db=core;g=ENSMUSG00000039285","ENSMUSG00000039285")</f>
        <v>ENSMUSG00000039285</v>
      </c>
      <c r="I836" s="7" t="str">
        <f>HYPERLINK("http://www.informatics.jax.org/marker/MGI:1351332","MGI:1351332")</f>
        <v>MGI:1351332</v>
      </c>
      <c r="J836" s="4" t="s">
        <v>12</v>
      </c>
    </row>
    <row r="837" spans="1:10" x14ac:dyDescent="0.25">
      <c r="A837" s="2">
        <v>1329.4300471552599</v>
      </c>
      <c r="B837" s="3">
        <v>-0.4192601163245</v>
      </c>
      <c r="C837" s="3">
        <v>3.4940276841943102E-4</v>
      </c>
      <c r="D837" s="4">
        <v>7.3213242989099998E-3</v>
      </c>
      <c r="E837" s="3" t="s">
        <v>4567</v>
      </c>
      <c r="F837" s="3" t="s">
        <v>4568</v>
      </c>
      <c r="G837" s="3">
        <v>18550</v>
      </c>
      <c r="H837" s="7" t="str">
        <f>HYPERLINK("http://www.ensembl.org/Mus_musculus/Gene/Summary?db=core;g=ENSMUSG00000030530","ENSMUSG00000030530")</f>
        <v>ENSMUSG00000030530</v>
      </c>
      <c r="I837" s="7" t="str">
        <f>HYPERLINK("http://www.informatics.jax.org/marker/MGI:97513","MGI:97513")</f>
        <v>MGI:97513</v>
      </c>
      <c r="J837" s="4" t="s">
        <v>12</v>
      </c>
    </row>
    <row r="838" spans="1:10" x14ac:dyDescent="0.25">
      <c r="A838" s="2">
        <v>1546.40116615736</v>
      </c>
      <c r="B838" s="3">
        <v>-0.41953090809064902</v>
      </c>
      <c r="C838" s="5">
        <v>5.00469756146589E-5</v>
      </c>
      <c r="D838" s="4">
        <v>1.6555245139354901E-3</v>
      </c>
      <c r="E838" s="3" t="s">
        <v>478</v>
      </c>
      <c r="F838" s="3" t="s">
        <v>479</v>
      </c>
      <c r="G838" s="3">
        <v>30938</v>
      </c>
      <c r="H838" s="7" t="str">
        <f>HYPERLINK("http://www.ensembl.org/Mus_musculus/Gene/Summary?db=core;g=ENSMUSG00000037946","ENSMUSG00000037946")</f>
        <v>ENSMUSG00000037946</v>
      </c>
      <c r="I838" s="7" t="str">
        <f>HYPERLINK("http://www.informatics.jax.org/marker/MGI:1353657","MGI:1353657")</f>
        <v>MGI:1353657</v>
      </c>
      <c r="J838" s="4" t="s">
        <v>12</v>
      </c>
    </row>
    <row r="839" spans="1:10" x14ac:dyDescent="0.25">
      <c r="A839" s="2">
        <v>678.10467355081801</v>
      </c>
      <c r="B839" s="3">
        <v>-0.42275225438574698</v>
      </c>
      <c r="C839" s="5">
        <v>2.5569329527021799E-6</v>
      </c>
      <c r="D839" s="4">
        <v>1.57146584257057E-4</v>
      </c>
      <c r="E839" s="3" t="s">
        <v>4057</v>
      </c>
      <c r="F839" s="3" t="s">
        <v>4058</v>
      </c>
      <c r="G839" s="3">
        <v>72065</v>
      </c>
      <c r="H839" s="7" t="str">
        <f>HYPERLINK("http://www.ensembl.org/Mus_musculus/Gene/Summary?db=core;g=ENSMUSG00000050029","ENSMUSG00000050029")</f>
        <v>ENSMUSG00000050029</v>
      </c>
      <c r="I839" s="7" t="str">
        <f>HYPERLINK("http://www.informatics.jax.org/marker/MGI:1919315","MGI:1919315")</f>
        <v>MGI:1919315</v>
      </c>
      <c r="J839" s="4" t="s">
        <v>12</v>
      </c>
    </row>
    <row r="840" spans="1:10" x14ac:dyDescent="0.25">
      <c r="A840" s="2">
        <v>1072.98028000865</v>
      </c>
      <c r="B840" s="3">
        <v>-0.42298346395721498</v>
      </c>
      <c r="C840" s="3">
        <v>4.1318183337846301E-4</v>
      </c>
      <c r="D840" s="4">
        <v>8.2580520314976397E-3</v>
      </c>
      <c r="E840" s="3" t="s">
        <v>246</v>
      </c>
      <c r="F840" s="3" t="s">
        <v>247</v>
      </c>
      <c r="G840" s="3">
        <v>13537</v>
      </c>
      <c r="H840" s="7" t="str">
        <f>HYPERLINK("http://www.ensembl.org/Mus_musculus/Gene/Summary?db=core;g=ENSMUSG00000027368","ENSMUSG00000027368")</f>
        <v>ENSMUSG00000027368</v>
      </c>
      <c r="I840" s="7" t="str">
        <f>HYPERLINK("http://www.informatics.jax.org/marker/MGI:101911","MGI:101911")</f>
        <v>MGI:101911</v>
      </c>
      <c r="J840" s="4" t="s">
        <v>12</v>
      </c>
    </row>
    <row r="841" spans="1:10" x14ac:dyDescent="0.25">
      <c r="A841" s="2">
        <v>1067.80049892477</v>
      </c>
      <c r="B841" s="3">
        <v>-0.42307960976904202</v>
      </c>
      <c r="C841" s="5">
        <v>2.7163842067673602E-8</v>
      </c>
      <c r="D841" s="6">
        <v>4.0198912070411203E-6</v>
      </c>
      <c r="E841" s="3" t="s">
        <v>314</v>
      </c>
      <c r="F841" s="3" t="s">
        <v>315</v>
      </c>
      <c r="G841" s="3">
        <v>99929</v>
      </c>
      <c r="H841" s="7" t="str">
        <f>HYPERLINK("http://www.ensembl.org/Mus_musculus/Gene/Summary?db=core;g=ENSMUSG00000034640","ENSMUSG00000034640")</f>
        <v>ENSMUSG00000034640</v>
      </c>
      <c r="I841" s="7" t="str">
        <f>HYPERLINK("http://www.informatics.jax.org/marker/MGI:2159210","MGI:2159210")</f>
        <v>MGI:2159210</v>
      </c>
      <c r="J841" s="4" t="s">
        <v>12</v>
      </c>
    </row>
    <row r="842" spans="1:10" x14ac:dyDescent="0.25">
      <c r="A842" s="2">
        <v>517.11886651254804</v>
      </c>
      <c r="B842" s="3">
        <v>-0.42578682509737698</v>
      </c>
      <c r="C842" s="3">
        <v>1.2479275070061699E-3</v>
      </c>
      <c r="D842" s="4">
        <v>1.90440171930778E-2</v>
      </c>
      <c r="E842" s="3" t="s">
        <v>1816</v>
      </c>
      <c r="F842" s="3" t="s">
        <v>1817</v>
      </c>
      <c r="G842" s="3">
        <v>268749</v>
      </c>
      <c r="H842" s="7" t="str">
        <f>HYPERLINK("http://www.ensembl.org/Mus_musculus/Gene/Summary?db=core;g=ENSMUSG00000047098","ENSMUSG00000047098")</f>
        <v>ENSMUSG00000047098</v>
      </c>
      <c r="I842" s="7" t="str">
        <f>HYPERLINK("http://www.informatics.jax.org/marker/MGI:1934704","MGI:1934704")</f>
        <v>MGI:1934704</v>
      </c>
      <c r="J842" s="4" t="s">
        <v>12</v>
      </c>
    </row>
    <row r="843" spans="1:10" x14ac:dyDescent="0.25">
      <c r="A843" s="2">
        <v>815.75675572601995</v>
      </c>
      <c r="B843" s="3">
        <v>-0.42609653219600602</v>
      </c>
      <c r="C843" s="3">
        <v>1.15043049986948E-4</v>
      </c>
      <c r="D843" s="4">
        <v>2.9881967279519698E-3</v>
      </c>
      <c r="E843" s="3" t="s">
        <v>14589</v>
      </c>
      <c r="F843" s="3" t="s">
        <v>14590</v>
      </c>
      <c r="G843" s="3">
        <v>52857</v>
      </c>
      <c r="H843" s="7" t="str">
        <f>HYPERLINK("http://www.ensembl.org/Mus_musculus/Gene/Summary?db=core;g=ENSMUSG00000001248","ENSMUSG00000001248")</f>
        <v>ENSMUSG00000001248</v>
      </c>
      <c r="I843" s="7" t="str">
        <f>HYPERLINK("http://www.informatics.jax.org/marker/MGI:105490","MGI:105490")</f>
        <v>MGI:105490</v>
      </c>
      <c r="J843" s="4" t="s">
        <v>12</v>
      </c>
    </row>
    <row r="844" spans="1:10" x14ac:dyDescent="0.25">
      <c r="A844" s="2">
        <v>17370.774059287902</v>
      </c>
      <c r="B844" s="3">
        <v>-0.427293879857994</v>
      </c>
      <c r="C844" s="5">
        <v>6.2198980971568506E-5</v>
      </c>
      <c r="D844" s="4">
        <v>1.90613607353469E-3</v>
      </c>
      <c r="E844" s="3" t="s">
        <v>7634</v>
      </c>
      <c r="F844" s="3" t="s">
        <v>7635</v>
      </c>
      <c r="G844" s="3">
        <v>18826</v>
      </c>
      <c r="H844" s="7" t="str">
        <f>HYPERLINK("http://www.ensembl.org/Mus_musculus/Gene/Summary?db=core;g=ENSMUSG00000021998","ENSMUSG00000021998")</f>
        <v>ENSMUSG00000021998</v>
      </c>
      <c r="I844" s="7" t="str">
        <f>HYPERLINK("http://www.informatics.jax.org/marker/MGI:104808","MGI:104808")</f>
        <v>MGI:104808</v>
      </c>
      <c r="J844" s="4" t="s">
        <v>12</v>
      </c>
    </row>
    <row r="845" spans="1:10" x14ac:dyDescent="0.25">
      <c r="A845" s="2">
        <v>1751.0116017227399</v>
      </c>
      <c r="B845" s="3">
        <v>-0.42806804627560602</v>
      </c>
      <c r="C845" s="5">
        <v>7.6024282345991506E-5</v>
      </c>
      <c r="D845" s="4">
        <v>2.1843958227508401E-3</v>
      </c>
      <c r="E845" s="3" t="s">
        <v>3260</v>
      </c>
      <c r="F845" s="3" t="s">
        <v>3261</v>
      </c>
      <c r="G845" s="3">
        <v>71701</v>
      </c>
      <c r="H845" s="7" t="str">
        <f>HYPERLINK("http://www.ensembl.org/Mus_musculus/Gene/Summary?db=core;g=ENSMUSG00000020464","ENSMUSG00000020464")</f>
        <v>ENSMUSG00000020464</v>
      </c>
      <c r="I845" s="7" t="str">
        <f>HYPERLINK("http://www.informatics.jax.org/marker/MGI:1918951","MGI:1918951")</f>
        <v>MGI:1918951</v>
      </c>
      <c r="J845" s="4" t="s">
        <v>12</v>
      </c>
    </row>
    <row r="846" spans="1:10" x14ac:dyDescent="0.25">
      <c r="A846" s="2">
        <v>735.59504473419599</v>
      </c>
      <c r="B846" s="3">
        <v>-0.43217156839850601</v>
      </c>
      <c r="C846" s="5">
        <v>6.3725472111744505E-5</v>
      </c>
      <c r="D846" s="4">
        <v>1.93186087558164E-3</v>
      </c>
      <c r="E846" s="3" t="s">
        <v>2203</v>
      </c>
      <c r="F846" s="3" t="s">
        <v>2204</v>
      </c>
      <c r="G846" s="3">
        <v>24086</v>
      </c>
      <c r="H846" s="7" t="str">
        <f>HYPERLINK("http://www.ensembl.org/Mus_musculus/Gene/Summary?db=core;g=ENSMUSG00000020694","ENSMUSG00000020694")</f>
        <v>ENSMUSG00000020694</v>
      </c>
      <c r="I846" s="7" t="str">
        <f>HYPERLINK("http://www.informatics.jax.org/marker/MGI:1346023","MGI:1346023")</f>
        <v>MGI:1346023</v>
      </c>
      <c r="J846" s="4" t="s">
        <v>12</v>
      </c>
    </row>
    <row r="847" spans="1:10" x14ac:dyDescent="0.25">
      <c r="A847" s="2">
        <v>358.45492699935897</v>
      </c>
      <c r="B847" s="3">
        <v>-0.43228461466843299</v>
      </c>
      <c r="C847" s="5">
        <v>5.4946443227182501E-5</v>
      </c>
      <c r="D847" s="4">
        <v>1.76063432186929E-3</v>
      </c>
      <c r="E847" s="3" t="s">
        <v>14878</v>
      </c>
      <c r="F847" s="3" t="s">
        <v>14879</v>
      </c>
      <c r="G847" s="3">
        <v>234857</v>
      </c>
      <c r="H847" s="7" t="str">
        <f>HYPERLINK("http://www.ensembl.org/Mus_musculus/Gene/Summary?db=core;g=ENSMUSG00000010154","ENSMUSG00000010154")</f>
        <v>ENSMUSG00000010154</v>
      </c>
      <c r="I847" s="7" t="str">
        <f>HYPERLINK("http://www.informatics.jax.org/marker/MGI:2446256","MGI:2446256")</f>
        <v>MGI:2446256</v>
      </c>
      <c r="J847" s="4" t="s">
        <v>12</v>
      </c>
    </row>
    <row r="848" spans="1:10" x14ac:dyDescent="0.25">
      <c r="A848" s="2">
        <v>1321.58793719458</v>
      </c>
      <c r="B848" s="3">
        <v>-0.43313827925787701</v>
      </c>
      <c r="C848" s="5">
        <v>7.0709461657292801E-5</v>
      </c>
      <c r="D848" s="4">
        <v>2.0928139875251899E-3</v>
      </c>
      <c r="E848" s="3" t="s">
        <v>2838</v>
      </c>
      <c r="F848" s="3" t="s">
        <v>2839</v>
      </c>
      <c r="G848" s="3">
        <v>18708</v>
      </c>
      <c r="H848" s="7" t="str">
        <f>HYPERLINK("http://www.ensembl.org/Mus_musculus/Gene/Summary?db=core;g=ENSMUSG00000041417","ENSMUSG00000041417")</f>
        <v>ENSMUSG00000041417</v>
      </c>
      <c r="I848" s="7" t="str">
        <f>HYPERLINK("http://www.informatics.jax.org/marker/MGI:97583","MGI:97583")</f>
        <v>MGI:97583</v>
      </c>
      <c r="J848" s="4" t="s">
        <v>12</v>
      </c>
    </row>
    <row r="849" spans="1:10" x14ac:dyDescent="0.25">
      <c r="A849" s="2">
        <v>581.04410555774405</v>
      </c>
      <c r="B849" s="3">
        <v>-0.43349071769160902</v>
      </c>
      <c r="C849" s="3">
        <v>2.99922952055257E-4</v>
      </c>
      <c r="D849" s="4">
        <v>6.5883465659481904E-3</v>
      </c>
      <c r="E849" s="3" t="s">
        <v>4229</v>
      </c>
      <c r="F849" s="3" t="s">
        <v>4230</v>
      </c>
      <c r="G849" s="3" t="s">
        <v>83</v>
      </c>
      <c r="H849" s="7" t="str">
        <f>HYPERLINK("http://www.ensembl.org/Mus_musculus/Gene/Summary?db=core;g=ENSMUSG00000074578","ENSMUSG00000074578")</f>
        <v>ENSMUSG00000074578</v>
      </c>
      <c r="I849" s="7" t="str">
        <f>HYPERLINK("http://www.informatics.jax.org/marker/MGI:1916199","MGI:1916199")</f>
        <v>MGI:1916199</v>
      </c>
      <c r="J849" s="4" t="s">
        <v>331</v>
      </c>
    </row>
    <row r="850" spans="1:10" x14ac:dyDescent="0.25">
      <c r="A850" s="2">
        <v>475.15939855520702</v>
      </c>
      <c r="B850" s="3">
        <v>-0.43554350551119903</v>
      </c>
      <c r="C850" s="3">
        <v>1.59771229251746E-3</v>
      </c>
      <c r="D850" s="4">
        <v>2.2949514883708701E-2</v>
      </c>
      <c r="E850" s="3" t="s">
        <v>3088</v>
      </c>
      <c r="F850" s="3" t="s">
        <v>3089</v>
      </c>
      <c r="G850" s="3">
        <v>170460</v>
      </c>
      <c r="H850" s="7" t="str">
        <f>HYPERLINK("http://www.ensembl.org/Mus_musculus/Gene/Summary?db=core;g=ENSMUSG00000046027","ENSMUSG00000046027")</f>
        <v>ENSMUSG00000046027</v>
      </c>
      <c r="I850" s="7" t="str">
        <f>HYPERLINK("http://www.informatics.jax.org/marker/MGI:2156765","MGI:2156765")</f>
        <v>MGI:2156765</v>
      </c>
      <c r="J850" s="4" t="s">
        <v>12</v>
      </c>
    </row>
    <row r="851" spans="1:10" x14ac:dyDescent="0.25">
      <c r="A851" s="2">
        <v>1406.84792989774</v>
      </c>
      <c r="B851" s="3">
        <v>-0.43561123220026199</v>
      </c>
      <c r="C851" s="3">
        <v>4.4485360611523301E-3</v>
      </c>
      <c r="D851" s="4">
        <v>4.8575422407553602E-2</v>
      </c>
      <c r="E851" s="3" t="s">
        <v>3516</v>
      </c>
      <c r="F851" s="3" t="s">
        <v>3517</v>
      </c>
      <c r="G851" s="3">
        <v>19186</v>
      </c>
      <c r="H851" s="7" t="str">
        <f>HYPERLINK("http://www.ensembl.org/Mus_musculus/Gene/Summary?db=core;g=ENSMUSG00000022216","ENSMUSG00000022216")</f>
        <v>ENSMUSG00000022216</v>
      </c>
      <c r="I851" s="7" t="str">
        <f>HYPERLINK("http://www.informatics.jax.org/marker/MGI:1096367","MGI:1096367")</f>
        <v>MGI:1096367</v>
      </c>
      <c r="J851" s="4" t="s">
        <v>12</v>
      </c>
    </row>
    <row r="852" spans="1:10" x14ac:dyDescent="0.25">
      <c r="A852" s="2">
        <v>952.26968226917404</v>
      </c>
      <c r="B852" s="3">
        <v>-0.43879480905547202</v>
      </c>
      <c r="C852" s="3">
        <v>2.5873980800456898E-4</v>
      </c>
      <c r="D852" s="4">
        <v>5.9027314820028201E-3</v>
      </c>
      <c r="E852" s="3" t="s">
        <v>2497</v>
      </c>
      <c r="F852" s="3" t="s">
        <v>2498</v>
      </c>
      <c r="G852" s="3">
        <v>67712</v>
      </c>
      <c r="H852" s="7" t="str">
        <f>HYPERLINK("http://www.ensembl.org/Mus_musculus/Gene/Summary?db=core;g=ENSMUSG00000034248","ENSMUSG00000034248")</f>
        <v>ENSMUSG00000034248</v>
      </c>
      <c r="I852" s="7" t="str">
        <f>HYPERLINK("http://www.informatics.jax.org/marker/MGI:1914962","MGI:1914962")</f>
        <v>MGI:1914962</v>
      </c>
      <c r="J852" s="4" t="s">
        <v>12</v>
      </c>
    </row>
    <row r="853" spans="1:10" x14ac:dyDescent="0.25">
      <c r="A853" s="2">
        <v>3726.52726149809</v>
      </c>
      <c r="B853" s="3">
        <v>-0.43887470086848701</v>
      </c>
      <c r="C853" s="5">
        <v>1.1090466446846401E-6</v>
      </c>
      <c r="D853" s="6">
        <v>8.2062155347158505E-5</v>
      </c>
      <c r="E853" s="3" t="s">
        <v>4000</v>
      </c>
      <c r="F853" s="3" t="s">
        <v>4001</v>
      </c>
      <c r="G853" s="3">
        <v>76178</v>
      </c>
      <c r="H853" s="7" t="str">
        <f>HYPERLINK("http://www.ensembl.org/Mus_musculus/Gene/Summary?db=core;g=ENSMUSG00000026112","ENSMUSG00000026112")</f>
        <v>ENSMUSG00000026112</v>
      </c>
      <c r="I853" s="7" t="str">
        <f>HYPERLINK("http://www.informatics.jax.org/marker/MGI:1923428","MGI:1923428")</f>
        <v>MGI:1923428</v>
      </c>
      <c r="J853" s="4" t="s">
        <v>12</v>
      </c>
    </row>
    <row r="854" spans="1:10" x14ac:dyDescent="0.25">
      <c r="A854" s="2">
        <v>2722.39238769452</v>
      </c>
      <c r="B854" s="3">
        <v>-0.44057727588649398</v>
      </c>
      <c r="C854" s="5">
        <v>8.0978212426700602E-5</v>
      </c>
      <c r="D854" s="4">
        <v>2.2769048879077601E-3</v>
      </c>
      <c r="E854" s="3" t="s">
        <v>2826</v>
      </c>
      <c r="F854" s="3" t="s">
        <v>2827</v>
      </c>
      <c r="G854" s="3">
        <v>18753</v>
      </c>
      <c r="H854" s="7" t="str">
        <f>HYPERLINK("http://www.ensembl.org/Mus_musculus/Gene/Summary?db=core;g=ENSMUSG00000021948","ENSMUSG00000021948")</f>
        <v>ENSMUSG00000021948</v>
      </c>
      <c r="I854" s="7" t="str">
        <f>HYPERLINK("http://www.informatics.jax.org/marker/MGI:97598","MGI:97598")</f>
        <v>MGI:97598</v>
      </c>
      <c r="J854" s="4" t="s">
        <v>12</v>
      </c>
    </row>
    <row r="855" spans="1:10" x14ac:dyDescent="0.25">
      <c r="A855" s="2">
        <v>194.87655114275799</v>
      </c>
      <c r="B855" s="3">
        <v>-0.44182481272280399</v>
      </c>
      <c r="C855" s="3">
        <v>4.0471266239008397E-3</v>
      </c>
      <c r="D855" s="4">
        <v>4.5612703957881098E-2</v>
      </c>
      <c r="E855" s="3" t="s">
        <v>14013</v>
      </c>
      <c r="F855" s="3" t="s">
        <v>14014</v>
      </c>
      <c r="G855" s="3">
        <v>320162</v>
      </c>
      <c r="H855" s="7" t="str">
        <f>HYPERLINK("http://www.ensembl.org/Mus_musculus/Gene/Summary?db=core;g=ENSMUSG00000018372","ENSMUSG00000018372")</f>
        <v>ENSMUSG00000018372</v>
      </c>
      <c r="I855" s="7" t="str">
        <f>HYPERLINK("http://www.informatics.jax.org/marker/MGI:2443502","MGI:2443502")</f>
        <v>MGI:2443502</v>
      </c>
      <c r="J855" s="4" t="s">
        <v>12</v>
      </c>
    </row>
    <row r="856" spans="1:10" x14ac:dyDescent="0.25">
      <c r="A856" s="2">
        <v>2634.8741969691901</v>
      </c>
      <c r="B856" s="3">
        <v>-0.44298181902810402</v>
      </c>
      <c r="C856" s="3">
        <v>5.5380104576924802E-4</v>
      </c>
      <c r="D856" s="4">
        <v>1.0346512228848401E-2</v>
      </c>
      <c r="E856" s="3" t="s">
        <v>688</v>
      </c>
      <c r="F856" s="3" t="s">
        <v>689</v>
      </c>
      <c r="G856" s="3">
        <v>14081</v>
      </c>
      <c r="H856" s="7" t="str">
        <f>HYPERLINK("http://www.ensembl.org/Mus_musculus/Gene/Summary?db=core;g=ENSMUSG00000018796","ENSMUSG00000018796")</f>
        <v>ENSMUSG00000018796</v>
      </c>
      <c r="I856" s="7" t="str">
        <f>HYPERLINK("http://www.informatics.jax.org/marker/MGI:102797","MGI:102797")</f>
        <v>MGI:102797</v>
      </c>
      <c r="J856" s="4" t="s">
        <v>12</v>
      </c>
    </row>
    <row r="857" spans="1:10" x14ac:dyDescent="0.25">
      <c r="A857" s="2">
        <v>1251.6603297766201</v>
      </c>
      <c r="B857" s="3">
        <v>-0.44378305297418502</v>
      </c>
      <c r="C857" s="5">
        <v>2.8845055662277401E-7</v>
      </c>
      <c r="D857" s="6">
        <v>2.74932492401385E-5</v>
      </c>
      <c r="E857" s="3" t="s">
        <v>744</v>
      </c>
      <c r="F857" s="3" t="s">
        <v>745</v>
      </c>
      <c r="G857" s="3">
        <v>227449</v>
      </c>
      <c r="H857" s="7" t="str">
        <f>HYPERLINK("http://www.ensembl.org/Mus_musculus/Gene/Summary?db=core;g=ENSMUSG00000038866","ENSMUSG00000038866")</f>
        <v>ENSMUSG00000038866</v>
      </c>
      <c r="I857" s="7" t="str">
        <f>HYPERLINK("http://www.informatics.jax.org/marker/MGI:2444114","MGI:2444114")</f>
        <v>MGI:2444114</v>
      </c>
      <c r="J857" s="4" t="s">
        <v>12</v>
      </c>
    </row>
    <row r="858" spans="1:10" x14ac:dyDescent="0.25">
      <c r="A858" s="2">
        <v>882.36382141003196</v>
      </c>
      <c r="B858" s="3">
        <v>-0.44481414404974201</v>
      </c>
      <c r="C858" s="5">
        <v>1.9126075239631301E-11</v>
      </c>
      <c r="D858" s="6">
        <v>1.0243379439054001E-8</v>
      </c>
      <c r="E858" s="3" t="s">
        <v>514</v>
      </c>
      <c r="F858" s="3" t="s">
        <v>515</v>
      </c>
      <c r="G858" s="3">
        <v>106628</v>
      </c>
      <c r="H858" s="7" t="str">
        <f>HYPERLINK("http://www.ensembl.org/Mus_musculus/Gene/Summary?db=core;g=ENSMUSG00000019487","ENSMUSG00000019487")</f>
        <v>ENSMUSG00000019487</v>
      </c>
      <c r="I858" s="7" t="str">
        <f>HYPERLINK("http://www.informatics.jax.org/marker/MGI:2146901","MGI:2146901")</f>
        <v>MGI:2146901</v>
      </c>
      <c r="J858" s="4" t="s">
        <v>12</v>
      </c>
    </row>
    <row r="859" spans="1:10" x14ac:dyDescent="0.25">
      <c r="A859" s="2">
        <v>3913.9623914281101</v>
      </c>
      <c r="B859" s="3">
        <v>-0.446268043036258</v>
      </c>
      <c r="C859" s="5">
        <v>4.5248151202840996E-9</v>
      </c>
      <c r="D859" s="6">
        <v>9.4241843810806101E-7</v>
      </c>
      <c r="E859" s="3" t="s">
        <v>366</v>
      </c>
      <c r="F859" s="3" t="s">
        <v>367</v>
      </c>
      <c r="G859" s="3">
        <v>27225</v>
      </c>
      <c r="H859" s="7" t="str">
        <f>HYPERLINK("http://www.ensembl.org/Mus_musculus/Gene/Summary?db=core;g=ENSMUSG00000041645","ENSMUSG00000041645")</f>
        <v>ENSMUSG00000041645</v>
      </c>
      <c r="I859" s="7" t="str">
        <f>HYPERLINK("http://www.informatics.jax.org/marker/MGI:1351337","MGI:1351337")</f>
        <v>MGI:1351337</v>
      </c>
      <c r="J859" s="4" t="s">
        <v>12</v>
      </c>
    </row>
    <row r="860" spans="1:10" x14ac:dyDescent="0.25">
      <c r="A860" s="2">
        <v>2133.6012755102502</v>
      </c>
      <c r="B860" s="3">
        <v>-0.44825029996629701</v>
      </c>
      <c r="C860" s="3">
        <v>3.9658149716867598E-4</v>
      </c>
      <c r="D860" s="4">
        <v>8.0078134625782803E-3</v>
      </c>
      <c r="E860" s="3" t="s">
        <v>1458</v>
      </c>
      <c r="F860" s="3" t="s">
        <v>1459</v>
      </c>
      <c r="G860" s="3">
        <v>16477</v>
      </c>
      <c r="H860" s="7" t="str">
        <f>HYPERLINK("http://www.ensembl.org/Mus_musculus/Gene/Summary?db=core;g=ENSMUSG00000052837","ENSMUSG00000052837")</f>
        <v>ENSMUSG00000052837</v>
      </c>
      <c r="I860" s="7" t="str">
        <f>HYPERLINK("http://www.informatics.jax.org/marker/MGI:96647","MGI:96647")</f>
        <v>MGI:96647</v>
      </c>
      <c r="J860" s="4" t="s">
        <v>12</v>
      </c>
    </row>
    <row r="861" spans="1:10" x14ac:dyDescent="0.25">
      <c r="A861" s="2">
        <v>1619.31225188028</v>
      </c>
      <c r="B861" s="3">
        <v>-0.44982135412059698</v>
      </c>
      <c r="C861" s="5">
        <v>1.7565333904825398E-5</v>
      </c>
      <c r="D861" s="4">
        <v>7.3169374232433596E-4</v>
      </c>
      <c r="E861" s="3" t="s">
        <v>808</v>
      </c>
      <c r="F861" s="3" t="s">
        <v>809</v>
      </c>
      <c r="G861" s="3">
        <v>71982</v>
      </c>
      <c r="H861" s="7" t="str">
        <f>HYPERLINK("http://www.ensembl.org/Mus_musculus/Gene/Summary?db=core;g=ENSMUSG00000038301","ENSMUSG00000038301")</f>
        <v>ENSMUSG00000038301</v>
      </c>
      <c r="I861" s="7" t="str">
        <f>HYPERLINK("http://www.informatics.jax.org/marker/MGI:1919232","MGI:1919232")</f>
        <v>MGI:1919232</v>
      </c>
      <c r="J861" s="4" t="s">
        <v>12</v>
      </c>
    </row>
    <row r="862" spans="1:10" x14ac:dyDescent="0.25">
      <c r="A862" s="2">
        <v>384.991986554405</v>
      </c>
      <c r="B862" s="3">
        <v>-0.450536528158899</v>
      </c>
      <c r="C862" s="3">
        <v>4.9248698346398797E-4</v>
      </c>
      <c r="D862" s="4">
        <v>9.4200699030943507E-3</v>
      </c>
      <c r="E862" s="3" t="s">
        <v>3750</v>
      </c>
      <c r="F862" s="3" t="s">
        <v>3751</v>
      </c>
      <c r="G862" s="3">
        <v>320376</v>
      </c>
      <c r="H862" s="7" t="str">
        <f>HYPERLINK("http://www.ensembl.org/Mus_musculus/Gene/Summary?db=core;g=ENSMUSG00000036959","ENSMUSG00000036959")</f>
        <v>ENSMUSG00000036959</v>
      </c>
      <c r="I862" s="7" t="str">
        <f>HYPERLINK("http://www.informatics.jax.org/marker/MGI:2443910","MGI:2443910")</f>
        <v>MGI:2443910</v>
      </c>
      <c r="J862" s="4" t="s">
        <v>12</v>
      </c>
    </row>
    <row r="863" spans="1:10" x14ac:dyDescent="0.25">
      <c r="A863" s="2">
        <v>9896.8681104637199</v>
      </c>
      <c r="B863" s="3">
        <v>-0.454733566866863</v>
      </c>
      <c r="C863" s="5">
        <v>2.9151861073949098E-6</v>
      </c>
      <c r="D863" s="4">
        <v>1.70474606941111E-4</v>
      </c>
      <c r="E863" s="3" t="s">
        <v>164</v>
      </c>
      <c r="F863" s="3" t="s">
        <v>165</v>
      </c>
      <c r="G863" s="3">
        <v>50493</v>
      </c>
      <c r="H863" s="7" t="str">
        <f>HYPERLINK("http://www.ensembl.org/Mus_musculus/Gene/Summary?db=core;g=ENSMUSG00000020250","ENSMUSG00000020250")</f>
        <v>ENSMUSG00000020250</v>
      </c>
      <c r="I863" s="7" t="str">
        <f>HYPERLINK("http://www.informatics.jax.org/marker/MGI:1354175","MGI:1354175")</f>
        <v>MGI:1354175</v>
      </c>
      <c r="J863" s="4" t="s">
        <v>12</v>
      </c>
    </row>
    <row r="864" spans="1:10" x14ac:dyDescent="0.25">
      <c r="A864" s="2">
        <v>1578.4321268194201</v>
      </c>
      <c r="B864" s="3">
        <v>-0.454869944324998</v>
      </c>
      <c r="C864" s="5">
        <v>2.7853788258658198E-5</v>
      </c>
      <c r="D864" s="4">
        <v>1.0477309583449099E-3</v>
      </c>
      <c r="E864" s="3" t="s">
        <v>422</v>
      </c>
      <c r="F864" s="3" t="s">
        <v>423</v>
      </c>
      <c r="G864" s="3">
        <v>81018</v>
      </c>
      <c r="H864" s="7" t="str">
        <f>HYPERLINK("http://www.ensembl.org/Mus_musculus/Gene/Summary?db=core;g=ENSMUSG00000006418","ENSMUSG00000006418")</f>
        <v>ENSMUSG00000006418</v>
      </c>
      <c r="I864" s="7" t="str">
        <f>HYPERLINK("http://www.informatics.jax.org/marker/MGI:1933159","MGI:1933159")</f>
        <v>MGI:1933159</v>
      </c>
      <c r="J864" s="4" t="s">
        <v>12</v>
      </c>
    </row>
    <row r="865" spans="1:10" x14ac:dyDescent="0.25">
      <c r="A865" s="2">
        <v>571.76087602470602</v>
      </c>
      <c r="B865" s="3">
        <v>-0.45556749530589902</v>
      </c>
      <c r="C865" s="3">
        <v>2.1453239731053899E-3</v>
      </c>
      <c r="D865" s="4">
        <v>2.8870192541959602E-2</v>
      </c>
      <c r="E865" s="3" t="s">
        <v>4339</v>
      </c>
      <c r="F865" s="3" t="s">
        <v>4340</v>
      </c>
      <c r="G865" s="3">
        <v>17342</v>
      </c>
      <c r="H865" s="7" t="str">
        <f>HYPERLINK("http://www.ensembl.org/Mus_musculus/Gene/Summary?db=core;g=ENSMUSG00000035158","ENSMUSG00000035158")</f>
        <v>ENSMUSG00000035158</v>
      </c>
      <c r="I865" s="7" t="str">
        <f>HYPERLINK("http://www.informatics.jax.org/marker/MGI:104554","MGI:104554")</f>
        <v>MGI:104554</v>
      </c>
      <c r="J865" s="4" t="s">
        <v>12</v>
      </c>
    </row>
    <row r="866" spans="1:10" x14ac:dyDescent="0.25">
      <c r="A866" s="2">
        <v>901.61475642738503</v>
      </c>
      <c r="B866" s="3">
        <v>-0.45569716095097401</v>
      </c>
      <c r="C866" s="3">
        <v>4.8432877958539002E-4</v>
      </c>
      <c r="D866" s="4">
        <v>9.3115312546955299E-3</v>
      </c>
      <c r="E866" s="3" t="s">
        <v>5779</v>
      </c>
      <c r="F866" s="3" t="s">
        <v>5780</v>
      </c>
      <c r="G866" s="3">
        <v>108909</v>
      </c>
      <c r="H866" s="7" t="str">
        <f>HYPERLINK("http://www.ensembl.org/Mus_musculus/Gene/Summary?db=core;g=ENSMUSG00000042901","ENSMUSG00000042901")</f>
        <v>ENSMUSG00000042901</v>
      </c>
      <c r="I866" s="7" t="str">
        <f>HYPERLINK("http://www.informatics.jax.org/marker/MGI:1919737","MGI:1919737")</f>
        <v>MGI:1919737</v>
      </c>
      <c r="J866" s="4" t="s">
        <v>12</v>
      </c>
    </row>
    <row r="867" spans="1:10" x14ac:dyDescent="0.25">
      <c r="A867" s="2">
        <v>1162.75498465443</v>
      </c>
      <c r="B867" s="3">
        <v>-0.459371156610142</v>
      </c>
      <c r="C867" s="3">
        <v>3.0705033243192201E-4</v>
      </c>
      <c r="D867" s="4">
        <v>6.6796810229435601E-3</v>
      </c>
      <c r="E867" s="3" t="s">
        <v>1372</v>
      </c>
      <c r="F867" s="3" t="s">
        <v>1373</v>
      </c>
      <c r="G867" s="3">
        <v>54720</v>
      </c>
      <c r="H867" s="7" t="str">
        <f>HYPERLINK("http://www.ensembl.org/Mus_musculus/Gene/Summary?db=core;g=ENSMUSG00000022951","ENSMUSG00000022951")</f>
        <v>ENSMUSG00000022951</v>
      </c>
      <c r="I867" s="7" t="str">
        <f>HYPERLINK("http://www.informatics.jax.org/marker/MGI:1890564","MGI:1890564")</f>
        <v>MGI:1890564</v>
      </c>
      <c r="J867" s="4" t="s">
        <v>12</v>
      </c>
    </row>
    <row r="868" spans="1:10" x14ac:dyDescent="0.25">
      <c r="A868" s="2">
        <v>894.18636303050096</v>
      </c>
      <c r="B868" s="3">
        <v>-0.45954998475472902</v>
      </c>
      <c r="C868" s="3">
        <v>9.8702718888802796E-4</v>
      </c>
      <c r="D868" s="4">
        <v>1.5791031000602598E-2</v>
      </c>
      <c r="E868" s="3" t="s">
        <v>1354</v>
      </c>
      <c r="F868" s="3" t="s">
        <v>1355</v>
      </c>
      <c r="G868" s="3">
        <v>73112</v>
      </c>
      <c r="H868" s="7" t="str">
        <f>HYPERLINK("http://www.ensembl.org/Mus_musculus/Gene/Summary?db=core;g=ENSMUSG00000078453","ENSMUSG00000078453")</f>
        <v>ENSMUSG00000078453</v>
      </c>
      <c r="I868" s="7" t="str">
        <f>HYPERLINK("http://www.informatics.jax.org/marker/MGI:1920362","MGI:1920362")</f>
        <v>MGI:1920362</v>
      </c>
      <c r="J868" s="4" t="s">
        <v>12</v>
      </c>
    </row>
    <row r="869" spans="1:10" x14ac:dyDescent="0.25">
      <c r="A869" s="2">
        <v>1012.67230657629</v>
      </c>
      <c r="B869" s="3">
        <v>-0.46126799286209702</v>
      </c>
      <c r="C869" s="3">
        <v>7.0525401188612803E-4</v>
      </c>
      <c r="D869" s="4">
        <v>1.2240728197042101E-2</v>
      </c>
      <c r="E869" s="3" t="s">
        <v>8057</v>
      </c>
      <c r="F869" s="3" t="s">
        <v>8058</v>
      </c>
      <c r="G869" s="3">
        <v>74126</v>
      </c>
      <c r="H869" s="7" t="str">
        <f>HYPERLINK("http://www.ensembl.org/Mus_musculus/Gene/Summary?db=core;g=ENSMUSG00000024807","ENSMUSG00000024807")</f>
        <v>ENSMUSG00000024807</v>
      </c>
      <c r="I869" s="7" t="str">
        <f>HYPERLINK("http://www.informatics.jax.org/marker/MGI:1921376","MGI:1921376")</f>
        <v>MGI:1921376</v>
      </c>
      <c r="J869" s="4" t="s">
        <v>12</v>
      </c>
    </row>
    <row r="870" spans="1:10" x14ac:dyDescent="0.25">
      <c r="A870" s="2">
        <v>4027.1508393592499</v>
      </c>
      <c r="B870" s="3">
        <v>-0.46193649092498301</v>
      </c>
      <c r="C870" s="5">
        <v>2.7924365687694899E-8</v>
      </c>
      <c r="D870" s="6">
        <v>4.0787706609026598E-6</v>
      </c>
      <c r="E870" s="3" t="s">
        <v>540</v>
      </c>
      <c r="F870" s="3" t="s">
        <v>541</v>
      </c>
      <c r="G870" s="3">
        <v>16649</v>
      </c>
      <c r="H870" s="7" t="str">
        <f>HYPERLINK("http://www.ensembl.org/Mus_musculus/Gene/Summary?db=core;g=ENSMUSG00000027782","ENSMUSG00000027782")</f>
        <v>ENSMUSG00000027782</v>
      </c>
      <c r="I870" s="7" t="str">
        <f>HYPERLINK("http://www.informatics.jax.org/marker/MGI:1100848","MGI:1100848")</f>
        <v>MGI:1100848</v>
      </c>
      <c r="J870" s="4" t="s">
        <v>12</v>
      </c>
    </row>
    <row r="871" spans="1:10" x14ac:dyDescent="0.25">
      <c r="A871" s="2">
        <v>4756.7228155329904</v>
      </c>
      <c r="B871" s="3">
        <v>-0.46504924182510499</v>
      </c>
      <c r="C871" s="3">
        <v>2.9558953184218402E-3</v>
      </c>
      <c r="D871" s="4">
        <v>3.6135820267706897E-2</v>
      </c>
      <c r="E871" s="3" t="s">
        <v>586</v>
      </c>
      <c r="F871" s="3" t="s">
        <v>587</v>
      </c>
      <c r="G871" s="3">
        <v>21356</v>
      </c>
      <c r="H871" s="7" t="str">
        <f>HYPERLINK("http://www.ensembl.org/Mus_musculus/Gene/Summary?db=core;g=ENSMUSG00000024308","ENSMUSG00000024308")</f>
        <v>ENSMUSG00000024308</v>
      </c>
      <c r="I871" s="7" t="str">
        <f>HYPERLINK("http://www.informatics.jax.org/marker/MGI:1201689","MGI:1201689")</f>
        <v>MGI:1201689</v>
      </c>
      <c r="J871" s="4" t="s">
        <v>12</v>
      </c>
    </row>
    <row r="872" spans="1:10" x14ac:dyDescent="0.25">
      <c r="A872" s="2">
        <v>1526.3203210198401</v>
      </c>
      <c r="B872" s="3">
        <v>-0.465764904734906</v>
      </c>
      <c r="C872" s="3">
        <v>3.73280504674545E-3</v>
      </c>
      <c r="D872" s="4">
        <v>4.3059341908457498E-2</v>
      </c>
      <c r="E872" s="3" t="s">
        <v>2237</v>
      </c>
      <c r="F872" s="3" t="s">
        <v>2238</v>
      </c>
      <c r="G872" s="3">
        <v>17454</v>
      </c>
      <c r="H872" s="7" t="str">
        <f>HYPERLINK("http://www.ensembl.org/Mus_musculus/Gene/Summary?db=core;g=ENSMUSG00000002227","ENSMUSG00000002227")</f>
        <v>ENSMUSG00000002227</v>
      </c>
      <c r="I872" s="7" t="str">
        <f>HYPERLINK("http://www.informatics.jax.org/marker/MGI:97054","MGI:97054")</f>
        <v>MGI:97054</v>
      </c>
      <c r="J872" s="4" t="s">
        <v>12</v>
      </c>
    </row>
    <row r="873" spans="1:10" x14ac:dyDescent="0.25">
      <c r="A873" s="2">
        <v>2296.1897716295998</v>
      </c>
      <c r="B873" s="3">
        <v>-0.46680768711204201</v>
      </c>
      <c r="C873" s="3">
        <v>1.94480784718274E-3</v>
      </c>
      <c r="D873" s="4">
        <v>2.67072696669894E-2</v>
      </c>
      <c r="E873" s="3" t="s">
        <v>472</v>
      </c>
      <c r="F873" s="3" t="s">
        <v>473</v>
      </c>
      <c r="G873" s="3">
        <v>19106</v>
      </c>
      <c r="H873" s="7" t="str">
        <f>HYPERLINK("http://www.ensembl.org/Mus_musculus/Gene/Summary?db=core;g=ENSMUSG00000024079","ENSMUSG00000024079")</f>
        <v>ENSMUSG00000024079</v>
      </c>
      <c r="I873" s="7" t="str">
        <f>HYPERLINK("http://www.informatics.jax.org/marker/MGI:1353449","MGI:1353449")</f>
        <v>MGI:1353449</v>
      </c>
      <c r="J873" s="4" t="s">
        <v>12</v>
      </c>
    </row>
    <row r="874" spans="1:10" x14ac:dyDescent="0.25">
      <c r="A874" s="2">
        <v>474.500379240732</v>
      </c>
      <c r="B874" s="3">
        <v>-0.46768304234660102</v>
      </c>
      <c r="C874" s="3">
        <v>2.28788743379009E-3</v>
      </c>
      <c r="D874" s="4">
        <v>3.02786268980526E-2</v>
      </c>
      <c r="E874" s="3" t="s">
        <v>530</v>
      </c>
      <c r="F874" s="3" t="s">
        <v>531</v>
      </c>
      <c r="G874" s="3">
        <v>17872</v>
      </c>
      <c r="H874" s="7" t="str">
        <f>HYPERLINK("http://www.ensembl.org/Mus_musculus/Gene/Summary?db=core;g=ENSMUSG00000040435","ENSMUSG00000040435")</f>
        <v>ENSMUSG00000040435</v>
      </c>
      <c r="I874" s="7" t="str">
        <f>HYPERLINK("http://www.informatics.jax.org/marker/MGI:1927072","MGI:1927072")</f>
        <v>MGI:1927072</v>
      </c>
      <c r="J874" s="4" t="s">
        <v>12</v>
      </c>
    </row>
    <row r="875" spans="1:10" x14ac:dyDescent="0.25">
      <c r="A875" s="2">
        <v>1921.1120493644401</v>
      </c>
      <c r="B875" s="3">
        <v>-0.46802788187775601</v>
      </c>
      <c r="C875" s="3">
        <v>3.6256515268679102E-4</v>
      </c>
      <c r="D875" s="4">
        <v>7.4959012357873897E-3</v>
      </c>
      <c r="E875" s="3" t="s">
        <v>8735</v>
      </c>
      <c r="F875" s="3" t="s">
        <v>8736</v>
      </c>
      <c r="G875" s="3">
        <v>27056</v>
      </c>
      <c r="H875" s="7" t="str">
        <f>HYPERLINK("http://www.ensembl.org/Mus_musculus/Gene/Summary?db=core;g=ENSMUSG00000029771","ENSMUSG00000029771")</f>
        <v>ENSMUSG00000029771</v>
      </c>
      <c r="I875" s="7" t="str">
        <f>HYPERLINK("http://www.informatics.jax.org/marker/MGI:1350924","MGI:1350924")</f>
        <v>MGI:1350924</v>
      </c>
      <c r="J875" s="4" t="s">
        <v>12</v>
      </c>
    </row>
    <row r="876" spans="1:10" x14ac:dyDescent="0.25">
      <c r="A876" s="2">
        <v>1002.24072717355</v>
      </c>
      <c r="B876" s="3">
        <v>-0.46948921404697902</v>
      </c>
      <c r="C876" s="5">
        <v>9.0037187248290399E-7</v>
      </c>
      <c r="D876" s="6">
        <v>6.9359468834350802E-5</v>
      </c>
      <c r="E876" s="3" t="s">
        <v>270</v>
      </c>
      <c r="F876" s="3" t="s">
        <v>271</v>
      </c>
      <c r="G876" s="3">
        <v>17135</v>
      </c>
      <c r="H876" s="7" t="str">
        <f>HYPERLINK("http://www.ensembl.org/Mus_musculus/Gene/Summary?db=core;g=ENSMUSG00000018143","ENSMUSG00000018143")</f>
        <v>ENSMUSG00000018143</v>
      </c>
      <c r="I876" s="7" t="str">
        <f>HYPERLINK("http://www.informatics.jax.org/marker/MGI:99951","MGI:99951")</f>
        <v>MGI:99951</v>
      </c>
      <c r="J876" s="4" t="s">
        <v>12</v>
      </c>
    </row>
    <row r="877" spans="1:10" x14ac:dyDescent="0.25">
      <c r="A877" s="2">
        <v>267.99178230764898</v>
      </c>
      <c r="B877" s="3">
        <v>-0.47172621063935699</v>
      </c>
      <c r="C877" s="3">
        <v>8.40022879628669E-4</v>
      </c>
      <c r="D877" s="4">
        <v>1.39948951804383E-2</v>
      </c>
      <c r="E877" s="3" t="s">
        <v>3976</v>
      </c>
      <c r="F877" s="3" t="s">
        <v>3977</v>
      </c>
      <c r="G877" s="3">
        <v>240665</v>
      </c>
      <c r="H877" s="7" t="str">
        <f>HYPERLINK("http://www.ensembl.org/Mus_musculus/Gene/Summary?db=core;g=ENSMUSG00000025010","ENSMUSG00000025010")</f>
        <v>ENSMUSG00000025010</v>
      </c>
      <c r="I877" s="7" t="str">
        <f>HYPERLINK("http://www.informatics.jax.org/marker/MGI:2443297","MGI:2443297")</f>
        <v>MGI:2443297</v>
      </c>
      <c r="J877" s="4" t="s">
        <v>12</v>
      </c>
    </row>
    <row r="878" spans="1:10" x14ac:dyDescent="0.25">
      <c r="A878" s="2">
        <v>2286.3938917171799</v>
      </c>
      <c r="B878" s="3">
        <v>-0.47315109169748898</v>
      </c>
      <c r="C878" s="5">
        <v>3.9584617577251402E-5</v>
      </c>
      <c r="D878" s="4">
        <v>1.3783535414592801E-3</v>
      </c>
      <c r="E878" s="3" t="s">
        <v>436</v>
      </c>
      <c r="F878" s="3" t="s">
        <v>437</v>
      </c>
      <c r="G878" s="3">
        <v>72075</v>
      </c>
      <c r="H878" s="7" t="str">
        <f>HYPERLINK("http://www.ensembl.org/Mus_musculus/Gene/Summary?db=core;g=ENSMUSG00000049401","ENSMUSG00000049401")</f>
        <v>ENSMUSG00000049401</v>
      </c>
      <c r="I878" s="7" t="str">
        <f>HYPERLINK("http://www.informatics.jax.org/marker/MGI:1919325","MGI:1919325")</f>
        <v>MGI:1919325</v>
      </c>
      <c r="J878" s="4" t="s">
        <v>12</v>
      </c>
    </row>
    <row r="879" spans="1:10" x14ac:dyDescent="0.25">
      <c r="A879" s="2">
        <v>628.468373593313</v>
      </c>
      <c r="B879" s="3">
        <v>-0.47530349693978702</v>
      </c>
      <c r="C879" s="5">
        <v>1.0662349434531801E-6</v>
      </c>
      <c r="D879" s="6">
        <v>7.9757633916103003E-5</v>
      </c>
      <c r="E879" s="3" t="s">
        <v>1778</v>
      </c>
      <c r="F879" s="3" t="s">
        <v>1779</v>
      </c>
      <c r="G879" s="3">
        <v>68048</v>
      </c>
      <c r="H879" s="7" t="str">
        <f>HYPERLINK("http://www.ensembl.org/Mus_musculus/Gene/Summary?db=core;g=ENSMUSG00000030609","ENSMUSG00000030609")</f>
        <v>ENSMUSG00000030609</v>
      </c>
      <c r="I879" s="7" t="str">
        <f>HYPERLINK("http://www.informatics.jax.org/marker/MGI:1915298","MGI:1915298")</f>
        <v>MGI:1915298</v>
      </c>
      <c r="J879" s="4" t="s">
        <v>12</v>
      </c>
    </row>
    <row r="880" spans="1:10" x14ac:dyDescent="0.25">
      <c r="A880" s="2">
        <v>404.67501977021499</v>
      </c>
      <c r="B880" s="3">
        <v>-0.47647959863174799</v>
      </c>
      <c r="C880" s="3">
        <v>6.23072849511281E-4</v>
      </c>
      <c r="D880" s="4">
        <v>1.1339320936008699E-2</v>
      </c>
      <c r="E880" s="3" t="s">
        <v>400</v>
      </c>
      <c r="F880" s="3" t="s">
        <v>401</v>
      </c>
      <c r="G880" s="3">
        <v>83921</v>
      </c>
      <c r="H880" s="7" t="str">
        <f>HYPERLINK("http://www.ensembl.org/Mus_musculus/Gene/Summary?db=core;g=ENSMUSG00000024754","ENSMUSG00000024754")</f>
        <v>ENSMUSG00000024754</v>
      </c>
      <c r="I880" s="7" t="str">
        <f>HYPERLINK("http://www.informatics.jax.org/marker/MGI:1890373","MGI:1890373")</f>
        <v>MGI:1890373</v>
      </c>
      <c r="J880" s="4" t="s">
        <v>12</v>
      </c>
    </row>
    <row r="881" spans="1:10" x14ac:dyDescent="0.25">
      <c r="A881" s="2">
        <v>1030.2560035824599</v>
      </c>
      <c r="B881" s="3">
        <v>-0.48084438975153299</v>
      </c>
      <c r="C881" s="3">
        <v>1.07386012591416E-3</v>
      </c>
      <c r="D881" s="4">
        <v>1.6939277470065298E-2</v>
      </c>
      <c r="E881" s="3" t="s">
        <v>758</v>
      </c>
      <c r="F881" s="3" t="s">
        <v>759</v>
      </c>
      <c r="G881" s="3">
        <v>66674</v>
      </c>
      <c r="H881" s="7" t="str">
        <f>HYPERLINK("http://www.ensembl.org/Mus_musculus/Gene/Summary?db=core;g=ENSMUSG00000021930","ENSMUSG00000021930")</f>
        <v>ENSMUSG00000021930</v>
      </c>
      <c r="I881" s="7" t="str">
        <f>HYPERLINK("http://www.informatics.jax.org/marker/MGI:1913924","MGI:1913924")</f>
        <v>MGI:1913924</v>
      </c>
      <c r="J881" s="4" t="s">
        <v>12</v>
      </c>
    </row>
    <row r="882" spans="1:10" x14ac:dyDescent="0.25">
      <c r="A882" s="2">
        <v>468.25171589956</v>
      </c>
      <c r="B882" s="3">
        <v>-0.48366011239429701</v>
      </c>
      <c r="C882" s="5">
        <v>5.4072939389394099E-5</v>
      </c>
      <c r="D882" s="4">
        <v>1.7375952837500399E-3</v>
      </c>
      <c r="E882" s="3" t="s">
        <v>1510</v>
      </c>
      <c r="F882" s="3" t="s">
        <v>1511</v>
      </c>
      <c r="G882" s="3">
        <v>233315</v>
      </c>
      <c r="H882" s="7" t="str">
        <f>HYPERLINK("http://www.ensembl.org/Mus_musculus/Gene/Summary?db=core;g=ENSMUSG00000030522","ENSMUSG00000030522")</f>
        <v>ENSMUSG00000030522</v>
      </c>
      <c r="I882" s="7" t="str">
        <f>HYPERLINK("http://www.informatics.jax.org/marker/MGI:2142292","MGI:2142292")</f>
        <v>MGI:2142292</v>
      </c>
      <c r="J882" s="4" t="s">
        <v>12</v>
      </c>
    </row>
    <row r="883" spans="1:10" x14ac:dyDescent="0.25">
      <c r="A883" s="2">
        <v>1216.72068386879</v>
      </c>
      <c r="B883" s="3">
        <v>-0.48711155874992601</v>
      </c>
      <c r="C883" s="5">
        <v>1.32775659849465E-5</v>
      </c>
      <c r="D883" s="4">
        <v>5.9060615974186397E-4</v>
      </c>
      <c r="E883" s="3" t="s">
        <v>1328</v>
      </c>
      <c r="F883" s="3" t="s">
        <v>1329</v>
      </c>
      <c r="G883" s="3">
        <v>210106</v>
      </c>
      <c r="H883" s="7" t="str">
        <f>HYPERLINK("http://www.ensembl.org/Mus_musculus/Gene/Summary?db=core;g=ENSMUSG00000034575","ENSMUSG00000034575")</f>
        <v>ENSMUSG00000034575</v>
      </c>
      <c r="I883" s="7" t="str">
        <f>HYPERLINK("http://www.informatics.jax.org/marker/MGI:2682295","MGI:2682295")</f>
        <v>MGI:2682295</v>
      </c>
      <c r="J883" s="4" t="s">
        <v>12</v>
      </c>
    </row>
    <row r="884" spans="1:10" x14ac:dyDescent="0.25">
      <c r="A884" s="2">
        <v>288.73541896012603</v>
      </c>
      <c r="B884" s="3">
        <v>-0.491662145842583</v>
      </c>
      <c r="C884" s="3">
        <v>1.5727000052506699E-3</v>
      </c>
      <c r="D884" s="4">
        <v>2.2619126546105199E-2</v>
      </c>
      <c r="E884" s="3" t="s">
        <v>5885</v>
      </c>
      <c r="F884" s="3" t="s">
        <v>5886</v>
      </c>
      <c r="G884" s="3">
        <v>17318</v>
      </c>
      <c r="H884" s="7" t="str">
        <f>HYPERLINK("http://www.ensembl.org/Mus_musculus/Gene/Summary?db=core;g=ENSMUSG00000035299","ENSMUSG00000035299")</f>
        <v>ENSMUSG00000035299</v>
      </c>
      <c r="I884" s="7" t="str">
        <f>HYPERLINK("http://www.informatics.jax.org/marker/MGI:1100537","MGI:1100537")</f>
        <v>MGI:1100537</v>
      </c>
      <c r="J884" s="4" t="s">
        <v>12</v>
      </c>
    </row>
    <row r="885" spans="1:10" x14ac:dyDescent="0.25">
      <c r="A885" s="2">
        <v>2408.0697250201601</v>
      </c>
      <c r="B885" s="3">
        <v>-0.49343022206686599</v>
      </c>
      <c r="C885" s="5">
        <v>2.44364674301561E-7</v>
      </c>
      <c r="D885" s="6">
        <v>2.3898865146692601E-5</v>
      </c>
      <c r="E885" s="3" t="s">
        <v>524</v>
      </c>
      <c r="F885" s="3" t="s">
        <v>525</v>
      </c>
      <c r="G885" s="3">
        <v>22682</v>
      </c>
      <c r="H885" s="7" t="str">
        <f>HYPERLINK("http://www.ensembl.org/Mus_musculus/Gene/Summary?db=core;g=ENSMUSG00000024750","ENSMUSG00000024750")</f>
        <v>ENSMUSG00000024750</v>
      </c>
      <c r="I885" s="7" t="str">
        <f>HYPERLINK("http://www.informatics.jax.org/marker/MGI:1278334","MGI:1278334")</f>
        <v>MGI:1278334</v>
      </c>
      <c r="J885" s="4" t="s">
        <v>12</v>
      </c>
    </row>
    <row r="886" spans="1:10" x14ac:dyDescent="0.25">
      <c r="A886" s="2">
        <v>894.48715679202996</v>
      </c>
      <c r="B886" s="3">
        <v>-0.49422888383874197</v>
      </c>
      <c r="C886" s="3">
        <v>6.6910025159103495E-4</v>
      </c>
      <c r="D886" s="4">
        <v>1.1791582573409501E-2</v>
      </c>
      <c r="E886" s="3" t="s">
        <v>61</v>
      </c>
      <c r="F886" s="3" t="s">
        <v>62</v>
      </c>
      <c r="G886" s="3">
        <v>11717</v>
      </c>
      <c r="H886" s="7" t="str">
        <f>HYPERLINK("http://www.ensembl.org/Mus_musculus/Gene/Summary?db=core;g=ENSMUSG00000005686","ENSMUSG00000005686")</f>
        <v>ENSMUSG00000005686</v>
      </c>
      <c r="I886" s="7" t="str">
        <f>HYPERLINK("http://www.informatics.jax.org/marker/MGI:1096344","MGI:1096344")</f>
        <v>MGI:1096344</v>
      </c>
      <c r="J886" s="4" t="s">
        <v>12</v>
      </c>
    </row>
    <row r="887" spans="1:10" x14ac:dyDescent="0.25">
      <c r="A887" s="2">
        <v>2307.2264997757302</v>
      </c>
      <c r="B887" s="3">
        <v>-0.49453059780949299</v>
      </c>
      <c r="C887" s="5">
        <v>5.6755301087036202E-7</v>
      </c>
      <c r="D887" s="6">
        <v>4.6935799362198203E-5</v>
      </c>
      <c r="E887" s="3" t="s">
        <v>136</v>
      </c>
      <c r="F887" s="3" t="s">
        <v>137</v>
      </c>
      <c r="G887" s="3">
        <v>56417</v>
      </c>
      <c r="H887" s="7" t="str">
        <f>HYPERLINK("http://www.ensembl.org/Mus_musculus/Gene/Summary?db=core;g=ENSMUSG00000027951","ENSMUSG00000027951")</f>
        <v>ENSMUSG00000027951</v>
      </c>
      <c r="I887" s="7" t="str">
        <f>HYPERLINK("http://www.informatics.jax.org/marker/MGI:1889575","MGI:1889575")</f>
        <v>MGI:1889575</v>
      </c>
      <c r="J887" s="4" t="s">
        <v>12</v>
      </c>
    </row>
    <row r="888" spans="1:10" x14ac:dyDescent="0.25">
      <c r="A888" s="2">
        <v>476.312136080134</v>
      </c>
      <c r="B888" s="3">
        <v>-0.49603398601135801</v>
      </c>
      <c r="C888" s="5">
        <v>1.39693610935941E-5</v>
      </c>
      <c r="D888" s="4">
        <v>6.1845111256488797E-4</v>
      </c>
      <c r="E888" s="3" t="s">
        <v>380</v>
      </c>
      <c r="F888" s="3" t="s">
        <v>381</v>
      </c>
      <c r="G888" s="3">
        <v>56772</v>
      </c>
      <c r="H888" s="7" t="str">
        <f>HYPERLINK("http://www.ensembl.org/Mus_musculus/Gene/Summary?db=core;g=ENSMUSG00000053192","ENSMUSG00000053192")</f>
        <v>ENSMUSG00000053192</v>
      </c>
      <c r="I888" s="7" t="str">
        <f>HYPERLINK("http://www.informatics.jax.org/marker/MGI:1929671","MGI:1929671")</f>
        <v>MGI:1929671</v>
      </c>
      <c r="J888" s="4" t="s">
        <v>12</v>
      </c>
    </row>
    <row r="889" spans="1:10" x14ac:dyDescent="0.25">
      <c r="A889" s="2">
        <v>1313.68679511344</v>
      </c>
      <c r="B889" s="3">
        <v>-0.496353339900441</v>
      </c>
      <c r="C889" s="5">
        <v>7.0083184269242104E-5</v>
      </c>
      <c r="D889" s="4">
        <v>2.08525283988404E-3</v>
      </c>
      <c r="E889" s="3" t="s">
        <v>4327</v>
      </c>
      <c r="F889" s="3" t="s">
        <v>4328</v>
      </c>
      <c r="G889" s="3">
        <v>68267</v>
      </c>
      <c r="H889" s="7" t="str">
        <f>HYPERLINK("http://www.ensembl.org/Mus_musculus/Gene/Summary?db=core;g=ENSMUSG00000019082","ENSMUSG00000019082")</f>
        <v>ENSMUSG00000019082</v>
      </c>
      <c r="I889" s="7" t="str">
        <f>HYPERLINK("http://www.informatics.jax.org/marker/MGI:1915517","MGI:1915517")</f>
        <v>MGI:1915517</v>
      </c>
      <c r="J889" s="4" t="s">
        <v>12</v>
      </c>
    </row>
    <row r="890" spans="1:10" x14ac:dyDescent="0.25">
      <c r="A890" s="2">
        <v>1293.2851925928301</v>
      </c>
      <c r="B890" s="3">
        <v>-0.496511737500757</v>
      </c>
      <c r="C890" s="5">
        <v>1.70427477516727E-7</v>
      </c>
      <c r="D890" s="6">
        <v>1.8059981160242599E-5</v>
      </c>
      <c r="E890" s="3" t="s">
        <v>186</v>
      </c>
      <c r="F890" s="3" t="s">
        <v>187</v>
      </c>
      <c r="G890" s="3">
        <v>56048</v>
      </c>
      <c r="H890" s="7" t="str">
        <f>HYPERLINK("http://www.ensembl.org/Mus_musculus/Gene/Summary?db=core;g=ENSMUSG00000057554","ENSMUSG00000057554")</f>
        <v>ENSMUSG00000057554</v>
      </c>
      <c r="I890" s="7" t="str">
        <f>HYPERLINK("http://www.informatics.jax.org/marker/MGI:1928481","MGI:1928481")</f>
        <v>MGI:1928481</v>
      </c>
      <c r="J890" s="4" t="s">
        <v>12</v>
      </c>
    </row>
    <row r="891" spans="1:10" x14ac:dyDescent="0.25">
      <c r="A891" s="2">
        <v>1045.6254056519899</v>
      </c>
      <c r="B891" s="3">
        <v>-0.497619534270835</v>
      </c>
      <c r="C891" s="5">
        <v>1.0648737858175599E-5</v>
      </c>
      <c r="D891" s="4">
        <v>4.9286565716420195E-4</v>
      </c>
      <c r="E891" s="3" t="s">
        <v>2153</v>
      </c>
      <c r="F891" s="3" t="s">
        <v>2154</v>
      </c>
      <c r="G891" s="3">
        <v>66711</v>
      </c>
      <c r="H891" s="7" t="str">
        <f>HYPERLINK("http://www.ensembl.org/Mus_musculus/Gene/Summary?db=core;g=ENSMUSG00000025337","ENSMUSG00000025337")</f>
        <v>ENSMUSG00000025337</v>
      </c>
      <c r="I891" s="7" t="str">
        <f>HYPERLINK("http://www.informatics.jax.org/marker/MGI:1913961","MGI:1913961")</f>
        <v>MGI:1913961</v>
      </c>
      <c r="J891" s="4" t="s">
        <v>12</v>
      </c>
    </row>
    <row r="892" spans="1:10" x14ac:dyDescent="0.25">
      <c r="A892" s="2">
        <v>447.22965959260102</v>
      </c>
      <c r="B892" s="3">
        <v>-0.50016550050014397</v>
      </c>
      <c r="C892" s="5">
        <v>3.3074963600408198E-6</v>
      </c>
      <c r="D892" s="4">
        <v>1.8557938331986099E-4</v>
      </c>
      <c r="E892" s="3" t="s">
        <v>7240</v>
      </c>
      <c r="F892" s="3" t="s">
        <v>7241</v>
      </c>
      <c r="G892" s="3">
        <v>17085</v>
      </c>
      <c r="H892" s="7" t="str">
        <f>HYPERLINK("http://www.ensembl.org/Mus_musculus/Gene/Summary?db=core;g=ENSMUSG00000004707","ENSMUSG00000004707")</f>
        <v>ENSMUSG00000004707</v>
      </c>
      <c r="I892" s="7" t="str">
        <f>HYPERLINK("http://www.informatics.jax.org/marker/MGI:96885","MGI:96885")</f>
        <v>MGI:96885</v>
      </c>
      <c r="J892" s="4" t="s">
        <v>12</v>
      </c>
    </row>
    <row r="893" spans="1:10" x14ac:dyDescent="0.25">
      <c r="A893" s="2">
        <v>858.140321200274</v>
      </c>
      <c r="B893" s="3">
        <v>-0.50051109907424995</v>
      </c>
      <c r="C893" s="5">
        <v>2.5696348890937801E-8</v>
      </c>
      <c r="D893" s="6">
        <v>3.8534244796850301E-6</v>
      </c>
      <c r="E893" s="3" t="s">
        <v>1406</v>
      </c>
      <c r="F893" s="3" t="s">
        <v>1407</v>
      </c>
      <c r="G893" s="3">
        <v>17873</v>
      </c>
      <c r="H893" s="7" t="str">
        <f>HYPERLINK("http://www.ensembl.org/Mus_musculus/Gene/Summary?db=core;g=ENSMUSG00000015312","ENSMUSG00000015312")</f>
        <v>ENSMUSG00000015312</v>
      </c>
      <c r="I893" s="7" t="str">
        <f>HYPERLINK("http://www.informatics.jax.org/marker/MGI:107776","MGI:107776")</f>
        <v>MGI:107776</v>
      </c>
      <c r="J893" s="4" t="s">
        <v>12</v>
      </c>
    </row>
    <row r="894" spans="1:10" x14ac:dyDescent="0.25">
      <c r="A894" s="2">
        <v>1420.5794496324199</v>
      </c>
      <c r="B894" s="3">
        <v>-0.50214485128285802</v>
      </c>
      <c r="C894" s="5">
        <v>1.43916511412272E-5</v>
      </c>
      <c r="D894" s="4">
        <v>6.2981673301705304E-4</v>
      </c>
      <c r="E894" s="3" t="s">
        <v>134</v>
      </c>
      <c r="F894" s="3" t="s">
        <v>135</v>
      </c>
      <c r="G894" s="3">
        <v>68279</v>
      </c>
      <c r="H894" s="7" t="str">
        <f>HYPERLINK("http://www.ensembl.org/Mus_musculus/Gene/Summary?db=core;g=ENSMUSG00000011008","ENSMUSG00000011008")</f>
        <v>ENSMUSG00000011008</v>
      </c>
      <c r="I894" s="7" t="str">
        <f>HYPERLINK("http://www.informatics.jax.org/marker/MGI:1915529","MGI:1915529")</f>
        <v>MGI:1915529</v>
      </c>
      <c r="J894" s="4" t="s">
        <v>12</v>
      </c>
    </row>
    <row r="895" spans="1:10" x14ac:dyDescent="0.25">
      <c r="A895" s="2">
        <v>442.21643941462401</v>
      </c>
      <c r="B895" s="3">
        <v>-0.50655700919184599</v>
      </c>
      <c r="C895" s="5">
        <v>8.1215423981032195E-5</v>
      </c>
      <c r="D895" s="4">
        <v>2.2769991069747598E-3</v>
      </c>
      <c r="E895" s="3" t="s">
        <v>77</v>
      </c>
      <c r="F895" s="3" t="s">
        <v>78</v>
      </c>
      <c r="G895" s="3">
        <v>19012</v>
      </c>
      <c r="H895" s="7" t="str">
        <f>HYPERLINK("http://www.ensembl.org/Mus_musculus/Gene/Summary?db=core;g=ENSMUSG00000021759","ENSMUSG00000021759")</f>
        <v>ENSMUSG00000021759</v>
      </c>
      <c r="I895" s="7" t="str">
        <f>HYPERLINK("http://www.informatics.jax.org/marker/MGI:108412","MGI:108412")</f>
        <v>MGI:108412</v>
      </c>
      <c r="J895" s="4" t="s">
        <v>12</v>
      </c>
    </row>
    <row r="896" spans="1:10" x14ac:dyDescent="0.25">
      <c r="A896" s="2">
        <v>587.65165519017</v>
      </c>
      <c r="B896" s="3">
        <v>-0.50740153585727199</v>
      </c>
      <c r="C896" s="5">
        <v>2.3810898018000399E-5</v>
      </c>
      <c r="D896" s="4">
        <v>9.2345231037396899E-4</v>
      </c>
      <c r="E896" s="3" t="s">
        <v>1736</v>
      </c>
      <c r="F896" s="3" t="s">
        <v>1737</v>
      </c>
      <c r="G896" s="3">
        <v>56289</v>
      </c>
      <c r="H896" s="7" t="str">
        <f>HYPERLINK("http://www.ensembl.org/Mus_musculus/Gene/Summary?db=core;g=ENSMUSG00000010067","ENSMUSG00000010067")</f>
        <v>ENSMUSG00000010067</v>
      </c>
      <c r="I896" s="7" t="str">
        <f>HYPERLINK("http://www.informatics.jax.org/marker/MGI:1928386","MGI:1928386")</f>
        <v>MGI:1928386</v>
      </c>
      <c r="J896" s="4" t="s">
        <v>12</v>
      </c>
    </row>
    <row r="897" spans="1:10" x14ac:dyDescent="0.25">
      <c r="A897" s="2">
        <v>366.263278143062</v>
      </c>
      <c r="B897" s="3">
        <v>-0.508015745471458</v>
      </c>
      <c r="C897" s="3">
        <v>6.2419329360135101E-4</v>
      </c>
      <c r="D897" s="4">
        <v>1.1341360215079799E-2</v>
      </c>
      <c r="E897" s="3" t="s">
        <v>4877</v>
      </c>
      <c r="F897" s="3" t="s">
        <v>4878</v>
      </c>
      <c r="G897" s="3">
        <v>11610</v>
      </c>
      <c r="H897" s="7" t="str">
        <f>HYPERLINK("http://www.ensembl.org/Mus_musculus/Gene/Summary?db=core;g=ENSMUSG00000029007","ENSMUSG00000029007")</f>
        <v>ENSMUSG00000029007</v>
      </c>
      <c r="I897" s="7" t="str">
        <f>HYPERLINK("http://www.informatics.jax.org/marker/MGI:1339977","MGI:1339977")</f>
        <v>MGI:1339977</v>
      </c>
      <c r="J897" s="4" t="s">
        <v>12</v>
      </c>
    </row>
    <row r="898" spans="1:10" x14ac:dyDescent="0.25">
      <c r="A898" s="2">
        <v>382.07429791364399</v>
      </c>
      <c r="B898" s="3">
        <v>-0.51026222103631103</v>
      </c>
      <c r="C898" s="3">
        <v>3.28634879617985E-3</v>
      </c>
      <c r="D898" s="4">
        <v>3.9154200117197897E-2</v>
      </c>
      <c r="E898" s="3" t="s">
        <v>4459</v>
      </c>
      <c r="F898" s="3" t="s">
        <v>4460</v>
      </c>
      <c r="G898" s="3">
        <v>328833</v>
      </c>
      <c r="H898" s="7" t="str">
        <f>HYPERLINK("http://www.ensembl.org/Mus_musculus/Gene/Summary?db=core;g=ENSMUSG00000071068","ENSMUSG00000071068")</f>
        <v>ENSMUSG00000071068</v>
      </c>
      <c r="I898" s="7" t="str">
        <f>HYPERLINK("http://www.informatics.jax.org/marker/MGI:2147038","MGI:2147038")</f>
        <v>MGI:2147038</v>
      </c>
      <c r="J898" s="4" t="s">
        <v>12</v>
      </c>
    </row>
    <row r="899" spans="1:10" x14ac:dyDescent="0.25">
      <c r="A899" s="2">
        <v>815.37455381199095</v>
      </c>
      <c r="B899" s="3">
        <v>-0.51259592486641203</v>
      </c>
      <c r="C899" s="5">
        <v>1.06337237808084E-5</v>
      </c>
      <c r="D899" s="4">
        <v>4.9286565716420195E-4</v>
      </c>
      <c r="E899" s="3" t="s">
        <v>1035</v>
      </c>
      <c r="F899" s="3" t="s">
        <v>1036</v>
      </c>
      <c r="G899" s="3">
        <v>12362</v>
      </c>
      <c r="H899" s="7" t="str">
        <f>HYPERLINK("http://www.ensembl.org/Mus_musculus/Gene/Summary?db=core;g=ENSMUSG00000025888","ENSMUSG00000025888")</f>
        <v>ENSMUSG00000025888</v>
      </c>
      <c r="I899" s="7" t="str">
        <f>HYPERLINK("http://www.informatics.jax.org/marker/MGI:96544","MGI:96544")</f>
        <v>MGI:96544</v>
      </c>
      <c r="J899" s="4" t="s">
        <v>12</v>
      </c>
    </row>
    <row r="900" spans="1:10" x14ac:dyDescent="0.25">
      <c r="A900" s="2">
        <v>1122.9101289539201</v>
      </c>
      <c r="B900" s="3">
        <v>-0.51263626104388904</v>
      </c>
      <c r="C900" s="5">
        <v>4.93486987676071E-5</v>
      </c>
      <c r="D900" s="4">
        <v>1.6372413422987499E-3</v>
      </c>
      <c r="E900" s="3" t="s">
        <v>560</v>
      </c>
      <c r="F900" s="3" t="s">
        <v>561</v>
      </c>
      <c r="G900" s="3">
        <v>18036</v>
      </c>
      <c r="H900" s="7" t="str">
        <f>HYPERLINK("http://www.ensembl.org/Mus_musculus/Gene/Summary?db=core;g=ENSMUSG00000030595","ENSMUSG00000030595")</f>
        <v>ENSMUSG00000030595</v>
      </c>
      <c r="I900" s="7" t="str">
        <f>HYPERLINK("http://www.informatics.jax.org/marker/MGI:104752","MGI:104752")</f>
        <v>MGI:104752</v>
      </c>
      <c r="J900" s="4" t="s">
        <v>12</v>
      </c>
    </row>
    <row r="901" spans="1:10" x14ac:dyDescent="0.25">
      <c r="A901" s="2">
        <v>321.26253842751601</v>
      </c>
      <c r="B901" s="3">
        <v>-0.51376394649329704</v>
      </c>
      <c r="C901" s="3">
        <v>1.64322423781097E-4</v>
      </c>
      <c r="D901" s="4">
        <v>4.0352277298384203E-3</v>
      </c>
      <c r="E901" s="3" t="s">
        <v>14205</v>
      </c>
      <c r="F901" s="3" t="s">
        <v>14206</v>
      </c>
      <c r="G901" s="3">
        <v>114664</v>
      </c>
      <c r="H901" s="7" t="str">
        <f>HYPERLINK("http://www.ensembl.org/Mus_musculus/Gene/Summary?db=core;g=ENSMUSG00000029311","ENSMUSG00000029311")</f>
        <v>ENSMUSG00000029311</v>
      </c>
      <c r="I901" s="7" t="str">
        <f>HYPERLINK("http://www.informatics.jax.org/marker/MGI:2149821","MGI:2149821")</f>
        <v>MGI:2149821</v>
      </c>
      <c r="J901" s="4" t="s">
        <v>12</v>
      </c>
    </row>
    <row r="902" spans="1:10" x14ac:dyDescent="0.25">
      <c r="A902" s="2">
        <v>777.16725876466296</v>
      </c>
      <c r="B902" s="3">
        <v>-0.51393963413924004</v>
      </c>
      <c r="C902" s="3">
        <v>1.5668398184021801E-4</v>
      </c>
      <c r="D902" s="4">
        <v>3.8560716493587E-3</v>
      </c>
      <c r="E902" s="3" t="s">
        <v>1120</v>
      </c>
      <c r="F902" s="3" t="s">
        <v>1121</v>
      </c>
      <c r="G902" s="3">
        <v>22782</v>
      </c>
      <c r="H902" s="7" t="str">
        <f>HYPERLINK("http://www.ensembl.org/Mus_musculus/Gene/Summary?db=core;g=ENSMUSG00000037434","ENSMUSG00000037434")</f>
        <v>ENSMUSG00000037434</v>
      </c>
      <c r="I902" s="7" t="str">
        <f>HYPERLINK("http://www.informatics.jax.org/marker/MGI:1345281","MGI:1345281")</f>
        <v>MGI:1345281</v>
      </c>
      <c r="J902" s="4" t="s">
        <v>12</v>
      </c>
    </row>
    <row r="903" spans="1:10" x14ac:dyDescent="0.25">
      <c r="A903" s="2">
        <v>3739.94078739115</v>
      </c>
      <c r="B903" s="3">
        <v>-0.51839608487217004</v>
      </c>
      <c r="C903" s="5">
        <v>7.014541896432E-7</v>
      </c>
      <c r="D903" s="6">
        <v>5.5952165041965103E-5</v>
      </c>
      <c r="E903" s="3" t="s">
        <v>692</v>
      </c>
      <c r="F903" s="3" t="s">
        <v>693</v>
      </c>
      <c r="G903" s="3">
        <v>241447</v>
      </c>
      <c r="H903" s="7" t="str">
        <f>HYPERLINK("http://www.ensembl.org/Mus_musculus/Gene/Summary?db=core;g=ENSMUSG00000027035","ENSMUSG00000027035")</f>
        <v>ENSMUSG00000027035</v>
      </c>
      <c r="I903" s="7" t="str">
        <f>HYPERLINK("http://www.informatics.jax.org/marker/MGI:2442564","MGI:2442564")</f>
        <v>MGI:2442564</v>
      </c>
      <c r="J903" s="4" t="s">
        <v>12</v>
      </c>
    </row>
    <row r="904" spans="1:10" x14ac:dyDescent="0.25">
      <c r="A904" s="2">
        <v>440.04849394719901</v>
      </c>
      <c r="B904" s="3">
        <v>-0.52153077334709297</v>
      </c>
      <c r="C904" s="3">
        <v>3.1955572632214801E-3</v>
      </c>
      <c r="D904" s="4">
        <v>3.8234502701544701E-2</v>
      </c>
      <c r="E904" s="3" t="s">
        <v>96</v>
      </c>
      <c r="F904" s="3" t="s">
        <v>97</v>
      </c>
      <c r="G904" s="3">
        <v>54598</v>
      </c>
      <c r="H904" s="7" t="str">
        <f>HYPERLINK("http://www.ensembl.org/Mus_musculus/Gene/Summary?db=core;g=ENSMUSG00000059588","ENSMUSG00000059588")</f>
        <v>ENSMUSG00000059588</v>
      </c>
      <c r="I904" s="7" t="str">
        <f>HYPERLINK("http://www.informatics.jax.org/marker/MGI:1926944","MGI:1926944")</f>
        <v>MGI:1926944</v>
      </c>
      <c r="J904" s="4" t="s">
        <v>12</v>
      </c>
    </row>
    <row r="905" spans="1:10" x14ac:dyDescent="0.25">
      <c r="A905" s="2">
        <v>1236.1434130386101</v>
      </c>
      <c r="B905" s="3">
        <v>-0.52203890897763705</v>
      </c>
      <c r="C905" s="5">
        <v>5.21817692710652E-7</v>
      </c>
      <c r="D905" s="6">
        <v>4.4126944285088E-5</v>
      </c>
      <c r="E905" s="3" t="s">
        <v>956</v>
      </c>
      <c r="F905" s="3" t="s">
        <v>957</v>
      </c>
      <c r="G905" s="3">
        <v>22670</v>
      </c>
      <c r="H905" s="7" t="str">
        <f>HYPERLINK("http://www.ensembl.org/Mus_musculus/Gene/Summary?db=core;g=ENSMUSG00000024457","ENSMUSG00000024457")</f>
        <v>ENSMUSG00000024457</v>
      </c>
      <c r="I905" s="7" t="str">
        <f>HYPERLINK("http://www.informatics.jax.org/marker/MGI:1337056","MGI:1337056")</f>
        <v>MGI:1337056</v>
      </c>
      <c r="J905" s="4" t="s">
        <v>12</v>
      </c>
    </row>
    <row r="906" spans="1:10" x14ac:dyDescent="0.25">
      <c r="A906" s="2">
        <v>840.29976415802003</v>
      </c>
      <c r="B906" s="3">
        <v>-0.52244933459875997</v>
      </c>
      <c r="C906" s="5">
        <v>1.0375015823649801E-5</v>
      </c>
      <c r="D906" s="4">
        <v>4.8619917903578998E-4</v>
      </c>
      <c r="E906" s="3" t="s">
        <v>6247</v>
      </c>
      <c r="F906" s="3" t="s">
        <v>6248</v>
      </c>
      <c r="G906" s="3">
        <v>69146</v>
      </c>
      <c r="H906" s="7" t="str">
        <f>HYPERLINK("http://www.ensembl.org/Mus_musculus/Gene/Summary?db=core;g=ENSMUSG00000022575","ENSMUSG00000022575")</f>
        <v>ENSMUSG00000022575</v>
      </c>
      <c r="I906" s="7" t="str">
        <f>HYPERLINK("http://www.informatics.jax.org/marker/MGI:1916396","MGI:1916396")</f>
        <v>MGI:1916396</v>
      </c>
      <c r="J906" s="4" t="s">
        <v>12</v>
      </c>
    </row>
    <row r="907" spans="1:10" x14ac:dyDescent="0.25">
      <c r="A907" s="2">
        <v>1943.7079111611399</v>
      </c>
      <c r="B907" s="3">
        <v>-0.52465920166307101</v>
      </c>
      <c r="C907" s="3">
        <v>9.2092038981141805E-4</v>
      </c>
      <c r="D907" s="4">
        <v>1.4956518355931901E-2</v>
      </c>
      <c r="E907" s="3" t="s">
        <v>6553</v>
      </c>
      <c r="F907" s="3" t="s">
        <v>6554</v>
      </c>
      <c r="G907" s="3">
        <v>20910</v>
      </c>
      <c r="H907" s="7" t="str">
        <f>HYPERLINK("http://www.ensembl.org/Mus_musculus/Gene/Summary?db=core;g=ENSMUSG00000026797","ENSMUSG00000026797")</f>
        <v>ENSMUSG00000026797</v>
      </c>
      <c r="I907" s="7" t="str">
        <f>HYPERLINK("http://www.informatics.jax.org/marker/MGI:107363","MGI:107363")</f>
        <v>MGI:107363</v>
      </c>
      <c r="J907" s="4" t="s">
        <v>12</v>
      </c>
    </row>
    <row r="908" spans="1:10" x14ac:dyDescent="0.25">
      <c r="A908" s="2">
        <v>1441.6657476533601</v>
      </c>
      <c r="B908" s="3">
        <v>-0.52926062839274002</v>
      </c>
      <c r="C908" s="3">
        <v>4.0056100895778402E-4</v>
      </c>
      <c r="D908" s="4">
        <v>8.0448386924074997E-3</v>
      </c>
      <c r="E908" s="3" t="s">
        <v>3654</v>
      </c>
      <c r="F908" s="3" t="s">
        <v>3655</v>
      </c>
      <c r="G908" s="3">
        <v>216549</v>
      </c>
      <c r="H908" s="7" t="str">
        <f>HYPERLINK("http://www.ensembl.org/Mus_musculus/Gene/Summary?db=core;g=ENSMUSG00000049659","ENSMUSG00000049659")</f>
        <v>ENSMUSG00000049659</v>
      </c>
      <c r="I908" s="7" t="str">
        <f>HYPERLINK("http://www.informatics.jax.org/marker/MGI:1923012","MGI:1923012")</f>
        <v>MGI:1923012</v>
      </c>
      <c r="J908" s="4" t="s">
        <v>12</v>
      </c>
    </row>
    <row r="909" spans="1:10" x14ac:dyDescent="0.25">
      <c r="A909" s="2">
        <v>484.17504143763398</v>
      </c>
      <c r="B909" s="3">
        <v>-0.53035452043321196</v>
      </c>
      <c r="C909" s="5">
        <v>2.1510574035905699E-5</v>
      </c>
      <c r="D909" s="4">
        <v>8.4590708455185599E-4</v>
      </c>
      <c r="E909" s="3" t="s">
        <v>958</v>
      </c>
      <c r="F909" s="3" t="s">
        <v>959</v>
      </c>
      <c r="G909" s="3">
        <v>227525</v>
      </c>
      <c r="H909" s="7" t="str">
        <f>HYPERLINK("http://www.ensembl.org/Mus_musculus/Gene/Summary?db=core;g=ENSMUSG00000026648","ENSMUSG00000026648")</f>
        <v>ENSMUSG00000026648</v>
      </c>
      <c r="I909" s="7" t="str">
        <f>HYPERLINK("http://www.informatics.jax.org/marker/MGI:2441769","MGI:2441769")</f>
        <v>MGI:2441769</v>
      </c>
      <c r="J909" s="4" t="s">
        <v>12</v>
      </c>
    </row>
    <row r="910" spans="1:10" x14ac:dyDescent="0.25">
      <c r="A910" s="2">
        <v>2188.4498916078801</v>
      </c>
      <c r="B910" s="3">
        <v>-0.53212638712837002</v>
      </c>
      <c r="C910" s="5">
        <v>3.8090007492159802E-5</v>
      </c>
      <c r="D910" s="4">
        <v>1.3387447320760101E-3</v>
      </c>
      <c r="E910" s="3" t="s">
        <v>910</v>
      </c>
      <c r="F910" s="3" t="s">
        <v>911</v>
      </c>
      <c r="G910" s="3">
        <v>208263</v>
      </c>
      <c r="H910" s="7" t="str">
        <f>HYPERLINK("http://www.ensembl.org/Mus_musculus/Gene/Summary?db=core;g=ENSMUSG00000026466","ENSMUSG00000026466")</f>
        <v>ENSMUSG00000026466</v>
      </c>
      <c r="I910" s="7" t="str">
        <f>HYPERLINK("http://www.informatics.jax.org/marker/MGI:3582693","MGI:3582693")</f>
        <v>MGI:3582693</v>
      </c>
      <c r="J910" s="4" t="s">
        <v>12</v>
      </c>
    </row>
    <row r="911" spans="1:10" x14ac:dyDescent="0.25">
      <c r="A911" s="2">
        <v>3713.0067885124499</v>
      </c>
      <c r="B911" s="3">
        <v>-0.53380899358420797</v>
      </c>
      <c r="C911" s="5">
        <v>5.63935214522969E-6</v>
      </c>
      <c r="D911" s="4">
        <v>2.9638221297849702E-4</v>
      </c>
      <c r="E911" s="3" t="s">
        <v>933</v>
      </c>
      <c r="F911" s="3" t="s">
        <v>934</v>
      </c>
      <c r="G911" s="3">
        <v>240832</v>
      </c>
      <c r="H911" s="7" t="str">
        <f>HYPERLINK("http://www.ensembl.org/Mus_musculus/Gene/Summary?db=core;g=ENSMUSG00000050565","ENSMUSG00000050565")</f>
        <v>ENSMUSG00000050565</v>
      </c>
      <c r="I911" s="7" t="str">
        <f>HYPERLINK("http://www.informatics.jax.org/marker/MGI:3582695","MGI:3582695")</f>
        <v>MGI:3582695</v>
      </c>
      <c r="J911" s="4" t="s">
        <v>12</v>
      </c>
    </row>
    <row r="912" spans="1:10" x14ac:dyDescent="0.25">
      <c r="A912" s="2">
        <v>16811.473564454202</v>
      </c>
      <c r="B912" s="3">
        <v>-0.53628715262943905</v>
      </c>
      <c r="C912" s="5">
        <v>7.2992476868487699E-5</v>
      </c>
      <c r="D912" s="4">
        <v>2.13788121703094E-3</v>
      </c>
      <c r="E912" s="3" t="s">
        <v>1174</v>
      </c>
      <c r="F912" s="3" t="s">
        <v>1175</v>
      </c>
      <c r="G912" s="3">
        <v>56193</v>
      </c>
      <c r="H912" s="7" t="str">
        <f>HYPERLINK("http://www.ensembl.org/Mus_musculus/Gene/Summary?db=core;g=ENSMUSG00000020120","ENSMUSG00000020120")</f>
        <v>ENSMUSG00000020120</v>
      </c>
      <c r="I912" s="7" t="str">
        <f>HYPERLINK("http://www.informatics.jax.org/marker/MGI:1860485","MGI:1860485")</f>
        <v>MGI:1860485</v>
      </c>
      <c r="J912" s="4" t="s">
        <v>12</v>
      </c>
    </row>
    <row r="913" spans="1:10" x14ac:dyDescent="0.25">
      <c r="A913" s="2">
        <v>851.10853145119302</v>
      </c>
      <c r="B913" s="3">
        <v>-0.53646727263804705</v>
      </c>
      <c r="C913" s="5">
        <v>3.3612140476746599E-9</v>
      </c>
      <c r="D913" s="6">
        <v>7.5607148788393898E-7</v>
      </c>
      <c r="E913" s="3" t="s">
        <v>1202</v>
      </c>
      <c r="F913" s="3" t="s">
        <v>1203</v>
      </c>
      <c r="G913" s="3">
        <v>319481</v>
      </c>
      <c r="H913" s="7" t="str">
        <f>HYPERLINK("http://www.ensembl.org/Mus_musculus/Gene/Summary?db=core;g=ENSMUSG00000031959","ENSMUSG00000031959")</f>
        <v>ENSMUSG00000031959</v>
      </c>
      <c r="I913" s="7" t="str">
        <f>HYPERLINK("http://www.informatics.jax.org/marker/MGI:2442115","MGI:2442115")</f>
        <v>MGI:2442115</v>
      </c>
      <c r="J913" s="4" t="s">
        <v>12</v>
      </c>
    </row>
    <row r="914" spans="1:10" x14ac:dyDescent="0.25">
      <c r="A914" s="2">
        <v>1014.01141842323</v>
      </c>
      <c r="B914" s="3">
        <v>-0.538262616371186</v>
      </c>
      <c r="C914" s="5">
        <v>4.12565698721303E-9</v>
      </c>
      <c r="D914" s="6">
        <v>8.7549554972047E-7</v>
      </c>
      <c r="E914" s="3" t="s">
        <v>71</v>
      </c>
      <c r="F914" s="3" t="s">
        <v>72</v>
      </c>
      <c r="G914" s="3">
        <v>22350</v>
      </c>
      <c r="H914" s="7" t="str">
        <f>HYPERLINK("http://www.ensembl.org/Mus_musculus/Gene/Summary?db=core;g=ENSMUSG00000052397","ENSMUSG00000052397")</f>
        <v>ENSMUSG00000052397</v>
      </c>
      <c r="I914" s="7" t="str">
        <f>HYPERLINK("http://www.informatics.jax.org/marker/MGI:98931","MGI:98931")</f>
        <v>MGI:98931</v>
      </c>
      <c r="J914" s="4" t="s">
        <v>12</v>
      </c>
    </row>
    <row r="915" spans="1:10" x14ac:dyDescent="0.25">
      <c r="A915" s="2">
        <v>594.93803322845497</v>
      </c>
      <c r="B915" s="3">
        <v>-0.54085007882087299</v>
      </c>
      <c r="C915" s="5">
        <v>1.7981134891016301E-5</v>
      </c>
      <c r="D915" s="4">
        <v>7.4078323853209096E-4</v>
      </c>
      <c r="E915" s="3" t="s">
        <v>1388</v>
      </c>
      <c r="F915" s="3" t="s">
        <v>1389</v>
      </c>
      <c r="G915" s="3">
        <v>80751</v>
      </c>
      <c r="H915" s="7" t="str">
        <f>HYPERLINK("http://www.ensembl.org/Mus_musculus/Gene/Summary?db=core;g=ENSMUSG00000029474","ENSMUSG00000029474")</f>
        <v>ENSMUSG00000029474</v>
      </c>
      <c r="I915" s="7" t="str">
        <f>HYPERLINK("http://www.informatics.jax.org/marker/MGI:2153340","MGI:2153340")</f>
        <v>MGI:2153340</v>
      </c>
      <c r="J915" s="4" t="s">
        <v>12</v>
      </c>
    </row>
    <row r="916" spans="1:10" x14ac:dyDescent="0.25">
      <c r="A916" s="2">
        <v>343.947122472057</v>
      </c>
      <c r="B916" s="3">
        <v>-0.54660997459263405</v>
      </c>
      <c r="C916" s="3">
        <v>6.8723703597449004E-4</v>
      </c>
      <c r="D916" s="4">
        <v>1.20021039496973E-2</v>
      </c>
      <c r="E916" s="3" t="s">
        <v>2824</v>
      </c>
      <c r="F916" s="3" t="s">
        <v>2825</v>
      </c>
      <c r="G916" s="3">
        <v>110253</v>
      </c>
      <c r="H916" s="7" t="str">
        <f>HYPERLINK("http://www.ensembl.org/Mus_musculus/Gene/Summary?db=core;g=ENSMUSG00000033088","ENSMUSG00000033088")</f>
        <v>ENSMUSG00000033088</v>
      </c>
      <c r="I916" s="7" t="str">
        <f>HYPERLINK("http://www.informatics.jax.org/marker/MGI:1349410","MGI:1349410")</f>
        <v>MGI:1349410</v>
      </c>
      <c r="J916" s="4" t="s">
        <v>12</v>
      </c>
    </row>
    <row r="917" spans="1:10" x14ac:dyDescent="0.25">
      <c r="A917" s="2">
        <v>1606.73686611109</v>
      </c>
      <c r="B917" s="3">
        <v>-0.54957762726342796</v>
      </c>
      <c r="C917" s="5">
        <v>2.0478851432535901E-5</v>
      </c>
      <c r="D917" s="4">
        <v>8.1387152671989998E-4</v>
      </c>
      <c r="E917" s="3" t="s">
        <v>2577</v>
      </c>
      <c r="F917" s="3" t="s">
        <v>2578</v>
      </c>
      <c r="G917" s="3">
        <v>69104</v>
      </c>
      <c r="H917" s="7" t="str">
        <f>HYPERLINK("http://www.ensembl.org/Mus_musculus/Gene/Summary?db=core;g=ENSMUSG00000023307","ENSMUSG00000023307")</f>
        <v>ENSMUSG00000023307</v>
      </c>
      <c r="I917" s="7" t="str">
        <f>HYPERLINK("http://www.informatics.jax.org/marker/MGI:1915207","MGI:1915207")</f>
        <v>MGI:1915207</v>
      </c>
      <c r="J917" s="4" t="s">
        <v>12</v>
      </c>
    </row>
    <row r="918" spans="1:10" x14ac:dyDescent="0.25">
      <c r="A918" s="2">
        <v>14301.349142335401</v>
      </c>
      <c r="B918" s="3">
        <v>-0.55062040976979798</v>
      </c>
      <c r="C918" s="5">
        <v>4.38780905587771E-7</v>
      </c>
      <c r="D918" s="6">
        <v>3.8858022402721801E-5</v>
      </c>
      <c r="E918" s="3" t="s">
        <v>368</v>
      </c>
      <c r="F918" s="3" t="s">
        <v>369</v>
      </c>
      <c r="G918" s="3">
        <v>29876</v>
      </c>
      <c r="H918" s="7" t="str">
        <f>HYPERLINK("http://www.ensembl.org/Mus_musculus/Gene/Summary?db=core;g=ENSMUSG00000037242","ENSMUSG00000037242")</f>
        <v>ENSMUSG00000037242</v>
      </c>
      <c r="I918" s="7" t="str">
        <f>HYPERLINK("http://www.informatics.jax.org/marker/MGI:1352754","MGI:1352754")</f>
        <v>MGI:1352754</v>
      </c>
      <c r="J918" s="4" t="s">
        <v>12</v>
      </c>
    </row>
    <row r="919" spans="1:10" x14ac:dyDescent="0.25">
      <c r="A919" s="2">
        <v>1002.73673783177</v>
      </c>
      <c r="B919" s="3">
        <v>-0.55064236646338705</v>
      </c>
      <c r="C919" s="3">
        <v>1.2245491153602601E-3</v>
      </c>
      <c r="D919" s="4">
        <v>1.8738100544839199E-2</v>
      </c>
      <c r="E919" s="3" t="s">
        <v>258</v>
      </c>
      <c r="F919" s="3" t="s">
        <v>259</v>
      </c>
      <c r="G919" s="3">
        <v>671535</v>
      </c>
      <c r="H919" s="7" t="str">
        <f>HYPERLINK("http://www.ensembl.org/Mus_musculus/Gene/Summary?db=core;g=ENSMUSG00000063268","ENSMUSG00000063268")</f>
        <v>ENSMUSG00000063268</v>
      </c>
      <c r="I919" s="7" t="str">
        <f>HYPERLINK("http://www.informatics.jax.org/marker/MGI:3712326","MGI:3712326")</f>
        <v>MGI:3712326</v>
      </c>
      <c r="J919" s="4" t="s">
        <v>12</v>
      </c>
    </row>
    <row r="920" spans="1:10" x14ac:dyDescent="0.25">
      <c r="A920" s="2">
        <v>1756.37553519475</v>
      </c>
      <c r="B920" s="3">
        <v>-0.55456759078020101</v>
      </c>
      <c r="C920" s="3">
        <v>7.96322105522305E-4</v>
      </c>
      <c r="D920" s="4">
        <v>1.34477998810951E-2</v>
      </c>
      <c r="E920" s="3" t="s">
        <v>4006</v>
      </c>
      <c r="F920" s="3" t="s">
        <v>4007</v>
      </c>
      <c r="G920" s="3">
        <v>14457</v>
      </c>
      <c r="H920" s="7" t="str">
        <f>HYPERLINK("http://www.ensembl.org/Mus_musculus/Gene/Summary?db=core;g=ENSMUSG00000033066","ENSMUSG00000033066")</f>
        <v>ENSMUSG00000033066</v>
      </c>
      <c r="I920" s="7" t="str">
        <f>HYPERLINK("http://www.informatics.jax.org/marker/MGI:1202388","MGI:1202388")</f>
        <v>MGI:1202388</v>
      </c>
      <c r="J920" s="4" t="s">
        <v>12</v>
      </c>
    </row>
    <row r="921" spans="1:10" x14ac:dyDescent="0.25">
      <c r="A921" s="2">
        <v>105.805033966338</v>
      </c>
      <c r="B921" s="3">
        <v>-0.555444961814476</v>
      </c>
      <c r="C921" s="3">
        <v>6.8482286472156797E-4</v>
      </c>
      <c r="D921" s="4">
        <v>1.1978542394282201E-2</v>
      </c>
      <c r="E921" s="3" t="s">
        <v>14461</v>
      </c>
      <c r="F921" s="3" t="s">
        <v>14462</v>
      </c>
      <c r="G921" s="3" t="s">
        <v>83</v>
      </c>
      <c r="H921" s="7" t="str">
        <f>HYPERLINK("http://www.ensembl.org/Mus_musculus/Gene/Summary?db=core;g=ENSMUSG00000106943","ENSMUSG00000106943")</f>
        <v>ENSMUSG00000106943</v>
      </c>
      <c r="I921" s="7" t="str">
        <f>HYPERLINK("http://www.informatics.jax.org/marker/MGI:1917286","MGI:1917286")</f>
        <v>MGI:1917286</v>
      </c>
      <c r="J921" s="4" t="s">
        <v>331</v>
      </c>
    </row>
    <row r="922" spans="1:10" x14ac:dyDescent="0.25">
      <c r="A922" s="2">
        <v>148.32409351740699</v>
      </c>
      <c r="B922" s="3">
        <v>-0.5565970346718</v>
      </c>
      <c r="C922" s="3">
        <v>2.6153930290578999E-3</v>
      </c>
      <c r="D922" s="4">
        <v>3.3488428209027199E-2</v>
      </c>
      <c r="E922" s="3" t="s">
        <v>5235</v>
      </c>
      <c r="F922" s="3" t="s">
        <v>5236</v>
      </c>
      <c r="G922" s="3">
        <v>14462</v>
      </c>
      <c r="H922" s="7" t="str">
        <f>HYPERLINK("http://www.ensembl.org/Mus_musculus/Gene/Summary?db=core;g=ENSMUSG00000015619","ENSMUSG00000015619")</f>
        <v>ENSMUSG00000015619</v>
      </c>
      <c r="I922" s="7" t="str">
        <f>HYPERLINK("http://www.informatics.jax.org/marker/MGI:95663","MGI:95663")</f>
        <v>MGI:95663</v>
      </c>
      <c r="J922" s="4" t="s">
        <v>12</v>
      </c>
    </row>
    <row r="923" spans="1:10" x14ac:dyDescent="0.25">
      <c r="A923" s="2">
        <v>1279.9489940031001</v>
      </c>
      <c r="B923" s="3">
        <v>-0.55872607004265096</v>
      </c>
      <c r="C923" s="5">
        <v>2.4318238602968801E-8</v>
      </c>
      <c r="D923" s="6">
        <v>3.7642709599477002E-6</v>
      </c>
      <c r="E923" s="3" t="s">
        <v>1060</v>
      </c>
      <c r="F923" s="3" t="s">
        <v>1061</v>
      </c>
      <c r="G923" s="3">
        <v>22217</v>
      </c>
      <c r="H923" s="7" t="str">
        <f>HYPERLINK("http://www.ensembl.org/Mus_musculus/Gene/Summary?db=core;g=ENSMUSG00000029640","ENSMUSG00000029640")</f>
        <v>ENSMUSG00000029640</v>
      </c>
      <c r="I923" s="7" t="str">
        <f>HYPERLINK("http://www.informatics.jax.org/marker/MGI:1270128","MGI:1270128")</f>
        <v>MGI:1270128</v>
      </c>
      <c r="J923" s="4" t="s">
        <v>12</v>
      </c>
    </row>
    <row r="924" spans="1:10" x14ac:dyDescent="0.25">
      <c r="A924" s="2">
        <v>642.69676172339302</v>
      </c>
      <c r="B924" s="3">
        <v>-0.55896464003759005</v>
      </c>
      <c r="C924" s="3">
        <v>3.8929358067038599E-4</v>
      </c>
      <c r="D924" s="4">
        <v>7.9208707353897595E-3</v>
      </c>
      <c r="E924" s="3" t="s">
        <v>3768</v>
      </c>
      <c r="F924" s="3" t="s">
        <v>3769</v>
      </c>
      <c r="G924" s="3">
        <v>268567</v>
      </c>
      <c r="H924" s="7" t="str">
        <f>HYPERLINK("http://www.ensembl.org/Mus_musculus/Gene/Summary?db=core;g=ENSMUSG00000046157","ENSMUSG00000046157")</f>
        <v>ENSMUSG00000046157</v>
      </c>
      <c r="I924" s="7" t="str">
        <f>HYPERLINK("http://www.informatics.jax.org/marker/MGI:2444389","MGI:2444389")</f>
        <v>MGI:2444389</v>
      </c>
      <c r="J924" s="4" t="s">
        <v>12</v>
      </c>
    </row>
    <row r="925" spans="1:10" x14ac:dyDescent="0.25">
      <c r="A925" s="2">
        <v>451.19763954364601</v>
      </c>
      <c r="B925" s="3">
        <v>-0.56300201896935298</v>
      </c>
      <c r="C925" s="3">
        <v>2.4978941436906802E-4</v>
      </c>
      <c r="D925" s="4">
        <v>5.7217546708939202E-3</v>
      </c>
      <c r="E925" s="3" t="s">
        <v>4303</v>
      </c>
      <c r="F925" s="3" t="s">
        <v>4304</v>
      </c>
      <c r="G925" s="3">
        <v>228357</v>
      </c>
      <c r="H925" s="7" t="str">
        <f>HYPERLINK("http://www.ensembl.org/Mus_musculus/Gene/Summary?db=core;g=ENSMUSG00000027253","ENSMUSG00000027253")</f>
        <v>ENSMUSG00000027253</v>
      </c>
      <c r="I925" s="7" t="str">
        <f>HYPERLINK("http://www.informatics.jax.org/marker/MGI:2442252","MGI:2442252")</f>
        <v>MGI:2442252</v>
      </c>
      <c r="J925" s="4" t="s">
        <v>12</v>
      </c>
    </row>
    <row r="926" spans="1:10" x14ac:dyDescent="0.25">
      <c r="A926" s="2">
        <v>2878.6106727249498</v>
      </c>
      <c r="B926" s="3">
        <v>-0.56438021450376696</v>
      </c>
      <c r="C926" s="5">
        <v>8.0120794553907005E-12</v>
      </c>
      <c r="D926" s="6">
        <v>5.0062143130432899E-9</v>
      </c>
      <c r="E926" s="3" t="s">
        <v>204</v>
      </c>
      <c r="F926" s="3" t="s">
        <v>205</v>
      </c>
      <c r="G926" s="3">
        <v>14571</v>
      </c>
      <c r="H926" s="7" t="str">
        <f>HYPERLINK("http://www.ensembl.org/Mus_musculus/Gene/Summary?db=core;g=ENSMUSG00000026827","ENSMUSG00000026827")</f>
        <v>ENSMUSG00000026827</v>
      </c>
      <c r="I926" s="7" t="str">
        <f>HYPERLINK("http://www.informatics.jax.org/marker/MGI:99778","MGI:99778")</f>
        <v>MGI:99778</v>
      </c>
      <c r="J926" s="4" t="s">
        <v>12</v>
      </c>
    </row>
    <row r="927" spans="1:10" x14ac:dyDescent="0.25">
      <c r="A927" s="2">
        <v>2422.7055185814202</v>
      </c>
      <c r="B927" s="3">
        <v>-0.56502369710100897</v>
      </c>
      <c r="C927" s="5">
        <v>2.8447550396711602E-7</v>
      </c>
      <c r="D927" s="6">
        <v>2.7346119599300399E-5</v>
      </c>
      <c r="E927" s="3" t="s">
        <v>798</v>
      </c>
      <c r="F927" s="3" t="s">
        <v>799</v>
      </c>
      <c r="G927" s="3">
        <v>11750</v>
      </c>
      <c r="H927" s="7" t="str">
        <f>HYPERLINK("http://www.ensembl.org/Mus_musculus/Gene/Summary?db=core;g=ENSMUSG00000021814","ENSMUSG00000021814")</f>
        <v>ENSMUSG00000021814</v>
      </c>
      <c r="I927" s="7" t="str">
        <f>HYPERLINK("http://www.informatics.jax.org/marker/MGI:88031","MGI:88031")</f>
        <v>MGI:88031</v>
      </c>
      <c r="J927" s="4" t="s">
        <v>12</v>
      </c>
    </row>
    <row r="928" spans="1:10" x14ac:dyDescent="0.25">
      <c r="A928" s="2">
        <v>1316.7517198729599</v>
      </c>
      <c r="B928" s="3">
        <v>-0.56509140264261204</v>
      </c>
      <c r="C928" s="3">
        <v>9.5932673537485599E-4</v>
      </c>
      <c r="D928" s="4">
        <v>1.54799824860273E-2</v>
      </c>
      <c r="E928" s="3" t="s">
        <v>1818</v>
      </c>
      <c r="F928" s="3" t="s">
        <v>1819</v>
      </c>
      <c r="G928" s="3">
        <v>19188</v>
      </c>
      <c r="H928" s="7" t="str">
        <f>HYPERLINK("http://www.ensembl.org/Mus_musculus/Gene/Summary?db=core;g=ENSMUSG00000079197","ENSMUSG00000079197")</f>
        <v>ENSMUSG00000079197</v>
      </c>
      <c r="I928" s="7" t="str">
        <f>HYPERLINK("http://www.informatics.jax.org/marker/MGI:1096365","MGI:1096365")</f>
        <v>MGI:1096365</v>
      </c>
      <c r="J928" s="4" t="s">
        <v>12</v>
      </c>
    </row>
    <row r="929" spans="1:10" x14ac:dyDescent="0.25">
      <c r="A929" s="2">
        <v>1124.4801193036899</v>
      </c>
      <c r="B929" s="3">
        <v>-0.569546406494986</v>
      </c>
      <c r="C929" s="3">
        <v>8.2050283120615498E-4</v>
      </c>
      <c r="D929" s="4">
        <v>1.37120287408256E-2</v>
      </c>
      <c r="E929" s="3" t="s">
        <v>260</v>
      </c>
      <c r="F929" s="3" t="s">
        <v>261</v>
      </c>
      <c r="G929" s="3">
        <v>209200</v>
      </c>
      <c r="H929" s="7" t="str">
        <f>HYPERLINK("http://www.ensembl.org/Mus_musculus/Gene/Summary?db=core;g=ENSMUSG00000049502","ENSMUSG00000049502")</f>
        <v>ENSMUSG00000049502</v>
      </c>
      <c r="I929" s="7" t="str">
        <f>HYPERLINK("http://www.informatics.jax.org/marker/MGI:2656973","MGI:2656973")</f>
        <v>MGI:2656973</v>
      </c>
      <c r="J929" s="4" t="s">
        <v>12</v>
      </c>
    </row>
    <row r="930" spans="1:10" x14ac:dyDescent="0.25">
      <c r="A930" s="2">
        <v>2138.6166288743898</v>
      </c>
      <c r="B930" s="3">
        <v>-0.57005423111709996</v>
      </c>
      <c r="C930" s="5">
        <v>6.7471040592984899E-13</v>
      </c>
      <c r="D930" s="6">
        <v>6.6765033793903704E-10</v>
      </c>
      <c r="E930" s="3" t="s">
        <v>376</v>
      </c>
      <c r="F930" s="3" t="s">
        <v>377</v>
      </c>
      <c r="G930" s="3">
        <v>66552</v>
      </c>
      <c r="H930" s="7" t="str">
        <f>HYPERLINK("http://www.ensembl.org/Mus_musculus/Gene/Summary?db=core;g=ENSMUSG00000027366","ENSMUSG00000027366")</f>
        <v>ENSMUSG00000027366</v>
      </c>
      <c r="I930" s="7" t="str">
        <f>HYPERLINK("http://www.informatics.jax.org/marker/MGI:1913802","MGI:1913802")</f>
        <v>MGI:1913802</v>
      </c>
      <c r="J930" s="4" t="s">
        <v>12</v>
      </c>
    </row>
    <row r="931" spans="1:10" x14ac:dyDescent="0.25">
      <c r="A931" s="2">
        <v>579.88717780616196</v>
      </c>
      <c r="B931" s="3">
        <v>-0.57032483764997399</v>
      </c>
      <c r="C931" s="5">
        <v>1.4894920821598699E-5</v>
      </c>
      <c r="D931" s="4">
        <v>6.4680762347691398E-4</v>
      </c>
      <c r="E931" s="3" t="s">
        <v>17022</v>
      </c>
      <c r="F931" s="3" t="s">
        <v>17023</v>
      </c>
      <c r="G931" s="3">
        <v>218203</v>
      </c>
      <c r="H931" s="7" t="str">
        <f>HYPERLINK("http://www.ensembl.org/Mus_musculus/Gene/Summary?db=core;g=ENSMUSG00000038175","ENSMUSG00000038175")</f>
        <v>ENSMUSG00000038175</v>
      </c>
      <c r="I931" s="7" t="str">
        <f>HYPERLINK("http://www.informatics.jax.org/marker/MGI:2388271","MGI:2388271")</f>
        <v>MGI:2388271</v>
      </c>
      <c r="J931" s="4" t="s">
        <v>12</v>
      </c>
    </row>
    <row r="932" spans="1:10" x14ac:dyDescent="0.25">
      <c r="A932" s="2">
        <v>374.34044595090597</v>
      </c>
      <c r="B932" s="3">
        <v>-0.57071452904309805</v>
      </c>
      <c r="C932" s="3">
        <v>1.5032059126268999E-3</v>
      </c>
      <c r="D932" s="4">
        <v>2.1985119504960699E-2</v>
      </c>
      <c r="E932" s="3" t="s">
        <v>7944</v>
      </c>
      <c r="F932" s="3" t="s">
        <v>7945</v>
      </c>
      <c r="G932" s="3">
        <v>11630</v>
      </c>
      <c r="H932" s="7" t="str">
        <f>HYPERLINK("http://www.ensembl.org/Mus_musculus/Gene/Summary?db=core;g=ENSMUSG00000019866","ENSMUSG00000019866")</f>
        <v>ENSMUSG00000019866</v>
      </c>
      <c r="I932" s="7" t="str">
        <f>HYPERLINK("http://www.informatics.jax.org/marker/MGI:109544","MGI:109544")</f>
        <v>MGI:109544</v>
      </c>
      <c r="J932" s="4" t="s">
        <v>12</v>
      </c>
    </row>
    <row r="933" spans="1:10" x14ac:dyDescent="0.25">
      <c r="A933" s="2">
        <v>4648.9676087891903</v>
      </c>
      <c r="B933" s="3">
        <v>-0.57143498750154598</v>
      </c>
      <c r="C933" s="5">
        <v>1.82138697050155E-6</v>
      </c>
      <c r="D933" s="4">
        <v>1.19099646844366E-4</v>
      </c>
      <c r="E933" s="3" t="s">
        <v>21</v>
      </c>
      <c r="F933" s="3" t="s">
        <v>22</v>
      </c>
      <c r="G933" s="3">
        <v>13660</v>
      </c>
      <c r="H933" s="7" t="str">
        <f>HYPERLINK("http://www.ensembl.org/Mus_musculus/Gene/Summary?db=core;g=ENSMUSG00000024772","ENSMUSG00000024772")</f>
        <v>ENSMUSG00000024772</v>
      </c>
      <c r="I933" s="7" t="str">
        <f>HYPERLINK("http://www.informatics.jax.org/marker/MGI:1341878","MGI:1341878")</f>
        <v>MGI:1341878</v>
      </c>
      <c r="J933" s="4" t="s">
        <v>12</v>
      </c>
    </row>
    <row r="934" spans="1:10" x14ac:dyDescent="0.25">
      <c r="A934" s="2">
        <v>1265.9941926251699</v>
      </c>
      <c r="B934" s="3">
        <v>-0.57192066003551201</v>
      </c>
      <c r="C934" s="3">
        <v>7.9994680202791896E-4</v>
      </c>
      <c r="D934" s="4">
        <v>1.34887581445397E-2</v>
      </c>
      <c r="E934" s="3" t="s">
        <v>12633</v>
      </c>
      <c r="F934" s="3" t="s">
        <v>12634</v>
      </c>
      <c r="G934" s="3">
        <v>20351</v>
      </c>
      <c r="H934" s="7" t="str">
        <f>HYPERLINK("http://www.ensembl.org/Mus_musculus/Gene/Summary?db=core;g=ENSMUSG00000028064","ENSMUSG00000028064")</f>
        <v>ENSMUSG00000028064</v>
      </c>
      <c r="I934" s="7" t="str">
        <f>HYPERLINK("http://www.informatics.jax.org/marker/MGI:107560","MGI:107560")</f>
        <v>MGI:107560</v>
      </c>
      <c r="J934" s="4" t="s">
        <v>12</v>
      </c>
    </row>
    <row r="935" spans="1:10" x14ac:dyDescent="0.25">
      <c r="A935" s="2">
        <v>802.930705393121</v>
      </c>
      <c r="B935" s="3">
        <v>-0.57241233596448204</v>
      </c>
      <c r="C935" s="5">
        <v>7.4917569531836696E-7</v>
      </c>
      <c r="D935" s="6">
        <v>5.9337880600321603E-5</v>
      </c>
      <c r="E935" s="3" t="s">
        <v>820</v>
      </c>
      <c r="F935" s="3" t="s">
        <v>821</v>
      </c>
      <c r="G935" s="3">
        <v>70617</v>
      </c>
      <c r="H935" s="7" t="str">
        <f>HYPERLINK("http://www.ensembl.org/Mus_musculus/Gene/Summary?db=core;g=ENSMUSG00000050549","ENSMUSG00000050549")</f>
        <v>ENSMUSG00000050549</v>
      </c>
      <c r="I935" s="7" t="str">
        <f>HYPERLINK("http://www.informatics.jax.org/marker/MGI:1917867","MGI:1917867")</f>
        <v>MGI:1917867</v>
      </c>
      <c r="J935" s="4" t="s">
        <v>12</v>
      </c>
    </row>
    <row r="936" spans="1:10" x14ac:dyDescent="0.25">
      <c r="A936" s="2">
        <v>2080.0136242641502</v>
      </c>
      <c r="B936" s="3">
        <v>-0.58001339798774698</v>
      </c>
      <c r="C936" s="5">
        <v>4.1910325915741501E-5</v>
      </c>
      <c r="D936" s="4">
        <v>1.43708974260471E-3</v>
      </c>
      <c r="E936" s="3" t="s">
        <v>1694</v>
      </c>
      <c r="F936" s="3" t="s">
        <v>1695</v>
      </c>
      <c r="G936" s="3">
        <v>75320</v>
      </c>
      <c r="H936" s="7" t="str">
        <f>HYPERLINK("http://www.ensembl.org/Mus_musculus/Gene/Summary?db=core;g=ENSMUSG00000030275","ENSMUSG00000030275")</f>
        <v>ENSMUSG00000030275</v>
      </c>
      <c r="I936" s="7" t="str">
        <f>HYPERLINK("http://www.informatics.jax.org/marker/MGI:1922570","MGI:1922570")</f>
        <v>MGI:1922570</v>
      </c>
      <c r="J936" s="4" t="s">
        <v>12</v>
      </c>
    </row>
    <row r="937" spans="1:10" x14ac:dyDescent="0.25">
      <c r="A937" s="2">
        <v>356.80047396047701</v>
      </c>
      <c r="B937" s="3">
        <v>-0.58093971598888205</v>
      </c>
      <c r="C937" s="3">
        <v>2.15588932239269E-3</v>
      </c>
      <c r="D937" s="4">
        <v>2.8969279819534701E-2</v>
      </c>
      <c r="E937" s="3" t="s">
        <v>616</v>
      </c>
      <c r="F937" s="3" t="s">
        <v>617</v>
      </c>
      <c r="G937" s="3">
        <v>18413</v>
      </c>
      <c r="H937" s="7" t="str">
        <f>HYPERLINK("http://www.ensembl.org/Mus_musculus/Gene/Summary?db=core;g=ENSMUSG00000058755","ENSMUSG00000058755")</f>
        <v>ENSMUSG00000058755</v>
      </c>
      <c r="I937" s="7" t="str">
        <f>HYPERLINK("http://www.informatics.jax.org/marker/MGI:104749","MGI:104749")</f>
        <v>MGI:104749</v>
      </c>
      <c r="J937" s="4" t="s">
        <v>12</v>
      </c>
    </row>
    <row r="938" spans="1:10" x14ac:dyDescent="0.25">
      <c r="A938" s="2">
        <v>1140.5311625320601</v>
      </c>
      <c r="B938" s="3">
        <v>-0.58109899091398398</v>
      </c>
      <c r="C938" s="5">
        <v>2.5477612743600102E-5</v>
      </c>
      <c r="D938" s="4">
        <v>9.7797512125348302E-4</v>
      </c>
      <c r="E938" s="3" t="s">
        <v>240</v>
      </c>
      <c r="F938" s="3" t="s">
        <v>241</v>
      </c>
      <c r="G938" s="3">
        <v>75234</v>
      </c>
      <c r="H938" s="7" t="str">
        <f>HYPERLINK("http://www.ensembl.org/Mus_musculus/Gene/Summary?db=core;g=ENSMUSG00000028793","ENSMUSG00000028793")</f>
        <v>ENSMUSG00000028793</v>
      </c>
      <c r="I938" s="7" t="str">
        <f>HYPERLINK("http://www.informatics.jax.org/marker/MGI:1922484","MGI:1922484")</f>
        <v>MGI:1922484</v>
      </c>
      <c r="J938" s="4" t="s">
        <v>12</v>
      </c>
    </row>
    <row r="939" spans="1:10" x14ac:dyDescent="0.25">
      <c r="A939" s="2">
        <v>342.16200207191798</v>
      </c>
      <c r="B939" s="3">
        <v>-0.58539670423125001</v>
      </c>
      <c r="C939" s="3">
        <v>6.5138493994196299E-4</v>
      </c>
      <c r="D939" s="4">
        <v>1.1613723043524401E-2</v>
      </c>
      <c r="E939" s="3" t="s">
        <v>456</v>
      </c>
      <c r="F939" s="3" t="s">
        <v>457</v>
      </c>
      <c r="G939" s="3" t="s">
        <v>83</v>
      </c>
      <c r="H939" s="7" t="str">
        <f>HYPERLINK("http://www.ensembl.org/Mus_musculus/Gene/Summary?db=core;g=ENSMUSG00000072621","ENSMUSG00000072621")</f>
        <v>ENSMUSG00000072621</v>
      </c>
      <c r="I939" s="7" t="str">
        <f>HYPERLINK("http://www.informatics.jax.org/marker/MGI:3512288","MGI:3512288")</f>
        <v>MGI:3512288</v>
      </c>
      <c r="J939" s="4" t="s">
        <v>320</v>
      </c>
    </row>
    <row r="940" spans="1:10" x14ac:dyDescent="0.25">
      <c r="A940" s="2">
        <v>11295.659071161899</v>
      </c>
      <c r="B940" s="3">
        <v>-0.58798767839144495</v>
      </c>
      <c r="C940" s="3">
        <v>1.34528557603009E-3</v>
      </c>
      <c r="D940" s="4">
        <v>2.02008369474104E-2</v>
      </c>
      <c r="E940" s="3" t="s">
        <v>2964</v>
      </c>
      <c r="F940" s="3" t="s">
        <v>2965</v>
      </c>
      <c r="G940" s="3">
        <v>18477</v>
      </c>
      <c r="H940" s="7" t="str">
        <f>HYPERLINK("http://www.ensembl.org/Mus_musculus/Gene/Summary?db=core;g=ENSMUSG00000028691","ENSMUSG00000028691")</f>
        <v>ENSMUSG00000028691</v>
      </c>
      <c r="I940" s="7" t="str">
        <f>HYPERLINK("http://www.informatics.jax.org/marker/MGI:99523","MGI:99523")</f>
        <v>MGI:99523</v>
      </c>
      <c r="J940" s="4" t="s">
        <v>12</v>
      </c>
    </row>
    <row r="941" spans="1:10" x14ac:dyDescent="0.25">
      <c r="A941" s="2">
        <v>494.09588108773403</v>
      </c>
      <c r="B941" s="3">
        <v>-0.58995537724247005</v>
      </c>
      <c r="C941" s="3">
        <v>2.82381811927777E-3</v>
      </c>
      <c r="D941" s="4">
        <v>3.4823993845961701E-2</v>
      </c>
      <c r="E941" s="3" t="s">
        <v>590</v>
      </c>
      <c r="F941" s="3" t="s">
        <v>591</v>
      </c>
      <c r="G941" s="3">
        <v>70110</v>
      </c>
      <c r="H941" s="7" t="str">
        <f>HYPERLINK("http://www.ensembl.org/Mus_musculus/Gene/Summary?db=core;g=ENSMUSG00000010358","ENSMUSG00000010358")</f>
        <v>ENSMUSG00000010358</v>
      </c>
      <c r="I941" s="7" t="str">
        <f>HYPERLINK("http://www.informatics.jax.org/marker/MGI:1917360","MGI:1917360")</f>
        <v>MGI:1917360</v>
      </c>
      <c r="J941" s="4" t="s">
        <v>12</v>
      </c>
    </row>
    <row r="942" spans="1:10" x14ac:dyDescent="0.25">
      <c r="A942" s="2">
        <v>772.08907510244399</v>
      </c>
      <c r="B942" s="3">
        <v>-0.59095707453963997</v>
      </c>
      <c r="C942" s="5">
        <v>1.24312039059529E-5</v>
      </c>
      <c r="D942" s="4">
        <v>5.6376512229940501E-4</v>
      </c>
      <c r="E942" s="3" t="s">
        <v>3112</v>
      </c>
      <c r="F942" s="3" t="s">
        <v>3113</v>
      </c>
      <c r="G942" s="3">
        <v>66151</v>
      </c>
      <c r="H942" s="7" t="str">
        <f>HYPERLINK("http://www.ensembl.org/Mus_musculus/Gene/Summary?db=core;g=ENSMUSG00000023048","ENSMUSG00000023048")</f>
        <v>ENSMUSG00000023048</v>
      </c>
      <c r="I942" s="7" t="str">
        <f>HYPERLINK("http://www.informatics.jax.org/marker/MGI:1913401","MGI:1913401")</f>
        <v>MGI:1913401</v>
      </c>
      <c r="J942" s="4" t="s">
        <v>12</v>
      </c>
    </row>
    <row r="943" spans="1:10" x14ac:dyDescent="0.25">
      <c r="A943" s="2">
        <v>274.24838188393699</v>
      </c>
      <c r="B943" s="3">
        <v>-0.59134053108657303</v>
      </c>
      <c r="C943" s="5">
        <v>2.0329956597414801E-7</v>
      </c>
      <c r="D943" s="6">
        <v>2.0599191157758998E-5</v>
      </c>
      <c r="E943" s="3" t="s">
        <v>3380</v>
      </c>
      <c r="F943" s="3" t="s">
        <v>3381</v>
      </c>
      <c r="G943" s="3">
        <v>73373</v>
      </c>
      <c r="H943" s="7" t="str">
        <f>HYPERLINK("http://www.ensembl.org/Mus_musculus/Gene/Summary?db=core;g=ENSMUSG00000027088","ENSMUSG00000027088")</f>
        <v>ENSMUSG00000027088</v>
      </c>
      <c r="I943" s="7" t="str">
        <f>HYPERLINK("http://www.informatics.jax.org/marker/MGI:1920623","MGI:1920623")</f>
        <v>MGI:1920623</v>
      </c>
      <c r="J943" s="4" t="s">
        <v>12</v>
      </c>
    </row>
    <row r="944" spans="1:10" x14ac:dyDescent="0.25">
      <c r="A944" s="2">
        <v>542.61725335582696</v>
      </c>
      <c r="B944" s="3">
        <v>-0.59228113166865703</v>
      </c>
      <c r="C944" s="3">
        <v>1.5522209716928499E-4</v>
      </c>
      <c r="D944" s="4">
        <v>3.8453368433104601E-3</v>
      </c>
      <c r="E944" s="3" t="s">
        <v>2459</v>
      </c>
      <c r="F944" s="3" t="s">
        <v>2460</v>
      </c>
      <c r="G944" s="3">
        <v>108100</v>
      </c>
      <c r="H944" s="7" t="str">
        <f>HYPERLINK("http://www.ensembl.org/Mus_musculus/Gene/Summary?db=core;g=ENSMUSG00000025372","ENSMUSG00000025372")</f>
        <v>ENSMUSG00000025372</v>
      </c>
      <c r="I944" s="7" t="str">
        <f>HYPERLINK("http://www.informatics.jax.org/marker/MGI:2137336","MGI:2137336")</f>
        <v>MGI:2137336</v>
      </c>
      <c r="J944" s="4" t="s">
        <v>12</v>
      </c>
    </row>
    <row r="945" spans="1:10" x14ac:dyDescent="0.25">
      <c r="A945" s="2">
        <v>1092.2731879120099</v>
      </c>
      <c r="B945" s="3">
        <v>-0.59400926034780299</v>
      </c>
      <c r="C945" s="5">
        <v>8.8386791126344696E-5</v>
      </c>
      <c r="D945" s="4">
        <v>2.4069884740871598E-3</v>
      </c>
      <c r="E945" s="3" t="s">
        <v>79</v>
      </c>
      <c r="F945" s="3" t="s">
        <v>80</v>
      </c>
      <c r="G945" s="3">
        <v>75767</v>
      </c>
      <c r="H945" s="7" t="str">
        <f>HYPERLINK("http://www.ensembl.org/Mus_musculus/Gene/Summary?db=core;g=ENSMUSG00000031488","ENSMUSG00000031488")</f>
        <v>ENSMUSG00000031488</v>
      </c>
      <c r="I945" s="7" t="str">
        <f>HYPERLINK("http://www.informatics.jax.org/marker/MGI:1923017","MGI:1923017")</f>
        <v>MGI:1923017</v>
      </c>
      <c r="J945" s="4" t="s">
        <v>12</v>
      </c>
    </row>
    <row r="946" spans="1:10" x14ac:dyDescent="0.25">
      <c r="A946" s="2">
        <v>1787.3345764630201</v>
      </c>
      <c r="B946" s="3">
        <v>-0.59998889709145897</v>
      </c>
      <c r="C946" s="5">
        <v>1.9699879816159799E-5</v>
      </c>
      <c r="D946" s="4">
        <v>7.8848593698345004E-4</v>
      </c>
      <c r="E946" s="3" t="s">
        <v>1556</v>
      </c>
      <c r="F946" s="3" t="s">
        <v>1557</v>
      </c>
      <c r="G946" s="3">
        <v>434341</v>
      </c>
      <c r="H946" s="7" t="str">
        <f>HYPERLINK("http://www.ensembl.org/Mus_musculus/Gene/Summary?db=core;g=ENSMUSG00000074151","ENSMUSG00000074151")</f>
        <v>ENSMUSG00000074151</v>
      </c>
      <c r="I946" s="7" t="str">
        <f>HYPERLINK("http://www.informatics.jax.org/marker/MGI:3612191","MGI:3612191")</f>
        <v>MGI:3612191</v>
      </c>
      <c r="J946" s="4" t="s">
        <v>12</v>
      </c>
    </row>
    <row r="947" spans="1:10" x14ac:dyDescent="0.25">
      <c r="A947" s="2">
        <v>321.852199254732</v>
      </c>
      <c r="B947" s="3">
        <v>-0.60473763014359905</v>
      </c>
      <c r="C947" s="3">
        <v>2.39866919403712E-4</v>
      </c>
      <c r="D947" s="4">
        <v>5.5842922141613903E-3</v>
      </c>
      <c r="E947" s="3" t="s">
        <v>1270</v>
      </c>
      <c r="F947" s="3" t="s">
        <v>1271</v>
      </c>
      <c r="G947" s="3">
        <v>11796</v>
      </c>
      <c r="H947" s="7" t="str">
        <f>HYPERLINK("http://www.ensembl.org/Mus_musculus/Gene/Summary?db=core;g=ENSMUSG00000032000","ENSMUSG00000032000")</f>
        <v>ENSMUSG00000032000</v>
      </c>
      <c r="I947" s="7" t="str">
        <f>HYPERLINK("http://www.informatics.jax.org/marker/MGI:1197007","MGI:1197007")</f>
        <v>MGI:1197007</v>
      </c>
      <c r="J947" s="4" t="s">
        <v>12</v>
      </c>
    </row>
    <row r="948" spans="1:10" x14ac:dyDescent="0.25">
      <c r="A948" s="2">
        <v>8361.9665338519408</v>
      </c>
      <c r="B948" s="3">
        <v>-0.60486612315193999</v>
      </c>
      <c r="C948" s="3">
        <v>3.0111402634860402E-4</v>
      </c>
      <c r="D948" s="4">
        <v>6.6016168700638502E-3</v>
      </c>
      <c r="E948" s="3" t="s">
        <v>804</v>
      </c>
      <c r="F948" s="3" t="s">
        <v>805</v>
      </c>
      <c r="G948" s="3">
        <v>286940</v>
      </c>
      <c r="H948" s="7" t="str">
        <f>HYPERLINK("http://www.ensembl.org/Mus_musculus/Gene/Summary?db=core;g=ENSMUSG00000025278","ENSMUSG00000025278")</f>
        <v>ENSMUSG00000025278</v>
      </c>
      <c r="I948" s="7" t="str">
        <f>HYPERLINK("http://www.informatics.jax.org/marker/MGI:2446089","MGI:2446089")</f>
        <v>MGI:2446089</v>
      </c>
      <c r="J948" s="4" t="s">
        <v>12</v>
      </c>
    </row>
    <row r="949" spans="1:10" x14ac:dyDescent="0.25">
      <c r="A949" s="2">
        <v>737.51700056383504</v>
      </c>
      <c r="B949" s="3">
        <v>-0.60777895837145801</v>
      </c>
      <c r="C949" s="3">
        <v>2.9877254229281301E-3</v>
      </c>
      <c r="D949" s="4">
        <v>3.6384686871758297E-2</v>
      </c>
      <c r="E949" s="3" t="s">
        <v>2181</v>
      </c>
      <c r="F949" s="3" t="s">
        <v>2182</v>
      </c>
      <c r="G949" s="3">
        <v>20708</v>
      </c>
      <c r="H949" s="7" t="str">
        <f>HYPERLINK("http://www.ensembl.org/Mus_musculus/Gene/Summary?db=core;g=ENSMUSG00000042842","ENSMUSG00000042842")</f>
        <v>ENSMUSG00000042842</v>
      </c>
      <c r="I949" s="7" t="str">
        <f>HYPERLINK("http://www.informatics.jax.org/marker/MGI:894688","MGI:894688")</f>
        <v>MGI:894688</v>
      </c>
      <c r="J949" s="4" t="s">
        <v>12</v>
      </c>
    </row>
    <row r="950" spans="1:10" x14ac:dyDescent="0.25">
      <c r="A950" s="2">
        <v>1734.6281455941801</v>
      </c>
      <c r="B950" s="3">
        <v>-0.61975788691898803</v>
      </c>
      <c r="C950" s="3">
        <v>1.2785036754384799E-3</v>
      </c>
      <c r="D950" s="4">
        <v>1.9379906053559201E-2</v>
      </c>
      <c r="E950" s="3" t="s">
        <v>1184</v>
      </c>
      <c r="F950" s="3" t="s">
        <v>1185</v>
      </c>
      <c r="G950" s="3">
        <v>171504</v>
      </c>
      <c r="H950" s="7" t="str">
        <f>HYPERLINK("http://www.ensembl.org/Mus_musculus/Gene/Summary?db=core;g=ENSMUSG00000042759","ENSMUSG00000042759")</f>
        <v>ENSMUSG00000042759</v>
      </c>
      <c r="I950" s="7" t="str">
        <f>HYPERLINK("http://www.informatics.jax.org/marker/MGI:2176230","MGI:2176230")</f>
        <v>MGI:2176230</v>
      </c>
      <c r="J950" s="4" t="s">
        <v>12</v>
      </c>
    </row>
    <row r="951" spans="1:10" x14ac:dyDescent="0.25">
      <c r="A951" s="2">
        <v>245.281158978387</v>
      </c>
      <c r="B951" s="3">
        <v>-0.62038531127538799</v>
      </c>
      <c r="C951" s="3">
        <v>3.8945865712372498E-4</v>
      </c>
      <c r="D951" s="4">
        <v>7.9208707353897595E-3</v>
      </c>
      <c r="E951" s="3" t="s">
        <v>1873</v>
      </c>
      <c r="F951" s="3" t="s">
        <v>1874</v>
      </c>
      <c r="G951" s="3">
        <v>192656</v>
      </c>
      <c r="H951" s="7" t="str">
        <f>HYPERLINK("http://www.ensembl.org/Mus_musculus/Gene/Summary?db=core;g=ENSMUSG00000041135","ENSMUSG00000041135")</f>
        <v>ENSMUSG00000041135</v>
      </c>
      <c r="I951" s="7" t="str">
        <f>HYPERLINK("http://www.informatics.jax.org/marker/MGI:1891456","MGI:1891456")</f>
        <v>MGI:1891456</v>
      </c>
      <c r="J951" s="4" t="s">
        <v>12</v>
      </c>
    </row>
    <row r="952" spans="1:10" x14ac:dyDescent="0.25">
      <c r="A952" s="2">
        <v>514.87387091649998</v>
      </c>
      <c r="B952" s="3">
        <v>-0.62361477821727695</v>
      </c>
      <c r="C952" s="5">
        <v>4.4563135765866499E-5</v>
      </c>
      <c r="D952" s="4">
        <v>1.5096433372250001E-3</v>
      </c>
      <c r="E952" s="3" t="s">
        <v>2724</v>
      </c>
      <c r="F952" s="3" t="s">
        <v>2725</v>
      </c>
      <c r="G952" s="3">
        <v>26390</v>
      </c>
      <c r="H952" s="7" t="str">
        <f>HYPERLINK("http://www.ensembl.org/Mus_musculus/Gene/Summary?db=core;g=ENSMUSG00000033902","ENSMUSG00000033902")</f>
        <v>ENSMUSG00000033902</v>
      </c>
      <c r="I952" s="7" t="str">
        <f>HYPERLINK("http://www.informatics.jax.org/marker/MGI:1347004","MGI:1347004")</f>
        <v>MGI:1347004</v>
      </c>
      <c r="J952" s="4" t="s">
        <v>12</v>
      </c>
    </row>
    <row r="953" spans="1:10" x14ac:dyDescent="0.25">
      <c r="A953" s="2">
        <v>1841.5313762234</v>
      </c>
      <c r="B953" s="3">
        <v>-0.62401797445241103</v>
      </c>
      <c r="C953" s="5">
        <v>6.5151092006993306E-5</v>
      </c>
      <c r="D953" s="4">
        <v>1.95923618129052E-3</v>
      </c>
      <c r="E953" s="3" t="s">
        <v>964</v>
      </c>
      <c r="F953" s="3" t="s">
        <v>965</v>
      </c>
      <c r="G953" s="3">
        <v>319448</v>
      </c>
      <c r="H953" s="7" t="str">
        <f>HYPERLINK("http://www.ensembl.org/Mus_musculus/Gene/Summary?db=core;g=ENSMUSG00000033487","ENSMUSG00000033487")</f>
        <v>ENSMUSG00000033487</v>
      </c>
      <c r="I953" s="7" t="str">
        <f>HYPERLINK("http://www.informatics.jax.org/marker/MGI:1196463","MGI:1196463")</f>
        <v>MGI:1196463</v>
      </c>
      <c r="J953" s="4" t="s">
        <v>12</v>
      </c>
    </row>
    <row r="954" spans="1:10" x14ac:dyDescent="0.25">
      <c r="A954" s="2">
        <v>679.22556358941699</v>
      </c>
      <c r="B954" s="3">
        <v>-0.62875655630299698</v>
      </c>
      <c r="C954" s="5">
        <v>9.9744723789178203E-7</v>
      </c>
      <c r="D954" s="6">
        <v>7.6314891731760998E-5</v>
      </c>
      <c r="E954" s="3" t="s">
        <v>1482</v>
      </c>
      <c r="F954" s="3" t="s">
        <v>1483</v>
      </c>
      <c r="G954" s="3">
        <v>66282</v>
      </c>
      <c r="H954" s="7" t="str">
        <f>HYPERLINK("http://www.ensembl.org/Mus_musculus/Gene/Summary?db=core;g=ENSMUSG00000025591","ENSMUSG00000025591")</f>
        <v>ENSMUSG00000025591</v>
      </c>
      <c r="I954" s="7" t="str">
        <f>HYPERLINK("http://www.informatics.jax.org/marker/MGI:1913532","MGI:1913532")</f>
        <v>MGI:1913532</v>
      </c>
      <c r="J954" s="4" t="s">
        <v>12</v>
      </c>
    </row>
    <row r="955" spans="1:10" x14ac:dyDescent="0.25">
      <c r="A955" s="2">
        <v>406.188807892574</v>
      </c>
      <c r="B955" s="3">
        <v>-0.63292461693773305</v>
      </c>
      <c r="C955" s="5">
        <v>7.8965453547613203E-5</v>
      </c>
      <c r="D955" s="4">
        <v>2.2427385253788001E-3</v>
      </c>
      <c r="E955" s="3" t="s">
        <v>3354</v>
      </c>
      <c r="F955" s="3" t="s">
        <v>3355</v>
      </c>
      <c r="G955" s="3">
        <v>23986</v>
      </c>
      <c r="H955" s="7" t="str">
        <f>HYPERLINK("http://www.ensembl.org/Mus_musculus/Gene/Summary?db=core;g=ENSMUSG00000021417","ENSMUSG00000021417")</f>
        <v>ENSMUSG00000021417</v>
      </c>
      <c r="I955" s="7" t="str">
        <f>HYPERLINK("http://www.informatics.jax.org/marker/MGI:1346064","MGI:1346064")</f>
        <v>MGI:1346064</v>
      </c>
      <c r="J955" s="4" t="s">
        <v>12</v>
      </c>
    </row>
    <row r="956" spans="1:10" x14ac:dyDescent="0.25">
      <c r="A956" s="2">
        <v>60.120379617807501</v>
      </c>
      <c r="B956" s="3">
        <v>-0.63533985855642705</v>
      </c>
      <c r="C956" s="3">
        <v>4.54453022949706E-3</v>
      </c>
      <c r="D956" s="4">
        <v>4.9432701310108497E-2</v>
      </c>
      <c r="E956" s="3" t="s">
        <v>17044</v>
      </c>
      <c r="F956" s="3" t="s">
        <v>17045</v>
      </c>
      <c r="G956" s="3">
        <v>319162</v>
      </c>
      <c r="H956" s="7" t="str">
        <f>HYPERLINK("http://www.ensembl.org/Mus_musculus/Gene/Summary?db=core;g=ENSMUSG00000078851","ENSMUSG00000078851")</f>
        <v>ENSMUSG00000078851</v>
      </c>
      <c r="I956" s="7" t="str">
        <f>HYPERLINK("http://www.informatics.jax.org/marker/MGI:2448458","MGI:2448458")</f>
        <v>MGI:2448458</v>
      </c>
      <c r="J956" s="4" t="s">
        <v>12</v>
      </c>
    </row>
    <row r="957" spans="1:10" x14ac:dyDescent="0.25">
      <c r="A957" s="2">
        <v>854.71750759718896</v>
      </c>
      <c r="B957" s="3">
        <v>-0.63554475436951896</v>
      </c>
      <c r="C957" s="5">
        <v>5.6547967358537101E-7</v>
      </c>
      <c r="D957" s="6">
        <v>4.6935799362198203E-5</v>
      </c>
      <c r="E957" s="3" t="s">
        <v>1432</v>
      </c>
      <c r="F957" s="3" t="s">
        <v>1433</v>
      </c>
      <c r="G957" s="3">
        <v>320292</v>
      </c>
      <c r="H957" s="7" t="str">
        <f>HYPERLINK("http://www.ensembl.org/Mus_musculus/Gene/Summary?db=core;g=ENSMUSG00000089809","ENSMUSG00000089809")</f>
        <v>ENSMUSG00000089809</v>
      </c>
      <c r="I957" s="7" t="str">
        <f>HYPERLINK("http://www.informatics.jax.org/marker/MGI:2443755","MGI:2443755")</f>
        <v>MGI:2443755</v>
      </c>
      <c r="J957" s="4" t="s">
        <v>12</v>
      </c>
    </row>
    <row r="958" spans="1:10" x14ac:dyDescent="0.25">
      <c r="A958" s="2">
        <v>1700.5635800676</v>
      </c>
      <c r="B958" s="3">
        <v>-0.64593001012411</v>
      </c>
      <c r="C958" s="3">
        <v>1.3846961931164199E-4</v>
      </c>
      <c r="D958" s="4">
        <v>3.4905151150214902E-3</v>
      </c>
      <c r="E958" s="3" t="s">
        <v>126</v>
      </c>
      <c r="F958" s="3" t="s">
        <v>127</v>
      </c>
      <c r="G958" s="3">
        <v>80285</v>
      </c>
      <c r="H958" s="7" t="str">
        <f>HYPERLINK("http://www.ensembl.org/Mus_musculus/Gene/Summary?db=core;g=ENSMUSG00000022906","ENSMUSG00000022906")</f>
        <v>ENSMUSG00000022906</v>
      </c>
      <c r="I958" s="7" t="str">
        <f>HYPERLINK("http://www.informatics.jax.org/marker/MGI:1933117","MGI:1933117")</f>
        <v>MGI:1933117</v>
      </c>
      <c r="J958" s="4" t="s">
        <v>12</v>
      </c>
    </row>
    <row r="959" spans="1:10" x14ac:dyDescent="0.25">
      <c r="A959" s="2">
        <v>863.55306764256602</v>
      </c>
      <c r="B959" s="3">
        <v>-0.64923077033535903</v>
      </c>
      <c r="C959" s="3">
        <v>1.08466010431904E-4</v>
      </c>
      <c r="D959" s="4">
        <v>2.8608594233163198E-3</v>
      </c>
      <c r="E959" s="3" t="s">
        <v>1344</v>
      </c>
      <c r="F959" s="3" t="s">
        <v>1345</v>
      </c>
      <c r="G959" s="3">
        <v>80287</v>
      </c>
      <c r="H959" s="7" t="str">
        <f>HYPERLINK("http://www.ensembl.org/Mus_musculus/Gene/Summary?db=core;g=ENSMUSG00000009585","ENSMUSG00000009585")</f>
        <v>ENSMUSG00000009585</v>
      </c>
      <c r="I959" s="7" t="str">
        <f>HYPERLINK("http://www.informatics.jax.org/marker/MGI:1933111","MGI:1933111")</f>
        <v>MGI:1933111</v>
      </c>
      <c r="J959" s="4" t="s">
        <v>12</v>
      </c>
    </row>
    <row r="960" spans="1:10" x14ac:dyDescent="0.25">
      <c r="A960" s="2">
        <v>535.95002124055804</v>
      </c>
      <c r="B960" s="3">
        <v>-0.65116739211299401</v>
      </c>
      <c r="C960" s="3">
        <v>3.3111905873260997E-4</v>
      </c>
      <c r="D960" s="4">
        <v>7.0665959270695697E-3</v>
      </c>
      <c r="E960" s="3" t="s">
        <v>2407</v>
      </c>
      <c r="F960" s="3" t="s">
        <v>2408</v>
      </c>
      <c r="G960" s="3">
        <v>235587</v>
      </c>
      <c r="H960" s="7" t="str">
        <f>HYPERLINK("http://www.ensembl.org/Mus_musculus/Gene/Summary?db=core;g=ENSMUSG00000023249","ENSMUSG00000023249")</f>
        <v>ENSMUSG00000023249</v>
      </c>
      <c r="I960" s="7" t="str">
        <f>HYPERLINK("http://www.informatics.jax.org/marker/MGI:1891258","MGI:1891258")</f>
        <v>MGI:1891258</v>
      </c>
      <c r="J960" s="4" t="s">
        <v>12</v>
      </c>
    </row>
    <row r="961" spans="1:10" x14ac:dyDescent="0.25">
      <c r="A961" s="2">
        <v>1153.04003516127</v>
      </c>
      <c r="B961" s="3">
        <v>-0.651717135467481</v>
      </c>
      <c r="C961" s="5">
        <v>1.87193312737137E-6</v>
      </c>
      <c r="D961" s="4">
        <v>1.19622908429238E-4</v>
      </c>
      <c r="E961" s="3" t="s">
        <v>902</v>
      </c>
      <c r="F961" s="3" t="s">
        <v>903</v>
      </c>
      <c r="G961" s="3">
        <v>74568</v>
      </c>
      <c r="H961" s="7" t="str">
        <f>HYPERLINK("http://www.ensembl.org/Mus_musculus/Gene/Summary?db=core;g=ENSMUSG00000012519","ENSMUSG00000012519")</f>
        <v>ENSMUSG00000012519</v>
      </c>
      <c r="I961" s="7" t="str">
        <f>HYPERLINK("http://www.informatics.jax.org/marker/MGI:1921818","MGI:1921818")</f>
        <v>MGI:1921818</v>
      </c>
      <c r="J961" s="4" t="s">
        <v>12</v>
      </c>
    </row>
    <row r="962" spans="1:10" x14ac:dyDescent="0.25">
      <c r="A962" s="2">
        <v>1821.2935976604599</v>
      </c>
      <c r="B962" s="3">
        <v>-0.65764133743715303</v>
      </c>
      <c r="C962" s="5">
        <v>3.3165694004883201E-6</v>
      </c>
      <c r="D962" s="4">
        <v>1.8557938331986099E-4</v>
      </c>
      <c r="E962" s="3" t="s">
        <v>92</v>
      </c>
      <c r="F962" s="3" t="s">
        <v>93</v>
      </c>
      <c r="G962" s="3">
        <v>12633</v>
      </c>
      <c r="H962" s="7" t="str">
        <f>HYPERLINK("http://www.ensembl.org/Mus_musculus/Gene/Summary?db=core;g=ENSMUSG00000026031","ENSMUSG00000026031")</f>
        <v>ENSMUSG00000026031</v>
      </c>
      <c r="I962" s="7" t="str">
        <f>HYPERLINK("http://www.informatics.jax.org/marker/MGI:1336166","MGI:1336166")</f>
        <v>MGI:1336166</v>
      </c>
      <c r="J962" s="4" t="s">
        <v>12</v>
      </c>
    </row>
    <row r="963" spans="1:10" x14ac:dyDescent="0.25">
      <c r="A963" s="2">
        <v>3173.0199089028602</v>
      </c>
      <c r="B963" s="3">
        <v>-0.65769097155643697</v>
      </c>
      <c r="C963" s="3">
        <v>3.9871319242654798E-4</v>
      </c>
      <c r="D963" s="4">
        <v>8.0220523707001494E-3</v>
      </c>
      <c r="E963" s="3" t="s">
        <v>690</v>
      </c>
      <c r="F963" s="3" t="s">
        <v>691</v>
      </c>
      <c r="G963" s="3">
        <v>98999</v>
      </c>
      <c r="H963" s="7" t="str">
        <f>HYPERLINK("http://www.ensembl.org/Mus_musculus/Gene/Summary?db=core;g=ENSMUSG00000039501","ENSMUSG00000039501")</f>
        <v>ENSMUSG00000039501</v>
      </c>
      <c r="I963" s="7" t="str">
        <f>HYPERLINK("http://www.informatics.jax.org/marker/MGI:2138982","MGI:2138982")</f>
        <v>MGI:2138982</v>
      </c>
      <c r="J963" s="4" t="s">
        <v>12</v>
      </c>
    </row>
    <row r="964" spans="1:10" x14ac:dyDescent="0.25">
      <c r="A964" s="2">
        <v>544.75166499463796</v>
      </c>
      <c r="B964" s="3">
        <v>-0.66052818782109501</v>
      </c>
      <c r="C964" s="5">
        <v>6.68323418209712E-5</v>
      </c>
      <c r="D964" s="4">
        <v>1.9938019853062701E-3</v>
      </c>
      <c r="E964" s="3" t="s">
        <v>1454</v>
      </c>
      <c r="F964" s="3" t="s">
        <v>1455</v>
      </c>
      <c r="G964" s="3">
        <v>84035</v>
      </c>
      <c r="H964" s="7" t="str">
        <f>HYPERLINK("http://www.ensembl.org/Mus_musculus/Gene/Summary?db=core;g=ENSMUSG00000020393","ENSMUSG00000020393")</f>
        <v>ENSMUSG00000020393</v>
      </c>
      <c r="I964" s="7" t="str">
        <f>HYPERLINK("http://www.informatics.jax.org/marker/MGI:1933988","MGI:1933988")</f>
        <v>MGI:1933988</v>
      </c>
      <c r="J964" s="4" t="s">
        <v>12</v>
      </c>
    </row>
    <row r="965" spans="1:10" x14ac:dyDescent="0.25">
      <c r="A965" s="2">
        <v>565.239690908493</v>
      </c>
      <c r="B965" s="3">
        <v>-0.66769513808394498</v>
      </c>
      <c r="C965" s="3">
        <v>2.77170439711499E-3</v>
      </c>
      <c r="D965" s="4">
        <v>3.4592789125568603E-2</v>
      </c>
      <c r="E965" s="3" t="s">
        <v>382</v>
      </c>
      <c r="F965" s="3" t="s">
        <v>383</v>
      </c>
      <c r="G965" s="3">
        <v>12494</v>
      </c>
      <c r="H965" s="7" t="str">
        <f>HYPERLINK("http://www.ensembl.org/Mus_musculus/Gene/Summary?db=core;g=ENSMUSG00000029084","ENSMUSG00000029084")</f>
        <v>ENSMUSG00000029084</v>
      </c>
      <c r="I965" s="7" t="str">
        <f>HYPERLINK("http://www.informatics.jax.org/marker/MGI:107474","MGI:107474")</f>
        <v>MGI:107474</v>
      </c>
      <c r="J965" s="4" t="s">
        <v>12</v>
      </c>
    </row>
    <row r="966" spans="1:10" x14ac:dyDescent="0.25">
      <c r="A966" s="2">
        <v>1043.6995693189499</v>
      </c>
      <c r="B966" s="3">
        <v>-0.66941048015754601</v>
      </c>
      <c r="C966" s="3">
        <v>1.6472437991973E-3</v>
      </c>
      <c r="D966" s="4">
        <v>2.3451330391863302E-2</v>
      </c>
      <c r="E966" s="3" t="s">
        <v>11861</v>
      </c>
      <c r="F966" s="3" t="s">
        <v>11862</v>
      </c>
      <c r="G966" s="3">
        <v>14129</v>
      </c>
      <c r="H966" s="7" t="str">
        <f>HYPERLINK("http://www.ensembl.org/Mus_musculus/Gene/Summary?db=core;g=ENSMUSG00000015947","ENSMUSG00000015947")</f>
        <v>ENSMUSG00000015947</v>
      </c>
      <c r="I966" s="7" t="str">
        <f>HYPERLINK("http://www.informatics.jax.org/marker/MGI:95498","MGI:95498")</f>
        <v>MGI:95498</v>
      </c>
      <c r="J966" s="4" t="s">
        <v>12</v>
      </c>
    </row>
    <row r="967" spans="1:10" x14ac:dyDescent="0.25">
      <c r="A967" s="2">
        <v>1257.90761136585</v>
      </c>
      <c r="B967" s="3">
        <v>-0.67087820609366899</v>
      </c>
      <c r="C967" s="5">
        <v>9.9710777472515606E-8</v>
      </c>
      <c r="D967" s="6">
        <v>1.2189642546014999E-5</v>
      </c>
      <c r="E967" s="3" t="s">
        <v>444</v>
      </c>
      <c r="F967" s="3" t="s">
        <v>445</v>
      </c>
      <c r="G967" s="3">
        <v>101985</v>
      </c>
      <c r="H967" s="7" t="str">
        <f>HYPERLINK("http://www.ensembl.org/Mus_musculus/Gene/Summary?db=core;g=ENSMUSG00000031792","ENSMUSG00000031792")</f>
        <v>ENSMUSG00000031792</v>
      </c>
      <c r="I967" s="7" t="str">
        <f>HYPERLINK("http://www.informatics.jax.org/marker/MGI:2142454","MGI:2142454")</f>
        <v>MGI:2142454</v>
      </c>
      <c r="J967" s="4" t="s">
        <v>12</v>
      </c>
    </row>
    <row r="968" spans="1:10" x14ac:dyDescent="0.25">
      <c r="A968" s="2">
        <v>5030.6058374876402</v>
      </c>
      <c r="B968" s="3">
        <v>-0.67428591989695597</v>
      </c>
      <c r="C968" s="5">
        <v>6.6403548944624396E-7</v>
      </c>
      <c r="D968" s="6">
        <v>5.3858222464346198E-5</v>
      </c>
      <c r="E968" s="3" t="s">
        <v>1624</v>
      </c>
      <c r="F968" s="3" t="s">
        <v>1625</v>
      </c>
      <c r="G968" s="3">
        <v>56045</v>
      </c>
      <c r="H968" s="7" t="str">
        <f>HYPERLINK("http://www.ensembl.org/Mus_musculus/Gene/Summary?db=core;g=ENSMUSG00000027639","ENSMUSG00000027639")</f>
        <v>ENSMUSG00000027639</v>
      </c>
      <c r="I968" s="7" t="str">
        <f>HYPERLINK("http://www.informatics.jax.org/marker/MGI:1927468","MGI:1927468")</f>
        <v>MGI:1927468</v>
      </c>
      <c r="J968" s="4" t="s">
        <v>12</v>
      </c>
    </row>
    <row r="969" spans="1:10" x14ac:dyDescent="0.25">
      <c r="A969" s="2">
        <v>266.90121343598298</v>
      </c>
      <c r="B969" s="3">
        <v>-0.67451537038252696</v>
      </c>
      <c r="C969" s="5">
        <v>6.0588557808217297E-5</v>
      </c>
      <c r="D969" s="4">
        <v>1.8824295847210499E-3</v>
      </c>
      <c r="E969" s="3" t="s">
        <v>1434</v>
      </c>
      <c r="F969" s="3" t="s">
        <v>1435</v>
      </c>
      <c r="G969" s="3">
        <v>69028</v>
      </c>
      <c r="H969" s="7" t="str">
        <f>HYPERLINK("http://www.ensembl.org/Mus_musculus/Gene/Summary?db=core;g=ENSMUSG00000026088","ENSMUSG00000026088")</f>
        <v>ENSMUSG00000026088</v>
      </c>
      <c r="I969" s="7" t="str">
        <f>HYPERLINK("http://www.informatics.jax.org/marker/MGI:1916278","MGI:1916278")</f>
        <v>MGI:1916278</v>
      </c>
      <c r="J969" s="4" t="s">
        <v>12</v>
      </c>
    </row>
    <row r="970" spans="1:10" x14ac:dyDescent="0.25">
      <c r="A970" s="2">
        <v>1288.29385346309</v>
      </c>
      <c r="B970" s="3">
        <v>-0.68275260641140001</v>
      </c>
      <c r="C970" s="3">
        <v>2.1459483386750502E-3</v>
      </c>
      <c r="D970" s="4">
        <v>2.8870192541959602E-2</v>
      </c>
      <c r="E970" s="3" t="s">
        <v>548</v>
      </c>
      <c r="F970" s="3" t="s">
        <v>549</v>
      </c>
      <c r="G970" s="3" t="s">
        <v>83</v>
      </c>
      <c r="H970" s="7" t="str">
        <f>HYPERLINK("http://www.ensembl.org/Mus_musculus/Gene/Summary?db=core;g=ENSMUSG00000101628","ENSMUSG00000101628")</f>
        <v>ENSMUSG00000101628</v>
      </c>
      <c r="I970" s="7" t="str">
        <f>HYPERLINK("http://www.informatics.jax.org/marker/MGI:5578883","MGI:5578883")</f>
        <v>MGI:5578883</v>
      </c>
      <c r="J970" s="4" t="s">
        <v>331</v>
      </c>
    </row>
    <row r="971" spans="1:10" x14ac:dyDescent="0.25">
      <c r="A971" s="2">
        <v>206.253309590431</v>
      </c>
      <c r="B971" s="3">
        <v>-0.68784866886377205</v>
      </c>
      <c r="C971" s="3">
        <v>2.9981230424262599E-4</v>
      </c>
      <c r="D971" s="4">
        <v>6.5883465659481904E-3</v>
      </c>
      <c r="E971" s="3" t="s">
        <v>3614</v>
      </c>
      <c r="F971" s="3" t="s">
        <v>3615</v>
      </c>
      <c r="G971" s="3">
        <v>101187</v>
      </c>
      <c r="H971" s="7" t="str">
        <f>HYPERLINK("http://www.ensembl.org/Mus_musculus/Gene/Summary?db=core;g=ENSMUSG00000037997","ENSMUSG00000037997")</f>
        <v>ENSMUSG00000037997</v>
      </c>
      <c r="I971" s="7" t="str">
        <f>HYPERLINK("http://www.informatics.jax.org/marker/MGI:2141505","MGI:2141505")</f>
        <v>MGI:2141505</v>
      </c>
      <c r="J971" s="4" t="s">
        <v>12</v>
      </c>
    </row>
    <row r="972" spans="1:10" x14ac:dyDescent="0.25">
      <c r="A972" s="2">
        <v>133.77052803396401</v>
      </c>
      <c r="B972" s="3">
        <v>-0.69566111649558404</v>
      </c>
      <c r="C972" s="5">
        <v>7.3344639665882904E-6</v>
      </c>
      <c r="D972" s="4">
        <v>3.6991352570501601E-4</v>
      </c>
      <c r="E972" s="3" t="s">
        <v>1614</v>
      </c>
      <c r="F972" s="3" t="s">
        <v>1615</v>
      </c>
      <c r="G972" s="3">
        <v>109082</v>
      </c>
      <c r="H972" s="7" t="str">
        <f>HYPERLINK("http://www.ensembl.org/Mus_musculus/Gene/Summary?db=core;g=ENSMUSG00000037816","ENSMUSG00000037816")</f>
        <v>ENSMUSG00000037816</v>
      </c>
      <c r="I972" s="7" t="str">
        <f>HYPERLINK("http://www.informatics.jax.org/marker/MGI:1923584","MGI:1923584")</f>
        <v>MGI:1923584</v>
      </c>
      <c r="J972" s="4" t="s">
        <v>12</v>
      </c>
    </row>
    <row r="973" spans="1:10" x14ac:dyDescent="0.25">
      <c r="A973" s="2">
        <v>1060.21758065462</v>
      </c>
      <c r="B973" s="3">
        <v>-0.695694416489537</v>
      </c>
      <c r="C973" s="5">
        <v>2.92536668797319E-6</v>
      </c>
      <c r="D973" s="4">
        <v>1.70474606941111E-4</v>
      </c>
      <c r="E973" s="3" t="s">
        <v>3822</v>
      </c>
      <c r="F973" s="3" t="s">
        <v>3823</v>
      </c>
      <c r="G973" s="3">
        <v>68497</v>
      </c>
      <c r="H973" s="7" t="str">
        <f>HYPERLINK("http://www.ensembl.org/Mus_musculus/Gene/Summary?db=core;g=ENSMUSG00000042350","ENSMUSG00000042350")</f>
        <v>ENSMUSG00000042350</v>
      </c>
      <c r="I973" s="7" t="str">
        <f>HYPERLINK("http://www.informatics.jax.org/marker/MGI:1915747","MGI:1915747")</f>
        <v>MGI:1915747</v>
      </c>
      <c r="J973" s="4" t="s">
        <v>12</v>
      </c>
    </row>
    <row r="974" spans="1:10" x14ac:dyDescent="0.25">
      <c r="A974" s="2">
        <v>568.07666767135402</v>
      </c>
      <c r="B974" s="3">
        <v>-0.69624104532620801</v>
      </c>
      <c r="C974" s="3">
        <v>8.4338220266593205E-4</v>
      </c>
      <c r="D974" s="4">
        <v>1.40111072871252E-2</v>
      </c>
      <c r="E974" s="3" t="s">
        <v>440</v>
      </c>
      <c r="F974" s="3" t="s">
        <v>441</v>
      </c>
      <c r="G974" s="3">
        <v>14283</v>
      </c>
      <c r="H974" s="7" t="str">
        <f>HYPERLINK("http://www.ensembl.org/Mus_musculus/Gene/Summary?db=core;g=ENSMUSG00000024912","ENSMUSG00000024912")</f>
        <v>ENSMUSG00000024912</v>
      </c>
      <c r="I974" s="7" t="str">
        <f>HYPERLINK("http://www.informatics.jax.org/marker/MGI:107179","MGI:107179")</f>
        <v>MGI:107179</v>
      </c>
      <c r="J974" s="4" t="s">
        <v>12</v>
      </c>
    </row>
    <row r="975" spans="1:10" x14ac:dyDescent="0.25">
      <c r="A975" s="2">
        <v>261.19739471732203</v>
      </c>
      <c r="B975" s="3">
        <v>-0.70500356461883995</v>
      </c>
      <c r="C975" s="5">
        <v>4.4011064179234101E-5</v>
      </c>
      <c r="D975" s="4">
        <v>1.4996682068104299E-3</v>
      </c>
      <c r="E975" s="3" t="s">
        <v>2686</v>
      </c>
      <c r="F975" s="3" t="s">
        <v>2687</v>
      </c>
      <c r="G975" s="3">
        <v>67035</v>
      </c>
      <c r="H975" s="7" t="str">
        <f>HYPERLINK("http://www.ensembl.org/Mus_musculus/Gene/Summary?db=core;g=ENSMUSG00000028035","ENSMUSG00000028035")</f>
        <v>ENSMUSG00000028035</v>
      </c>
      <c r="I975" s="7" t="str">
        <f>HYPERLINK("http://www.informatics.jax.org/marker/MGI:1914285","MGI:1914285")</f>
        <v>MGI:1914285</v>
      </c>
      <c r="J975" s="4" t="s">
        <v>12</v>
      </c>
    </row>
    <row r="976" spans="1:10" x14ac:dyDescent="0.25">
      <c r="A976" s="2">
        <v>605.13046051431797</v>
      </c>
      <c r="B976" s="3">
        <v>-0.70973511799934397</v>
      </c>
      <c r="C976" s="5">
        <v>4.4135340664555203E-5</v>
      </c>
      <c r="D976" s="4">
        <v>1.4996682068104299E-3</v>
      </c>
      <c r="E976" s="3" t="s">
        <v>2844</v>
      </c>
      <c r="F976" s="3" t="s">
        <v>2845</v>
      </c>
      <c r="G976" s="3">
        <v>16452</v>
      </c>
      <c r="H976" s="7" t="str">
        <f>HYPERLINK("http://www.ensembl.org/Mus_musculus/Gene/Summary?db=core;g=ENSMUSG00000024789","ENSMUSG00000024789")</f>
        <v>ENSMUSG00000024789</v>
      </c>
      <c r="I976" s="7" t="str">
        <f>HYPERLINK("http://www.informatics.jax.org/marker/MGI:96629","MGI:96629")</f>
        <v>MGI:96629</v>
      </c>
      <c r="J976" s="4" t="s">
        <v>12</v>
      </c>
    </row>
    <row r="977" spans="1:10" x14ac:dyDescent="0.25">
      <c r="A977" s="2">
        <v>623.91290692930795</v>
      </c>
      <c r="B977" s="3">
        <v>-0.72471263980993905</v>
      </c>
      <c r="C977" s="3">
        <v>1.3872679438202201E-4</v>
      </c>
      <c r="D977" s="4">
        <v>3.4905151150214902E-3</v>
      </c>
      <c r="E977" s="3" t="s">
        <v>546</v>
      </c>
      <c r="F977" s="3" t="s">
        <v>547</v>
      </c>
      <c r="G977" s="3">
        <v>67916</v>
      </c>
      <c r="H977" s="7" t="str">
        <f>HYPERLINK("http://www.ensembl.org/Mus_musculus/Gene/Summary?db=core;g=ENSMUSG00000028517","ENSMUSG00000028517")</f>
        <v>ENSMUSG00000028517</v>
      </c>
      <c r="I977" s="7" t="str">
        <f>HYPERLINK("http://www.informatics.jax.org/marker/MGI:1915166","MGI:1915166")</f>
        <v>MGI:1915166</v>
      </c>
      <c r="J977" s="4" t="s">
        <v>12</v>
      </c>
    </row>
    <row r="978" spans="1:10" x14ac:dyDescent="0.25">
      <c r="A978" s="2">
        <v>155.12735075246999</v>
      </c>
      <c r="B978" s="3">
        <v>-0.72509067485884404</v>
      </c>
      <c r="C978" s="5">
        <v>1.5068643379801699E-7</v>
      </c>
      <c r="D978" s="6">
        <v>1.6454080785692299E-5</v>
      </c>
      <c r="E978" s="3" t="s">
        <v>2778</v>
      </c>
      <c r="F978" s="3" t="s">
        <v>2779</v>
      </c>
      <c r="G978" s="3">
        <v>75731</v>
      </c>
      <c r="H978" s="7" t="str">
        <f>HYPERLINK("http://www.ensembl.org/Mus_musculus/Gene/Summary?db=core;g=ENSMUSG00000050002","ENSMUSG00000050002")</f>
        <v>ENSMUSG00000050002</v>
      </c>
      <c r="I978" s="7" t="str">
        <f>HYPERLINK("http://www.informatics.jax.org/marker/MGI:1922981","MGI:1922981")</f>
        <v>MGI:1922981</v>
      </c>
      <c r="J978" s="4" t="s">
        <v>12</v>
      </c>
    </row>
    <row r="979" spans="1:10" x14ac:dyDescent="0.25">
      <c r="A979" s="2">
        <v>180.481482325222</v>
      </c>
      <c r="B979" s="3">
        <v>-0.73439179467172799</v>
      </c>
      <c r="C979" s="5">
        <v>5.69998588449323E-5</v>
      </c>
      <c r="D979" s="4">
        <v>1.8109531424546699E-3</v>
      </c>
      <c r="E979" s="3" t="s">
        <v>3638</v>
      </c>
      <c r="F979" s="3" t="s">
        <v>3639</v>
      </c>
      <c r="G979" s="3">
        <v>434204</v>
      </c>
      <c r="H979" s="7" t="str">
        <f>HYPERLINK("http://www.ensembl.org/Mus_musculus/Gene/Summary?db=core;g=ENSMUSG00000045795","ENSMUSG00000045795")</f>
        <v>ENSMUSG00000045795</v>
      </c>
      <c r="I979" s="7" t="str">
        <f>HYPERLINK("http://www.informatics.jax.org/marker/MGI:2142282","MGI:2142282")</f>
        <v>MGI:2142282</v>
      </c>
      <c r="J979" s="4" t="s">
        <v>12</v>
      </c>
    </row>
    <row r="980" spans="1:10" x14ac:dyDescent="0.25">
      <c r="A980" s="2">
        <v>883.62441545253898</v>
      </c>
      <c r="B980" s="3">
        <v>-0.73684859416739901</v>
      </c>
      <c r="C980" s="5">
        <v>4.0551264182190797E-5</v>
      </c>
      <c r="D980" s="4">
        <v>1.39901861428558E-3</v>
      </c>
      <c r="E980" s="3" t="s">
        <v>2581</v>
      </c>
      <c r="F980" s="3" t="s">
        <v>2582</v>
      </c>
      <c r="G980" s="3">
        <v>22695</v>
      </c>
      <c r="H980" s="7" t="str">
        <f>HYPERLINK("http://www.ensembl.org/Mus_musculus/Gene/Summary?db=core;g=ENSMUSG00000044786","ENSMUSG00000044786")</f>
        <v>ENSMUSG00000044786</v>
      </c>
      <c r="I980" s="7" t="str">
        <f>HYPERLINK("http://www.informatics.jax.org/marker/MGI:99180","MGI:99180")</f>
        <v>MGI:99180</v>
      </c>
      <c r="J980" s="4" t="s">
        <v>12</v>
      </c>
    </row>
    <row r="981" spans="1:10" x14ac:dyDescent="0.25">
      <c r="A981" s="2">
        <v>241.52922077529101</v>
      </c>
      <c r="B981" s="3">
        <v>-0.74469965699294904</v>
      </c>
      <c r="C981" s="3">
        <v>1.2033470619941999E-3</v>
      </c>
      <c r="D981" s="4">
        <v>1.8466756414169599E-2</v>
      </c>
      <c r="E981" s="3" t="s">
        <v>620</v>
      </c>
      <c r="F981" s="3" t="s">
        <v>621</v>
      </c>
      <c r="G981" s="3">
        <v>320148</v>
      </c>
      <c r="H981" s="7" t="str">
        <f>HYPERLINK("http://www.ensembl.org/Mus_musculus/Gene/Summary?db=core;g=ENSMUSG00000043740","ENSMUSG00000043740")</f>
        <v>ENSMUSG00000043740</v>
      </c>
      <c r="I981" s="7" t="str">
        <f>HYPERLINK("http://www.informatics.jax.org/marker/MGI:2443478","MGI:2443478")</f>
        <v>MGI:2443478</v>
      </c>
      <c r="J981" s="4" t="s">
        <v>12</v>
      </c>
    </row>
    <row r="982" spans="1:10" x14ac:dyDescent="0.25">
      <c r="A982" s="2">
        <v>585.09228171868904</v>
      </c>
      <c r="B982" s="3">
        <v>-0.75015255671083403</v>
      </c>
      <c r="C982" s="3">
        <v>1.03623067685211E-4</v>
      </c>
      <c r="D982" s="4">
        <v>2.7486996279612601E-3</v>
      </c>
      <c r="E982" s="3" t="s">
        <v>1957</v>
      </c>
      <c r="F982" s="3" t="s">
        <v>1958</v>
      </c>
      <c r="G982" s="3" t="s">
        <v>83</v>
      </c>
      <c r="H982" s="7" t="str">
        <f>HYPERLINK("http://www.ensembl.org/Mus_musculus/Gene/Summary?db=core;g=ENSMUSG00000021871","ENSMUSG00000021871")</f>
        <v>ENSMUSG00000021871</v>
      </c>
      <c r="I982" s="7" t="str">
        <f>HYPERLINK("http://www.informatics.jax.org/marker/MGI:6121535","MGI:6121535")</f>
        <v>MGI:6121535</v>
      </c>
      <c r="J982" s="4" t="s">
        <v>12</v>
      </c>
    </row>
    <row r="983" spans="1:10" x14ac:dyDescent="0.25">
      <c r="A983" s="2">
        <v>82.491952546344194</v>
      </c>
      <c r="B983" s="3">
        <v>-0.75480942520420002</v>
      </c>
      <c r="C983" s="3">
        <v>4.15148604089769E-3</v>
      </c>
      <c r="D983" s="4">
        <v>4.6598566369237801E-2</v>
      </c>
      <c r="E983" s="3" t="s">
        <v>4805</v>
      </c>
      <c r="F983" s="3" t="s">
        <v>4806</v>
      </c>
      <c r="G983" s="3" t="s">
        <v>83</v>
      </c>
      <c r="H983" s="7" t="str">
        <f>HYPERLINK("http://www.ensembl.org/Mus_musculus/Gene/Summary?db=core;g=ENSMUSG00000113328","ENSMUSG00000113328")</f>
        <v>ENSMUSG00000113328</v>
      </c>
      <c r="I983" s="7" t="str">
        <f>HYPERLINK("http://www.informatics.jax.org/marker/MGI:6096093","MGI:6096093")</f>
        <v>MGI:6096093</v>
      </c>
      <c r="J983" s="4" t="s">
        <v>1828</v>
      </c>
    </row>
    <row r="984" spans="1:10" x14ac:dyDescent="0.25">
      <c r="A984" s="2">
        <v>482.36923117335903</v>
      </c>
      <c r="B984" s="3">
        <v>-0.756108618940323</v>
      </c>
      <c r="C984" s="3">
        <v>2.4754844880412398E-3</v>
      </c>
      <c r="D984" s="4">
        <v>3.2206761498473603E-2</v>
      </c>
      <c r="E984" s="3" t="s">
        <v>286</v>
      </c>
      <c r="F984" s="3" t="s">
        <v>287</v>
      </c>
      <c r="G984" s="3">
        <v>14528</v>
      </c>
      <c r="H984" s="7" t="str">
        <f>HYPERLINK("http://www.ensembl.org/Mus_musculus/Gene/Summary?db=core;g=ENSMUSG00000037580","ENSMUSG00000037580")</f>
        <v>ENSMUSG00000037580</v>
      </c>
      <c r="I984" s="7" t="str">
        <f>HYPERLINK("http://www.informatics.jax.org/marker/MGI:95675","MGI:95675")</f>
        <v>MGI:95675</v>
      </c>
      <c r="J984" s="4" t="s">
        <v>12</v>
      </c>
    </row>
    <row r="985" spans="1:10" x14ac:dyDescent="0.25">
      <c r="A985" s="2">
        <v>5540.9763274344896</v>
      </c>
      <c r="B985" s="3">
        <v>-0.76160055403689497</v>
      </c>
      <c r="C985" s="5">
        <v>5.56000428788972E-5</v>
      </c>
      <c r="D985" s="4">
        <v>1.7765161427811299E-3</v>
      </c>
      <c r="E985" s="3" t="s">
        <v>47</v>
      </c>
      <c r="F985" s="3" t="s">
        <v>48</v>
      </c>
      <c r="G985" s="3">
        <v>231655</v>
      </c>
      <c r="H985" s="7" t="str">
        <f>HYPERLINK("http://www.ensembl.org/Mus_musculus/Gene/Summary?db=core;g=ENSMUSG00000041827","ENSMUSG00000041827")</f>
        <v>ENSMUSG00000041827</v>
      </c>
      <c r="I985" s="7" t="str">
        <f>HYPERLINK("http://www.informatics.jax.org/marker/MGI:2180849","MGI:2180849")</f>
        <v>MGI:2180849</v>
      </c>
      <c r="J985" s="4" t="s">
        <v>12</v>
      </c>
    </row>
    <row r="986" spans="1:10" x14ac:dyDescent="0.25">
      <c r="A986" s="2">
        <v>1574.95494345106</v>
      </c>
      <c r="B986" s="3">
        <v>-0.76613597731747995</v>
      </c>
      <c r="C986" s="5">
        <v>1.52283425754072E-5</v>
      </c>
      <c r="D986" s="4">
        <v>6.5874295748309696E-4</v>
      </c>
      <c r="E986" s="3" t="s">
        <v>302</v>
      </c>
      <c r="F986" s="3" t="s">
        <v>303</v>
      </c>
      <c r="G986" s="3">
        <v>243771</v>
      </c>
      <c r="H986" s="7" t="str">
        <f>HYPERLINK("http://www.ensembl.org/Mus_musculus/Gene/Summary?db=core;g=ENSMUSG00000038507","ENSMUSG00000038507")</f>
        <v>ENSMUSG00000038507</v>
      </c>
      <c r="I986" s="7" t="str">
        <f>HYPERLINK("http://www.informatics.jax.org/marker/MGI:2143990","MGI:2143990")</f>
        <v>MGI:2143990</v>
      </c>
      <c r="J986" s="4" t="s">
        <v>12</v>
      </c>
    </row>
    <row r="987" spans="1:10" x14ac:dyDescent="0.25">
      <c r="A987" s="2">
        <v>1434.60220853961</v>
      </c>
      <c r="B987" s="3">
        <v>-0.76635700109104798</v>
      </c>
      <c r="C987" s="5">
        <v>2.52033610062277E-11</v>
      </c>
      <c r="D987" s="6">
        <v>1.23244435320454E-8</v>
      </c>
      <c r="E987" s="3" t="s">
        <v>788</v>
      </c>
      <c r="F987" s="3" t="s">
        <v>789</v>
      </c>
      <c r="G987" s="3">
        <v>67245</v>
      </c>
      <c r="H987" s="7" t="str">
        <f>HYPERLINK("http://www.ensembl.org/Mus_musculus/Gene/Summary?db=core;g=ENSMUSG00000020134","ENSMUSG00000020134")</f>
        <v>ENSMUSG00000020134</v>
      </c>
      <c r="I987" s="7" t="str">
        <f>HYPERLINK("http://www.informatics.jax.org/marker/MGI:1914495","MGI:1914495")</f>
        <v>MGI:1914495</v>
      </c>
      <c r="J987" s="4" t="s">
        <v>12</v>
      </c>
    </row>
    <row r="988" spans="1:10" x14ac:dyDescent="0.25">
      <c r="A988" s="2">
        <v>216.83298309783601</v>
      </c>
      <c r="B988" s="3">
        <v>-0.77434776715116704</v>
      </c>
      <c r="C988" s="3">
        <v>1.9786747276760801E-3</v>
      </c>
      <c r="D988" s="4">
        <v>2.7073180854224999E-2</v>
      </c>
      <c r="E988" s="3" t="s">
        <v>3306</v>
      </c>
      <c r="F988" s="3" t="s">
        <v>3307</v>
      </c>
      <c r="G988" s="3">
        <v>56312</v>
      </c>
      <c r="H988" s="7" t="str">
        <f>HYPERLINK("http://www.ensembl.org/Mus_musculus/Gene/Summary?db=core;g=ENSMUSG00000030717","ENSMUSG00000030717")</f>
        <v>ENSMUSG00000030717</v>
      </c>
      <c r="I988" s="7" t="str">
        <f>HYPERLINK("http://www.informatics.jax.org/marker/MGI:1891834","MGI:1891834")</f>
        <v>MGI:1891834</v>
      </c>
      <c r="J988" s="4" t="s">
        <v>12</v>
      </c>
    </row>
    <row r="989" spans="1:10" x14ac:dyDescent="0.25">
      <c r="A989" s="2">
        <v>1445.0470016730601</v>
      </c>
      <c r="B989" s="3">
        <v>-0.78425042401677203</v>
      </c>
      <c r="C989" s="5">
        <v>2.83851228694903E-6</v>
      </c>
      <c r="D989" s="4">
        <v>1.6802498784903E-4</v>
      </c>
      <c r="E989" s="3" t="s">
        <v>1310</v>
      </c>
      <c r="F989" s="3" t="s">
        <v>1311</v>
      </c>
      <c r="G989" s="3">
        <v>18950</v>
      </c>
      <c r="H989" s="7" t="str">
        <f>HYPERLINK("http://www.ensembl.org/Mus_musculus/Gene/Summary?db=core;g=ENSMUSG00000115338","ENSMUSG00000115338")</f>
        <v>ENSMUSG00000115338</v>
      </c>
      <c r="I989" s="7" t="str">
        <f>HYPERLINK("http://www.informatics.jax.org/marker/MGI:97365","MGI:97365")</f>
        <v>MGI:97365</v>
      </c>
      <c r="J989" s="4" t="s">
        <v>12</v>
      </c>
    </row>
    <row r="990" spans="1:10" x14ac:dyDescent="0.25">
      <c r="A990" s="2">
        <v>403.16910580085403</v>
      </c>
      <c r="B990" s="3">
        <v>-0.78547849867782005</v>
      </c>
      <c r="C990" s="5">
        <v>4.0425967659318403E-5</v>
      </c>
      <c r="D990" s="4">
        <v>1.39898725619801E-3</v>
      </c>
      <c r="E990" s="3" t="s">
        <v>323</v>
      </c>
      <c r="F990" s="3" t="s">
        <v>324</v>
      </c>
      <c r="G990" s="3">
        <v>215418</v>
      </c>
      <c r="H990" s="7" t="str">
        <f>HYPERLINK("http://www.ensembl.org/Mus_musculus/Gene/Summary?db=core;g=ENSMUSG00000032515","ENSMUSG00000032515")</f>
        <v>ENSMUSG00000032515</v>
      </c>
      <c r="I990" s="7" t="str">
        <f>HYPERLINK("http://www.informatics.jax.org/marker/MGI:2387989","MGI:2387989")</f>
        <v>MGI:2387989</v>
      </c>
      <c r="J990" s="4" t="s">
        <v>12</v>
      </c>
    </row>
    <row r="991" spans="1:10" x14ac:dyDescent="0.25">
      <c r="A991" s="2">
        <v>199.28572613182399</v>
      </c>
      <c r="B991" s="3">
        <v>-0.78778298429004401</v>
      </c>
      <c r="C991" s="3">
        <v>2.4933209303279998E-3</v>
      </c>
      <c r="D991" s="4">
        <v>3.2381501736026601E-2</v>
      </c>
      <c r="E991" s="3" t="s">
        <v>2213</v>
      </c>
      <c r="F991" s="3" t="s">
        <v>2214</v>
      </c>
      <c r="G991" s="3">
        <v>15040</v>
      </c>
      <c r="H991" s="7" t="str">
        <f>HYPERLINK("http://www.ensembl.org/Mus_musculus/Gene/Summary?db=core;g=ENSMUSG00000067212","ENSMUSG00000067212")</f>
        <v>ENSMUSG00000067212</v>
      </c>
      <c r="I991" s="7" t="str">
        <f>HYPERLINK("http://www.informatics.jax.org/marker/MGI:95957","MGI:95957")</f>
        <v>MGI:95957</v>
      </c>
      <c r="J991" s="4" t="s">
        <v>12</v>
      </c>
    </row>
    <row r="992" spans="1:10" x14ac:dyDescent="0.25">
      <c r="A992" s="2">
        <v>865.67254300970797</v>
      </c>
      <c r="B992" s="3">
        <v>-0.78971957174476104</v>
      </c>
      <c r="C992" s="5">
        <v>4.54764422114394E-8</v>
      </c>
      <c r="D992" s="6">
        <v>6.1623318741211897E-6</v>
      </c>
      <c r="E992" s="3" t="s">
        <v>496</v>
      </c>
      <c r="F992" s="3" t="s">
        <v>497</v>
      </c>
      <c r="G992" s="3">
        <v>235610</v>
      </c>
      <c r="H992" s="7" t="str">
        <f>HYPERLINK("http://www.ensembl.org/Mus_musculus/Gene/Summary?db=core;g=ENSMUSG00000025646","ENSMUSG00000025646")</f>
        <v>ENSMUSG00000025646</v>
      </c>
      <c r="I992" s="7" t="str">
        <f>HYPERLINK("http://www.informatics.jax.org/marker/MGI:1925349","MGI:1925349")</f>
        <v>MGI:1925349</v>
      </c>
      <c r="J992" s="4" t="s">
        <v>12</v>
      </c>
    </row>
    <row r="993" spans="1:10" x14ac:dyDescent="0.25">
      <c r="A993" s="2">
        <v>1072.6942123921799</v>
      </c>
      <c r="B993" s="3">
        <v>-0.82624472624567502</v>
      </c>
      <c r="C993" s="5">
        <v>4.8286583343858499E-7</v>
      </c>
      <c r="D993" s="6">
        <v>4.17753232975674E-5</v>
      </c>
      <c r="E993" s="3" t="s">
        <v>2325</v>
      </c>
      <c r="F993" s="3" t="s">
        <v>2326</v>
      </c>
      <c r="G993" s="3">
        <v>19171</v>
      </c>
      <c r="H993" s="7" t="str">
        <f>HYPERLINK("http://www.ensembl.org/Mus_musculus/Gene/Summary?db=core;g=ENSMUSG00000031897","ENSMUSG00000031897")</f>
        <v>ENSMUSG00000031897</v>
      </c>
      <c r="I993" s="7" t="str">
        <f>HYPERLINK("http://www.informatics.jax.org/marker/MGI:1096380","MGI:1096380")</f>
        <v>MGI:1096380</v>
      </c>
      <c r="J993" s="4" t="s">
        <v>12</v>
      </c>
    </row>
    <row r="994" spans="1:10" x14ac:dyDescent="0.25">
      <c r="A994" s="2">
        <v>278.40991070128501</v>
      </c>
      <c r="B994" s="3">
        <v>-0.82879725057615605</v>
      </c>
      <c r="C994" s="5">
        <v>2.6897067129853099E-5</v>
      </c>
      <c r="D994" s="4">
        <v>1.0254620813879901E-3</v>
      </c>
      <c r="E994" s="3" t="s">
        <v>972</v>
      </c>
      <c r="F994" s="3" t="s">
        <v>973</v>
      </c>
      <c r="G994" s="3">
        <v>64685</v>
      </c>
      <c r="H994" s="7" t="str">
        <f>HYPERLINK("http://www.ensembl.org/Mus_musculus/Gene/Summary?db=core;g=ENSMUSG00000026946","ENSMUSG00000026946")</f>
        <v>ENSMUSG00000026946</v>
      </c>
      <c r="I994" s="7" t="str">
        <f>HYPERLINK("http://www.informatics.jax.org/marker/MGI:1928368","MGI:1928368")</f>
        <v>MGI:1928368</v>
      </c>
      <c r="J994" s="4" t="s">
        <v>12</v>
      </c>
    </row>
    <row r="995" spans="1:10" x14ac:dyDescent="0.25">
      <c r="A995" s="2">
        <v>609.08513895518297</v>
      </c>
      <c r="B995" s="3">
        <v>-0.83005870769464796</v>
      </c>
      <c r="C995" s="5">
        <v>4.5749577504717901E-5</v>
      </c>
      <c r="D995" s="4">
        <v>1.54518167626295E-3</v>
      </c>
      <c r="E995" s="3" t="s">
        <v>306</v>
      </c>
      <c r="F995" s="3" t="s">
        <v>307</v>
      </c>
      <c r="G995" s="3">
        <v>22040</v>
      </c>
      <c r="H995" s="7" t="str">
        <f>HYPERLINK("http://www.ensembl.org/Mus_musculus/Gene/Summary?db=core;g=ENSMUSG00000049734","ENSMUSG00000049734")</f>
        <v>ENSMUSG00000049734</v>
      </c>
      <c r="I995" s="7" t="str">
        <f>HYPERLINK("http://www.informatics.jax.org/marker/MGI:1328317","MGI:1328317")</f>
        <v>MGI:1328317</v>
      </c>
      <c r="J995" s="4" t="s">
        <v>12</v>
      </c>
    </row>
    <row r="996" spans="1:10" x14ac:dyDescent="0.25">
      <c r="A996" s="2">
        <v>147.02587529870399</v>
      </c>
      <c r="B996" s="3">
        <v>-0.83470131434478001</v>
      </c>
      <c r="C996" s="3">
        <v>2.4031274398987401E-4</v>
      </c>
      <c r="D996" s="4">
        <v>5.5842922141613903E-3</v>
      </c>
      <c r="E996" s="3" t="s">
        <v>11195</v>
      </c>
      <c r="F996" s="3" t="s">
        <v>11196</v>
      </c>
      <c r="G996" s="3">
        <v>69440</v>
      </c>
      <c r="H996" s="7" t="str">
        <f>HYPERLINK("http://www.ensembl.org/Mus_musculus/Gene/Summary?db=core;g=ENSMUSG00000015377","ENSMUSG00000015377")</f>
        <v>ENSMUSG00000015377</v>
      </c>
      <c r="I996" s="7" t="str">
        <f>HYPERLINK("http://www.informatics.jax.org/marker/MGI:1916690","MGI:1916690")</f>
        <v>MGI:1916690</v>
      </c>
      <c r="J996" s="4" t="s">
        <v>12</v>
      </c>
    </row>
    <row r="997" spans="1:10" x14ac:dyDescent="0.25">
      <c r="A997" s="2">
        <v>315.64307885624299</v>
      </c>
      <c r="B997" s="3">
        <v>-0.83975614501704698</v>
      </c>
      <c r="C997" s="5">
        <v>1.8916121901387702E-9</v>
      </c>
      <c r="D997" s="6">
        <v>5.1890151957294497E-7</v>
      </c>
      <c r="E997" s="3" t="s">
        <v>1528</v>
      </c>
      <c r="F997" s="3" t="s">
        <v>1529</v>
      </c>
      <c r="G997" s="3">
        <v>245666</v>
      </c>
      <c r="H997" s="7" t="str">
        <f>HYPERLINK("http://www.ensembl.org/Mus_musculus/Gene/Summary?db=core;g=ENSMUSG00000041115","ENSMUSG00000041115")</f>
        <v>ENSMUSG00000041115</v>
      </c>
      <c r="I997" s="7" t="str">
        <f>HYPERLINK("http://www.informatics.jax.org/marker/MGI:3528396","MGI:3528396")</f>
        <v>MGI:3528396</v>
      </c>
      <c r="J997" s="4" t="s">
        <v>12</v>
      </c>
    </row>
    <row r="998" spans="1:10" x14ac:dyDescent="0.25">
      <c r="A998" s="2">
        <v>1005.5549271377801</v>
      </c>
      <c r="B998" s="3">
        <v>-0.84950855064591602</v>
      </c>
      <c r="C998" s="5">
        <v>3.87187658706802E-5</v>
      </c>
      <c r="D998" s="4">
        <v>1.3566042359736501E-3</v>
      </c>
      <c r="E998" s="3" t="s">
        <v>766</v>
      </c>
      <c r="F998" s="3" t="s">
        <v>767</v>
      </c>
      <c r="G998" s="3">
        <v>12575</v>
      </c>
      <c r="H998" s="7" t="str">
        <f>HYPERLINK("http://www.ensembl.org/Mus_musculus/Gene/Summary?db=core;g=ENSMUSG00000023067","ENSMUSG00000023067")</f>
        <v>ENSMUSG00000023067</v>
      </c>
      <c r="I998" s="7" t="str">
        <f>HYPERLINK("http://www.informatics.jax.org/marker/MGI:104556","MGI:104556")</f>
        <v>MGI:104556</v>
      </c>
      <c r="J998" s="4" t="s">
        <v>12</v>
      </c>
    </row>
    <row r="999" spans="1:10" x14ac:dyDescent="0.25">
      <c r="A999" s="2">
        <v>40.005449307459699</v>
      </c>
      <c r="B999" s="3">
        <v>-0.85156751022897803</v>
      </c>
      <c r="C999" s="3">
        <v>3.8459681078186498E-3</v>
      </c>
      <c r="D999" s="4">
        <v>4.3958946451866203E-2</v>
      </c>
      <c r="E999" s="3" t="s">
        <v>5017</v>
      </c>
      <c r="F999" s="3" t="s">
        <v>5018</v>
      </c>
      <c r="G999" s="3">
        <v>282663</v>
      </c>
      <c r="H999" s="7" t="str">
        <f>HYPERLINK("http://www.ensembl.org/Mus_musculus/Gene/Summary?db=core;g=ENSMUSG00000051029","ENSMUSG00000051029")</f>
        <v>ENSMUSG00000051029</v>
      </c>
      <c r="I999" s="7" t="str">
        <f>HYPERLINK("http://www.informatics.jax.org/marker/MGI:2445361","MGI:2445361")</f>
        <v>MGI:2445361</v>
      </c>
      <c r="J999" s="4" t="s">
        <v>12</v>
      </c>
    </row>
    <row r="1000" spans="1:10" x14ac:dyDescent="0.25">
      <c r="A1000" s="2">
        <v>119.239342609941</v>
      </c>
      <c r="B1000" s="3">
        <v>-0.85174583040785101</v>
      </c>
      <c r="C1000" s="5">
        <v>2.0984900849342999E-5</v>
      </c>
      <c r="D1000" s="4">
        <v>8.3104640793155301E-4</v>
      </c>
      <c r="E1000" s="3" t="s">
        <v>6531</v>
      </c>
      <c r="F1000" s="3" t="s">
        <v>6532</v>
      </c>
      <c r="G1000" s="3">
        <v>71956</v>
      </c>
      <c r="H1000" s="7" t="str">
        <f>HYPERLINK("http://www.ensembl.org/Mus_musculus/Gene/Summary?db=core;g=ENSMUSG00000020707","ENSMUSG00000020707")</f>
        <v>ENSMUSG00000020707</v>
      </c>
      <c r="I1000" s="7" t="str">
        <f>HYPERLINK("http://www.informatics.jax.org/marker/MGI:1919206","MGI:1919206")</f>
        <v>MGI:1919206</v>
      </c>
      <c r="J1000" s="4" t="s">
        <v>12</v>
      </c>
    </row>
    <row r="1001" spans="1:10" x14ac:dyDescent="0.25">
      <c r="A1001" s="2">
        <v>1517.50004972587</v>
      </c>
      <c r="B1001" s="3">
        <v>-0.85320364526699699</v>
      </c>
      <c r="C1001" s="5">
        <v>6.6530415191172703E-7</v>
      </c>
      <c r="D1001" s="6">
        <v>5.3858222464346198E-5</v>
      </c>
      <c r="E1001" s="3" t="s">
        <v>1975</v>
      </c>
      <c r="F1001" s="3" t="s">
        <v>1976</v>
      </c>
      <c r="G1001" s="3">
        <v>17769</v>
      </c>
      <c r="H1001" s="7" t="str">
        <f>HYPERLINK("http://www.ensembl.org/Mus_musculus/Gene/Summary?db=core;g=ENSMUSG00000029009","ENSMUSG00000029009")</f>
        <v>ENSMUSG00000029009</v>
      </c>
      <c r="I1001" s="7" t="str">
        <f>HYPERLINK("http://www.informatics.jax.org/marker/MGI:106639","MGI:106639")</f>
        <v>MGI:106639</v>
      </c>
      <c r="J1001" s="4" t="s">
        <v>12</v>
      </c>
    </row>
    <row r="1002" spans="1:10" x14ac:dyDescent="0.25">
      <c r="A1002" s="2">
        <v>584.65542550323005</v>
      </c>
      <c r="B1002" s="3">
        <v>-0.87413394716877302</v>
      </c>
      <c r="C1002" s="3">
        <v>2.7351832392180002E-4</v>
      </c>
      <c r="D1002" s="4">
        <v>6.1335037764296196E-3</v>
      </c>
      <c r="E1002" s="3" t="s">
        <v>1937</v>
      </c>
      <c r="F1002" s="3" t="s">
        <v>1938</v>
      </c>
      <c r="G1002" s="3">
        <v>16362</v>
      </c>
      <c r="H1002" s="7" t="str">
        <f>HYPERLINK("http://www.ensembl.org/Mus_musculus/Gene/Summary?db=core;g=ENSMUSG00000018899","ENSMUSG00000018899")</f>
        <v>ENSMUSG00000018899</v>
      </c>
      <c r="I1002" s="7" t="str">
        <f>HYPERLINK("http://www.informatics.jax.org/marker/MGI:96590","MGI:96590")</f>
        <v>MGI:96590</v>
      </c>
      <c r="J1002" s="4" t="s">
        <v>12</v>
      </c>
    </row>
    <row r="1003" spans="1:10" x14ac:dyDescent="0.25">
      <c r="A1003" s="2">
        <v>1406.13528209073</v>
      </c>
      <c r="B1003" s="3">
        <v>-0.88091324466770904</v>
      </c>
      <c r="C1003" s="3">
        <v>2.56497860322424E-3</v>
      </c>
      <c r="D1003" s="4">
        <v>3.3045033620232603E-2</v>
      </c>
      <c r="E1003" s="3" t="s">
        <v>8535</v>
      </c>
      <c r="F1003" s="3" t="s">
        <v>8536</v>
      </c>
      <c r="G1003" s="3">
        <v>11988</v>
      </c>
      <c r="H1003" s="7" t="str">
        <f>HYPERLINK("http://www.ensembl.org/Mus_musculus/Gene/Summary?db=core;g=ENSMUSG00000031596","ENSMUSG00000031596")</f>
        <v>ENSMUSG00000031596</v>
      </c>
      <c r="I1003" s="7" t="str">
        <f>HYPERLINK("http://www.informatics.jax.org/marker/MGI:99828","MGI:99828")</f>
        <v>MGI:99828</v>
      </c>
      <c r="J1003" s="4" t="s">
        <v>12</v>
      </c>
    </row>
    <row r="1004" spans="1:10" x14ac:dyDescent="0.25">
      <c r="A1004" s="2">
        <v>95.2563757924801</v>
      </c>
      <c r="B1004" s="3">
        <v>-0.881314721522098</v>
      </c>
      <c r="C1004" s="5">
        <v>3.69221523099021E-5</v>
      </c>
      <c r="D1004" s="4">
        <v>1.3019079995082599E-3</v>
      </c>
      <c r="E1004" s="3" t="s">
        <v>5063</v>
      </c>
      <c r="F1004" s="3" t="s">
        <v>5064</v>
      </c>
      <c r="G1004" s="3">
        <v>271221</v>
      </c>
      <c r="H1004" s="7" t="str">
        <f>HYPERLINK("http://www.ensembl.org/Mus_musculus/Gene/Summary?db=core;g=ENSMUSG00000034959","ENSMUSG00000034959")</f>
        <v>ENSMUSG00000034959</v>
      </c>
      <c r="I1004" s="7" t="str">
        <f>HYPERLINK("http://www.informatics.jax.org/marker/MGI:2685590","MGI:2685590")</f>
        <v>MGI:2685590</v>
      </c>
      <c r="J1004" s="4" t="s">
        <v>12</v>
      </c>
    </row>
    <row r="1005" spans="1:10" x14ac:dyDescent="0.25">
      <c r="A1005" s="2">
        <v>367.40771938828101</v>
      </c>
      <c r="B1005" s="3">
        <v>-0.88818057845180898</v>
      </c>
      <c r="C1005" s="5">
        <v>3.6202240013472899E-5</v>
      </c>
      <c r="D1005" s="4">
        <v>1.2844372032540399E-3</v>
      </c>
      <c r="E1005" s="3" t="s">
        <v>1770</v>
      </c>
      <c r="F1005" s="3" t="s">
        <v>1771</v>
      </c>
      <c r="G1005" s="3">
        <v>15051</v>
      </c>
      <c r="H1005" s="7" t="str">
        <f>HYPERLINK("http://www.ensembl.org/Mus_musculus/Gene/Summary?db=core;g=ENSMUSG00000056116","ENSMUSG00000056116")</f>
        <v>ENSMUSG00000056116</v>
      </c>
      <c r="I1005" s="7" t="str">
        <f>HYPERLINK("http://www.informatics.jax.org/marker/MGI:95956","MGI:95956")</f>
        <v>MGI:95956</v>
      </c>
      <c r="J1005" s="4" t="s">
        <v>12</v>
      </c>
    </row>
    <row r="1006" spans="1:10" x14ac:dyDescent="0.25">
      <c r="A1006" s="2">
        <v>455.04531903869901</v>
      </c>
      <c r="B1006" s="3">
        <v>-0.90687618703927297</v>
      </c>
      <c r="C1006" s="3">
        <v>4.1928957832699804E-3</v>
      </c>
      <c r="D1006" s="4">
        <v>4.68610020171717E-2</v>
      </c>
      <c r="E1006" s="3" t="s">
        <v>2980</v>
      </c>
      <c r="F1006" s="3" t="s">
        <v>2981</v>
      </c>
      <c r="G1006" s="3">
        <v>21355</v>
      </c>
      <c r="H1006" s="7" t="str">
        <f>HYPERLINK("http://www.ensembl.org/Mus_musculus/Gene/Summary?db=core;g=ENSMUSG00000024339","ENSMUSG00000024339")</f>
        <v>ENSMUSG00000024339</v>
      </c>
      <c r="I1006" s="7" t="str">
        <f>HYPERLINK("http://www.informatics.jax.org/marker/MGI:98484","MGI:98484")</f>
        <v>MGI:98484</v>
      </c>
      <c r="J1006" s="4" t="s">
        <v>12</v>
      </c>
    </row>
    <row r="1007" spans="1:10" x14ac:dyDescent="0.25">
      <c r="A1007" s="2">
        <v>51.144707540493002</v>
      </c>
      <c r="B1007" s="3">
        <v>-0.91522514648931597</v>
      </c>
      <c r="C1007" s="3">
        <v>2.68882249015821E-3</v>
      </c>
      <c r="D1007" s="4">
        <v>3.3912071419468198E-2</v>
      </c>
      <c r="E1007" s="3" t="s">
        <v>5527</v>
      </c>
      <c r="F1007" s="3" t="s">
        <v>5528</v>
      </c>
      <c r="G1007" s="3">
        <v>319710</v>
      </c>
      <c r="H1007" s="7" t="str">
        <f>HYPERLINK("http://www.ensembl.org/Mus_musculus/Gene/Summary?db=core;g=ENSMUSG00000048285","ENSMUSG00000048285")</f>
        <v>ENSMUSG00000048285</v>
      </c>
      <c r="I1007" s="7" t="str">
        <f>HYPERLINK("http://www.informatics.jax.org/marker/MGI:2442579","MGI:2442579")</f>
        <v>MGI:2442579</v>
      </c>
      <c r="J1007" s="4" t="s">
        <v>12</v>
      </c>
    </row>
    <row r="1008" spans="1:10" x14ac:dyDescent="0.25">
      <c r="A1008" s="2">
        <v>3484.10104500648</v>
      </c>
      <c r="B1008" s="3">
        <v>-0.92035068611793502</v>
      </c>
      <c r="C1008" s="3">
        <v>6.6685796401887501E-4</v>
      </c>
      <c r="D1008" s="4">
        <v>1.1791582573409501E-2</v>
      </c>
      <c r="E1008" s="3" t="s">
        <v>1246</v>
      </c>
      <c r="F1008" s="3" t="s">
        <v>1247</v>
      </c>
      <c r="G1008" s="3">
        <v>20971</v>
      </c>
      <c r="H1008" s="7" t="str">
        <f>HYPERLINK("http://www.ensembl.org/Mus_musculus/Gene/Summary?db=core;g=ENSMUSG00000017009","ENSMUSG00000017009")</f>
        <v>ENSMUSG00000017009</v>
      </c>
      <c r="I1008" s="7" t="str">
        <f>HYPERLINK("http://www.informatics.jax.org/marker/MGI:1349164","MGI:1349164")</f>
        <v>MGI:1349164</v>
      </c>
      <c r="J1008" s="4" t="s">
        <v>12</v>
      </c>
    </row>
    <row r="1009" spans="1:10" x14ac:dyDescent="0.25">
      <c r="A1009" s="2">
        <v>91.147839832449804</v>
      </c>
      <c r="B1009" s="3">
        <v>-0.92369166693892402</v>
      </c>
      <c r="C1009" s="3">
        <v>1.25527610037449E-4</v>
      </c>
      <c r="D1009" s="4">
        <v>3.23068427938486E-3</v>
      </c>
      <c r="E1009" s="3" t="s">
        <v>4201</v>
      </c>
      <c r="F1009" s="3" t="s">
        <v>4202</v>
      </c>
      <c r="G1009" s="3" t="s">
        <v>83</v>
      </c>
      <c r="H1009" s="7" t="str">
        <f>HYPERLINK("http://www.ensembl.org/Mus_musculus/Gene/Summary?db=core;g=ENSMUSG00000074813","ENSMUSG00000074813")</f>
        <v>ENSMUSG00000074813</v>
      </c>
      <c r="I1009" s="7" t="str">
        <f>HYPERLINK("http://www.informatics.jax.org/marker/MGI:3652191","MGI:3652191")</f>
        <v>MGI:3652191</v>
      </c>
      <c r="J1009" s="4" t="s">
        <v>939</v>
      </c>
    </row>
    <row r="1010" spans="1:10" x14ac:dyDescent="0.25">
      <c r="A1010" s="2">
        <v>56.624250534628402</v>
      </c>
      <c r="B1010" s="3">
        <v>-0.93764308876268798</v>
      </c>
      <c r="C1010" s="3">
        <v>2.1683031509831699E-3</v>
      </c>
      <c r="D1010" s="4">
        <v>2.9101319259078402E-2</v>
      </c>
      <c r="E1010" s="3" t="s">
        <v>3446</v>
      </c>
      <c r="F1010" s="3" t="s">
        <v>3447</v>
      </c>
      <c r="G1010" s="3" t="s">
        <v>83</v>
      </c>
      <c r="H1010" s="7" t="str">
        <f>HYPERLINK("http://www.ensembl.org/Mus_musculus/Gene/Summary?db=core;g=ENSMUSG00000097000","ENSMUSG00000097000")</f>
        <v>ENSMUSG00000097000</v>
      </c>
      <c r="I1010" s="7" t="str">
        <f>HYPERLINK("http://www.informatics.jax.org/marker/MGI:4937069","MGI:4937069")</f>
        <v>MGI:4937069</v>
      </c>
      <c r="J1010" s="4" t="s">
        <v>932</v>
      </c>
    </row>
    <row r="1011" spans="1:10" x14ac:dyDescent="0.25">
      <c r="A1011" s="2">
        <v>1504.72041589433</v>
      </c>
      <c r="B1011" s="3">
        <v>-0.93765970727418402</v>
      </c>
      <c r="C1011" s="5">
        <v>3.7358694326186102E-9</v>
      </c>
      <c r="D1011" s="6">
        <v>8.1424671380407198E-7</v>
      </c>
      <c r="E1011" s="3" t="s">
        <v>732</v>
      </c>
      <c r="F1011" s="3" t="s">
        <v>733</v>
      </c>
      <c r="G1011" s="3">
        <v>13163</v>
      </c>
      <c r="H1011" s="7" t="str">
        <f>HYPERLINK("http://www.ensembl.org/Mus_musculus/Gene/Summary?db=core;g=ENSMUSG00000002307","ENSMUSG00000002307")</f>
        <v>ENSMUSG00000002307</v>
      </c>
      <c r="I1011" s="7" t="str">
        <f>HYPERLINK("http://www.informatics.jax.org/marker/MGI:1197015","MGI:1197015")</f>
        <v>MGI:1197015</v>
      </c>
      <c r="J1011" s="4" t="s">
        <v>12</v>
      </c>
    </row>
    <row r="1012" spans="1:10" x14ac:dyDescent="0.25">
      <c r="A1012" s="2">
        <v>1117.77933180523</v>
      </c>
      <c r="B1012" s="3">
        <v>-0.93807376163913203</v>
      </c>
      <c r="C1012" s="5">
        <v>1.6479223578662199E-5</v>
      </c>
      <c r="D1012" s="4">
        <v>7.0472177790575701E-4</v>
      </c>
      <c r="E1012" s="3" t="s">
        <v>2942</v>
      </c>
      <c r="F1012" s="3" t="s">
        <v>2943</v>
      </c>
      <c r="G1012" s="3">
        <v>240354</v>
      </c>
      <c r="H1012" s="7" t="str">
        <f>HYPERLINK("http://www.ensembl.org/Mus_musculus/Gene/Summary?db=core;g=ENSMUSG00000032688","ENSMUSG00000032688")</f>
        <v>ENSMUSG00000032688</v>
      </c>
      <c r="I1012" s="7" t="str">
        <f>HYPERLINK("http://www.informatics.jax.org/marker/MGI:2445027","MGI:2445027")</f>
        <v>MGI:2445027</v>
      </c>
      <c r="J1012" s="4" t="s">
        <v>12</v>
      </c>
    </row>
    <row r="1013" spans="1:10" x14ac:dyDescent="0.25">
      <c r="A1013" s="2">
        <v>75.0773674351952</v>
      </c>
      <c r="B1013" s="3">
        <v>-0.94365717553624495</v>
      </c>
      <c r="C1013" s="5">
        <v>2.8881205492671101E-5</v>
      </c>
      <c r="D1013" s="4">
        <v>1.07072434547195E-3</v>
      </c>
      <c r="E1013" s="3" t="s">
        <v>17024</v>
      </c>
      <c r="F1013" s="3" t="s">
        <v>17025</v>
      </c>
      <c r="G1013" s="3">
        <v>142688</v>
      </c>
      <c r="H1013" s="7" t="str">
        <f>HYPERLINK("http://www.ensembl.org/Mus_musculus/Gene/Summary?db=core;g=ENSMUSG00000033781","ENSMUSG00000033781")</f>
        <v>ENSMUSG00000033781</v>
      </c>
      <c r="I1013" s="7" t="str">
        <f>HYPERLINK("http://www.informatics.jax.org/marker/MGI:2145525","MGI:2145525")</f>
        <v>MGI:2145525</v>
      </c>
      <c r="J1013" s="4" t="s">
        <v>12</v>
      </c>
    </row>
    <row r="1014" spans="1:10" x14ac:dyDescent="0.25">
      <c r="A1014" s="2">
        <v>996.85767167179995</v>
      </c>
      <c r="B1014" s="3">
        <v>-0.94981153449199496</v>
      </c>
      <c r="C1014" s="5">
        <v>2.5497870713583698E-6</v>
      </c>
      <c r="D1014" s="4">
        <v>1.57146584257057E-4</v>
      </c>
      <c r="E1014" s="3" t="s">
        <v>666</v>
      </c>
      <c r="F1014" s="3" t="s">
        <v>667</v>
      </c>
      <c r="G1014" s="3">
        <v>56791</v>
      </c>
      <c r="H1014" s="7" t="str">
        <f>HYPERLINK("http://www.ensembl.org/Mus_musculus/Gene/Summary?db=core;g=ENSMUSG00000027078","ENSMUSG00000027078")</f>
        <v>ENSMUSG00000027078</v>
      </c>
      <c r="I1014" s="7" t="str">
        <f>HYPERLINK("http://www.informatics.jax.org/marker/MGI:1914500","MGI:1914500")</f>
        <v>MGI:1914500</v>
      </c>
      <c r="J1014" s="4" t="s">
        <v>12</v>
      </c>
    </row>
    <row r="1015" spans="1:10" x14ac:dyDescent="0.25">
      <c r="A1015" s="2">
        <v>750.03384513335095</v>
      </c>
      <c r="B1015" s="3">
        <v>-1.0239640726348</v>
      </c>
      <c r="C1015" s="5">
        <v>2.9439815323535202E-5</v>
      </c>
      <c r="D1015" s="4">
        <v>1.07853290861173E-3</v>
      </c>
      <c r="E1015" s="3" t="s">
        <v>280</v>
      </c>
      <c r="F1015" s="3" t="s">
        <v>281</v>
      </c>
      <c r="G1015" s="3">
        <v>219132</v>
      </c>
      <c r="H1015" s="7" t="str">
        <f>HYPERLINK("http://www.ensembl.org/Mus_musculus/Gene/Summary?db=core;g=ENSMUSG00000068245","ENSMUSG00000068245")</f>
        <v>ENSMUSG00000068245</v>
      </c>
      <c r="I1015" s="7" t="str">
        <f>HYPERLINK("http://www.informatics.jax.org/marker/MGI:1277133","MGI:1277133")</f>
        <v>MGI:1277133</v>
      </c>
      <c r="J1015" s="4" t="s">
        <v>12</v>
      </c>
    </row>
    <row r="1016" spans="1:10" x14ac:dyDescent="0.25">
      <c r="A1016" s="2">
        <v>275.27838142354801</v>
      </c>
      <c r="B1016" s="3">
        <v>-1.0315157445815399</v>
      </c>
      <c r="C1016" s="3">
        <v>6.3592247980599596E-4</v>
      </c>
      <c r="D1016" s="4">
        <v>1.14435522086049E-2</v>
      </c>
      <c r="E1016" s="3" t="s">
        <v>700</v>
      </c>
      <c r="F1016" s="3" t="s">
        <v>701</v>
      </c>
      <c r="G1016" s="3">
        <v>67138</v>
      </c>
      <c r="H1016" s="7" t="str">
        <f>HYPERLINK("http://www.ensembl.org/Mus_musculus/Gene/Summary?db=core;g=ENSMUSG00000029798","ENSMUSG00000029798")</f>
        <v>ENSMUSG00000029798</v>
      </c>
      <c r="I1016" s="7" t="str">
        <f>HYPERLINK("http://www.informatics.jax.org/marker/MGI:1914388","MGI:1914388")</f>
        <v>MGI:1914388</v>
      </c>
      <c r="J1016" s="4" t="s">
        <v>12</v>
      </c>
    </row>
    <row r="1017" spans="1:10" x14ac:dyDescent="0.25">
      <c r="A1017" s="2">
        <v>325.17567680664303</v>
      </c>
      <c r="B1017" s="3">
        <v>-1.03608296297019</v>
      </c>
      <c r="C1017" s="5">
        <v>1.7306416729550001E-9</v>
      </c>
      <c r="D1017" s="6">
        <v>4.8661317239312203E-7</v>
      </c>
      <c r="E1017" s="3" t="s">
        <v>1430</v>
      </c>
      <c r="F1017" s="3" t="s">
        <v>1431</v>
      </c>
      <c r="G1017" s="3">
        <v>381560</v>
      </c>
      <c r="H1017" s="7" t="str">
        <f>HYPERLINK("http://www.ensembl.org/Mus_musculus/Gene/Summary?db=core;g=ENSMUSG00000037752","ENSMUSG00000037752")</f>
        <v>ENSMUSG00000037752</v>
      </c>
      <c r="I1017" s="7" t="str">
        <f>HYPERLINK("http://www.informatics.jax.org/marker/MGI:2685877","MGI:2685877")</f>
        <v>MGI:2685877</v>
      </c>
      <c r="J1017" s="4" t="s">
        <v>12</v>
      </c>
    </row>
    <row r="1018" spans="1:10" x14ac:dyDescent="0.25">
      <c r="A1018" s="2">
        <v>58.994799277091502</v>
      </c>
      <c r="B1018" s="3">
        <v>-1.1012636981686399</v>
      </c>
      <c r="C1018" s="3">
        <v>2.7813255696983798E-4</v>
      </c>
      <c r="D1018" s="4">
        <v>6.2189997380512297E-3</v>
      </c>
      <c r="E1018" s="3" t="s">
        <v>9745</v>
      </c>
      <c r="F1018" s="3" t="s">
        <v>9746</v>
      </c>
      <c r="G1018" s="3">
        <v>329795</v>
      </c>
      <c r="H1018" s="7" t="str">
        <f>HYPERLINK("http://www.ensembl.org/Mus_musculus/Gene/Summary?db=core;g=ENSMUSG00000049488","ENSMUSG00000049488")</f>
        <v>ENSMUSG00000049488</v>
      </c>
      <c r="I1018" s="7" t="str">
        <f>HYPERLINK("http://www.informatics.jax.org/marker/MGI:1923928","MGI:1923928")</f>
        <v>MGI:1923928</v>
      </c>
      <c r="J1018" s="4" t="s">
        <v>12</v>
      </c>
    </row>
    <row r="1019" spans="1:10" x14ac:dyDescent="0.25">
      <c r="A1019" s="2">
        <v>161.553639353688</v>
      </c>
      <c r="B1019" s="3">
        <v>-1.1194731572424399</v>
      </c>
      <c r="C1019" s="3">
        <v>2.8999464444459699E-4</v>
      </c>
      <c r="D1019" s="4">
        <v>6.4457900515185402E-3</v>
      </c>
      <c r="E1019" s="3" t="s">
        <v>5197</v>
      </c>
      <c r="F1019" s="3" t="s">
        <v>5198</v>
      </c>
      <c r="G1019" s="3">
        <v>245240</v>
      </c>
      <c r="H1019" s="7" t="str">
        <f>HYPERLINK("http://www.ensembl.org/Mus_musculus/Gene/Summary?db=core;g=ENSMUSG00000069892","ENSMUSG00000069892")</f>
        <v>ENSMUSG00000069892</v>
      </c>
      <c r="I1019" s="7" t="str">
        <f>HYPERLINK("http://www.informatics.jax.org/marker/MGI:3711310","MGI:3711310")</f>
        <v>MGI:3711310</v>
      </c>
      <c r="J1019" s="4" t="s">
        <v>12</v>
      </c>
    </row>
    <row r="1020" spans="1:10" x14ac:dyDescent="0.25">
      <c r="A1020" s="2">
        <v>23.6239346183709</v>
      </c>
      <c r="B1020" s="3">
        <v>-1.12701427206729</v>
      </c>
      <c r="C1020" s="3">
        <v>1.6610687861990799E-3</v>
      </c>
      <c r="D1020" s="4">
        <v>2.35884351494711E-2</v>
      </c>
      <c r="E1020" s="3" t="s">
        <v>10660</v>
      </c>
      <c r="F1020" s="3" t="s">
        <v>10661</v>
      </c>
      <c r="G1020" s="3" t="s">
        <v>83</v>
      </c>
      <c r="H1020" s="7" t="str">
        <f>HYPERLINK("http://www.ensembl.org/Mus_musculus/Gene/Summary?db=core;g=ENSMUSG00000055833","ENSMUSG00000055833")</f>
        <v>ENSMUSG00000055833</v>
      </c>
      <c r="I1020" s="7" t="str">
        <f>HYPERLINK("http://www.informatics.jax.org/marker/MGI:1921515","MGI:1921515")</f>
        <v>MGI:1921515</v>
      </c>
      <c r="J1020" s="4" t="s">
        <v>932</v>
      </c>
    </row>
    <row r="1021" spans="1:10" x14ac:dyDescent="0.25">
      <c r="A1021" s="2">
        <v>149.04313666787701</v>
      </c>
      <c r="B1021" s="3">
        <v>-1.1279518502438299</v>
      </c>
      <c r="C1021" s="3">
        <v>2.4501817727584603E-4</v>
      </c>
      <c r="D1021" s="4">
        <v>5.6469660652078701E-3</v>
      </c>
      <c r="E1021" s="3" t="s">
        <v>2617</v>
      </c>
      <c r="F1021" s="3" t="s">
        <v>2618</v>
      </c>
      <c r="G1021" s="3">
        <v>11541</v>
      </c>
      <c r="H1021" s="7" t="str">
        <f>HYPERLINK("http://www.ensembl.org/Mus_musculus/Gene/Summary?db=core;g=ENSMUSG00000018500","ENSMUSG00000018500")</f>
        <v>ENSMUSG00000018500</v>
      </c>
      <c r="I1021" s="7" t="str">
        <f>HYPERLINK("http://www.informatics.jax.org/marker/MGI:99403","MGI:99403")</f>
        <v>MGI:99403</v>
      </c>
      <c r="J1021" s="4" t="s">
        <v>12</v>
      </c>
    </row>
    <row r="1022" spans="1:10" x14ac:dyDescent="0.25">
      <c r="A1022" s="2">
        <v>88.333923810926606</v>
      </c>
      <c r="B1022" s="3">
        <v>-1.14815408666775</v>
      </c>
      <c r="C1022" s="3">
        <v>1.2392441352360401E-4</v>
      </c>
      <c r="D1022" s="4">
        <v>3.1967382543577399E-3</v>
      </c>
      <c r="E1022" s="3" t="s">
        <v>1094</v>
      </c>
      <c r="F1022" s="3" t="s">
        <v>1095</v>
      </c>
      <c r="G1022" s="3">
        <v>243197</v>
      </c>
      <c r="H1022" s="7" t="str">
        <f>HYPERLINK("http://www.ensembl.org/Mus_musculus/Gene/Summary?db=core;g=ENSMUSG00000029490","ENSMUSG00000029490")</f>
        <v>ENSMUSG00000029490</v>
      </c>
      <c r="I1022" s="7" t="str">
        <f>HYPERLINK("http://www.informatics.jax.org/marker/MGI:2442629","MGI:2442629")</f>
        <v>MGI:2442629</v>
      </c>
      <c r="J1022" s="4" t="s">
        <v>12</v>
      </c>
    </row>
    <row r="1023" spans="1:10" x14ac:dyDescent="0.25">
      <c r="A1023" s="2">
        <v>311.027525744569</v>
      </c>
      <c r="B1023" s="3">
        <v>-1.17079134026599</v>
      </c>
      <c r="C1023" s="5">
        <v>1.0356521156674101E-10</v>
      </c>
      <c r="D1023" s="6">
        <v>4.4799920557351397E-8</v>
      </c>
      <c r="E1023" s="3" t="s">
        <v>154</v>
      </c>
      <c r="F1023" s="3" t="s">
        <v>155</v>
      </c>
      <c r="G1023" s="3">
        <v>20723</v>
      </c>
      <c r="H1023" s="7" t="str">
        <f>HYPERLINK("http://www.ensembl.org/Mus_musculus/Gene/Summary?db=core;g=ENSMUSG00000045827","ENSMUSG00000045827")</f>
        <v>ENSMUSG00000045827</v>
      </c>
      <c r="I1023" s="7" t="str">
        <f>HYPERLINK("http://www.informatics.jax.org/marker/MGI:106603","MGI:106603")</f>
        <v>MGI:106603</v>
      </c>
      <c r="J1023" s="4" t="s">
        <v>12</v>
      </c>
    </row>
    <row r="1024" spans="1:10" x14ac:dyDescent="0.25">
      <c r="A1024" s="2">
        <v>789.73300944254697</v>
      </c>
      <c r="B1024" s="3">
        <v>-1.1897454118837401</v>
      </c>
      <c r="C1024" s="3">
        <v>1.3184332878442399E-3</v>
      </c>
      <c r="D1024" s="4">
        <v>1.9877237517941199E-2</v>
      </c>
      <c r="E1024" s="3" t="s">
        <v>1548</v>
      </c>
      <c r="F1024" s="3" t="s">
        <v>1549</v>
      </c>
      <c r="G1024" s="3">
        <v>60533</v>
      </c>
      <c r="H1024" s="7" t="str">
        <f>HYPERLINK("http://www.ensembl.org/Mus_musculus/Gene/Summary?db=core;g=ENSMUSG00000016496","ENSMUSG00000016496")</f>
        <v>ENSMUSG00000016496</v>
      </c>
      <c r="I1024" s="7" t="str">
        <f>HYPERLINK("http://www.informatics.jax.org/marker/MGI:1926446","MGI:1926446")</f>
        <v>MGI:1926446</v>
      </c>
      <c r="J1024" s="4" t="s">
        <v>12</v>
      </c>
    </row>
    <row r="1025" spans="1:10" x14ac:dyDescent="0.25">
      <c r="A1025" s="2">
        <v>80.495932972850696</v>
      </c>
      <c r="B1025" s="3">
        <v>-1.19970964307445</v>
      </c>
      <c r="C1025" s="3">
        <v>1.46390547251687E-3</v>
      </c>
      <c r="D1025" s="4">
        <v>2.1663067081626599E-2</v>
      </c>
      <c r="E1025" s="3" t="s">
        <v>8897</v>
      </c>
      <c r="F1025" s="3" t="s">
        <v>8898</v>
      </c>
      <c r="G1025" s="3">
        <v>667214</v>
      </c>
      <c r="H1025" s="7" t="str">
        <f>HYPERLINK("http://www.ensembl.org/Mus_musculus/Gene/Summary?db=core;g=ENSMUSG00000069893","ENSMUSG00000069893")</f>
        <v>ENSMUSG00000069893</v>
      </c>
      <c r="I1025" s="7" t="str">
        <f>HYPERLINK("http://www.informatics.jax.org/marker/MGI:3041173","MGI:3041173")</f>
        <v>MGI:3041173</v>
      </c>
      <c r="J1025" s="4" t="s">
        <v>12</v>
      </c>
    </row>
    <row r="1026" spans="1:10" x14ac:dyDescent="0.25">
      <c r="A1026" s="2">
        <v>24.388659582235</v>
      </c>
      <c r="B1026" s="3">
        <v>-1.2125853098661299</v>
      </c>
      <c r="C1026" s="3">
        <v>2.1946154125137801E-3</v>
      </c>
      <c r="D1026" s="4">
        <v>2.9331073722848999E-2</v>
      </c>
      <c r="E1026" s="3" t="s">
        <v>8895</v>
      </c>
      <c r="F1026" s="3" t="s">
        <v>8896</v>
      </c>
      <c r="G1026" s="3">
        <v>72230</v>
      </c>
      <c r="H1026" s="7" t="str">
        <f>HYPERLINK("http://www.ensembl.org/Mus_musculus/Gene/Summary?db=core;g=ENSMUSG00000074500","ENSMUSG00000074500")</f>
        <v>ENSMUSG00000074500</v>
      </c>
      <c r="I1026" s="7" t="str">
        <f>HYPERLINK("http://www.informatics.jax.org/marker/MGI:1921681","MGI:1921681")</f>
        <v>MGI:1921681</v>
      </c>
      <c r="J1026" s="4" t="s">
        <v>12</v>
      </c>
    </row>
    <row r="1027" spans="1:10" x14ac:dyDescent="0.25">
      <c r="A1027" s="2">
        <v>44.546370072520801</v>
      </c>
      <c r="B1027" s="3">
        <v>-1.2160544123023</v>
      </c>
      <c r="C1027" s="3">
        <v>5.64697489657574E-4</v>
      </c>
      <c r="D1027" s="4">
        <v>1.0497773001948299E-2</v>
      </c>
      <c r="E1027" s="3" t="s">
        <v>3196</v>
      </c>
      <c r="F1027" s="3" t="s">
        <v>3197</v>
      </c>
      <c r="G1027" s="3">
        <v>16173</v>
      </c>
      <c r="H1027" s="7" t="str">
        <f>HYPERLINK("http://www.ensembl.org/Mus_musculus/Gene/Summary?db=core;g=ENSMUSG00000039217","ENSMUSG00000039217")</f>
        <v>ENSMUSG00000039217</v>
      </c>
      <c r="I1027" s="7" t="str">
        <f>HYPERLINK("http://www.informatics.jax.org/marker/MGI:107936","MGI:107936")</f>
        <v>MGI:107936</v>
      </c>
      <c r="J1027" s="4" t="s">
        <v>12</v>
      </c>
    </row>
    <row r="1028" spans="1:10" x14ac:dyDescent="0.25">
      <c r="A1028" s="2">
        <v>125.26594486834</v>
      </c>
      <c r="B1028" s="3">
        <v>-1.22432418109314</v>
      </c>
      <c r="C1028" s="5">
        <v>2.8477587903087E-5</v>
      </c>
      <c r="D1028" s="4">
        <v>1.0605544077682801E-3</v>
      </c>
      <c r="E1028" s="3" t="s">
        <v>630</v>
      </c>
      <c r="F1028" s="3" t="s">
        <v>631</v>
      </c>
      <c r="G1028" s="3" t="s">
        <v>83</v>
      </c>
      <c r="H1028" s="7" t="str">
        <f>HYPERLINK("http://www.ensembl.org/Mus_musculus/Gene/Summary?db=core;g=ENSMUSG00000108112","ENSMUSG00000108112")</f>
        <v>ENSMUSG00000108112</v>
      </c>
      <c r="I1028" s="7" t="str">
        <f>HYPERLINK("http://www.informatics.jax.org/marker/MGI:5753769","MGI:5753769")</f>
        <v>MGI:5753769</v>
      </c>
      <c r="J1028" s="4" t="s">
        <v>331</v>
      </c>
    </row>
    <row r="1029" spans="1:10" x14ac:dyDescent="0.25">
      <c r="A1029" s="2">
        <v>28.345191722016999</v>
      </c>
      <c r="B1029" s="3">
        <v>-1.2388835042330499</v>
      </c>
      <c r="C1029" s="3">
        <v>7.3238903842554504E-4</v>
      </c>
      <c r="D1029" s="4">
        <v>1.2556676090201399E-2</v>
      </c>
      <c r="E1029" s="3" t="s">
        <v>4329</v>
      </c>
      <c r="F1029" s="3" t="s">
        <v>4330</v>
      </c>
      <c r="G1029" s="3">
        <v>75051</v>
      </c>
      <c r="H1029" s="7" t="str">
        <f>HYPERLINK("http://www.ensembl.org/Mus_musculus/Gene/Summary?db=core;g=ENSMUSG00000070883","ENSMUSG00000070883")</f>
        <v>ENSMUSG00000070883</v>
      </c>
      <c r="I1029" s="7" t="str">
        <f>HYPERLINK("http://www.informatics.jax.org/marker/MGI:1923100","MGI:1923100")</f>
        <v>MGI:1923100</v>
      </c>
      <c r="J1029" s="4" t="s">
        <v>12</v>
      </c>
    </row>
    <row r="1030" spans="1:10" x14ac:dyDescent="0.25">
      <c r="A1030" s="2">
        <v>750.33127797956604</v>
      </c>
      <c r="B1030" s="3">
        <v>-1.2493784635576901</v>
      </c>
      <c r="C1030" s="3">
        <v>1.4038699232780499E-4</v>
      </c>
      <c r="D1030" s="4">
        <v>3.5087388949129402E-3</v>
      </c>
      <c r="E1030" s="3" t="s">
        <v>1468</v>
      </c>
      <c r="F1030" s="3" t="s">
        <v>1469</v>
      </c>
      <c r="G1030" s="3">
        <v>20847</v>
      </c>
      <c r="H1030" s="7" t="str">
        <f>HYPERLINK("http://www.ensembl.org/Mus_musculus/Gene/Summary?db=core;g=ENSMUSG00000040033","ENSMUSG00000040033")</f>
        <v>ENSMUSG00000040033</v>
      </c>
      <c r="I1030" s="7" t="str">
        <f>HYPERLINK("http://www.informatics.jax.org/marker/MGI:103039","MGI:103039")</f>
        <v>MGI:103039</v>
      </c>
      <c r="J1030" s="4" t="s">
        <v>12</v>
      </c>
    </row>
    <row r="1031" spans="1:10" x14ac:dyDescent="0.25">
      <c r="A1031" s="2">
        <v>70.303250040514399</v>
      </c>
      <c r="B1031" s="3">
        <v>-1.27241720476806</v>
      </c>
      <c r="C1031" s="5">
        <v>7.0678812225601802E-5</v>
      </c>
      <c r="D1031" s="4">
        <v>2.0928139875251899E-3</v>
      </c>
      <c r="E1031" s="3" t="s">
        <v>4837</v>
      </c>
      <c r="F1031" s="3" t="s">
        <v>4838</v>
      </c>
      <c r="G1031" s="3">
        <v>58206</v>
      </c>
      <c r="H1031" s="7" t="str">
        <f>HYPERLINK("http://www.ensembl.org/Mus_musculus/Gene/Summary?db=core;g=ENSMUSG00000006310","ENSMUSG00000006310")</f>
        <v>ENSMUSG00000006310</v>
      </c>
      <c r="I1031" s="7" t="str">
        <f>HYPERLINK("http://www.informatics.jax.org/marker/MGI:1891838","MGI:1891838")</f>
        <v>MGI:1891838</v>
      </c>
      <c r="J1031" s="4" t="s">
        <v>12</v>
      </c>
    </row>
    <row r="1032" spans="1:10" x14ac:dyDescent="0.25">
      <c r="A1032" s="2">
        <v>1426.01327109869</v>
      </c>
      <c r="B1032" s="3">
        <v>-1.2741168584217399</v>
      </c>
      <c r="C1032" s="3">
        <v>2.96890768443922E-4</v>
      </c>
      <c r="D1032" s="4">
        <v>6.5601777459504797E-3</v>
      </c>
      <c r="E1032" s="3" t="s">
        <v>1078</v>
      </c>
      <c r="F1032" s="3" t="s">
        <v>1079</v>
      </c>
      <c r="G1032" s="3">
        <v>19124</v>
      </c>
      <c r="H1032" s="7" t="str">
        <f>HYPERLINK("http://www.ensembl.org/Mus_musculus/Gene/Summary?db=core;g=ENSMUSG00000027611","ENSMUSG00000027611")</f>
        <v>ENSMUSG00000027611</v>
      </c>
      <c r="I1032" s="7" t="str">
        <f>HYPERLINK("http://www.informatics.jax.org/marker/MGI:104596","MGI:104596")</f>
        <v>MGI:104596</v>
      </c>
      <c r="J1032" s="4" t="s">
        <v>12</v>
      </c>
    </row>
    <row r="1033" spans="1:10" x14ac:dyDescent="0.25">
      <c r="A1033" s="2">
        <v>34.278926913841801</v>
      </c>
      <c r="B1033" s="3">
        <v>-1.3020386519407601</v>
      </c>
      <c r="C1033" s="3">
        <v>7.5134888951230701E-4</v>
      </c>
      <c r="D1033" s="4">
        <v>1.27649863449319E-2</v>
      </c>
      <c r="E1033" s="3" t="s">
        <v>2483</v>
      </c>
      <c r="F1033" s="3" t="s">
        <v>2484</v>
      </c>
      <c r="G1033" s="3">
        <v>66341</v>
      </c>
      <c r="H1033" s="7" t="str">
        <f>HYPERLINK("http://www.ensembl.org/Mus_musculus/Gene/Summary?db=core;g=ENSMUSG00000109864","ENSMUSG00000109864")</f>
        <v>ENSMUSG00000109864</v>
      </c>
      <c r="I1033" s="7" t="str">
        <f>HYPERLINK("http://www.informatics.jax.org/marker/MGI:1913591","MGI:1913591")</f>
        <v>MGI:1913591</v>
      </c>
      <c r="J1033" s="4" t="s">
        <v>12</v>
      </c>
    </row>
    <row r="1034" spans="1:10" x14ac:dyDescent="0.25">
      <c r="A1034" s="2">
        <v>36.228476997541399</v>
      </c>
      <c r="B1034" s="3">
        <v>-1.30809079536453</v>
      </c>
      <c r="C1034" s="3">
        <v>2.92348994569476E-3</v>
      </c>
      <c r="D1034" s="4">
        <v>3.5817528779116599E-2</v>
      </c>
      <c r="E1034" s="3" t="s">
        <v>3754</v>
      </c>
      <c r="F1034" s="3" t="s">
        <v>3755</v>
      </c>
      <c r="G1034" s="3" t="s">
        <v>83</v>
      </c>
      <c r="H1034" s="7" t="str">
        <f>HYPERLINK("http://www.ensembl.org/Mus_musculus/Gene/Summary?db=core;g=ENSMUSG00000063611","ENSMUSG00000063611")</f>
        <v>ENSMUSG00000063611</v>
      </c>
      <c r="I1034" s="7" t="str">
        <f>HYPERLINK("http://www.informatics.jax.org/marker/MGI:3642322","MGI:3642322")</f>
        <v>MGI:3642322</v>
      </c>
      <c r="J1034" s="4" t="s">
        <v>939</v>
      </c>
    </row>
    <row r="1035" spans="1:10" x14ac:dyDescent="0.25">
      <c r="A1035" s="2">
        <v>43.6992296937253</v>
      </c>
      <c r="B1035" s="3">
        <v>-1.3123200154858901</v>
      </c>
      <c r="C1035" s="3">
        <v>2.8963047943905301E-3</v>
      </c>
      <c r="D1035" s="4">
        <v>3.5561943256015603E-2</v>
      </c>
      <c r="E1035" s="3" t="s">
        <v>3052</v>
      </c>
      <c r="F1035" s="3" t="s">
        <v>3053</v>
      </c>
      <c r="G1035" s="3">
        <v>12579</v>
      </c>
      <c r="H1035" s="7" t="str">
        <f>HYPERLINK("http://www.ensembl.org/Mus_musculus/Gene/Summary?db=core;g=ENSMUSG00000073802","ENSMUSG00000073802")</f>
        <v>ENSMUSG00000073802</v>
      </c>
      <c r="I1035" s="7" t="str">
        <f>HYPERLINK("http://www.informatics.jax.org/marker/MGI:104737","MGI:104737")</f>
        <v>MGI:104737</v>
      </c>
      <c r="J1035" s="4" t="s">
        <v>12</v>
      </c>
    </row>
    <row r="1036" spans="1:10" x14ac:dyDescent="0.25">
      <c r="A1036" s="2">
        <v>2997.2076560687901</v>
      </c>
      <c r="B1036" s="3">
        <v>-1.313416737227</v>
      </c>
      <c r="C1036" s="3">
        <v>2.42949882887533E-4</v>
      </c>
      <c r="D1036" s="4">
        <v>5.62234019102074E-3</v>
      </c>
      <c r="E1036" s="3" t="s">
        <v>454</v>
      </c>
      <c r="F1036" s="3" t="s">
        <v>455</v>
      </c>
      <c r="G1036" s="3">
        <v>15958</v>
      </c>
      <c r="H1036" s="7" t="str">
        <f>HYPERLINK("http://www.ensembl.org/Mus_musculus/Gene/Summary?db=core;g=ENSMUSG00000045932","ENSMUSG00000045932")</f>
        <v>ENSMUSG00000045932</v>
      </c>
      <c r="I1036" s="7" t="str">
        <f>HYPERLINK("http://www.informatics.jax.org/marker/MGI:99449","MGI:99449")</f>
        <v>MGI:99449</v>
      </c>
      <c r="J1036" s="4" t="s">
        <v>12</v>
      </c>
    </row>
    <row r="1037" spans="1:10" x14ac:dyDescent="0.25">
      <c r="A1037" s="2">
        <v>93.040960087202293</v>
      </c>
      <c r="B1037" s="3">
        <v>-1.31659256008819</v>
      </c>
      <c r="C1037" s="3">
        <v>4.33833047413359E-4</v>
      </c>
      <c r="D1037" s="4">
        <v>8.5811178823220497E-3</v>
      </c>
      <c r="E1037" s="3" t="s">
        <v>6513</v>
      </c>
      <c r="F1037" s="3" t="s">
        <v>6514</v>
      </c>
      <c r="G1037" s="3">
        <v>60525</v>
      </c>
      <c r="H1037" s="7" t="str">
        <f>HYPERLINK("http://www.ensembl.org/Mus_musculus/Gene/Summary?db=core;g=ENSMUSG00000027605","ENSMUSG00000027605")</f>
        <v>ENSMUSG00000027605</v>
      </c>
      <c r="I1037" s="7" t="str">
        <f>HYPERLINK("http://www.informatics.jax.org/marker/MGI:1890410","MGI:1890410")</f>
        <v>MGI:1890410</v>
      </c>
      <c r="J1037" s="4" t="s">
        <v>12</v>
      </c>
    </row>
    <row r="1038" spans="1:10" x14ac:dyDescent="0.25">
      <c r="A1038" s="2">
        <v>64.250789702045495</v>
      </c>
      <c r="B1038" s="3">
        <v>-1.3349613700676799</v>
      </c>
      <c r="C1038" s="5">
        <v>1.9302456358053799E-6</v>
      </c>
      <c r="D1038" s="4">
        <v>1.21963329583725E-4</v>
      </c>
      <c r="E1038" s="3" t="s">
        <v>4027</v>
      </c>
      <c r="F1038" s="3" t="s">
        <v>4028</v>
      </c>
      <c r="G1038" s="3" t="s">
        <v>83</v>
      </c>
      <c r="H1038" s="7" t="str">
        <f>HYPERLINK("http://www.ensembl.org/Mus_musculus/Gene/Summary?db=core;g=ENSMUSG00000112627","ENSMUSG00000112627")</f>
        <v>ENSMUSG00000112627</v>
      </c>
      <c r="I1038" s="7" t="str">
        <f>HYPERLINK("http://www.informatics.jax.org/marker/MGI:1918336","MGI:1918336")</f>
        <v>MGI:1918336</v>
      </c>
      <c r="J1038" s="4" t="s">
        <v>3187</v>
      </c>
    </row>
    <row r="1039" spans="1:10" x14ac:dyDescent="0.25">
      <c r="A1039" s="2">
        <v>65.757071210977898</v>
      </c>
      <c r="B1039" s="3">
        <v>-1.35341093775596</v>
      </c>
      <c r="C1039" s="5">
        <v>2.9003039724185401E-5</v>
      </c>
      <c r="D1039" s="4">
        <v>1.07072434547195E-3</v>
      </c>
      <c r="E1039" s="3" t="s">
        <v>1017</v>
      </c>
      <c r="F1039" s="3" t="s">
        <v>1018</v>
      </c>
      <c r="G1039" s="3" t="s">
        <v>83</v>
      </c>
      <c r="H1039" s="7" t="str">
        <f>HYPERLINK("http://www.ensembl.org/Mus_musculus/Gene/Summary?db=core;g=ENSMUSG00000087477","ENSMUSG00000087477")</f>
        <v>ENSMUSG00000087477</v>
      </c>
      <c r="I1039" s="7" t="str">
        <f>HYPERLINK("http://www.informatics.jax.org/marker/MGI:3650351","MGI:3650351")</f>
        <v>MGI:3650351</v>
      </c>
      <c r="J1039" s="4" t="s">
        <v>932</v>
      </c>
    </row>
    <row r="1040" spans="1:10" x14ac:dyDescent="0.25">
      <c r="A1040" s="2">
        <v>166.66117866839801</v>
      </c>
      <c r="B1040" s="3">
        <v>-1.4275914243817101</v>
      </c>
      <c r="C1040" s="5">
        <v>9.4482073542411094E-6</v>
      </c>
      <c r="D1040" s="4">
        <v>4.5606861851137299E-4</v>
      </c>
      <c r="E1040" s="3" t="s">
        <v>1740</v>
      </c>
      <c r="F1040" s="3" t="s">
        <v>1741</v>
      </c>
      <c r="G1040" s="3">
        <v>434484</v>
      </c>
      <c r="H1040" s="7" t="str">
        <f>HYPERLINK("http://www.ensembl.org/Mus_musculus/Gene/Summary?db=core;g=ENSMUSG00000070031","ENSMUSG00000070031")</f>
        <v>ENSMUSG00000070031</v>
      </c>
      <c r="I1040" s="7" t="str">
        <f>HYPERLINK("http://www.informatics.jax.org/marker/MGI:3702467","MGI:3702467")</f>
        <v>MGI:3702467</v>
      </c>
      <c r="J1040" s="4" t="s">
        <v>12</v>
      </c>
    </row>
    <row r="1041" spans="1:10" x14ac:dyDescent="0.25">
      <c r="A1041" s="2">
        <v>118.691207630036</v>
      </c>
      <c r="B1041" s="3">
        <v>-1.46255553574909</v>
      </c>
      <c r="C1041" s="3">
        <v>3.70300854185892E-3</v>
      </c>
      <c r="D1041" s="4">
        <v>4.2847466121694801E-2</v>
      </c>
      <c r="E1041" s="3" t="s">
        <v>2323</v>
      </c>
      <c r="F1041" s="3" t="s">
        <v>2324</v>
      </c>
      <c r="G1041" s="3">
        <v>109032</v>
      </c>
      <c r="H1041" s="7" t="str">
        <f>HYPERLINK("http://www.ensembl.org/Mus_musculus/Gene/Summary?db=core;g=ENSMUSG00000070034","ENSMUSG00000070034")</f>
        <v>ENSMUSG00000070034</v>
      </c>
      <c r="I1041" s="7" t="str">
        <f>HYPERLINK("http://www.informatics.jax.org/marker/MGI:1923364","MGI:1923364")</f>
        <v>MGI:1923364</v>
      </c>
      <c r="J1041" s="4" t="s">
        <v>12</v>
      </c>
    </row>
    <row r="1042" spans="1:10" x14ac:dyDescent="0.25">
      <c r="A1042" s="2">
        <v>44.842824386338101</v>
      </c>
      <c r="B1042" s="3">
        <v>-1.46882219593651</v>
      </c>
      <c r="C1042" s="3">
        <v>2.6677923254558498E-4</v>
      </c>
      <c r="D1042" s="4">
        <v>6.0009320568804002E-3</v>
      </c>
      <c r="E1042" s="3" t="s">
        <v>3332</v>
      </c>
      <c r="F1042" s="3" t="s">
        <v>3333</v>
      </c>
      <c r="G1042" s="3">
        <v>628705</v>
      </c>
      <c r="H1042" s="7" t="str">
        <f>HYPERLINK("http://www.ensembl.org/Mus_musculus/Gene/Summary?db=core;g=ENSMUSG00000091144","ENSMUSG00000091144")</f>
        <v>ENSMUSG00000091144</v>
      </c>
      <c r="I1042" s="7" t="str">
        <f>HYPERLINK("http://www.informatics.jax.org/marker/MGI:3648476","MGI:3648476")</f>
        <v>MGI:3648476</v>
      </c>
      <c r="J1042" s="4" t="s">
        <v>12</v>
      </c>
    </row>
    <row r="1043" spans="1:10" x14ac:dyDescent="0.25">
      <c r="A1043" s="2">
        <v>24.091833504902901</v>
      </c>
      <c r="B1043" s="3">
        <v>-1.6553376227896199</v>
      </c>
      <c r="C1043" s="3">
        <v>7.9070749355310396E-4</v>
      </c>
      <c r="D1043" s="4">
        <v>1.3373063428559E-2</v>
      </c>
      <c r="E1043" s="3" t="s">
        <v>3600</v>
      </c>
      <c r="F1043" s="3" t="s">
        <v>3601</v>
      </c>
      <c r="G1043" s="3" t="s">
        <v>83</v>
      </c>
      <c r="H1043" s="7" t="str">
        <f>HYPERLINK("http://www.ensembl.org/Mus_musculus/Gene/Summary?db=core;g=ENSMUSG00000072844","ENSMUSG00000072844")</f>
        <v>ENSMUSG00000072844</v>
      </c>
      <c r="I1043" s="7" t="str">
        <f>HYPERLINK("http://www.informatics.jax.org/marker/MGI:3603513","MGI:3603513")</f>
        <v>MGI:3603513</v>
      </c>
      <c r="J1043" s="4" t="s">
        <v>331</v>
      </c>
    </row>
    <row r="1044" spans="1:10" x14ac:dyDescent="0.25">
      <c r="A1044" s="2">
        <v>83.674942876795996</v>
      </c>
      <c r="B1044" s="3">
        <v>-1.6837776706946099</v>
      </c>
      <c r="C1044" s="3">
        <v>2.6467922728675101E-3</v>
      </c>
      <c r="D1044" s="4">
        <v>3.3660491295064099E-2</v>
      </c>
      <c r="E1044" s="3" t="s">
        <v>7985</v>
      </c>
      <c r="F1044" s="3" t="s">
        <v>7986</v>
      </c>
      <c r="G1044" s="3">
        <v>16168</v>
      </c>
      <c r="H1044" s="7" t="str">
        <f>HYPERLINK("http://www.ensembl.org/Mus_musculus/Gene/Summary?db=core;g=ENSMUSG00000031712","ENSMUSG00000031712")</f>
        <v>ENSMUSG00000031712</v>
      </c>
      <c r="I1044" s="7" t="str">
        <f>HYPERLINK("http://www.informatics.jax.org/marker/MGI:103014","MGI:103014")</f>
        <v>MGI:103014</v>
      </c>
      <c r="J1044" s="4" t="s">
        <v>12</v>
      </c>
    </row>
    <row r="1045" spans="1:10" x14ac:dyDescent="0.25">
      <c r="A1045" s="2">
        <v>120.85050897372599</v>
      </c>
      <c r="B1045" s="3">
        <v>-1.71027011587663</v>
      </c>
      <c r="C1045" s="3">
        <v>9.0874716293515301E-4</v>
      </c>
      <c r="D1045" s="4">
        <v>1.4812578755842999E-2</v>
      </c>
      <c r="E1045" s="3" t="s">
        <v>5145</v>
      </c>
      <c r="F1045" s="3" t="s">
        <v>5146</v>
      </c>
      <c r="G1045" s="3">
        <v>75695</v>
      </c>
      <c r="H1045" s="7" t="str">
        <f>HYPERLINK("http://www.ensembl.org/Mus_musculus/Gene/Summary?db=core;g=ENSMUSG00000029392","ENSMUSG00000029392")</f>
        <v>ENSMUSG00000029392</v>
      </c>
      <c r="I1045" s="7" t="str">
        <f>HYPERLINK("http://www.informatics.jax.org/marker/MGI:1922945","MGI:1922945")</f>
        <v>MGI:1922945</v>
      </c>
      <c r="J1045" s="4" t="s">
        <v>12</v>
      </c>
    </row>
    <row r="1046" spans="1:10" x14ac:dyDescent="0.25">
      <c r="A1046" s="2">
        <v>838.37194624239396</v>
      </c>
      <c r="B1046" s="3">
        <v>-1.7419585807309299</v>
      </c>
      <c r="C1046" s="3">
        <v>5.3773206671891801E-4</v>
      </c>
      <c r="D1046" s="4">
        <v>1.00797875906461E-2</v>
      </c>
      <c r="E1046" s="3" t="s">
        <v>3324</v>
      </c>
      <c r="F1046" s="3" t="s">
        <v>3325</v>
      </c>
      <c r="G1046" s="3">
        <v>20308</v>
      </c>
      <c r="H1046" s="7" t="str">
        <f>HYPERLINK("http://www.ensembl.org/Mus_musculus/Gene/Summary?db=core;g=ENSMUSG00000019122","ENSMUSG00000019122")</f>
        <v>ENSMUSG00000019122</v>
      </c>
      <c r="I1046" s="7" t="str">
        <f>HYPERLINK("http://www.informatics.jax.org/marker/MGI:104533","MGI:104533")</f>
        <v>MGI:104533</v>
      </c>
      <c r="J1046" s="4" t="s">
        <v>12</v>
      </c>
    </row>
    <row r="1047" spans="1:10" x14ac:dyDescent="0.25">
      <c r="A1047" s="2">
        <v>52.200643311924402</v>
      </c>
      <c r="B1047" s="3">
        <v>-1.7783299364660301</v>
      </c>
      <c r="C1047" s="3">
        <v>6.7096550951923001E-4</v>
      </c>
      <c r="D1047" s="4">
        <v>1.1791582573409501E-2</v>
      </c>
      <c r="E1047" s="3" t="s">
        <v>1554</v>
      </c>
      <c r="F1047" s="3" t="s">
        <v>1555</v>
      </c>
      <c r="G1047" s="3">
        <v>12703</v>
      </c>
      <c r="H1047" s="7" t="str">
        <f>HYPERLINK("http://www.ensembl.org/Mus_musculus/Gene/Summary?db=core;g=ENSMUSG00000038037","ENSMUSG00000038037")</f>
        <v>ENSMUSG00000038037</v>
      </c>
      <c r="I1047" s="7" t="str">
        <f>HYPERLINK("http://www.informatics.jax.org/marker/MGI:1354910","MGI:1354910")</f>
        <v>MGI:1354910</v>
      </c>
      <c r="J1047" s="4" t="s">
        <v>12</v>
      </c>
    </row>
    <row r="1048" spans="1:10" x14ac:dyDescent="0.25">
      <c r="A1048" s="2">
        <v>105.01709863718899</v>
      </c>
      <c r="B1048" s="3">
        <v>-2.5472439883898899</v>
      </c>
      <c r="C1048" s="3">
        <v>3.7230666674316101E-3</v>
      </c>
      <c r="D1048" s="4">
        <v>4.30352834620795E-2</v>
      </c>
      <c r="E1048" s="3" t="s">
        <v>2401</v>
      </c>
      <c r="F1048" s="3" t="s">
        <v>2402</v>
      </c>
      <c r="G1048" s="3">
        <v>66141</v>
      </c>
      <c r="H1048" s="7" t="str">
        <f>HYPERLINK("http://www.ensembl.org/Mus_musculus/Gene/Summary?db=core;g=ENSMUSG00000025492","ENSMUSG00000025492")</f>
        <v>ENSMUSG00000025492</v>
      </c>
      <c r="I1048" s="7" t="str">
        <f>HYPERLINK("http://www.informatics.jax.org/marker/MGI:1913391","MGI:1913391")</f>
        <v>MGI:1913391</v>
      </c>
      <c r="J1048" s="4" t="s">
        <v>12</v>
      </c>
    </row>
  </sheetData>
  <autoFilter ref="A7:J7" xr:uid="{00AF3DE3-AE6B-40A1-BC20-9312C1B8117B}">
    <sortState xmlns:xlrd2="http://schemas.microsoft.com/office/spreadsheetml/2017/richdata2" ref="A8:J1048">
      <sortCondition descending="1" ref="B7"/>
    </sortState>
  </autoFilter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6260-C875-43C5-830F-7F74E7D8DF3D}">
  <dimension ref="A1:H93"/>
  <sheetViews>
    <sheetView workbookViewId="0">
      <selection activeCell="I7" sqref="I7"/>
    </sheetView>
  </sheetViews>
  <sheetFormatPr defaultRowHeight="15" x14ac:dyDescent="0.25"/>
  <cols>
    <col min="3" max="3" width="11.28515625" bestFit="1" customWidth="1"/>
    <col min="4" max="4" width="85.7109375" bestFit="1" customWidth="1"/>
  </cols>
  <sheetData>
    <row r="1" spans="1:8" x14ac:dyDescent="0.25">
      <c r="A1" s="9" t="s">
        <v>17463</v>
      </c>
      <c r="B1" s="9" t="s">
        <v>17046</v>
      </c>
      <c r="C1" s="9" t="s">
        <v>17047</v>
      </c>
      <c r="D1" s="9" t="s">
        <v>17048</v>
      </c>
      <c r="E1" s="9" t="s">
        <v>17049</v>
      </c>
      <c r="F1" s="9" t="s">
        <v>17050</v>
      </c>
      <c r="G1" s="9" t="s">
        <v>17051</v>
      </c>
      <c r="H1" s="9" t="s">
        <v>17052</v>
      </c>
    </row>
    <row r="2" spans="1:8" x14ac:dyDescent="0.25">
      <c r="A2">
        <v>1</v>
      </c>
      <c r="B2" t="s">
        <v>17053</v>
      </c>
      <c r="C2" t="s">
        <v>17054</v>
      </c>
      <c r="D2" t="s">
        <v>17055</v>
      </c>
      <c r="E2">
        <v>-22.563208363200001</v>
      </c>
      <c r="F2">
        <v>-19.460403184800001</v>
      </c>
      <c r="G2" t="s">
        <v>17056</v>
      </c>
      <c r="H2" t="s">
        <v>17057</v>
      </c>
    </row>
    <row r="3" spans="1:8" x14ac:dyDescent="0.25">
      <c r="A3">
        <v>1</v>
      </c>
      <c r="B3" t="s">
        <v>17053</v>
      </c>
      <c r="C3" t="s">
        <v>17058</v>
      </c>
      <c r="D3" t="s">
        <v>17059</v>
      </c>
      <c r="E3">
        <v>-23.090872591899998</v>
      </c>
      <c r="F3">
        <v>-19.908886167399999</v>
      </c>
      <c r="G3" t="s">
        <v>17060</v>
      </c>
      <c r="H3" t="s">
        <v>17061</v>
      </c>
    </row>
    <row r="4" spans="1:8" x14ac:dyDescent="0.25">
      <c r="A4">
        <v>1</v>
      </c>
      <c r="B4" t="s">
        <v>17053</v>
      </c>
      <c r="C4" t="s">
        <v>17062</v>
      </c>
      <c r="D4" t="s">
        <v>17063</v>
      </c>
      <c r="E4">
        <v>-24.738741978899998</v>
      </c>
      <c r="F4">
        <v>-21.4598455414</v>
      </c>
      <c r="G4" t="s">
        <v>17064</v>
      </c>
      <c r="H4" t="s">
        <v>17065</v>
      </c>
    </row>
    <row r="5" spans="1:8" x14ac:dyDescent="0.25">
      <c r="A5">
        <v>1</v>
      </c>
      <c r="B5" t="s">
        <v>17053</v>
      </c>
      <c r="C5" t="s">
        <v>17066</v>
      </c>
      <c r="D5" t="s">
        <v>17067</v>
      </c>
      <c r="E5">
        <v>-28.6260600321</v>
      </c>
      <c r="F5">
        <v>-25.222224858000001</v>
      </c>
      <c r="G5" t="s">
        <v>17068</v>
      </c>
      <c r="H5" t="s">
        <v>17069</v>
      </c>
    </row>
    <row r="6" spans="1:8" x14ac:dyDescent="0.25">
      <c r="A6">
        <v>1</v>
      </c>
      <c r="B6" t="s">
        <v>17053</v>
      </c>
      <c r="C6" t="s">
        <v>17070</v>
      </c>
      <c r="D6" t="s">
        <v>17071</v>
      </c>
      <c r="E6">
        <v>-36.624159605400003</v>
      </c>
      <c r="F6">
        <v>-33.141143185300002</v>
      </c>
      <c r="G6" t="s">
        <v>17072</v>
      </c>
      <c r="H6" t="s">
        <v>17073</v>
      </c>
    </row>
    <row r="7" spans="1:8" x14ac:dyDescent="0.25">
      <c r="A7">
        <v>1</v>
      </c>
      <c r="B7" t="s">
        <v>17053</v>
      </c>
      <c r="C7" t="s">
        <v>17074</v>
      </c>
      <c r="D7" t="s">
        <v>17075</v>
      </c>
      <c r="E7">
        <v>-42.558934743999998</v>
      </c>
      <c r="F7">
        <v>-38.979008310899999</v>
      </c>
      <c r="G7" t="s">
        <v>17076</v>
      </c>
      <c r="H7" t="s">
        <v>17077</v>
      </c>
    </row>
    <row r="8" spans="1:8" x14ac:dyDescent="0.25">
      <c r="A8">
        <v>1</v>
      </c>
      <c r="B8" t="s">
        <v>17053</v>
      </c>
      <c r="C8" t="s">
        <v>17078</v>
      </c>
      <c r="D8" t="s">
        <v>17079</v>
      </c>
      <c r="E8">
        <v>-42.948901576300003</v>
      </c>
      <c r="F8">
        <v>-39.244036406500001</v>
      </c>
      <c r="G8" t="s">
        <v>17080</v>
      </c>
      <c r="H8" t="s">
        <v>17081</v>
      </c>
    </row>
    <row r="9" spans="1:8" x14ac:dyDescent="0.25">
      <c r="A9">
        <v>1</v>
      </c>
      <c r="B9" t="s">
        <v>17053</v>
      </c>
      <c r="C9" t="s">
        <v>17082</v>
      </c>
      <c r="D9" t="s">
        <v>17083</v>
      </c>
      <c r="E9">
        <v>-48.072307221199999</v>
      </c>
      <c r="F9">
        <v>-44.191350792400002</v>
      </c>
      <c r="G9" t="s">
        <v>17084</v>
      </c>
      <c r="H9" t="s">
        <v>17085</v>
      </c>
    </row>
    <row r="10" spans="1:8" x14ac:dyDescent="0.25">
      <c r="A10">
        <v>1</v>
      </c>
      <c r="B10" t="s">
        <v>17053</v>
      </c>
      <c r="C10" t="s">
        <v>17086</v>
      </c>
      <c r="D10" t="s">
        <v>17087</v>
      </c>
      <c r="E10">
        <v>-49.974723047799998</v>
      </c>
      <c r="F10">
        <v>-45.792736623400003</v>
      </c>
      <c r="G10" t="s">
        <v>17088</v>
      </c>
      <c r="H10" t="s">
        <v>17089</v>
      </c>
    </row>
    <row r="11" spans="1:8" x14ac:dyDescent="0.25">
      <c r="A11">
        <v>2</v>
      </c>
      <c r="B11" t="s">
        <v>17053</v>
      </c>
      <c r="C11" t="s">
        <v>17090</v>
      </c>
      <c r="D11" t="s">
        <v>17091</v>
      </c>
      <c r="E11">
        <v>-6.5343215033000002</v>
      </c>
      <c r="F11">
        <v>-4.2672829911000001</v>
      </c>
      <c r="G11" t="s">
        <v>17092</v>
      </c>
      <c r="H11" t="s">
        <v>17093</v>
      </c>
    </row>
    <row r="12" spans="1:8" x14ac:dyDescent="0.25">
      <c r="A12">
        <v>2</v>
      </c>
      <c r="B12" t="s">
        <v>17053</v>
      </c>
      <c r="C12" t="s">
        <v>17094</v>
      </c>
      <c r="D12" t="s">
        <v>17095</v>
      </c>
      <c r="E12">
        <v>-6.5829016049</v>
      </c>
      <c r="F12">
        <v>-4.3040051673999997</v>
      </c>
      <c r="G12" t="s">
        <v>17096</v>
      </c>
      <c r="H12" t="s">
        <v>17097</v>
      </c>
    </row>
    <row r="13" spans="1:8" x14ac:dyDescent="0.25">
      <c r="A13">
        <v>2</v>
      </c>
      <c r="B13" t="s">
        <v>17053</v>
      </c>
      <c r="C13" t="s">
        <v>17098</v>
      </c>
      <c r="D13" t="s">
        <v>17099</v>
      </c>
      <c r="E13">
        <v>-6.5936868460999998</v>
      </c>
      <c r="F13">
        <v>-4.3093275129000004</v>
      </c>
      <c r="G13" t="s">
        <v>17100</v>
      </c>
      <c r="H13" t="s">
        <v>17101</v>
      </c>
    </row>
    <row r="14" spans="1:8" x14ac:dyDescent="0.25">
      <c r="A14">
        <v>2</v>
      </c>
      <c r="B14" t="s">
        <v>17053</v>
      </c>
      <c r="C14" t="s">
        <v>17102</v>
      </c>
      <c r="D14" t="s">
        <v>17103</v>
      </c>
      <c r="E14">
        <v>-7.0880938666000004</v>
      </c>
      <c r="F14">
        <v>-4.7753391618999999</v>
      </c>
      <c r="G14" t="s">
        <v>17104</v>
      </c>
      <c r="H14" t="s">
        <v>17105</v>
      </c>
    </row>
    <row r="15" spans="1:8" x14ac:dyDescent="0.25">
      <c r="A15">
        <v>2</v>
      </c>
      <c r="B15" t="s">
        <v>17053</v>
      </c>
      <c r="C15" t="s">
        <v>17106</v>
      </c>
      <c r="D15" t="s">
        <v>17107</v>
      </c>
      <c r="E15">
        <v>-7.5701425515</v>
      </c>
      <c r="F15">
        <v>-5.2236565316999997</v>
      </c>
      <c r="G15" t="s">
        <v>17108</v>
      </c>
      <c r="H15" t="s">
        <v>17109</v>
      </c>
    </row>
    <row r="16" spans="1:8" x14ac:dyDescent="0.25">
      <c r="A16">
        <v>2</v>
      </c>
      <c r="B16" t="s">
        <v>17053</v>
      </c>
      <c r="C16" t="s">
        <v>17110</v>
      </c>
      <c r="D16" t="s">
        <v>17111</v>
      </c>
      <c r="E16">
        <v>-7.7017086368000003</v>
      </c>
      <c r="F16">
        <v>-5.3326355688999998</v>
      </c>
      <c r="G16" t="s">
        <v>17104</v>
      </c>
      <c r="H16" t="s">
        <v>17112</v>
      </c>
    </row>
    <row r="17" spans="1:8" x14ac:dyDescent="0.25">
      <c r="A17">
        <v>2</v>
      </c>
      <c r="B17" t="s">
        <v>17053</v>
      </c>
      <c r="C17" t="s">
        <v>17113</v>
      </c>
      <c r="D17" t="s">
        <v>17114</v>
      </c>
      <c r="E17">
        <v>-8.0824919883999993</v>
      </c>
      <c r="F17">
        <v>-5.6786568143</v>
      </c>
      <c r="G17" t="s">
        <v>17115</v>
      </c>
      <c r="H17" t="s">
        <v>17116</v>
      </c>
    </row>
    <row r="18" spans="1:8" x14ac:dyDescent="0.25">
      <c r="A18">
        <v>2</v>
      </c>
      <c r="B18" t="s">
        <v>17053</v>
      </c>
      <c r="C18" t="s">
        <v>17117</v>
      </c>
      <c r="D18" t="s">
        <v>17118</v>
      </c>
      <c r="E18">
        <v>-8.9606163534000007</v>
      </c>
      <c r="F18">
        <v>-6.4946332725999998</v>
      </c>
      <c r="G18" t="s">
        <v>17119</v>
      </c>
      <c r="H18" t="s">
        <v>17120</v>
      </c>
    </row>
    <row r="19" spans="1:8" x14ac:dyDescent="0.25">
      <c r="A19">
        <v>2</v>
      </c>
      <c r="B19" t="s">
        <v>17053</v>
      </c>
      <c r="C19" t="s">
        <v>17121</v>
      </c>
      <c r="D19" t="s">
        <v>17122</v>
      </c>
      <c r="E19">
        <v>-9.1326594088000004</v>
      </c>
      <c r="F19">
        <v>-6.6582431603999996</v>
      </c>
      <c r="G19" t="s">
        <v>17123</v>
      </c>
      <c r="H19" t="s">
        <v>17124</v>
      </c>
    </row>
    <row r="20" spans="1:8" x14ac:dyDescent="0.25">
      <c r="A20">
        <v>2</v>
      </c>
      <c r="B20" t="s">
        <v>17053</v>
      </c>
      <c r="C20" t="s">
        <v>17125</v>
      </c>
      <c r="D20" t="s">
        <v>17126</v>
      </c>
      <c r="E20">
        <v>-9.3026969683999994</v>
      </c>
      <c r="F20">
        <v>-6.8109066239000002</v>
      </c>
      <c r="G20" t="s">
        <v>17127</v>
      </c>
      <c r="H20" t="s">
        <v>17128</v>
      </c>
    </row>
    <row r="21" spans="1:8" x14ac:dyDescent="0.25">
      <c r="A21">
        <v>2</v>
      </c>
      <c r="B21" t="s">
        <v>17053</v>
      </c>
      <c r="C21" t="s">
        <v>17129</v>
      </c>
      <c r="D21" t="s">
        <v>17130</v>
      </c>
      <c r="E21">
        <v>-10.3184402649</v>
      </c>
      <c r="F21">
        <v>-7.7275184474999996</v>
      </c>
      <c r="G21" t="s">
        <v>17131</v>
      </c>
      <c r="H21" t="s">
        <v>17132</v>
      </c>
    </row>
    <row r="22" spans="1:8" x14ac:dyDescent="0.25">
      <c r="A22">
        <v>2</v>
      </c>
      <c r="B22" t="s">
        <v>17053</v>
      </c>
      <c r="C22" t="s">
        <v>17133</v>
      </c>
      <c r="D22" t="s">
        <v>17134</v>
      </c>
      <c r="E22">
        <v>-10.4206163769</v>
      </c>
      <c r="F22">
        <v>-7.8184135490999997</v>
      </c>
      <c r="G22" t="s">
        <v>17135</v>
      </c>
      <c r="H22" t="s">
        <v>17136</v>
      </c>
    </row>
    <row r="23" spans="1:8" x14ac:dyDescent="0.25">
      <c r="A23">
        <v>2</v>
      </c>
      <c r="B23" t="s">
        <v>17053</v>
      </c>
      <c r="C23" t="s">
        <v>17137</v>
      </c>
      <c r="D23" t="s">
        <v>17138</v>
      </c>
      <c r="E23">
        <v>-10.839744659100001</v>
      </c>
      <c r="F23">
        <v>-8.1892371516000004</v>
      </c>
      <c r="G23" t="s">
        <v>17139</v>
      </c>
      <c r="H23" t="s">
        <v>17140</v>
      </c>
    </row>
    <row r="24" spans="1:8" x14ac:dyDescent="0.25">
      <c r="A24">
        <v>2</v>
      </c>
      <c r="B24" t="s">
        <v>17053</v>
      </c>
      <c r="C24" t="s">
        <v>17141</v>
      </c>
      <c r="D24" t="s">
        <v>17142</v>
      </c>
      <c r="E24">
        <v>-11.2800686623</v>
      </c>
      <c r="F24">
        <v>-8.6165961777</v>
      </c>
      <c r="G24" t="s">
        <v>17143</v>
      </c>
      <c r="H24" t="s">
        <v>17144</v>
      </c>
    </row>
    <row r="25" spans="1:8" x14ac:dyDescent="0.25">
      <c r="A25">
        <v>2</v>
      </c>
      <c r="B25" t="s">
        <v>17053</v>
      </c>
      <c r="C25" t="s">
        <v>17145</v>
      </c>
      <c r="D25" t="s">
        <v>17146</v>
      </c>
      <c r="E25">
        <v>-12.157464538999999</v>
      </c>
      <c r="F25">
        <v>-9.4378761123999997</v>
      </c>
      <c r="G25" t="s">
        <v>17147</v>
      </c>
      <c r="H25" t="s">
        <v>17148</v>
      </c>
    </row>
    <row r="26" spans="1:8" x14ac:dyDescent="0.25">
      <c r="A26">
        <v>2</v>
      </c>
      <c r="B26" t="s">
        <v>17053</v>
      </c>
      <c r="C26" t="s">
        <v>17149</v>
      </c>
      <c r="D26" t="s">
        <v>17150</v>
      </c>
      <c r="E26">
        <v>-12.2986818768</v>
      </c>
      <c r="F26">
        <v>-9.5638534836000009</v>
      </c>
      <c r="G26" t="s">
        <v>17139</v>
      </c>
      <c r="H26" t="s">
        <v>17151</v>
      </c>
    </row>
    <row r="27" spans="1:8" x14ac:dyDescent="0.25">
      <c r="A27">
        <v>2</v>
      </c>
      <c r="B27" t="s">
        <v>17053</v>
      </c>
      <c r="C27" t="s">
        <v>17152</v>
      </c>
      <c r="D27" t="s">
        <v>17153</v>
      </c>
      <c r="E27">
        <v>-13.1505514274</v>
      </c>
      <c r="F27">
        <v>-10.3835383509</v>
      </c>
      <c r="G27" t="s">
        <v>17154</v>
      </c>
      <c r="H27" t="s">
        <v>17155</v>
      </c>
    </row>
    <row r="28" spans="1:8" x14ac:dyDescent="0.25">
      <c r="A28">
        <v>2</v>
      </c>
      <c r="B28" t="s">
        <v>17053</v>
      </c>
      <c r="C28" t="s">
        <v>17156</v>
      </c>
      <c r="D28" t="s">
        <v>17157</v>
      </c>
      <c r="E28">
        <v>-14.174223073</v>
      </c>
      <c r="F28">
        <v>-11.3901766572</v>
      </c>
      <c r="G28" t="s">
        <v>17158</v>
      </c>
      <c r="H28" t="s">
        <v>17159</v>
      </c>
    </row>
    <row r="29" spans="1:8" x14ac:dyDescent="0.25">
      <c r="A29">
        <v>2</v>
      </c>
      <c r="B29" t="s">
        <v>17053</v>
      </c>
      <c r="C29" t="s">
        <v>17160</v>
      </c>
      <c r="D29" t="s">
        <v>17161</v>
      </c>
      <c r="E29">
        <v>-15.674349812699999</v>
      </c>
      <c r="F29">
        <v>-12.854091224299999</v>
      </c>
      <c r="G29" t="s">
        <v>17162</v>
      </c>
      <c r="H29" t="s">
        <v>17163</v>
      </c>
    </row>
    <row r="30" spans="1:8" x14ac:dyDescent="0.25">
      <c r="A30">
        <v>2</v>
      </c>
      <c r="B30" t="s">
        <v>17053</v>
      </c>
      <c r="C30" t="s">
        <v>17164</v>
      </c>
      <c r="D30" t="s">
        <v>17165</v>
      </c>
      <c r="E30">
        <v>-17.232820455500001</v>
      </c>
      <c r="F30">
        <v>-14.393256711799999</v>
      </c>
      <c r="G30" t="s">
        <v>17166</v>
      </c>
      <c r="H30" t="s">
        <v>17167</v>
      </c>
    </row>
    <row r="31" spans="1:8" x14ac:dyDescent="0.25">
      <c r="A31">
        <v>2</v>
      </c>
      <c r="B31" t="s">
        <v>17053</v>
      </c>
      <c r="C31" t="s">
        <v>17168</v>
      </c>
      <c r="D31" t="s">
        <v>17169</v>
      </c>
      <c r="E31">
        <v>-19.0297178183</v>
      </c>
      <c r="F31">
        <v>-16.051851376399998</v>
      </c>
      <c r="G31" t="s">
        <v>17170</v>
      </c>
      <c r="H31" t="s">
        <v>17171</v>
      </c>
    </row>
    <row r="32" spans="1:8" x14ac:dyDescent="0.25">
      <c r="A32">
        <v>2</v>
      </c>
      <c r="B32" t="s">
        <v>17053</v>
      </c>
      <c r="C32" t="s">
        <v>17172</v>
      </c>
      <c r="D32" t="s">
        <v>17173</v>
      </c>
      <c r="E32">
        <v>-19.9402182201</v>
      </c>
      <c r="F32">
        <v>-16.934323054699998</v>
      </c>
      <c r="G32" t="s">
        <v>17174</v>
      </c>
      <c r="H32" t="s">
        <v>17175</v>
      </c>
    </row>
    <row r="33" spans="1:8" x14ac:dyDescent="0.25">
      <c r="A33">
        <v>2</v>
      </c>
      <c r="B33" t="s">
        <v>17053</v>
      </c>
      <c r="C33" t="s">
        <v>17176</v>
      </c>
      <c r="D33" t="s">
        <v>17177</v>
      </c>
      <c r="E33">
        <v>-22.855827580300002</v>
      </c>
      <c r="F33">
        <v>-19.715233841</v>
      </c>
      <c r="G33" t="s">
        <v>17178</v>
      </c>
      <c r="H33" t="s">
        <v>17179</v>
      </c>
    </row>
    <row r="34" spans="1:8" x14ac:dyDescent="0.25">
      <c r="A34">
        <v>2</v>
      </c>
      <c r="B34" t="s">
        <v>17053</v>
      </c>
      <c r="C34" t="s">
        <v>17180</v>
      </c>
      <c r="D34" t="s">
        <v>17181</v>
      </c>
      <c r="E34">
        <v>-24.2927009854</v>
      </c>
      <c r="F34">
        <v>-21.064957070399998</v>
      </c>
      <c r="G34" t="s">
        <v>17182</v>
      </c>
      <c r="H34" t="s">
        <v>17183</v>
      </c>
    </row>
    <row r="35" spans="1:8" x14ac:dyDescent="0.25">
      <c r="A35">
        <v>2</v>
      </c>
      <c r="B35" t="s">
        <v>17053</v>
      </c>
      <c r="C35" t="s">
        <v>17184</v>
      </c>
      <c r="D35" t="s">
        <v>17185</v>
      </c>
      <c r="E35">
        <v>-28.554758542199998</v>
      </c>
      <c r="F35">
        <v>-25.217870157699998</v>
      </c>
      <c r="G35" t="s">
        <v>17186</v>
      </c>
      <c r="H35" t="s">
        <v>17187</v>
      </c>
    </row>
    <row r="36" spans="1:8" x14ac:dyDescent="0.25">
      <c r="A36">
        <v>3</v>
      </c>
      <c r="B36" t="s">
        <v>17053</v>
      </c>
      <c r="C36" t="s">
        <v>17188</v>
      </c>
      <c r="D36" t="s">
        <v>17189</v>
      </c>
      <c r="E36">
        <v>-18.309993828</v>
      </c>
      <c r="F36">
        <v>-15.4126498114</v>
      </c>
      <c r="G36" t="s">
        <v>17190</v>
      </c>
      <c r="H36" t="s">
        <v>17191</v>
      </c>
    </row>
    <row r="37" spans="1:8" x14ac:dyDescent="0.25">
      <c r="A37">
        <v>3</v>
      </c>
      <c r="B37" t="s">
        <v>17053</v>
      </c>
      <c r="C37" t="s">
        <v>17192</v>
      </c>
      <c r="D37" t="s">
        <v>17193</v>
      </c>
      <c r="E37">
        <v>-20.192275954700001</v>
      </c>
      <c r="F37">
        <v>-17.1564175659</v>
      </c>
      <c r="G37" t="s">
        <v>17194</v>
      </c>
      <c r="H37" t="s">
        <v>17195</v>
      </c>
    </row>
    <row r="38" spans="1:8" x14ac:dyDescent="0.25">
      <c r="A38">
        <v>3</v>
      </c>
      <c r="B38" t="s">
        <v>17053</v>
      </c>
      <c r="C38" t="s">
        <v>17196</v>
      </c>
      <c r="D38" t="s">
        <v>17197</v>
      </c>
      <c r="E38">
        <v>-21.799693764400001</v>
      </c>
      <c r="F38">
        <v>-18.731650692199999</v>
      </c>
      <c r="G38" t="s">
        <v>17198</v>
      </c>
      <c r="H38" t="s">
        <v>17199</v>
      </c>
    </row>
    <row r="39" spans="1:8" x14ac:dyDescent="0.25">
      <c r="A39">
        <v>4</v>
      </c>
      <c r="B39" t="s">
        <v>17053</v>
      </c>
      <c r="C39" t="s">
        <v>17200</v>
      </c>
      <c r="D39" t="s">
        <v>17201</v>
      </c>
      <c r="E39">
        <v>-6.6490931836999998</v>
      </c>
      <c r="F39">
        <v>-4.3592013619000003</v>
      </c>
      <c r="G39" t="s">
        <v>17202</v>
      </c>
      <c r="H39" t="s">
        <v>17203</v>
      </c>
    </row>
    <row r="40" spans="1:8" x14ac:dyDescent="0.25">
      <c r="A40">
        <v>4</v>
      </c>
      <c r="B40" t="s">
        <v>17053</v>
      </c>
      <c r="C40" t="s">
        <v>17204</v>
      </c>
      <c r="D40" t="s">
        <v>17205</v>
      </c>
      <c r="E40">
        <v>-7.8669435236999998</v>
      </c>
      <c r="F40">
        <v>-5.4911370732</v>
      </c>
      <c r="G40" t="s">
        <v>17202</v>
      </c>
      <c r="H40" t="s">
        <v>17206</v>
      </c>
    </row>
    <row r="41" spans="1:8" x14ac:dyDescent="0.25">
      <c r="A41">
        <v>4</v>
      </c>
      <c r="B41" t="s">
        <v>17053</v>
      </c>
      <c r="C41" t="s">
        <v>17207</v>
      </c>
      <c r="D41" t="s">
        <v>17208</v>
      </c>
      <c r="E41">
        <v>-7.8825656526000003</v>
      </c>
      <c r="F41">
        <v>-5.4999197774999997</v>
      </c>
      <c r="G41" t="s">
        <v>17209</v>
      </c>
      <c r="H41" t="s">
        <v>17210</v>
      </c>
    </row>
    <row r="42" spans="1:8" x14ac:dyDescent="0.25">
      <c r="A42">
        <v>4</v>
      </c>
      <c r="B42" t="s">
        <v>17053</v>
      </c>
      <c r="C42" t="s">
        <v>17211</v>
      </c>
      <c r="D42" t="s">
        <v>17212</v>
      </c>
      <c r="E42">
        <v>-7.8825656526000003</v>
      </c>
      <c r="F42">
        <v>-5.4999197774999997</v>
      </c>
      <c r="G42" t="s">
        <v>17209</v>
      </c>
      <c r="H42" t="s">
        <v>17210</v>
      </c>
    </row>
    <row r="43" spans="1:8" x14ac:dyDescent="0.25">
      <c r="A43">
        <v>4</v>
      </c>
      <c r="B43" t="s">
        <v>17053</v>
      </c>
      <c r="C43" t="s">
        <v>17213</v>
      </c>
      <c r="D43" t="s">
        <v>17214</v>
      </c>
      <c r="E43">
        <v>-7.8825656526000003</v>
      </c>
      <c r="F43">
        <v>-5.4999197774999997</v>
      </c>
      <c r="G43" t="s">
        <v>17209</v>
      </c>
      <c r="H43" t="s">
        <v>17210</v>
      </c>
    </row>
    <row r="44" spans="1:8" x14ac:dyDescent="0.25">
      <c r="A44">
        <v>4</v>
      </c>
      <c r="B44" t="s">
        <v>17053</v>
      </c>
      <c r="C44" t="s">
        <v>17215</v>
      </c>
      <c r="D44" t="s">
        <v>17216</v>
      </c>
      <c r="E44">
        <v>-8.3753742605999992</v>
      </c>
      <c r="F44">
        <v>-5.9415758630999997</v>
      </c>
      <c r="G44" t="s">
        <v>17217</v>
      </c>
      <c r="H44" t="s">
        <v>17218</v>
      </c>
    </row>
    <row r="45" spans="1:8" x14ac:dyDescent="0.25">
      <c r="A45">
        <v>4</v>
      </c>
      <c r="B45" t="s">
        <v>17053</v>
      </c>
      <c r="C45" t="s">
        <v>17219</v>
      </c>
      <c r="D45" t="s">
        <v>17220</v>
      </c>
      <c r="E45">
        <v>-9.2229901040000009</v>
      </c>
      <c r="F45">
        <v>-6.7399736837999997</v>
      </c>
      <c r="G45" t="s">
        <v>17217</v>
      </c>
      <c r="H45" t="s">
        <v>17221</v>
      </c>
    </row>
    <row r="46" spans="1:8" x14ac:dyDescent="0.25">
      <c r="A46">
        <v>4</v>
      </c>
      <c r="B46" t="s">
        <v>17053</v>
      </c>
      <c r="C46" t="s">
        <v>17222</v>
      </c>
      <c r="D46" t="s">
        <v>17223</v>
      </c>
      <c r="E46">
        <v>-9.4613444832999996</v>
      </c>
      <c r="F46">
        <v>-6.9421158905000002</v>
      </c>
      <c r="G46" t="s">
        <v>17224</v>
      </c>
      <c r="H46" t="s">
        <v>17225</v>
      </c>
    </row>
    <row r="47" spans="1:8" x14ac:dyDescent="0.25">
      <c r="A47">
        <v>4</v>
      </c>
      <c r="B47" t="s">
        <v>17053</v>
      </c>
      <c r="C47" t="s">
        <v>17226</v>
      </c>
      <c r="D47" t="s">
        <v>17227</v>
      </c>
      <c r="E47">
        <v>-9.5808484951999997</v>
      </c>
      <c r="F47">
        <v>-7.0520745844999997</v>
      </c>
      <c r="G47" t="s">
        <v>17228</v>
      </c>
      <c r="H47" t="s">
        <v>17229</v>
      </c>
    </row>
    <row r="48" spans="1:8" x14ac:dyDescent="0.25">
      <c r="A48">
        <v>4</v>
      </c>
      <c r="B48" t="s">
        <v>17053</v>
      </c>
      <c r="C48" t="s">
        <v>17230</v>
      </c>
      <c r="D48" t="s">
        <v>17231</v>
      </c>
      <c r="E48">
        <v>-9.9675543808999993</v>
      </c>
      <c r="F48">
        <v>-7.4088172468</v>
      </c>
      <c r="G48" t="s">
        <v>17232</v>
      </c>
      <c r="H48" t="s">
        <v>17233</v>
      </c>
    </row>
    <row r="49" spans="1:8" x14ac:dyDescent="0.25">
      <c r="A49">
        <v>4</v>
      </c>
      <c r="B49" t="s">
        <v>17053</v>
      </c>
      <c r="C49" t="s">
        <v>17234</v>
      </c>
      <c r="D49" t="s">
        <v>17235</v>
      </c>
      <c r="E49">
        <v>-10.6218598781</v>
      </c>
      <c r="F49">
        <v>-8.0080751777000003</v>
      </c>
      <c r="G49" t="s">
        <v>17236</v>
      </c>
      <c r="H49" t="s">
        <v>17237</v>
      </c>
    </row>
    <row r="50" spans="1:8" x14ac:dyDescent="0.25">
      <c r="A50">
        <v>4</v>
      </c>
      <c r="B50" t="s">
        <v>17053</v>
      </c>
      <c r="C50" t="s">
        <v>17238</v>
      </c>
      <c r="D50" t="s">
        <v>17239</v>
      </c>
      <c r="E50">
        <v>-14.8370894022</v>
      </c>
      <c r="F50">
        <v>-12.0353142195</v>
      </c>
      <c r="G50" t="s">
        <v>17240</v>
      </c>
      <c r="H50" t="s">
        <v>17241</v>
      </c>
    </row>
    <row r="51" spans="1:8" x14ac:dyDescent="0.25">
      <c r="A51">
        <v>4</v>
      </c>
      <c r="B51" t="s">
        <v>17053</v>
      </c>
      <c r="C51" t="s">
        <v>17242</v>
      </c>
      <c r="D51" t="s">
        <v>17243</v>
      </c>
      <c r="E51">
        <v>-18.293606240300001</v>
      </c>
      <c r="F51">
        <v>-15.4126498114</v>
      </c>
      <c r="G51" t="s">
        <v>17244</v>
      </c>
      <c r="H51" t="s">
        <v>17245</v>
      </c>
    </row>
    <row r="52" spans="1:8" x14ac:dyDescent="0.25">
      <c r="A52">
        <v>4</v>
      </c>
      <c r="B52" t="s">
        <v>17053</v>
      </c>
      <c r="C52" t="s">
        <v>17246</v>
      </c>
      <c r="D52" t="s">
        <v>17247</v>
      </c>
      <c r="E52">
        <v>-18.672876731900001</v>
      </c>
      <c r="F52">
        <v>-15.7461628125</v>
      </c>
      <c r="G52" t="s">
        <v>17248</v>
      </c>
      <c r="H52" t="s">
        <v>17249</v>
      </c>
    </row>
    <row r="53" spans="1:8" x14ac:dyDescent="0.25">
      <c r="A53">
        <v>4</v>
      </c>
      <c r="B53" t="s">
        <v>17053</v>
      </c>
      <c r="C53" t="s">
        <v>17250</v>
      </c>
      <c r="D53" t="s">
        <v>17251</v>
      </c>
      <c r="E53">
        <v>-18.672876731900001</v>
      </c>
      <c r="F53">
        <v>-15.7461628125</v>
      </c>
      <c r="G53" t="s">
        <v>17244</v>
      </c>
      <c r="H53" t="s">
        <v>17249</v>
      </c>
    </row>
    <row r="54" spans="1:8" x14ac:dyDescent="0.25">
      <c r="A54">
        <v>5</v>
      </c>
      <c r="B54" t="s">
        <v>17053</v>
      </c>
      <c r="C54" t="s">
        <v>17252</v>
      </c>
      <c r="D54" t="s">
        <v>17253</v>
      </c>
      <c r="E54">
        <v>-6.3957318519999999</v>
      </c>
      <c r="F54">
        <v>-4.1582280996999996</v>
      </c>
      <c r="G54" t="s">
        <v>17254</v>
      </c>
      <c r="H54" t="s">
        <v>17255</v>
      </c>
    </row>
    <row r="55" spans="1:8" x14ac:dyDescent="0.25">
      <c r="A55">
        <v>5</v>
      </c>
      <c r="B55" t="s">
        <v>17053</v>
      </c>
      <c r="C55" t="s">
        <v>17256</v>
      </c>
      <c r="D55" t="s">
        <v>17257</v>
      </c>
      <c r="E55">
        <v>-7.4988619760999997</v>
      </c>
      <c r="F55">
        <v>-5.1681339003</v>
      </c>
      <c r="G55" t="s">
        <v>17258</v>
      </c>
      <c r="H55" t="s">
        <v>17259</v>
      </c>
    </row>
    <row r="56" spans="1:8" x14ac:dyDescent="0.25">
      <c r="A56">
        <v>5</v>
      </c>
      <c r="B56" t="s">
        <v>17053</v>
      </c>
      <c r="C56" t="s">
        <v>17260</v>
      </c>
      <c r="D56" t="s">
        <v>17261</v>
      </c>
      <c r="E56">
        <v>-7.6445480289000001</v>
      </c>
      <c r="F56">
        <v>-5.287243964</v>
      </c>
      <c r="G56" t="s">
        <v>17262</v>
      </c>
      <c r="H56" t="s">
        <v>17263</v>
      </c>
    </row>
    <row r="57" spans="1:8" x14ac:dyDescent="0.25">
      <c r="A57">
        <v>5</v>
      </c>
      <c r="B57" t="s">
        <v>17053</v>
      </c>
      <c r="C57" t="s">
        <v>17264</v>
      </c>
      <c r="D57" t="s">
        <v>17265</v>
      </c>
      <c r="E57">
        <v>-9.6029510373000004</v>
      </c>
      <c r="F57">
        <v>-7.0644172892999997</v>
      </c>
      <c r="G57" t="s">
        <v>17266</v>
      </c>
      <c r="H57" t="s">
        <v>17267</v>
      </c>
    </row>
    <row r="58" spans="1:8" x14ac:dyDescent="0.25">
      <c r="A58">
        <v>5</v>
      </c>
      <c r="B58" t="s">
        <v>17053</v>
      </c>
      <c r="C58" t="s">
        <v>17268</v>
      </c>
      <c r="D58" t="s">
        <v>17269</v>
      </c>
      <c r="E58">
        <v>-11.5257028249</v>
      </c>
      <c r="F58">
        <v>-8.8488663787000004</v>
      </c>
      <c r="G58" t="s">
        <v>17270</v>
      </c>
      <c r="H58" t="s">
        <v>17271</v>
      </c>
    </row>
    <row r="59" spans="1:8" x14ac:dyDescent="0.25">
      <c r="A59">
        <v>5</v>
      </c>
      <c r="B59" t="s">
        <v>17053</v>
      </c>
      <c r="C59" t="s">
        <v>17272</v>
      </c>
      <c r="D59" t="s">
        <v>17273</v>
      </c>
      <c r="E59">
        <v>-12.4584070042</v>
      </c>
      <c r="F59">
        <v>-9.7077843439000002</v>
      </c>
      <c r="G59" t="s">
        <v>17274</v>
      </c>
      <c r="H59" t="s">
        <v>17275</v>
      </c>
    </row>
    <row r="60" spans="1:8" x14ac:dyDescent="0.25">
      <c r="A60">
        <v>5</v>
      </c>
      <c r="B60" t="s">
        <v>17053</v>
      </c>
      <c r="C60" t="s">
        <v>17276</v>
      </c>
      <c r="D60" t="s">
        <v>17277</v>
      </c>
      <c r="E60">
        <v>-18.036628354099999</v>
      </c>
      <c r="F60">
        <v>-15.1768612244</v>
      </c>
      <c r="G60" t="s">
        <v>17278</v>
      </c>
      <c r="H60" t="s">
        <v>17279</v>
      </c>
    </row>
    <row r="61" spans="1:8" x14ac:dyDescent="0.25">
      <c r="A61">
        <v>6</v>
      </c>
      <c r="B61" t="s">
        <v>17053</v>
      </c>
      <c r="C61" t="s">
        <v>17280</v>
      </c>
      <c r="D61" t="s">
        <v>17281</v>
      </c>
      <c r="E61">
        <v>-6.8829515480000003</v>
      </c>
      <c r="F61">
        <v>-4.5817787157999996</v>
      </c>
      <c r="G61" t="s">
        <v>17282</v>
      </c>
      <c r="H61" t="s">
        <v>17283</v>
      </c>
    </row>
    <row r="62" spans="1:8" x14ac:dyDescent="0.25">
      <c r="A62">
        <v>6</v>
      </c>
      <c r="B62" t="s">
        <v>17053</v>
      </c>
      <c r="C62" t="s">
        <v>17284</v>
      </c>
      <c r="D62" t="s">
        <v>17285</v>
      </c>
      <c r="E62">
        <v>-8.2842534010000008</v>
      </c>
      <c r="F62">
        <v>-5.8656949700999998</v>
      </c>
      <c r="G62" t="s">
        <v>17286</v>
      </c>
      <c r="H62" t="s">
        <v>17287</v>
      </c>
    </row>
    <row r="63" spans="1:8" x14ac:dyDescent="0.25">
      <c r="A63">
        <v>6</v>
      </c>
      <c r="B63" t="s">
        <v>17053</v>
      </c>
      <c r="C63" t="s">
        <v>17288</v>
      </c>
      <c r="D63" t="s">
        <v>17289</v>
      </c>
      <c r="E63">
        <v>-8.5173155020000006</v>
      </c>
      <c r="F63">
        <v>-6.0756917670000004</v>
      </c>
      <c r="G63" t="s">
        <v>17290</v>
      </c>
      <c r="H63" t="s">
        <v>17291</v>
      </c>
    </row>
    <row r="64" spans="1:8" x14ac:dyDescent="0.25">
      <c r="A64">
        <v>6</v>
      </c>
      <c r="B64" t="s">
        <v>17053</v>
      </c>
      <c r="C64" t="s">
        <v>17292</v>
      </c>
      <c r="D64" t="s">
        <v>17293</v>
      </c>
      <c r="E64">
        <v>-10.6653944884</v>
      </c>
      <c r="F64">
        <v>-8.0397105647</v>
      </c>
      <c r="G64" t="s">
        <v>17294</v>
      </c>
      <c r="H64" t="s">
        <v>17295</v>
      </c>
    </row>
    <row r="65" spans="1:8" x14ac:dyDescent="0.25">
      <c r="A65">
        <v>6</v>
      </c>
      <c r="B65" t="s">
        <v>17053</v>
      </c>
      <c r="C65" t="s">
        <v>17296</v>
      </c>
      <c r="D65" t="s">
        <v>17297</v>
      </c>
      <c r="E65">
        <v>-11.652630106</v>
      </c>
      <c r="F65">
        <v>-8.9477649362000005</v>
      </c>
      <c r="G65" t="s">
        <v>17298</v>
      </c>
      <c r="H65" t="s">
        <v>17299</v>
      </c>
    </row>
    <row r="66" spans="1:8" x14ac:dyDescent="0.25">
      <c r="A66">
        <v>7</v>
      </c>
      <c r="B66" t="s">
        <v>17053</v>
      </c>
      <c r="C66" t="s">
        <v>17300</v>
      </c>
      <c r="D66" t="s">
        <v>17301</v>
      </c>
      <c r="E66">
        <v>-6.2422041502000001</v>
      </c>
      <c r="F66">
        <v>-4.0192591179999999</v>
      </c>
      <c r="G66" t="s">
        <v>17302</v>
      </c>
      <c r="H66" t="s">
        <v>17303</v>
      </c>
    </row>
    <row r="67" spans="1:8" x14ac:dyDescent="0.25">
      <c r="A67">
        <v>7</v>
      </c>
      <c r="B67" t="s">
        <v>17053</v>
      </c>
      <c r="C67" t="s">
        <v>17304</v>
      </c>
      <c r="D67" t="s">
        <v>17305</v>
      </c>
      <c r="E67">
        <v>-6.4417919115000002</v>
      </c>
      <c r="F67">
        <v>-4.1943039383</v>
      </c>
      <c r="G67" t="s">
        <v>17306</v>
      </c>
      <c r="H67" t="s">
        <v>17307</v>
      </c>
    </row>
    <row r="68" spans="1:8" x14ac:dyDescent="0.25">
      <c r="A68">
        <v>7</v>
      </c>
      <c r="B68" t="s">
        <v>17053</v>
      </c>
      <c r="C68" t="s">
        <v>17308</v>
      </c>
      <c r="D68" t="s">
        <v>17309</v>
      </c>
      <c r="E68">
        <v>-6.8081435514999997</v>
      </c>
      <c r="F68">
        <v>-4.5126478520999997</v>
      </c>
      <c r="G68" t="s">
        <v>17310</v>
      </c>
      <c r="H68" t="s">
        <v>17311</v>
      </c>
    </row>
    <row r="69" spans="1:8" x14ac:dyDescent="0.25">
      <c r="A69">
        <v>7</v>
      </c>
      <c r="B69" t="s">
        <v>17053</v>
      </c>
      <c r="C69" t="s">
        <v>17312</v>
      </c>
      <c r="D69" t="s">
        <v>17313</v>
      </c>
      <c r="E69">
        <v>-6.9920611163000004</v>
      </c>
      <c r="F69">
        <v>-4.6851359551999998</v>
      </c>
      <c r="G69" t="s">
        <v>17314</v>
      </c>
      <c r="H69" t="s">
        <v>17315</v>
      </c>
    </row>
    <row r="70" spans="1:8" x14ac:dyDescent="0.25">
      <c r="A70">
        <v>7</v>
      </c>
      <c r="B70" t="s">
        <v>17053</v>
      </c>
      <c r="C70" t="s">
        <v>17316</v>
      </c>
      <c r="D70" t="s">
        <v>17317</v>
      </c>
      <c r="E70">
        <v>-9.3908645104000001</v>
      </c>
      <c r="F70">
        <v>-6.8809759439000002</v>
      </c>
      <c r="G70" t="s">
        <v>17318</v>
      </c>
      <c r="H70" t="s">
        <v>17319</v>
      </c>
    </row>
    <row r="71" spans="1:8" x14ac:dyDescent="0.25">
      <c r="A71">
        <v>7</v>
      </c>
      <c r="B71" t="s">
        <v>17053</v>
      </c>
      <c r="C71" t="s">
        <v>17320</v>
      </c>
      <c r="D71" t="s">
        <v>17321</v>
      </c>
      <c r="E71">
        <v>-11.5599253725</v>
      </c>
      <c r="F71">
        <v>-8.8693006419000007</v>
      </c>
      <c r="G71" t="s">
        <v>17322</v>
      </c>
      <c r="H71" t="s">
        <v>17323</v>
      </c>
    </row>
    <row r="72" spans="1:8" x14ac:dyDescent="0.25">
      <c r="A72">
        <v>8</v>
      </c>
      <c r="B72" t="s">
        <v>17053</v>
      </c>
      <c r="C72" t="s">
        <v>17324</v>
      </c>
      <c r="D72" t="s">
        <v>17325</v>
      </c>
      <c r="E72">
        <v>-6.5301913232000004</v>
      </c>
      <c r="F72">
        <v>-4.2672829911000001</v>
      </c>
      <c r="G72" t="s">
        <v>17326</v>
      </c>
      <c r="H72" t="s">
        <v>17327</v>
      </c>
    </row>
    <row r="73" spans="1:8" x14ac:dyDescent="0.25">
      <c r="A73">
        <v>8</v>
      </c>
      <c r="B73" t="s">
        <v>17053</v>
      </c>
      <c r="C73" t="s">
        <v>17328</v>
      </c>
      <c r="D73" t="s">
        <v>17329</v>
      </c>
      <c r="E73">
        <v>-8.6425815697000008</v>
      </c>
      <c r="F73">
        <v>-6.1848710148999997</v>
      </c>
      <c r="G73" t="s">
        <v>17330</v>
      </c>
      <c r="H73" t="s">
        <v>17331</v>
      </c>
    </row>
    <row r="74" spans="1:8" x14ac:dyDescent="0.25">
      <c r="A74">
        <v>8</v>
      </c>
      <c r="B74" t="s">
        <v>17053</v>
      </c>
      <c r="C74" t="s">
        <v>17332</v>
      </c>
      <c r="D74" t="s">
        <v>17333</v>
      </c>
      <c r="E74">
        <v>-10.7628974869</v>
      </c>
      <c r="F74">
        <v>-8.1249791067999997</v>
      </c>
      <c r="G74" t="s">
        <v>17334</v>
      </c>
      <c r="H74" t="s">
        <v>17335</v>
      </c>
    </row>
    <row r="75" spans="1:8" x14ac:dyDescent="0.25">
      <c r="A75">
        <v>9</v>
      </c>
      <c r="B75" t="s">
        <v>17053</v>
      </c>
      <c r="C75" t="s">
        <v>17336</v>
      </c>
      <c r="D75" t="s">
        <v>17337</v>
      </c>
      <c r="E75">
        <v>-8.5697251642999994</v>
      </c>
      <c r="F75">
        <v>-6.1201324997000004</v>
      </c>
      <c r="G75" t="s">
        <v>17338</v>
      </c>
      <c r="H75" t="s">
        <v>17339</v>
      </c>
    </row>
    <row r="76" spans="1:8" x14ac:dyDescent="0.25">
      <c r="A76">
        <v>9</v>
      </c>
      <c r="B76" t="s">
        <v>17053</v>
      </c>
      <c r="C76" t="s">
        <v>17340</v>
      </c>
      <c r="D76" t="s">
        <v>17341</v>
      </c>
      <c r="E76">
        <v>-10.2499948097</v>
      </c>
      <c r="F76">
        <v>-7.6700683764999997</v>
      </c>
      <c r="G76" t="s">
        <v>17342</v>
      </c>
      <c r="H76" t="s">
        <v>17343</v>
      </c>
    </row>
    <row r="77" spans="1:8" x14ac:dyDescent="0.25">
      <c r="A77">
        <v>10</v>
      </c>
      <c r="B77" t="s">
        <v>17053</v>
      </c>
      <c r="C77" t="s">
        <v>17344</v>
      </c>
      <c r="D77" t="s">
        <v>17345</v>
      </c>
      <c r="E77">
        <v>-8.2667161436000001</v>
      </c>
      <c r="F77">
        <v>-5.8555817308</v>
      </c>
      <c r="G77" t="s">
        <v>17346</v>
      </c>
      <c r="H77" t="s">
        <v>17347</v>
      </c>
    </row>
    <row r="78" spans="1:8" x14ac:dyDescent="0.25">
      <c r="A78">
        <v>10</v>
      </c>
      <c r="B78" t="s">
        <v>17053</v>
      </c>
      <c r="C78" t="s">
        <v>17348</v>
      </c>
      <c r="D78" t="s">
        <v>17349</v>
      </c>
      <c r="E78">
        <v>-10.0332665021</v>
      </c>
      <c r="F78">
        <v>-7.4640639344000004</v>
      </c>
      <c r="G78" t="s">
        <v>17350</v>
      </c>
      <c r="H78" t="s">
        <v>17351</v>
      </c>
    </row>
    <row r="79" spans="1:8" x14ac:dyDescent="0.25">
      <c r="A79">
        <v>11</v>
      </c>
      <c r="B79" t="s">
        <v>17053</v>
      </c>
      <c r="C79" t="s">
        <v>17352</v>
      </c>
      <c r="D79" t="s">
        <v>17353</v>
      </c>
      <c r="E79">
        <v>-9.3044568723999994</v>
      </c>
      <c r="F79">
        <v>-6.8109066239000002</v>
      </c>
      <c r="G79" t="s">
        <v>17354</v>
      </c>
      <c r="H79" t="s">
        <v>17355</v>
      </c>
    </row>
    <row r="80" spans="1:8" x14ac:dyDescent="0.25">
      <c r="A80">
        <v>11</v>
      </c>
      <c r="B80" t="s">
        <v>17053</v>
      </c>
      <c r="C80" t="s">
        <v>17356</v>
      </c>
      <c r="D80" t="s">
        <v>17357</v>
      </c>
      <c r="E80">
        <v>-9.7108986694000006</v>
      </c>
      <c r="F80">
        <v>-7.1623807005</v>
      </c>
      <c r="G80" t="s">
        <v>17358</v>
      </c>
      <c r="H80" t="s">
        <v>17359</v>
      </c>
    </row>
    <row r="81" spans="1:8" x14ac:dyDescent="0.25">
      <c r="A81">
        <v>12</v>
      </c>
      <c r="B81" t="s">
        <v>17053</v>
      </c>
      <c r="C81" t="s">
        <v>17360</v>
      </c>
      <c r="D81" t="s">
        <v>17361</v>
      </c>
      <c r="E81">
        <v>-8.3299750922999998</v>
      </c>
      <c r="F81">
        <v>-5.9038635235000001</v>
      </c>
      <c r="G81" t="s">
        <v>17362</v>
      </c>
      <c r="H81" t="s">
        <v>17363</v>
      </c>
    </row>
    <row r="82" spans="1:8" x14ac:dyDescent="0.25">
      <c r="A82">
        <v>13</v>
      </c>
      <c r="B82" t="s">
        <v>17053</v>
      </c>
      <c r="C82" t="s">
        <v>17364</v>
      </c>
      <c r="D82" t="s">
        <v>17365</v>
      </c>
      <c r="E82">
        <v>-7.6431555857999998</v>
      </c>
      <c r="F82">
        <v>-5.287243964</v>
      </c>
      <c r="G82" t="s">
        <v>17366</v>
      </c>
      <c r="H82" t="s">
        <v>17367</v>
      </c>
    </row>
    <row r="83" spans="1:8" x14ac:dyDescent="0.25">
      <c r="A83">
        <v>14</v>
      </c>
      <c r="B83" t="s">
        <v>17053</v>
      </c>
      <c r="C83" t="s">
        <v>17368</v>
      </c>
      <c r="D83" t="s">
        <v>17369</v>
      </c>
      <c r="E83">
        <v>-7.5667938655000002</v>
      </c>
      <c r="F83">
        <v>-5.2236565316999997</v>
      </c>
      <c r="G83" t="s">
        <v>17370</v>
      </c>
      <c r="H83" t="s">
        <v>17371</v>
      </c>
    </row>
    <row r="84" spans="1:8" x14ac:dyDescent="0.25">
      <c r="A84">
        <v>15</v>
      </c>
      <c r="B84" t="s">
        <v>17053</v>
      </c>
      <c r="C84" t="s">
        <v>17372</v>
      </c>
      <c r="D84" t="s">
        <v>17373</v>
      </c>
      <c r="E84">
        <v>-6.3641907845999999</v>
      </c>
      <c r="F84">
        <v>-4.1364468696000003</v>
      </c>
      <c r="G84" t="s">
        <v>17374</v>
      </c>
      <c r="H84" t="s">
        <v>17375</v>
      </c>
    </row>
    <row r="85" spans="1:8" x14ac:dyDescent="0.25">
      <c r="A85">
        <v>15</v>
      </c>
      <c r="B85" t="s">
        <v>17053</v>
      </c>
      <c r="C85" t="s">
        <v>17376</v>
      </c>
      <c r="D85" t="s">
        <v>17377</v>
      </c>
      <c r="E85">
        <v>-6.4552685981</v>
      </c>
      <c r="F85">
        <v>-4.2027010992999996</v>
      </c>
      <c r="G85" t="s">
        <v>17374</v>
      </c>
      <c r="H85" t="s">
        <v>17378</v>
      </c>
    </row>
    <row r="86" spans="1:8" x14ac:dyDescent="0.25">
      <c r="A86">
        <v>15</v>
      </c>
      <c r="B86" t="s">
        <v>17053</v>
      </c>
      <c r="C86" t="s">
        <v>17379</v>
      </c>
      <c r="D86" t="s">
        <v>17380</v>
      </c>
      <c r="E86">
        <v>-6.4552685981</v>
      </c>
      <c r="F86">
        <v>-4.2027010992999996</v>
      </c>
      <c r="G86" t="s">
        <v>17374</v>
      </c>
      <c r="H86" t="s">
        <v>17378</v>
      </c>
    </row>
    <row r="87" spans="1:8" x14ac:dyDescent="0.25">
      <c r="A87">
        <v>15</v>
      </c>
      <c r="B87" t="s">
        <v>17053</v>
      </c>
      <c r="C87" t="s">
        <v>17381</v>
      </c>
      <c r="D87" t="s">
        <v>17382</v>
      </c>
      <c r="E87">
        <v>-7.5235391196999997</v>
      </c>
      <c r="F87">
        <v>-5.1866507352999998</v>
      </c>
      <c r="G87" t="s">
        <v>17374</v>
      </c>
      <c r="H87" t="s">
        <v>17383</v>
      </c>
    </row>
    <row r="88" spans="1:8" x14ac:dyDescent="0.25">
      <c r="A88">
        <v>15</v>
      </c>
      <c r="B88" t="s">
        <v>17053</v>
      </c>
      <c r="C88" t="s">
        <v>17381</v>
      </c>
      <c r="D88" t="s">
        <v>17382</v>
      </c>
      <c r="E88">
        <v>-7.5235391196999997</v>
      </c>
      <c r="F88">
        <v>-5.1866507352999998</v>
      </c>
      <c r="G88" t="s">
        <v>17384</v>
      </c>
      <c r="H88" t="s">
        <v>17385</v>
      </c>
    </row>
    <row r="89" spans="1:8" x14ac:dyDescent="0.25">
      <c r="A89">
        <v>16</v>
      </c>
      <c r="B89" t="s">
        <v>17053</v>
      </c>
      <c r="C89" t="s">
        <v>17386</v>
      </c>
      <c r="D89" t="s">
        <v>17387</v>
      </c>
      <c r="E89">
        <v>-7.1685003651999999</v>
      </c>
      <c r="F89">
        <v>-4.8438464371999999</v>
      </c>
      <c r="G89" t="s">
        <v>17388</v>
      </c>
      <c r="H89" t="s">
        <v>17389</v>
      </c>
    </row>
    <row r="90" spans="1:8" x14ac:dyDescent="0.25">
      <c r="A90">
        <v>17</v>
      </c>
      <c r="B90" t="s">
        <v>17053</v>
      </c>
      <c r="C90" t="s">
        <v>17390</v>
      </c>
      <c r="D90" t="s">
        <v>17391</v>
      </c>
      <c r="E90">
        <v>-6.3868686540999997</v>
      </c>
      <c r="F90">
        <v>-4.1542722361999997</v>
      </c>
      <c r="G90" t="s">
        <v>17392</v>
      </c>
      <c r="H90" t="s">
        <v>17393</v>
      </c>
    </row>
    <row r="91" spans="1:8" x14ac:dyDescent="0.25">
      <c r="A91">
        <v>17</v>
      </c>
      <c r="B91" t="s">
        <v>17053</v>
      </c>
      <c r="C91" t="s">
        <v>17394</v>
      </c>
      <c r="D91" t="s">
        <v>17395</v>
      </c>
      <c r="E91">
        <v>-6.3966657785000001</v>
      </c>
      <c r="F91">
        <v>-4.1582280996999996</v>
      </c>
      <c r="G91" t="s">
        <v>17396</v>
      </c>
      <c r="H91" t="s">
        <v>17397</v>
      </c>
    </row>
    <row r="92" spans="1:8" x14ac:dyDescent="0.25">
      <c r="A92">
        <v>17</v>
      </c>
      <c r="B92" t="s">
        <v>17053</v>
      </c>
      <c r="C92" t="s">
        <v>17398</v>
      </c>
      <c r="D92" t="s">
        <v>17399</v>
      </c>
      <c r="E92">
        <v>-7.1614697938000003</v>
      </c>
      <c r="F92">
        <v>-4.8428062293999998</v>
      </c>
      <c r="G92" t="s">
        <v>17392</v>
      </c>
      <c r="H92" t="s">
        <v>17400</v>
      </c>
    </row>
    <row r="93" spans="1:8" x14ac:dyDescent="0.25">
      <c r="A93">
        <v>18</v>
      </c>
      <c r="B93" t="s">
        <v>17053</v>
      </c>
      <c r="C93" t="s">
        <v>17401</v>
      </c>
      <c r="D93" t="s">
        <v>17402</v>
      </c>
      <c r="E93">
        <v>-6.5343215033000002</v>
      </c>
      <c r="F93">
        <v>-4.2672829911000001</v>
      </c>
      <c r="G93" t="s">
        <v>17403</v>
      </c>
      <c r="H93" t="s">
        <v>17093</v>
      </c>
    </row>
  </sheetData>
  <autoFilter ref="A1:H1" xr:uid="{1BEA6260-C875-43C5-830F-7F74E7D8DF3D}">
    <sortState xmlns:xlrd2="http://schemas.microsoft.com/office/spreadsheetml/2017/richdata2" ref="A2:H93">
      <sortCondition ref="A1"/>
    </sortState>
  </autoFilter>
  <sortState xmlns:xlrd2="http://schemas.microsoft.com/office/spreadsheetml/2017/richdata2" ref="A2:H10">
    <sortCondition ref="A2:A1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D397-2DD1-4708-BEBB-20F1BB06CA02}">
  <dimension ref="A1:H16"/>
  <sheetViews>
    <sheetView tabSelected="1" workbookViewId="0">
      <selection activeCell="J36" sqref="J36"/>
    </sheetView>
  </sheetViews>
  <sheetFormatPr defaultRowHeight="15" x14ac:dyDescent="0.25"/>
  <cols>
    <col min="3" max="3" width="11.28515625" bestFit="1" customWidth="1"/>
    <col min="4" max="4" width="48" bestFit="1" customWidth="1"/>
  </cols>
  <sheetData>
    <row r="1" spans="1:8" x14ac:dyDescent="0.25">
      <c r="A1" s="9" t="s">
        <v>17463</v>
      </c>
      <c r="B1" s="9" t="s">
        <v>17046</v>
      </c>
      <c r="C1" s="9" t="s">
        <v>17047</v>
      </c>
      <c r="D1" s="9" t="s">
        <v>17048</v>
      </c>
      <c r="E1" s="9" t="s">
        <v>17049</v>
      </c>
      <c r="F1" s="9" t="s">
        <v>17050</v>
      </c>
      <c r="G1" s="9" t="s">
        <v>17051</v>
      </c>
      <c r="H1" s="9" t="s">
        <v>17052</v>
      </c>
    </row>
    <row r="2" spans="1:8" x14ac:dyDescent="0.25">
      <c r="A2">
        <v>1</v>
      </c>
      <c r="B2" t="s">
        <v>17053</v>
      </c>
      <c r="C2" t="s">
        <v>17404</v>
      </c>
      <c r="D2" t="s">
        <v>17405</v>
      </c>
      <c r="E2">
        <v>-12.2893145725</v>
      </c>
      <c r="F2">
        <v>-8.3142628128999991</v>
      </c>
      <c r="G2" t="s">
        <v>17406</v>
      </c>
      <c r="H2" t="s">
        <v>17407</v>
      </c>
    </row>
    <row r="3" spans="1:8" x14ac:dyDescent="0.25">
      <c r="A3">
        <v>1</v>
      </c>
      <c r="B3" t="s">
        <v>17053</v>
      </c>
      <c r="C3" t="s">
        <v>17408</v>
      </c>
      <c r="D3" t="s">
        <v>17409</v>
      </c>
      <c r="E3">
        <v>-12.1952192417</v>
      </c>
      <c r="F3">
        <v>-8.3142628128999991</v>
      </c>
      <c r="G3" t="s">
        <v>17410</v>
      </c>
      <c r="H3" t="s">
        <v>17411</v>
      </c>
    </row>
    <row r="4" spans="1:8" x14ac:dyDescent="0.25">
      <c r="A4">
        <v>1</v>
      </c>
      <c r="B4" t="s">
        <v>17053</v>
      </c>
      <c r="C4" t="s">
        <v>17412</v>
      </c>
      <c r="D4" t="s">
        <v>17413</v>
      </c>
      <c r="E4">
        <v>-11.8126050496</v>
      </c>
      <c r="F4">
        <v>-8.1954335110999992</v>
      </c>
      <c r="G4" t="s">
        <v>17414</v>
      </c>
      <c r="H4" t="s">
        <v>17415</v>
      </c>
    </row>
    <row r="5" spans="1:8" x14ac:dyDescent="0.25">
      <c r="A5">
        <v>1</v>
      </c>
      <c r="B5" t="s">
        <v>17053</v>
      </c>
      <c r="C5" t="s">
        <v>17416</v>
      </c>
      <c r="D5" t="s">
        <v>17417</v>
      </c>
      <c r="E5">
        <v>-11.7731256574</v>
      </c>
      <c r="F5">
        <v>-8.1954335110999992</v>
      </c>
      <c r="G5" t="s">
        <v>17414</v>
      </c>
      <c r="H5" t="s">
        <v>17418</v>
      </c>
    </row>
    <row r="6" spans="1:8" x14ac:dyDescent="0.25">
      <c r="A6">
        <v>1</v>
      </c>
      <c r="B6" t="s">
        <v>17053</v>
      </c>
      <c r="C6" t="s">
        <v>17419</v>
      </c>
      <c r="D6" t="s">
        <v>17420</v>
      </c>
      <c r="E6">
        <v>-11.678449931299999</v>
      </c>
      <c r="F6">
        <v>-8.1954335110999992</v>
      </c>
      <c r="G6" t="s">
        <v>17421</v>
      </c>
      <c r="H6" t="s">
        <v>17422</v>
      </c>
    </row>
    <row r="7" spans="1:8" x14ac:dyDescent="0.25">
      <c r="A7">
        <v>1</v>
      </c>
      <c r="B7" t="s">
        <v>17053</v>
      </c>
      <c r="C7" t="s">
        <v>17423</v>
      </c>
      <c r="D7" t="s">
        <v>17424</v>
      </c>
      <c r="E7">
        <v>-10.526461789300001</v>
      </c>
      <c r="F7">
        <v>-7.1226266151999997</v>
      </c>
      <c r="G7" t="s">
        <v>17425</v>
      </c>
      <c r="H7" t="s">
        <v>17426</v>
      </c>
    </row>
    <row r="8" spans="1:8" x14ac:dyDescent="0.25">
      <c r="A8">
        <v>1</v>
      </c>
      <c r="B8" t="s">
        <v>17053</v>
      </c>
      <c r="C8" t="s">
        <v>17427</v>
      </c>
      <c r="D8" t="s">
        <v>17428</v>
      </c>
      <c r="E8">
        <v>-10.263131982199999</v>
      </c>
      <c r="F8">
        <v>-6.9262435978000001</v>
      </c>
      <c r="G8" t="s">
        <v>17429</v>
      </c>
      <c r="H8" t="s">
        <v>17430</v>
      </c>
    </row>
    <row r="9" spans="1:8" x14ac:dyDescent="0.25">
      <c r="A9">
        <v>1</v>
      </c>
      <c r="B9" t="s">
        <v>17053</v>
      </c>
      <c r="C9" t="s">
        <v>17435</v>
      </c>
      <c r="D9" t="s">
        <v>17436</v>
      </c>
      <c r="E9">
        <v>-9.7292415230000007</v>
      </c>
      <c r="F9">
        <v>-6.5163995048999999</v>
      </c>
      <c r="G9" t="s">
        <v>17437</v>
      </c>
      <c r="H9" t="s">
        <v>17438</v>
      </c>
    </row>
    <row r="10" spans="1:8" x14ac:dyDescent="0.25">
      <c r="A10">
        <v>1</v>
      </c>
      <c r="B10" t="s">
        <v>17053</v>
      </c>
      <c r="C10" t="s">
        <v>17447</v>
      </c>
      <c r="D10" t="s">
        <v>17448</v>
      </c>
      <c r="E10">
        <v>-7.8148992487999998</v>
      </c>
      <c r="F10">
        <v>-4.7120940704000001</v>
      </c>
      <c r="G10" t="s">
        <v>17449</v>
      </c>
      <c r="H10" t="s">
        <v>17450</v>
      </c>
    </row>
    <row r="11" spans="1:8" x14ac:dyDescent="0.25">
      <c r="A11">
        <v>1</v>
      </c>
      <c r="B11" t="s">
        <v>17053</v>
      </c>
      <c r="C11" t="s">
        <v>17451</v>
      </c>
      <c r="D11" t="s">
        <v>17452</v>
      </c>
      <c r="E11">
        <v>-7.7354999244</v>
      </c>
      <c r="F11">
        <v>-4.6674568522</v>
      </c>
      <c r="G11" t="s">
        <v>17453</v>
      </c>
      <c r="H11" t="s">
        <v>17454</v>
      </c>
    </row>
    <row r="12" spans="1:8" x14ac:dyDescent="0.25">
      <c r="A12">
        <v>1</v>
      </c>
      <c r="B12" t="s">
        <v>17053</v>
      </c>
      <c r="C12" t="s">
        <v>17455</v>
      </c>
      <c r="D12" t="s">
        <v>17456</v>
      </c>
      <c r="E12">
        <v>-7.2287519379000003</v>
      </c>
      <c r="F12">
        <v>-4.1928935490999999</v>
      </c>
      <c r="G12" t="s">
        <v>17457</v>
      </c>
      <c r="H12" t="s">
        <v>17458</v>
      </c>
    </row>
    <row r="13" spans="1:8" x14ac:dyDescent="0.25">
      <c r="A13">
        <v>2</v>
      </c>
      <c r="B13" t="s">
        <v>17053</v>
      </c>
      <c r="C13" t="s">
        <v>17431</v>
      </c>
      <c r="D13" t="s">
        <v>17432</v>
      </c>
      <c r="E13">
        <v>-10.0836852294</v>
      </c>
      <c r="F13">
        <v>-6.8047887919000001</v>
      </c>
      <c r="G13" t="s">
        <v>17433</v>
      </c>
      <c r="H13" t="s">
        <v>17434</v>
      </c>
    </row>
    <row r="14" spans="1:8" x14ac:dyDescent="0.25">
      <c r="A14">
        <v>3</v>
      </c>
      <c r="B14" t="s">
        <v>17053</v>
      </c>
      <c r="C14" t="s">
        <v>17439</v>
      </c>
      <c r="D14" t="s">
        <v>17440</v>
      </c>
      <c r="E14">
        <v>-9.6983859294000005</v>
      </c>
      <c r="F14">
        <v>-6.5163995048999999</v>
      </c>
      <c r="G14" t="s">
        <v>17441</v>
      </c>
      <c r="H14" t="s">
        <v>17442</v>
      </c>
    </row>
    <row r="15" spans="1:8" x14ac:dyDescent="0.25">
      <c r="A15">
        <v>4</v>
      </c>
      <c r="B15" t="s">
        <v>17053</v>
      </c>
      <c r="C15" t="s">
        <v>17443</v>
      </c>
      <c r="D15" t="s">
        <v>17444</v>
      </c>
      <c r="E15">
        <v>-7.9140039132000002</v>
      </c>
      <c r="F15">
        <v>-4.7734101739000003</v>
      </c>
      <c r="G15" t="s">
        <v>17445</v>
      </c>
      <c r="H15" t="s">
        <v>17446</v>
      </c>
    </row>
    <row r="16" spans="1:8" x14ac:dyDescent="0.25">
      <c r="A16">
        <v>5</v>
      </c>
      <c r="B16" t="s">
        <v>17053</v>
      </c>
      <c r="C16" t="s">
        <v>17459</v>
      </c>
      <c r="D16" t="s">
        <v>17460</v>
      </c>
      <c r="E16">
        <v>-7.1108601241000002</v>
      </c>
      <c r="F16">
        <v>-4.1049649587000001</v>
      </c>
      <c r="G16" t="s">
        <v>17461</v>
      </c>
      <c r="H16" t="s">
        <v>17462</v>
      </c>
    </row>
  </sheetData>
  <autoFilter ref="A1:H1" xr:uid="{0FDED397-2DD1-4708-BEBB-20F1BB06CA02}">
    <sortState xmlns:xlrd2="http://schemas.microsoft.com/office/spreadsheetml/2017/richdata2" ref="A2:H16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D 8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s f C i q w A A A D 2 A A A A E g A A A E N v b m Z p Z y 9 Q Y W N r Y W d l L n h t b I S P s Q 6 C M B i E d x P f g X S n L X W C / J T B u E l i Q m J c G 2 i w E V p D C + X d H H w k X 0 G I o m 6 O d / c l d / e 4 3 S E b 2 y Y Y Z G e V 0 S m K M E W B d U J X o j F a p k g b l P H 1 C g 6 i v I h a B h O t b T L a K k V n 5 6 4 J I d 5 7 7 D f Y d D V h l E b k l O + L 8 i x b g T 6 w + g + H S s + 1 p U Q c j q 8 1 n O E 4 x o w y T I E s H u R K f 3 M 2 7 Z 3 T H x O 2 f e P 6 T n I 7 h M U O y C K B v C / w J w A A A P / / A w B Q S w M E F A A C A A g A A A A h A P M S 8 L d P A g A A 7 A g A A B M A A A B G b 3 J t d W x h c y 9 T Z W N 0 a W 9 u M S 5 t 7 J N R b 9 o w E M e f h 9 T v Y K W a B F I a E Q p s a 8 U D D b B W q z r W s E p r M 0 1 u c g W 3 j s 3 s C y t C / W h 7 2 h e b A 0 j A g u k e 9 j K p e U n 8 O + d 8 / / P / N M T I p C D h 4 u 0 f l 0 p 6 R B U k Z N 9 B B R R T E E h 6 Q d V t k E T + E A q G G a c I i U N a h A P u l Y h 5 Q p m p G A w J 9 M T r y D j L / y r 3 G A c v k A L N Q p e d 4 C j 6 r E H p K K X 6 g Y r o o 4 C O Y h M g B + T D m R d 2 o / D B L G + l S g C j k 6 u D G m k P T R 3 l f q N a I V Q k 5 I v M x N C s m 5 V I w / c M R M z E M F p V q U C P p d A Q 7 S z c w 0 d 0 K u 5 N B z h L G Y J q O a 8 c l w S S Z 6 n Q L f / Q J V 0 R y 8 T k b v m 1 R s 0 l n z K J E O K U Q 2 v 1 6 V 1 I A V 8 r 7 q I B + 0 5 f y d T E E n I K N D E q 8 / 4 M 6 K 3 Z u I w s e X n R K 5 f c L H m b 8 z C m n C r d Q p W t p w x G V O Q d G E z H s E o 3 U F T o O 6 n S R c V 5 U J e 3 n O / O Z k 5 g B A + l m h p 9 a P Y R h E d 8 c s n M G Y B K C z A w / U V D z w Q 2 6 1 6 e e I 5 f F z b 2 r y j P o I D f g w B d o O d M I x l I p L y Y u i / H 5 J S h 3 h 6 x / N S T P D F X p F g 8 y u + 4 c O C J F H e g l B S s G A J x T 1 O 2 J d L r X G 6 w p 8 p e i Y m t N 7 F r R L L x f z k g a 2 W / j M f L e P y z 8 W h P d P v b e T 8 k d Z J Q p B p Q b 4 z F d a L k / T N T 0 T 2 K L i / a x s / G 4 p R P N d O R n I D i d L y W N d p y k h f r y R 9 O d t e d 3 N h 0 c v U v n X x t i g T x 6 2 f e j W d s N 5 c 3 N 9 o c + l s s l f O a h R 9 a e N 3 C G x b e t P A 3 F v 7 W w t 9 Z u F + 1 B W y K f Z t k 3 6 b Z t 4 n 2 G z u M u X F X x 7 8 B A A D / / w M A U E s B A i 0 A F A A G A A g A A A A h A C r d q k D S A A A A N w E A A B M A A A A A A A A A A A A A A A A A A A A A A F t D b 2 5 0 Z W 5 0 X 1 R 5 c G V z X S 5 4 b W x Q S w E C L Q A U A A I A C A A A A C E A F s f C i q w A A A D 2 A A A A E g A A A A A A A A A A A A A A A A A L A w A A Q 2 9 u Z m l n L 1 B h Y 2 t h Z 2 U u e G 1 s U E s B A i 0 A F A A C A A g A A A A h A P M S 8 L d P A g A A 7 A g A A B M A A A A A A A A A A A A A A A A A 5 w M A A E Z v c m 1 1 b G F z L 1 N l Y 3 R p b 2 4 x L m 1 Q S w U G A A A A A A M A A w D C A A A A Z w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U x A A A A A A A A Y z E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0 c m V h d G 1 l b n Q l M j B G Q z A l M k M 1 J T I w Z G 9 3 b n J l Z 3 V s Y X R l Z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g t M j Z U M T I 6 M T Q 6 N D g u O T Y y M T M 0 N 1 o i L z 4 8 R W 5 0 c n k g V H l w Z T 0 i R m l s b E N v b H V t b l R 5 c G V z I i B W Y W x 1 Z T 0 i c 0 J n W U R C Z 1 l H Q X d N R E J n W U d C Z z 0 9 I i 8 + P E V u d H J 5 I F R 5 c G U 9 I k Z p b G x D b 2 x 1 b W 5 O Y W 1 l c y I g V m F s d W U 9 I n N b J n F 1 b 3 Q 7 Q 2 F 0 Z W d v c n k m c X V v d D s s J n F 1 b 3 Q 7 V G V y b S Z x d W 9 0 O y w m c X V v d D t D b 3 V u d C Z x d W 9 0 O y w m c X V v d D s l J n F 1 b 3 Q 7 L C Z x d W 9 0 O 1 B W Y W x 1 Z S Z x d W 9 0 O y w m c X V v d D t H Z W 5 l c y Z x d W 9 0 O y w m c X V v d D t M a X N 0 I F R v d G F s J n F 1 b 3 Q 7 L C Z x d W 9 0 O 1 B v c C B I a X R z J n F 1 b 3 Q 7 L C Z x d W 9 0 O 1 B v c C B U b 3 R h b C Z x d W 9 0 O y w m c X V v d D t G b 2 x k I E V u c m l j a G 1 l b n Q m c X V v d D s s J n F 1 b 3 Q 7 Q m 9 u Z m V y c m 9 u a S Z x d W 9 0 O y w m c X V v d D t C Z W 5 q Y W 1 p b m k m c X V v d D s s J n F 1 b 3 Q 7 R k R S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O D Z m Y z l k N C 0 4 Y j g 1 L T R j N W Y t Y m E 3 N i 1 j O D R j N z M 3 M j R h O G U i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y Z W F 0 b W V u d C B G Q z A s N S B k b 3 d u c m V n d W x h d G V k L 0 F 1 d G 9 S Z W 1 v d m V k Q 2 9 s d W 1 u c z E u e 0 N h d G V n b 3 J 5 L D B 9 J n F 1 b 3 Q 7 L C Z x d W 9 0 O 1 N l Y 3 R p b 2 4 x L 3 R y Z W F 0 b W V u d C B G Q z A s N S B k b 3 d u c m V n d W x h d G V k L 0 F 1 d G 9 S Z W 1 v d m V k Q 2 9 s d W 1 u c z E u e 1 R l c m 0 s M X 0 m c X V v d D s s J n F 1 b 3 Q 7 U 2 V j d G l v b j E v d H J l Y X R t Z W 5 0 I E Z D M C w 1 I G R v d 2 5 y Z W d 1 b G F 0 Z W Q v Q X V 0 b 1 J l b W 9 2 Z W R D b 2 x 1 b W 5 z M S 5 7 Q 2 9 1 b n Q s M n 0 m c X V v d D s s J n F 1 b 3 Q 7 U 2 V j d G l v b j E v d H J l Y X R t Z W 5 0 I E Z D M C w 1 I G R v d 2 5 y Z W d 1 b G F 0 Z W Q v Q X V 0 b 1 J l b W 9 2 Z W R D b 2 x 1 b W 5 z M S 5 7 J S w z f S Z x d W 9 0 O y w m c X V v d D t T Z W N 0 a W 9 u M S 9 0 c m V h d G 1 l b n Q g R k M w L D U g Z G 9 3 b n J l Z 3 V s Y X R l Z C 9 B d X R v U m V t b 3 Z l Z E N v b H V t b n M x L n t Q V m F s d W U s N H 0 m c X V v d D s s J n F 1 b 3 Q 7 U 2 V j d G l v b j E v d H J l Y X R t Z W 5 0 I E Z D M C w 1 I G R v d 2 5 y Z W d 1 b G F 0 Z W Q v Q X V 0 b 1 J l b W 9 2 Z W R D b 2 x 1 b W 5 z M S 5 7 R 2 V u Z X M s N X 0 m c X V v d D s s J n F 1 b 3 Q 7 U 2 V j d G l v b j E v d H J l Y X R t Z W 5 0 I E Z D M C w 1 I G R v d 2 5 y Z W d 1 b G F 0 Z W Q v Q X V 0 b 1 J l b W 9 2 Z W R D b 2 x 1 b W 5 z M S 5 7 T G l z d C B U b 3 R h b C w 2 f S Z x d W 9 0 O y w m c X V v d D t T Z W N 0 a W 9 u M S 9 0 c m V h d G 1 l b n Q g R k M w L D U g Z G 9 3 b n J l Z 3 V s Y X R l Z C 9 B d X R v U m V t b 3 Z l Z E N v b H V t b n M x L n t Q b 3 A g S G l 0 c y w 3 f S Z x d W 9 0 O y w m c X V v d D t T Z W N 0 a W 9 u M S 9 0 c m V h d G 1 l b n Q g R k M w L D U g Z G 9 3 b n J l Z 3 V s Y X R l Z C 9 B d X R v U m V t b 3 Z l Z E N v b H V t b n M x L n t Q b 3 A g V G 9 0 Y W w s O H 0 m c X V v d D s s J n F 1 b 3 Q 7 U 2 V j d G l v b j E v d H J l Y X R t Z W 5 0 I E Z D M C w 1 I G R v d 2 5 y Z W d 1 b G F 0 Z W Q v Q X V 0 b 1 J l b W 9 2 Z W R D b 2 x 1 b W 5 z M S 5 7 R m 9 s Z C B F b n J p Y 2 h t Z W 5 0 L D l 9 J n F 1 b 3 Q 7 L C Z x d W 9 0 O 1 N l Y 3 R p b 2 4 x L 3 R y Z W F 0 b W V u d C B G Q z A s N S B k b 3 d u c m V n d W x h d G V k L 0 F 1 d G 9 S Z W 1 v d m V k Q 2 9 s d W 1 u c z E u e 0 J v b m Z l c n J v b m k s M T B 9 J n F 1 b 3 Q 7 L C Z x d W 9 0 O 1 N l Y 3 R p b 2 4 x L 3 R y Z W F 0 b W V u d C B G Q z A s N S B k b 3 d u c m V n d W x h d G V k L 0 F 1 d G 9 S Z W 1 v d m V k Q 2 9 s d W 1 u c z E u e 0 J l b m p h b W l u a S w x M X 0 m c X V v d D s s J n F 1 b 3 Q 7 U 2 V j d G l v b j E v d H J l Y X R t Z W 5 0 I E Z D M C w 1 I G R v d 2 5 y Z W d 1 b G F 0 Z W Q v Q X V 0 b 1 J l b W 9 2 Z W R D b 2 x 1 b W 5 z M S 5 7 R k R S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d H J l Y X R t Z W 5 0 I E Z D M C w 1 I G R v d 2 5 y Z W d 1 b G F 0 Z W Q v Q X V 0 b 1 J l b W 9 2 Z W R D b 2 x 1 b W 5 z M S 5 7 Q 2 F 0 Z W d v c n k s M H 0 m c X V v d D s s J n F 1 b 3 Q 7 U 2 V j d G l v b j E v d H J l Y X R t Z W 5 0 I E Z D M C w 1 I G R v d 2 5 y Z W d 1 b G F 0 Z W Q v Q X V 0 b 1 J l b W 9 2 Z W R D b 2 x 1 b W 5 z M S 5 7 V G V y b S w x f S Z x d W 9 0 O y w m c X V v d D t T Z W N 0 a W 9 u M S 9 0 c m V h d G 1 l b n Q g R k M w L D U g Z G 9 3 b n J l Z 3 V s Y X R l Z C 9 B d X R v U m V t b 3 Z l Z E N v b H V t b n M x L n t D b 3 V u d C w y f S Z x d W 9 0 O y w m c X V v d D t T Z W N 0 a W 9 u M S 9 0 c m V h d G 1 l b n Q g R k M w L D U g Z G 9 3 b n J l Z 3 V s Y X R l Z C 9 B d X R v U m V t b 3 Z l Z E N v b H V t b n M x L n s l L D N 9 J n F 1 b 3 Q 7 L C Z x d W 9 0 O 1 N l Y 3 R p b 2 4 x L 3 R y Z W F 0 b W V u d C B G Q z A s N S B k b 3 d u c m V n d W x h d G V k L 0 F 1 d G 9 S Z W 1 v d m V k Q 2 9 s d W 1 u c z E u e 1 B W Y W x 1 Z S w 0 f S Z x d W 9 0 O y w m c X V v d D t T Z W N 0 a W 9 u M S 9 0 c m V h d G 1 l b n Q g R k M w L D U g Z G 9 3 b n J l Z 3 V s Y X R l Z C 9 B d X R v U m V t b 3 Z l Z E N v b H V t b n M x L n t H Z W 5 l c y w 1 f S Z x d W 9 0 O y w m c X V v d D t T Z W N 0 a W 9 u M S 9 0 c m V h d G 1 l b n Q g R k M w L D U g Z G 9 3 b n J l Z 3 V s Y X R l Z C 9 B d X R v U m V t b 3 Z l Z E N v b H V t b n M x L n t M a X N 0 I F R v d G F s L D Z 9 J n F 1 b 3 Q 7 L C Z x d W 9 0 O 1 N l Y 3 R p b 2 4 x L 3 R y Z W F 0 b W V u d C B G Q z A s N S B k b 3 d u c m V n d W x h d G V k L 0 F 1 d G 9 S Z W 1 v d m V k Q 2 9 s d W 1 u c z E u e 1 B v c C B I a X R z L D d 9 J n F 1 b 3 Q 7 L C Z x d W 9 0 O 1 N l Y 3 R p b 2 4 x L 3 R y Z W F 0 b W V u d C B G Q z A s N S B k b 3 d u c m V n d W x h d G V k L 0 F 1 d G 9 S Z W 1 v d m V k Q 2 9 s d W 1 u c z E u e 1 B v c C B U b 3 R h b C w 4 f S Z x d W 9 0 O y w m c X V v d D t T Z W N 0 a W 9 u M S 9 0 c m V h d G 1 l b n Q g R k M w L D U g Z G 9 3 b n J l Z 3 V s Y X R l Z C 9 B d X R v U m V t b 3 Z l Z E N v b H V t b n M x L n t G b 2 x k I E V u c m l j a G 1 l b n Q s O X 0 m c X V v d D s s J n F 1 b 3 Q 7 U 2 V j d G l v b j E v d H J l Y X R t Z W 5 0 I E Z D M C w 1 I G R v d 2 5 y Z W d 1 b G F 0 Z W Q v Q X V 0 b 1 J l b W 9 2 Z W R D b 2 x 1 b W 5 z M S 5 7 Q m 9 u Z m V y c m 9 u a S w x M H 0 m c X V v d D s s J n F 1 b 3 Q 7 U 2 V j d G l v b j E v d H J l Y X R t Z W 5 0 I E Z D M C w 1 I G R v d 2 5 y Z W d 1 b G F 0 Z W Q v Q X V 0 b 1 J l b W 9 2 Z W R D b 2 x 1 b W 5 z M S 5 7 Q m V u a m F t a W 5 p L D E x f S Z x d W 9 0 O y w m c X V v d D t T Z W N 0 a W 9 u M S 9 0 c m V h d G 1 l b n Q g R k M w L D U g Z G 9 3 b n J l Z 3 V s Y X R l Z C 9 B d X R v U m V t b 3 Z l Z E N v b H V t b n M x L n t G R F I s M T J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0 c m V h d G 1 l b n Q l M j B G Q z A l M k M 1 J T I w d X B y Z W d 1 b G F 0 Z W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4 L T I 2 V D E y O j E 3 O j I w L j Q 1 N D U 5 M j h a I i 8 + P E V u d H J 5 I F R 5 c G U 9 I k Z p b G x D b 2 x 1 b W 5 U e X B l c y I g V m F s d W U 9 I n N C Z 1 l E Q m d Z R 0 F 3 T U R C Z 1 l H Q m c 9 P S I v P j x F b n R y e S B U e X B l P S J G a W x s Q 2 9 s d W 1 u T m F t Z X M i I F Z h b H V l P S J z W y Z x d W 9 0 O 0 N h d G V n b 3 J 5 J n F 1 b 3 Q 7 L C Z x d W 9 0 O 1 R l c m 0 m c X V v d D s s J n F 1 b 3 Q 7 Q 2 9 1 b n Q m c X V v d D s s J n F 1 b 3 Q 7 J S Z x d W 9 0 O y w m c X V v d D t Q V m F s d W U m c X V v d D s s J n F 1 b 3 Q 7 R 2 V u Z X M m c X V v d D s s J n F 1 b 3 Q 7 T G l z d C B U b 3 R h b C Z x d W 9 0 O y w m c X V v d D t Q b 3 A g S G l 0 c y Z x d W 9 0 O y w m c X V v d D t Q b 3 A g V G 9 0 Y W w m c X V v d D s s J n F 1 b 3 Q 7 R m 9 s Z C B F b n J p Y 2 h t Z W 5 0 J n F 1 b 3 Q 7 L C Z x d W 9 0 O 0 J v b m Z l c n J v b m k m c X V v d D s s J n F 1 b 3 Q 7 Q m V u a m F t a W 5 p J n F 1 b 3 Q 7 L C Z x d W 9 0 O 0 Z E U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F h M z g y N W M t M j E x Y i 0 0 N W U 1 L W I y Z G Y t N 2 R h M 2 I 5 O T N m Z T U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c m V h d G 1 l b n Q g R k M w L D U g d X B y Z W d 1 b G F 0 Z W Q v Q X V 0 b 1 J l b W 9 2 Z W R D b 2 x 1 b W 5 z M S 5 7 Q 2 F 0 Z W d v c n k s M H 0 m c X V v d D s s J n F 1 b 3 Q 7 U 2 V j d G l v b j E v d H J l Y X R t Z W 5 0 I E Z D M C w 1 I H V w c m V n d W x h d G V k L 0 F 1 d G 9 S Z W 1 v d m V k Q 2 9 s d W 1 u c z E u e 1 R l c m 0 s M X 0 m c X V v d D s s J n F 1 b 3 Q 7 U 2 V j d G l v b j E v d H J l Y X R t Z W 5 0 I E Z D M C w 1 I H V w c m V n d W x h d G V k L 0 F 1 d G 9 S Z W 1 v d m V k Q 2 9 s d W 1 u c z E u e 0 N v d W 5 0 L D J 9 J n F 1 b 3 Q 7 L C Z x d W 9 0 O 1 N l Y 3 R p b 2 4 x L 3 R y Z W F 0 b W V u d C B G Q z A s N S B 1 c H J l Z 3 V s Y X R l Z C 9 B d X R v U m V t b 3 Z l Z E N v b H V t b n M x L n s l L D N 9 J n F 1 b 3 Q 7 L C Z x d W 9 0 O 1 N l Y 3 R p b 2 4 x L 3 R y Z W F 0 b W V u d C B G Q z A s N S B 1 c H J l Z 3 V s Y X R l Z C 9 B d X R v U m V t b 3 Z l Z E N v b H V t b n M x L n t Q V m F s d W U s N H 0 m c X V v d D s s J n F 1 b 3 Q 7 U 2 V j d G l v b j E v d H J l Y X R t Z W 5 0 I E Z D M C w 1 I H V w c m V n d W x h d G V k L 0 F 1 d G 9 S Z W 1 v d m V k Q 2 9 s d W 1 u c z E u e 0 d l b m V z L D V 9 J n F 1 b 3 Q 7 L C Z x d W 9 0 O 1 N l Y 3 R p b 2 4 x L 3 R y Z W F 0 b W V u d C B G Q z A s N S B 1 c H J l Z 3 V s Y X R l Z C 9 B d X R v U m V t b 3 Z l Z E N v b H V t b n M x L n t M a X N 0 I F R v d G F s L D Z 9 J n F 1 b 3 Q 7 L C Z x d W 9 0 O 1 N l Y 3 R p b 2 4 x L 3 R y Z W F 0 b W V u d C B G Q z A s N S B 1 c H J l Z 3 V s Y X R l Z C 9 B d X R v U m V t b 3 Z l Z E N v b H V t b n M x L n t Q b 3 A g S G l 0 c y w 3 f S Z x d W 9 0 O y w m c X V v d D t T Z W N 0 a W 9 u M S 9 0 c m V h d G 1 l b n Q g R k M w L D U g d X B y Z W d 1 b G F 0 Z W Q v Q X V 0 b 1 J l b W 9 2 Z W R D b 2 x 1 b W 5 z M S 5 7 U G 9 w I F R v d G F s L D h 9 J n F 1 b 3 Q 7 L C Z x d W 9 0 O 1 N l Y 3 R p b 2 4 x L 3 R y Z W F 0 b W V u d C B G Q z A s N S B 1 c H J l Z 3 V s Y X R l Z C 9 B d X R v U m V t b 3 Z l Z E N v b H V t b n M x L n t G b 2 x k I E V u c m l j a G 1 l b n Q s O X 0 m c X V v d D s s J n F 1 b 3 Q 7 U 2 V j d G l v b j E v d H J l Y X R t Z W 5 0 I E Z D M C w 1 I H V w c m V n d W x h d G V k L 0 F 1 d G 9 S Z W 1 v d m V k Q 2 9 s d W 1 u c z E u e 0 J v b m Z l c n J v b m k s M T B 9 J n F 1 b 3 Q 7 L C Z x d W 9 0 O 1 N l Y 3 R p b 2 4 x L 3 R y Z W F 0 b W V u d C B G Q z A s N S B 1 c H J l Z 3 V s Y X R l Z C 9 B d X R v U m V t b 3 Z l Z E N v b H V t b n M x L n t C Z W 5 q Y W 1 p b m k s M T F 9 J n F 1 b 3 Q 7 L C Z x d W 9 0 O 1 N l Y 3 R p b 2 4 x L 3 R y Z W F 0 b W V u d C B G Q z A s N S B 1 c H J l Z 3 V s Y X R l Z C 9 B d X R v U m V t b 3 Z l Z E N v b H V t b n M x L n t G R F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0 c m V h d G 1 l b n Q g R k M w L D U g d X B y Z W d 1 b G F 0 Z W Q v Q X V 0 b 1 J l b W 9 2 Z W R D b 2 x 1 b W 5 z M S 5 7 Q 2 F 0 Z W d v c n k s M H 0 m c X V v d D s s J n F 1 b 3 Q 7 U 2 V j d G l v b j E v d H J l Y X R t Z W 5 0 I E Z D M C w 1 I H V w c m V n d W x h d G V k L 0 F 1 d G 9 S Z W 1 v d m V k Q 2 9 s d W 1 u c z E u e 1 R l c m 0 s M X 0 m c X V v d D s s J n F 1 b 3 Q 7 U 2 V j d G l v b j E v d H J l Y X R t Z W 5 0 I E Z D M C w 1 I H V w c m V n d W x h d G V k L 0 F 1 d G 9 S Z W 1 v d m V k Q 2 9 s d W 1 u c z E u e 0 N v d W 5 0 L D J 9 J n F 1 b 3 Q 7 L C Z x d W 9 0 O 1 N l Y 3 R p b 2 4 x L 3 R y Z W F 0 b W V u d C B G Q z A s N S B 1 c H J l Z 3 V s Y X R l Z C 9 B d X R v U m V t b 3 Z l Z E N v b H V t b n M x L n s l L D N 9 J n F 1 b 3 Q 7 L C Z x d W 9 0 O 1 N l Y 3 R p b 2 4 x L 3 R y Z W F 0 b W V u d C B G Q z A s N S B 1 c H J l Z 3 V s Y X R l Z C 9 B d X R v U m V t b 3 Z l Z E N v b H V t b n M x L n t Q V m F s d W U s N H 0 m c X V v d D s s J n F 1 b 3 Q 7 U 2 V j d G l v b j E v d H J l Y X R t Z W 5 0 I E Z D M C w 1 I H V w c m V n d W x h d G V k L 0 F 1 d G 9 S Z W 1 v d m V k Q 2 9 s d W 1 u c z E u e 0 d l b m V z L D V 9 J n F 1 b 3 Q 7 L C Z x d W 9 0 O 1 N l Y 3 R p b 2 4 x L 3 R y Z W F 0 b W V u d C B G Q z A s N S B 1 c H J l Z 3 V s Y X R l Z C 9 B d X R v U m V t b 3 Z l Z E N v b H V t b n M x L n t M a X N 0 I F R v d G F s L D Z 9 J n F 1 b 3 Q 7 L C Z x d W 9 0 O 1 N l Y 3 R p b 2 4 x L 3 R y Z W F 0 b W V u d C B G Q z A s N S B 1 c H J l Z 3 V s Y X R l Z C 9 B d X R v U m V t b 3 Z l Z E N v b H V t b n M x L n t Q b 3 A g S G l 0 c y w 3 f S Z x d W 9 0 O y w m c X V v d D t T Z W N 0 a W 9 u M S 9 0 c m V h d G 1 l b n Q g R k M w L D U g d X B y Z W d 1 b G F 0 Z W Q v Q X V 0 b 1 J l b W 9 2 Z W R D b 2 x 1 b W 5 z M S 5 7 U G 9 w I F R v d G F s L D h 9 J n F 1 b 3 Q 7 L C Z x d W 9 0 O 1 N l Y 3 R p b 2 4 x L 3 R y Z W F 0 b W V u d C B G Q z A s N S B 1 c H J l Z 3 V s Y X R l Z C 9 B d X R v U m V t b 3 Z l Z E N v b H V t b n M x L n t G b 2 x k I E V u c m l j a G 1 l b n Q s O X 0 m c X V v d D s s J n F 1 b 3 Q 7 U 2 V j d G l v b j E v d H J l Y X R t Z W 5 0 I E Z D M C w 1 I H V w c m V n d W x h d G V k L 0 F 1 d G 9 S Z W 1 v d m V k Q 2 9 s d W 1 u c z E u e 0 J v b m Z l c n J v b m k s M T B 9 J n F 1 b 3 Q 7 L C Z x d W 9 0 O 1 N l Y 3 R p b 2 4 x L 3 R y Z W F 0 b W V u d C B G Q z A s N S B 1 c H J l Z 3 V s Y X R l Z C 9 B d X R v U m V t b 3 Z l Z E N v b H V t b n M x L n t C Z W 5 q Y W 1 p b m k s M T F 9 J n F 1 b 3 Q 7 L C Z x d W 9 0 O 1 N l Y 3 R p b 2 4 x L 3 R y Z W F 0 b W V u d C B G Q z A s N S B 1 c H J l Z 3 V s Y X R l Z C 9 B d X R v U m V t b 3 Z l Z E N v b H V t b n M x L n t G R F I s M T J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B d n N B X 0 x Q U y U y M D Q l M j B k Y X R h c 2 V 0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E t M T N U M T M 6 M j I 6 M D Y u N T I y M T E x M 1 o i L z 4 8 R W 5 0 c n k g V H l w Z T 0 i R m l s b E N v b H V t b l R 5 c G V z I i B W Y W x 1 Z T 0 i c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4 O D N h Z m E z L T V i M T Q t N D F l Z C 1 i M z k y L W Q 2 M W V j N G J j Z D B j N C I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Z z Q V 9 M U F M g N C B k Y X R h c 2 V 0 c y 9 B d X R v U m V t b 3 Z l Z E N v b H V t b n M x L n t D b 2 x 1 b W 4 x L D B 9 J n F 1 b 3 Q 7 L C Z x d W 9 0 O 1 N l Y 3 R p b 2 4 x L 0 F 2 c 0 F f T F B T I D Q g Z G F 0 Y X N l d H M v Q X V 0 b 1 J l b W 9 2 Z W R D b 2 x 1 b W 5 z M S 5 7 Q 2 9 s d W 1 u M i w x f S Z x d W 9 0 O y w m c X V v d D t T Z W N 0 a W 9 u M S 9 B d n N B X 0 x Q U y A 0 I G R h d G F z Z X R z L 0 F 1 d G 9 S Z W 1 v d m V k Q 2 9 s d W 1 u c z E u e 0 N v b H V t b j M s M n 0 m c X V v d D s s J n F 1 b 3 Q 7 U 2 V j d G l v b j E v Q X Z z Q V 9 M U F M g N C B k Y X R h c 2 V 0 c y 9 B d X R v U m V t b 3 Z l Z E N v b H V t b n M x L n t D b 2 x 1 b W 4 0 L D N 9 J n F 1 b 3 Q 7 L C Z x d W 9 0 O 1 N l Y 3 R p b 2 4 x L 0 F 2 c 0 F f T F B T I D Q g Z G F 0 Y X N l d H M v Q X V 0 b 1 J l b W 9 2 Z W R D b 2 x 1 b W 5 z M S 5 7 Q 2 9 s d W 1 u N S w 0 f S Z x d W 9 0 O y w m c X V v d D t T Z W N 0 a W 9 u M S 9 B d n N B X 0 x Q U y A 0 I G R h d G F z Z X R z L 0 F 1 d G 9 S Z W 1 v d m V k Q 2 9 s d W 1 u c z E u e 0 N v b H V t b j Y s N X 0 m c X V v d D s s J n F 1 b 3 Q 7 U 2 V j d G l v b j E v Q X Z z Q V 9 M U F M g N C B k Y X R h c 2 V 0 c y 9 B d X R v U m V t b 3 Z l Z E N v b H V t b n M x L n t D b 2 x 1 b W 4 3 L D Z 9 J n F 1 b 3 Q 7 L C Z x d W 9 0 O 1 N l Y 3 R p b 2 4 x L 0 F 2 c 0 F f T F B T I D Q g Z G F 0 Y X N l d H M v Q X V 0 b 1 J l b W 9 2 Z W R D b 2 x 1 b W 5 z M S 5 7 Q 2 9 s d W 1 u O C w 3 f S Z x d W 9 0 O y w m c X V v d D t T Z W N 0 a W 9 u M S 9 B d n N B X 0 x Q U y A 0 I G R h d G F z Z X R z L 0 F 1 d G 9 S Z W 1 v d m V k Q 2 9 s d W 1 u c z E u e 0 N v b H V t b j k s O H 0 m c X V v d D s s J n F 1 b 3 Q 7 U 2 V j d G l v b j E v Q X Z z Q V 9 M U F M g N C B k Y X R h c 2 V 0 c y 9 B d X R v U m V t b 3 Z l Z E N v b H V t b n M x L n t D b 2 x 1 b W 4 x M C w 5 f S Z x d W 9 0 O y w m c X V v d D t T Z W N 0 a W 9 u M S 9 B d n N B X 0 x Q U y A 0 I G R h d G F z Z X R z L 0 F 1 d G 9 S Z W 1 v d m V k Q 2 9 s d W 1 u c z E u e 0 N v b H V t b j E x L D E w f S Z x d W 9 0 O y w m c X V v d D t T Z W N 0 a W 9 u M S 9 B d n N B X 0 x Q U y A 0 I G R h d G F z Z X R z L 0 F 1 d G 9 S Z W 1 v d m V k Q 2 9 s d W 1 u c z E u e 0 N v b H V t b j E y L D E x f S Z x d W 9 0 O y w m c X V v d D t T Z W N 0 a W 9 u M S 9 B d n N B X 0 x Q U y A 0 I G R h d G F z Z X R z L 0 F 1 d G 9 S Z W 1 v d m V k Q 2 9 s d W 1 u c z E u e 0 N v b H V t b j E z L D E y f S Z x d W 9 0 O y w m c X V v d D t T Z W N 0 a W 9 u M S 9 B d n N B X 0 x Q U y A 0 I G R h d G F z Z X R z L 0 F 1 d G 9 S Z W 1 v d m V k Q 2 9 s d W 1 u c z E u e 0 N v b H V t b j E 0 L D E z f S Z x d W 9 0 O y w m c X V v d D t T Z W N 0 a W 9 u M S 9 B d n N B X 0 x Q U y A 0 I G R h d G F z Z X R z L 0 F 1 d G 9 S Z W 1 v d m V k Q 2 9 s d W 1 u c z E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X Z z Q V 9 M U F M g N C B k Y X R h c 2 V 0 c y 9 B d X R v U m V t b 3 Z l Z E N v b H V t b n M x L n t D b 2 x 1 b W 4 x L D B 9 J n F 1 b 3 Q 7 L C Z x d W 9 0 O 1 N l Y 3 R p b 2 4 x L 0 F 2 c 0 F f T F B T I D Q g Z G F 0 Y X N l d H M v Q X V 0 b 1 J l b W 9 2 Z W R D b 2 x 1 b W 5 z M S 5 7 Q 2 9 s d W 1 u M i w x f S Z x d W 9 0 O y w m c X V v d D t T Z W N 0 a W 9 u M S 9 B d n N B X 0 x Q U y A 0 I G R h d G F z Z X R z L 0 F 1 d G 9 S Z W 1 v d m V k Q 2 9 s d W 1 u c z E u e 0 N v b H V t b j M s M n 0 m c X V v d D s s J n F 1 b 3 Q 7 U 2 V j d G l v b j E v Q X Z z Q V 9 M U F M g N C B k Y X R h c 2 V 0 c y 9 B d X R v U m V t b 3 Z l Z E N v b H V t b n M x L n t D b 2 x 1 b W 4 0 L D N 9 J n F 1 b 3 Q 7 L C Z x d W 9 0 O 1 N l Y 3 R p b 2 4 x L 0 F 2 c 0 F f T F B T I D Q g Z G F 0 Y X N l d H M v Q X V 0 b 1 J l b W 9 2 Z W R D b 2 x 1 b W 5 z M S 5 7 Q 2 9 s d W 1 u N S w 0 f S Z x d W 9 0 O y w m c X V v d D t T Z W N 0 a W 9 u M S 9 B d n N B X 0 x Q U y A 0 I G R h d G F z Z X R z L 0 F 1 d G 9 S Z W 1 v d m V k Q 2 9 s d W 1 u c z E u e 0 N v b H V t b j Y s N X 0 m c X V v d D s s J n F 1 b 3 Q 7 U 2 V j d G l v b j E v Q X Z z Q V 9 M U F M g N C B k Y X R h c 2 V 0 c y 9 B d X R v U m V t b 3 Z l Z E N v b H V t b n M x L n t D b 2 x 1 b W 4 3 L D Z 9 J n F 1 b 3 Q 7 L C Z x d W 9 0 O 1 N l Y 3 R p b 2 4 x L 0 F 2 c 0 F f T F B T I D Q g Z G F 0 Y X N l d H M v Q X V 0 b 1 J l b W 9 2 Z W R D b 2 x 1 b W 5 z M S 5 7 Q 2 9 s d W 1 u O C w 3 f S Z x d W 9 0 O y w m c X V v d D t T Z W N 0 a W 9 u M S 9 B d n N B X 0 x Q U y A 0 I G R h d G F z Z X R z L 0 F 1 d G 9 S Z W 1 v d m V k Q 2 9 s d W 1 u c z E u e 0 N v b H V t b j k s O H 0 m c X V v d D s s J n F 1 b 3 Q 7 U 2 V j d G l v b j E v Q X Z z Q V 9 M U F M g N C B k Y X R h c 2 V 0 c y 9 B d X R v U m V t b 3 Z l Z E N v b H V t b n M x L n t D b 2 x 1 b W 4 x M C w 5 f S Z x d W 9 0 O y w m c X V v d D t T Z W N 0 a W 9 u M S 9 B d n N B X 0 x Q U y A 0 I G R h d G F z Z X R z L 0 F 1 d G 9 S Z W 1 v d m V k Q 2 9 s d W 1 u c z E u e 0 N v b H V t b j E x L D E w f S Z x d W 9 0 O y w m c X V v d D t T Z W N 0 a W 9 u M S 9 B d n N B X 0 x Q U y A 0 I G R h d G F z Z X R z L 0 F 1 d G 9 S Z W 1 v d m V k Q 2 9 s d W 1 u c z E u e 0 N v b H V t b j E y L D E x f S Z x d W 9 0 O y w m c X V v d D t T Z W N 0 a W 9 u M S 9 B d n N B X 0 x Q U y A 0 I G R h d G F z Z X R z L 0 F 1 d G 9 S Z W 1 v d m V k Q 2 9 s d W 1 u c z E u e 0 N v b H V t b j E z L D E y f S Z x d W 9 0 O y w m c X V v d D t T Z W N 0 a W 9 u M S 9 B d n N B X 0 x Q U y A 0 I G R h d G F z Z X R z L 0 F 1 d G 9 S Z W 1 v d m V k Q 2 9 s d W 1 u c z E u e 0 N v b H V t b j E 0 L D E z f S Z x d W 9 0 O y w m c X V v d D t T Z W N 0 a W 9 u M S 9 B d n N B X 0 x Q U y A 0 I G R h d G F z Z X R z L 0 F 1 d G 9 S Z W 1 v d m V k Q 2 9 s d W 1 u c z E u e 0 N v b H V t b j E 1 L D E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d H J l Y X R t Z W 5 0 J T I w R k M w J T J D N S U y M G R v d 2 5 y Z W d 1 b G F 0 Z W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c m V h d G 1 l b n Q l M j B G Q z A l M k M 1 J T I w Z G 9 3 b n J l Z 3 V s Y X R l Z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R y Z W F 0 b W V u d C U y M E Z D M C U y Q z U l M j B k b 3 d u c m V n d W x h d G V k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c m V h d G 1 l b n Q l M j B G Q z A l M k M 1 J T I w d X B y Z W d 1 b G F 0 Z W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c m V h d G 1 l b n Q l M j B G Q z A l M k M 1 J T I w d X B y Z W d 1 b G F 0 Z W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c m V h d G 1 l b n Q l M j B G Q z A l M k M 1 J T I w d X B y Z W d 1 b G F 0 Z W Q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2 c 0 F f T F B T J T I w N C U y M G R h d G F z Z X R z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d n N B X 0 x Q U y U y M D Q l M j B k Y X R h c 2 V 0 c y 9 a b W V u Z W 4 l Q z M l Q k Q l M j B 0 e X A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B v n 2 h q G x V u R o 9 E N z p F 0 y X m A A A A A A I A A A A A A A N m A A D A A A A A E A A A A F Z 9 B m A A R 2 V J p b X 3 p T 2 J 3 3 o A A A A A B I A A A K A A A A A Q A A A A X V 7 i Z b m X y J Y n 0 3 H t o v u u F V A A A A B e p D P Q n 7 X i c x 6 K o G v h h R p c 5 Y Y O g C U N m M w B z q h j w 2 5 g J D j D 9 r J / 9 u r x z H v 1 V h i w w l Y 1 t e v z v D l 6 L u Z 5 g q V d t 0 i 5 u D B 1 Z z u J K M d S f E L I N M w h e h Q A A A B A g 3 J 2 x / j I P 3 R q 1 5 / C S J Q 9 i E P + 6 A = = < / D a t a M a s h u p > 
</file>

<file path=customXml/itemProps1.xml><?xml version="1.0" encoding="utf-8"?>
<ds:datastoreItem xmlns:ds="http://schemas.openxmlformats.org/officeDocument/2006/customXml" ds:itemID="{431AFFAF-A486-4BE1-A1ED-398EA2C0FD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CTRL vs CTRL_LPS BV-2</vt:lpstr>
      <vt:lpstr>Aged vs Aged_LPS BV-2</vt:lpstr>
      <vt:lpstr>LPS treatment response in BV-2</vt:lpstr>
      <vt:lpstr>GO BP UP LPS treatmen AvsC</vt:lpstr>
      <vt:lpstr>GO BP DOWN LPS treatmen AvsC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Skandik</dc:creator>
  <cp:lastModifiedBy>Martin Skandik</cp:lastModifiedBy>
  <dcterms:created xsi:type="dcterms:W3CDTF">2015-06-05T18:17:20Z</dcterms:created>
  <dcterms:modified xsi:type="dcterms:W3CDTF">2024-01-29T14:35:59Z</dcterms:modified>
</cp:coreProperties>
</file>